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235" windowHeight="11760" tabRatio="853" firstSheet="1" activeTab="3"/>
  </bookViews>
  <sheets>
    <sheet name="Quantidades" sheetId="76" r:id="rId1"/>
    <sheet name="Cronograma Físico" sheetId="75" r:id="rId2"/>
    <sheet name="Resumo" sheetId="22" r:id="rId3"/>
    <sheet name="Planilha" sheetId="7" r:id="rId4"/>
    <sheet name="Memória" sheetId="6" r:id="rId5"/>
    <sheet name="DER 10-18" sheetId="1" r:id="rId6"/>
    <sheet name="equip." sheetId="2" r:id="rId7"/>
    <sheet name="m.o." sheetId="3" r:id="rId8"/>
    <sheet name="mat." sheetId="4" r:id="rId9"/>
    <sheet name="tranp." sheetId="5" r:id="rId10"/>
    <sheet name="Ocor." sheetId="27" r:id="rId11"/>
    <sheet name="43069" sheetId="24" state="hidden" r:id="rId12"/>
    <sheet name="42981" sheetId="35" state="hidden" r:id="rId13"/>
    <sheet name="42714" sheetId="36" state="hidden" r:id="rId14"/>
    <sheet name="ST01" sheetId="37" state="hidden" r:id="rId15"/>
    <sheet name="ST02" sheetId="38" state="hidden" r:id="rId16"/>
    <sheet name="42779" sheetId="39" state="hidden" r:id="rId17"/>
    <sheet name="42783" sheetId="42" state="hidden" r:id="rId18"/>
    <sheet name="40514" sheetId="40" state="hidden" r:id="rId19"/>
    <sheet name="40515" sheetId="44" state="hidden" r:id="rId20"/>
    <sheet name="003" sheetId="29" state="hidden" r:id="rId21"/>
    <sheet name="005" sheetId="31" state="hidden" r:id="rId22"/>
    <sheet name="006" sheetId="28" state="hidden" r:id="rId23"/>
    <sheet name="Mapa" sheetId="32" state="hidden" r:id="rId24"/>
    <sheet name="CX" sheetId="23" state="hidden" r:id="rId25"/>
    <sheet name="42611" sheetId="41" state="hidden" r:id="rId26"/>
    <sheet name="40313" sheetId="47" state="hidden" r:id="rId27"/>
    <sheet name="40351" sheetId="45" state="hidden" r:id="rId28"/>
    <sheet name="40358" sheetId="46" state="hidden" r:id="rId29"/>
    <sheet name="Dist" sheetId="79" r:id="rId30"/>
    <sheet name="Compos DER" sheetId="52" r:id="rId31"/>
    <sheet name="Compos lug" sheetId="53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xlnm._FilterDatabase" localSheetId="30" hidden="1">'Compos DER'!$L$1:$L$3515</definedName>
    <definedName name="_xlnm._FilterDatabase" localSheetId="31" hidden="1">'Compos lug'!$L$1:$L$43</definedName>
    <definedName name="_xlnm._FilterDatabase" localSheetId="5" hidden="1">'DER 10-18'!$C$1:$C$1649</definedName>
    <definedName name="_xlnm._FilterDatabase" localSheetId="4" hidden="1">Memória!$A$1083:$AF$1083</definedName>
    <definedName name="_xlnm.Print_Area" localSheetId="30">'Compos DER'!$A$5:$I$4915</definedName>
    <definedName name="_xlnm.Print_Area" localSheetId="31">'Compos lug'!$A$5:$I$509</definedName>
    <definedName name="_xlnm.Print_Area" localSheetId="29">Dist!$A$1:$G$36</definedName>
    <definedName name="_xlnm.Print_Area" localSheetId="4">Memória!$A$1:$R$2289</definedName>
    <definedName name="_xlnm.Print_Area" localSheetId="3">Planilha!$A$1:$G$201</definedName>
    <definedName name="_xlnm.Print_Area" localSheetId="0">Quantidades!$A$1:$E$188</definedName>
    <definedName name="_xlnm.Print_Area" localSheetId="2">Resumo!$A$1:$D$18</definedName>
    <definedName name="_xlnm.Print_Area" localSheetId="9">tranp.!$A$1:$K$87</definedName>
    <definedName name="_xlnm.Print_Titles" localSheetId="4">Memória!$1:$4</definedName>
    <definedName name="_xlnm.Print_Titles" localSheetId="3">Planilha!$1:$4</definedName>
    <definedName name="_xlnm.Print_Titles" localSheetId="0">Quantidades!$1:$4</definedName>
  </definedNames>
  <calcPr calcId="152511" fullPrecision="0"/>
</workbook>
</file>

<file path=xl/calcChain.xml><?xml version="1.0" encoding="utf-8"?>
<calcChain xmlns="http://schemas.openxmlformats.org/spreadsheetml/2006/main">
  <c r="G200" i="7" l="1"/>
  <c r="I507" i="53" l="1"/>
  <c r="G504" i="53"/>
  <c r="I497" i="53"/>
  <c r="I487" i="53"/>
  <c r="D486" i="53"/>
  <c r="D485" i="53"/>
  <c r="D484" i="53"/>
  <c r="C485" i="53"/>
  <c r="C486" i="53"/>
  <c r="C484" i="53"/>
  <c r="I481" i="53"/>
  <c r="I473" i="53"/>
  <c r="I441" i="53"/>
  <c r="D441" i="53"/>
  <c r="C441" i="53"/>
  <c r="I350" i="53"/>
  <c r="I348" i="53"/>
  <c r="D336" i="53"/>
  <c r="D335" i="53"/>
  <c r="D334" i="53"/>
  <c r="C336" i="53"/>
  <c r="C335" i="53"/>
  <c r="C334" i="53"/>
  <c r="D297" i="53"/>
  <c r="D296" i="53"/>
  <c r="D295" i="53"/>
  <c r="C297" i="53"/>
  <c r="C296" i="53"/>
  <c r="C295" i="53"/>
  <c r="I265" i="53"/>
  <c r="I259" i="53"/>
  <c r="D258" i="53"/>
  <c r="D257" i="53"/>
  <c r="D256" i="53"/>
  <c r="C258" i="53"/>
  <c r="C257" i="53"/>
  <c r="C256" i="53"/>
  <c r="I244" i="53"/>
  <c r="I243" i="53"/>
  <c r="I233" i="53"/>
  <c r="I232" i="53"/>
  <c r="I231" i="53"/>
  <c r="I230" i="53"/>
  <c r="I225" i="53"/>
  <c r="I219" i="53"/>
  <c r="D218" i="53"/>
  <c r="D217" i="53"/>
  <c r="D216" i="53"/>
  <c r="C218" i="53"/>
  <c r="C217" i="53"/>
  <c r="C216" i="53"/>
  <c r="I206" i="53"/>
  <c r="I204" i="53"/>
  <c r="I191" i="53"/>
  <c r="I190" i="53"/>
  <c r="I189" i="53"/>
  <c r="I188" i="53"/>
  <c r="I185" i="53"/>
  <c r="I183" i="53"/>
  <c r="I177" i="53"/>
  <c r="D176" i="53"/>
  <c r="D175" i="53"/>
  <c r="D174" i="53"/>
  <c r="D173" i="53"/>
  <c r="D172" i="53"/>
  <c r="C176" i="53"/>
  <c r="C175" i="53"/>
  <c r="C174" i="53"/>
  <c r="C173" i="53"/>
  <c r="C172" i="53"/>
  <c r="I169" i="53"/>
  <c r="I157" i="53"/>
  <c r="G154" i="53"/>
  <c r="I154" i="53" s="1"/>
  <c r="I147" i="53"/>
  <c r="I143" i="53"/>
  <c r="I132" i="53"/>
  <c r="I129" i="53"/>
  <c r="I126" i="53"/>
  <c r="I122" i="53"/>
  <c r="D131" i="53"/>
  <c r="D130" i="53"/>
  <c r="D129" i="53"/>
  <c r="C131" i="53"/>
  <c r="C130" i="53"/>
  <c r="C129" i="53"/>
  <c r="D103" i="53"/>
  <c r="I24" i="53"/>
  <c r="D66" i="53"/>
  <c r="I31" i="53"/>
  <c r="I23" i="53"/>
  <c r="D15" i="53"/>
  <c r="F211" i="1" l="1"/>
  <c r="F212" i="1"/>
  <c r="F213" i="1"/>
  <c r="F214" i="1"/>
  <c r="F1457" i="1"/>
  <c r="F1458" i="1"/>
  <c r="F1459" i="1"/>
  <c r="D4767" i="52"/>
  <c r="D4766" i="52"/>
  <c r="C4767" i="52"/>
  <c r="C4766" i="52"/>
  <c r="D4728" i="52"/>
  <c r="D4727" i="52"/>
  <c r="D4726" i="52"/>
  <c r="C4728" i="52"/>
  <c r="C4727" i="52"/>
  <c r="C4726" i="52"/>
  <c r="D4647" i="52"/>
  <c r="D4646" i="52"/>
  <c r="C4647" i="52"/>
  <c r="C4646" i="52"/>
  <c r="F1452" i="1" l="1"/>
  <c r="D3151" i="52" l="1"/>
  <c r="D3150" i="52"/>
  <c r="C3151" i="52"/>
  <c r="C3150" i="52"/>
  <c r="D3077" i="52"/>
  <c r="D3076" i="52"/>
  <c r="C3077" i="52"/>
  <c r="C3076" i="52"/>
  <c r="D2866" i="52"/>
  <c r="C2866" i="52"/>
  <c r="D2831" i="52"/>
  <c r="D2830" i="52"/>
  <c r="C2831" i="52"/>
  <c r="C2830" i="52"/>
  <c r="D2795" i="52"/>
  <c r="D2794" i="52"/>
  <c r="C2795" i="52"/>
  <c r="C2794" i="52"/>
  <c r="D4301" i="52"/>
  <c r="D4300" i="52"/>
  <c r="C4301" i="52"/>
  <c r="C4300" i="52"/>
  <c r="D3412" i="52"/>
  <c r="D3411" i="52"/>
  <c r="C3412" i="52"/>
  <c r="C3411" i="52"/>
  <c r="D3375" i="52"/>
  <c r="C3375" i="52"/>
  <c r="D4262" i="52"/>
  <c r="D4261" i="52"/>
  <c r="C4262" i="52"/>
  <c r="C4261" i="52"/>
  <c r="D3452" i="52"/>
  <c r="D3451" i="52"/>
  <c r="D3450" i="52"/>
  <c r="C3452" i="52"/>
  <c r="C3451" i="52"/>
  <c r="C3450" i="52"/>
  <c r="D3875" i="52"/>
  <c r="D3874" i="52"/>
  <c r="C3875" i="52"/>
  <c r="C3874" i="52"/>
  <c r="D3833" i="52"/>
  <c r="D3832" i="52"/>
  <c r="D3831" i="52"/>
  <c r="D3830" i="52"/>
  <c r="C3833" i="52"/>
  <c r="C3832" i="52"/>
  <c r="C3831" i="52"/>
  <c r="C3830" i="52"/>
  <c r="D3793" i="52"/>
  <c r="C3793" i="52"/>
  <c r="D3720" i="52"/>
  <c r="D3719" i="52"/>
  <c r="C3720" i="52"/>
  <c r="C3719" i="52"/>
  <c r="D2464" i="52"/>
  <c r="D2463" i="52"/>
  <c r="D2462" i="52"/>
  <c r="C2464" i="52"/>
  <c r="C2463" i="52"/>
  <c r="C2462" i="52"/>
  <c r="D2428" i="52"/>
  <c r="D2427" i="52"/>
  <c r="C2428" i="52"/>
  <c r="C2427" i="52"/>
  <c r="D2388" i="52"/>
  <c r="D2387" i="52"/>
  <c r="C2388" i="52"/>
  <c r="C2387" i="52"/>
  <c r="D4375" i="52"/>
  <c r="D4374" i="52"/>
  <c r="C4375" i="52"/>
  <c r="C4374" i="52"/>
  <c r="D2351" i="52"/>
  <c r="C2351" i="52"/>
  <c r="C2305" i="52"/>
  <c r="D2307" i="52"/>
  <c r="D2306" i="52"/>
  <c r="D2305" i="52"/>
  <c r="D2304" i="52"/>
  <c r="C2307" i="52"/>
  <c r="C2306" i="52"/>
  <c r="C2304" i="52"/>
  <c r="D2264" i="52"/>
  <c r="D2263" i="52"/>
  <c r="C2264" i="52"/>
  <c r="C2263" i="52"/>
  <c r="D2228" i="52"/>
  <c r="C2228" i="52"/>
  <c r="D2193" i="52" l="1"/>
  <c r="D2192" i="52"/>
  <c r="D2191" i="52"/>
  <c r="C2193" i="52"/>
  <c r="C2192" i="52"/>
  <c r="C2191" i="52"/>
  <c r="D2147" i="52"/>
  <c r="D2146" i="52"/>
  <c r="D2145" i="52"/>
  <c r="C2147" i="52"/>
  <c r="C2146" i="52"/>
  <c r="C2145" i="52"/>
  <c r="D2109" i="52"/>
  <c r="D2108" i="52"/>
  <c r="D2107" i="52"/>
  <c r="C2109" i="52"/>
  <c r="C2108" i="52"/>
  <c r="C2107" i="52"/>
  <c r="D2072" i="52"/>
  <c r="D2071" i="52"/>
  <c r="D2070" i="52"/>
  <c r="C2072" i="52"/>
  <c r="C2071" i="52"/>
  <c r="C2070" i="52"/>
  <c r="D2032" i="52"/>
  <c r="D2031" i="52"/>
  <c r="D2030" i="52"/>
  <c r="C2032" i="52"/>
  <c r="C2031" i="52"/>
  <c r="C2030" i="52"/>
  <c r="D1992" i="52"/>
  <c r="D1991" i="52"/>
  <c r="C1992" i="52"/>
  <c r="C1991" i="52"/>
  <c r="D1949" i="52"/>
  <c r="D1948" i="52"/>
  <c r="C1949" i="52"/>
  <c r="C1948" i="52"/>
  <c r="D3113" i="52"/>
  <c r="D3112" i="52"/>
  <c r="C3113" i="52"/>
  <c r="C3112" i="52"/>
  <c r="D4845" i="52"/>
  <c r="D4844" i="52"/>
  <c r="D4843" i="52"/>
  <c r="C4845" i="52"/>
  <c r="C4844" i="52"/>
  <c r="C4843" i="52"/>
  <c r="D1917" i="52"/>
  <c r="I1917" i="52" s="1"/>
  <c r="C1917" i="52"/>
  <c r="A1917" i="52"/>
  <c r="D1903" i="52"/>
  <c r="D1902" i="52"/>
  <c r="D1901" i="52"/>
  <c r="C1903" i="52"/>
  <c r="C1902" i="52"/>
  <c r="C1901" i="52"/>
  <c r="D1866" i="52"/>
  <c r="D1865" i="52"/>
  <c r="C1866" i="52"/>
  <c r="C1865" i="52"/>
  <c r="D4441" i="52"/>
  <c r="D4440" i="52"/>
  <c r="C4441" i="52"/>
  <c r="C4440" i="52"/>
  <c r="D1826" i="52"/>
  <c r="D1825" i="52"/>
  <c r="C1826" i="52"/>
  <c r="C1825" i="52"/>
  <c r="D1552" i="52"/>
  <c r="D1551" i="52"/>
  <c r="C1552" i="52"/>
  <c r="C1551" i="52"/>
  <c r="D1627" i="52"/>
  <c r="D1626" i="52"/>
  <c r="D1625" i="52"/>
  <c r="C1627" i="52"/>
  <c r="C1626" i="52"/>
  <c r="C1625" i="52"/>
  <c r="D1512" i="52"/>
  <c r="D1511" i="52"/>
  <c r="C1512" i="52"/>
  <c r="C1511" i="52"/>
  <c r="D1475" i="52"/>
  <c r="D1474" i="52"/>
  <c r="D1473" i="52"/>
  <c r="C1475" i="52"/>
  <c r="C1474" i="52"/>
  <c r="C1473" i="52"/>
  <c r="D1435" i="52"/>
  <c r="D1434" i="52"/>
  <c r="D1433" i="52"/>
  <c r="C1435" i="52"/>
  <c r="C1434" i="52"/>
  <c r="C1433" i="52"/>
  <c r="C1391" i="52"/>
  <c r="D1391" i="52"/>
  <c r="D1390" i="52"/>
  <c r="D1389" i="52"/>
  <c r="C1390" i="52"/>
  <c r="C1389" i="52"/>
  <c r="D1347" i="52"/>
  <c r="D1346" i="52"/>
  <c r="C1347" i="52"/>
  <c r="C1346" i="52"/>
  <c r="D4687" i="52"/>
  <c r="D4686" i="52"/>
  <c r="D4685" i="52"/>
  <c r="C4687" i="52"/>
  <c r="C4686" i="52"/>
  <c r="C4685" i="52"/>
  <c r="D1271" i="52"/>
  <c r="C1271" i="52"/>
  <c r="D1232" i="52"/>
  <c r="D1231" i="52"/>
  <c r="D1230" i="52"/>
  <c r="C1232" i="52"/>
  <c r="C1231" i="52"/>
  <c r="C1230" i="52"/>
  <c r="D1191" i="52"/>
  <c r="D1190" i="52"/>
  <c r="C1191" i="52"/>
  <c r="C1190" i="52"/>
  <c r="D1118" i="52"/>
  <c r="D1117" i="52"/>
  <c r="C1118" i="52"/>
  <c r="C1117" i="52"/>
  <c r="D4573" i="52"/>
  <c r="D4572" i="52"/>
  <c r="C4573" i="52"/>
  <c r="C4572" i="52"/>
  <c r="D1079" i="52"/>
  <c r="D1078" i="52"/>
  <c r="C1079" i="52"/>
  <c r="C1078" i="52"/>
  <c r="D4408" i="52"/>
  <c r="D4407" i="52"/>
  <c r="C4408" i="52"/>
  <c r="C4407" i="52"/>
  <c r="D999" i="52"/>
  <c r="D998" i="52"/>
  <c r="C999" i="52"/>
  <c r="C998" i="52"/>
  <c r="D3540" i="52"/>
  <c r="D3539" i="52"/>
  <c r="D3538" i="52"/>
  <c r="C3540" i="52"/>
  <c r="C3539" i="52"/>
  <c r="C3538" i="52"/>
  <c r="D962" i="52"/>
  <c r="D961" i="52"/>
  <c r="C962" i="52"/>
  <c r="C961" i="52"/>
  <c r="D4539" i="52"/>
  <c r="D4538" i="52"/>
  <c r="C4539" i="52"/>
  <c r="C4538" i="52"/>
  <c r="D4611" i="52"/>
  <c r="D4610" i="52"/>
  <c r="D4609" i="52"/>
  <c r="C4611" i="52"/>
  <c r="C4610" i="52"/>
  <c r="C4609" i="52"/>
  <c r="D4340" i="52"/>
  <c r="D4339" i="52"/>
  <c r="C4340" i="52"/>
  <c r="C4339" i="52"/>
  <c r="D3954" i="52"/>
  <c r="D3953" i="52"/>
  <c r="C3954" i="52"/>
  <c r="C3953" i="52"/>
  <c r="D275" i="52"/>
  <c r="C275" i="52"/>
  <c r="D3495" i="52"/>
  <c r="D3494" i="52"/>
  <c r="C3495" i="52"/>
  <c r="C3494" i="52"/>
  <c r="D3995" i="52"/>
  <c r="D3994" i="52"/>
  <c r="C3995" i="52"/>
  <c r="C3994" i="52"/>
  <c r="D171" i="52"/>
  <c r="D170" i="52"/>
  <c r="D169" i="52"/>
  <c r="C171" i="52"/>
  <c r="C170" i="52"/>
  <c r="C169" i="52"/>
  <c r="D2758" i="52"/>
  <c r="D2757" i="52"/>
  <c r="C2758" i="52"/>
  <c r="C2757" i="52"/>
  <c r="D2722" i="52"/>
  <c r="D2721" i="52"/>
  <c r="C2722" i="52"/>
  <c r="C2721" i="52"/>
  <c r="D2686" i="52"/>
  <c r="D2685" i="52"/>
  <c r="D2684" i="52"/>
  <c r="C2686" i="52"/>
  <c r="C2685" i="52"/>
  <c r="C2684" i="52"/>
  <c r="D2649" i="52"/>
  <c r="D2648" i="52"/>
  <c r="D2647" i="52"/>
  <c r="C2649" i="52"/>
  <c r="C2648" i="52"/>
  <c r="C2647" i="52"/>
  <c r="D4802" i="52"/>
  <c r="D4801" i="52"/>
  <c r="C4802" i="52"/>
  <c r="C4801" i="52"/>
  <c r="D4886" i="52"/>
  <c r="D4885" i="52"/>
  <c r="D4884" i="52"/>
  <c r="C4886" i="52"/>
  <c r="C4885" i="52"/>
  <c r="C4884" i="52"/>
  <c r="D4034" i="52"/>
  <c r="D4033" i="52"/>
  <c r="D4032" i="52"/>
  <c r="C4034" i="52"/>
  <c r="C4033" i="52"/>
  <c r="C4032" i="52"/>
  <c r="D4222" i="52"/>
  <c r="D4221" i="52"/>
  <c r="D4220" i="52"/>
  <c r="C4222" i="52"/>
  <c r="C4221" i="52"/>
  <c r="C4220" i="52"/>
  <c r="D3339" i="52"/>
  <c r="D3338" i="52"/>
  <c r="C3339" i="52"/>
  <c r="C3338" i="52"/>
  <c r="D2577" i="52"/>
  <c r="D2576" i="52"/>
  <c r="D2575" i="52"/>
  <c r="C2577" i="52"/>
  <c r="C2576" i="52"/>
  <c r="C2575" i="52"/>
  <c r="D4074" i="52" l="1"/>
  <c r="D4073" i="52"/>
  <c r="C4074" i="52"/>
  <c r="C4073" i="52"/>
  <c r="D4506" i="52"/>
  <c r="D4505" i="52"/>
  <c r="C4506" i="52"/>
  <c r="C4505" i="52"/>
  <c r="D3916" i="52"/>
  <c r="D3915" i="52"/>
  <c r="C3916" i="52"/>
  <c r="C3915" i="52"/>
  <c r="D2537" i="52"/>
  <c r="D2536" i="52"/>
  <c r="D2535" i="52"/>
  <c r="C2537" i="52"/>
  <c r="C2536" i="52"/>
  <c r="C2535" i="52"/>
  <c r="D2500" i="52"/>
  <c r="D2499" i="52"/>
  <c r="C2500" i="52"/>
  <c r="C2499" i="52"/>
  <c r="D4146" i="52"/>
  <c r="D4145" i="52"/>
  <c r="C4146" i="52"/>
  <c r="C4145" i="52"/>
  <c r="D4110" i="52"/>
  <c r="D4109" i="52"/>
  <c r="C4110" i="52"/>
  <c r="C4109" i="52"/>
  <c r="D3757" i="52"/>
  <c r="D3756" i="52"/>
  <c r="C3757" i="52"/>
  <c r="C3756" i="52"/>
  <c r="D134" i="52"/>
  <c r="D133" i="52"/>
  <c r="C133" i="52"/>
  <c r="C134" i="52"/>
  <c r="D93" i="52"/>
  <c r="D92" i="52"/>
  <c r="C93" i="52"/>
  <c r="C92" i="52"/>
  <c r="D52" i="52"/>
  <c r="D51" i="52"/>
  <c r="C52" i="52"/>
  <c r="C51" i="52"/>
  <c r="C15" i="52"/>
  <c r="C14" i="52"/>
  <c r="D15" i="52"/>
  <c r="D14" i="52"/>
  <c r="K85" i="5" l="1"/>
  <c r="K86" i="5"/>
  <c r="J85" i="5"/>
  <c r="J86" i="5"/>
  <c r="I84" i="5"/>
  <c r="I85" i="5"/>
  <c r="I86" i="5"/>
  <c r="H84" i="5"/>
  <c r="H85" i="5"/>
  <c r="H86" i="5"/>
  <c r="H6" i="5" l="1"/>
  <c r="I504" i="53" l="1"/>
  <c r="D497" i="53"/>
  <c r="I484" i="53"/>
  <c r="G474" i="53"/>
  <c r="G475" i="53"/>
  <c r="G476" i="53"/>
  <c r="G477" i="53"/>
  <c r="G478" i="53"/>
  <c r="G479" i="53"/>
  <c r="G480" i="53"/>
  <c r="G473" i="53"/>
  <c r="F474" i="53"/>
  <c r="I474" i="53" s="1"/>
  <c r="F475" i="53"/>
  <c r="I475" i="53" s="1"/>
  <c r="F476" i="53"/>
  <c r="I476" i="53" s="1"/>
  <c r="F477" i="53"/>
  <c r="I477" i="53" s="1"/>
  <c r="F478" i="53"/>
  <c r="I478" i="53" s="1"/>
  <c r="F479" i="53"/>
  <c r="I479" i="53" s="1"/>
  <c r="F480" i="53"/>
  <c r="I480" i="53" s="1"/>
  <c r="F473" i="53"/>
  <c r="F835" i="1"/>
  <c r="D504" i="53"/>
  <c r="C71" i="53" l="1"/>
  <c r="G3824" i="52"/>
  <c r="F3824" i="52"/>
  <c r="C3824" i="52"/>
  <c r="A3824" i="52"/>
  <c r="I3824" i="52" l="1"/>
  <c r="B80" i="7"/>
  <c r="I2" i="53" l="1"/>
  <c r="N1363" i="6" l="1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F4910" i="52" l="1"/>
  <c r="E4910" i="52"/>
  <c r="D4910" i="52"/>
  <c r="C4910" i="52"/>
  <c r="A4910" i="52"/>
  <c r="F4909" i="52"/>
  <c r="E4909" i="52"/>
  <c r="D4909" i="52"/>
  <c r="C4909" i="52"/>
  <c r="A4909" i="52"/>
  <c r="F4908" i="52"/>
  <c r="E4908" i="52"/>
  <c r="D4908" i="52"/>
  <c r="C4908" i="52"/>
  <c r="A4908" i="52"/>
  <c r="D4901" i="52"/>
  <c r="I4901" i="52" s="1"/>
  <c r="C4901" i="52"/>
  <c r="A4901" i="52"/>
  <c r="D4900" i="52"/>
  <c r="I4900" i="52" s="1"/>
  <c r="C4900" i="52"/>
  <c r="A4900" i="52"/>
  <c r="D4899" i="52"/>
  <c r="C4899" i="52"/>
  <c r="A4899" i="52"/>
  <c r="D4898" i="52"/>
  <c r="C4898" i="52"/>
  <c r="A4898" i="52"/>
  <c r="I4886" i="52"/>
  <c r="A4886" i="52"/>
  <c r="I4885" i="52"/>
  <c r="A4885" i="52"/>
  <c r="A4884" i="52"/>
  <c r="G4880" i="52"/>
  <c r="F4880" i="52"/>
  <c r="C4880" i="52"/>
  <c r="A4880" i="52"/>
  <c r="M4877" i="52"/>
  <c r="L4877" i="52"/>
  <c r="I4877" i="52"/>
  <c r="A4877" i="52"/>
  <c r="F4869" i="52"/>
  <c r="E4869" i="52"/>
  <c r="D4869" i="52"/>
  <c r="C4869" i="52"/>
  <c r="A4869" i="52"/>
  <c r="F4868" i="52"/>
  <c r="E4868" i="52"/>
  <c r="D4868" i="52"/>
  <c r="C4868" i="52"/>
  <c r="A4868" i="52"/>
  <c r="F4867" i="52"/>
  <c r="E4867" i="52"/>
  <c r="G4867" i="52" s="1"/>
  <c r="D4867" i="52"/>
  <c r="C4867" i="52"/>
  <c r="A4867" i="52"/>
  <c r="D4859" i="52"/>
  <c r="I4859" i="52" s="1"/>
  <c r="C4859" i="52"/>
  <c r="A4859" i="52"/>
  <c r="D4858" i="52"/>
  <c r="I4858" i="52" s="1"/>
  <c r="C4858" i="52"/>
  <c r="A4858" i="52"/>
  <c r="D4857" i="52"/>
  <c r="C4857" i="52"/>
  <c r="A4857" i="52"/>
  <c r="I4845" i="52"/>
  <c r="A4845" i="52"/>
  <c r="I4844" i="52"/>
  <c r="A4844" i="52"/>
  <c r="I4843" i="52"/>
  <c r="A4843" i="52"/>
  <c r="G4839" i="52"/>
  <c r="F4839" i="52"/>
  <c r="I4839" i="52" s="1"/>
  <c r="C4839" i="52"/>
  <c r="A4839" i="52"/>
  <c r="G4838" i="52"/>
  <c r="F4838" i="52"/>
  <c r="C4838" i="52"/>
  <c r="A4838" i="52"/>
  <c r="G4837" i="52"/>
  <c r="F4837" i="52"/>
  <c r="C4837" i="52"/>
  <c r="A4837" i="52"/>
  <c r="M4834" i="52"/>
  <c r="L4834" i="52"/>
  <c r="I4834" i="52"/>
  <c r="A4834" i="52"/>
  <c r="F4826" i="52"/>
  <c r="E4826" i="52"/>
  <c r="D4826" i="52"/>
  <c r="C4826" i="52"/>
  <c r="A4826" i="52"/>
  <c r="F4825" i="52"/>
  <c r="E4825" i="52"/>
  <c r="D4825" i="52"/>
  <c r="C4825" i="52"/>
  <c r="A4825" i="52"/>
  <c r="F4824" i="52"/>
  <c r="E4824" i="52"/>
  <c r="D4824" i="52"/>
  <c r="C4824" i="52"/>
  <c r="A4824" i="52"/>
  <c r="D4817" i="52"/>
  <c r="C4817" i="52"/>
  <c r="A4817" i="52"/>
  <c r="D4816" i="52"/>
  <c r="I4816" i="52" s="1"/>
  <c r="C4816" i="52"/>
  <c r="A4816" i="52"/>
  <c r="D4815" i="52"/>
  <c r="I4815" i="52" s="1"/>
  <c r="C4815" i="52"/>
  <c r="A4815" i="52"/>
  <c r="D4814" i="52"/>
  <c r="I4814" i="52" s="1"/>
  <c r="C4814" i="52"/>
  <c r="A4814" i="52"/>
  <c r="I4802" i="52"/>
  <c r="A4802" i="52"/>
  <c r="A4801" i="52"/>
  <c r="G4797" i="52"/>
  <c r="F4797" i="52"/>
  <c r="C4797" i="52"/>
  <c r="A4797" i="52"/>
  <c r="I4794" i="52"/>
  <c r="A4794" i="52"/>
  <c r="M4793" i="52"/>
  <c r="L4793" i="52"/>
  <c r="F4786" i="52"/>
  <c r="E4786" i="52"/>
  <c r="D4786" i="52"/>
  <c r="C4786" i="52"/>
  <c r="A4786" i="52"/>
  <c r="D4779" i="52"/>
  <c r="C4779" i="52"/>
  <c r="A4779" i="52"/>
  <c r="I4767" i="52"/>
  <c r="A4767" i="52"/>
  <c r="I4766" i="52"/>
  <c r="A4766" i="52"/>
  <c r="G4762" i="52"/>
  <c r="F4762" i="52"/>
  <c r="C4762" i="52"/>
  <c r="A4762" i="52"/>
  <c r="I4759" i="52"/>
  <c r="A4759" i="52"/>
  <c r="M4758" i="52"/>
  <c r="L4758" i="52"/>
  <c r="F4751" i="52"/>
  <c r="E4751" i="52"/>
  <c r="G4751" i="52" s="1"/>
  <c r="I4751" i="52" s="1"/>
  <c r="D4751" i="52"/>
  <c r="C4751" i="52"/>
  <c r="A4751" i="52"/>
  <c r="F4750" i="52"/>
  <c r="E4750" i="52"/>
  <c r="D4750" i="52"/>
  <c r="C4750" i="52"/>
  <c r="A4750" i="52"/>
  <c r="F4749" i="52"/>
  <c r="E4749" i="52"/>
  <c r="D4749" i="52"/>
  <c r="C4749" i="52"/>
  <c r="A4749" i="52"/>
  <c r="D4742" i="52"/>
  <c r="I4742" i="52" s="1"/>
  <c r="C4742" i="52"/>
  <c r="A4742" i="52"/>
  <c r="D4741" i="52"/>
  <c r="I4741" i="52" s="1"/>
  <c r="C4741" i="52"/>
  <c r="A4741" i="52"/>
  <c r="D4740" i="52"/>
  <c r="I4740" i="52" s="1"/>
  <c r="C4740" i="52"/>
  <c r="A4740" i="52"/>
  <c r="A4728" i="52"/>
  <c r="I4727" i="52"/>
  <c r="A4727" i="52"/>
  <c r="I4726" i="52"/>
  <c r="A4726" i="52"/>
  <c r="G4722" i="52"/>
  <c r="F4722" i="52"/>
  <c r="C4722" i="52"/>
  <c r="A4722" i="52"/>
  <c r="G4721" i="52"/>
  <c r="F4721" i="52"/>
  <c r="C4721" i="52"/>
  <c r="A4721" i="52"/>
  <c r="G4720" i="52"/>
  <c r="F4720" i="52"/>
  <c r="C4720" i="52"/>
  <c r="A4720" i="52"/>
  <c r="I4717" i="52"/>
  <c r="A4717" i="52"/>
  <c r="M4716" i="52"/>
  <c r="L4716" i="52"/>
  <c r="F4709" i="52"/>
  <c r="E4709" i="52"/>
  <c r="D4709" i="52"/>
  <c r="C4709" i="52"/>
  <c r="A4709" i="52"/>
  <c r="F4708" i="52"/>
  <c r="E4708" i="52"/>
  <c r="D4708" i="52"/>
  <c r="C4708" i="52"/>
  <c r="A4708" i="52"/>
  <c r="D4701" i="52"/>
  <c r="I4701" i="52" s="1"/>
  <c r="C4701" i="52"/>
  <c r="A4701" i="52"/>
  <c r="D4700" i="52"/>
  <c r="I4700" i="52" s="1"/>
  <c r="C4700" i="52"/>
  <c r="A4700" i="52"/>
  <c r="D4699" i="52"/>
  <c r="I4699" i="52" s="1"/>
  <c r="C4699" i="52"/>
  <c r="A4699" i="52"/>
  <c r="I4687" i="52"/>
  <c r="A4687" i="52"/>
  <c r="A4686" i="52"/>
  <c r="I4685" i="52"/>
  <c r="A4685" i="52"/>
  <c r="G4681" i="52"/>
  <c r="F4681" i="52"/>
  <c r="C4681" i="52"/>
  <c r="A4681" i="52"/>
  <c r="I4678" i="52"/>
  <c r="A4678" i="52"/>
  <c r="M4677" i="52"/>
  <c r="L4677" i="52"/>
  <c r="D4662" i="52"/>
  <c r="I4662" i="52" s="1"/>
  <c r="C4662" i="52"/>
  <c r="A4662" i="52"/>
  <c r="D4661" i="52"/>
  <c r="I4661" i="52" s="1"/>
  <c r="C4661" i="52"/>
  <c r="A4661" i="52"/>
  <c r="D4660" i="52"/>
  <c r="I4660" i="52" s="1"/>
  <c r="C4660" i="52"/>
  <c r="A4660" i="52"/>
  <c r="D4659" i="52"/>
  <c r="I4659" i="52" s="1"/>
  <c r="C4659" i="52"/>
  <c r="A4659" i="52"/>
  <c r="I4647" i="52"/>
  <c r="A4647" i="52"/>
  <c r="I4646" i="52"/>
  <c r="A4646" i="52"/>
  <c r="M4639" i="52"/>
  <c r="L4639" i="52"/>
  <c r="I4639" i="52"/>
  <c r="A4639" i="52"/>
  <c r="F4631" i="52"/>
  <c r="E4631" i="52"/>
  <c r="G4631" i="52" s="1"/>
  <c r="I4631" i="52" s="1"/>
  <c r="I4632" i="52" s="1"/>
  <c r="D4631" i="52"/>
  <c r="C4631" i="52"/>
  <c r="A4631" i="52"/>
  <c r="C4627" i="52"/>
  <c r="A4627" i="52"/>
  <c r="D4623" i="52"/>
  <c r="I4623" i="52" s="1"/>
  <c r="I4624" i="52" s="1"/>
  <c r="C4623" i="52"/>
  <c r="A4623" i="52"/>
  <c r="I4611" i="52"/>
  <c r="A4611" i="52"/>
  <c r="I4610" i="52"/>
  <c r="A4610" i="52"/>
  <c r="I4609" i="52"/>
  <c r="A4609" i="52"/>
  <c r="M4602" i="52"/>
  <c r="L4602" i="52"/>
  <c r="I4602" i="52"/>
  <c r="A4602" i="52"/>
  <c r="F4594" i="52"/>
  <c r="E4594" i="52"/>
  <c r="D4594" i="52"/>
  <c r="C4594" i="52"/>
  <c r="A4594" i="52"/>
  <c r="D4586" i="52"/>
  <c r="C4586" i="52"/>
  <c r="A4586" i="52"/>
  <c r="D4585" i="52"/>
  <c r="I4585" i="52" s="1"/>
  <c r="C4585" i="52"/>
  <c r="A4585" i="52"/>
  <c r="I4573" i="52"/>
  <c r="A4573" i="52"/>
  <c r="A4572" i="52"/>
  <c r="G4568" i="52"/>
  <c r="F4568" i="52"/>
  <c r="C4568" i="52"/>
  <c r="A4568" i="52"/>
  <c r="M4565" i="52"/>
  <c r="L4565" i="52"/>
  <c r="I4565" i="52"/>
  <c r="A4565" i="52"/>
  <c r="I4539" i="52"/>
  <c r="A4539" i="52"/>
  <c r="I4538" i="52"/>
  <c r="A4538" i="52"/>
  <c r="M4532" i="52"/>
  <c r="L4532" i="52"/>
  <c r="I4532" i="52"/>
  <c r="A4532" i="52"/>
  <c r="I4506" i="52"/>
  <c r="A4506" i="52"/>
  <c r="I4505" i="52"/>
  <c r="A4505" i="52"/>
  <c r="M4499" i="52"/>
  <c r="L4499" i="52"/>
  <c r="I4499" i="52"/>
  <c r="A4499" i="52"/>
  <c r="D4484" i="52"/>
  <c r="C4484" i="52"/>
  <c r="A4484" i="52"/>
  <c r="D4483" i="52"/>
  <c r="I4483" i="52" s="1"/>
  <c r="C4483" i="52"/>
  <c r="A4483" i="52"/>
  <c r="I4467" i="52"/>
  <c r="A4467" i="52"/>
  <c r="M4466" i="52"/>
  <c r="L4466" i="52"/>
  <c r="I4441" i="52"/>
  <c r="A4441" i="52"/>
  <c r="I4440" i="52"/>
  <c r="A4440" i="52"/>
  <c r="I4434" i="52"/>
  <c r="A4434" i="52"/>
  <c r="M4433" i="52"/>
  <c r="L4433" i="52"/>
  <c r="I4408" i="52"/>
  <c r="A4408" i="52"/>
  <c r="I4407" i="52"/>
  <c r="A4407" i="52"/>
  <c r="I4401" i="52"/>
  <c r="A4401" i="52"/>
  <c r="M4400" i="52"/>
  <c r="L4400" i="52"/>
  <c r="I4375" i="52"/>
  <c r="A4375" i="52"/>
  <c r="A4374" i="52"/>
  <c r="I4368" i="52"/>
  <c r="A4368" i="52"/>
  <c r="M4367" i="52"/>
  <c r="L4367" i="52"/>
  <c r="D4353" i="52"/>
  <c r="C4353" i="52"/>
  <c r="A4353" i="52"/>
  <c r="D4352" i="52"/>
  <c r="I4352" i="52" s="1"/>
  <c r="C4352" i="52"/>
  <c r="A4352" i="52"/>
  <c r="I4340" i="52"/>
  <c r="A4340" i="52"/>
  <c r="I4339" i="52"/>
  <c r="A4339" i="52"/>
  <c r="A4333" i="52"/>
  <c r="F4325" i="52"/>
  <c r="E4325" i="52"/>
  <c r="D4325" i="52"/>
  <c r="C4325" i="52"/>
  <c r="A4325" i="52"/>
  <c r="F4324" i="52"/>
  <c r="E4324" i="52"/>
  <c r="D4324" i="52"/>
  <c r="C4324" i="52"/>
  <c r="A4324" i="52"/>
  <c r="F4323" i="52"/>
  <c r="E4323" i="52"/>
  <c r="D4323" i="52"/>
  <c r="C4323" i="52"/>
  <c r="A4323" i="52"/>
  <c r="D4316" i="52"/>
  <c r="I4316" i="52" s="1"/>
  <c r="C4316" i="52"/>
  <c r="A4316" i="52"/>
  <c r="D4315" i="52"/>
  <c r="I4315" i="52" s="1"/>
  <c r="C4315" i="52"/>
  <c r="A4315" i="52"/>
  <c r="D4314" i="52"/>
  <c r="I4314" i="52" s="1"/>
  <c r="C4314" i="52"/>
  <c r="A4314" i="52"/>
  <c r="D4313" i="52"/>
  <c r="I4313" i="52" s="1"/>
  <c r="C4313" i="52"/>
  <c r="A4313" i="52"/>
  <c r="A4301" i="52"/>
  <c r="I4300" i="52"/>
  <c r="A4300" i="52"/>
  <c r="G4296" i="52"/>
  <c r="F4296" i="52"/>
  <c r="I4296" i="52" s="1"/>
  <c r="I4297" i="52" s="1"/>
  <c r="C4296" i="52"/>
  <c r="A4296" i="52"/>
  <c r="M4293" i="52"/>
  <c r="L4293" i="52"/>
  <c r="I4293" i="52"/>
  <c r="A4293" i="52"/>
  <c r="F4285" i="52"/>
  <c r="E4285" i="52"/>
  <c r="D4285" i="52"/>
  <c r="C4285" i="52"/>
  <c r="A4285" i="52"/>
  <c r="F4284" i="52"/>
  <c r="E4284" i="52"/>
  <c r="D4284" i="52"/>
  <c r="C4284" i="52"/>
  <c r="A4284" i="52"/>
  <c r="D4276" i="52"/>
  <c r="I4276" i="52" s="1"/>
  <c r="C4276" i="52"/>
  <c r="A4276" i="52"/>
  <c r="D4275" i="52"/>
  <c r="I4275" i="52" s="1"/>
  <c r="C4275" i="52"/>
  <c r="A4275" i="52"/>
  <c r="D4274" i="52"/>
  <c r="I4274" i="52" s="1"/>
  <c r="C4274" i="52"/>
  <c r="A4274" i="52"/>
  <c r="A4262" i="52"/>
  <c r="I4261" i="52"/>
  <c r="A4261" i="52"/>
  <c r="G4257" i="52"/>
  <c r="I4257" i="52" s="1"/>
  <c r="I4258" i="52" s="1"/>
  <c r="F4257" i="52"/>
  <c r="C4257" i="52"/>
  <c r="A4257" i="52"/>
  <c r="I4254" i="52"/>
  <c r="A4254" i="52"/>
  <c r="M4253" i="52"/>
  <c r="L4253" i="52"/>
  <c r="F4246" i="52"/>
  <c r="E4246" i="52"/>
  <c r="D4246" i="52"/>
  <c r="C4246" i="52"/>
  <c r="A4246" i="52"/>
  <c r="F4245" i="52"/>
  <c r="E4245" i="52"/>
  <c r="G4245" i="52" s="1"/>
  <c r="D4245" i="52"/>
  <c r="C4245" i="52"/>
  <c r="A4245" i="52"/>
  <c r="F4244" i="52"/>
  <c r="E4244" i="52"/>
  <c r="G4244" i="52" s="1"/>
  <c r="I4244" i="52" s="1"/>
  <c r="D4244" i="52"/>
  <c r="C4244" i="52"/>
  <c r="A4244" i="52"/>
  <c r="D4236" i="52"/>
  <c r="I4236" i="52" s="1"/>
  <c r="C4236" i="52"/>
  <c r="A4236" i="52"/>
  <c r="D4235" i="52"/>
  <c r="I4235" i="52" s="1"/>
  <c r="C4235" i="52"/>
  <c r="A4235" i="52"/>
  <c r="D4234" i="52"/>
  <c r="I4234" i="52" s="1"/>
  <c r="C4234" i="52"/>
  <c r="A4234" i="52"/>
  <c r="I4222" i="52"/>
  <c r="A4222" i="52"/>
  <c r="I4221" i="52"/>
  <c r="A4221" i="52"/>
  <c r="I4220" i="52"/>
  <c r="A4220" i="52"/>
  <c r="G4216" i="52"/>
  <c r="F4216" i="52"/>
  <c r="I4216" i="52" s="1"/>
  <c r="C4216" i="52"/>
  <c r="A4216" i="52"/>
  <c r="G4215" i="52"/>
  <c r="F4215" i="52"/>
  <c r="I4215" i="52" s="1"/>
  <c r="C4215" i="52"/>
  <c r="A4215" i="52"/>
  <c r="G4214" i="52"/>
  <c r="F4214" i="52"/>
  <c r="C4214" i="52"/>
  <c r="A4214" i="52"/>
  <c r="I4211" i="52"/>
  <c r="A4211" i="52"/>
  <c r="M4210" i="52"/>
  <c r="L4210" i="52"/>
  <c r="F4203" i="52"/>
  <c r="E4203" i="52"/>
  <c r="D4203" i="52"/>
  <c r="C4203" i="52"/>
  <c r="A4203" i="52"/>
  <c r="D4195" i="52"/>
  <c r="I4195" i="52" s="1"/>
  <c r="I4196" i="52" s="1"/>
  <c r="C4195" i="52"/>
  <c r="A4195" i="52"/>
  <c r="G4179" i="52"/>
  <c r="F4179" i="52"/>
  <c r="I4179" i="52" s="1"/>
  <c r="C4179" i="52"/>
  <c r="A4179" i="52"/>
  <c r="G4178" i="52"/>
  <c r="F4178" i="52"/>
  <c r="C4178" i="52"/>
  <c r="A4178" i="52"/>
  <c r="G4177" i="52"/>
  <c r="F4177" i="52"/>
  <c r="C4177" i="52"/>
  <c r="A4177" i="52"/>
  <c r="I4174" i="52"/>
  <c r="A4174" i="52"/>
  <c r="M4173" i="52"/>
  <c r="L4173" i="52"/>
  <c r="I4146" i="52"/>
  <c r="A4146" i="52"/>
  <c r="I4145" i="52"/>
  <c r="A4145" i="52"/>
  <c r="G4141" i="52"/>
  <c r="F4141" i="52"/>
  <c r="I4141" i="52" s="1"/>
  <c r="I4142" i="52" s="1"/>
  <c r="C4141" i="52"/>
  <c r="A4141" i="52"/>
  <c r="I4138" i="52"/>
  <c r="A4138" i="52"/>
  <c r="M4137" i="52"/>
  <c r="L4137" i="52"/>
  <c r="I4110" i="52"/>
  <c r="A4110" i="52"/>
  <c r="I4109" i="52"/>
  <c r="A4109" i="52"/>
  <c r="G4105" i="52"/>
  <c r="F4105" i="52"/>
  <c r="I4105" i="52" s="1"/>
  <c r="I4106" i="52" s="1"/>
  <c r="C4105" i="52"/>
  <c r="A4105" i="52"/>
  <c r="I4102" i="52"/>
  <c r="A4102" i="52"/>
  <c r="M4101" i="52"/>
  <c r="L4101" i="52"/>
  <c r="I4074" i="52"/>
  <c r="A4074" i="52"/>
  <c r="I4073" i="52"/>
  <c r="A4073" i="52"/>
  <c r="G4069" i="52"/>
  <c r="F4069" i="52"/>
  <c r="C4069" i="52"/>
  <c r="A4069" i="52"/>
  <c r="I4066" i="52"/>
  <c r="A4066" i="52"/>
  <c r="M4065" i="52"/>
  <c r="L4065" i="52"/>
  <c r="F4058" i="52"/>
  <c r="E4058" i="52"/>
  <c r="D4058" i="52"/>
  <c r="C4058" i="52"/>
  <c r="A4058" i="52"/>
  <c r="F4057" i="52"/>
  <c r="E4057" i="52"/>
  <c r="D4057" i="52"/>
  <c r="C4057" i="52"/>
  <c r="A4057" i="52"/>
  <c r="F4056" i="52"/>
  <c r="E4056" i="52"/>
  <c r="D4056" i="52"/>
  <c r="C4056" i="52"/>
  <c r="A4056" i="52"/>
  <c r="D4048" i="52"/>
  <c r="I4048" i="52" s="1"/>
  <c r="C4048" i="52"/>
  <c r="A4048" i="52"/>
  <c r="D4047" i="52"/>
  <c r="I4047" i="52" s="1"/>
  <c r="C4047" i="52"/>
  <c r="A4047" i="52"/>
  <c r="D4046" i="52"/>
  <c r="I4046" i="52" s="1"/>
  <c r="C4046" i="52"/>
  <c r="A4046" i="52"/>
  <c r="I4034" i="52"/>
  <c r="A4034" i="52"/>
  <c r="I4033" i="52"/>
  <c r="A4033" i="52"/>
  <c r="A4032" i="52"/>
  <c r="G4028" i="52"/>
  <c r="F4028" i="52"/>
  <c r="I4028" i="52" s="1"/>
  <c r="C4028" i="52"/>
  <c r="A4028" i="52"/>
  <c r="G4027" i="52"/>
  <c r="F4027" i="52"/>
  <c r="C4027" i="52"/>
  <c r="A4027" i="52"/>
  <c r="G4026" i="52"/>
  <c r="F4026" i="52"/>
  <c r="C4026" i="52"/>
  <c r="A4026" i="52"/>
  <c r="I4023" i="52"/>
  <c r="A4023" i="52"/>
  <c r="M4022" i="52"/>
  <c r="L4022" i="52"/>
  <c r="F4015" i="52"/>
  <c r="E4015" i="52"/>
  <c r="D4015" i="52"/>
  <c r="C4015" i="52"/>
  <c r="A4015" i="52"/>
  <c r="C4011" i="52"/>
  <c r="A4011" i="52"/>
  <c r="D4007" i="52"/>
  <c r="I4007" i="52" s="1"/>
  <c r="I4008" i="52" s="1"/>
  <c r="C4007" i="52"/>
  <c r="A4007" i="52"/>
  <c r="I3995" i="52"/>
  <c r="A3995" i="52"/>
  <c r="A3994" i="52"/>
  <c r="I3987" i="52"/>
  <c r="A3987" i="52"/>
  <c r="M3986" i="52"/>
  <c r="L3986" i="52"/>
  <c r="F3979" i="52"/>
  <c r="E3979" i="52"/>
  <c r="D3979" i="52"/>
  <c r="C3979" i="52"/>
  <c r="A3979" i="52"/>
  <c r="F3978" i="52"/>
  <c r="E3978" i="52"/>
  <c r="D3978" i="52"/>
  <c r="C3978" i="52"/>
  <c r="A3978" i="52"/>
  <c r="F3977" i="52"/>
  <c r="E3977" i="52"/>
  <c r="D3977" i="52"/>
  <c r="C3977" i="52"/>
  <c r="A3977" i="52"/>
  <c r="D3969" i="52"/>
  <c r="I3969" i="52" s="1"/>
  <c r="C3969" i="52"/>
  <c r="A3969" i="52"/>
  <c r="D3968" i="52"/>
  <c r="C3968" i="52"/>
  <c r="A3968" i="52"/>
  <c r="D3967" i="52"/>
  <c r="I3967" i="52" s="1"/>
  <c r="C3967" i="52"/>
  <c r="A3967" i="52"/>
  <c r="D3966" i="52"/>
  <c r="I3966" i="52" s="1"/>
  <c r="C3966" i="52"/>
  <c r="A3966" i="52"/>
  <c r="I3954" i="52"/>
  <c r="A3954" i="52"/>
  <c r="I3953" i="52"/>
  <c r="A3953" i="52"/>
  <c r="G3949" i="52"/>
  <c r="F3949" i="52"/>
  <c r="C3949" i="52"/>
  <c r="A3949" i="52"/>
  <c r="I3946" i="52"/>
  <c r="A3946" i="52"/>
  <c r="M3945" i="52"/>
  <c r="L3945" i="52"/>
  <c r="F3938" i="52"/>
  <c r="E3938" i="52"/>
  <c r="D3938" i="52"/>
  <c r="C3938" i="52"/>
  <c r="A3938" i="52"/>
  <c r="F3937" i="52"/>
  <c r="E3937" i="52"/>
  <c r="D3937" i="52"/>
  <c r="C3937" i="52"/>
  <c r="A3937" i="52"/>
  <c r="D3929" i="52"/>
  <c r="I3929" i="52" s="1"/>
  <c r="C3929" i="52"/>
  <c r="A3929" i="52"/>
  <c r="D3928" i="52"/>
  <c r="I3928" i="52" s="1"/>
  <c r="C3928" i="52"/>
  <c r="A3928" i="52"/>
  <c r="A3916" i="52"/>
  <c r="I3915" i="52"/>
  <c r="A3915" i="52"/>
  <c r="G3911" i="52"/>
  <c r="F3911" i="52"/>
  <c r="I3911" i="52" s="1"/>
  <c r="I3912" i="52" s="1"/>
  <c r="C3911" i="52"/>
  <c r="A3911" i="52"/>
  <c r="I3908" i="52"/>
  <c r="A3908" i="52"/>
  <c r="M3907" i="52"/>
  <c r="L3907" i="52"/>
  <c r="F3900" i="52"/>
  <c r="E3900" i="52"/>
  <c r="D3900" i="52"/>
  <c r="C3900" i="52"/>
  <c r="A3900" i="52"/>
  <c r="F3899" i="52"/>
  <c r="E3899" i="52"/>
  <c r="D3899" i="52"/>
  <c r="C3899" i="52"/>
  <c r="A3899" i="52"/>
  <c r="F3898" i="52"/>
  <c r="E3898" i="52"/>
  <c r="D3898" i="52"/>
  <c r="C3898" i="52"/>
  <c r="A3898" i="52"/>
  <c r="D3890" i="52"/>
  <c r="I3890" i="52" s="1"/>
  <c r="C3890" i="52"/>
  <c r="A3890" i="52"/>
  <c r="D3889" i="52"/>
  <c r="I3889" i="52" s="1"/>
  <c r="C3889" i="52"/>
  <c r="A3889" i="52"/>
  <c r="D3888" i="52"/>
  <c r="I3888" i="52" s="1"/>
  <c r="C3888" i="52"/>
  <c r="A3888" i="52"/>
  <c r="D3887" i="52"/>
  <c r="I3887" i="52" s="1"/>
  <c r="C3887" i="52"/>
  <c r="A3887" i="52"/>
  <c r="I3875" i="52"/>
  <c r="A3875" i="52"/>
  <c r="I3874" i="52"/>
  <c r="A3874" i="52"/>
  <c r="G3870" i="52"/>
  <c r="F3870" i="52"/>
  <c r="C3870" i="52"/>
  <c r="A3870" i="52"/>
  <c r="I3867" i="52"/>
  <c r="A3867" i="52"/>
  <c r="M3866" i="52"/>
  <c r="L3866" i="52"/>
  <c r="D3851" i="52"/>
  <c r="I3851" i="52" s="1"/>
  <c r="C3851" i="52"/>
  <c r="A3851" i="52"/>
  <c r="D3850" i="52"/>
  <c r="I3850" i="52" s="1"/>
  <c r="C3850" i="52"/>
  <c r="A3850" i="52"/>
  <c r="D3849" i="52"/>
  <c r="I3849" i="52" s="1"/>
  <c r="C3849" i="52"/>
  <c r="A3849" i="52"/>
  <c r="D3848" i="52"/>
  <c r="I3848" i="52" s="1"/>
  <c r="C3848" i="52"/>
  <c r="A3848" i="52"/>
  <c r="D3847" i="52"/>
  <c r="I3847" i="52" s="1"/>
  <c r="C3847" i="52"/>
  <c r="A3847" i="52"/>
  <c r="D3846" i="52"/>
  <c r="I3846" i="52" s="1"/>
  <c r="C3846" i="52"/>
  <c r="A3846" i="52"/>
  <c r="D3845" i="52"/>
  <c r="I3845" i="52" s="1"/>
  <c r="C3845" i="52"/>
  <c r="A3845" i="52"/>
  <c r="I3833" i="52"/>
  <c r="A3833" i="52"/>
  <c r="I3832" i="52"/>
  <c r="A3832" i="52"/>
  <c r="I3831" i="52"/>
  <c r="A3831" i="52"/>
  <c r="I3830" i="52"/>
  <c r="A3830" i="52"/>
  <c r="G3826" i="52"/>
  <c r="F3826" i="52"/>
  <c r="C3826" i="52"/>
  <c r="A3826" i="52"/>
  <c r="G3825" i="52"/>
  <c r="F3825" i="52"/>
  <c r="C3825" i="52"/>
  <c r="A3825" i="52"/>
  <c r="G3823" i="52"/>
  <c r="F3823" i="52"/>
  <c r="C3823" i="52"/>
  <c r="A3823" i="52"/>
  <c r="G3822" i="52"/>
  <c r="F3822" i="52"/>
  <c r="C3822" i="52"/>
  <c r="A3822" i="52"/>
  <c r="I3819" i="52"/>
  <c r="A3819" i="52"/>
  <c r="M3818" i="52"/>
  <c r="L3818" i="52"/>
  <c r="I3793" i="52"/>
  <c r="I3794" i="52" s="1"/>
  <c r="A3793" i="52"/>
  <c r="G3789" i="52"/>
  <c r="I3789" i="52" s="1"/>
  <c r="F3789" i="52"/>
  <c r="C3789" i="52"/>
  <c r="A3789" i="52"/>
  <c r="G3788" i="52"/>
  <c r="F3788" i="52"/>
  <c r="C3788" i="52"/>
  <c r="A3788" i="52"/>
  <c r="I3785" i="52"/>
  <c r="A3785" i="52"/>
  <c r="M3784" i="52"/>
  <c r="L3784" i="52"/>
  <c r="I3757" i="52"/>
  <c r="A3757" i="52"/>
  <c r="I3756" i="52"/>
  <c r="A3756" i="52"/>
  <c r="G3752" i="52"/>
  <c r="F3752" i="52"/>
  <c r="C3752" i="52"/>
  <c r="A3752" i="52"/>
  <c r="G3751" i="52"/>
  <c r="F3751" i="52"/>
  <c r="C3751" i="52"/>
  <c r="A3751" i="52"/>
  <c r="M3748" i="52"/>
  <c r="L3748" i="52"/>
  <c r="I3748" i="52"/>
  <c r="A3748" i="52"/>
  <c r="I3720" i="52"/>
  <c r="A3720" i="52"/>
  <c r="I3719" i="52"/>
  <c r="A3719" i="52"/>
  <c r="G3715" i="52"/>
  <c r="F3715" i="52"/>
  <c r="C3715" i="52"/>
  <c r="A3715" i="52"/>
  <c r="I3712" i="52"/>
  <c r="A3712" i="52"/>
  <c r="M3711" i="52"/>
  <c r="L3711" i="52"/>
  <c r="D3696" i="52"/>
  <c r="I3696" i="52" s="1"/>
  <c r="I3697" i="52" s="1"/>
  <c r="C3696" i="52"/>
  <c r="A3696" i="52"/>
  <c r="G3680" i="52"/>
  <c r="F3680" i="52"/>
  <c r="C3680" i="52"/>
  <c r="A3680" i="52"/>
  <c r="I3677" i="52"/>
  <c r="A3677" i="52"/>
  <c r="M3676" i="52"/>
  <c r="L3676" i="52"/>
  <c r="D3661" i="52"/>
  <c r="I3661" i="52" s="1"/>
  <c r="I3662" i="52" s="1"/>
  <c r="C3661" i="52"/>
  <c r="A3661" i="52"/>
  <c r="G3645" i="52"/>
  <c r="F3645" i="52"/>
  <c r="C3645" i="52"/>
  <c r="A3645" i="52"/>
  <c r="I3642" i="52"/>
  <c r="A3642" i="52"/>
  <c r="M3641" i="52"/>
  <c r="L3641" i="52"/>
  <c r="D3626" i="52"/>
  <c r="I3626" i="52" s="1"/>
  <c r="I3627" i="52" s="1"/>
  <c r="C3626" i="52"/>
  <c r="A3626" i="52"/>
  <c r="G3610" i="52"/>
  <c r="F3610" i="52"/>
  <c r="C3610" i="52"/>
  <c r="A3610" i="52"/>
  <c r="I3607" i="52"/>
  <c r="A3607" i="52"/>
  <c r="M3606" i="52"/>
  <c r="L3606" i="52"/>
  <c r="D3591" i="52"/>
  <c r="I3591" i="52" s="1"/>
  <c r="I3592" i="52" s="1"/>
  <c r="C3591" i="52"/>
  <c r="A3591" i="52"/>
  <c r="G3575" i="52"/>
  <c r="I3575" i="52" s="1"/>
  <c r="I3576" i="52" s="1"/>
  <c r="F3575" i="52"/>
  <c r="C3575" i="52"/>
  <c r="A3575" i="52"/>
  <c r="I3572" i="52"/>
  <c r="A3572" i="52"/>
  <c r="M3571" i="52"/>
  <c r="L3571" i="52"/>
  <c r="F3564" i="52"/>
  <c r="E3564" i="52"/>
  <c r="D3564" i="52"/>
  <c r="C3564" i="52"/>
  <c r="A3564" i="52"/>
  <c r="F3563" i="52"/>
  <c r="E3563" i="52"/>
  <c r="D3563" i="52"/>
  <c r="C3563" i="52"/>
  <c r="A3563" i="52"/>
  <c r="F3562" i="52"/>
  <c r="E3562" i="52"/>
  <c r="D3562" i="52"/>
  <c r="C3562" i="52"/>
  <c r="A3562" i="52"/>
  <c r="D3554" i="52"/>
  <c r="I3554" i="52" s="1"/>
  <c r="C3554" i="52"/>
  <c r="A3554" i="52"/>
  <c r="D3553" i="52"/>
  <c r="I3553" i="52" s="1"/>
  <c r="C3553" i="52"/>
  <c r="A3553" i="52"/>
  <c r="D3552" i="52"/>
  <c r="I3552" i="52" s="1"/>
  <c r="C3552" i="52"/>
  <c r="A3552" i="52"/>
  <c r="I3540" i="52"/>
  <c r="A3540" i="52"/>
  <c r="I3539" i="52"/>
  <c r="A3539" i="52"/>
  <c r="I3538" i="52"/>
  <c r="A3538" i="52"/>
  <c r="G3534" i="52"/>
  <c r="F3534" i="52"/>
  <c r="C3534" i="52"/>
  <c r="A3534" i="52"/>
  <c r="G3533" i="52"/>
  <c r="F3533" i="52"/>
  <c r="C3533" i="52"/>
  <c r="A3533" i="52"/>
  <c r="G3532" i="52"/>
  <c r="F3532" i="52"/>
  <c r="C3532" i="52"/>
  <c r="A3532" i="52"/>
  <c r="I3529" i="52"/>
  <c r="A3529" i="52"/>
  <c r="M3528" i="52"/>
  <c r="L3528" i="52"/>
  <c r="F3520" i="52"/>
  <c r="E3520" i="52"/>
  <c r="D3520" i="52"/>
  <c r="C3520" i="52"/>
  <c r="A3520" i="52"/>
  <c r="F3519" i="52"/>
  <c r="E3519" i="52"/>
  <c r="D3519" i="52"/>
  <c r="C3519" i="52"/>
  <c r="A3519" i="52"/>
  <c r="F3518" i="52"/>
  <c r="E3518" i="52"/>
  <c r="D3518" i="52"/>
  <c r="C3518" i="52"/>
  <c r="A3518" i="52"/>
  <c r="D3510" i="52"/>
  <c r="I3510" i="52" s="1"/>
  <c r="C3510" i="52"/>
  <c r="A3510" i="52"/>
  <c r="D3509" i="52"/>
  <c r="I3509" i="52" s="1"/>
  <c r="C3509" i="52"/>
  <c r="A3509" i="52"/>
  <c r="D3508" i="52"/>
  <c r="I3508" i="52" s="1"/>
  <c r="C3508" i="52"/>
  <c r="A3508" i="52"/>
  <c r="D3507" i="52"/>
  <c r="I3507" i="52" s="1"/>
  <c r="C3507" i="52"/>
  <c r="A3507" i="52"/>
  <c r="I3495" i="52"/>
  <c r="A3495" i="52"/>
  <c r="I3494" i="52"/>
  <c r="A3494" i="52"/>
  <c r="G3490" i="52"/>
  <c r="F3490" i="52"/>
  <c r="C3490" i="52"/>
  <c r="A3490" i="52"/>
  <c r="I3487" i="52"/>
  <c r="A3487" i="52"/>
  <c r="M3486" i="52"/>
  <c r="L3486" i="52"/>
  <c r="F3479" i="52"/>
  <c r="E3479" i="52"/>
  <c r="D3479" i="52"/>
  <c r="C3479" i="52"/>
  <c r="A3479" i="52"/>
  <c r="F3478" i="52"/>
  <c r="E3478" i="52"/>
  <c r="D3478" i="52"/>
  <c r="C3478" i="52"/>
  <c r="A3478" i="52"/>
  <c r="F3477" i="52"/>
  <c r="E3477" i="52"/>
  <c r="D3477" i="52"/>
  <c r="C3477" i="52"/>
  <c r="A3477" i="52"/>
  <c r="F3476" i="52"/>
  <c r="E3476" i="52"/>
  <c r="D3476" i="52"/>
  <c r="C3476" i="52"/>
  <c r="A3476" i="52"/>
  <c r="D3468" i="52"/>
  <c r="I3468" i="52" s="1"/>
  <c r="C3468" i="52"/>
  <c r="A3468" i="52"/>
  <c r="D3467" i="52"/>
  <c r="I3467" i="52" s="1"/>
  <c r="C3467" i="52"/>
  <c r="A3467" i="52"/>
  <c r="D3466" i="52"/>
  <c r="I3466" i="52" s="1"/>
  <c r="C3466" i="52"/>
  <c r="A3466" i="52"/>
  <c r="D3465" i="52"/>
  <c r="I3465" i="52" s="1"/>
  <c r="C3465" i="52"/>
  <c r="A3465" i="52"/>
  <c r="D3464" i="52"/>
  <c r="I3464" i="52" s="1"/>
  <c r="C3464" i="52"/>
  <c r="A3464" i="52"/>
  <c r="I3452" i="52"/>
  <c r="A3452" i="52"/>
  <c r="I3451" i="52"/>
  <c r="A3451" i="52"/>
  <c r="I3450" i="52"/>
  <c r="A3450" i="52"/>
  <c r="G3446" i="52"/>
  <c r="F3446" i="52"/>
  <c r="I3446" i="52" s="1"/>
  <c r="C3446" i="52"/>
  <c r="A3446" i="52"/>
  <c r="G3445" i="52"/>
  <c r="F3445" i="52"/>
  <c r="C3445" i="52"/>
  <c r="A3445" i="52"/>
  <c r="G3444" i="52"/>
  <c r="F3444" i="52"/>
  <c r="C3444" i="52"/>
  <c r="A3444" i="52"/>
  <c r="I3441" i="52"/>
  <c r="A3441" i="52"/>
  <c r="M3440" i="52"/>
  <c r="L3440" i="52"/>
  <c r="D3425" i="52"/>
  <c r="I3425" i="52" s="1"/>
  <c r="C3425" i="52"/>
  <c r="A3425" i="52"/>
  <c r="D3424" i="52"/>
  <c r="I3424" i="52" s="1"/>
  <c r="C3424" i="52"/>
  <c r="A3424" i="52"/>
  <c r="I3412" i="52"/>
  <c r="A3412" i="52"/>
  <c r="I3411" i="52"/>
  <c r="A3411" i="52"/>
  <c r="I3404" i="52"/>
  <c r="A3404" i="52"/>
  <c r="M3403" i="52"/>
  <c r="L3403" i="52"/>
  <c r="F3396" i="52"/>
  <c r="E3396" i="52"/>
  <c r="D3396" i="52"/>
  <c r="C3396" i="52"/>
  <c r="A3396" i="52"/>
  <c r="D3388" i="52"/>
  <c r="I3388" i="52" s="1"/>
  <c r="C3388" i="52"/>
  <c r="A3388" i="52"/>
  <c r="D3387" i="52"/>
  <c r="I3387" i="52" s="1"/>
  <c r="C3387" i="52"/>
  <c r="A3387" i="52"/>
  <c r="I3375" i="52"/>
  <c r="I3376" i="52" s="1"/>
  <c r="I3379" i="52" s="1"/>
  <c r="I3380" i="52" s="1"/>
  <c r="A3375" i="52"/>
  <c r="I3368" i="52"/>
  <c r="A3368" i="52"/>
  <c r="M3367" i="52"/>
  <c r="L3367" i="52"/>
  <c r="D3352" i="52"/>
  <c r="I3352" i="52" s="1"/>
  <c r="C3352" i="52"/>
  <c r="A3352" i="52"/>
  <c r="D3351" i="52"/>
  <c r="I3351" i="52" s="1"/>
  <c r="C3351" i="52"/>
  <c r="A3351" i="52"/>
  <c r="I3339" i="52"/>
  <c r="A3339" i="52"/>
  <c r="I3338" i="52"/>
  <c r="A3338" i="52"/>
  <c r="I3331" i="52"/>
  <c r="A3331" i="52"/>
  <c r="M3330" i="52"/>
  <c r="L3330" i="52"/>
  <c r="I3295" i="52"/>
  <c r="A3295" i="52"/>
  <c r="M3294" i="52"/>
  <c r="L3294" i="52"/>
  <c r="I3260" i="52"/>
  <c r="A3260" i="52"/>
  <c r="M3259" i="52"/>
  <c r="L3259" i="52"/>
  <c r="I3225" i="52"/>
  <c r="A3225" i="52"/>
  <c r="M3224" i="52"/>
  <c r="L3224" i="52"/>
  <c r="C3212" i="52"/>
  <c r="A3212" i="52"/>
  <c r="C3211" i="52"/>
  <c r="A3211" i="52"/>
  <c r="C3210" i="52"/>
  <c r="A3210" i="52"/>
  <c r="C3209" i="52"/>
  <c r="A3209" i="52"/>
  <c r="C3208" i="52"/>
  <c r="A3208" i="52"/>
  <c r="C3207" i="52"/>
  <c r="A3207" i="52"/>
  <c r="D3203" i="52"/>
  <c r="I3203" i="52" s="1"/>
  <c r="I3204" i="52" s="1"/>
  <c r="C3203" i="52"/>
  <c r="A3203" i="52"/>
  <c r="I3184" i="52"/>
  <c r="A3184" i="52"/>
  <c r="M3183" i="52"/>
  <c r="L3183" i="52"/>
  <c r="F3175" i="52"/>
  <c r="E3175" i="52"/>
  <c r="D3175" i="52"/>
  <c r="C3175" i="52"/>
  <c r="F3174" i="52"/>
  <c r="E3174" i="52"/>
  <c r="D3174" i="52"/>
  <c r="C3174" i="52"/>
  <c r="F3173" i="52"/>
  <c r="E3173" i="52"/>
  <c r="D3173" i="52"/>
  <c r="C3173" i="52"/>
  <c r="A3173" i="52"/>
  <c r="C3169" i="52"/>
  <c r="A3169" i="52"/>
  <c r="D3165" i="52"/>
  <c r="I3165" i="52" s="1"/>
  <c r="C3165" i="52"/>
  <c r="A3165" i="52"/>
  <c r="D3164" i="52"/>
  <c r="I3164" i="52" s="1"/>
  <c r="C3164" i="52"/>
  <c r="A3164" i="52"/>
  <c r="D3163" i="52"/>
  <c r="I3163" i="52" s="1"/>
  <c r="C3163" i="52"/>
  <c r="A3163" i="52"/>
  <c r="I3151" i="52"/>
  <c r="A3151" i="52"/>
  <c r="I3150" i="52"/>
  <c r="A3150" i="52"/>
  <c r="I3143" i="52"/>
  <c r="A3143" i="52"/>
  <c r="M3142" i="52"/>
  <c r="L3142" i="52"/>
  <c r="F3135" i="52"/>
  <c r="E3135" i="52"/>
  <c r="D3135" i="52"/>
  <c r="C3135" i="52"/>
  <c r="A3135" i="52"/>
  <c r="C3131" i="52"/>
  <c r="A3131" i="52"/>
  <c r="C3130" i="52"/>
  <c r="A3130" i="52"/>
  <c r="D3126" i="52"/>
  <c r="I3126" i="52" s="1"/>
  <c r="C3126" i="52"/>
  <c r="A3126" i="52"/>
  <c r="D3125" i="52"/>
  <c r="I3125" i="52" s="1"/>
  <c r="C3125" i="52"/>
  <c r="A3125" i="52"/>
  <c r="I3113" i="52"/>
  <c r="A3113" i="52"/>
  <c r="I3112" i="52"/>
  <c r="A3112" i="52"/>
  <c r="M3105" i="52"/>
  <c r="L3105" i="52"/>
  <c r="I3105" i="52"/>
  <c r="A3105" i="52"/>
  <c r="F3097" i="52"/>
  <c r="E3097" i="52"/>
  <c r="D3097" i="52"/>
  <c r="C3097" i="52"/>
  <c r="A3097" i="52"/>
  <c r="D3089" i="52"/>
  <c r="I3089" i="52" s="1"/>
  <c r="I3090" i="52" s="1"/>
  <c r="C3089" i="52"/>
  <c r="A3089" i="52"/>
  <c r="I3077" i="52"/>
  <c r="A3077" i="52"/>
  <c r="I3076" i="52"/>
  <c r="A3076" i="52"/>
  <c r="G3072" i="52"/>
  <c r="F3072" i="52"/>
  <c r="C3072" i="52"/>
  <c r="A3072" i="52"/>
  <c r="I3069" i="52"/>
  <c r="A3069" i="52"/>
  <c r="M3068" i="52"/>
  <c r="L3068" i="52"/>
  <c r="I3034" i="52"/>
  <c r="A3034" i="52"/>
  <c r="M3033" i="52"/>
  <c r="L3033" i="52"/>
  <c r="I2999" i="52"/>
  <c r="A2999" i="52"/>
  <c r="M2998" i="52"/>
  <c r="L2998" i="52"/>
  <c r="I2964" i="52"/>
  <c r="A2964" i="52"/>
  <c r="M2963" i="52"/>
  <c r="L2963" i="52"/>
  <c r="I2929" i="52"/>
  <c r="A2929" i="52"/>
  <c r="M2928" i="52"/>
  <c r="L2928" i="52"/>
  <c r="I2894" i="52"/>
  <c r="A2894" i="52"/>
  <c r="M2893" i="52"/>
  <c r="L2893" i="52"/>
  <c r="I2866" i="52"/>
  <c r="I2867" i="52" s="1"/>
  <c r="I2870" i="52" s="1"/>
  <c r="I2871" i="52" s="1"/>
  <c r="A2866" i="52"/>
  <c r="G2862" i="52"/>
  <c r="F2862" i="52"/>
  <c r="C2862" i="52"/>
  <c r="A2862" i="52"/>
  <c r="I2859" i="52"/>
  <c r="A2859" i="52"/>
  <c r="M2858" i="52"/>
  <c r="L2858" i="52"/>
  <c r="I2831" i="52"/>
  <c r="A2831" i="52"/>
  <c r="I2830" i="52"/>
  <c r="A2830" i="52"/>
  <c r="G2826" i="52"/>
  <c r="F2826" i="52"/>
  <c r="C2826" i="52"/>
  <c r="A2826" i="52"/>
  <c r="I2823" i="52"/>
  <c r="A2823" i="52"/>
  <c r="M2822" i="52"/>
  <c r="L2822" i="52"/>
  <c r="I2795" i="52"/>
  <c r="A2795" i="52"/>
  <c r="A2794" i="52"/>
  <c r="G2790" i="52"/>
  <c r="F2790" i="52"/>
  <c r="C2790" i="52"/>
  <c r="A2790" i="52"/>
  <c r="G2789" i="52"/>
  <c r="F2789" i="52"/>
  <c r="C2789" i="52"/>
  <c r="A2789" i="52"/>
  <c r="I2786" i="52"/>
  <c r="A2786" i="52"/>
  <c r="M2785" i="52"/>
  <c r="L2785" i="52"/>
  <c r="F2778" i="52"/>
  <c r="E2778" i="52"/>
  <c r="D2778" i="52"/>
  <c r="C2778" i="52"/>
  <c r="A2778" i="52"/>
  <c r="C2774" i="52"/>
  <c r="A2774" i="52"/>
  <c r="D2770" i="52"/>
  <c r="I2770" i="52" s="1"/>
  <c r="I2771" i="52" s="1"/>
  <c r="C2770" i="52"/>
  <c r="A2770" i="52"/>
  <c r="I2758" i="52"/>
  <c r="A2758" i="52"/>
  <c r="I2757" i="52"/>
  <c r="A2757" i="52"/>
  <c r="G2753" i="52"/>
  <c r="F2753" i="52"/>
  <c r="C2753" i="52"/>
  <c r="A2753" i="52"/>
  <c r="M2750" i="52"/>
  <c r="L2750" i="52"/>
  <c r="I2750" i="52"/>
  <c r="A2750" i="52"/>
  <c r="F2742" i="52"/>
  <c r="E2742" i="52"/>
  <c r="D2742" i="52"/>
  <c r="C2742" i="52"/>
  <c r="A2742" i="52"/>
  <c r="C2738" i="52"/>
  <c r="A2738" i="52"/>
  <c r="D2734" i="52"/>
  <c r="I2734" i="52" s="1"/>
  <c r="I2735" i="52" s="1"/>
  <c r="C2734" i="52"/>
  <c r="A2734" i="52"/>
  <c r="I2722" i="52"/>
  <c r="A2722" i="52"/>
  <c r="I2721" i="52"/>
  <c r="A2721" i="52"/>
  <c r="G2717" i="52"/>
  <c r="F2717" i="52"/>
  <c r="C2717" i="52"/>
  <c r="A2717" i="52"/>
  <c r="M2714" i="52"/>
  <c r="L2714" i="52"/>
  <c r="I2714" i="52"/>
  <c r="A2714" i="52"/>
  <c r="F2706" i="52"/>
  <c r="E2706" i="52"/>
  <c r="G2706" i="52" s="1"/>
  <c r="D2706" i="52"/>
  <c r="C2706" i="52"/>
  <c r="A2706" i="52"/>
  <c r="C2702" i="52"/>
  <c r="A2702" i="52"/>
  <c r="D2698" i="52"/>
  <c r="I2698" i="52" s="1"/>
  <c r="I2699" i="52" s="1"/>
  <c r="C2698" i="52"/>
  <c r="A2698" i="52"/>
  <c r="I2686" i="52"/>
  <c r="A2686" i="52"/>
  <c r="I2685" i="52"/>
  <c r="A2685" i="52"/>
  <c r="A2684" i="52"/>
  <c r="G2680" i="52"/>
  <c r="F2680" i="52"/>
  <c r="C2680" i="52"/>
  <c r="A2680" i="52"/>
  <c r="M2677" i="52"/>
  <c r="L2677" i="52"/>
  <c r="I2677" i="52"/>
  <c r="A2677" i="52"/>
  <c r="F2669" i="52"/>
  <c r="E2669" i="52"/>
  <c r="D2669" i="52"/>
  <c r="C2669" i="52"/>
  <c r="A2669" i="52"/>
  <c r="C2665" i="52"/>
  <c r="A2665" i="52"/>
  <c r="D2661" i="52"/>
  <c r="I2661" i="52" s="1"/>
  <c r="I2662" i="52" s="1"/>
  <c r="C2661" i="52"/>
  <c r="A2661" i="52"/>
  <c r="I2649" i="52"/>
  <c r="A2649" i="52"/>
  <c r="I2648" i="52"/>
  <c r="A2648" i="52"/>
  <c r="I2647" i="52"/>
  <c r="A2647" i="52"/>
  <c r="G2643" i="52"/>
  <c r="F2643" i="52"/>
  <c r="I2643" i="52" s="1"/>
  <c r="I2644" i="52" s="1"/>
  <c r="C2643" i="52"/>
  <c r="A2643" i="52"/>
  <c r="M2640" i="52"/>
  <c r="L2640" i="52"/>
  <c r="I2640" i="52"/>
  <c r="A2640" i="52"/>
  <c r="C2629" i="52"/>
  <c r="A2629" i="52"/>
  <c r="C2628" i="52"/>
  <c r="A2628" i="52"/>
  <c r="C2627" i="52"/>
  <c r="A2627" i="52"/>
  <c r="C2626" i="52"/>
  <c r="A2626" i="52"/>
  <c r="C2625" i="52"/>
  <c r="A2625" i="52"/>
  <c r="G2608" i="52"/>
  <c r="F2608" i="52"/>
  <c r="C2608" i="52"/>
  <c r="A2608" i="52"/>
  <c r="M2605" i="52"/>
  <c r="L2605" i="52"/>
  <c r="I2605" i="52"/>
  <c r="A2605" i="52"/>
  <c r="F2597" i="52"/>
  <c r="E2597" i="52"/>
  <c r="D2597" i="52"/>
  <c r="C2597" i="52"/>
  <c r="A2597" i="52"/>
  <c r="C2593" i="52"/>
  <c r="A2593" i="52"/>
  <c r="D2589" i="52"/>
  <c r="I2589" i="52" s="1"/>
  <c r="I2590" i="52" s="1"/>
  <c r="C2589" i="52"/>
  <c r="A2589" i="52"/>
  <c r="I2577" i="52"/>
  <c r="A2577" i="52"/>
  <c r="I2576" i="52"/>
  <c r="A2576" i="52"/>
  <c r="A2575" i="52"/>
  <c r="G2571" i="52"/>
  <c r="F2571" i="52"/>
  <c r="C2571" i="52"/>
  <c r="A2571" i="52"/>
  <c r="M2568" i="52"/>
  <c r="L2568" i="52"/>
  <c r="I2568" i="52"/>
  <c r="A2568" i="52"/>
  <c r="F2560" i="52"/>
  <c r="E2560" i="52"/>
  <c r="D2560" i="52"/>
  <c r="C2560" i="52"/>
  <c r="A2560" i="52"/>
  <c r="C2556" i="52"/>
  <c r="A2556" i="52"/>
  <c r="C2555" i="52"/>
  <c r="A2555" i="52"/>
  <c r="C2554" i="52"/>
  <c r="A2554" i="52"/>
  <c r="C2553" i="52"/>
  <c r="A2553" i="52"/>
  <c r="D2549" i="52"/>
  <c r="I2549" i="52" s="1"/>
  <c r="I2550" i="52" s="1"/>
  <c r="C2549" i="52"/>
  <c r="A2549" i="52"/>
  <c r="I2537" i="52"/>
  <c r="A2537" i="52"/>
  <c r="I2536" i="52"/>
  <c r="A2536" i="52"/>
  <c r="I2535" i="52"/>
  <c r="A2535" i="52"/>
  <c r="G2531" i="52"/>
  <c r="F2531" i="52"/>
  <c r="C2531" i="52"/>
  <c r="A2531" i="52"/>
  <c r="M2528" i="52"/>
  <c r="L2528" i="52"/>
  <c r="I2528" i="52"/>
  <c r="A2528" i="52"/>
  <c r="I2500" i="52"/>
  <c r="A2500" i="52"/>
  <c r="I2499" i="52"/>
  <c r="A2499" i="52"/>
  <c r="G2495" i="52"/>
  <c r="F2495" i="52"/>
  <c r="C2495" i="52"/>
  <c r="A2495" i="52"/>
  <c r="I2492" i="52"/>
  <c r="A2492" i="52"/>
  <c r="M2491" i="52"/>
  <c r="L2491" i="52"/>
  <c r="D2476" i="52"/>
  <c r="I2476" i="52" s="1"/>
  <c r="I2477" i="52" s="1"/>
  <c r="C2476" i="52"/>
  <c r="A2476" i="52"/>
  <c r="I2464" i="52"/>
  <c r="A2464" i="52"/>
  <c r="I2463" i="52"/>
  <c r="A2463" i="52"/>
  <c r="I2462" i="52"/>
  <c r="A2462" i="52"/>
  <c r="I2455" i="52"/>
  <c r="A2455" i="52"/>
  <c r="M2454" i="52"/>
  <c r="L2454" i="52"/>
  <c r="F2447" i="52"/>
  <c r="E2447" i="52"/>
  <c r="D2447" i="52"/>
  <c r="C2447" i="52"/>
  <c r="A2447" i="52"/>
  <c r="D2440" i="52"/>
  <c r="I2440" i="52" s="1"/>
  <c r="I2441" i="52" s="1"/>
  <c r="C2440" i="52"/>
  <c r="A2440" i="52"/>
  <c r="I2428" i="52"/>
  <c r="A2428" i="52"/>
  <c r="I2427" i="52"/>
  <c r="A2427" i="52"/>
  <c r="G2423" i="52"/>
  <c r="F2423" i="52"/>
  <c r="C2423" i="52"/>
  <c r="A2423" i="52"/>
  <c r="G2422" i="52"/>
  <c r="F2422" i="52"/>
  <c r="C2422" i="52"/>
  <c r="A2422" i="52"/>
  <c r="I2419" i="52"/>
  <c r="A2419" i="52"/>
  <c r="M2418" i="52"/>
  <c r="L2418" i="52"/>
  <c r="F2411" i="52"/>
  <c r="E2411" i="52"/>
  <c r="D2411" i="52"/>
  <c r="C2411" i="52"/>
  <c r="A2411" i="52"/>
  <c r="F2410" i="52"/>
  <c r="E2410" i="52"/>
  <c r="D2410" i="52"/>
  <c r="C2410" i="52"/>
  <c r="A2410" i="52"/>
  <c r="D2402" i="52"/>
  <c r="I2402" i="52" s="1"/>
  <c r="C2402" i="52"/>
  <c r="A2402" i="52"/>
  <c r="D2401" i="52"/>
  <c r="I2401" i="52" s="1"/>
  <c r="C2401" i="52"/>
  <c r="A2401" i="52"/>
  <c r="D2400" i="52"/>
  <c r="I2400" i="52" s="1"/>
  <c r="C2400" i="52"/>
  <c r="A2400" i="52"/>
  <c r="I2388" i="52"/>
  <c r="A2388" i="52"/>
  <c r="I2387" i="52"/>
  <c r="A2387" i="52"/>
  <c r="M2380" i="52"/>
  <c r="L2380" i="52"/>
  <c r="I2380" i="52"/>
  <c r="A2380" i="52"/>
  <c r="C2367" i="52"/>
  <c r="A2367" i="52"/>
  <c r="I2351" i="52"/>
  <c r="I2352" i="52" s="1"/>
  <c r="I2355" i="52" s="1"/>
  <c r="I2356" i="52" s="1"/>
  <c r="A2351" i="52"/>
  <c r="G2347" i="52"/>
  <c r="F2347" i="52"/>
  <c r="C2347" i="52"/>
  <c r="A2347" i="52"/>
  <c r="I2344" i="52"/>
  <c r="A2344" i="52"/>
  <c r="M2343" i="52"/>
  <c r="L2343" i="52"/>
  <c r="D2328" i="52"/>
  <c r="I2328" i="52" s="1"/>
  <c r="C2328" i="52"/>
  <c r="A2328" i="52"/>
  <c r="D2327" i="52"/>
  <c r="I2327" i="52" s="1"/>
  <c r="C2327" i="52"/>
  <c r="A2327" i="52"/>
  <c r="D2326" i="52"/>
  <c r="I2326" i="52" s="1"/>
  <c r="C2326" i="52"/>
  <c r="A2326" i="52"/>
  <c r="D2325" i="52"/>
  <c r="I2325" i="52" s="1"/>
  <c r="C2325" i="52"/>
  <c r="A2325" i="52"/>
  <c r="D2324" i="52"/>
  <c r="I2324" i="52" s="1"/>
  <c r="C2324" i="52"/>
  <c r="A2324" i="52"/>
  <c r="D2323" i="52"/>
  <c r="I2323" i="52" s="1"/>
  <c r="C2323" i="52"/>
  <c r="A2323" i="52"/>
  <c r="D2322" i="52"/>
  <c r="I2322" i="52" s="1"/>
  <c r="C2322" i="52"/>
  <c r="A2322" i="52"/>
  <c r="D2321" i="52"/>
  <c r="I2321" i="52" s="1"/>
  <c r="C2321" i="52"/>
  <c r="A2321" i="52"/>
  <c r="D2320" i="52"/>
  <c r="I2320" i="52" s="1"/>
  <c r="C2320" i="52"/>
  <c r="A2320" i="52"/>
  <c r="D2319" i="52"/>
  <c r="I2319" i="52" s="1"/>
  <c r="C2319" i="52"/>
  <c r="A2319" i="52"/>
  <c r="I2307" i="52"/>
  <c r="A2307" i="52"/>
  <c r="I2306" i="52"/>
  <c r="A2306" i="52"/>
  <c r="I2305" i="52"/>
  <c r="A2305" i="52"/>
  <c r="I2304" i="52"/>
  <c r="A2304" i="52"/>
  <c r="G2300" i="52"/>
  <c r="F2300" i="52"/>
  <c r="C2300" i="52"/>
  <c r="A2300" i="52"/>
  <c r="G2299" i="52"/>
  <c r="F2299" i="52"/>
  <c r="C2299" i="52"/>
  <c r="A2299" i="52"/>
  <c r="G2298" i="52"/>
  <c r="F2298" i="52"/>
  <c r="C2298" i="52"/>
  <c r="A2298" i="52"/>
  <c r="G2297" i="52"/>
  <c r="F2297" i="52"/>
  <c r="C2297" i="52"/>
  <c r="A2297" i="52"/>
  <c r="I2294" i="52"/>
  <c r="A2294" i="52"/>
  <c r="M2293" i="52"/>
  <c r="L2293" i="52"/>
  <c r="D2277" i="52"/>
  <c r="I2277" i="52" s="1"/>
  <c r="C2277" i="52"/>
  <c r="A2277" i="52"/>
  <c r="D2276" i="52"/>
  <c r="I2276" i="52" s="1"/>
  <c r="C2276" i="52"/>
  <c r="A2276" i="52"/>
  <c r="I2264" i="52"/>
  <c r="A2264" i="52"/>
  <c r="I2263" i="52"/>
  <c r="A2263" i="52"/>
  <c r="I2256" i="52"/>
  <c r="A2256" i="52"/>
  <c r="M2255" i="52"/>
  <c r="L2255" i="52"/>
  <c r="D2240" i="52"/>
  <c r="I2240" i="52" s="1"/>
  <c r="I2241" i="52" s="1"/>
  <c r="C2240" i="52"/>
  <c r="A2240" i="52"/>
  <c r="I2228" i="52"/>
  <c r="I2229" i="52" s="1"/>
  <c r="A2228" i="52"/>
  <c r="I2221" i="52"/>
  <c r="A2221" i="52"/>
  <c r="M2220" i="52"/>
  <c r="L2220" i="52"/>
  <c r="F2213" i="52"/>
  <c r="E2213" i="52"/>
  <c r="G2213" i="52" s="1"/>
  <c r="I2213" i="52" s="1"/>
  <c r="I2214" i="52" s="1"/>
  <c r="D2213" i="52"/>
  <c r="C2213" i="52"/>
  <c r="A2213" i="52"/>
  <c r="C2209" i="52"/>
  <c r="A2209" i="52"/>
  <c r="D2205" i="52"/>
  <c r="I2205" i="52" s="1"/>
  <c r="I2206" i="52" s="1"/>
  <c r="C2205" i="52"/>
  <c r="A2205" i="52"/>
  <c r="I2193" i="52"/>
  <c r="A2193" i="52"/>
  <c r="I2192" i="52"/>
  <c r="A2192" i="52"/>
  <c r="I2191" i="52"/>
  <c r="A2191" i="52"/>
  <c r="I2184" i="52"/>
  <c r="A2184" i="52"/>
  <c r="M2183" i="52"/>
  <c r="L2183" i="52"/>
  <c r="D2168" i="52"/>
  <c r="I2168" i="52" s="1"/>
  <c r="C2168" i="52"/>
  <c r="A2168" i="52"/>
  <c r="D2167" i="52"/>
  <c r="I2167" i="52" s="1"/>
  <c r="C2167" i="52"/>
  <c r="A2167" i="52"/>
  <c r="D2166" i="52"/>
  <c r="I2166" i="52" s="1"/>
  <c r="C2166" i="52"/>
  <c r="A2166" i="52"/>
  <c r="D2165" i="52"/>
  <c r="I2165" i="52" s="1"/>
  <c r="C2165" i="52"/>
  <c r="A2165" i="52"/>
  <c r="D2164" i="52"/>
  <c r="I2164" i="52" s="1"/>
  <c r="C2164" i="52"/>
  <c r="A2164" i="52"/>
  <c r="D2163" i="52"/>
  <c r="I2163" i="52" s="1"/>
  <c r="C2163" i="52"/>
  <c r="A2163" i="52"/>
  <c r="D2162" i="52"/>
  <c r="I2162" i="52" s="1"/>
  <c r="C2162" i="52"/>
  <c r="A2162" i="52"/>
  <c r="D2161" i="52"/>
  <c r="I2161" i="52" s="1"/>
  <c r="C2161" i="52"/>
  <c r="A2161" i="52"/>
  <c r="D2160" i="52"/>
  <c r="I2160" i="52" s="1"/>
  <c r="C2160" i="52"/>
  <c r="A2160" i="52"/>
  <c r="D2159" i="52"/>
  <c r="I2159" i="52" s="1"/>
  <c r="C2159" i="52"/>
  <c r="A2159" i="52"/>
  <c r="I2147" i="52"/>
  <c r="A2147" i="52"/>
  <c r="I2146" i="52"/>
  <c r="A2146" i="52"/>
  <c r="I2145" i="52"/>
  <c r="A2145" i="52"/>
  <c r="G2141" i="52"/>
  <c r="F2141" i="52"/>
  <c r="C2141" i="52"/>
  <c r="A2141" i="52"/>
  <c r="G2140" i="52"/>
  <c r="F2140" i="52"/>
  <c r="C2140" i="52"/>
  <c r="A2140" i="52"/>
  <c r="G2139" i="52"/>
  <c r="F2139" i="52"/>
  <c r="C2139" i="52"/>
  <c r="A2139" i="52"/>
  <c r="G2138" i="52"/>
  <c r="F2138" i="52"/>
  <c r="C2138" i="52"/>
  <c r="A2138" i="52"/>
  <c r="I2135" i="52"/>
  <c r="A2135" i="52"/>
  <c r="M2134" i="52"/>
  <c r="L2134" i="52"/>
  <c r="D2121" i="52"/>
  <c r="I2121" i="52" s="1"/>
  <c r="C2121" i="52"/>
  <c r="A2121" i="52"/>
  <c r="D2120" i="52"/>
  <c r="I2120" i="52" s="1"/>
  <c r="C2120" i="52"/>
  <c r="A2120" i="52"/>
  <c r="I2109" i="52"/>
  <c r="A2109" i="52"/>
  <c r="I2108" i="52"/>
  <c r="A2108" i="52"/>
  <c r="A2107" i="52"/>
  <c r="G2103" i="52"/>
  <c r="F2103" i="52"/>
  <c r="C2103" i="52"/>
  <c r="A2103" i="52"/>
  <c r="G2102" i="52"/>
  <c r="F2102" i="52"/>
  <c r="C2102" i="52"/>
  <c r="A2102" i="52"/>
  <c r="G2101" i="52"/>
  <c r="F2101" i="52"/>
  <c r="C2101" i="52"/>
  <c r="A2101" i="52"/>
  <c r="M2098" i="52"/>
  <c r="L2098" i="52"/>
  <c r="I2098" i="52"/>
  <c r="A2098" i="52"/>
  <c r="D2084" i="52"/>
  <c r="I2084" i="52" s="1"/>
  <c r="C2084" i="52"/>
  <c r="A2084" i="52"/>
  <c r="D2083" i="52"/>
  <c r="I2083" i="52" s="1"/>
  <c r="C2083" i="52"/>
  <c r="A2083" i="52"/>
  <c r="I2072" i="52"/>
  <c r="A2072" i="52"/>
  <c r="I2071" i="52"/>
  <c r="A2071" i="52"/>
  <c r="I2070" i="52"/>
  <c r="A2070" i="52"/>
  <c r="G2066" i="52"/>
  <c r="F2066" i="52"/>
  <c r="C2066" i="52"/>
  <c r="A2066" i="52"/>
  <c r="G2065" i="52"/>
  <c r="F2065" i="52"/>
  <c r="C2065" i="52"/>
  <c r="A2065" i="52"/>
  <c r="G2064" i="52"/>
  <c r="F2064" i="52"/>
  <c r="C2064" i="52"/>
  <c r="A2064" i="52"/>
  <c r="M2061" i="52"/>
  <c r="L2061" i="52"/>
  <c r="I2061" i="52"/>
  <c r="A2061" i="52"/>
  <c r="D2045" i="52"/>
  <c r="I2045" i="52" s="1"/>
  <c r="C2045" i="52"/>
  <c r="A2045" i="52"/>
  <c r="D2044" i="52"/>
  <c r="I2044" i="52" s="1"/>
  <c r="C2044" i="52"/>
  <c r="A2044" i="52"/>
  <c r="I2032" i="52"/>
  <c r="A2032" i="52"/>
  <c r="I2031" i="52"/>
  <c r="A2031" i="52"/>
  <c r="I2030" i="52"/>
  <c r="A2030" i="52"/>
  <c r="G2026" i="52"/>
  <c r="F2026" i="52"/>
  <c r="C2026" i="52"/>
  <c r="A2026" i="52"/>
  <c r="G2025" i="52"/>
  <c r="F2025" i="52"/>
  <c r="C2025" i="52"/>
  <c r="A2025" i="52"/>
  <c r="G2024" i="52"/>
  <c r="F2024" i="52"/>
  <c r="C2024" i="52"/>
  <c r="A2024" i="52"/>
  <c r="I2021" i="52"/>
  <c r="A2021" i="52"/>
  <c r="M2020" i="52"/>
  <c r="L2020" i="52"/>
  <c r="D2007" i="52"/>
  <c r="I2007" i="52" s="1"/>
  <c r="C2007" i="52"/>
  <c r="A2007" i="52"/>
  <c r="D2006" i="52"/>
  <c r="I2006" i="52" s="1"/>
  <c r="C2006" i="52"/>
  <c r="A2006" i="52"/>
  <c r="D2005" i="52"/>
  <c r="I2005" i="52" s="1"/>
  <c r="C2005" i="52"/>
  <c r="A2005" i="52"/>
  <c r="D2004" i="52"/>
  <c r="I2004" i="52" s="1"/>
  <c r="C2004" i="52"/>
  <c r="A2004" i="52"/>
  <c r="I1992" i="52"/>
  <c r="A1992" i="52"/>
  <c r="I1991" i="52"/>
  <c r="A1991" i="52"/>
  <c r="G1987" i="52"/>
  <c r="F1987" i="52"/>
  <c r="C1987" i="52"/>
  <c r="A1987" i="52"/>
  <c r="G1986" i="52"/>
  <c r="F1986" i="52"/>
  <c r="C1986" i="52"/>
  <c r="A1986" i="52"/>
  <c r="G1985" i="52"/>
  <c r="F1985" i="52"/>
  <c r="C1985" i="52"/>
  <c r="A1985" i="52"/>
  <c r="G1984" i="52"/>
  <c r="F1984" i="52"/>
  <c r="C1984" i="52"/>
  <c r="A1984" i="52"/>
  <c r="I1981" i="52"/>
  <c r="A1981" i="52"/>
  <c r="M1980" i="52"/>
  <c r="L1980" i="52"/>
  <c r="F1973" i="52"/>
  <c r="E1973" i="52"/>
  <c r="D1973" i="52"/>
  <c r="C1973" i="52"/>
  <c r="A1973" i="52"/>
  <c r="F1972" i="52"/>
  <c r="E1972" i="52"/>
  <c r="D1972" i="52"/>
  <c r="C1972" i="52"/>
  <c r="A1972" i="52"/>
  <c r="F1971" i="52"/>
  <c r="E1971" i="52"/>
  <c r="D1971" i="52"/>
  <c r="C1971" i="52"/>
  <c r="A1971" i="52"/>
  <c r="D1963" i="52"/>
  <c r="I1963" i="52" s="1"/>
  <c r="C1963" i="52"/>
  <c r="A1963" i="52"/>
  <c r="D1962" i="52"/>
  <c r="I1962" i="52" s="1"/>
  <c r="C1962" i="52"/>
  <c r="A1962" i="52"/>
  <c r="D1961" i="52"/>
  <c r="I1961" i="52" s="1"/>
  <c r="C1961" i="52"/>
  <c r="A1961" i="52"/>
  <c r="I1949" i="52"/>
  <c r="A1949" i="52"/>
  <c r="I1948" i="52"/>
  <c r="A1948" i="52"/>
  <c r="G1944" i="52"/>
  <c r="F1944" i="52"/>
  <c r="C1944" i="52"/>
  <c r="A1944" i="52"/>
  <c r="G1943" i="52"/>
  <c r="F1943" i="52"/>
  <c r="C1943" i="52"/>
  <c r="A1943" i="52"/>
  <c r="I1940" i="52"/>
  <c r="A1940" i="52"/>
  <c r="M1939" i="52"/>
  <c r="L1939" i="52"/>
  <c r="C1928" i="52"/>
  <c r="A1928" i="52"/>
  <c r="C1927" i="52"/>
  <c r="A1927" i="52"/>
  <c r="C1926" i="52"/>
  <c r="A1926" i="52"/>
  <c r="C1925" i="52"/>
  <c r="A1925" i="52"/>
  <c r="C1924" i="52"/>
  <c r="A1924" i="52"/>
  <c r="D1920" i="52"/>
  <c r="I1920" i="52" s="1"/>
  <c r="C1920" i="52"/>
  <c r="A1920" i="52"/>
  <c r="D1919" i="52"/>
  <c r="I1919" i="52" s="1"/>
  <c r="C1919" i="52"/>
  <c r="A1919" i="52"/>
  <c r="D1918" i="52"/>
  <c r="I1918" i="52" s="1"/>
  <c r="C1918" i="52"/>
  <c r="A1918" i="52"/>
  <c r="D1916" i="52"/>
  <c r="I1916" i="52" s="1"/>
  <c r="C1916" i="52"/>
  <c r="A1916" i="52"/>
  <c r="D1915" i="52"/>
  <c r="I1915" i="52" s="1"/>
  <c r="C1915" i="52"/>
  <c r="A1915" i="52"/>
  <c r="I1903" i="52"/>
  <c r="A1903" i="52"/>
  <c r="I1902" i="52"/>
  <c r="A1902" i="52"/>
  <c r="I1901" i="52"/>
  <c r="A1901" i="52"/>
  <c r="G1897" i="52"/>
  <c r="F1897" i="52"/>
  <c r="C1897" i="52"/>
  <c r="A1897" i="52"/>
  <c r="M1894" i="52"/>
  <c r="L1894" i="52"/>
  <c r="I1894" i="52"/>
  <c r="A1894" i="52"/>
  <c r="C1882" i="52"/>
  <c r="A1882" i="52"/>
  <c r="D1878" i="52"/>
  <c r="I1878" i="52" s="1"/>
  <c r="I1879" i="52" s="1"/>
  <c r="C1878" i="52"/>
  <c r="A1878" i="52"/>
  <c r="I1866" i="52"/>
  <c r="A1866" i="52"/>
  <c r="I1865" i="52"/>
  <c r="A1865" i="52"/>
  <c r="I1858" i="52"/>
  <c r="A1858" i="52"/>
  <c r="M1857" i="52"/>
  <c r="L1857" i="52"/>
  <c r="F1850" i="52"/>
  <c r="E1850" i="52"/>
  <c r="D1850" i="52"/>
  <c r="C1850" i="52"/>
  <c r="A1850" i="52"/>
  <c r="F1849" i="52"/>
  <c r="E1849" i="52"/>
  <c r="D1849" i="52"/>
  <c r="C1849" i="52"/>
  <c r="A1849" i="52"/>
  <c r="F1848" i="52"/>
  <c r="E1848" i="52"/>
  <c r="D1848" i="52"/>
  <c r="C1848" i="52"/>
  <c r="A1848" i="52"/>
  <c r="C1844" i="52"/>
  <c r="A1844" i="52"/>
  <c r="D1840" i="52"/>
  <c r="I1840" i="52" s="1"/>
  <c r="C1840" i="52"/>
  <c r="A1840" i="52"/>
  <c r="D1839" i="52"/>
  <c r="I1839" i="52" s="1"/>
  <c r="C1839" i="52"/>
  <c r="A1839" i="52"/>
  <c r="D1838" i="52"/>
  <c r="I1838" i="52" s="1"/>
  <c r="C1838" i="52"/>
  <c r="A1838" i="52"/>
  <c r="I1826" i="52"/>
  <c r="A1826" i="52"/>
  <c r="I1825" i="52"/>
  <c r="A1825" i="52"/>
  <c r="M1819" i="52"/>
  <c r="L1819" i="52"/>
  <c r="I1819" i="52"/>
  <c r="A1819" i="52"/>
  <c r="I1785" i="52"/>
  <c r="A1785" i="52"/>
  <c r="M1784" i="52"/>
  <c r="L1784" i="52"/>
  <c r="D1770" i="52"/>
  <c r="I1770" i="52" s="1"/>
  <c r="I1771" i="52" s="1"/>
  <c r="C1770" i="52"/>
  <c r="A1770" i="52"/>
  <c r="M1751" i="52"/>
  <c r="L1751" i="52"/>
  <c r="I1751" i="52"/>
  <c r="A1751" i="52"/>
  <c r="D1738" i="52"/>
  <c r="I1738" i="52" s="1"/>
  <c r="I1739" i="52" s="1"/>
  <c r="C1738" i="52"/>
  <c r="A1738" i="52"/>
  <c r="I1722" i="52"/>
  <c r="A1722" i="52"/>
  <c r="M1721" i="52"/>
  <c r="L1721" i="52"/>
  <c r="D1709" i="52"/>
  <c r="I1709" i="52" s="1"/>
  <c r="I1710" i="52" s="1"/>
  <c r="C1709" i="52"/>
  <c r="A1709" i="52"/>
  <c r="I1693" i="52"/>
  <c r="A1693" i="52"/>
  <c r="M1692" i="52"/>
  <c r="L1692" i="52"/>
  <c r="D1678" i="52"/>
  <c r="I1678" i="52" s="1"/>
  <c r="I1679" i="52" s="1"/>
  <c r="C1678" i="52"/>
  <c r="A1678" i="52"/>
  <c r="I1659" i="52"/>
  <c r="A1659" i="52"/>
  <c r="M1658" i="52"/>
  <c r="L1658" i="52"/>
  <c r="F1651" i="52"/>
  <c r="E1651" i="52"/>
  <c r="D1651" i="52"/>
  <c r="C1651" i="52"/>
  <c r="A1651" i="52"/>
  <c r="F1650" i="52"/>
  <c r="E1650" i="52"/>
  <c r="D1650" i="52"/>
  <c r="C1650" i="52"/>
  <c r="A1650" i="52"/>
  <c r="F1649" i="52"/>
  <c r="E1649" i="52"/>
  <c r="D1649" i="52"/>
  <c r="C1649" i="52"/>
  <c r="A1649" i="52"/>
  <c r="C1645" i="52"/>
  <c r="A1645" i="52"/>
  <c r="D1641" i="52"/>
  <c r="I1641" i="52" s="1"/>
  <c r="C1641" i="52"/>
  <c r="A1641" i="52"/>
  <c r="D1640" i="52"/>
  <c r="I1640" i="52" s="1"/>
  <c r="C1640" i="52"/>
  <c r="A1640" i="52"/>
  <c r="D1639" i="52"/>
  <c r="I1639" i="52" s="1"/>
  <c r="C1639" i="52"/>
  <c r="A1639" i="52"/>
  <c r="I1627" i="52"/>
  <c r="A1627" i="52"/>
  <c r="I1626" i="52"/>
  <c r="A1626" i="52"/>
  <c r="I1625" i="52"/>
  <c r="A1625" i="52"/>
  <c r="G1621" i="52"/>
  <c r="F1621" i="52"/>
  <c r="C1621" i="52"/>
  <c r="A1621" i="52"/>
  <c r="G1620" i="52"/>
  <c r="F1620" i="52"/>
  <c r="C1620" i="52"/>
  <c r="A1620" i="52"/>
  <c r="G1619" i="52"/>
  <c r="F1619" i="52"/>
  <c r="C1619" i="52"/>
  <c r="A1619" i="52"/>
  <c r="G1618" i="52"/>
  <c r="F1618" i="52"/>
  <c r="C1618" i="52"/>
  <c r="A1618" i="52"/>
  <c r="G1617" i="52"/>
  <c r="F1617" i="52"/>
  <c r="C1617" i="52"/>
  <c r="A1617" i="52"/>
  <c r="I1614" i="52"/>
  <c r="A1614" i="52"/>
  <c r="M1613" i="52"/>
  <c r="L1613" i="52"/>
  <c r="D1600" i="52"/>
  <c r="I1600" i="52" s="1"/>
  <c r="I1601" i="52" s="1"/>
  <c r="C1600" i="52"/>
  <c r="A1600" i="52"/>
  <c r="M1582" i="52"/>
  <c r="L1582" i="52"/>
  <c r="I1582" i="52"/>
  <c r="A1582" i="52"/>
  <c r="F1574" i="52"/>
  <c r="E1574" i="52"/>
  <c r="D1574" i="52"/>
  <c r="C1574" i="52"/>
  <c r="A1574" i="52"/>
  <c r="F1573" i="52"/>
  <c r="E1573" i="52"/>
  <c r="G1573" i="52" s="1"/>
  <c r="I1573" i="52" s="1"/>
  <c r="D1573" i="52"/>
  <c r="C1573" i="52"/>
  <c r="A1573" i="52"/>
  <c r="D1565" i="52"/>
  <c r="I1565" i="52" s="1"/>
  <c r="C1565" i="52"/>
  <c r="A1565" i="52"/>
  <c r="D1564" i="52"/>
  <c r="I1564" i="52" s="1"/>
  <c r="C1564" i="52"/>
  <c r="A1564" i="52"/>
  <c r="I1552" i="52"/>
  <c r="A1552" i="52"/>
  <c r="I1551" i="52"/>
  <c r="A1551" i="52"/>
  <c r="G1547" i="52"/>
  <c r="F1547" i="52"/>
  <c r="C1547" i="52"/>
  <c r="A1547" i="52"/>
  <c r="G1546" i="52"/>
  <c r="F1546" i="52"/>
  <c r="C1546" i="52"/>
  <c r="A1546" i="52"/>
  <c r="G1545" i="52"/>
  <c r="F1545" i="52"/>
  <c r="C1545" i="52"/>
  <c r="A1545" i="52"/>
  <c r="G1544" i="52"/>
  <c r="F1544" i="52"/>
  <c r="C1544" i="52"/>
  <c r="A1544" i="52"/>
  <c r="G1543" i="52"/>
  <c r="F1543" i="52"/>
  <c r="C1543" i="52"/>
  <c r="A1543" i="52"/>
  <c r="G1542" i="52"/>
  <c r="F1542" i="52"/>
  <c r="C1542" i="52"/>
  <c r="A1542" i="52"/>
  <c r="G1541" i="52"/>
  <c r="F1541" i="52"/>
  <c r="C1541" i="52"/>
  <c r="A1541" i="52"/>
  <c r="G1540" i="52"/>
  <c r="F1540" i="52"/>
  <c r="C1540" i="52"/>
  <c r="A1540" i="52"/>
  <c r="M1537" i="52"/>
  <c r="L1537" i="52"/>
  <c r="I1537" i="52"/>
  <c r="A1537" i="52"/>
  <c r="I1512" i="52"/>
  <c r="A1512" i="52"/>
  <c r="I1511" i="52"/>
  <c r="A1511" i="52"/>
  <c r="G1507" i="52"/>
  <c r="F1507" i="52"/>
  <c r="I1507" i="52" s="1"/>
  <c r="C1507" i="52"/>
  <c r="A1507" i="52"/>
  <c r="G1506" i="52"/>
  <c r="F1506" i="52"/>
  <c r="C1506" i="52"/>
  <c r="A1506" i="52"/>
  <c r="G1505" i="52"/>
  <c r="F1505" i="52"/>
  <c r="C1505" i="52"/>
  <c r="A1505" i="52"/>
  <c r="G1504" i="52"/>
  <c r="F1504" i="52"/>
  <c r="C1504" i="52"/>
  <c r="A1504" i="52"/>
  <c r="I1501" i="52"/>
  <c r="A1501" i="52"/>
  <c r="M1500" i="52"/>
  <c r="L1500" i="52"/>
  <c r="D1487" i="52"/>
  <c r="I1487" i="52" s="1"/>
  <c r="I1488" i="52" s="1"/>
  <c r="C1487" i="52"/>
  <c r="A1487" i="52"/>
  <c r="I1475" i="52"/>
  <c r="A1475" i="52"/>
  <c r="I1474" i="52"/>
  <c r="A1474" i="52"/>
  <c r="I1473" i="52"/>
  <c r="A1473" i="52"/>
  <c r="G1469" i="52"/>
  <c r="F1469" i="52"/>
  <c r="I1469" i="52" s="1"/>
  <c r="C1469" i="52"/>
  <c r="A1469" i="52"/>
  <c r="G1468" i="52"/>
  <c r="F1468" i="52"/>
  <c r="C1468" i="52"/>
  <c r="A1468" i="52"/>
  <c r="G1467" i="52"/>
  <c r="F1467" i="52"/>
  <c r="I1467" i="52" s="1"/>
  <c r="C1467" i="52"/>
  <c r="A1467" i="52"/>
  <c r="G1466" i="52"/>
  <c r="F1466" i="52"/>
  <c r="C1466" i="52"/>
  <c r="A1466" i="52"/>
  <c r="G1465" i="52"/>
  <c r="F1465" i="52"/>
  <c r="C1465" i="52"/>
  <c r="A1465" i="52"/>
  <c r="M1462" i="52"/>
  <c r="L1462" i="52"/>
  <c r="I1462" i="52"/>
  <c r="A1462" i="52"/>
  <c r="F1454" i="52"/>
  <c r="E1454" i="52"/>
  <c r="D1454" i="52"/>
  <c r="C1454" i="52"/>
  <c r="A1454" i="52"/>
  <c r="D1447" i="52"/>
  <c r="I1447" i="52" s="1"/>
  <c r="I1448" i="52" s="1"/>
  <c r="C1447" i="52"/>
  <c r="A1447" i="52"/>
  <c r="I1435" i="52"/>
  <c r="A1435" i="52"/>
  <c r="I1434" i="52"/>
  <c r="A1434" i="52"/>
  <c r="I1433" i="52"/>
  <c r="A1433" i="52"/>
  <c r="G1429" i="52"/>
  <c r="F1429" i="52"/>
  <c r="C1429" i="52"/>
  <c r="A1429" i="52"/>
  <c r="G1428" i="52"/>
  <c r="F1428" i="52"/>
  <c r="C1428" i="52"/>
  <c r="A1428" i="52"/>
  <c r="G1427" i="52"/>
  <c r="F1427" i="52"/>
  <c r="C1427" i="52"/>
  <c r="A1427" i="52"/>
  <c r="G1426" i="52"/>
  <c r="F1426" i="52"/>
  <c r="C1426" i="52"/>
  <c r="A1426" i="52"/>
  <c r="G1425" i="52"/>
  <c r="F1425" i="52"/>
  <c r="C1425" i="52"/>
  <c r="A1425" i="52"/>
  <c r="G1424" i="52"/>
  <c r="F1424" i="52"/>
  <c r="C1424" i="52"/>
  <c r="A1424" i="52"/>
  <c r="G1423" i="52"/>
  <c r="F1423" i="52"/>
  <c r="C1423" i="52"/>
  <c r="A1423" i="52"/>
  <c r="G1422" i="52"/>
  <c r="F1422" i="52"/>
  <c r="C1422" i="52"/>
  <c r="A1422" i="52"/>
  <c r="M1419" i="52"/>
  <c r="L1419" i="52"/>
  <c r="I1419" i="52"/>
  <c r="A1419" i="52"/>
  <c r="I1391" i="52"/>
  <c r="A1391" i="52"/>
  <c r="I1390" i="52"/>
  <c r="A1390" i="52"/>
  <c r="I1389" i="52"/>
  <c r="A1389" i="52"/>
  <c r="G1385" i="52"/>
  <c r="F1385" i="52"/>
  <c r="C1385" i="52"/>
  <c r="A1385" i="52"/>
  <c r="G1384" i="52"/>
  <c r="F1384" i="52"/>
  <c r="I1384" i="52" s="1"/>
  <c r="C1384" i="52"/>
  <c r="A1384" i="52"/>
  <c r="G1383" i="52"/>
  <c r="F1383" i="52"/>
  <c r="C1383" i="52"/>
  <c r="A1383" i="52"/>
  <c r="G1382" i="52"/>
  <c r="F1382" i="52"/>
  <c r="I1382" i="52" s="1"/>
  <c r="C1382" i="52"/>
  <c r="A1382" i="52"/>
  <c r="G1381" i="52"/>
  <c r="F1381" i="52"/>
  <c r="C1381" i="52"/>
  <c r="A1381" i="52"/>
  <c r="G1380" i="52"/>
  <c r="F1380" i="52"/>
  <c r="I1380" i="52" s="1"/>
  <c r="C1380" i="52"/>
  <c r="A1380" i="52"/>
  <c r="G1379" i="52"/>
  <c r="F1379" i="52"/>
  <c r="C1379" i="52"/>
  <c r="A1379" i="52"/>
  <c r="G1378" i="52"/>
  <c r="F1378" i="52"/>
  <c r="C1378" i="52"/>
  <c r="A1378" i="52"/>
  <c r="M1375" i="52"/>
  <c r="L1375" i="52"/>
  <c r="I1375" i="52"/>
  <c r="A1375" i="52"/>
  <c r="I1347" i="52"/>
  <c r="A1347" i="52"/>
  <c r="I1346" i="52"/>
  <c r="A1346" i="52"/>
  <c r="G1342" i="52"/>
  <c r="F1342" i="52"/>
  <c r="C1342" i="52"/>
  <c r="A1342" i="52"/>
  <c r="G1341" i="52"/>
  <c r="F1341" i="52"/>
  <c r="C1341" i="52"/>
  <c r="A1341" i="52"/>
  <c r="G1340" i="52"/>
  <c r="F1340" i="52"/>
  <c r="C1340" i="52"/>
  <c r="A1340" i="52"/>
  <c r="G1339" i="52"/>
  <c r="F1339" i="52"/>
  <c r="C1339" i="52"/>
  <c r="A1339" i="52"/>
  <c r="G1338" i="52"/>
  <c r="F1338" i="52"/>
  <c r="C1338" i="52"/>
  <c r="A1338" i="52"/>
  <c r="G1337" i="52"/>
  <c r="F1337" i="52"/>
  <c r="C1337" i="52"/>
  <c r="A1337" i="52"/>
  <c r="G1336" i="52"/>
  <c r="F1336" i="52"/>
  <c r="C1336" i="52"/>
  <c r="A1336" i="52"/>
  <c r="I1333" i="52"/>
  <c r="A1333" i="52"/>
  <c r="M1332" i="52"/>
  <c r="L1332" i="52"/>
  <c r="C1322" i="52"/>
  <c r="A1322" i="52"/>
  <c r="C1321" i="52"/>
  <c r="A1321" i="52"/>
  <c r="C1320" i="52"/>
  <c r="A1320" i="52"/>
  <c r="C1319" i="52"/>
  <c r="A1319" i="52"/>
  <c r="C1318" i="52"/>
  <c r="A1318" i="52"/>
  <c r="M1299" i="52"/>
  <c r="L1299" i="52"/>
  <c r="I1299" i="52"/>
  <c r="A1299" i="52"/>
  <c r="C1288" i="52"/>
  <c r="A1288" i="52"/>
  <c r="C1287" i="52"/>
  <c r="A1287" i="52"/>
  <c r="C1286" i="52"/>
  <c r="A1286" i="52"/>
  <c r="C1285" i="52"/>
  <c r="A1285" i="52"/>
  <c r="I1271" i="52"/>
  <c r="I1272" i="52" s="1"/>
  <c r="I1277" i="52" s="1"/>
  <c r="I1279" i="52" s="1"/>
  <c r="A1271" i="52"/>
  <c r="I1265" i="52"/>
  <c r="A1265" i="52"/>
  <c r="M1264" i="52"/>
  <c r="L1264" i="52"/>
  <c r="F1257" i="52"/>
  <c r="E1257" i="52"/>
  <c r="G1257" i="52" s="1"/>
  <c r="I1257" i="52" s="1"/>
  <c r="D1257" i="52"/>
  <c r="C1257" i="52"/>
  <c r="A1257" i="52"/>
  <c r="F1256" i="52"/>
  <c r="E1256" i="52"/>
  <c r="D1256" i="52"/>
  <c r="C1256" i="52"/>
  <c r="A1256" i="52"/>
  <c r="F1255" i="52"/>
  <c r="E1255" i="52"/>
  <c r="D1255" i="52"/>
  <c r="C1255" i="52"/>
  <c r="A1255" i="52"/>
  <c r="C1251" i="52"/>
  <c r="A1251" i="52"/>
  <c r="C1250" i="52"/>
  <c r="A1250" i="52"/>
  <c r="D1246" i="52"/>
  <c r="I1246" i="52" s="1"/>
  <c r="C1246" i="52"/>
  <c r="A1246" i="52"/>
  <c r="D1245" i="52"/>
  <c r="I1245" i="52" s="1"/>
  <c r="C1245" i="52"/>
  <c r="A1245" i="52"/>
  <c r="D1244" i="52"/>
  <c r="I1244" i="52" s="1"/>
  <c r="C1244" i="52"/>
  <c r="A1244" i="52"/>
  <c r="I1232" i="52"/>
  <c r="A1232" i="52"/>
  <c r="I1231" i="52"/>
  <c r="A1231" i="52"/>
  <c r="I1230" i="52"/>
  <c r="A1230" i="52"/>
  <c r="M1223" i="52"/>
  <c r="L1223" i="52"/>
  <c r="I1223" i="52"/>
  <c r="A1223" i="52"/>
  <c r="C1211" i="52"/>
  <c r="A1211" i="52"/>
  <c r="C1210" i="52"/>
  <c r="A1210" i="52"/>
  <c r="C1209" i="52"/>
  <c r="A1209" i="52"/>
  <c r="C1208" i="52"/>
  <c r="A1208" i="52"/>
  <c r="C1207" i="52"/>
  <c r="A1207" i="52"/>
  <c r="I1191" i="52"/>
  <c r="A1191" i="52"/>
  <c r="I1190" i="52"/>
  <c r="A1190" i="52"/>
  <c r="M1183" i="52"/>
  <c r="L1183" i="52"/>
  <c r="I1183" i="52"/>
  <c r="A1183" i="52"/>
  <c r="C1171" i="52"/>
  <c r="A1171" i="52"/>
  <c r="M1148" i="52"/>
  <c r="L1148" i="52"/>
  <c r="I1148" i="52"/>
  <c r="A1148" i="52"/>
  <c r="C1136" i="52"/>
  <c r="A1136" i="52"/>
  <c r="C1135" i="52"/>
  <c r="A1135" i="52"/>
  <c r="C1134" i="52"/>
  <c r="A1134" i="52"/>
  <c r="D1130" i="52"/>
  <c r="I1130" i="52" s="1"/>
  <c r="I1131" i="52" s="1"/>
  <c r="C1130" i="52"/>
  <c r="A1130" i="52"/>
  <c r="I1118" i="52"/>
  <c r="A1118" i="52"/>
  <c r="I1117" i="52"/>
  <c r="A1117" i="52"/>
  <c r="M1110" i="52"/>
  <c r="L1110" i="52"/>
  <c r="I1110" i="52"/>
  <c r="A1110" i="52"/>
  <c r="C1098" i="52"/>
  <c r="A1098" i="52"/>
  <c r="C1097" i="52"/>
  <c r="A1097" i="52"/>
  <c r="C1096" i="52"/>
  <c r="A1096" i="52"/>
  <c r="C1095" i="52"/>
  <c r="A1095" i="52"/>
  <c r="D1091" i="52"/>
  <c r="I1091" i="52" s="1"/>
  <c r="I1092" i="52" s="1"/>
  <c r="C1091" i="52"/>
  <c r="A1091" i="52"/>
  <c r="I1079" i="52"/>
  <c r="A1079" i="52"/>
  <c r="I1078" i="52"/>
  <c r="A1078" i="52"/>
  <c r="M1071" i="52"/>
  <c r="L1071" i="52"/>
  <c r="I1071" i="52"/>
  <c r="A1071" i="52"/>
  <c r="C1059" i="52"/>
  <c r="A1059" i="52"/>
  <c r="C1058" i="52"/>
  <c r="A1058" i="52"/>
  <c r="C1057" i="52"/>
  <c r="A1057" i="52"/>
  <c r="C1056" i="52"/>
  <c r="A1056" i="52"/>
  <c r="C1055" i="52"/>
  <c r="A1055" i="52"/>
  <c r="M1032" i="52"/>
  <c r="L1032" i="52"/>
  <c r="I1032" i="52"/>
  <c r="A1032" i="52"/>
  <c r="F1024" i="52"/>
  <c r="E1024" i="52"/>
  <c r="D1024" i="52"/>
  <c r="C1024" i="52"/>
  <c r="A1024" i="52"/>
  <c r="C1020" i="52"/>
  <c r="A1020" i="52"/>
  <c r="C1019" i="52"/>
  <c r="A1019" i="52"/>
  <c r="C1018" i="52"/>
  <c r="A1018" i="52"/>
  <c r="C1017" i="52"/>
  <c r="A1017" i="52"/>
  <c r="C1016" i="52"/>
  <c r="A1016" i="52"/>
  <c r="C1015" i="52"/>
  <c r="A1015" i="52"/>
  <c r="D1011" i="52"/>
  <c r="I1011" i="52" s="1"/>
  <c r="I1012" i="52" s="1"/>
  <c r="C1011" i="52"/>
  <c r="A1011" i="52"/>
  <c r="I999" i="52"/>
  <c r="A999" i="52"/>
  <c r="I998" i="52"/>
  <c r="A998" i="52"/>
  <c r="M991" i="52"/>
  <c r="L991" i="52"/>
  <c r="I991" i="52"/>
  <c r="A991" i="52"/>
  <c r="F983" i="52"/>
  <c r="E983" i="52"/>
  <c r="D983" i="52"/>
  <c r="C983" i="52"/>
  <c r="A983" i="52"/>
  <c r="C979" i="52"/>
  <c r="A979" i="52"/>
  <c r="C978" i="52"/>
  <c r="A978" i="52"/>
  <c r="D974" i="52"/>
  <c r="I974" i="52" s="1"/>
  <c r="I975" i="52" s="1"/>
  <c r="C974" i="52"/>
  <c r="A974" i="52"/>
  <c r="I962" i="52"/>
  <c r="A962" i="52"/>
  <c r="I961" i="52"/>
  <c r="A961" i="52"/>
  <c r="M954" i="52"/>
  <c r="L954" i="52"/>
  <c r="I954" i="52"/>
  <c r="A954" i="52"/>
  <c r="C943" i="52"/>
  <c r="A943" i="52"/>
  <c r="C942" i="52"/>
  <c r="A942" i="52"/>
  <c r="C941" i="52"/>
  <c r="A941" i="52"/>
  <c r="C940" i="52"/>
  <c r="A940" i="52"/>
  <c r="C939" i="52"/>
  <c r="A939" i="52"/>
  <c r="M920" i="52"/>
  <c r="L920" i="52"/>
  <c r="I920" i="52"/>
  <c r="A920" i="52"/>
  <c r="C909" i="52"/>
  <c r="A909" i="52"/>
  <c r="C908" i="52"/>
  <c r="A908" i="52"/>
  <c r="C907" i="52"/>
  <c r="A907" i="52"/>
  <c r="C906" i="52"/>
  <c r="A906" i="52"/>
  <c r="C905" i="52"/>
  <c r="A905" i="52"/>
  <c r="M886" i="52"/>
  <c r="L886" i="52"/>
  <c r="I886" i="52"/>
  <c r="A886" i="52"/>
  <c r="C874" i="52"/>
  <c r="A874" i="52"/>
  <c r="C873" i="52"/>
  <c r="A873" i="52"/>
  <c r="C872" i="52"/>
  <c r="A872" i="52"/>
  <c r="C871" i="52"/>
  <c r="A871" i="52"/>
  <c r="C870" i="52"/>
  <c r="A870" i="52"/>
  <c r="M847" i="52"/>
  <c r="L847" i="52"/>
  <c r="I847" i="52"/>
  <c r="A847" i="52"/>
  <c r="C835" i="52"/>
  <c r="A835" i="52"/>
  <c r="C834" i="52"/>
  <c r="A834" i="52"/>
  <c r="C833" i="52"/>
  <c r="A833" i="52"/>
  <c r="C832" i="52"/>
  <c r="A832" i="52"/>
  <c r="C831" i="52"/>
  <c r="A831" i="52"/>
  <c r="M808" i="52"/>
  <c r="L808" i="52"/>
  <c r="I808" i="52"/>
  <c r="A808" i="52"/>
  <c r="C797" i="52"/>
  <c r="A797" i="52"/>
  <c r="C796" i="52"/>
  <c r="A796" i="52"/>
  <c r="C795" i="52"/>
  <c r="A795" i="52"/>
  <c r="C794" i="52"/>
  <c r="A794" i="52"/>
  <c r="C793" i="52"/>
  <c r="A793" i="52"/>
  <c r="M774" i="52"/>
  <c r="L774" i="52"/>
  <c r="I774" i="52"/>
  <c r="A774" i="52"/>
  <c r="C763" i="52"/>
  <c r="A763" i="52"/>
  <c r="C762" i="52"/>
  <c r="A762" i="52"/>
  <c r="C761" i="52"/>
  <c r="A761" i="52"/>
  <c r="C760" i="52"/>
  <c r="A760" i="52"/>
  <c r="C759" i="52"/>
  <c r="A759" i="52"/>
  <c r="M740" i="52"/>
  <c r="L740" i="52"/>
  <c r="I740" i="52"/>
  <c r="A740" i="52"/>
  <c r="C728" i="52"/>
  <c r="A728" i="52"/>
  <c r="C727" i="52"/>
  <c r="A727" i="52"/>
  <c r="C726" i="52"/>
  <c r="A726" i="52"/>
  <c r="C725" i="52"/>
  <c r="A725" i="52"/>
  <c r="M702" i="52"/>
  <c r="L702" i="52"/>
  <c r="I702" i="52"/>
  <c r="A702" i="52"/>
  <c r="C690" i="52"/>
  <c r="A690" i="52"/>
  <c r="C689" i="52"/>
  <c r="A689" i="52"/>
  <c r="C688" i="52"/>
  <c r="A688" i="52"/>
  <c r="M665" i="52"/>
  <c r="L665" i="52"/>
  <c r="I665" i="52"/>
  <c r="A665" i="52"/>
  <c r="C653" i="52"/>
  <c r="A653" i="52"/>
  <c r="C652" i="52"/>
  <c r="A652" i="52"/>
  <c r="C651" i="52"/>
  <c r="A651" i="52"/>
  <c r="M628" i="52"/>
  <c r="L628" i="52"/>
  <c r="I628" i="52"/>
  <c r="A628" i="52"/>
  <c r="C616" i="52"/>
  <c r="A616" i="52"/>
  <c r="C615" i="52"/>
  <c r="A615" i="52"/>
  <c r="C614" i="52"/>
  <c r="A614" i="52"/>
  <c r="C613" i="52"/>
  <c r="A613" i="52"/>
  <c r="G593" i="52"/>
  <c r="F593" i="52"/>
  <c r="C593" i="52"/>
  <c r="A593" i="52"/>
  <c r="M590" i="52"/>
  <c r="L590" i="52"/>
  <c r="I590" i="52"/>
  <c r="A590" i="52"/>
  <c r="C578" i="52"/>
  <c r="A578" i="52"/>
  <c r="C577" i="52"/>
  <c r="A577" i="52"/>
  <c r="C576" i="52"/>
  <c r="A576" i="52"/>
  <c r="C575" i="52"/>
  <c r="A575" i="52"/>
  <c r="G555" i="52"/>
  <c r="F555" i="52"/>
  <c r="C555" i="52"/>
  <c r="A555" i="52"/>
  <c r="M552" i="52"/>
  <c r="L552" i="52"/>
  <c r="I552" i="52"/>
  <c r="A552" i="52"/>
  <c r="C541" i="52"/>
  <c r="A541" i="52"/>
  <c r="C540" i="52"/>
  <c r="A540" i="52"/>
  <c r="C539" i="52"/>
  <c r="A539" i="52"/>
  <c r="C538" i="52"/>
  <c r="A538" i="52"/>
  <c r="G521" i="52"/>
  <c r="F521" i="52"/>
  <c r="C521" i="52"/>
  <c r="A521" i="52"/>
  <c r="M518" i="52"/>
  <c r="L518" i="52"/>
  <c r="I518" i="52"/>
  <c r="A518" i="52"/>
  <c r="C506" i="52"/>
  <c r="A506" i="52"/>
  <c r="C505" i="52"/>
  <c r="A505" i="52"/>
  <c r="M482" i="52"/>
  <c r="L482" i="52"/>
  <c r="I482" i="52"/>
  <c r="A482" i="52"/>
  <c r="C470" i="52"/>
  <c r="A470" i="52"/>
  <c r="C469" i="52"/>
  <c r="A469" i="52"/>
  <c r="M446" i="52"/>
  <c r="L446" i="52"/>
  <c r="I446" i="52"/>
  <c r="A446" i="52"/>
  <c r="C434" i="52"/>
  <c r="A434" i="52"/>
  <c r="C433" i="52"/>
  <c r="A433" i="52"/>
  <c r="M410" i="52"/>
  <c r="L410" i="52"/>
  <c r="I410" i="52"/>
  <c r="A410" i="52"/>
  <c r="C398" i="52"/>
  <c r="A398" i="52"/>
  <c r="C397" i="52"/>
  <c r="A397" i="52"/>
  <c r="M374" i="52"/>
  <c r="L374" i="52"/>
  <c r="I374" i="52"/>
  <c r="A374" i="52"/>
  <c r="C362" i="52"/>
  <c r="A362" i="52"/>
  <c r="C361" i="52"/>
  <c r="A361" i="52"/>
  <c r="M338" i="52"/>
  <c r="L338" i="52"/>
  <c r="I338" i="52"/>
  <c r="A338" i="52"/>
  <c r="C326" i="52"/>
  <c r="A326" i="52"/>
  <c r="C325" i="52"/>
  <c r="A325" i="52"/>
  <c r="M302" i="52"/>
  <c r="L302" i="52"/>
  <c r="I302" i="52"/>
  <c r="A302" i="52"/>
  <c r="F294" i="52"/>
  <c r="E294" i="52"/>
  <c r="D294" i="52"/>
  <c r="C294" i="52"/>
  <c r="A294" i="52"/>
  <c r="D287" i="52"/>
  <c r="I287" i="52" s="1"/>
  <c r="I288" i="52" s="1"/>
  <c r="C287" i="52"/>
  <c r="A287" i="52"/>
  <c r="I275" i="52"/>
  <c r="I276" i="52" s="1"/>
  <c r="A275" i="52"/>
  <c r="M269" i="52"/>
  <c r="L269" i="52"/>
  <c r="I269" i="52"/>
  <c r="A269" i="52"/>
  <c r="C258" i="52"/>
  <c r="A258" i="52"/>
  <c r="C257" i="52"/>
  <c r="A257" i="52"/>
  <c r="M238" i="52"/>
  <c r="L238" i="52"/>
  <c r="I238" i="52"/>
  <c r="A238" i="52"/>
  <c r="C226" i="52"/>
  <c r="A226" i="52"/>
  <c r="C225" i="52"/>
  <c r="A225" i="52"/>
  <c r="M202" i="52"/>
  <c r="L202" i="52"/>
  <c r="I202" i="52"/>
  <c r="A202" i="52"/>
  <c r="F194" i="52"/>
  <c r="E194" i="52"/>
  <c r="D194" i="52"/>
  <c r="C194" i="52"/>
  <c r="A194" i="52"/>
  <c r="C190" i="52"/>
  <c r="A190" i="52"/>
  <c r="C189" i="52"/>
  <c r="A189" i="52"/>
  <c r="C188" i="52"/>
  <c r="A188" i="52"/>
  <c r="C187" i="52"/>
  <c r="A187" i="52"/>
  <c r="D183" i="52"/>
  <c r="I183" i="52" s="1"/>
  <c r="I184" i="52" s="1"/>
  <c r="C183" i="52"/>
  <c r="A183" i="52"/>
  <c r="A171" i="52"/>
  <c r="I170" i="52"/>
  <c r="A170" i="52"/>
  <c r="I169" i="52"/>
  <c r="A169" i="52"/>
  <c r="G165" i="52"/>
  <c r="F165" i="52"/>
  <c r="C165" i="52"/>
  <c r="A165" i="52"/>
  <c r="I162" i="52"/>
  <c r="A162" i="52"/>
  <c r="L161" i="52"/>
  <c r="I134" i="52"/>
  <c r="A134" i="52"/>
  <c r="I133" i="52"/>
  <c r="A133" i="52"/>
  <c r="G129" i="52"/>
  <c r="F129" i="52"/>
  <c r="C129" i="52"/>
  <c r="A129" i="52"/>
  <c r="G128" i="52"/>
  <c r="F128" i="52"/>
  <c r="C128" i="52"/>
  <c r="A128" i="52"/>
  <c r="G127" i="52"/>
  <c r="F127" i="52"/>
  <c r="C127" i="52"/>
  <c r="A127" i="52"/>
  <c r="G126" i="52"/>
  <c r="F126" i="52"/>
  <c r="C126" i="52"/>
  <c r="A126" i="52"/>
  <c r="G125" i="52"/>
  <c r="F125" i="52"/>
  <c r="C125" i="52"/>
  <c r="A125" i="52"/>
  <c r="G124" i="52"/>
  <c r="F124" i="52"/>
  <c r="C124" i="52"/>
  <c r="A124" i="52"/>
  <c r="I121" i="52"/>
  <c r="A121" i="52"/>
  <c r="M120" i="52"/>
  <c r="L120" i="52"/>
  <c r="I93" i="52"/>
  <c r="A93" i="52"/>
  <c r="I92" i="52"/>
  <c r="A92" i="52"/>
  <c r="G88" i="52"/>
  <c r="F88" i="52"/>
  <c r="C88" i="52"/>
  <c r="A88" i="52"/>
  <c r="G87" i="52"/>
  <c r="F87" i="52"/>
  <c r="C87" i="52"/>
  <c r="A87" i="52"/>
  <c r="G86" i="52"/>
  <c r="F86" i="52"/>
  <c r="C86" i="52"/>
  <c r="A86" i="52"/>
  <c r="G85" i="52"/>
  <c r="F85" i="52"/>
  <c r="C85" i="52"/>
  <c r="A85" i="52"/>
  <c r="G84" i="52"/>
  <c r="F84" i="52"/>
  <c r="C84" i="52"/>
  <c r="A84" i="52"/>
  <c r="G83" i="52"/>
  <c r="F83" i="52"/>
  <c r="C83" i="52"/>
  <c r="A83" i="52"/>
  <c r="I80" i="52"/>
  <c r="A80" i="52"/>
  <c r="M79" i="52"/>
  <c r="L79" i="52"/>
  <c r="I52" i="52"/>
  <c r="A52" i="52"/>
  <c r="I51" i="52"/>
  <c r="A51" i="52"/>
  <c r="G47" i="52"/>
  <c r="F47" i="52"/>
  <c r="C47" i="52"/>
  <c r="A47" i="52"/>
  <c r="G46" i="52"/>
  <c r="F46" i="52"/>
  <c r="C46" i="52"/>
  <c r="A46" i="52"/>
  <c r="I43" i="52"/>
  <c r="A43" i="52"/>
  <c r="M42" i="52"/>
  <c r="L42" i="52"/>
  <c r="I15" i="52"/>
  <c r="A15" i="52"/>
  <c r="I14" i="52"/>
  <c r="A14" i="52"/>
  <c r="G10" i="52"/>
  <c r="F10" i="52"/>
  <c r="C10" i="52"/>
  <c r="A10" i="52"/>
  <c r="I7" i="52"/>
  <c r="A7" i="52"/>
  <c r="M6" i="52"/>
  <c r="L6" i="52"/>
  <c r="F4914" i="52"/>
  <c r="I4899" i="52"/>
  <c r="I4898" i="52"/>
  <c r="I4884" i="52"/>
  <c r="I4876" i="52"/>
  <c r="A4876" i="52"/>
  <c r="A4875" i="52"/>
  <c r="F4873" i="52"/>
  <c r="I4864" i="52"/>
  <c r="I4857" i="52"/>
  <c r="I4833" i="52"/>
  <c r="A4833" i="52"/>
  <c r="A4832" i="52"/>
  <c r="F4830" i="52"/>
  <c r="I4817" i="52"/>
  <c r="I4801" i="52"/>
  <c r="I4793" i="52"/>
  <c r="A4793" i="52"/>
  <c r="A4792" i="52"/>
  <c r="F4790" i="52"/>
  <c r="I4779" i="52"/>
  <c r="I4780" i="52" s="1"/>
  <c r="I4758" i="52"/>
  <c r="A4758" i="52"/>
  <c r="A4757" i="52"/>
  <c r="F4755" i="52"/>
  <c r="I4728" i="52"/>
  <c r="I4716" i="52"/>
  <c r="A4716" i="52"/>
  <c r="A4715" i="52"/>
  <c r="F4713" i="52"/>
  <c r="I4686" i="52"/>
  <c r="I4677" i="52"/>
  <c r="A4677" i="52"/>
  <c r="A4676" i="52"/>
  <c r="F4674" i="52"/>
  <c r="I4671" i="52"/>
  <c r="I4667" i="52"/>
  <c r="I4643" i="52"/>
  <c r="I4638" i="52"/>
  <c r="A4638" i="52"/>
  <c r="A4637" i="52"/>
  <c r="F4635" i="52"/>
  <c r="I4606" i="52"/>
  <c r="I4601" i="52"/>
  <c r="A4601" i="52"/>
  <c r="A4600" i="52"/>
  <c r="F4598" i="52"/>
  <c r="I4591" i="52"/>
  <c r="I4586" i="52"/>
  <c r="I4572" i="52"/>
  <c r="I4564" i="52"/>
  <c r="A4564" i="52"/>
  <c r="A4563" i="52"/>
  <c r="F4561" i="52"/>
  <c r="I4555" i="52"/>
  <c r="I4531" i="52"/>
  <c r="A4531" i="52"/>
  <c r="A4530" i="52"/>
  <c r="F4528" i="52"/>
  <c r="I4522" i="52"/>
  <c r="I4498" i="52"/>
  <c r="A4498" i="52"/>
  <c r="A4497" i="52"/>
  <c r="F4495" i="52"/>
  <c r="I4489" i="52"/>
  <c r="I4484" i="52"/>
  <c r="I4478" i="52"/>
  <c r="I4480" i="52" s="1"/>
  <c r="I4466" i="52"/>
  <c r="A4466" i="52"/>
  <c r="A4465" i="52"/>
  <c r="F4463" i="52"/>
  <c r="I4457" i="52"/>
  <c r="I4433" i="52"/>
  <c r="A4433" i="52"/>
  <c r="A4432" i="52"/>
  <c r="F4430" i="52"/>
  <c r="I4424" i="52"/>
  <c r="I4400" i="52"/>
  <c r="A4400" i="52"/>
  <c r="A4399" i="52"/>
  <c r="F4397" i="52"/>
  <c r="I4391" i="52"/>
  <c r="I4374" i="52"/>
  <c r="I4367" i="52"/>
  <c r="A4367" i="52"/>
  <c r="A4366" i="52"/>
  <c r="F4364" i="52"/>
  <c r="I4358" i="52"/>
  <c r="I4353" i="52"/>
  <c r="I4333" i="52"/>
  <c r="M4332" i="52"/>
  <c r="L4332" i="52"/>
  <c r="I4332" i="52"/>
  <c r="A4332" i="52"/>
  <c r="A4331" i="52"/>
  <c r="F4329" i="52"/>
  <c r="I4301" i="52"/>
  <c r="I4292" i="52"/>
  <c r="A4292" i="52"/>
  <c r="A4291" i="52"/>
  <c r="F4289" i="52"/>
  <c r="I4281" i="52"/>
  <c r="I4262" i="52"/>
  <c r="I4253" i="52"/>
  <c r="A4253" i="52"/>
  <c r="A4252" i="52"/>
  <c r="F4250" i="52"/>
  <c r="I4241" i="52"/>
  <c r="I4210" i="52"/>
  <c r="A4210" i="52"/>
  <c r="A4209" i="52"/>
  <c r="F4207" i="52"/>
  <c r="I4200" i="52"/>
  <c r="I4188" i="52"/>
  <c r="I4184" i="52"/>
  <c r="I4173" i="52"/>
  <c r="A4173" i="52"/>
  <c r="A4172" i="52"/>
  <c r="F4170" i="52"/>
  <c r="I4166" i="52"/>
  <c r="I4167" i="52" s="1"/>
  <c r="I4163" i="52"/>
  <c r="I4158" i="52"/>
  <c r="I4159" i="52" s="1"/>
  <c r="A4136" i="52"/>
  <c r="F4134" i="52"/>
  <c r="I4130" i="52"/>
  <c r="I4131" i="52" s="1"/>
  <c r="I4127" i="52"/>
  <c r="I4122" i="52"/>
  <c r="I4123" i="52" s="1"/>
  <c r="A4100" i="52"/>
  <c r="F4098" i="52"/>
  <c r="I4094" i="52"/>
  <c r="I4095" i="52" s="1"/>
  <c r="I4091" i="52"/>
  <c r="I4086" i="52"/>
  <c r="I4087" i="52" s="1"/>
  <c r="A4064" i="52"/>
  <c r="F4062" i="52"/>
  <c r="I4053" i="52"/>
  <c r="I4032" i="52"/>
  <c r="I4022" i="52"/>
  <c r="A4022" i="52"/>
  <c r="A4021" i="52"/>
  <c r="F4019" i="52"/>
  <c r="I3994" i="52"/>
  <c r="I3991" i="52"/>
  <c r="I3986" i="52"/>
  <c r="A3986" i="52"/>
  <c r="A3985" i="52"/>
  <c r="F3983" i="52"/>
  <c r="I3974" i="52"/>
  <c r="I3968" i="52"/>
  <c r="I3949" i="52"/>
  <c r="I3950" i="52" s="1"/>
  <c r="I3945" i="52"/>
  <c r="A3945" i="52"/>
  <c r="A3944" i="52"/>
  <c r="F3942" i="52"/>
  <c r="I3934" i="52"/>
  <c r="I3916" i="52"/>
  <c r="I3907" i="52"/>
  <c r="A3907" i="52"/>
  <c r="A3906" i="52"/>
  <c r="F3904" i="52"/>
  <c r="I3895" i="52"/>
  <c r="I3866" i="52"/>
  <c r="A3866" i="52"/>
  <c r="A3865" i="52"/>
  <c r="F3863" i="52"/>
  <c r="I3859" i="52"/>
  <c r="I3860" i="52" s="1"/>
  <c r="I3855" i="52"/>
  <c r="I3856" i="52" s="1"/>
  <c r="I3818" i="52"/>
  <c r="A3818" i="52"/>
  <c r="A3817" i="52"/>
  <c r="F3815" i="52"/>
  <c r="I3811" i="52"/>
  <c r="I3812" i="52" s="1"/>
  <c r="I3807" i="52"/>
  <c r="I3808" i="52" s="1"/>
  <c r="I3784" i="52"/>
  <c r="A3784" i="52"/>
  <c r="A3783" i="52"/>
  <c r="F3781" i="52"/>
  <c r="I3777" i="52"/>
  <c r="I3778" i="52" s="1"/>
  <c r="I3773" i="52"/>
  <c r="I3774" i="52" s="1"/>
  <c r="I3769" i="52"/>
  <c r="I3770" i="52" s="1"/>
  <c r="I3747" i="52"/>
  <c r="A3747" i="52"/>
  <c r="A3746" i="52"/>
  <c r="F3744" i="52"/>
  <c r="I3741" i="52"/>
  <c r="I3737" i="52"/>
  <c r="I3733" i="52"/>
  <c r="I3711" i="52"/>
  <c r="A3711" i="52"/>
  <c r="A3710" i="52"/>
  <c r="F3708" i="52"/>
  <c r="I3705" i="52"/>
  <c r="I3701" i="52"/>
  <c r="I3689" i="52"/>
  <c r="I3685" i="52"/>
  <c r="I3676" i="52"/>
  <c r="A3676" i="52"/>
  <c r="A3675" i="52"/>
  <c r="F3673" i="52"/>
  <c r="I3670" i="52"/>
  <c r="I3666" i="52"/>
  <c r="I3654" i="52"/>
  <c r="I3650" i="52"/>
  <c r="I3641" i="52"/>
  <c r="A3641" i="52"/>
  <c r="A3640" i="52"/>
  <c r="F3638" i="52"/>
  <c r="I3635" i="52"/>
  <c r="I3631" i="52"/>
  <c r="I3619" i="52"/>
  <c r="I3615" i="52"/>
  <c r="I3606" i="52"/>
  <c r="A3606" i="52"/>
  <c r="A3605" i="52"/>
  <c r="F3603" i="52"/>
  <c r="I3600" i="52"/>
  <c r="I3596" i="52"/>
  <c r="I3584" i="52"/>
  <c r="I3580" i="52"/>
  <c r="I3571" i="52"/>
  <c r="A3571" i="52"/>
  <c r="A3570" i="52"/>
  <c r="F3568" i="52"/>
  <c r="I3559" i="52"/>
  <c r="I3528" i="52"/>
  <c r="A3528" i="52"/>
  <c r="A3527" i="52"/>
  <c r="F3524" i="52"/>
  <c r="I3515" i="52"/>
  <c r="I3486" i="52"/>
  <c r="A3486" i="52"/>
  <c r="A3485" i="52"/>
  <c r="F3483" i="52"/>
  <c r="I3473" i="52"/>
  <c r="I3440" i="52"/>
  <c r="A3440" i="52"/>
  <c r="A3439" i="52"/>
  <c r="F3437" i="52"/>
  <c r="I3434" i="52"/>
  <c r="I3430" i="52"/>
  <c r="I3408" i="52"/>
  <c r="I3403" i="52"/>
  <c r="A3403" i="52"/>
  <c r="A3402" i="52"/>
  <c r="F3400" i="52"/>
  <c r="I3393" i="52"/>
  <c r="I3372" i="52"/>
  <c r="I3367" i="52"/>
  <c r="A3367" i="52"/>
  <c r="A3366" i="52"/>
  <c r="F3364" i="52"/>
  <c r="I3361" i="52"/>
  <c r="I3357" i="52"/>
  <c r="I3335" i="52"/>
  <c r="I3330" i="52"/>
  <c r="A3330" i="52"/>
  <c r="A3329" i="52"/>
  <c r="I3326" i="52"/>
  <c r="I3327" i="52" s="1"/>
  <c r="F3326" i="52"/>
  <c r="I3323" i="52"/>
  <c r="I3319" i="52"/>
  <c r="I3315" i="52"/>
  <c r="I3303" i="52"/>
  <c r="I3306" i="52" s="1"/>
  <c r="I3307" i="52" s="1"/>
  <c r="I3299" i="52"/>
  <c r="I3294" i="52"/>
  <c r="A3294" i="52"/>
  <c r="A3293" i="52"/>
  <c r="I3291" i="52"/>
  <c r="I3292" i="52" s="1"/>
  <c r="F3291" i="52"/>
  <c r="I3288" i="52"/>
  <c r="I3284" i="52"/>
  <c r="I3280" i="52"/>
  <c r="I3272" i="52"/>
  <c r="I3268" i="52"/>
  <c r="I3264" i="52"/>
  <c r="I3259" i="52"/>
  <c r="A3259" i="52"/>
  <c r="A3258" i="52"/>
  <c r="I3256" i="52"/>
  <c r="I3257" i="52" s="1"/>
  <c r="F3256" i="52"/>
  <c r="I3253" i="52"/>
  <c r="I3249" i="52"/>
  <c r="I3245" i="52"/>
  <c r="I3237" i="52"/>
  <c r="I3233" i="52"/>
  <c r="I3229" i="52"/>
  <c r="I3224" i="52"/>
  <c r="A3224" i="52"/>
  <c r="A3223" i="52"/>
  <c r="F3220" i="52"/>
  <c r="I3217" i="52"/>
  <c r="I3196" i="52"/>
  <c r="I3192" i="52"/>
  <c r="I3188" i="52"/>
  <c r="I3183" i="52"/>
  <c r="A3183" i="52"/>
  <c r="A3182" i="52"/>
  <c r="F3179" i="52"/>
  <c r="I3146" i="52"/>
  <c r="I3147" i="52" s="1"/>
  <c r="I3142" i="52"/>
  <c r="A3142" i="52"/>
  <c r="A3141" i="52"/>
  <c r="F3139" i="52"/>
  <c r="I3109" i="52"/>
  <c r="I3104" i="52"/>
  <c r="A3104" i="52"/>
  <c r="A3103" i="52"/>
  <c r="F3101" i="52"/>
  <c r="I3094" i="52"/>
  <c r="I3082" i="52"/>
  <c r="I3068" i="52"/>
  <c r="A3068" i="52"/>
  <c r="A3067" i="52"/>
  <c r="I3065" i="52"/>
  <c r="I3066" i="52" s="1"/>
  <c r="F3065" i="52"/>
  <c r="I3062" i="52"/>
  <c r="I3058" i="52"/>
  <c r="I3054" i="52"/>
  <c r="I3046" i="52"/>
  <c r="I3042" i="52"/>
  <c r="I3038" i="52"/>
  <c r="I3033" i="52"/>
  <c r="A3033" i="52"/>
  <c r="A3032" i="52"/>
  <c r="I3030" i="52"/>
  <c r="I3031" i="52" s="1"/>
  <c r="F3030" i="52"/>
  <c r="I3027" i="52"/>
  <c r="I3023" i="52"/>
  <c r="I3019" i="52"/>
  <c r="I3011" i="52"/>
  <c r="I3007" i="52"/>
  <c r="I3003" i="52"/>
  <c r="I2998" i="52"/>
  <c r="A2998" i="52"/>
  <c r="A2997" i="52"/>
  <c r="I2995" i="52"/>
  <c r="I2996" i="52" s="1"/>
  <c r="F2995" i="52"/>
  <c r="I2992" i="52"/>
  <c r="I2988" i="52"/>
  <c r="I2984" i="52"/>
  <c r="I2976" i="52"/>
  <c r="I2972" i="52"/>
  <c r="I2968" i="52"/>
  <c r="I2963" i="52"/>
  <c r="A2963" i="52"/>
  <c r="A2962" i="52"/>
  <c r="I2960" i="52"/>
  <c r="I2961" i="52" s="1"/>
  <c r="F2960" i="52"/>
  <c r="I2957" i="52"/>
  <c r="I2953" i="52"/>
  <c r="I2949" i="52"/>
  <c r="I2941" i="52"/>
  <c r="I2937" i="52"/>
  <c r="I2933" i="52"/>
  <c r="I2928" i="52"/>
  <c r="A2928" i="52"/>
  <c r="A2927" i="52"/>
  <c r="I2925" i="52"/>
  <c r="I2926" i="52" s="1"/>
  <c r="F2925" i="52"/>
  <c r="I2922" i="52"/>
  <c r="I2918" i="52"/>
  <c r="I2914" i="52"/>
  <c r="I2906" i="52"/>
  <c r="I2902" i="52"/>
  <c r="I2898" i="52"/>
  <c r="I2893" i="52"/>
  <c r="A2893" i="52"/>
  <c r="A2892" i="52"/>
  <c r="F2890" i="52"/>
  <c r="I2887" i="52"/>
  <c r="I2882" i="52"/>
  <c r="I2883" i="52" s="1"/>
  <c r="I2879" i="52"/>
  <c r="I2858" i="52"/>
  <c r="A2858" i="52"/>
  <c r="A2857" i="52"/>
  <c r="F2855" i="52"/>
  <c r="I2851" i="52"/>
  <c r="I2852" i="52" s="1"/>
  <c r="I2847" i="52"/>
  <c r="I2848" i="52" s="1"/>
  <c r="I2843" i="52"/>
  <c r="I2844" i="52" s="1"/>
  <c r="I2836" i="52"/>
  <c r="I2822" i="52"/>
  <c r="A2822" i="52"/>
  <c r="A2821" i="52"/>
  <c r="F2819" i="52"/>
  <c r="I2815" i="52"/>
  <c r="I2816" i="52" s="1"/>
  <c r="I2812" i="52"/>
  <c r="I2808" i="52"/>
  <c r="I2800" i="52"/>
  <c r="I2794" i="52"/>
  <c r="I2785" i="52"/>
  <c r="A2785" i="52"/>
  <c r="A2784" i="52"/>
  <c r="F2782" i="52"/>
  <c r="I2763" i="52"/>
  <c r="I2749" i="52"/>
  <c r="A2749" i="52"/>
  <c r="A2748" i="52"/>
  <c r="F2746" i="52"/>
  <c r="I2727" i="52"/>
  <c r="I2713" i="52"/>
  <c r="A2713" i="52"/>
  <c r="A2712" i="52"/>
  <c r="F2710" i="52"/>
  <c r="I2684" i="52"/>
  <c r="I2676" i="52"/>
  <c r="A2676" i="52"/>
  <c r="A2675" i="52"/>
  <c r="F2673" i="52"/>
  <c r="I2639" i="52"/>
  <c r="A2639" i="52"/>
  <c r="A2638" i="52"/>
  <c r="F2636" i="52"/>
  <c r="I2604" i="52"/>
  <c r="A2604" i="52"/>
  <c r="A2603" i="52"/>
  <c r="F2601" i="52"/>
  <c r="I2575" i="52"/>
  <c r="I2567" i="52"/>
  <c r="A2567" i="52"/>
  <c r="A2566" i="52"/>
  <c r="F2564" i="52"/>
  <c r="I2527" i="52"/>
  <c r="A2527" i="52"/>
  <c r="A2526" i="52"/>
  <c r="F2524" i="52"/>
  <c r="I2521" i="52"/>
  <c r="I2517" i="52"/>
  <c r="I2513" i="52"/>
  <c r="I2491" i="52"/>
  <c r="A2491" i="52"/>
  <c r="A2490" i="52"/>
  <c r="F2488" i="52"/>
  <c r="I2485" i="52"/>
  <c r="I2481" i="52"/>
  <c r="I2469" i="52"/>
  <c r="I2459" i="52"/>
  <c r="I2454" i="52"/>
  <c r="A2454" i="52"/>
  <c r="A2453" i="52"/>
  <c r="F2451" i="52"/>
  <c r="I2418" i="52"/>
  <c r="A2418" i="52"/>
  <c r="A2417" i="52"/>
  <c r="F2415" i="52"/>
  <c r="I2406" i="52"/>
  <c r="I2407" i="52" s="1"/>
  <c r="I2383" i="52"/>
  <c r="I2384" i="52" s="1"/>
  <c r="I2379" i="52"/>
  <c r="A2379" i="52"/>
  <c r="A2378" i="52"/>
  <c r="F2376" i="52"/>
  <c r="I2373" i="52"/>
  <c r="I2368" i="52"/>
  <c r="I2364" i="52"/>
  <c r="I2343" i="52"/>
  <c r="A2343" i="52"/>
  <c r="A2342" i="52"/>
  <c r="F2340" i="52"/>
  <c r="I2337" i="52"/>
  <c r="I2333" i="52"/>
  <c r="I2293" i="52"/>
  <c r="A2293" i="52"/>
  <c r="A2292" i="52"/>
  <c r="F2289" i="52"/>
  <c r="I2286" i="52"/>
  <c r="I2282" i="52"/>
  <c r="I2260" i="52"/>
  <c r="I2255" i="52"/>
  <c r="A2255" i="52"/>
  <c r="A2254" i="52"/>
  <c r="F2252" i="52"/>
  <c r="I2249" i="52"/>
  <c r="I2245" i="52"/>
  <c r="I2233" i="52"/>
  <c r="I2225" i="52"/>
  <c r="I2220" i="52"/>
  <c r="A2220" i="52"/>
  <c r="A2219" i="52"/>
  <c r="F2217" i="52"/>
  <c r="I2188" i="52"/>
  <c r="I2183" i="52"/>
  <c r="A2183" i="52"/>
  <c r="A2182" i="52"/>
  <c r="F2180" i="52"/>
  <c r="I2177" i="52"/>
  <c r="I2173" i="52"/>
  <c r="I2134" i="52"/>
  <c r="A2134" i="52"/>
  <c r="A2133" i="52"/>
  <c r="F2131" i="52"/>
  <c r="I2107" i="52"/>
  <c r="I2097" i="52"/>
  <c r="A2097" i="52"/>
  <c r="A2096" i="52"/>
  <c r="F2094" i="52"/>
  <c r="I2060" i="52"/>
  <c r="A2060" i="52"/>
  <c r="A2059" i="52"/>
  <c r="F2057" i="52"/>
  <c r="I2054" i="52"/>
  <c r="I2050" i="52"/>
  <c r="I2037" i="52"/>
  <c r="I2020" i="52"/>
  <c r="A2020" i="52"/>
  <c r="A2019" i="52"/>
  <c r="F2017" i="52"/>
  <c r="I1980" i="52"/>
  <c r="A1980" i="52"/>
  <c r="A1979" i="52"/>
  <c r="F1977" i="52"/>
  <c r="I1967" i="52"/>
  <c r="I1968" i="52" s="1"/>
  <c r="I1939" i="52"/>
  <c r="A1939" i="52"/>
  <c r="A1938" i="52"/>
  <c r="F1936" i="52"/>
  <c r="I1933" i="52"/>
  <c r="I1893" i="52"/>
  <c r="A1893" i="52"/>
  <c r="A1892" i="52"/>
  <c r="F1890" i="52"/>
  <c r="I1887" i="52"/>
  <c r="I1862" i="52"/>
  <c r="I1857" i="52"/>
  <c r="A1857" i="52"/>
  <c r="A1856" i="52"/>
  <c r="F1854" i="52"/>
  <c r="I1818" i="52"/>
  <c r="A1818" i="52"/>
  <c r="A1817" i="52"/>
  <c r="I1813" i="52"/>
  <c r="I1808" i="52"/>
  <c r="I1809" i="52" s="1"/>
  <c r="I1805" i="52"/>
  <c r="I1793" i="52"/>
  <c r="I1796" i="52" s="1"/>
  <c r="I1797" i="52" s="1"/>
  <c r="I1789" i="52"/>
  <c r="I1784" i="52"/>
  <c r="A1784" i="52"/>
  <c r="A1783" i="52"/>
  <c r="I1779" i="52"/>
  <c r="I1774" i="52"/>
  <c r="I1775" i="52" s="1"/>
  <c r="I1759" i="52"/>
  <c r="I1755" i="52"/>
  <c r="I1750" i="52"/>
  <c r="A1750" i="52"/>
  <c r="A1749" i="52"/>
  <c r="I1742" i="52"/>
  <c r="I1733" i="52"/>
  <c r="I1735" i="52" s="1"/>
  <c r="I1721" i="52"/>
  <c r="A1721" i="52"/>
  <c r="A1720" i="52"/>
  <c r="I1713" i="52"/>
  <c r="I1704" i="52"/>
  <c r="I1706" i="52" s="1"/>
  <c r="I1692" i="52"/>
  <c r="A1692" i="52"/>
  <c r="A1691" i="52"/>
  <c r="I1687" i="52"/>
  <c r="I1683" i="52"/>
  <c r="I1682" i="52"/>
  <c r="I1667" i="52"/>
  <c r="I1670" i="52" s="1"/>
  <c r="I1671" i="52" s="1"/>
  <c r="I1663" i="52"/>
  <c r="I1658" i="52"/>
  <c r="A1658" i="52"/>
  <c r="A1657" i="52"/>
  <c r="F1655" i="52"/>
  <c r="I1613" i="52"/>
  <c r="A1613" i="52"/>
  <c r="A1612" i="52"/>
  <c r="I1605" i="52"/>
  <c r="I1593" i="52"/>
  <c r="I1595" i="52" s="1"/>
  <c r="I1597" i="52" s="1"/>
  <c r="I1581" i="52"/>
  <c r="A1581" i="52"/>
  <c r="A1580" i="52"/>
  <c r="F1578" i="52"/>
  <c r="I1569" i="52"/>
  <c r="I1570" i="52" s="1"/>
  <c r="I1536" i="52"/>
  <c r="A1536" i="52"/>
  <c r="A1535" i="52"/>
  <c r="F1533" i="52"/>
  <c r="I1527" i="52"/>
  <c r="I1517" i="52"/>
  <c r="I1500" i="52"/>
  <c r="A1500" i="52"/>
  <c r="A1499" i="52"/>
  <c r="F1497" i="52"/>
  <c r="I1480" i="52"/>
  <c r="I1461" i="52"/>
  <c r="A1461" i="52"/>
  <c r="A1460" i="52"/>
  <c r="F1458" i="52"/>
  <c r="I1440" i="52"/>
  <c r="I1418" i="52"/>
  <c r="A1418" i="52"/>
  <c r="A1417" i="52"/>
  <c r="F1415" i="52"/>
  <c r="I1412" i="52"/>
  <c r="I1407" i="52"/>
  <c r="I1408" i="52" s="1"/>
  <c r="I1403" i="52"/>
  <c r="I1404" i="52" s="1"/>
  <c r="I1374" i="52"/>
  <c r="A1374" i="52"/>
  <c r="A1373" i="52"/>
  <c r="F1371" i="52"/>
  <c r="I1368" i="52"/>
  <c r="I1363" i="52"/>
  <c r="I1364" i="52" s="1"/>
  <c r="I1359" i="52"/>
  <c r="I1360" i="52" s="1"/>
  <c r="E1342" i="52"/>
  <c r="E1341" i="52"/>
  <c r="E1340" i="52"/>
  <c r="E1339" i="52"/>
  <c r="E1338" i="52"/>
  <c r="E1337" i="52"/>
  <c r="E1336" i="52"/>
  <c r="I1332" i="52"/>
  <c r="A1332" i="52"/>
  <c r="A1331" i="52"/>
  <c r="F1329" i="52"/>
  <c r="I1310" i="52"/>
  <c r="I1312" i="52" s="1"/>
  <c r="I1298" i="52"/>
  <c r="A1298" i="52"/>
  <c r="A1297" i="52"/>
  <c r="F1295" i="52"/>
  <c r="I1264" i="52"/>
  <c r="A1264" i="52"/>
  <c r="A1263" i="52"/>
  <c r="F1261" i="52"/>
  <c r="I1222" i="52"/>
  <c r="A1222" i="52"/>
  <c r="A1221" i="52"/>
  <c r="F1219" i="52"/>
  <c r="I1216" i="52"/>
  <c r="I1204" i="52"/>
  <c r="I1187" i="52"/>
  <c r="I1182" i="52"/>
  <c r="A1182" i="52"/>
  <c r="A1181" i="52"/>
  <c r="F1179" i="52"/>
  <c r="I1176" i="52"/>
  <c r="I1168" i="52"/>
  <c r="I1156" i="52"/>
  <c r="I1159" i="52" s="1"/>
  <c r="I1160" i="52" s="1"/>
  <c r="I1152" i="52"/>
  <c r="I1147" i="52"/>
  <c r="A1147" i="52"/>
  <c r="A1146" i="52"/>
  <c r="F1144" i="52"/>
  <c r="I1141" i="52"/>
  <c r="I1114" i="52"/>
  <c r="I1109" i="52"/>
  <c r="A1109" i="52"/>
  <c r="A1108" i="52"/>
  <c r="F1106" i="52"/>
  <c r="I1103" i="52"/>
  <c r="I1075" i="52"/>
  <c r="I1070" i="52"/>
  <c r="A1070" i="52"/>
  <c r="A1069" i="52"/>
  <c r="F1067" i="52"/>
  <c r="I1064" i="52"/>
  <c r="I1052" i="52"/>
  <c r="I1044" i="52"/>
  <c r="I1040" i="52"/>
  <c r="I1036" i="52"/>
  <c r="I1031" i="52"/>
  <c r="A1031" i="52"/>
  <c r="A1030" i="52"/>
  <c r="F1028" i="52"/>
  <c r="I995" i="52"/>
  <c r="I990" i="52"/>
  <c r="A990" i="52"/>
  <c r="A989" i="52"/>
  <c r="F987" i="52"/>
  <c r="I967" i="52"/>
  <c r="I958" i="52"/>
  <c r="I953" i="52"/>
  <c r="A953" i="52"/>
  <c r="A952" i="52"/>
  <c r="F950" i="52"/>
  <c r="I931" i="52"/>
  <c r="I933" i="52" s="1"/>
  <c r="I919" i="52"/>
  <c r="A919" i="52"/>
  <c r="A918" i="52"/>
  <c r="F916" i="52"/>
  <c r="I897" i="52"/>
  <c r="I899" i="52" s="1"/>
  <c r="I885" i="52"/>
  <c r="A885" i="52"/>
  <c r="A884" i="52"/>
  <c r="F882" i="52"/>
  <c r="I879" i="52"/>
  <c r="I867" i="52"/>
  <c r="I855" i="52"/>
  <c r="I858" i="52" s="1"/>
  <c r="I859" i="52" s="1"/>
  <c r="I851" i="52"/>
  <c r="I846" i="52"/>
  <c r="A846" i="52"/>
  <c r="A845" i="52"/>
  <c r="F843" i="52"/>
  <c r="I840" i="52"/>
  <c r="I828" i="52"/>
  <c r="I816" i="52"/>
  <c r="I819" i="52" s="1"/>
  <c r="I820" i="52" s="1"/>
  <c r="I812" i="52"/>
  <c r="I807" i="52"/>
  <c r="A807" i="52"/>
  <c r="A806" i="52"/>
  <c r="F804" i="52"/>
  <c r="I785" i="52"/>
  <c r="I787" i="52" s="1"/>
  <c r="I773" i="52"/>
  <c r="A773" i="52"/>
  <c r="A772" i="52"/>
  <c r="F770" i="52"/>
  <c r="I751" i="52"/>
  <c r="I753" i="52" s="1"/>
  <c r="I739" i="52"/>
  <c r="A739" i="52"/>
  <c r="A738" i="52"/>
  <c r="F736" i="52"/>
  <c r="I733" i="52"/>
  <c r="I721" i="52"/>
  <c r="I722" i="52" s="1"/>
  <c r="I710" i="52"/>
  <c r="I713" i="52" s="1"/>
  <c r="I714" i="52" s="1"/>
  <c r="I706" i="52"/>
  <c r="I701" i="52"/>
  <c r="A701" i="52"/>
  <c r="A700" i="52"/>
  <c r="F698" i="52"/>
  <c r="I694" i="52"/>
  <c r="I695" i="52" s="1"/>
  <c r="I684" i="52"/>
  <c r="I685" i="52" s="1"/>
  <c r="I672" i="52"/>
  <c r="I673" i="52" s="1"/>
  <c r="I676" i="52" s="1"/>
  <c r="I677" i="52" s="1"/>
  <c r="I669" i="52"/>
  <c r="I664" i="52"/>
  <c r="A664" i="52"/>
  <c r="A663" i="52"/>
  <c r="F661" i="52"/>
  <c r="I657" i="52"/>
  <c r="I658" i="52" s="1"/>
  <c r="I647" i="52"/>
  <c r="I648" i="52" s="1"/>
  <c r="I635" i="52"/>
  <c r="I636" i="52" s="1"/>
  <c r="I639" i="52" s="1"/>
  <c r="I640" i="52" s="1"/>
  <c r="I632" i="52"/>
  <c r="I627" i="52"/>
  <c r="A627" i="52"/>
  <c r="A626" i="52"/>
  <c r="F624" i="52"/>
  <c r="I621" i="52"/>
  <c r="I610" i="52"/>
  <c r="I602" i="52"/>
  <c r="I598" i="52"/>
  <c r="I589" i="52"/>
  <c r="A589" i="52"/>
  <c r="A588" i="52"/>
  <c r="F586" i="52"/>
  <c r="I583" i="52"/>
  <c r="I572" i="52"/>
  <c r="I564" i="52"/>
  <c r="I560" i="52"/>
  <c r="I551" i="52"/>
  <c r="A551" i="52"/>
  <c r="A550" i="52"/>
  <c r="F548" i="52"/>
  <c r="I517" i="52"/>
  <c r="A517" i="52"/>
  <c r="A516" i="52"/>
  <c r="F514" i="52"/>
  <c r="I511" i="52"/>
  <c r="I502" i="52"/>
  <c r="I494" i="52"/>
  <c r="I490" i="52"/>
  <c r="I486" i="52"/>
  <c r="I481" i="52"/>
  <c r="A481" i="52"/>
  <c r="A480" i="52"/>
  <c r="F478" i="52"/>
  <c r="I475" i="52"/>
  <c r="I466" i="52"/>
  <c r="I458" i="52"/>
  <c r="I454" i="52"/>
  <c r="I450" i="52"/>
  <c r="I445" i="52"/>
  <c r="A445" i="52"/>
  <c r="A444" i="52"/>
  <c r="F442" i="52"/>
  <c r="I439" i="52"/>
  <c r="I430" i="52"/>
  <c r="I422" i="52"/>
  <c r="I418" i="52"/>
  <c r="I414" i="52"/>
  <c r="I409" i="52"/>
  <c r="A409" i="52"/>
  <c r="A408" i="52"/>
  <c r="F406" i="52"/>
  <c r="I403" i="52"/>
  <c r="I394" i="52"/>
  <c r="I386" i="52"/>
  <c r="I382" i="52"/>
  <c r="I378" i="52"/>
  <c r="I373" i="52"/>
  <c r="A373" i="52"/>
  <c r="A372" i="52"/>
  <c r="F370" i="52"/>
  <c r="I367" i="52"/>
  <c r="I358" i="52"/>
  <c r="I350" i="52"/>
  <c r="I346" i="52"/>
  <c r="I342" i="52"/>
  <c r="I337" i="52"/>
  <c r="A337" i="52"/>
  <c r="A336" i="52"/>
  <c r="F334" i="52"/>
  <c r="I331" i="52"/>
  <c r="I322" i="52"/>
  <c r="I314" i="52"/>
  <c r="I310" i="52"/>
  <c r="I306" i="52"/>
  <c r="I301" i="52"/>
  <c r="A301" i="52"/>
  <c r="A300" i="52"/>
  <c r="F298" i="52"/>
  <c r="I268" i="52"/>
  <c r="A268" i="52"/>
  <c r="A267" i="52"/>
  <c r="F265" i="52"/>
  <c r="I249" i="52"/>
  <c r="I251" i="52" s="1"/>
  <c r="I237" i="52"/>
  <c r="A237" i="52"/>
  <c r="A236" i="52"/>
  <c r="F234" i="52"/>
  <c r="I231" i="52"/>
  <c r="I222" i="52"/>
  <c r="I214" i="52"/>
  <c r="I210" i="52"/>
  <c r="I206" i="52"/>
  <c r="I201" i="52"/>
  <c r="A201" i="52"/>
  <c r="A200" i="52"/>
  <c r="F198" i="52"/>
  <c r="I171" i="52"/>
  <c r="I161" i="52"/>
  <c r="A161" i="52"/>
  <c r="A160" i="52"/>
  <c r="F158" i="52"/>
  <c r="I154" i="52"/>
  <c r="I155" i="52" s="1"/>
  <c r="I150" i="52"/>
  <c r="I151" i="52" s="1"/>
  <c r="I146" i="52"/>
  <c r="I147" i="52" s="1"/>
  <c r="I139" i="52"/>
  <c r="I120" i="52"/>
  <c r="I4065" i="52" s="1"/>
  <c r="I4101" i="52" s="1"/>
  <c r="I4137" i="52" s="1"/>
  <c r="A120" i="52"/>
  <c r="A119" i="52"/>
  <c r="F117" i="52"/>
  <c r="I113" i="52"/>
  <c r="I114" i="52" s="1"/>
  <c r="I109" i="52"/>
  <c r="I110" i="52" s="1"/>
  <c r="I105" i="52"/>
  <c r="I106" i="52" s="1"/>
  <c r="I79" i="52"/>
  <c r="A79" i="52"/>
  <c r="A78" i="52"/>
  <c r="F76" i="52"/>
  <c r="I73" i="52"/>
  <c r="I68" i="52"/>
  <c r="I69" i="52" s="1"/>
  <c r="I64" i="52"/>
  <c r="I65" i="52" s="1"/>
  <c r="I42" i="52"/>
  <c r="A42" i="52"/>
  <c r="A41" i="52"/>
  <c r="F39" i="52"/>
  <c r="I35" i="52"/>
  <c r="I36" i="52" s="1"/>
  <c r="I31" i="52"/>
  <c r="I32" i="52" s="1"/>
  <c r="I27" i="52"/>
  <c r="I28" i="52" s="1"/>
  <c r="I6" i="52"/>
  <c r="A6" i="52"/>
  <c r="A5" i="52"/>
  <c r="I4027" i="52" l="1"/>
  <c r="I3239" i="52"/>
  <c r="I3241" i="52" s="1"/>
  <c r="I1921" i="52"/>
  <c r="I2347" i="52"/>
  <c r="I2348" i="52" s="1"/>
  <c r="I2358" i="52" s="1"/>
  <c r="I2360" i="52" s="1"/>
  <c r="I3751" i="52"/>
  <c r="I3870" i="52"/>
  <c r="I3871" i="52" s="1"/>
  <c r="K3294" i="52"/>
  <c r="G4869" i="52"/>
  <c r="I4869" i="52" s="1"/>
  <c r="I388" i="52"/>
  <c r="I390" i="52" s="1"/>
  <c r="I2066" i="52"/>
  <c r="I2826" i="52"/>
  <c r="I2827" i="52" s="1"/>
  <c r="G4868" i="52"/>
  <c r="I4868" i="52" s="1"/>
  <c r="G4909" i="52"/>
  <c r="I4909" i="52" s="1"/>
  <c r="G1850" i="52"/>
  <c r="I1850" i="52" s="1"/>
  <c r="I3680" i="52"/>
  <c r="I3681" i="52" s="1"/>
  <c r="I2103" i="52"/>
  <c r="G4824" i="52"/>
  <c r="I4824" i="52" s="1"/>
  <c r="G1256" i="52"/>
  <c r="I1256" i="52" s="1"/>
  <c r="G3562" i="52"/>
  <c r="I3562" i="52" s="1"/>
  <c r="I4354" i="52"/>
  <c r="I1424" i="52"/>
  <c r="I1618" i="52"/>
  <c r="I1620" i="52"/>
  <c r="I1944" i="52"/>
  <c r="I3072" i="52"/>
  <c r="I3073" i="52" s="1"/>
  <c r="I3490" i="52"/>
  <c r="I3491" i="52" s="1"/>
  <c r="I3645" i="52"/>
  <c r="I3646" i="52" s="1"/>
  <c r="I3656" i="52" s="1"/>
  <c r="I3658" i="52" s="1"/>
  <c r="I3672" i="52" s="1"/>
  <c r="I3673" i="52" s="1"/>
  <c r="I3674" i="52" s="1"/>
  <c r="K3641" i="52" s="1"/>
  <c r="I3752" i="52"/>
  <c r="I3753" i="52" s="1"/>
  <c r="I4762" i="52"/>
  <c r="I4763" i="52" s="1"/>
  <c r="I4838" i="52"/>
  <c r="I47" i="52"/>
  <c r="I593" i="52"/>
  <c r="I594" i="52" s="1"/>
  <c r="I604" i="52" s="1"/>
  <c r="I606" i="52" s="1"/>
  <c r="F1472" i="1"/>
  <c r="G1472" i="1" s="1"/>
  <c r="I85" i="52"/>
  <c r="I124" i="52"/>
  <c r="I126" i="52"/>
  <c r="I128" i="52"/>
  <c r="G1849" i="52"/>
  <c r="I1849" i="52" s="1"/>
  <c r="G1973" i="52"/>
  <c r="I1973" i="52" s="1"/>
  <c r="I1984" i="52"/>
  <c r="I1986" i="52"/>
  <c r="I2102" i="52"/>
  <c r="I2297" i="52"/>
  <c r="I3788" i="52"/>
  <c r="I3790" i="52" s="1"/>
  <c r="I3799" i="52" s="1"/>
  <c r="I3801" i="52" s="1"/>
  <c r="I3814" i="52" s="1"/>
  <c r="I3825" i="52"/>
  <c r="I3876" i="52"/>
  <c r="I3879" i="52" s="1"/>
  <c r="I3880" i="52" s="1"/>
  <c r="I3496" i="52"/>
  <c r="I3499" i="52" s="1"/>
  <c r="I3500" i="52" s="1"/>
  <c r="I1162" i="52"/>
  <c r="I1164" i="52" s="1"/>
  <c r="I1423" i="52"/>
  <c r="I3127" i="52"/>
  <c r="I316" i="52"/>
  <c r="I318" i="52" s="1"/>
  <c r="I46" i="52"/>
  <c r="I125" i="52"/>
  <c r="I127" i="52"/>
  <c r="I129" i="52"/>
  <c r="G1650" i="52"/>
  <c r="I1650" i="52" s="1"/>
  <c r="I1985" i="52"/>
  <c r="I2101" i="52"/>
  <c r="I1342" i="52"/>
  <c r="G1574" i="52"/>
  <c r="I1574" i="52" s="1"/>
  <c r="I1575" i="52" s="1"/>
  <c r="G1024" i="52"/>
  <c r="I1024" i="52" s="1"/>
  <c r="I1025" i="52" s="1"/>
  <c r="I3930" i="52"/>
  <c r="I2759" i="52"/>
  <c r="I1504" i="52"/>
  <c r="G1972" i="52"/>
  <c r="I1972" i="52" s="1"/>
  <c r="I2138" i="52"/>
  <c r="I2140" i="52"/>
  <c r="I2298" i="52"/>
  <c r="I2300" i="52"/>
  <c r="G2597" i="52"/>
  <c r="I2597" i="52" s="1"/>
  <c r="I2598" i="52" s="1"/>
  <c r="I2706" i="52"/>
  <c r="I2707" i="52" s="1"/>
  <c r="G2742" i="52"/>
  <c r="I2742" i="52" s="1"/>
  <c r="I2743" i="52" s="1"/>
  <c r="I2789" i="52"/>
  <c r="I2862" i="52"/>
  <c r="I2863" i="52" s="1"/>
  <c r="I2873" i="52" s="1"/>
  <c r="I2875" i="52" s="1"/>
  <c r="I2889" i="52" s="1"/>
  <c r="I2890" i="52" s="1"/>
  <c r="I2891" i="52" s="1"/>
  <c r="K2858" i="52" s="1"/>
  <c r="G3135" i="52"/>
  <c r="I3135" i="52" s="1"/>
  <c r="I3136" i="52" s="1"/>
  <c r="G3520" i="52"/>
  <c r="I3520" i="52" s="1"/>
  <c r="I3532" i="52"/>
  <c r="I3534" i="52"/>
  <c r="I3823" i="52"/>
  <c r="G4594" i="52"/>
  <c r="I4594" i="52" s="1"/>
  <c r="I4595" i="52" s="1"/>
  <c r="G4749" i="52"/>
  <c r="I4749" i="52" s="1"/>
  <c r="G4786" i="52"/>
  <c r="I4786" i="52" s="1"/>
  <c r="I4787" i="52" s="1"/>
  <c r="I4797" i="52"/>
  <c r="I4798" i="52" s="1"/>
  <c r="I1505" i="52"/>
  <c r="I165" i="52"/>
  <c r="I166" i="52" s="1"/>
  <c r="I2680" i="52"/>
  <c r="I2681" i="52" s="1"/>
  <c r="I521" i="52"/>
  <c r="I522" i="52" s="1"/>
  <c r="I530" i="52" s="1"/>
  <c r="I532" i="52" s="1"/>
  <c r="I1383" i="52"/>
  <c r="I1543" i="52"/>
  <c r="G2447" i="52"/>
  <c r="I2447" i="52" s="1"/>
  <c r="I2448" i="52" s="1"/>
  <c r="G4709" i="52"/>
  <c r="I4709" i="52" s="1"/>
  <c r="I4720" i="52"/>
  <c r="G1255" i="52"/>
  <c r="I1255" i="52" s="1"/>
  <c r="I2571" i="52"/>
  <c r="I2572" i="52" s="1"/>
  <c r="I1617" i="52"/>
  <c r="I1619" i="52"/>
  <c r="I1621" i="52"/>
  <c r="G3396" i="52"/>
  <c r="I3396" i="52" s="1"/>
  <c r="I3397" i="52" s="1"/>
  <c r="I3444" i="52"/>
  <c r="G3478" i="52"/>
  <c r="I3478" i="52" s="1"/>
  <c r="G3519" i="52"/>
  <c r="I3519" i="52" s="1"/>
  <c r="I2531" i="52"/>
  <c r="I2532" i="52" s="1"/>
  <c r="I3996" i="52"/>
  <c r="I3999" i="52" s="1"/>
  <c r="I4000" i="52" s="1"/>
  <c r="I4002" i="52" s="1"/>
  <c r="I4004" i="52" s="1"/>
  <c r="G3476" i="52"/>
  <c r="I3476" i="52" s="1"/>
  <c r="I1943" i="52"/>
  <c r="I2024" i="52"/>
  <c r="I2026" i="52"/>
  <c r="I2139" i="52"/>
  <c r="I2141" i="52"/>
  <c r="I2299" i="52"/>
  <c r="G2411" i="52"/>
  <c r="I2411" i="52" s="1"/>
  <c r="I2422" i="52"/>
  <c r="I2429" i="52"/>
  <c r="I2432" i="52" s="1"/>
  <c r="I2433" i="52" s="1"/>
  <c r="G3175" i="52"/>
  <c r="I3175" i="52" s="1"/>
  <c r="G3564" i="52"/>
  <c r="I3564" i="52" s="1"/>
  <c r="G4058" i="52"/>
  <c r="I4058" i="52" s="1"/>
  <c r="I2025" i="52"/>
  <c r="I4681" i="52"/>
  <c r="I4682" i="52" s="1"/>
  <c r="I4721" i="52"/>
  <c r="I2122" i="52"/>
  <c r="G3900" i="52"/>
  <c r="I3900" i="52" s="1"/>
  <c r="G4750" i="52"/>
  <c r="I4750" i="52" s="1"/>
  <c r="I84" i="52"/>
  <c r="I86" i="52"/>
  <c r="I88" i="52"/>
  <c r="I1379" i="52"/>
  <c r="I1381" i="52"/>
  <c r="I1385" i="52"/>
  <c r="I1541" i="52"/>
  <c r="I1545" i="52"/>
  <c r="I1547" i="52"/>
  <c r="G1651" i="52"/>
  <c r="I1651" i="52" s="1"/>
  <c r="I2065" i="52"/>
  <c r="G2560" i="52"/>
  <c r="I2560" i="52" s="1"/>
  <c r="I2561" i="52" s="1"/>
  <c r="G3977" i="52"/>
  <c r="I3977" i="52" s="1"/>
  <c r="I4177" i="52"/>
  <c r="G3979" i="52"/>
  <c r="I3979" i="52" s="1"/>
  <c r="G4708" i="52"/>
  <c r="I4708" i="52" s="1"/>
  <c r="G4910" i="52"/>
  <c r="I4910" i="52" s="1"/>
  <c r="G4056" i="52"/>
  <c r="I4056" i="52" s="1"/>
  <c r="I4237" i="52"/>
  <c r="I4574" i="52"/>
  <c r="I4577" i="52" s="1"/>
  <c r="I4578" i="52" s="1"/>
  <c r="I716" i="52"/>
  <c r="I718" i="52" s="1"/>
  <c r="I1046" i="52"/>
  <c r="I1048" i="52" s="1"/>
  <c r="G983" i="52"/>
  <c r="I983" i="52" s="1"/>
  <c r="I984" i="52" s="1"/>
  <c r="I4442" i="52"/>
  <c r="I4445" i="52" s="1"/>
  <c r="I4446" i="52" s="1"/>
  <c r="I4448" i="52" s="1"/>
  <c r="I4450" i="52" s="1"/>
  <c r="I4462" i="52" s="1"/>
  <c r="K3033" i="52"/>
  <c r="I1119" i="52"/>
  <c r="I1122" i="52" s="1"/>
  <c r="I1123" i="52" s="1"/>
  <c r="I1718" i="52"/>
  <c r="I1719" i="52" s="1"/>
  <c r="K1692" i="52" s="1"/>
  <c r="I4147" i="52"/>
  <c r="I4150" i="52" s="1"/>
  <c r="I4151" i="52" s="1"/>
  <c r="G3173" i="52"/>
  <c r="I3173" i="52" s="1"/>
  <c r="G3899" i="52"/>
  <c r="I3899" i="52" s="1"/>
  <c r="G4015" i="52"/>
  <c r="I4015" i="52" s="1"/>
  <c r="I4016" i="52" s="1"/>
  <c r="I2235" i="52"/>
  <c r="I2237" i="52" s="1"/>
  <c r="I2251" i="52" s="1"/>
  <c r="I2252" i="52" s="1"/>
  <c r="I2253" i="52" s="1"/>
  <c r="K2220" i="52" s="1"/>
  <c r="I2978" i="52"/>
  <c r="I2980" i="52" s="1"/>
  <c r="K3224" i="52"/>
  <c r="F1453" i="1" s="1"/>
  <c r="I10" i="52"/>
  <c r="I11" i="52" s="1"/>
  <c r="I83" i="52"/>
  <c r="I87" i="52"/>
  <c r="I94" i="52"/>
  <c r="I97" i="52" s="1"/>
  <c r="I98" i="52" s="1"/>
  <c r="I1339" i="52"/>
  <c r="I1341" i="52"/>
  <c r="I1348" i="52"/>
  <c r="I1351" i="52" s="1"/>
  <c r="I1352" i="52" s="1"/>
  <c r="I1422" i="52"/>
  <c r="I1426" i="52"/>
  <c r="I1428" i="52"/>
  <c r="I1466" i="52"/>
  <c r="I1468" i="52"/>
  <c r="I1506" i="52"/>
  <c r="G1848" i="52"/>
  <c r="I1848" i="52" s="1"/>
  <c r="G2410" i="52"/>
  <c r="I2410" i="52" s="1"/>
  <c r="I3198" i="52"/>
  <c r="I3200" i="52" s="1"/>
  <c r="G3938" i="52"/>
  <c r="I3938" i="52" s="1"/>
  <c r="I3013" i="52"/>
  <c r="I3015" i="52" s="1"/>
  <c r="G294" i="52"/>
  <c r="I294" i="52" s="1"/>
  <c r="I295" i="52" s="1"/>
  <c r="I555" i="52"/>
  <c r="I556" i="52" s="1"/>
  <c r="I566" i="52" s="1"/>
  <c r="I568" i="52" s="1"/>
  <c r="I1540" i="52"/>
  <c r="I1542" i="52"/>
  <c r="I1544" i="52"/>
  <c r="G2778" i="52"/>
  <c r="I2778" i="52" s="1"/>
  <c r="I2779" i="52" s="1"/>
  <c r="G3563" i="52"/>
  <c r="I3563" i="52" s="1"/>
  <c r="I861" i="52"/>
  <c r="I863" i="52" s="1"/>
  <c r="I1867" i="52"/>
  <c r="I1870" i="52" s="1"/>
  <c r="I1871" i="52" s="1"/>
  <c r="G1649" i="52"/>
  <c r="I1649" i="52" s="1"/>
  <c r="G1971" i="52"/>
  <c r="I1971" i="52" s="1"/>
  <c r="G3518" i="52"/>
  <c r="I3518" i="52" s="1"/>
  <c r="G4323" i="52"/>
  <c r="I4323" i="52" s="1"/>
  <c r="G4825" i="52"/>
  <c r="I4825" i="52" s="1"/>
  <c r="I352" i="52"/>
  <c r="I354" i="52" s="1"/>
  <c r="I963" i="52"/>
  <c r="I969" i="52" s="1"/>
  <c r="I971" i="52" s="1"/>
  <c r="I1673" i="52"/>
  <c r="I1675" i="52" s="1"/>
  <c r="I1689" i="52" s="1"/>
  <c r="I1690" i="52" s="1"/>
  <c r="K1658" i="52" s="1"/>
  <c r="I1827" i="52"/>
  <c r="I1830" i="52" s="1"/>
  <c r="I1831" i="52" s="1"/>
  <c r="I1833" i="52" s="1"/>
  <c r="I1835" i="52" s="1"/>
  <c r="I2943" i="52"/>
  <c r="I2945" i="52" s="1"/>
  <c r="I3078" i="52"/>
  <c r="I3413" i="52"/>
  <c r="I3416" i="52" s="1"/>
  <c r="I3417" i="52" s="1"/>
  <c r="I4648" i="52"/>
  <c r="I4651" i="52" s="1"/>
  <c r="I4652" i="52" s="1"/>
  <c r="I4654" i="52" s="1"/>
  <c r="I4656" i="52" s="1"/>
  <c r="I1987" i="52"/>
  <c r="G3097" i="52"/>
  <c r="I3097" i="52" s="1"/>
  <c r="I3098" i="52" s="1"/>
  <c r="G3937" i="52"/>
  <c r="I3937" i="52" s="1"/>
  <c r="G3978" i="52"/>
  <c r="I3978" i="52" s="1"/>
  <c r="G4285" i="52"/>
  <c r="I4285" i="52" s="1"/>
  <c r="G4325" i="52"/>
  <c r="I4325" i="52" s="1"/>
  <c r="I216" i="52"/>
  <c r="I218" i="52" s="1"/>
  <c r="I2046" i="52"/>
  <c r="I3309" i="52"/>
  <c r="I3311" i="52" s="1"/>
  <c r="I424" i="52"/>
  <c r="I426" i="52" s="1"/>
  <c r="I1337" i="52"/>
  <c r="I1815" i="52"/>
  <c r="I1816" i="52" s="1"/>
  <c r="K1784" i="52" s="1"/>
  <c r="K2963" i="52"/>
  <c r="I3541" i="52"/>
  <c r="I3544" i="52" s="1"/>
  <c r="I3545" i="52" s="1"/>
  <c r="G3174" i="52"/>
  <c r="I3174" i="52" s="1"/>
  <c r="G3477" i="52"/>
  <c r="I3477" i="52" s="1"/>
  <c r="G4284" i="52"/>
  <c r="I4284" i="52" s="1"/>
  <c r="G4324" i="52"/>
  <c r="I4324" i="52" s="1"/>
  <c r="G4908" i="52"/>
  <c r="I4908" i="52" s="1"/>
  <c r="I460" i="52"/>
  <c r="I462" i="52" s="1"/>
  <c r="I2403" i="52"/>
  <c r="I3048" i="52"/>
  <c r="I3050" i="52" s="1"/>
  <c r="I3340" i="52"/>
  <c r="I3343" i="52" s="1"/>
  <c r="I3344" i="52" s="1"/>
  <c r="I3691" i="52"/>
  <c r="I3693" i="52" s="1"/>
  <c r="I3707" i="52" s="1"/>
  <c r="I4075" i="52"/>
  <c r="I4078" i="52" s="1"/>
  <c r="I4079" i="52" s="1"/>
  <c r="G3898" i="52"/>
  <c r="I3898" i="52" s="1"/>
  <c r="G4203" i="52"/>
  <c r="I4203" i="52" s="1"/>
  <c r="I4204" i="52" s="1"/>
  <c r="I496" i="52"/>
  <c r="I498" i="52" s="1"/>
  <c r="I679" i="52"/>
  <c r="I681" i="52" s="1"/>
  <c r="I2148" i="52"/>
  <c r="I2151" i="52" s="1"/>
  <c r="I2152" i="52" s="1"/>
  <c r="I2908" i="52"/>
  <c r="I2910" i="52" s="1"/>
  <c r="I1392" i="52"/>
  <c r="I1395" i="52" s="1"/>
  <c r="I1396" i="52" s="1"/>
  <c r="I2085" i="52"/>
  <c r="K2998" i="52"/>
  <c r="I3152" i="52"/>
  <c r="I3155" i="52" s="1"/>
  <c r="I3156" i="52" s="1"/>
  <c r="I3274" i="52"/>
  <c r="I3276" i="52" s="1"/>
  <c r="I4049" i="52"/>
  <c r="I4376" i="52"/>
  <c r="I4379" i="52" s="1"/>
  <c r="I4380" i="52" s="1"/>
  <c r="I4485" i="52"/>
  <c r="I4494" i="52" s="1"/>
  <c r="I4507" i="52"/>
  <c r="I4510" i="52" s="1"/>
  <c r="I4511" i="52" s="1"/>
  <c r="I4513" i="52" s="1"/>
  <c r="I4515" i="52" s="1"/>
  <c r="I4527" i="52" s="1"/>
  <c r="G194" i="52"/>
  <c r="I194" i="52" s="1"/>
  <c r="I195" i="52" s="1"/>
  <c r="I1336" i="52"/>
  <c r="I1340" i="52"/>
  <c r="I1425" i="52"/>
  <c r="I1427" i="52"/>
  <c r="I1429" i="52"/>
  <c r="G1454" i="52"/>
  <c r="I1454" i="52" s="1"/>
  <c r="I1455" i="52" s="1"/>
  <c r="I1897" i="52"/>
  <c r="I1898" i="52" s="1"/>
  <c r="G2669" i="52"/>
  <c r="I2669" i="52" s="1"/>
  <c r="I2670" i="52" s="1"/>
  <c r="G3479" i="52"/>
  <c r="I3479" i="52" s="1"/>
  <c r="G4057" i="52"/>
  <c r="I4057" i="52" s="1"/>
  <c r="G4246" i="52"/>
  <c r="I4246" i="52" s="1"/>
  <c r="I642" i="52"/>
  <c r="I644" i="52" s="1"/>
  <c r="I822" i="52"/>
  <c r="I824" i="52" s="1"/>
  <c r="I1080" i="52"/>
  <c r="I1083" i="52" s="1"/>
  <c r="I1084" i="52" s="1"/>
  <c r="I1086" i="52" s="1"/>
  <c r="I1088" i="52" s="1"/>
  <c r="G4826" i="52"/>
  <c r="I4826" i="52" s="1"/>
  <c r="I3852" i="52"/>
  <c r="I1513" i="52"/>
  <c r="I1553" i="52"/>
  <c r="I1556" i="52" s="1"/>
  <c r="I1557" i="52" s="1"/>
  <c r="I2538" i="52"/>
  <c r="I2541" i="52" s="1"/>
  <c r="I2542" i="52" s="1"/>
  <c r="I4277" i="52"/>
  <c r="I53" i="52"/>
  <c r="I56" i="52" s="1"/>
  <c r="I57" i="52" s="1"/>
  <c r="I135" i="52"/>
  <c r="I1950" i="52"/>
  <c r="I1953" i="52" s="1"/>
  <c r="I1954" i="52" s="1"/>
  <c r="I2265" i="52"/>
  <c r="I2268" i="52" s="1"/>
  <c r="I2269" i="52" s="1"/>
  <c r="I2271" i="52" s="1"/>
  <c r="I2273" i="52" s="1"/>
  <c r="I2723" i="52"/>
  <c r="I3891" i="52"/>
  <c r="I4540" i="52"/>
  <c r="I4543" i="52" s="1"/>
  <c r="I4544" i="52" s="1"/>
  <c r="I4546" i="52" s="1"/>
  <c r="I4548" i="52" s="1"/>
  <c r="I4560" i="52" s="1"/>
  <c r="I4729" i="52"/>
  <c r="I4732" i="52" s="1"/>
  <c r="I4733" i="52" s="1"/>
  <c r="I1993" i="52"/>
  <c r="I1996" i="52" s="1"/>
  <c r="I1997" i="52" s="1"/>
  <c r="I3426" i="52"/>
  <c r="I3834" i="52"/>
  <c r="I3837" i="52" s="1"/>
  <c r="I3838" i="52" s="1"/>
  <c r="I4111" i="52"/>
  <c r="I4114" i="52" s="1"/>
  <c r="I4115" i="52" s="1"/>
  <c r="I4302" i="52"/>
  <c r="I4305" i="52" s="1"/>
  <c r="I4306" i="52" s="1"/>
  <c r="I4409" i="52"/>
  <c r="I4412" i="52" s="1"/>
  <c r="I4413" i="52" s="1"/>
  <c r="I4415" i="52" s="1"/>
  <c r="I4417" i="52" s="1"/>
  <c r="I4429" i="52" s="1"/>
  <c r="I4887" i="52"/>
  <c r="I4890" i="52" s="1"/>
  <c r="I4891" i="52" s="1"/>
  <c r="I3970" i="52"/>
  <c r="I4818" i="52"/>
  <c r="I1000" i="52"/>
  <c r="I1003" i="52" s="1"/>
  <c r="I1004" i="52" s="1"/>
  <c r="I1006" i="52" s="1"/>
  <c r="I1008" i="52" s="1"/>
  <c r="I1904" i="52"/>
  <c r="I1907" i="52" s="1"/>
  <c r="I1908" i="52" s="1"/>
  <c r="I2650" i="52"/>
  <c r="I2653" i="52" s="1"/>
  <c r="I2654" i="52" s="1"/>
  <c r="I3453" i="52"/>
  <c r="I3456" i="52" s="1"/>
  <c r="I3457" i="52" s="1"/>
  <c r="I4743" i="52"/>
  <c r="I1476" i="52"/>
  <c r="I172" i="52"/>
  <c r="I175" i="52" s="1"/>
  <c r="I176" i="52" s="1"/>
  <c r="I2501" i="52"/>
  <c r="I2504" i="52" s="1"/>
  <c r="I2505" i="52" s="1"/>
  <c r="I2578" i="52"/>
  <c r="I2581" i="52" s="1"/>
  <c r="I2582" i="52" s="1"/>
  <c r="I3114" i="52"/>
  <c r="I3117" i="52" s="1"/>
  <c r="I3118" i="52" s="1"/>
  <c r="I3721" i="52"/>
  <c r="I3724" i="52" s="1"/>
  <c r="I3725" i="52" s="1"/>
  <c r="I4846" i="52"/>
  <c r="I4849" i="52" s="1"/>
  <c r="I4850" i="52" s="1"/>
  <c r="I2796" i="52"/>
  <c r="I3353" i="52"/>
  <c r="I3917" i="52"/>
  <c r="I3920" i="52" s="1"/>
  <c r="I3921" i="52" s="1"/>
  <c r="I4702" i="52"/>
  <c r="K2928" i="52"/>
  <c r="K3259" i="52"/>
  <c r="I16" i="52"/>
  <c r="I19" i="52" s="1"/>
  <c r="I20" i="52" s="1"/>
  <c r="I1192" i="52"/>
  <c r="I1195" i="52" s="1"/>
  <c r="I1196" i="52" s="1"/>
  <c r="I1233" i="52"/>
  <c r="I279" i="52"/>
  <c r="I280" i="52" s="1"/>
  <c r="I282" i="52" s="1"/>
  <c r="I284" i="52" s="1"/>
  <c r="I1247" i="52"/>
  <c r="I1465" i="52"/>
  <c r="I2169" i="52"/>
  <c r="I1546" i="52"/>
  <c r="I1628" i="52"/>
  <c r="I1631" i="52" s="1"/>
  <c r="I1632" i="52" s="1"/>
  <c r="I1747" i="52"/>
  <c r="I1748" i="52" s="1"/>
  <c r="K1721" i="52" s="1"/>
  <c r="I2033" i="52"/>
  <c r="I2110" i="52"/>
  <c r="I2194" i="52"/>
  <c r="I2197" i="52" s="1"/>
  <c r="I2198" i="52" s="1"/>
  <c r="I1378" i="52"/>
  <c r="I1610" i="52"/>
  <c r="I1611" i="52" s="1"/>
  <c r="I1841" i="52"/>
  <c r="I1964" i="52"/>
  <c r="I2073" i="52"/>
  <c r="I1338" i="52"/>
  <c r="I1436" i="52"/>
  <c r="I1566" i="52"/>
  <c r="I1642" i="52"/>
  <c r="I2278" i="52"/>
  <c r="I2308" i="52"/>
  <c r="I2311" i="52" s="1"/>
  <c r="I2312" i="52" s="1"/>
  <c r="I1799" i="52"/>
  <c r="I2329" i="52"/>
  <c r="I2008" i="52"/>
  <c r="I2423" i="52"/>
  <c r="I2495" i="52"/>
  <c r="I2496" i="52" s="1"/>
  <c r="K2893" i="52"/>
  <c r="I3445" i="52"/>
  <c r="I3610" i="52"/>
  <c r="I3611" i="52" s="1"/>
  <c r="I3621" i="52" s="1"/>
  <c r="I3623" i="52" s="1"/>
  <c r="I3637" i="52" s="1"/>
  <c r="I3715" i="52"/>
  <c r="I3716" i="52" s="1"/>
  <c r="I3758" i="52"/>
  <c r="I3761" i="52" s="1"/>
  <c r="I3762" i="52" s="1"/>
  <c r="I1762" i="52"/>
  <c r="I1763" i="52" s="1"/>
  <c r="I1765" i="52" s="1"/>
  <c r="I1767" i="52" s="1"/>
  <c r="I1781" i="52" s="1"/>
  <c r="I1782" i="52" s="1"/>
  <c r="K1751" i="52" s="1"/>
  <c r="I2064" i="52"/>
  <c r="I2832" i="52"/>
  <c r="I2838" i="52" s="1"/>
  <c r="I2840" i="52" s="1"/>
  <c r="I2854" i="52" s="1"/>
  <c r="I2687" i="52"/>
  <c r="I2690" i="52" s="1"/>
  <c r="I2691" i="52" s="1"/>
  <c r="I3166" i="52"/>
  <c r="I3389" i="52"/>
  <c r="I3511" i="52"/>
  <c r="I2389" i="52"/>
  <c r="I2392" i="52" s="1"/>
  <c r="I2393" i="52" s="1"/>
  <c r="I2465" i="52"/>
  <c r="I2471" i="52" s="1"/>
  <c r="I2473" i="52" s="1"/>
  <c r="I2487" i="52" s="1"/>
  <c r="I2608" i="52"/>
  <c r="I2609" i="52" s="1"/>
  <c r="I2617" i="52" s="1"/>
  <c r="I2619" i="52" s="1"/>
  <c r="I2790" i="52"/>
  <c r="I3382" i="52"/>
  <c r="I3384" i="52" s="1"/>
  <c r="I3822" i="52"/>
  <c r="I3469" i="52"/>
  <c r="I3555" i="52"/>
  <c r="I3586" i="52"/>
  <c r="I3588" i="52" s="1"/>
  <c r="I3602" i="52" s="1"/>
  <c r="I3533" i="52"/>
  <c r="I4214" i="52"/>
  <c r="I4217" i="52" s="1"/>
  <c r="I4587" i="52"/>
  <c r="I4612" i="52"/>
  <c r="I4615" i="52" s="1"/>
  <c r="I4616" i="52" s="1"/>
  <c r="I4837" i="52"/>
  <c r="I4663" i="52"/>
  <c r="I4860" i="52"/>
  <c r="I4026" i="52"/>
  <c r="I4029" i="52" s="1"/>
  <c r="I4178" i="52"/>
  <c r="I4245" i="52"/>
  <c r="I4263" i="52"/>
  <c r="I4266" i="52" s="1"/>
  <c r="I4267" i="52" s="1"/>
  <c r="I3955" i="52"/>
  <c r="I3958" i="52" s="1"/>
  <c r="I3959" i="52" s="1"/>
  <c r="I4341" i="52"/>
  <c r="I2717" i="52"/>
  <c r="I2718" i="52" s="1"/>
  <c r="I2753" i="52"/>
  <c r="I2754" i="52" s="1"/>
  <c r="I3826" i="52"/>
  <c r="I4223" i="52"/>
  <c r="I4226" i="52" s="1"/>
  <c r="I4227" i="52" s="1"/>
  <c r="I4317" i="52"/>
  <c r="I4568" i="52"/>
  <c r="I4569" i="52" s="1"/>
  <c r="I4803" i="52"/>
  <c r="I4806" i="52" s="1"/>
  <c r="I4807" i="52" s="1"/>
  <c r="I4880" i="52"/>
  <c r="I4881" i="52" s="1"/>
  <c r="I4902" i="52"/>
  <c r="I4069" i="52"/>
  <c r="I4070" i="52" s="1"/>
  <c r="I4867" i="52"/>
  <c r="I4870" i="52" s="1"/>
  <c r="I4035" i="52"/>
  <c r="I4038" i="52" s="1"/>
  <c r="I4039" i="52" s="1"/>
  <c r="I4688" i="52"/>
  <c r="I4691" i="52" s="1"/>
  <c r="I4692" i="52" s="1"/>
  <c r="I4722" i="52"/>
  <c r="I4768" i="52"/>
  <c r="I4771" i="52" s="1"/>
  <c r="I4772" i="52" s="1"/>
  <c r="I4840" i="52" l="1"/>
  <c r="I4710" i="52"/>
  <c r="I1258" i="52"/>
  <c r="I1974" i="52"/>
  <c r="I1976" i="52" s="1"/>
  <c r="I3882" i="52"/>
  <c r="I3884" i="52" s="1"/>
  <c r="I2765" i="52"/>
  <c r="I2767" i="52" s="1"/>
  <c r="I3084" i="52"/>
  <c r="I3086" i="52" s="1"/>
  <c r="I3100" i="52" s="1"/>
  <c r="I3101" i="52" s="1"/>
  <c r="I3102" i="52" s="1"/>
  <c r="K3068" i="52" s="1"/>
  <c r="I48" i="52"/>
  <c r="I1945" i="52"/>
  <c r="I1956" i="52" s="1"/>
  <c r="I1958" i="52" s="1"/>
  <c r="I2104" i="52"/>
  <c r="I2115" i="52" s="1"/>
  <c r="I2117" i="52" s="1"/>
  <c r="I2130" i="52" s="1"/>
  <c r="I2131" i="52" s="1"/>
  <c r="I2132" i="52" s="1"/>
  <c r="K2098" i="52" s="1"/>
  <c r="I2288" i="52"/>
  <c r="I2289" i="52" s="1"/>
  <c r="I2290" i="52" s="1"/>
  <c r="K2255" i="52" s="1"/>
  <c r="I3727" i="52"/>
  <c r="I3729" i="52" s="1"/>
  <c r="I3743" i="52" s="1"/>
  <c r="I4580" i="52"/>
  <c r="I4582" i="52" s="1"/>
  <c r="I4597" i="52" s="1"/>
  <c r="I4598" i="52" s="1"/>
  <c r="I4599" i="52" s="1"/>
  <c r="K4565" i="52" s="1"/>
  <c r="I2027" i="52"/>
  <c r="I2039" i="52" s="1"/>
  <c r="I2041" i="52" s="1"/>
  <c r="I2056" i="52" s="1"/>
  <c r="I2057" i="52" s="1"/>
  <c r="I2058" i="52" s="1"/>
  <c r="K2020" i="52" s="1"/>
  <c r="I130" i="52"/>
  <c r="I141" i="52" s="1"/>
  <c r="I143" i="52" s="1"/>
  <c r="I157" i="52" s="1"/>
  <c r="I158" i="52" s="1"/>
  <c r="I159" i="52" s="1"/>
  <c r="K120" i="52" s="1"/>
  <c r="I2067" i="52"/>
  <c r="I2078" i="52" s="1"/>
  <c r="I2080" i="52" s="1"/>
  <c r="I2093" i="52" s="1"/>
  <c r="I2094" i="52" s="1"/>
  <c r="I2095" i="52" s="1"/>
  <c r="K2061" i="52" s="1"/>
  <c r="I3480" i="52"/>
  <c r="I1851" i="52"/>
  <c r="I1622" i="52"/>
  <c r="I1634" i="52" s="1"/>
  <c r="I1636" i="52" s="1"/>
  <c r="I2301" i="52"/>
  <c r="I2314" i="52" s="1"/>
  <c r="I2316" i="52" s="1"/>
  <c r="I2339" i="52" s="1"/>
  <c r="I3447" i="52"/>
  <c r="I3459" i="52" s="1"/>
  <c r="I3461" i="52" s="1"/>
  <c r="I178" i="52"/>
  <c r="I180" i="52" s="1"/>
  <c r="I1988" i="52"/>
  <c r="I1999" i="52" s="1"/>
  <c r="I2001" i="52" s="1"/>
  <c r="I2016" i="52" s="1"/>
  <c r="I2017" i="52" s="1"/>
  <c r="I2018" i="52" s="1"/>
  <c r="K1980" i="52" s="1"/>
  <c r="I3535" i="52"/>
  <c r="I3547" i="52" s="1"/>
  <c r="I3549" i="52" s="1"/>
  <c r="I2424" i="52"/>
  <c r="I2435" i="52" s="1"/>
  <c r="I2437" i="52" s="1"/>
  <c r="I2450" i="52" s="1"/>
  <c r="I2451" i="52" s="1"/>
  <c r="I2452" i="52" s="1"/>
  <c r="K2418" i="52" s="1"/>
  <c r="I1386" i="52"/>
  <c r="I1398" i="52" s="1"/>
  <c r="I1400" i="52" s="1"/>
  <c r="I1414" i="52" s="1"/>
  <c r="I1415" i="52" s="1"/>
  <c r="I1416" i="52" s="1"/>
  <c r="K1375" i="52" s="1"/>
  <c r="I3502" i="52"/>
  <c r="I3504" i="52" s="1"/>
  <c r="I1430" i="52"/>
  <c r="I4180" i="52"/>
  <c r="I4190" i="52" s="1"/>
  <c r="I4192" i="52" s="1"/>
  <c r="I2791" i="52"/>
  <c r="I2802" i="52" s="1"/>
  <c r="I2804" i="52" s="1"/>
  <c r="I2818" i="52" s="1"/>
  <c r="I2819" i="52" s="1"/>
  <c r="I2820" i="52" s="1"/>
  <c r="K2785" i="52" s="1"/>
  <c r="I3158" i="52"/>
  <c r="I3160" i="52" s="1"/>
  <c r="I1873" i="52"/>
  <c r="I1875" i="52" s="1"/>
  <c r="I2142" i="52"/>
  <c r="I2154" i="52" s="1"/>
  <c r="I2156" i="52" s="1"/>
  <c r="I2179" i="52" s="1"/>
  <c r="I2180" i="52" s="1"/>
  <c r="I2181" i="52" s="1"/>
  <c r="K2134" i="52" s="1"/>
  <c r="I4117" i="52"/>
  <c r="I4119" i="52" s="1"/>
  <c r="I4133" i="52" s="1"/>
  <c r="I4134" i="52" s="1"/>
  <c r="I4135" i="52" s="1"/>
  <c r="K4101" i="52" s="1"/>
  <c r="I4723" i="52"/>
  <c r="I4735" i="52" s="1"/>
  <c r="I4737" i="52" s="1"/>
  <c r="I4153" i="52"/>
  <c r="I4155" i="52" s="1"/>
  <c r="I4169" i="52" s="1"/>
  <c r="I4170" i="52" s="1"/>
  <c r="I4171" i="52" s="1"/>
  <c r="K4137" i="52" s="1"/>
  <c r="I1508" i="52"/>
  <c r="I1519" i="52" s="1"/>
  <c r="I1521" i="52" s="1"/>
  <c r="I1532" i="52" s="1"/>
  <c r="I1533" i="52" s="1"/>
  <c r="I1534" i="52" s="1"/>
  <c r="K1500" i="52" s="1"/>
  <c r="I89" i="52"/>
  <c r="I100" i="52" s="1"/>
  <c r="I102" i="52" s="1"/>
  <c r="I116" i="52" s="1"/>
  <c r="I117" i="52" s="1"/>
  <c r="I118" i="52" s="1"/>
  <c r="K79" i="52" s="1"/>
  <c r="I2544" i="52"/>
  <c r="I2546" i="52" s="1"/>
  <c r="I4752" i="52"/>
  <c r="I2412" i="52"/>
  <c r="I297" i="52"/>
  <c r="I298" i="52" s="1"/>
  <c r="I299" i="52" s="1"/>
  <c r="K269" i="52" s="1"/>
  <c r="I3901" i="52"/>
  <c r="I3980" i="52"/>
  <c r="I4827" i="52"/>
  <c r="I3419" i="52"/>
  <c r="I3421" i="52" s="1"/>
  <c r="I3436" i="52" s="1"/>
  <c r="I3437" i="52" s="1"/>
  <c r="I3438" i="52" s="1"/>
  <c r="K3403" i="52" s="1"/>
  <c r="I4893" i="52"/>
  <c r="I4895" i="52" s="1"/>
  <c r="I2729" i="52"/>
  <c r="I2731" i="52" s="1"/>
  <c r="I3764" i="52"/>
  <c r="I3766" i="52" s="1"/>
  <c r="I3780" i="52" s="1"/>
  <c r="I3781" i="52" s="1"/>
  <c r="I3782" i="52" s="1"/>
  <c r="K3748" i="52" s="1"/>
  <c r="I1652" i="52"/>
  <c r="I3923" i="52"/>
  <c r="I3925" i="52" s="1"/>
  <c r="I2584" i="52"/>
  <c r="I2586" i="52" s="1"/>
  <c r="I4059" i="52"/>
  <c r="I2507" i="52"/>
  <c r="I2509" i="52" s="1"/>
  <c r="I2523" i="52" s="1"/>
  <c r="I2524" i="52" s="1"/>
  <c r="I2525" i="52" s="1"/>
  <c r="K2491" i="52" s="1"/>
  <c r="I1548" i="52"/>
  <c r="I1559" i="52" s="1"/>
  <c r="I1561" i="52" s="1"/>
  <c r="I1577" i="52" s="1"/>
  <c r="I1125" i="52"/>
  <c r="I1127" i="52" s="1"/>
  <c r="I3565" i="52"/>
  <c r="I4495" i="52"/>
  <c r="I4496" i="52" s="1"/>
  <c r="K4466" i="52" s="1"/>
  <c r="F834" i="1" s="1"/>
  <c r="I3521" i="52"/>
  <c r="I59" i="52"/>
  <c r="I61" i="52" s="1"/>
  <c r="I75" i="52" s="1"/>
  <c r="I76" i="52" s="1"/>
  <c r="I77" i="52" s="1"/>
  <c r="K42" i="52" s="1"/>
  <c r="I1470" i="52"/>
  <c r="I1482" i="52" s="1"/>
  <c r="I1484" i="52" s="1"/>
  <c r="I1496" i="52" s="1"/>
  <c r="I1497" i="52" s="1"/>
  <c r="I1498" i="52" s="1"/>
  <c r="K1462" i="52" s="1"/>
  <c r="I4382" i="52"/>
  <c r="I4384" i="52" s="1"/>
  <c r="I4396" i="52" s="1"/>
  <c r="I4397" i="52" s="1"/>
  <c r="I4398" i="52" s="1"/>
  <c r="K4367" i="52" s="1"/>
  <c r="I3176" i="52"/>
  <c r="I1343" i="52"/>
  <c r="I1354" i="52" s="1"/>
  <c r="I1356" i="52" s="1"/>
  <c r="I1370" i="52" s="1"/>
  <c r="I1371" i="52" s="1"/>
  <c r="I1372" i="52" s="1"/>
  <c r="K1332" i="52" s="1"/>
  <c r="I4081" i="52"/>
  <c r="I4083" i="52" s="1"/>
  <c r="I4097" i="52" s="1"/>
  <c r="I4098" i="52" s="1"/>
  <c r="I4099" i="52" s="1"/>
  <c r="K4065" i="52" s="1"/>
  <c r="I4286" i="52"/>
  <c r="I3939" i="52"/>
  <c r="I4326" i="52"/>
  <c r="I4206" i="52"/>
  <c r="I4207" i="52" s="1"/>
  <c r="I4208" i="52" s="1"/>
  <c r="K4173" i="52" s="1"/>
  <c r="I4852" i="52"/>
  <c r="I4854" i="52" s="1"/>
  <c r="I4872" i="52" s="1"/>
  <c r="I4911" i="52"/>
  <c r="I1910" i="52"/>
  <c r="I1912" i="52" s="1"/>
  <c r="I4247" i="52"/>
  <c r="I3120" i="52"/>
  <c r="I3122" i="52" s="1"/>
  <c r="I2200" i="52"/>
  <c r="I2202" i="52" s="1"/>
  <c r="I3346" i="52"/>
  <c r="I3348" i="52" s="1"/>
  <c r="I3363" i="52" s="1"/>
  <c r="I3364" i="52" s="1"/>
  <c r="I3365" i="52" s="1"/>
  <c r="K3330" i="52" s="1"/>
  <c r="I4308" i="52"/>
  <c r="I4310" i="52" s="1"/>
  <c r="I2656" i="52"/>
  <c r="I2658" i="52" s="1"/>
  <c r="I4618" i="52"/>
  <c r="I4620" i="52" s="1"/>
  <c r="I4463" i="52"/>
  <c r="I4464" i="52" s="1"/>
  <c r="K4433" i="52" s="1"/>
  <c r="I4561" i="52"/>
  <c r="I4562" i="52" s="1"/>
  <c r="K4532" i="52" s="1"/>
  <c r="I2855" i="52"/>
  <c r="I2856" i="52" s="1"/>
  <c r="K2822" i="52" s="1"/>
  <c r="I4528" i="52"/>
  <c r="I4529" i="52" s="1"/>
  <c r="K4499" i="52" s="1"/>
  <c r="K1582" i="52"/>
  <c r="I3399" i="52"/>
  <c r="I2488" i="52"/>
  <c r="I2489" i="52" s="1"/>
  <c r="K2454" i="52" s="1"/>
  <c r="I3961" i="52"/>
  <c r="I3963" i="52" s="1"/>
  <c r="I1442" i="52"/>
  <c r="I1444" i="52" s="1"/>
  <c r="I1457" i="52" s="1"/>
  <c r="I4041" i="52"/>
  <c r="I4043" i="52" s="1"/>
  <c r="I4229" i="52"/>
  <c r="I4231" i="52" s="1"/>
  <c r="I4673" i="52"/>
  <c r="I2395" i="52"/>
  <c r="I2397" i="52" s="1"/>
  <c r="I22" i="52"/>
  <c r="I24" i="52" s="1"/>
  <c r="I38" i="52" s="1"/>
  <c r="I4344" i="52"/>
  <c r="I4345" i="52" s="1"/>
  <c r="I4347" i="52" s="1"/>
  <c r="I4349" i="52" s="1"/>
  <c r="I4363" i="52" s="1"/>
  <c r="I3603" i="52"/>
  <c r="I3604" i="52" s="1"/>
  <c r="K3571" i="52" s="1"/>
  <c r="F1460" i="1" s="1"/>
  <c r="I3744" i="52"/>
  <c r="I3745" i="52" s="1"/>
  <c r="K3711" i="52" s="1"/>
  <c r="I2693" i="52"/>
  <c r="I2695" i="52" s="1"/>
  <c r="I4430" i="52"/>
  <c r="I4431" i="52" s="1"/>
  <c r="K4400" i="52" s="1"/>
  <c r="I4269" i="52"/>
  <c r="I4271" i="52" s="1"/>
  <c r="I4774" i="52"/>
  <c r="I4776" i="52" s="1"/>
  <c r="I4789" i="52" s="1"/>
  <c r="I3638" i="52"/>
  <c r="I3639" i="52" s="1"/>
  <c r="K3606" i="52" s="1"/>
  <c r="I1198" i="52"/>
  <c r="I1200" i="52" s="1"/>
  <c r="I4694" i="52"/>
  <c r="I4696" i="52" s="1"/>
  <c r="I4712" i="52" s="1"/>
  <c r="I3815" i="52"/>
  <c r="I3816" i="52" s="1"/>
  <c r="K3784" i="52" s="1"/>
  <c r="I4809" i="52"/>
  <c r="I4811" i="52" s="1"/>
  <c r="I3827" i="52"/>
  <c r="I3840" i="52" s="1"/>
  <c r="I3842" i="52" s="1"/>
  <c r="I3862" i="52" s="1"/>
  <c r="I3708" i="52"/>
  <c r="I3709" i="52" s="1"/>
  <c r="K3676" i="52" s="1"/>
  <c r="I1236" i="52"/>
  <c r="I1237" i="52" s="1"/>
  <c r="I1239" i="52" s="1"/>
  <c r="I1241" i="52" s="1"/>
  <c r="I3903" i="52" l="1"/>
  <c r="I3904" i="52" s="1"/>
  <c r="I3905" i="52" s="1"/>
  <c r="K3866" i="52" s="1"/>
  <c r="I3523" i="52"/>
  <c r="I3524" i="52" s="1"/>
  <c r="I3525" i="52" s="1"/>
  <c r="K3486" i="52" s="1"/>
  <c r="I1977" i="52"/>
  <c r="I1978" i="52" s="1"/>
  <c r="K1939" i="52" s="1"/>
  <c r="I4913" i="52"/>
  <c r="I4914" i="52" s="1"/>
  <c r="I4915" i="52" s="1"/>
  <c r="K4877" i="52" s="1"/>
  <c r="I4754" i="52"/>
  <c r="I4755" i="52" s="1"/>
  <c r="I4756" i="52" s="1"/>
  <c r="K4716" i="52" s="1"/>
  <c r="I1578" i="52"/>
  <c r="I1579" i="52" s="1"/>
  <c r="K1537" i="52" s="1"/>
  <c r="I2414" i="52"/>
  <c r="I2415" i="52" s="1"/>
  <c r="I2416" i="52" s="1"/>
  <c r="K2380" i="52" s="1"/>
  <c r="I4829" i="52"/>
  <c r="I4830" i="52" s="1"/>
  <c r="I4831" i="52" s="1"/>
  <c r="K4793" i="52" s="1"/>
  <c r="I3982" i="52"/>
  <c r="I3983" i="52" s="1"/>
  <c r="I3984" i="52" s="1"/>
  <c r="K3945" i="52" s="1"/>
  <c r="I3567" i="52"/>
  <c r="I3568" i="52" s="1"/>
  <c r="I3569" i="52" s="1"/>
  <c r="K3528" i="52" s="1"/>
  <c r="I4061" i="52"/>
  <c r="I4062" i="52" s="1"/>
  <c r="I4063" i="52" s="1"/>
  <c r="K4022" i="52" s="1"/>
  <c r="I4288" i="52"/>
  <c r="I4289" i="52" s="1"/>
  <c r="I4290" i="52" s="1"/>
  <c r="K4253" i="52" s="1"/>
  <c r="I3941" i="52"/>
  <c r="I3942" i="52" s="1"/>
  <c r="I3943" i="52" s="1"/>
  <c r="K3907" i="52" s="1"/>
  <c r="I3482" i="52"/>
  <c r="I3483" i="52" s="1"/>
  <c r="I3484" i="52" s="1"/>
  <c r="K3440" i="52" s="1"/>
  <c r="I4328" i="52"/>
  <c r="I4329" i="52" s="1"/>
  <c r="I4330" i="52" s="1"/>
  <c r="K4293" i="52" s="1"/>
  <c r="I4249" i="52"/>
  <c r="I4250" i="52" s="1"/>
  <c r="I4251" i="52" s="1"/>
  <c r="K4210" i="52" s="1"/>
  <c r="I3863" i="52"/>
  <c r="I3864" i="52" s="1"/>
  <c r="K3818" i="52" s="1"/>
  <c r="I2340" i="52"/>
  <c r="I2341" i="52" s="1"/>
  <c r="K2293" i="52" s="1"/>
  <c r="I4364" i="52"/>
  <c r="I4365" i="52" s="1"/>
  <c r="K4332" i="52" s="1"/>
  <c r="I1458" i="52"/>
  <c r="I1459" i="52" s="1"/>
  <c r="K1419" i="52" s="1"/>
  <c r="I4873" i="52"/>
  <c r="I4874" i="52" s="1"/>
  <c r="K4834" i="52" s="1"/>
  <c r="I4713" i="52"/>
  <c r="I4714" i="52" s="1"/>
  <c r="K4677" i="52" s="1"/>
  <c r="I39" i="52"/>
  <c r="I40" i="52" s="1"/>
  <c r="K6" i="52" s="1"/>
  <c r="I4674" i="52"/>
  <c r="I4675" i="52" s="1"/>
  <c r="K4639" i="52" s="1"/>
  <c r="I3400" i="52"/>
  <c r="I3401" i="52" s="1"/>
  <c r="K3367" i="52" s="1"/>
  <c r="I4790" i="52"/>
  <c r="I4791" i="52" s="1"/>
  <c r="K4758" i="52" s="1"/>
  <c r="J84" i="5"/>
  <c r="K84" i="5"/>
  <c r="J83" i="5"/>
  <c r="I83" i="5"/>
  <c r="H83" i="5"/>
  <c r="K83" i="5" s="1"/>
  <c r="J82" i="5"/>
  <c r="I82" i="5"/>
  <c r="H82" i="5"/>
  <c r="K82" i="5" s="1"/>
  <c r="J81" i="5"/>
  <c r="I81" i="5"/>
  <c r="H81" i="5"/>
  <c r="J79" i="5"/>
  <c r="I79" i="5"/>
  <c r="H79" i="5"/>
  <c r="K79" i="5" s="1"/>
  <c r="J78" i="5"/>
  <c r="I78" i="5"/>
  <c r="H78" i="5"/>
  <c r="K78" i="5" s="1"/>
  <c r="J77" i="5"/>
  <c r="I77" i="5"/>
  <c r="H77" i="5"/>
  <c r="K77" i="5" s="1"/>
  <c r="J76" i="5"/>
  <c r="I76" i="5"/>
  <c r="H76" i="5"/>
  <c r="J75" i="5"/>
  <c r="I75" i="5"/>
  <c r="H75" i="5"/>
  <c r="J74" i="5"/>
  <c r="I74" i="5"/>
  <c r="H74" i="5"/>
  <c r="K74" i="5" s="1"/>
  <c r="J73" i="5"/>
  <c r="I73" i="5"/>
  <c r="H73" i="5"/>
  <c r="K73" i="5" s="1"/>
  <c r="J72" i="5"/>
  <c r="I72" i="5"/>
  <c r="H72" i="5"/>
  <c r="J71" i="5"/>
  <c r="I71" i="5"/>
  <c r="H71" i="5"/>
  <c r="K71" i="5" s="1"/>
  <c r="J70" i="5"/>
  <c r="I70" i="5"/>
  <c r="H70" i="5"/>
  <c r="K70" i="5" s="1"/>
  <c r="J69" i="5"/>
  <c r="I69" i="5"/>
  <c r="H69" i="5"/>
  <c r="K69" i="5" s="1"/>
  <c r="J68" i="5"/>
  <c r="I68" i="5"/>
  <c r="H68" i="5"/>
  <c r="J67" i="5"/>
  <c r="I67" i="5"/>
  <c r="H67" i="5"/>
  <c r="K67" i="5" s="1"/>
  <c r="J66" i="5"/>
  <c r="I66" i="5"/>
  <c r="H66" i="5"/>
  <c r="K66" i="5" s="1"/>
  <c r="J63" i="5"/>
  <c r="I63" i="5"/>
  <c r="H63" i="5"/>
  <c r="J62" i="5"/>
  <c r="I62" i="5"/>
  <c r="H62" i="5"/>
  <c r="J61" i="5"/>
  <c r="I61" i="5"/>
  <c r="H61" i="5"/>
  <c r="K61" i="5" s="1"/>
  <c r="J60" i="5"/>
  <c r="I60" i="5"/>
  <c r="H60" i="5"/>
  <c r="K60" i="5" s="1"/>
  <c r="J59" i="5"/>
  <c r="I59" i="5"/>
  <c r="H59" i="5"/>
  <c r="K59" i="5" s="1"/>
  <c r="J58" i="5"/>
  <c r="I58" i="5"/>
  <c r="H58" i="5"/>
  <c r="J57" i="5"/>
  <c r="I57" i="5"/>
  <c r="H57" i="5"/>
  <c r="J56" i="5"/>
  <c r="I56" i="5"/>
  <c r="H56" i="5"/>
  <c r="K56" i="5" s="1"/>
  <c r="J55" i="5"/>
  <c r="I55" i="5"/>
  <c r="H55" i="5"/>
  <c r="J54" i="5"/>
  <c r="I54" i="5"/>
  <c r="H54" i="5"/>
  <c r="K54" i="5" s="1"/>
  <c r="J53" i="5"/>
  <c r="I53" i="5"/>
  <c r="H53" i="5"/>
  <c r="K53" i="5" s="1"/>
  <c r="J52" i="5"/>
  <c r="I52" i="5"/>
  <c r="H52" i="5"/>
  <c r="J51" i="5"/>
  <c r="I51" i="5"/>
  <c r="H51" i="5"/>
  <c r="K51" i="5" s="1"/>
  <c r="J50" i="5"/>
  <c r="I50" i="5"/>
  <c r="H50" i="5"/>
  <c r="J49" i="5"/>
  <c r="I49" i="5"/>
  <c r="H49" i="5"/>
  <c r="J48" i="5"/>
  <c r="I48" i="5"/>
  <c r="H48" i="5"/>
  <c r="K48" i="5" s="1"/>
  <c r="J47" i="5"/>
  <c r="I47" i="5"/>
  <c r="H47" i="5"/>
  <c r="K47" i="5" s="1"/>
  <c r="J46" i="5"/>
  <c r="I46" i="5"/>
  <c r="H46" i="5"/>
  <c r="K46" i="5" s="1"/>
  <c r="J45" i="5"/>
  <c r="I45" i="5"/>
  <c r="H45" i="5"/>
  <c r="K45" i="5" s="1"/>
  <c r="J44" i="5"/>
  <c r="I44" i="5"/>
  <c r="H44" i="5"/>
  <c r="J43" i="5"/>
  <c r="I43" i="5"/>
  <c r="H43" i="5"/>
  <c r="J42" i="5"/>
  <c r="I42" i="5"/>
  <c r="H42" i="5"/>
  <c r="J41" i="5"/>
  <c r="I41" i="5"/>
  <c r="H41" i="5"/>
  <c r="J40" i="5"/>
  <c r="I40" i="5"/>
  <c r="H40" i="5"/>
  <c r="K40" i="5" s="1"/>
  <c r="J39" i="5"/>
  <c r="I39" i="5"/>
  <c r="H39" i="5"/>
  <c r="J38" i="5"/>
  <c r="I38" i="5"/>
  <c r="H38" i="5"/>
  <c r="J37" i="5"/>
  <c r="I37" i="5"/>
  <c r="H37" i="5"/>
  <c r="K37" i="5" s="1"/>
  <c r="J36" i="5"/>
  <c r="I36" i="5"/>
  <c r="H36" i="5"/>
  <c r="K36" i="5" s="1"/>
  <c r="J34" i="5"/>
  <c r="I34" i="5"/>
  <c r="H34" i="5"/>
  <c r="K34" i="5" s="1"/>
  <c r="J33" i="5"/>
  <c r="I33" i="5"/>
  <c r="H33" i="5"/>
  <c r="J32" i="5"/>
  <c r="I32" i="5"/>
  <c r="H32" i="5"/>
  <c r="J31" i="5"/>
  <c r="I31" i="5"/>
  <c r="H31" i="5"/>
  <c r="K31" i="5" s="1"/>
  <c r="J30" i="5"/>
  <c r="I30" i="5"/>
  <c r="H30" i="5"/>
  <c r="J29" i="5"/>
  <c r="I29" i="5"/>
  <c r="H29" i="5"/>
  <c r="K29" i="5" s="1"/>
  <c r="J28" i="5"/>
  <c r="I28" i="5"/>
  <c r="H28" i="5"/>
  <c r="K28" i="5" s="1"/>
  <c r="J27" i="5"/>
  <c r="I27" i="5"/>
  <c r="H27" i="5"/>
  <c r="J26" i="5"/>
  <c r="I26" i="5"/>
  <c r="H26" i="5"/>
  <c r="K26" i="5" s="1"/>
  <c r="J25" i="5"/>
  <c r="I25" i="5"/>
  <c r="H25" i="5"/>
  <c r="J24" i="5"/>
  <c r="I24" i="5"/>
  <c r="H24" i="5"/>
  <c r="J23" i="5"/>
  <c r="I23" i="5"/>
  <c r="H23" i="5"/>
  <c r="K23" i="5" s="1"/>
  <c r="J22" i="5"/>
  <c r="I22" i="5"/>
  <c r="H22" i="5"/>
  <c r="J20" i="5"/>
  <c r="I20" i="5"/>
  <c r="H20" i="5"/>
  <c r="K20" i="5" s="1"/>
  <c r="J19" i="5"/>
  <c r="I19" i="5"/>
  <c r="H19" i="5"/>
  <c r="K19" i="5" s="1"/>
  <c r="J18" i="5"/>
  <c r="I18" i="5"/>
  <c r="H18" i="5"/>
  <c r="J17" i="5"/>
  <c r="I17" i="5"/>
  <c r="H17" i="5"/>
  <c r="K17" i="5" s="1"/>
  <c r="J16" i="5"/>
  <c r="I16" i="5"/>
  <c r="H16" i="5"/>
  <c r="J15" i="5"/>
  <c r="I15" i="5"/>
  <c r="H15" i="5"/>
  <c r="J14" i="5"/>
  <c r="I14" i="5"/>
  <c r="H14" i="5"/>
  <c r="K14" i="5" s="1"/>
  <c r="J13" i="5"/>
  <c r="I13" i="5"/>
  <c r="H13" i="5"/>
  <c r="J12" i="5"/>
  <c r="I12" i="5"/>
  <c r="H12" i="5"/>
  <c r="K12" i="5" s="1"/>
  <c r="J11" i="5"/>
  <c r="I11" i="5"/>
  <c r="H11" i="5"/>
  <c r="K11" i="5" s="1"/>
  <c r="J10" i="5"/>
  <c r="I10" i="5"/>
  <c r="H10" i="5"/>
  <c r="J9" i="5"/>
  <c r="I9" i="5"/>
  <c r="H9" i="5"/>
  <c r="K9" i="5" s="1"/>
  <c r="J8" i="5"/>
  <c r="I8" i="5"/>
  <c r="H8" i="5"/>
  <c r="J7" i="5"/>
  <c r="I7" i="5"/>
  <c r="H7" i="5"/>
  <c r="J6" i="5"/>
  <c r="I6" i="5"/>
  <c r="K6" i="5"/>
  <c r="K62" i="5" l="1"/>
  <c r="K41" i="5"/>
  <c r="K38" i="5"/>
  <c r="K81" i="5"/>
  <c r="K75" i="5"/>
  <c r="K68" i="5"/>
  <c r="K57" i="5"/>
  <c r="K63" i="5"/>
  <c r="K58" i="5"/>
  <c r="K55" i="5"/>
  <c r="K50" i="5"/>
  <c r="K42" i="5"/>
  <c r="K39" i="5"/>
  <c r="K33" i="5"/>
  <c r="K32" i="5"/>
  <c r="K30" i="5"/>
  <c r="K27" i="5"/>
  <c r="K25" i="5"/>
  <c r="K24" i="5"/>
  <c r="K22" i="5"/>
  <c r="K7" i="5"/>
  <c r="K15" i="5"/>
  <c r="K10" i="5"/>
  <c r="K18" i="5"/>
  <c r="K13" i="5"/>
  <c r="K8" i="5"/>
  <c r="K16" i="5"/>
  <c r="K52" i="5"/>
  <c r="K76" i="5"/>
  <c r="K72" i="5"/>
  <c r="K49" i="5"/>
  <c r="K44" i="5"/>
  <c r="K43" i="5"/>
  <c r="N981" i="6"/>
  <c r="I98" i="1" l="1"/>
  <c r="F3" i="1"/>
  <c r="C458" i="53" l="1"/>
  <c r="A458" i="53"/>
  <c r="C457" i="53"/>
  <c r="A457" i="53"/>
  <c r="C456" i="53"/>
  <c r="A456" i="53"/>
  <c r="C455" i="53"/>
  <c r="A455" i="53"/>
  <c r="C423" i="53"/>
  <c r="A423" i="53"/>
  <c r="C422" i="53"/>
  <c r="A422" i="53"/>
  <c r="C421" i="53"/>
  <c r="A421" i="53"/>
  <c r="C420" i="53"/>
  <c r="A420" i="53"/>
  <c r="C388" i="53"/>
  <c r="A388" i="53"/>
  <c r="C387" i="53"/>
  <c r="A387" i="53"/>
  <c r="C386" i="53"/>
  <c r="A386" i="53"/>
  <c r="C385" i="53"/>
  <c r="A385" i="53"/>
  <c r="C353" i="53"/>
  <c r="A353" i="53"/>
  <c r="D349" i="53"/>
  <c r="C349" i="53"/>
  <c r="A349" i="53"/>
  <c r="D348" i="53"/>
  <c r="C348" i="53"/>
  <c r="A348" i="53"/>
  <c r="A336" i="53"/>
  <c r="I335" i="53"/>
  <c r="A335" i="53"/>
  <c r="I334" i="53"/>
  <c r="A334" i="53"/>
  <c r="G330" i="53"/>
  <c r="F330" i="53"/>
  <c r="C330" i="53"/>
  <c r="A330" i="53"/>
  <c r="G329" i="53"/>
  <c r="F329" i="53"/>
  <c r="C329" i="53"/>
  <c r="A329" i="53"/>
  <c r="C314" i="53"/>
  <c r="A314" i="53"/>
  <c r="D310" i="53"/>
  <c r="I310" i="53" s="1"/>
  <c r="C310" i="53"/>
  <c r="A310" i="53"/>
  <c r="D309" i="53"/>
  <c r="I309" i="53" s="1"/>
  <c r="C309" i="53"/>
  <c r="A309" i="53"/>
  <c r="I297" i="53"/>
  <c r="A297" i="53"/>
  <c r="I296" i="53"/>
  <c r="A296" i="53"/>
  <c r="I295" i="53"/>
  <c r="A295" i="53"/>
  <c r="G291" i="53"/>
  <c r="F291" i="53"/>
  <c r="I291" i="53" s="1"/>
  <c r="C291" i="53"/>
  <c r="A291" i="53"/>
  <c r="G290" i="53"/>
  <c r="I290" i="53" s="1"/>
  <c r="F290" i="53"/>
  <c r="C290" i="53"/>
  <c r="A290" i="53"/>
  <c r="C275" i="53"/>
  <c r="A275" i="53"/>
  <c r="D271" i="53"/>
  <c r="C271" i="53"/>
  <c r="A271" i="53"/>
  <c r="D270" i="53"/>
  <c r="C270" i="53"/>
  <c r="A270" i="53"/>
  <c r="I258" i="53"/>
  <c r="A258" i="53"/>
  <c r="I257" i="53"/>
  <c r="A257" i="53"/>
  <c r="I256" i="53"/>
  <c r="A256" i="53"/>
  <c r="G252" i="53"/>
  <c r="F252" i="53"/>
  <c r="I252" i="53" s="1"/>
  <c r="C252" i="53"/>
  <c r="A252" i="53"/>
  <c r="G251" i="53"/>
  <c r="F251" i="53"/>
  <c r="C251" i="53"/>
  <c r="A251" i="53"/>
  <c r="D232" i="53"/>
  <c r="C232" i="53"/>
  <c r="A232" i="53"/>
  <c r="D231" i="53"/>
  <c r="C231" i="53"/>
  <c r="A231" i="53"/>
  <c r="D230" i="53"/>
  <c r="C230" i="53"/>
  <c r="A230" i="53"/>
  <c r="I218" i="53"/>
  <c r="A218" i="53"/>
  <c r="A217" i="53"/>
  <c r="I216" i="53"/>
  <c r="A216" i="53"/>
  <c r="G212" i="53"/>
  <c r="F212" i="53"/>
  <c r="C212" i="53"/>
  <c r="A212" i="53"/>
  <c r="D191" i="53"/>
  <c r="C191" i="53"/>
  <c r="A191" i="53"/>
  <c r="I176" i="53"/>
  <c r="A176" i="53"/>
  <c r="I175" i="53"/>
  <c r="A175" i="53"/>
  <c r="I174" i="53"/>
  <c r="A174" i="53"/>
  <c r="I173" i="53"/>
  <c r="A173" i="53"/>
  <c r="I172" i="53"/>
  <c r="A172" i="53"/>
  <c r="G168" i="53"/>
  <c r="F168" i="53"/>
  <c r="C168" i="53"/>
  <c r="A168" i="53"/>
  <c r="G167" i="53"/>
  <c r="F167" i="53"/>
  <c r="C167" i="53"/>
  <c r="A167" i="53"/>
  <c r="G166" i="53"/>
  <c r="F166" i="53"/>
  <c r="C166" i="53"/>
  <c r="A166" i="53"/>
  <c r="F154" i="53"/>
  <c r="E154" i="53"/>
  <c r="I155" i="53" s="1"/>
  <c r="D154" i="53"/>
  <c r="C154" i="53"/>
  <c r="A154" i="53"/>
  <c r="D146" i="53"/>
  <c r="I146" i="53" s="1"/>
  <c r="C146" i="53"/>
  <c r="A146" i="53"/>
  <c r="D145" i="53"/>
  <c r="I145" i="53" s="1"/>
  <c r="C145" i="53"/>
  <c r="A145" i="53"/>
  <c r="D144" i="53"/>
  <c r="I144" i="53" s="1"/>
  <c r="C144" i="53"/>
  <c r="A144" i="53"/>
  <c r="D143" i="53"/>
  <c r="C143" i="53"/>
  <c r="A143" i="53"/>
  <c r="I131" i="53"/>
  <c r="A131" i="53"/>
  <c r="I130" i="53"/>
  <c r="A130" i="53"/>
  <c r="A129" i="53"/>
  <c r="G125" i="53"/>
  <c r="F125" i="53"/>
  <c r="I125" i="53" s="1"/>
  <c r="C125" i="53"/>
  <c r="A125" i="53"/>
  <c r="G124" i="53"/>
  <c r="F124" i="53"/>
  <c r="C124" i="53"/>
  <c r="A124" i="53"/>
  <c r="G123" i="53"/>
  <c r="F123" i="53"/>
  <c r="I123" i="53" s="1"/>
  <c r="C123" i="53"/>
  <c r="A123" i="53"/>
  <c r="G122" i="53"/>
  <c r="F122" i="53"/>
  <c r="C122" i="53"/>
  <c r="A122" i="53"/>
  <c r="J107" i="53"/>
  <c r="D91" i="53"/>
  <c r="I91" i="53" s="1"/>
  <c r="C91" i="53"/>
  <c r="A91" i="53"/>
  <c r="D90" i="53"/>
  <c r="I90" i="53" s="1"/>
  <c r="C90" i="53"/>
  <c r="A90" i="53"/>
  <c r="D54" i="53"/>
  <c r="I54" i="53" s="1"/>
  <c r="C54" i="53"/>
  <c r="A54" i="53"/>
  <c r="D53" i="53"/>
  <c r="I53" i="53" s="1"/>
  <c r="C53" i="53"/>
  <c r="A53" i="53"/>
  <c r="C34" i="53"/>
  <c r="A34" i="53"/>
  <c r="D29" i="53"/>
  <c r="I29" i="53" s="1"/>
  <c r="C29" i="53"/>
  <c r="A29" i="53"/>
  <c r="D28" i="53"/>
  <c r="I28" i="53" s="1"/>
  <c r="C28" i="53"/>
  <c r="A28" i="53"/>
  <c r="D16" i="53"/>
  <c r="I16" i="53" s="1"/>
  <c r="C16" i="53"/>
  <c r="A16" i="53"/>
  <c r="I15" i="53"/>
  <c r="C15" i="53"/>
  <c r="A15" i="53"/>
  <c r="D14" i="53"/>
  <c r="I14" i="53" s="1"/>
  <c r="C14" i="53"/>
  <c r="A14" i="53"/>
  <c r="C504" i="53"/>
  <c r="I498" i="53"/>
  <c r="C497" i="53"/>
  <c r="A497" i="53"/>
  <c r="I486" i="53"/>
  <c r="A486" i="53"/>
  <c r="I485" i="53"/>
  <c r="A485" i="53"/>
  <c r="A484" i="53"/>
  <c r="C480" i="53"/>
  <c r="A480" i="53"/>
  <c r="C479" i="53"/>
  <c r="A479" i="53"/>
  <c r="C478" i="53"/>
  <c r="A478" i="53"/>
  <c r="C477" i="53"/>
  <c r="A477" i="53"/>
  <c r="C476" i="53"/>
  <c r="A476" i="53"/>
  <c r="C475" i="53"/>
  <c r="A475" i="53"/>
  <c r="C474" i="53"/>
  <c r="A474" i="53"/>
  <c r="C473" i="53"/>
  <c r="A473" i="53"/>
  <c r="I470" i="53"/>
  <c r="A470" i="53"/>
  <c r="I469" i="53"/>
  <c r="I459" i="53"/>
  <c r="I442" i="53"/>
  <c r="I447" i="53" s="1"/>
  <c r="I449" i="53" s="1"/>
  <c r="A441" i="53"/>
  <c r="I435" i="53"/>
  <c r="A435" i="53"/>
  <c r="I434" i="53"/>
  <c r="I428" i="53"/>
  <c r="I410" i="53"/>
  <c r="I412" i="53" s="1"/>
  <c r="I414" i="53" s="1"/>
  <c r="I400" i="53"/>
  <c r="A400" i="53"/>
  <c r="I399" i="53"/>
  <c r="A399" i="53"/>
  <c r="I393" i="53"/>
  <c r="I375" i="53"/>
  <c r="I377" i="53" s="1"/>
  <c r="I379" i="53" s="1"/>
  <c r="I365" i="53"/>
  <c r="A365" i="53"/>
  <c r="I364" i="53"/>
  <c r="A364" i="53"/>
  <c r="I358" i="53"/>
  <c r="I349" i="53"/>
  <c r="I341" i="53"/>
  <c r="I336" i="53"/>
  <c r="I326" i="53"/>
  <c r="A326" i="53"/>
  <c r="I325" i="53"/>
  <c r="A325" i="53"/>
  <c r="I319" i="53"/>
  <c r="I302" i="53"/>
  <c r="I287" i="53"/>
  <c r="A287" i="53"/>
  <c r="I286" i="53"/>
  <c r="A286" i="53"/>
  <c r="I280" i="53"/>
  <c r="I271" i="53"/>
  <c r="I270" i="53"/>
  <c r="I263" i="53"/>
  <c r="I248" i="53"/>
  <c r="A248" i="53"/>
  <c r="I247" i="53"/>
  <c r="A247" i="53"/>
  <c r="I241" i="53"/>
  <c r="I237" i="53"/>
  <c r="I223" i="53"/>
  <c r="I217" i="53"/>
  <c r="I209" i="53"/>
  <c r="A209" i="53"/>
  <c r="I208" i="53"/>
  <c r="A208" i="53"/>
  <c r="I202" i="53"/>
  <c r="I198" i="53"/>
  <c r="I193" i="53"/>
  <c r="I192" i="53"/>
  <c r="I181" i="53"/>
  <c r="I165" i="53"/>
  <c r="I162" i="53"/>
  <c r="A162" i="53"/>
  <c r="I161" i="53"/>
  <c r="A161" i="53"/>
  <c r="I151" i="53"/>
  <c r="I136" i="53"/>
  <c r="I119" i="53"/>
  <c r="A119" i="53"/>
  <c r="I118" i="53"/>
  <c r="A118" i="53"/>
  <c r="A117" i="53"/>
  <c r="I112" i="53"/>
  <c r="I104" i="53"/>
  <c r="I103" i="53"/>
  <c r="I96" i="53"/>
  <c r="I87" i="53"/>
  <c r="I83" i="53"/>
  <c r="A83" i="53"/>
  <c r="I82" i="53"/>
  <c r="A82" i="53"/>
  <c r="I76" i="53"/>
  <c r="I67" i="53"/>
  <c r="I66" i="53"/>
  <c r="I59" i="53"/>
  <c r="I50" i="53"/>
  <c r="I46" i="53"/>
  <c r="A46" i="53"/>
  <c r="I45" i="53"/>
  <c r="A45" i="53"/>
  <c r="I39" i="53"/>
  <c r="I21" i="53"/>
  <c r="I11" i="53"/>
  <c r="I7" i="53"/>
  <c r="A7" i="53"/>
  <c r="I6" i="53"/>
  <c r="A6" i="53"/>
  <c r="A5" i="53"/>
  <c r="I68" i="53" l="1"/>
  <c r="I272" i="53"/>
  <c r="I330" i="53"/>
  <c r="I194" i="53"/>
  <c r="I124" i="53"/>
  <c r="I168" i="53"/>
  <c r="I167" i="53"/>
  <c r="I212" i="53"/>
  <c r="I213" i="53" s="1"/>
  <c r="I505" i="53"/>
  <c r="I17" i="53"/>
  <c r="I25" i="53" s="1"/>
  <c r="I337" i="53"/>
  <c r="I251" i="53"/>
  <c r="I253" i="53" s="1"/>
  <c r="I292" i="53"/>
  <c r="I298" i="53"/>
  <c r="I92" i="53"/>
  <c r="I98" i="53" s="1"/>
  <c r="I100" i="53" s="1"/>
  <c r="I55" i="53"/>
  <c r="I61" i="53" s="1"/>
  <c r="I63" i="53" s="1"/>
  <c r="I311" i="53"/>
  <c r="I166" i="53"/>
  <c r="I329" i="53"/>
  <c r="I227" i="53" l="1"/>
  <c r="I331" i="53"/>
  <c r="I343" i="53" s="1"/>
  <c r="I345" i="53" s="1"/>
  <c r="I138" i="53"/>
  <c r="I140" i="53" s="1"/>
  <c r="I492" i="53"/>
  <c r="I304" i="53"/>
  <c r="I306" i="53" s="1"/>
  <c r="I267" i="53"/>
  <c r="I494" i="53" l="1"/>
  <c r="F1462" i="1" l="1"/>
  <c r="G1462" i="1" s="1"/>
  <c r="F1470" i="1"/>
  <c r="G1470" i="1" s="1"/>
  <c r="F1449" i="1"/>
  <c r="G1449" i="1" s="1"/>
  <c r="F1441" i="1"/>
  <c r="G1441" i="1" s="1"/>
  <c r="F1433" i="1"/>
  <c r="G1433" i="1" s="1"/>
  <c r="F1425" i="1"/>
  <c r="G1425" i="1" s="1"/>
  <c r="F1417" i="1"/>
  <c r="G1417" i="1" s="1"/>
  <c r="F1409" i="1"/>
  <c r="G1409" i="1" s="1"/>
  <c r="F1401" i="1"/>
  <c r="G1401" i="1" s="1"/>
  <c r="F1393" i="1"/>
  <c r="G1393" i="1" s="1"/>
  <c r="F1385" i="1"/>
  <c r="G1385" i="1" s="1"/>
  <c r="F1377" i="1"/>
  <c r="G1377" i="1" s="1"/>
  <c r="F1369" i="1"/>
  <c r="G1369" i="1" s="1"/>
  <c r="F1361" i="1"/>
  <c r="G1361" i="1" s="1"/>
  <c r="F1353" i="1"/>
  <c r="G1353" i="1" s="1"/>
  <c r="F1345" i="1"/>
  <c r="G1345" i="1" s="1"/>
  <c r="F1337" i="1"/>
  <c r="G1337" i="1" s="1"/>
  <c r="F1329" i="1"/>
  <c r="G1329" i="1" s="1"/>
  <c r="F1321" i="1"/>
  <c r="G1321" i="1" s="1"/>
  <c r="F1313" i="1"/>
  <c r="G1313" i="1" s="1"/>
  <c r="F1305" i="1"/>
  <c r="G1305" i="1" s="1"/>
  <c r="F1297" i="1"/>
  <c r="G1297" i="1" s="1"/>
  <c r="F1289" i="1"/>
  <c r="G1289" i="1" s="1"/>
  <c r="F1281" i="1"/>
  <c r="G1281" i="1" s="1"/>
  <c r="F1273" i="1"/>
  <c r="G1273" i="1" s="1"/>
  <c r="F1265" i="1"/>
  <c r="G1265" i="1" s="1"/>
  <c r="F1257" i="1"/>
  <c r="G1257" i="1" s="1"/>
  <c r="F1249" i="1"/>
  <c r="G1249" i="1" s="1"/>
  <c r="F1241" i="1"/>
  <c r="G1241" i="1" s="1"/>
  <c r="F1233" i="1"/>
  <c r="G1233" i="1" s="1"/>
  <c r="F1225" i="1"/>
  <c r="G1225" i="1" s="1"/>
  <c r="F1217" i="1"/>
  <c r="G1217" i="1" s="1"/>
  <c r="F1209" i="1"/>
  <c r="G1209" i="1" s="1"/>
  <c r="F1201" i="1"/>
  <c r="G1201" i="1" s="1"/>
  <c r="F1193" i="1"/>
  <c r="G1193" i="1" s="1"/>
  <c r="F1185" i="1"/>
  <c r="G1185" i="1" s="1"/>
  <c r="F1176" i="1"/>
  <c r="G1176" i="1" s="1"/>
  <c r="F1168" i="1"/>
  <c r="G1168" i="1" s="1"/>
  <c r="F1160" i="1"/>
  <c r="G1160" i="1" s="1"/>
  <c r="F1152" i="1"/>
  <c r="G1152" i="1" s="1"/>
  <c r="F1144" i="1"/>
  <c r="G1144" i="1" s="1"/>
  <c r="F1136" i="1"/>
  <c r="G1136" i="1" s="1"/>
  <c r="F1128" i="1"/>
  <c r="G1128" i="1" s="1"/>
  <c r="F1120" i="1"/>
  <c r="G1120" i="1" s="1"/>
  <c r="F1111" i="1"/>
  <c r="G1111" i="1" s="1"/>
  <c r="F1103" i="1"/>
  <c r="G1103" i="1" s="1"/>
  <c r="F1095" i="1"/>
  <c r="G1095" i="1" s="1"/>
  <c r="F1087" i="1"/>
  <c r="G1087" i="1" s="1"/>
  <c r="F1079" i="1"/>
  <c r="G1079" i="1" s="1"/>
  <c r="F1071" i="1"/>
  <c r="G1071" i="1" s="1"/>
  <c r="F1063" i="1"/>
  <c r="G1063" i="1" s="1"/>
  <c r="F1056" i="1"/>
  <c r="G1056" i="1" s="1"/>
  <c r="F1048" i="1"/>
  <c r="G1048" i="1" s="1"/>
  <c r="F1040" i="1"/>
  <c r="G1040" i="1" s="1"/>
  <c r="F1032" i="1"/>
  <c r="G1032" i="1" s="1"/>
  <c r="F1025" i="1"/>
  <c r="G1025" i="1" s="1"/>
  <c r="F1017" i="1"/>
  <c r="G1017" i="1" s="1"/>
  <c r="F1009" i="1"/>
  <c r="G1009" i="1" s="1"/>
  <c r="F1001" i="1"/>
  <c r="G1001" i="1" s="1"/>
  <c r="F993" i="1"/>
  <c r="G993" i="1" s="1"/>
  <c r="F985" i="1"/>
  <c r="G985" i="1" s="1"/>
  <c r="F976" i="1"/>
  <c r="G976" i="1" s="1"/>
  <c r="F968" i="1"/>
  <c r="G968" i="1" s="1"/>
  <c r="F960" i="1"/>
  <c r="G960" i="1" s="1"/>
  <c r="F951" i="1"/>
  <c r="G951" i="1" s="1"/>
  <c r="F944" i="1"/>
  <c r="G944" i="1" s="1"/>
  <c r="F936" i="1"/>
  <c r="G936" i="1" s="1"/>
  <c r="F927" i="1"/>
  <c r="G927" i="1" s="1"/>
  <c r="F919" i="1"/>
  <c r="G919" i="1" s="1"/>
  <c r="F910" i="1"/>
  <c r="G910" i="1" s="1"/>
  <c r="F902" i="1"/>
  <c r="G902" i="1" s="1"/>
  <c r="F894" i="1"/>
  <c r="G894" i="1" s="1"/>
  <c r="F886" i="1"/>
  <c r="G886" i="1" s="1"/>
  <c r="F878" i="1"/>
  <c r="G878" i="1" s="1"/>
  <c r="F871" i="1"/>
  <c r="G871" i="1" s="1"/>
  <c r="F863" i="1"/>
  <c r="G863" i="1" s="1"/>
  <c r="F856" i="1"/>
  <c r="G856" i="1" s="1"/>
  <c r="F848" i="1"/>
  <c r="G848" i="1" s="1"/>
  <c r="F840" i="1"/>
  <c r="G840" i="1" s="1"/>
  <c r="F831" i="1"/>
  <c r="G831" i="1" s="1"/>
  <c r="F817" i="1"/>
  <c r="G817" i="1" s="1"/>
  <c r="F809" i="1"/>
  <c r="G809" i="1" s="1"/>
  <c r="F798" i="1"/>
  <c r="G798" i="1" s="1"/>
  <c r="F1469" i="1"/>
  <c r="G1469" i="1" s="1"/>
  <c r="F1448" i="1"/>
  <c r="G1448" i="1" s="1"/>
  <c r="F1440" i="1"/>
  <c r="G1440" i="1" s="1"/>
  <c r="F1432" i="1"/>
  <c r="G1432" i="1" s="1"/>
  <c r="F1424" i="1"/>
  <c r="G1424" i="1" s="1"/>
  <c r="F1416" i="1"/>
  <c r="G1416" i="1" s="1"/>
  <c r="F1408" i="1"/>
  <c r="G1408" i="1" s="1"/>
  <c r="F1400" i="1"/>
  <c r="G1400" i="1" s="1"/>
  <c r="F1392" i="1"/>
  <c r="G1392" i="1" s="1"/>
  <c r="F1384" i="1"/>
  <c r="G1384" i="1" s="1"/>
  <c r="F1376" i="1"/>
  <c r="G1376" i="1" s="1"/>
  <c r="F1368" i="1"/>
  <c r="G1368" i="1" s="1"/>
  <c r="F1360" i="1"/>
  <c r="G1360" i="1" s="1"/>
  <c r="F1352" i="1"/>
  <c r="G1352" i="1" s="1"/>
  <c r="F1344" i="1"/>
  <c r="G1344" i="1" s="1"/>
  <c r="F1336" i="1"/>
  <c r="G1336" i="1" s="1"/>
  <c r="F1328" i="1"/>
  <c r="G1328" i="1" s="1"/>
  <c r="F1320" i="1"/>
  <c r="G1320" i="1" s="1"/>
  <c r="F1312" i="1"/>
  <c r="G1312" i="1" s="1"/>
  <c r="F1304" i="1"/>
  <c r="G1304" i="1" s="1"/>
  <c r="F1296" i="1"/>
  <c r="G1296" i="1" s="1"/>
  <c r="F1288" i="1"/>
  <c r="G1288" i="1" s="1"/>
  <c r="F1280" i="1"/>
  <c r="G1280" i="1" s="1"/>
  <c r="F1272" i="1"/>
  <c r="G1272" i="1" s="1"/>
  <c r="F1264" i="1"/>
  <c r="G1264" i="1" s="1"/>
  <c r="F1256" i="1"/>
  <c r="G1256" i="1" s="1"/>
  <c r="F1248" i="1"/>
  <c r="G1248" i="1" s="1"/>
  <c r="F1240" i="1"/>
  <c r="G1240" i="1" s="1"/>
  <c r="F1232" i="1"/>
  <c r="G1232" i="1" s="1"/>
  <c r="F1224" i="1"/>
  <c r="G1224" i="1" s="1"/>
  <c r="F1216" i="1"/>
  <c r="G1216" i="1" s="1"/>
  <c r="F1208" i="1"/>
  <c r="G1208" i="1" s="1"/>
  <c r="F1200" i="1"/>
  <c r="G1200" i="1" s="1"/>
  <c r="F1192" i="1"/>
  <c r="G1192" i="1" s="1"/>
  <c r="F1184" i="1"/>
  <c r="G1184" i="1" s="1"/>
  <c r="F1175" i="1"/>
  <c r="G1175" i="1" s="1"/>
  <c r="F1167" i="1"/>
  <c r="G1167" i="1" s="1"/>
  <c r="F1159" i="1"/>
  <c r="G1159" i="1" s="1"/>
  <c r="F1151" i="1"/>
  <c r="G1151" i="1" s="1"/>
  <c r="F1143" i="1"/>
  <c r="G1143" i="1" s="1"/>
  <c r="F1135" i="1"/>
  <c r="G1135" i="1" s="1"/>
  <c r="F1127" i="1"/>
  <c r="G1127" i="1" s="1"/>
  <c r="F1119" i="1"/>
  <c r="G1119" i="1" s="1"/>
  <c r="F1110" i="1"/>
  <c r="G1110" i="1" s="1"/>
  <c r="F1102" i="1"/>
  <c r="G1102" i="1" s="1"/>
  <c r="F1094" i="1"/>
  <c r="G1094" i="1" s="1"/>
  <c r="F1086" i="1"/>
  <c r="G1086" i="1" s="1"/>
  <c r="F1078" i="1"/>
  <c r="G1078" i="1" s="1"/>
  <c r="F1070" i="1"/>
  <c r="G1070" i="1" s="1"/>
  <c r="F1062" i="1"/>
  <c r="G1062" i="1" s="1"/>
  <c r="F1055" i="1"/>
  <c r="G1055" i="1" s="1"/>
  <c r="F1047" i="1"/>
  <c r="G1047" i="1" s="1"/>
  <c r="F1039" i="1"/>
  <c r="G1039" i="1" s="1"/>
  <c r="F1031" i="1"/>
  <c r="G1031" i="1" s="1"/>
  <c r="F1024" i="1"/>
  <c r="G1024" i="1" s="1"/>
  <c r="F1016" i="1"/>
  <c r="G1016" i="1" s="1"/>
  <c r="F1008" i="1"/>
  <c r="G1008" i="1" s="1"/>
  <c r="F1000" i="1"/>
  <c r="G1000" i="1" s="1"/>
  <c r="F992" i="1"/>
  <c r="G992" i="1" s="1"/>
  <c r="F984" i="1"/>
  <c r="G984" i="1" s="1"/>
  <c r="F975" i="1"/>
  <c r="G975" i="1" s="1"/>
  <c r="F967" i="1"/>
  <c r="G967" i="1" s="1"/>
  <c r="F959" i="1"/>
  <c r="G959" i="1" s="1"/>
  <c r="F950" i="1"/>
  <c r="G950" i="1" s="1"/>
  <c r="F943" i="1"/>
  <c r="G943" i="1" s="1"/>
  <c r="F935" i="1"/>
  <c r="G935" i="1" s="1"/>
  <c r="F926" i="1"/>
  <c r="G926" i="1" s="1"/>
  <c r="F918" i="1"/>
  <c r="G918" i="1" s="1"/>
  <c r="F909" i="1"/>
  <c r="G909" i="1" s="1"/>
  <c r="F901" i="1"/>
  <c r="G901" i="1" s="1"/>
  <c r="F893" i="1"/>
  <c r="G893" i="1" s="1"/>
  <c r="F885" i="1"/>
  <c r="G885" i="1" s="1"/>
  <c r="F870" i="1"/>
  <c r="G870" i="1" s="1"/>
  <c r="F862" i="1"/>
  <c r="G862" i="1" s="1"/>
  <c r="F855" i="1"/>
  <c r="G855" i="1" s="1"/>
  <c r="F847" i="1"/>
  <c r="G847" i="1" s="1"/>
  <c r="F839" i="1"/>
  <c r="G839" i="1" s="1"/>
  <c r="F830" i="1"/>
  <c r="G830" i="1" s="1"/>
  <c r="F816" i="1"/>
  <c r="G816" i="1" s="1"/>
  <c r="F808" i="1"/>
  <c r="G808" i="1" s="1"/>
  <c r="F797" i="1"/>
  <c r="G797" i="1" s="1"/>
  <c r="G1459" i="1"/>
  <c r="F1447" i="1"/>
  <c r="G1447" i="1" s="1"/>
  <c r="F1439" i="1"/>
  <c r="G1439" i="1" s="1"/>
  <c r="F1431" i="1"/>
  <c r="G1431" i="1" s="1"/>
  <c r="F1423" i="1"/>
  <c r="G1423" i="1" s="1"/>
  <c r="F1415" i="1"/>
  <c r="G1415" i="1" s="1"/>
  <c r="F1407" i="1"/>
  <c r="G1407" i="1" s="1"/>
  <c r="F1399" i="1"/>
  <c r="G1399" i="1" s="1"/>
  <c r="F1391" i="1"/>
  <c r="G1391" i="1" s="1"/>
  <c r="F1383" i="1"/>
  <c r="G1383" i="1" s="1"/>
  <c r="F1375" i="1"/>
  <c r="G1375" i="1" s="1"/>
  <c r="F1367" i="1"/>
  <c r="G1367" i="1" s="1"/>
  <c r="F1359" i="1"/>
  <c r="G1359" i="1" s="1"/>
  <c r="F1351" i="1"/>
  <c r="G1351" i="1" s="1"/>
  <c r="F1343" i="1"/>
  <c r="G1343" i="1" s="1"/>
  <c r="F1335" i="1"/>
  <c r="G1335" i="1" s="1"/>
  <c r="F1327" i="1"/>
  <c r="G1327" i="1" s="1"/>
  <c r="F1319" i="1"/>
  <c r="G1319" i="1" s="1"/>
  <c r="F1311" i="1"/>
  <c r="G1311" i="1" s="1"/>
  <c r="F1303" i="1"/>
  <c r="G1303" i="1" s="1"/>
  <c r="F1295" i="1"/>
  <c r="G1295" i="1" s="1"/>
  <c r="F1287" i="1"/>
  <c r="G1287" i="1" s="1"/>
  <c r="F1279" i="1"/>
  <c r="G1279" i="1" s="1"/>
  <c r="F1271" i="1"/>
  <c r="G1271" i="1" s="1"/>
  <c r="F1263" i="1"/>
  <c r="G1263" i="1" s="1"/>
  <c r="F1255" i="1"/>
  <c r="G1255" i="1" s="1"/>
  <c r="F1247" i="1"/>
  <c r="G1247" i="1" s="1"/>
  <c r="F1239" i="1"/>
  <c r="G1239" i="1" s="1"/>
  <c r="F1231" i="1"/>
  <c r="G1231" i="1" s="1"/>
  <c r="F1223" i="1"/>
  <c r="G1223" i="1" s="1"/>
  <c r="F1215" i="1"/>
  <c r="G1215" i="1" s="1"/>
  <c r="F1207" i="1"/>
  <c r="G1207" i="1" s="1"/>
  <c r="F1199" i="1"/>
  <c r="G1199" i="1" s="1"/>
  <c r="F1191" i="1"/>
  <c r="G1191" i="1" s="1"/>
  <c r="F1183" i="1"/>
  <c r="G1183" i="1" s="1"/>
  <c r="F1174" i="1"/>
  <c r="G1174" i="1" s="1"/>
  <c r="F1166" i="1"/>
  <c r="G1166" i="1" s="1"/>
  <c r="F1158" i="1"/>
  <c r="G1158" i="1" s="1"/>
  <c r="F1150" i="1"/>
  <c r="G1150" i="1" s="1"/>
  <c r="F1142" i="1"/>
  <c r="G1142" i="1" s="1"/>
  <c r="F1134" i="1"/>
  <c r="G1134" i="1" s="1"/>
  <c r="F1126" i="1"/>
  <c r="G1126" i="1" s="1"/>
  <c r="F1118" i="1"/>
  <c r="G1118" i="1" s="1"/>
  <c r="F1109" i="1"/>
  <c r="G1109" i="1" s="1"/>
  <c r="F1101" i="1"/>
  <c r="G1101" i="1" s="1"/>
  <c r="F1093" i="1"/>
  <c r="G1093" i="1" s="1"/>
  <c r="F1085" i="1"/>
  <c r="G1085" i="1" s="1"/>
  <c r="F1077" i="1"/>
  <c r="G1077" i="1" s="1"/>
  <c r="F1069" i="1"/>
  <c r="G1069" i="1" s="1"/>
  <c r="F1061" i="1"/>
  <c r="G1061" i="1" s="1"/>
  <c r="F1054" i="1"/>
  <c r="G1054" i="1" s="1"/>
  <c r="F1046" i="1"/>
  <c r="G1046" i="1" s="1"/>
  <c r="F1038" i="1"/>
  <c r="G1038" i="1" s="1"/>
  <c r="F1030" i="1"/>
  <c r="G1030" i="1" s="1"/>
  <c r="F1023" i="1"/>
  <c r="G1023" i="1" s="1"/>
  <c r="F1015" i="1"/>
  <c r="G1015" i="1" s="1"/>
  <c r="F1007" i="1"/>
  <c r="G1007" i="1" s="1"/>
  <c r="F999" i="1"/>
  <c r="G999" i="1" s="1"/>
  <c r="F991" i="1"/>
  <c r="G991" i="1" s="1"/>
  <c r="F983" i="1"/>
  <c r="G983" i="1" s="1"/>
  <c r="F974" i="1"/>
  <c r="G974" i="1" s="1"/>
  <c r="F966" i="1"/>
  <c r="G966" i="1" s="1"/>
  <c r="F958" i="1"/>
  <c r="G958" i="1" s="1"/>
  <c r="F942" i="1"/>
  <c r="G942" i="1" s="1"/>
  <c r="F934" i="1"/>
  <c r="G934" i="1" s="1"/>
  <c r="F925" i="1"/>
  <c r="G925" i="1" s="1"/>
  <c r="F916" i="1"/>
  <c r="G916" i="1" s="1"/>
  <c r="F908" i="1"/>
  <c r="G908" i="1" s="1"/>
  <c r="F900" i="1"/>
  <c r="G900" i="1" s="1"/>
  <c r="F892" i="1"/>
  <c r="G892" i="1" s="1"/>
  <c r="F884" i="1"/>
  <c r="G884" i="1" s="1"/>
  <c r="F876" i="1"/>
  <c r="G876" i="1" s="1"/>
  <c r="F869" i="1"/>
  <c r="G869" i="1" s="1"/>
  <c r="F861" i="1"/>
  <c r="G861" i="1" s="1"/>
  <c r="F854" i="1"/>
  <c r="G854" i="1" s="1"/>
  <c r="F846" i="1"/>
  <c r="G846" i="1" s="1"/>
  <c r="F838" i="1"/>
  <c r="G838" i="1" s="1"/>
  <c r="F826" i="1"/>
  <c r="G826" i="1" s="1"/>
  <c r="F814" i="1"/>
  <c r="G814" i="1" s="1"/>
  <c r="G1458" i="1"/>
  <c r="F1446" i="1"/>
  <c r="G1446" i="1" s="1"/>
  <c r="F1438" i="1"/>
  <c r="G1438" i="1" s="1"/>
  <c r="F1430" i="1"/>
  <c r="G1430" i="1" s="1"/>
  <c r="F1422" i="1"/>
  <c r="G1422" i="1" s="1"/>
  <c r="F1414" i="1"/>
  <c r="G1414" i="1" s="1"/>
  <c r="F1406" i="1"/>
  <c r="G1406" i="1" s="1"/>
  <c r="F1398" i="1"/>
  <c r="G1398" i="1" s="1"/>
  <c r="F1390" i="1"/>
  <c r="G1390" i="1" s="1"/>
  <c r="F1382" i="1"/>
  <c r="G1382" i="1" s="1"/>
  <c r="F1374" i="1"/>
  <c r="G1374" i="1" s="1"/>
  <c r="F1366" i="1"/>
  <c r="G1366" i="1" s="1"/>
  <c r="F1358" i="1"/>
  <c r="G1358" i="1" s="1"/>
  <c r="F1350" i="1"/>
  <c r="G1350" i="1" s="1"/>
  <c r="F1342" i="1"/>
  <c r="G1342" i="1" s="1"/>
  <c r="F1334" i="1"/>
  <c r="G1334" i="1" s="1"/>
  <c r="F1326" i="1"/>
  <c r="G1326" i="1" s="1"/>
  <c r="F1318" i="1"/>
  <c r="G1318" i="1" s="1"/>
  <c r="F1310" i="1"/>
  <c r="G1310" i="1" s="1"/>
  <c r="F1302" i="1"/>
  <c r="G1302" i="1" s="1"/>
  <c r="F1294" i="1"/>
  <c r="G1294" i="1" s="1"/>
  <c r="F1278" i="1"/>
  <c r="G1278" i="1" s="1"/>
  <c r="F1270" i="1"/>
  <c r="G1270" i="1" s="1"/>
  <c r="F1262" i="1"/>
  <c r="G1262" i="1" s="1"/>
  <c r="F1254" i="1"/>
  <c r="G1254" i="1" s="1"/>
  <c r="F1246" i="1"/>
  <c r="G1246" i="1" s="1"/>
  <c r="F1238" i="1"/>
  <c r="G1238" i="1" s="1"/>
  <c r="F1230" i="1"/>
  <c r="G1230" i="1" s="1"/>
  <c r="F1222" i="1"/>
  <c r="G1222" i="1" s="1"/>
  <c r="F1214" i="1"/>
  <c r="G1214" i="1" s="1"/>
  <c r="F1206" i="1"/>
  <c r="G1206" i="1" s="1"/>
  <c r="F1198" i="1"/>
  <c r="G1198" i="1" s="1"/>
  <c r="F1190" i="1"/>
  <c r="G1190" i="1" s="1"/>
  <c r="F1182" i="1"/>
  <c r="G1182" i="1" s="1"/>
  <c r="F1173" i="1"/>
  <c r="G1173" i="1" s="1"/>
  <c r="F1165" i="1"/>
  <c r="G1165" i="1" s="1"/>
  <c r="F1157" i="1"/>
  <c r="G1157" i="1" s="1"/>
  <c r="F1149" i="1"/>
  <c r="G1149" i="1" s="1"/>
  <c r="F1141" i="1"/>
  <c r="G1141" i="1" s="1"/>
  <c r="F1133" i="1"/>
  <c r="G1133" i="1" s="1"/>
  <c r="F1125" i="1"/>
  <c r="G1125" i="1" s="1"/>
  <c r="F1116" i="1"/>
  <c r="G1116" i="1" s="1"/>
  <c r="F1108" i="1"/>
  <c r="G1108" i="1" s="1"/>
  <c r="F1100" i="1"/>
  <c r="G1100" i="1" s="1"/>
  <c r="F1092" i="1"/>
  <c r="G1092" i="1" s="1"/>
  <c r="F1084" i="1"/>
  <c r="G1084" i="1" s="1"/>
  <c r="F1076" i="1"/>
  <c r="G1076" i="1" s="1"/>
  <c r="F1068" i="1"/>
  <c r="G1068" i="1" s="1"/>
  <c r="F1060" i="1"/>
  <c r="G1060" i="1" s="1"/>
  <c r="F1053" i="1"/>
  <c r="G1053" i="1" s="1"/>
  <c r="F1045" i="1"/>
  <c r="G1045" i="1" s="1"/>
  <c r="F1037" i="1"/>
  <c r="G1037" i="1" s="1"/>
  <c r="F1029" i="1"/>
  <c r="G1029" i="1" s="1"/>
  <c r="F1022" i="1"/>
  <c r="G1022" i="1" s="1"/>
  <c r="F1014" i="1"/>
  <c r="G1014" i="1" s="1"/>
  <c r="F1006" i="1"/>
  <c r="G1006" i="1" s="1"/>
  <c r="F998" i="1"/>
  <c r="G998" i="1" s="1"/>
  <c r="F990" i="1"/>
  <c r="G990" i="1" s="1"/>
  <c r="F982" i="1"/>
  <c r="G982" i="1" s="1"/>
  <c r="F973" i="1"/>
  <c r="G973" i="1" s="1"/>
  <c r="F965" i="1"/>
  <c r="G965" i="1" s="1"/>
  <c r="F957" i="1"/>
  <c r="G957" i="1" s="1"/>
  <c r="F949" i="1"/>
  <c r="G949" i="1" s="1"/>
  <c r="F941" i="1"/>
  <c r="G941" i="1" s="1"/>
  <c r="F933" i="1"/>
  <c r="G933" i="1" s="1"/>
  <c r="F924" i="1"/>
  <c r="G924" i="1" s="1"/>
  <c r="F915" i="1"/>
  <c r="G915" i="1" s="1"/>
  <c r="F907" i="1"/>
  <c r="G907" i="1" s="1"/>
  <c r="F899" i="1"/>
  <c r="G899" i="1" s="1"/>
  <c r="F891" i="1"/>
  <c r="G891" i="1" s="1"/>
  <c r="F883" i="1"/>
  <c r="G883" i="1" s="1"/>
  <c r="F875" i="1"/>
  <c r="G875" i="1" s="1"/>
  <c r="F868" i="1"/>
  <c r="G868" i="1" s="1"/>
  <c r="F860" i="1"/>
  <c r="G860" i="1" s="1"/>
  <c r="F853" i="1"/>
  <c r="G853" i="1" s="1"/>
  <c r="F845" i="1"/>
  <c r="G845" i="1" s="1"/>
  <c r="F837" i="1"/>
  <c r="G837" i="1" s="1"/>
  <c r="F825" i="1"/>
  <c r="G825" i="1" s="1"/>
  <c r="F813" i="1"/>
  <c r="G813" i="1" s="1"/>
  <c r="F804" i="1"/>
  <c r="G804" i="1" s="1"/>
  <c r="F795" i="1"/>
  <c r="G795" i="1" s="1"/>
  <c r="G1457" i="1"/>
  <c r="F1445" i="1"/>
  <c r="G1445" i="1" s="1"/>
  <c r="F1437" i="1"/>
  <c r="G1437" i="1" s="1"/>
  <c r="F1429" i="1"/>
  <c r="G1429" i="1" s="1"/>
  <c r="F1421" i="1"/>
  <c r="G1421" i="1" s="1"/>
  <c r="F1413" i="1"/>
  <c r="G1413" i="1" s="1"/>
  <c r="F1405" i="1"/>
  <c r="G1405" i="1" s="1"/>
  <c r="F1397" i="1"/>
  <c r="G1397" i="1" s="1"/>
  <c r="F1389" i="1"/>
  <c r="G1389" i="1" s="1"/>
  <c r="F1381" i="1"/>
  <c r="G1381" i="1" s="1"/>
  <c r="F1373" i="1"/>
  <c r="G1373" i="1" s="1"/>
  <c r="F1365" i="1"/>
  <c r="G1365" i="1" s="1"/>
  <c r="F1357" i="1"/>
  <c r="G1357" i="1" s="1"/>
  <c r="F1349" i="1"/>
  <c r="G1349" i="1" s="1"/>
  <c r="F1341" i="1"/>
  <c r="G1341" i="1" s="1"/>
  <c r="F1333" i="1"/>
  <c r="G1333" i="1" s="1"/>
  <c r="F1325" i="1"/>
  <c r="G1325" i="1" s="1"/>
  <c r="F1317" i="1"/>
  <c r="G1317" i="1" s="1"/>
  <c r="F1309" i="1"/>
  <c r="G1309" i="1" s="1"/>
  <c r="F1301" i="1"/>
  <c r="G1301" i="1" s="1"/>
  <c r="F1293" i="1"/>
  <c r="G1293" i="1" s="1"/>
  <c r="F1285" i="1"/>
  <c r="G1285" i="1" s="1"/>
  <c r="F1277" i="1"/>
  <c r="G1277" i="1" s="1"/>
  <c r="F1269" i="1"/>
  <c r="G1269" i="1" s="1"/>
  <c r="F1261" i="1"/>
  <c r="G1261" i="1" s="1"/>
  <c r="F1253" i="1"/>
  <c r="G1253" i="1" s="1"/>
  <c r="F1245" i="1"/>
  <c r="G1245" i="1" s="1"/>
  <c r="F1237" i="1"/>
  <c r="G1237" i="1" s="1"/>
  <c r="F1229" i="1"/>
  <c r="G1229" i="1" s="1"/>
  <c r="F1221" i="1"/>
  <c r="G1221" i="1" s="1"/>
  <c r="F1213" i="1"/>
  <c r="G1213" i="1" s="1"/>
  <c r="F1205" i="1"/>
  <c r="G1205" i="1" s="1"/>
  <c r="F1197" i="1"/>
  <c r="G1197" i="1" s="1"/>
  <c r="F1189" i="1"/>
  <c r="G1189" i="1" s="1"/>
  <c r="F1181" i="1"/>
  <c r="G1181" i="1" s="1"/>
  <c r="F1172" i="1"/>
  <c r="G1172" i="1" s="1"/>
  <c r="F1164" i="1"/>
  <c r="G1164" i="1" s="1"/>
  <c r="F1156" i="1"/>
  <c r="G1156" i="1" s="1"/>
  <c r="F1148" i="1"/>
  <c r="G1148" i="1" s="1"/>
  <c r="F1140" i="1"/>
  <c r="G1140" i="1" s="1"/>
  <c r="F1132" i="1"/>
  <c r="G1132" i="1" s="1"/>
  <c r="F1124" i="1"/>
  <c r="G1124" i="1" s="1"/>
  <c r="F1115" i="1"/>
  <c r="G1115" i="1" s="1"/>
  <c r="F1107" i="1"/>
  <c r="G1107" i="1" s="1"/>
  <c r="F1099" i="1"/>
  <c r="G1099" i="1" s="1"/>
  <c r="F1091" i="1"/>
  <c r="G1091" i="1" s="1"/>
  <c r="F1083" i="1"/>
  <c r="G1083" i="1" s="1"/>
  <c r="F1075" i="1"/>
  <c r="G1075" i="1" s="1"/>
  <c r="F1067" i="1"/>
  <c r="G1067" i="1" s="1"/>
  <c r="F1059" i="1"/>
  <c r="G1059" i="1" s="1"/>
  <c r="F1052" i="1"/>
  <c r="G1052" i="1" s="1"/>
  <c r="F1044" i="1"/>
  <c r="G1044" i="1" s="1"/>
  <c r="F1036" i="1"/>
  <c r="G1036" i="1" s="1"/>
  <c r="F1028" i="1"/>
  <c r="G1028" i="1" s="1"/>
  <c r="F1021" i="1"/>
  <c r="G1021" i="1" s="1"/>
  <c r="F1013" i="1"/>
  <c r="G1013" i="1" s="1"/>
  <c r="F1005" i="1"/>
  <c r="G1005" i="1" s="1"/>
  <c r="F997" i="1"/>
  <c r="G997" i="1" s="1"/>
  <c r="F989" i="1"/>
  <c r="G989" i="1" s="1"/>
  <c r="F980" i="1"/>
  <c r="G980" i="1" s="1"/>
  <c r="F972" i="1"/>
  <c r="G972" i="1" s="1"/>
  <c r="F964" i="1"/>
  <c r="G964" i="1" s="1"/>
  <c r="F956" i="1"/>
  <c r="G956" i="1" s="1"/>
  <c r="F948" i="1"/>
  <c r="G948" i="1" s="1"/>
  <c r="F940" i="1"/>
  <c r="G940" i="1" s="1"/>
  <c r="F932" i="1"/>
  <c r="G932" i="1" s="1"/>
  <c r="F923" i="1"/>
  <c r="G923" i="1" s="1"/>
  <c r="F914" i="1"/>
  <c r="G914" i="1" s="1"/>
  <c r="F906" i="1"/>
  <c r="G906" i="1" s="1"/>
  <c r="F898" i="1"/>
  <c r="G898" i="1" s="1"/>
  <c r="F890" i="1"/>
  <c r="G890" i="1" s="1"/>
  <c r="F882" i="1"/>
  <c r="G882" i="1" s="1"/>
  <c r="F867" i="1"/>
  <c r="G867" i="1" s="1"/>
  <c r="F859" i="1"/>
  <c r="G859" i="1" s="1"/>
  <c r="F852" i="1"/>
  <c r="G852" i="1" s="1"/>
  <c r="F844" i="1"/>
  <c r="G844" i="1" s="1"/>
  <c r="F836" i="1"/>
  <c r="G836" i="1" s="1"/>
  <c r="F823" i="1"/>
  <c r="G823" i="1" s="1"/>
  <c r="F812" i="1"/>
  <c r="G812" i="1" s="1"/>
  <c r="F803" i="1"/>
  <c r="G803" i="1" s="1"/>
  <c r="F794" i="1"/>
  <c r="G794" i="1" s="1"/>
  <c r="F784" i="1"/>
  <c r="G784" i="1" s="1"/>
  <c r="G1452" i="1"/>
  <c r="F1444" i="1"/>
  <c r="G1444" i="1" s="1"/>
  <c r="F1436" i="1"/>
  <c r="G1436" i="1" s="1"/>
  <c r="F1428" i="1"/>
  <c r="G1428" i="1" s="1"/>
  <c r="F1420" i="1"/>
  <c r="G1420" i="1" s="1"/>
  <c r="F1412" i="1"/>
  <c r="G1412" i="1" s="1"/>
  <c r="F1404" i="1"/>
  <c r="G1404" i="1" s="1"/>
  <c r="F1396" i="1"/>
  <c r="G1396" i="1" s="1"/>
  <c r="F1388" i="1"/>
  <c r="G1388" i="1" s="1"/>
  <c r="F1380" i="1"/>
  <c r="G1380" i="1" s="1"/>
  <c r="F1372" i="1"/>
  <c r="G1372" i="1" s="1"/>
  <c r="F1364" i="1"/>
  <c r="G1364" i="1" s="1"/>
  <c r="F1356" i="1"/>
  <c r="G1356" i="1" s="1"/>
  <c r="F1348" i="1"/>
  <c r="G1348" i="1" s="1"/>
  <c r="F1340" i="1"/>
  <c r="G1340" i="1" s="1"/>
  <c r="F1332" i="1"/>
  <c r="G1332" i="1" s="1"/>
  <c r="F1324" i="1"/>
  <c r="G1324" i="1" s="1"/>
  <c r="F1316" i="1"/>
  <c r="G1316" i="1" s="1"/>
  <c r="F1308" i="1"/>
  <c r="G1308" i="1" s="1"/>
  <c r="F1300" i="1"/>
  <c r="G1300" i="1" s="1"/>
  <c r="F1292" i="1"/>
  <c r="G1292" i="1" s="1"/>
  <c r="F1284" i="1"/>
  <c r="G1284" i="1" s="1"/>
  <c r="F1276" i="1"/>
  <c r="G1276" i="1" s="1"/>
  <c r="F1268" i="1"/>
  <c r="G1268" i="1" s="1"/>
  <c r="F1260" i="1"/>
  <c r="G1260" i="1" s="1"/>
  <c r="F1252" i="1"/>
  <c r="G1252" i="1" s="1"/>
  <c r="F1244" i="1"/>
  <c r="G1244" i="1" s="1"/>
  <c r="F1236" i="1"/>
  <c r="G1236" i="1" s="1"/>
  <c r="F1228" i="1"/>
  <c r="G1228" i="1" s="1"/>
  <c r="F1220" i="1"/>
  <c r="G1220" i="1" s="1"/>
  <c r="F1212" i="1"/>
  <c r="G1212" i="1" s="1"/>
  <c r="F1204" i="1"/>
  <c r="G1204" i="1" s="1"/>
  <c r="F1196" i="1"/>
  <c r="G1196" i="1" s="1"/>
  <c r="F1188" i="1"/>
  <c r="G1188" i="1" s="1"/>
  <c r="F1179" i="1"/>
  <c r="G1179" i="1" s="1"/>
  <c r="F1171" i="1"/>
  <c r="G1171" i="1" s="1"/>
  <c r="F1163" i="1"/>
  <c r="G1163" i="1" s="1"/>
  <c r="F1155" i="1"/>
  <c r="G1155" i="1" s="1"/>
  <c r="F1147" i="1"/>
  <c r="G1147" i="1" s="1"/>
  <c r="F1139" i="1"/>
  <c r="G1139" i="1" s="1"/>
  <c r="F1131" i="1"/>
  <c r="G1131" i="1" s="1"/>
  <c r="F1123" i="1"/>
  <c r="G1123" i="1" s="1"/>
  <c r="F1114" i="1"/>
  <c r="G1114" i="1" s="1"/>
  <c r="F1106" i="1"/>
  <c r="G1106" i="1" s="1"/>
  <c r="F1098" i="1"/>
  <c r="G1098" i="1" s="1"/>
  <c r="F1090" i="1"/>
  <c r="G1090" i="1" s="1"/>
  <c r="F1082" i="1"/>
  <c r="G1082" i="1" s="1"/>
  <c r="F1074" i="1"/>
  <c r="G1074" i="1" s="1"/>
  <c r="F1066" i="1"/>
  <c r="G1066" i="1" s="1"/>
  <c r="F1051" i="1"/>
  <c r="G1051" i="1" s="1"/>
  <c r="F1043" i="1"/>
  <c r="G1043" i="1" s="1"/>
  <c r="F1035" i="1"/>
  <c r="G1035" i="1" s="1"/>
  <c r="F1027" i="1"/>
  <c r="G1027" i="1" s="1"/>
  <c r="F1020" i="1"/>
  <c r="G1020" i="1" s="1"/>
  <c r="F1012" i="1"/>
  <c r="G1012" i="1" s="1"/>
  <c r="F1003" i="1"/>
  <c r="G1003" i="1" s="1"/>
  <c r="F996" i="1"/>
  <c r="G996" i="1" s="1"/>
  <c r="F988" i="1"/>
  <c r="G988" i="1" s="1"/>
  <c r="F979" i="1"/>
  <c r="G979" i="1" s="1"/>
  <c r="F971" i="1"/>
  <c r="G971" i="1" s="1"/>
  <c r="F963" i="1"/>
  <c r="G963" i="1" s="1"/>
  <c r="F954" i="1"/>
  <c r="G954" i="1" s="1"/>
  <c r="F947" i="1"/>
  <c r="G947" i="1" s="1"/>
  <c r="F939" i="1"/>
  <c r="G939" i="1" s="1"/>
  <c r="F931" i="1"/>
  <c r="G931" i="1" s="1"/>
  <c r="F922" i="1"/>
  <c r="G922" i="1" s="1"/>
  <c r="F913" i="1"/>
  <c r="G913" i="1" s="1"/>
  <c r="F905" i="1"/>
  <c r="G905" i="1" s="1"/>
  <c r="F897" i="1"/>
  <c r="G897" i="1" s="1"/>
  <c r="F889" i="1"/>
  <c r="G889" i="1" s="1"/>
  <c r="F881" i="1"/>
  <c r="G881" i="1" s="1"/>
  <c r="F874" i="1"/>
  <c r="G874" i="1" s="1"/>
  <c r="F866" i="1"/>
  <c r="G866" i="1" s="1"/>
  <c r="F851" i="1"/>
  <c r="G851" i="1" s="1"/>
  <c r="F843" i="1"/>
  <c r="G843" i="1" s="1"/>
  <c r="G835" i="1"/>
  <c r="F821" i="1"/>
  <c r="G821" i="1" s="1"/>
  <c r="F802" i="1"/>
  <c r="G802" i="1" s="1"/>
  <c r="F1451" i="1"/>
  <c r="G1451" i="1" s="1"/>
  <c r="F1443" i="1"/>
  <c r="G1443" i="1" s="1"/>
  <c r="F1435" i="1"/>
  <c r="G1435" i="1" s="1"/>
  <c r="F1427" i="1"/>
  <c r="G1427" i="1" s="1"/>
  <c r="F1419" i="1"/>
  <c r="G1419" i="1" s="1"/>
  <c r="F1411" i="1"/>
  <c r="G1411" i="1" s="1"/>
  <c r="F1403" i="1"/>
  <c r="G1403" i="1" s="1"/>
  <c r="F1395" i="1"/>
  <c r="G1395" i="1" s="1"/>
  <c r="F1387" i="1"/>
  <c r="G1387" i="1" s="1"/>
  <c r="F1379" i="1"/>
  <c r="G1379" i="1" s="1"/>
  <c r="F1371" i="1"/>
  <c r="G1371" i="1" s="1"/>
  <c r="F1363" i="1"/>
  <c r="G1363" i="1" s="1"/>
  <c r="F1355" i="1"/>
  <c r="G1355" i="1" s="1"/>
  <c r="F1347" i="1"/>
  <c r="G1347" i="1" s="1"/>
  <c r="F1339" i="1"/>
  <c r="G1339" i="1" s="1"/>
  <c r="F1331" i="1"/>
  <c r="G1331" i="1" s="1"/>
  <c r="F1323" i="1"/>
  <c r="G1323" i="1" s="1"/>
  <c r="F1315" i="1"/>
  <c r="G1315" i="1" s="1"/>
  <c r="F1307" i="1"/>
  <c r="G1307" i="1" s="1"/>
  <c r="F1299" i="1"/>
  <c r="G1299" i="1" s="1"/>
  <c r="F1291" i="1"/>
  <c r="G1291" i="1" s="1"/>
  <c r="F1283" i="1"/>
  <c r="G1283" i="1" s="1"/>
  <c r="F1275" i="1"/>
  <c r="G1275" i="1" s="1"/>
  <c r="F1267" i="1"/>
  <c r="G1267" i="1" s="1"/>
  <c r="F1259" i="1"/>
  <c r="G1259" i="1" s="1"/>
  <c r="F1251" i="1"/>
  <c r="G1251" i="1" s="1"/>
  <c r="F1243" i="1"/>
  <c r="G1243" i="1" s="1"/>
  <c r="F1235" i="1"/>
  <c r="G1235" i="1" s="1"/>
  <c r="F1227" i="1"/>
  <c r="G1227" i="1" s="1"/>
  <c r="F1219" i="1"/>
  <c r="G1219" i="1" s="1"/>
  <c r="F1211" i="1"/>
  <c r="G1211" i="1" s="1"/>
  <c r="F1203" i="1"/>
  <c r="G1203" i="1" s="1"/>
  <c r="F1195" i="1"/>
  <c r="G1195" i="1" s="1"/>
  <c r="F1187" i="1"/>
  <c r="G1187" i="1" s="1"/>
  <c r="F1178" i="1"/>
  <c r="G1178" i="1" s="1"/>
  <c r="F1170" i="1"/>
  <c r="G1170" i="1" s="1"/>
  <c r="F1162" i="1"/>
  <c r="G1162" i="1" s="1"/>
  <c r="F1154" i="1"/>
  <c r="G1154" i="1" s="1"/>
  <c r="F1146" i="1"/>
  <c r="G1146" i="1" s="1"/>
  <c r="F1138" i="1"/>
  <c r="G1138" i="1" s="1"/>
  <c r="F1130" i="1"/>
  <c r="G1130" i="1" s="1"/>
  <c r="F1122" i="1"/>
  <c r="G1122" i="1" s="1"/>
  <c r="F1113" i="1"/>
  <c r="G1113" i="1" s="1"/>
  <c r="F1105" i="1"/>
  <c r="G1105" i="1" s="1"/>
  <c r="F1097" i="1"/>
  <c r="G1097" i="1" s="1"/>
  <c r="F1089" i="1"/>
  <c r="G1089" i="1" s="1"/>
  <c r="F1081" i="1"/>
  <c r="G1081" i="1" s="1"/>
  <c r="F1073" i="1"/>
  <c r="G1073" i="1" s="1"/>
  <c r="F1065" i="1"/>
  <c r="G1065" i="1" s="1"/>
  <c r="F1058" i="1"/>
  <c r="G1058" i="1" s="1"/>
  <c r="F1050" i="1"/>
  <c r="G1050" i="1" s="1"/>
  <c r="F1042" i="1"/>
  <c r="G1042" i="1" s="1"/>
  <c r="F1034" i="1"/>
  <c r="G1034" i="1" s="1"/>
  <c r="F1026" i="1"/>
  <c r="G1026" i="1" s="1"/>
  <c r="F1019" i="1"/>
  <c r="G1019" i="1" s="1"/>
  <c r="F1011" i="1"/>
  <c r="G1011" i="1" s="1"/>
  <c r="F1002" i="1"/>
  <c r="G1002" i="1" s="1"/>
  <c r="F995" i="1"/>
  <c r="G995" i="1" s="1"/>
  <c r="F987" i="1"/>
  <c r="G987" i="1" s="1"/>
  <c r="F978" i="1"/>
  <c r="G978" i="1" s="1"/>
  <c r="F970" i="1"/>
  <c r="G970" i="1" s="1"/>
  <c r="F962" i="1"/>
  <c r="G962" i="1" s="1"/>
  <c r="F953" i="1"/>
  <c r="G953" i="1" s="1"/>
  <c r="F946" i="1"/>
  <c r="G946" i="1" s="1"/>
  <c r="F938" i="1"/>
  <c r="G938" i="1" s="1"/>
  <c r="F930" i="1"/>
  <c r="G930" i="1" s="1"/>
  <c r="F921" i="1"/>
  <c r="G921" i="1" s="1"/>
  <c r="F912" i="1"/>
  <c r="G912" i="1" s="1"/>
  <c r="F904" i="1"/>
  <c r="G904" i="1" s="1"/>
  <c r="F896" i="1"/>
  <c r="G896" i="1" s="1"/>
  <c r="F888" i="1"/>
  <c r="G888" i="1" s="1"/>
  <c r="F880" i="1"/>
  <c r="G880" i="1" s="1"/>
  <c r="F873" i="1"/>
  <c r="G873" i="1" s="1"/>
  <c r="F865" i="1"/>
  <c r="G865" i="1" s="1"/>
  <c r="F1471" i="1"/>
  <c r="G1471" i="1" s="1"/>
  <c r="F1450" i="1"/>
  <c r="G1450" i="1" s="1"/>
  <c r="F1442" i="1"/>
  <c r="G1442" i="1" s="1"/>
  <c r="F1434" i="1"/>
  <c r="G1434" i="1" s="1"/>
  <c r="F1426" i="1"/>
  <c r="G1426" i="1" s="1"/>
  <c r="F1418" i="1"/>
  <c r="G1418" i="1" s="1"/>
  <c r="F1410" i="1"/>
  <c r="G1410" i="1" s="1"/>
  <c r="F1402" i="1"/>
  <c r="G1402" i="1" s="1"/>
  <c r="F1394" i="1"/>
  <c r="G1394" i="1" s="1"/>
  <c r="F1386" i="1"/>
  <c r="G1386" i="1" s="1"/>
  <c r="F1378" i="1"/>
  <c r="G1378" i="1" s="1"/>
  <c r="F1370" i="1"/>
  <c r="G1370" i="1" s="1"/>
  <c r="F1362" i="1"/>
  <c r="G1362" i="1" s="1"/>
  <c r="F1354" i="1"/>
  <c r="G1354" i="1" s="1"/>
  <c r="F1346" i="1"/>
  <c r="G1346" i="1" s="1"/>
  <c r="F1338" i="1"/>
  <c r="G1338" i="1" s="1"/>
  <c r="F1330" i="1"/>
  <c r="G1330" i="1" s="1"/>
  <c r="F1322" i="1"/>
  <c r="G1322" i="1" s="1"/>
  <c r="F1314" i="1"/>
  <c r="G1314" i="1" s="1"/>
  <c r="F1306" i="1"/>
  <c r="G1306" i="1" s="1"/>
  <c r="F1298" i="1"/>
  <c r="G1298" i="1" s="1"/>
  <c r="F1290" i="1"/>
  <c r="G1290" i="1" s="1"/>
  <c r="F1282" i="1"/>
  <c r="G1282" i="1" s="1"/>
  <c r="F1274" i="1"/>
  <c r="G1274" i="1" s="1"/>
  <c r="F1266" i="1"/>
  <c r="G1266" i="1" s="1"/>
  <c r="F1258" i="1"/>
  <c r="G1258" i="1" s="1"/>
  <c r="F1250" i="1"/>
  <c r="G1250" i="1" s="1"/>
  <c r="F1242" i="1"/>
  <c r="G1242" i="1" s="1"/>
  <c r="F1234" i="1"/>
  <c r="G1234" i="1" s="1"/>
  <c r="F1226" i="1"/>
  <c r="G1226" i="1" s="1"/>
  <c r="F1210" i="1"/>
  <c r="G1210" i="1" s="1"/>
  <c r="F1202" i="1"/>
  <c r="G1202" i="1" s="1"/>
  <c r="F1194" i="1"/>
  <c r="G1194" i="1" s="1"/>
  <c r="F1186" i="1"/>
  <c r="G1186" i="1" s="1"/>
  <c r="F1177" i="1"/>
  <c r="G1177" i="1" s="1"/>
  <c r="F1169" i="1"/>
  <c r="G1169" i="1" s="1"/>
  <c r="F1161" i="1"/>
  <c r="G1161" i="1" s="1"/>
  <c r="F1153" i="1"/>
  <c r="G1153" i="1" s="1"/>
  <c r="F1145" i="1"/>
  <c r="G1145" i="1" s="1"/>
  <c r="F1137" i="1"/>
  <c r="G1137" i="1" s="1"/>
  <c r="F1129" i="1"/>
  <c r="G1129" i="1" s="1"/>
  <c r="F1121" i="1"/>
  <c r="G1121" i="1" s="1"/>
  <c r="F1112" i="1"/>
  <c r="G1112" i="1" s="1"/>
  <c r="F1104" i="1"/>
  <c r="G1104" i="1" s="1"/>
  <c r="F1096" i="1"/>
  <c r="G1096" i="1" s="1"/>
  <c r="F1088" i="1"/>
  <c r="G1088" i="1" s="1"/>
  <c r="F1080" i="1"/>
  <c r="G1080" i="1" s="1"/>
  <c r="F1072" i="1"/>
  <c r="G1072" i="1" s="1"/>
  <c r="F1064" i="1"/>
  <c r="G1064" i="1" s="1"/>
  <c r="F1057" i="1"/>
  <c r="G1057" i="1" s="1"/>
  <c r="F1049" i="1"/>
  <c r="G1049" i="1" s="1"/>
  <c r="F1041" i="1"/>
  <c r="G1041" i="1" s="1"/>
  <c r="F1033" i="1"/>
  <c r="G1033" i="1" s="1"/>
  <c r="F1018" i="1"/>
  <c r="G1018" i="1" s="1"/>
  <c r="F1010" i="1"/>
  <c r="G1010" i="1" s="1"/>
  <c r="F994" i="1"/>
  <c r="G994" i="1" s="1"/>
  <c r="F986" i="1"/>
  <c r="G986" i="1" s="1"/>
  <c r="F977" i="1"/>
  <c r="G977" i="1" s="1"/>
  <c r="F969" i="1"/>
  <c r="G969" i="1" s="1"/>
  <c r="F961" i="1"/>
  <c r="G961" i="1" s="1"/>
  <c r="F952" i="1"/>
  <c r="G952" i="1" s="1"/>
  <c r="F945" i="1"/>
  <c r="G945" i="1" s="1"/>
  <c r="F937" i="1"/>
  <c r="G937" i="1" s="1"/>
  <c r="F928" i="1"/>
  <c r="G928" i="1" s="1"/>
  <c r="F920" i="1"/>
  <c r="G920" i="1" s="1"/>
  <c r="F911" i="1"/>
  <c r="F903" i="1"/>
  <c r="G903" i="1" s="1"/>
  <c r="F895" i="1"/>
  <c r="G895" i="1" s="1"/>
  <c r="F887" i="1"/>
  <c r="G887" i="1" s="1"/>
  <c r="F879" i="1"/>
  <c r="G879" i="1" s="1"/>
  <c r="F872" i="1"/>
  <c r="G872" i="1" s="1"/>
  <c r="F864" i="1"/>
  <c r="G864" i="1" s="1"/>
  <c r="F857" i="1"/>
  <c r="G857" i="1" s="1"/>
  <c r="F820" i="1"/>
  <c r="G820" i="1" s="1"/>
  <c r="F790" i="1"/>
  <c r="G790" i="1" s="1"/>
  <c r="F775" i="1"/>
  <c r="G775" i="1" s="1"/>
  <c r="F767" i="1"/>
  <c r="G767" i="1" s="1"/>
  <c r="F758" i="1"/>
  <c r="G758" i="1" s="1"/>
  <c r="F750" i="1"/>
  <c r="G750" i="1" s="1"/>
  <c r="F741" i="1"/>
  <c r="G741" i="1" s="1"/>
  <c r="F729" i="1"/>
  <c r="G729" i="1" s="1"/>
  <c r="F722" i="1"/>
  <c r="G722" i="1" s="1"/>
  <c r="F712" i="1"/>
  <c r="G712" i="1" s="1"/>
  <c r="F702" i="1"/>
  <c r="G702" i="1" s="1"/>
  <c r="F695" i="1"/>
  <c r="G695" i="1" s="1"/>
  <c r="F687" i="1"/>
  <c r="G687" i="1" s="1"/>
  <c r="F678" i="1"/>
  <c r="G678" i="1" s="1"/>
  <c r="F660" i="1"/>
  <c r="G660" i="1" s="1"/>
  <c r="F649" i="1"/>
  <c r="G649" i="1" s="1"/>
  <c r="F641" i="1"/>
  <c r="G641" i="1" s="1"/>
  <c r="F633" i="1"/>
  <c r="G633" i="1" s="1"/>
  <c r="F625" i="1"/>
  <c r="G625" i="1" s="1"/>
  <c r="F616" i="1"/>
  <c r="G616" i="1" s="1"/>
  <c r="F608" i="1"/>
  <c r="G608" i="1" s="1"/>
  <c r="F599" i="1"/>
  <c r="G599" i="1" s="1"/>
  <c r="F584" i="1"/>
  <c r="G584" i="1" s="1"/>
  <c r="F576" i="1"/>
  <c r="G576" i="1" s="1"/>
  <c r="F564" i="1"/>
  <c r="G564" i="1" s="1"/>
  <c r="F557" i="1"/>
  <c r="G557" i="1" s="1"/>
  <c r="F546" i="1"/>
  <c r="G546" i="1" s="1"/>
  <c r="F538" i="1"/>
  <c r="G538" i="1" s="1"/>
  <c r="F531" i="1"/>
  <c r="G531" i="1" s="1"/>
  <c r="F516" i="1"/>
  <c r="G516" i="1" s="1"/>
  <c r="F509" i="1"/>
  <c r="G509" i="1" s="1"/>
  <c r="F501" i="1"/>
  <c r="G501" i="1" s="1"/>
  <c r="F491" i="1"/>
  <c r="G491" i="1" s="1"/>
  <c r="F477" i="1"/>
  <c r="G477" i="1" s="1"/>
  <c r="F469" i="1"/>
  <c r="G469" i="1" s="1"/>
  <c r="F462" i="1"/>
  <c r="G462" i="1" s="1"/>
  <c r="F454" i="1"/>
  <c r="G454" i="1" s="1"/>
  <c r="F447" i="1"/>
  <c r="G447" i="1" s="1"/>
  <c r="F438" i="1"/>
  <c r="G438" i="1" s="1"/>
  <c r="F430" i="1"/>
  <c r="G430" i="1" s="1"/>
  <c r="F423" i="1"/>
  <c r="G423" i="1" s="1"/>
  <c r="F415" i="1"/>
  <c r="G415" i="1" s="1"/>
  <c r="F407" i="1"/>
  <c r="G407" i="1" s="1"/>
  <c r="F400" i="1"/>
  <c r="G400" i="1" s="1"/>
  <c r="F391" i="1"/>
  <c r="G391" i="1" s="1"/>
  <c r="F383" i="1"/>
  <c r="G383" i="1" s="1"/>
  <c r="F368" i="1"/>
  <c r="G368" i="1" s="1"/>
  <c r="F360" i="1"/>
  <c r="G360" i="1" s="1"/>
  <c r="F343" i="1"/>
  <c r="G343" i="1" s="1"/>
  <c r="F336" i="1"/>
  <c r="G336" i="1" s="1"/>
  <c r="F323" i="1"/>
  <c r="G323" i="1" s="1"/>
  <c r="F315" i="1"/>
  <c r="G315" i="1" s="1"/>
  <c r="F299" i="1"/>
  <c r="G299" i="1" s="1"/>
  <c r="F290" i="1"/>
  <c r="G290" i="1" s="1"/>
  <c r="F281" i="1"/>
  <c r="G281" i="1" s="1"/>
  <c r="F273" i="1"/>
  <c r="G273" i="1" s="1"/>
  <c r="F261" i="1"/>
  <c r="G261" i="1" s="1"/>
  <c r="F250" i="1"/>
  <c r="G250" i="1" s="1"/>
  <c r="F242" i="1"/>
  <c r="G242" i="1" s="1"/>
  <c r="F234" i="1"/>
  <c r="G234" i="1" s="1"/>
  <c r="F222" i="1"/>
  <c r="G222" i="1" s="1"/>
  <c r="F210" i="1"/>
  <c r="G210" i="1" s="1"/>
  <c r="F201" i="1"/>
  <c r="G201" i="1" s="1"/>
  <c r="F192" i="1"/>
  <c r="G192" i="1" s="1"/>
  <c r="F183" i="1"/>
  <c r="G183" i="1" s="1"/>
  <c r="F175" i="1"/>
  <c r="G175" i="1" s="1"/>
  <c r="F166" i="1"/>
  <c r="G166" i="1" s="1"/>
  <c r="F158" i="1"/>
  <c r="G158" i="1" s="1"/>
  <c r="F150" i="1"/>
  <c r="G150" i="1" s="1"/>
  <c r="F141" i="1"/>
  <c r="G141" i="1" s="1"/>
  <c r="F133" i="1"/>
  <c r="G133" i="1" s="1"/>
  <c r="F125" i="1"/>
  <c r="G125" i="1" s="1"/>
  <c r="F117" i="1"/>
  <c r="G117" i="1" s="1"/>
  <c r="F109" i="1"/>
  <c r="G109" i="1" s="1"/>
  <c r="F99" i="1"/>
  <c r="G99" i="1" s="1"/>
  <c r="F819" i="1"/>
  <c r="G819" i="1" s="1"/>
  <c r="F789" i="1"/>
  <c r="G789" i="1" s="1"/>
  <c r="F774" i="1"/>
  <c r="G774" i="1" s="1"/>
  <c r="F766" i="1"/>
  <c r="G766" i="1" s="1"/>
  <c r="F757" i="1"/>
  <c r="G757" i="1" s="1"/>
  <c r="F749" i="1"/>
  <c r="G749" i="1" s="1"/>
  <c r="F738" i="1"/>
  <c r="G738" i="1" s="1"/>
  <c r="F728" i="1"/>
  <c r="G728" i="1" s="1"/>
  <c r="F721" i="1"/>
  <c r="G721" i="1" s="1"/>
  <c r="F711" i="1"/>
  <c r="G711" i="1" s="1"/>
  <c r="F694" i="1"/>
  <c r="G694" i="1" s="1"/>
  <c r="F685" i="1"/>
  <c r="G685" i="1" s="1"/>
  <c r="F677" i="1"/>
  <c r="G677" i="1" s="1"/>
  <c r="F666" i="1"/>
  <c r="G666" i="1" s="1"/>
  <c r="F659" i="1"/>
  <c r="G659" i="1" s="1"/>
  <c r="F648" i="1"/>
  <c r="G648" i="1" s="1"/>
  <c r="F640" i="1"/>
  <c r="G640" i="1" s="1"/>
  <c r="F632" i="1"/>
  <c r="G632" i="1" s="1"/>
  <c r="F624" i="1"/>
  <c r="G624" i="1" s="1"/>
  <c r="F607" i="1"/>
  <c r="G607" i="1" s="1"/>
  <c r="F598" i="1"/>
  <c r="G598" i="1" s="1"/>
  <c r="F583" i="1"/>
  <c r="G583" i="1" s="1"/>
  <c r="F575" i="1"/>
  <c r="G575" i="1" s="1"/>
  <c r="F563" i="1"/>
  <c r="G563" i="1" s="1"/>
  <c r="F556" i="1"/>
  <c r="G556" i="1" s="1"/>
  <c r="F537" i="1"/>
  <c r="G537" i="1" s="1"/>
  <c r="F515" i="1"/>
  <c r="G515" i="1" s="1"/>
  <c r="F508" i="1"/>
  <c r="G508" i="1" s="1"/>
  <c r="F500" i="1"/>
  <c r="G500" i="1" s="1"/>
  <c r="F490" i="1"/>
  <c r="G490" i="1" s="1"/>
  <c r="F476" i="1"/>
  <c r="G476" i="1" s="1"/>
  <c r="F468" i="1"/>
  <c r="G468" i="1" s="1"/>
  <c r="F461" i="1"/>
  <c r="G461" i="1" s="1"/>
  <c r="F453" i="1"/>
  <c r="G453" i="1" s="1"/>
  <c r="F446" i="1"/>
  <c r="G446" i="1" s="1"/>
  <c r="F437" i="1"/>
  <c r="G437" i="1" s="1"/>
  <c r="F429" i="1"/>
  <c r="G429" i="1" s="1"/>
  <c r="F422" i="1"/>
  <c r="G422" i="1" s="1"/>
  <c r="F414" i="1"/>
  <c r="G414" i="1" s="1"/>
  <c r="F406" i="1"/>
  <c r="G406" i="1" s="1"/>
  <c r="F399" i="1"/>
  <c r="G399" i="1" s="1"/>
  <c r="F390" i="1"/>
  <c r="G390" i="1" s="1"/>
  <c r="F382" i="1"/>
  <c r="G382" i="1" s="1"/>
  <c r="F375" i="1"/>
  <c r="G375" i="1" s="1"/>
  <c r="F367" i="1"/>
  <c r="G367" i="1" s="1"/>
  <c r="F359" i="1"/>
  <c r="G359" i="1" s="1"/>
  <c r="F342" i="1"/>
  <c r="G342" i="1" s="1"/>
  <c r="F335" i="1"/>
  <c r="G335" i="1" s="1"/>
  <c r="F321" i="1"/>
  <c r="G321" i="1" s="1"/>
  <c r="F314" i="1"/>
  <c r="G314" i="1" s="1"/>
  <c r="F298" i="1"/>
  <c r="G298" i="1" s="1"/>
  <c r="F280" i="1"/>
  <c r="G280" i="1" s="1"/>
  <c r="F270" i="1"/>
  <c r="G270" i="1" s="1"/>
  <c r="F260" i="1"/>
  <c r="G260" i="1" s="1"/>
  <c r="F249" i="1"/>
  <c r="G249" i="1" s="1"/>
  <c r="F241" i="1"/>
  <c r="G241" i="1" s="1"/>
  <c r="F231" i="1"/>
  <c r="G231" i="1" s="1"/>
  <c r="F219" i="1"/>
  <c r="G219" i="1" s="1"/>
  <c r="F209" i="1"/>
  <c r="G209" i="1" s="1"/>
  <c r="F200" i="1"/>
  <c r="G200" i="1" s="1"/>
  <c r="F191" i="1"/>
  <c r="G191" i="1" s="1"/>
  <c r="F182" i="1"/>
  <c r="G182" i="1" s="1"/>
  <c r="F174" i="1"/>
  <c r="G174" i="1" s="1"/>
  <c r="F165" i="1"/>
  <c r="G165" i="1" s="1"/>
  <c r="F157" i="1"/>
  <c r="G157" i="1" s="1"/>
  <c r="F149" i="1"/>
  <c r="G149" i="1" s="1"/>
  <c r="F140" i="1"/>
  <c r="G140" i="1" s="1"/>
  <c r="F132" i="1"/>
  <c r="G132" i="1" s="1"/>
  <c r="F124" i="1"/>
  <c r="G124" i="1" s="1"/>
  <c r="F116" i="1"/>
  <c r="G116" i="1" s="1"/>
  <c r="F107" i="1"/>
  <c r="G107" i="1" s="1"/>
  <c r="F98" i="1"/>
  <c r="G98" i="1" s="1"/>
  <c r="F90" i="1"/>
  <c r="G90" i="1" s="1"/>
  <c r="F81" i="1"/>
  <c r="G81" i="1" s="1"/>
  <c r="F73" i="1"/>
  <c r="G73" i="1" s="1"/>
  <c r="F64" i="1"/>
  <c r="G64" i="1" s="1"/>
  <c r="F850" i="1"/>
  <c r="G850" i="1" s="1"/>
  <c r="F810" i="1"/>
  <c r="G810" i="1" s="1"/>
  <c r="F786" i="1"/>
  <c r="G786" i="1" s="1"/>
  <c r="F773" i="1"/>
  <c r="G773" i="1" s="1"/>
  <c r="F765" i="1"/>
  <c r="G765" i="1" s="1"/>
  <c r="F756" i="1"/>
  <c r="G756" i="1" s="1"/>
  <c r="F748" i="1"/>
  <c r="G748" i="1" s="1"/>
  <c r="F737" i="1"/>
  <c r="G737" i="1" s="1"/>
  <c r="F727" i="1"/>
  <c r="G727" i="1" s="1"/>
  <c r="F710" i="1"/>
  <c r="G710" i="1" s="1"/>
  <c r="F693" i="1"/>
  <c r="G693" i="1" s="1"/>
  <c r="F684" i="1"/>
  <c r="G684" i="1" s="1"/>
  <c r="F676" i="1"/>
  <c r="G676" i="1" s="1"/>
  <c r="F665" i="1"/>
  <c r="G665" i="1" s="1"/>
  <c r="F658" i="1"/>
  <c r="G658" i="1" s="1"/>
  <c r="F647" i="1"/>
  <c r="G647" i="1" s="1"/>
  <c r="F639" i="1"/>
  <c r="G639" i="1" s="1"/>
  <c r="F631" i="1"/>
  <c r="G631" i="1" s="1"/>
  <c r="F623" i="1"/>
  <c r="G623" i="1" s="1"/>
  <c r="F614" i="1"/>
  <c r="G614" i="1" s="1"/>
  <c r="F605" i="1"/>
  <c r="G605" i="1" s="1"/>
  <c r="F597" i="1"/>
  <c r="G597" i="1" s="1"/>
  <c r="F582" i="1"/>
  <c r="G582" i="1" s="1"/>
  <c r="F574" i="1"/>
  <c r="G574" i="1" s="1"/>
  <c r="F562" i="1"/>
  <c r="G562" i="1" s="1"/>
  <c r="F555" i="1"/>
  <c r="G555" i="1" s="1"/>
  <c r="F536" i="1"/>
  <c r="G536" i="1" s="1"/>
  <c r="F530" i="1"/>
  <c r="G530" i="1" s="1"/>
  <c r="F514" i="1"/>
  <c r="G514" i="1" s="1"/>
  <c r="F507" i="1"/>
  <c r="G507" i="1" s="1"/>
  <c r="F499" i="1"/>
  <c r="G499" i="1" s="1"/>
  <c r="F489" i="1"/>
  <c r="G489" i="1" s="1"/>
  <c r="F475" i="1"/>
  <c r="G475" i="1" s="1"/>
  <c r="F467" i="1"/>
  <c r="G467" i="1" s="1"/>
  <c r="F460" i="1"/>
  <c r="G460" i="1" s="1"/>
  <c r="F452" i="1"/>
  <c r="G452" i="1" s="1"/>
  <c r="F445" i="1"/>
  <c r="G445" i="1" s="1"/>
  <c r="F436" i="1"/>
  <c r="G436" i="1" s="1"/>
  <c r="F428" i="1"/>
  <c r="G428" i="1" s="1"/>
  <c r="F421" i="1"/>
  <c r="G421" i="1" s="1"/>
  <c r="F413" i="1"/>
  <c r="G413" i="1" s="1"/>
  <c r="F405" i="1"/>
  <c r="G405" i="1" s="1"/>
  <c r="F398" i="1"/>
  <c r="G398" i="1" s="1"/>
  <c r="F389" i="1"/>
  <c r="G389" i="1" s="1"/>
  <c r="F373" i="1"/>
  <c r="G373" i="1" s="1"/>
  <c r="F366" i="1"/>
  <c r="G366" i="1" s="1"/>
  <c r="F358" i="1"/>
  <c r="G358" i="1" s="1"/>
  <c r="F350" i="1"/>
  <c r="G350" i="1" s="1"/>
  <c r="F341" i="1"/>
  <c r="G341" i="1" s="1"/>
  <c r="F334" i="1"/>
  <c r="G334" i="1" s="1"/>
  <c r="F313" i="1"/>
  <c r="G313" i="1" s="1"/>
  <c r="F306" i="1"/>
  <c r="G306" i="1" s="1"/>
  <c r="F289" i="1"/>
  <c r="G289" i="1" s="1"/>
  <c r="F279" i="1"/>
  <c r="G279" i="1" s="1"/>
  <c r="F269" i="1"/>
  <c r="G269" i="1" s="1"/>
  <c r="F259" i="1"/>
  <c r="G259" i="1" s="1"/>
  <c r="F240" i="1"/>
  <c r="G240" i="1" s="1"/>
  <c r="F230" i="1"/>
  <c r="G230" i="1" s="1"/>
  <c r="F218" i="1"/>
  <c r="G218" i="1" s="1"/>
  <c r="F208" i="1"/>
  <c r="G208" i="1" s="1"/>
  <c r="F199" i="1"/>
  <c r="G199" i="1" s="1"/>
  <c r="F190" i="1"/>
  <c r="G190" i="1" s="1"/>
  <c r="F181" i="1"/>
  <c r="G181" i="1" s="1"/>
  <c r="F173" i="1"/>
  <c r="G173" i="1" s="1"/>
  <c r="F164" i="1"/>
  <c r="G164" i="1" s="1"/>
  <c r="F156" i="1"/>
  <c r="G156" i="1" s="1"/>
  <c r="F147" i="1"/>
  <c r="G147" i="1" s="1"/>
  <c r="F139" i="1"/>
  <c r="G139" i="1" s="1"/>
  <c r="F131" i="1"/>
  <c r="G131" i="1" s="1"/>
  <c r="F123" i="1"/>
  <c r="G123" i="1" s="1"/>
  <c r="F115" i="1"/>
  <c r="G115" i="1" s="1"/>
  <c r="F106" i="1"/>
  <c r="G106" i="1" s="1"/>
  <c r="F97" i="1"/>
  <c r="G97" i="1" s="1"/>
  <c r="F89" i="1"/>
  <c r="G89" i="1" s="1"/>
  <c r="F849" i="1"/>
  <c r="G849" i="1" s="1"/>
  <c r="F782" i="1"/>
  <c r="G782" i="1" s="1"/>
  <c r="F772" i="1"/>
  <c r="G772" i="1" s="1"/>
  <c r="F764" i="1"/>
  <c r="G764" i="1" s="1"/>
  <c r="F755" i="1"/>
  <c r="G755" i="1" s="1"/>
  <c r="F747" i="1"/>
  <c r="G747" i="1" s="1"/>
  <c r="F736" i="1"/>
  <c r="G736" i="1" s="1"/>
  <c r="F719" i="1"/>
  <c r="G719" i="1" s="1"/>
  <c r="F706" i="1"/>
  <c r="G706" i="1" s="1"/>
  <c r="F700" i="1"/>
  <c r="G700" i="1" s="1"/>
  <c r="F692" i="1"/>
  <c r="G692" i="1" s="1"/>
  <c r="F657" i="1"/>
  <c r="G657" i="1" s="1"/>
  <c r="F646" i="1"/>
  <c r="G646" i="1" s="1"/>
  <c r="F638" i="1"/>
  <c r="G638" i="1" s="1"/>
  <c r="F630" i="1"/>
  <c r="G630" i="1" s="1"/>
  <c r="F622" i="1"/>
  <c r="G622" i="1" s="1"/>
  <c r="F613" i="1"/>
  <c r="G613" i="1" s="1"/>
  <c r="F592" i="1"/>
  <c r="G592" i="1" s="1"/>
  <c r="F581" i="1"/>
  <c r="G581" i="1" s="1"/>
  <c r="F561" i="1"/>
  <c r="G561" i="1" s="1"/>
  <c r="F554" i="1"/>
  <c r="G554" i="1" s="1"/>
  <c r="F543" i="1"/>
  <c r="G543" i="1" s="1"/>
  <c r="F529" i="1"/>
  <c r="G529" i="1" s="1"/>
  <c r="F521" i="1"/>
  <c r="G521" i="1" s="1"/>
  <c r="F513" i="1"/>
  <c r="G513" i="1" s="1"/>
  <c r="F506" i="1"/>
  <c r="G506" i="1" s="1"/>
  <c r="F498" i="1"/>
  <c r="G498" i="1" s="1"/>
  <c r="F474" i="1"/>
  <c r="G474" i="1" s="1"/>
  <c r="F459" i="1"/>
  <c r="G459" i="1" s="1"/>
  <c r="F444" i="1"/>
  <c r="G444" i="1" s="1"/>
  <c r="F435" i="1"/>
  <c r="G435" i="1" s="1"/>
  <c r="F427" i="1"/>
  <c r="G427" i="1" s="1"/>
  <c r="F420" i="1"/>
  <c r="G420" i="1" s="1"/>
  <c r="F412" i="1"/>
  <c r="G412" i="1" s="1"/>
  <c r="F404" i="1"/>
  <c r="G404" i="1" s="1"/>
  <c r="F397" i="1"/>
  <c r="G397" i="1" s="1"/>
  <c r="F388" i="1"/>
  <c r="G388" i="1" s="1"/>
  <c r="F380" i="1"/>
  <c r="G380" i="1" s="1"/>
  <c r="F372" i="1"/>
  <c r="G372" i="1" s="1"/>
  <c r="F365" i="1"/>
  <c r="G365" i="1" s="1"/>
  <c r="F357" i="1"/>
  <c r="G357" i="1" s="1"/>
  <c r="F349" i="1"/>
  <c r="G349" i="1" s="1"/>
  <c r="F340" i="1"/>
  <c r="G340" i="1" s="1"/>
  <c r="F331" i="1"/>
  <c r="G331" i="1" s="1"/>
  <c r="F319" i="1"/>
  <c r="G319" i="1" s="1"/>
  <c r="F312" i="1"/>
  <c r="G312" i="1" s="1"/>
  <c r="F304" i="1"/>
  <c r="G304" i="1" s="1"/>
  <c r="F287" i="1"/>
  <c r="G287" i="1" s="1"/>
  <c r="F268" i="1"/>
  <c r="G268" i="1" s="1"/>
  <c r="F258" i="1"/>
  <c r="G258" i="1" s="1"/>
  <c r="F239" i="1"/>
  <c r="G239" i="1" s="1"/>
  <c r="F229" i="1"/>
  <c r="G229" i="1" s="1"/>
  <c r="F217" i="1"/>
  <c r="G217" i="1" s="1"/>
  <c r="F206" i="1"/>
  <c r="G206" i="1" s="1"/>
  <c r="F198" i="1"/>
  <c r="G198" i="1" s="1"/>
  <c r="F189" i="1"/>
  <c r="G189" i="1" s="1"/>
  <c r="F180" i="1"/>
  <c r="G180" i="1" s="1"/>
  <c r="F172" i="1"/>
  <c r="G172" i="1" s="1"/>
  <c r="F163" i="1"/>
  <c r="G163" i="1" s="1"/>
  <c r="F155" i="1"/>
  <c r="G155" i="1" s="1"/>
  <c r="F146" i="1"/>
  <c r="G146" i="1" s="1"/>
  <c r="F138" i="1"/>
  <c r="G138" i="1" s="1"/>
  <c r="F130" i="1"/>
  <c r="G130" i="1" s="1"/>
  <c r="F122" i="1"/>
  <c r="G122" i="1" s="1"/>
  <c r="F114" i="1"/>
  <c r="G114" i="1" s="1"/>
  <c r="F105" i="1"/>
  <c r="G105" i="1" s="1"/>
  <c r="F96" i="1"/>
  <c r="G96" i="1" s="1"/>
  <c r="F88" i="1"/>
  <c r="G88" i="1" s="1"/>
  <c r="F79" i="1"/>
  <c r="G79" i="1" s="1"/>
  <c r="F71" i="1"/>
  <c r="G71" i="1" s="1"/>
  <c r="F842" i="1"/>
  <c r="G842" i="1" s="1"/>
  <c r="F800" i="1"/>
  <c r="G800" i="1" s="1"/>
  <c r="F779" i="1"/>
  <c r="G779" i="1" s="1"/>
  <c r="F771" i="1"/>
  <c r="G771" i="1" s="1"/>
  <c r="F763" i="1"/>
  <c r="G763" i="1" s="1"/>
  <c r="F754" i="1"/>
  <c r="G754" i="1" s="1"/>
  <c r="F746" i="1"/>
  <c r="G746" i="1" s="1"/>
  <c r="F734" i="1"/>
  <c r="G734" i="1" s="1"/>
  <c r="F725" i="1"/>
  <c r="G725" i="1" s="1"/>
  <c r="F717" i="1"/>
  <c r="G717" i="1" s="1"/>
  <c r="F704" i="1"/>
  <c r="G704" i="1" s="1"/>
  <c r="F699" i="1"/>
  <c r="G699" i="1" s="1"/>
  <c r="F691" i="1"/>
  <c r="G691" i="1" s="1"/>
  <c r="F682" i="1"/>
  <c r="G682" i="1" s="1"/>
  <c r="F674" i="1"/>
  <c r="G674" i="1" s="1"/>
  <c r="F663" i="1"/>
  <c r="G663" i="1" s="1"/>
  <c r="F656" i="1"/>
  <c r="G656" i="1" s="1"/>
  <c r="F645" i="1"/>
  <c r="G645" i="1" s="1"/>
  <c r="F637" i="1"/>
  <c r="G637" i="1" s="1"/>
  <c r="F629" i="1"/>
  <c r="G629" i="1" s="1"/>
  <c r="F621" i="1"/>
  <c r="G621" i="1" s="1"/>
  <c r="F612" i="1"/>
  <c r="G612" i="1" s="1"/>
  <c r="F589" i="1"/>
  <c r="G589" i="1" s="1"/>
  <c r="F580" i="1"/>
  <c r="G580" i="1" s="1"/>
  <c r="F570" i="1"/>
  <c r="G570" i="1" s="1"/>
  <c r="F553" i="1"/>
  <c r="G553" i="1" s="1"/>
  <c r="F542" i="1"/>
  <c r="G542" i="1" s="1"/>
  <c r="F535" i="1"/>
  <c r="G535" i="1" s="1"/>
  <c r="F528" i="1"/>
  <c r="G528" i="1" s="1"/>
  <c r="F520" i="1"/>
  <c r="G520" i="1" s="1"/>
  <c r="F512" i="1"/>
  <c r="G512" i="1" s="1"/>
  <c r="F505" i="1"/>
  <c r="G505" i="1" s="1"/>
  <c r="F497" i="1"/>
  <c r="G497" i="1" s="1"/>
  <c r="F487" i="1"/>
  <c r="G487" i="1" s="1"/>
  <c r="F473" i="1"/>
  <c r="G473" i="1" s="1"/>
  <c r="F466" i="1"/>
  <c r="G466" i="1" s="1"/>
  <c r="F458" i="1"/>
  <c r="G458" i="1" s="1"/>
  <c r="F451" i="1"/>
  <c r="G451" i="1" s="1"/>
  <c r="F442" i="1"/>
  <c r="G442" i="1" s="1"/>
  <c r="F426" i="1"/>
  <c r="G426" i="1" s="1"/>
  <c r="F419" i="1"/>
  <c r="G419" i="1" s="1"/>
  <c r="F411" i="1"/>
  <c r="G411" i="1" s="1"/>
  <c r="F396" i="1"/>
  <c r="G396" i="1" s="1"/>
  <c r="F387" i="1"/>
  <c r="G387" i="1" s="1"/>
  <c r="F364" i="1"/>
  <c r="G364" i="1" s="1"/>
  <c r="F356" i="1"/>
  <c r="G356" i="1" s="1"/>
  <c r="F348" i="1"/>
  <c r="G348" i="1" s="1"/>
  <c r="F339" i="1"/>
  <c r="G339" i="1" s="1"/>
  <c r="F318" i="1"/>
  <c r="G318" i="1" s="1"/>
  <c r="F311" i="1"/>
  <c r="G311" i="1" s="1"/>
  <c r="F303" i="1"/>
  <c r="G303" i="1" s="1"/>
  <c r="F294" i="1"/>
  <c r="G294" i="1" s="1"/>
  <c r="F286" i="1"/>
  <c r="G286" i="1" s="1"/>
  <c r="F265" i="1"/>
  <c r="G265" i="1" s="1"/>
  <c r="F257" i="1"/>
  <c r="G257" i="1" s="1"/>
  <c r="F246" i="1"/>
  <c r="G246" i="1" s="1"/>
  <c r="F238" i="1"/>
  <c r="G238" i="1" s="1"/>
  <c r="F226" i="1"/>
  <c r="G226" i="1" s="1"/>
  <c r="F216" i="1"/>
  <c r="G216" i="1" s="1"/>
  <c r="F205" i="1"/>
  <c r="G205" i="1" s="1"/>
  <c r="F197" i="1"/>
  <c r="G197" i="1" s="1"/>
  <c r="F188" i="1"/>
  <c r="G188" i="1" s="1"/>
  <c r="F179" i="1"/>
  <c r="G179" i="1" s="1"/>
  <c r="F171" i="1"/>
  <c r="G171" i="1" s="1"/>
  <c r="F162" i="1"/>
  <c r="G162" i="1" s="1"/>
  <c r="F154" i="1"/>
  <c r="G154" i="1" s="1"/>
  <c r="F145" i="1"/>
  <c r="G145" i="1" s="1"/>
  <c r="F137" i="1"/>
  <c r="G137" i="1" s="1"/>
  <c r="F129" i="1"/>
  <c r="G129" i="1" s="1"/>
  <c r="F121" i="1"/>
  <c r="G121" i="1" s="1"/>
  <c r="F113" i="1"/>
  <c r="G113" i="1" s="1"/>
  <c r="F104" i="1"/>
  <c r="G104" i="1" s="1"/>
  <c r="F95" i="1"/>
  <c r="G95" i="1" s="1"/>
  <c r="F87" i="1"/>
  <c r="G87" i="1" s="1"/>
  <c r="F78" i="1"/>
  <c r="G78" i="1" s="1"/>
  <c r="F70" i="1"/>
  <c r="G70" i="1" s="1"/>
  <c r="F61" i="1"/>
  <c r="G61" i="1" s="1"/>
  <c r="F841" i="1"/>
  <c r="G841" i="1" s="1"/>
  <c r="F799" i="1"/>
  <c r="G799" i="1" s="1"/>
  <c r="F778" i="1"/>
  <c r="G778" i="1" s="1"/>
  <c r="F770" i="1"/>
  <c r="G770" i="1" s="1"/>
  <c r="F762" i="1"/>
  <c r="G762" i="1" s="1"/>
  <c r="F753" i="1"/>
  <c r="G753" i="1" s="1"/>
  <c r="F744" i="1"/>
  <c r="G744" i="1" s="1"/>
  <c r="F733" i="1"/>
  <c r="G733" i="1" s="1"/>
  <c r="F724" i="1"/>
  <c r="G724" i="1" s="1"/>
  <c r="F716" i="1"/>
  <c r="G716" i="1" s="1"/>
  <c r="F703" i="1"/>
  <c r="G703" i="1" s="1"/>
  <c r="F698" i="1"/>
  <c r="G698" i="1" s="1"/>
  <c r="F690" i="1"/>
  <c r="G690" i="1" s="1"/>
  <c r="F681" i="1"/>
  <c r="G681" i="1" s="1"/>
  <c r="F672" i="1"/>
  <c r="G672" i="1" s="1"/>
  <c r="F662" i="1"/>
  <c r="G662" i="1" s="1"/>
  <c r="F655" i="1"/>
  <c r="G655" i="1" s="1"/>
  <c r="F644" i="1"/>
  <c r="G644" i="1" s="1"/>
  <c r="F636" i="1"/>
  <c r="G636" i="1" s="1"/>
  <c r="F628" i="1"/>
  <c r="G628" i="1" s="1"/>
  <c r="F620" i="1"/>
  <c r="G620" i="1" s="1"/>
  <c r="F611" i="1"/>
  <c r="G611" i="1" s="1"/>
  <c r="F602" i="1"/>
  <c r="G602" i="1" s="1"/>
  <c r="F587" i="1"/>
  <c r="G587" i="1" s="1"/>
  <c r="F579" i="1"/>
  <c r="G579" i="1" s="1"/>
  <c r="F568" i="1"/>
  <c r="G568" i="1" s="1"/>
  <c r="F560" i="1"/>
  <c r="G560" i="1" s="1"/>
  <c r="F551" i="1"/>
  <c r="G551" i="1" s="1"/>
  <c r="F541" i="1"/>
  <c r="G541" i="1" s="1"/>
  <c r="F534" i="1"/>
  <c r="G534" i="1" s="1"/>
  <c r="F519" i="1"/>
  <c r="G519" i="1" s="1"/>
  <c r="F511" i="1"/>
  <c r="G511" i="1" s="1"/>
  <c r="F504" i="1"/>
  <c r="G504" i="1" s="1"/>
  <c r="F486" i="1"/>
  <c r="G486" i="1" s="1"/>
  <c r="F472" i="1"/>
  <c r="G472" i="1" s="1"/>
  <c r="F465" i="1"/>
  <c r="G465" i="1" s="1"/>
  <c r="F457" i="1"/>
  <c r="G457" i="1" s="1"/>
  <c r="F450" i="1"/>
  <c r="G450" i="1" s="1"/>
  <c r="F441" i="1"/>
  <c r="G441" i="1" s="1"/>
  <c r="F433" i="1"/>
  <c r="G433" i="1" s="1"/>
  <c r="F418" i="1"/>
  <c r="G418" i="1" s="1"/>
  <c r="F410" i="1"/>
  <c r="G410" i="1" s="1"/>
  <c r="F403" i="1"/>
  <c r="G403" i="1" s="1"/>
  <c r="F395" i="1"/>
  <c r="G395" i="1" s="1"/>
  <c r="F386" i="1"/>
  <c r="G386" i="1" s="1"/>
  <c r="F379" i="1"/>
  <c r="G379" i="1" s="1"/>
  <c r="F371" i="1"/>
  <c r="G371" i="1" s="1"/>
  <c r="F363" i="1"/>
  <c r="G363" i="1" s="1"/>
  <c r="F355" i="1"/>
  <c r="G355" i="1" s="1"/>
  <c r="F347" i="1"/>
  <c r="G347" i="1" s="1"/>
  <c r="F329" i="1"/>
  <c r="G329" i="1" s="1"/>
  <c r="F317" i="1"/>
  <c r="G317" i="1" s="1"/>
  <c r="F310" i="1"/>
  <c r="G310" i="1" s="1"/>
  <c r="F302" i="1"/>
  <c r="G302" i="1" s="1"/>
  <c r="F293" i="1"/>
  <c r="G293" i="1" s="1"/>
  <c r="F264" i="1"/>
  <c r="G264" i="1" s="1"/>
  <c r="F256" i="1"/>
  <c r="G256" i="1" s="1"/>
  <c r="F245" i="1"/>
  <c r="G245" i="1" s="1"/>
  <c r="F237" i="1"/>
  <c r="G237" i="1" s="1"/>
  <c r="F225" i="1"/>
  <c r="G225" i="1" s="1"/>
  <c r="G213" i="1"/>
  <c r="F204" i="1"/>
  <c r="G204" i="1" s="1"/>
  <c r="F196" i="1"/>
  <c r="G196" i="1" s="1"/>
  <c r="F186" i="1"/>
  <c r="G186" i="1" s="1"/>
  <c r="F178" i="1"/>
  <c r="G178" i="1" s="1"/>
  <c r="F170" i="1"/>
  <c r="G170" i="1" s="1"/>
  <c r="F161" i="1"/>
  <c r="G161" i="1" s="1"/>
  <c r="F153" i="1"/>
  <c r="G153" i="1" s="1"/>
  <c r="F144" i="1"/>
  <c r="G144" i="1" s="1"/>
  <c r="F136" i="1"/>
  <c r="G136" i="1" s="1"/>
  <c r="F128" i="1"/>
  <c r="G128" i="1" s="1"/>
  <c r="F120" i="1"/>
  <c r="G120" i="1" s="1"/>
  <c r="F112" i="1"/>
  <c r="G112" i="1" s="1"/>
  <c r="F103" i="1"/>
  <c r="G103" i="1" s="1"/>
  <c r="F94" i="1"/>
  <c r="G94" i="1" s="1"/>
  <c r="F85" i="1"/>
  <c r="G85" i="1" s="1"/>
  <c r="F77" i="1"/>
  <c r="G77" i="1" s="1"/>
  <c r="F69" i="1"/>
  <c r="G69" i="1" s="1"/>
  <c r="F833" i="1"/>
  <c r="G833" i="1" s="1"/>
  <c r="F793" i="1"/>
  <c r="G793" i="1" s="1"/>
  <c r="F777" i="1"/>
  <c r="G777" i="1" s="1"/>
  <c r="F769" i="1"/>
  <c r="G769" i="1" s="1"/>
  <c r="F761" i="1"/>
  <c r="G761" i="1" s="1"/>
  <c r="F752" i="1"/>
  <c r="G752" i="1" s="1"/>
  <c r="F743" i="1"/>
  <c r="G743" i="1" s="1"/>
  <c r="F715" i="1"/>
  <c r="G715" i="1" s="1"/>
  <c r="F697" i="1"/>
  <c r="G697" i="1" s="1"/>
  <c r="F689" i="1"/>
  <c r="G689" i="1" s="1"/>
  <c r="F680" i="1"/>
  <c r="G680" i="1" s="1"/>
  <c r="F661" i="1"/>
  <c r="G661" i="1" s="1"/>
  <c r="F653" i="1"/>
  <c r="G653" i="1" s="1"/>
  <c r="F643" i="1"/>
  <c r="G643" i="1" s="1"/>
  <c r="F635" i="1"/>
  <c r="G635" i="1" s="1"/>
  <c r="F627" i="1"/>
  <c r="G627" i="1" s="1"/>
  <c r="F619" i="1"/>
  <c r="G619" i="1" s="1"/>
  <c r="F610" i="1"/>
  <c r="G610" i="1" s="1"/>
  <c r="F601" i="1"/>
  <c r="G601" i="1" s="1"/>
  <c r="F586" i="1"/>
  <c r="G586" i="1" s="1"/>
  <c r="F578" i="1"/>
  <c r="G578" i="1" s="1"/>
  <c r="F567" i="1"/>
  <c r="G567" i="1" s="1"/>
  <c r="F559" i="1"/>
  <c r="G559" i="1" s="1"/>
  <c r="F540" i="1"/>
  <c r="G540" i="1" s="1"/>
  <c r="F533" i="1"/>
  <c r="G533" i="1" s="1"/>
  <c r="F518" i="1"/>
  <c r="G518" i="1" s="1"/>
  <c r="F510" i="1"/>
  <c r="G510" i="1" s="1"/>
  <c r="F503" i="1"/>
  <c r="G503" i="1" s="1"/>
  <c r="F493" i="1"/>
  <c r="G493" i="1" s="1"/>
  <c r="F485" i="1"/>
  <c r="G485" i="1" s="1"/>
  <c r="F471" i="1"/>
  <c r="G471" i="1" s="1"/>
  <c r="F464" i="1"/>
  <c r="G464" i="1" s="1"/>
  <c r="F456" i="1"/>
  <c r="G456" i="1" s="1"/>
  <c r="F449" i="1"/>
  <c r="G449" i="1" s="1"/>
  <c r="F440" i="1"/>
  <c r="G440" i="1" s="1"/>
  <c r="F432" i="1"/>
  <c r="G432" i="1" s="1"/>
  <c r="F425" i="1"/>
  <c r="G425" i="1" s="1"/>
  <c r="F417" i="1"/>
  <c r="G417" i="1" s="1"/>
  <c r="F402" i="1"/>
  <c r="G402" i="1" s="1"/>
  <c r="F393" i="1"/>
  <c r="G393" i="1" s="1"/>
  <c r="F385" i="1"/>
  <c r="G385" i="1" s="1"/>
  <c r="F378" i="1"/>
  <c r="G378" i="1" s="1"/>
  <c r="F370" i="1"/>
  <c r="G370" i="1" s="1"/>
  <c r="F362" i="1"/>
  <c r="G362" i="1" s="1"/>
  <c r="F354" i="1"/>
  <c r="G354" i="1" s="1"/>
  <c r="F345" i="1"/>
  <c r="G345" i="1" s="1"/>
  <c r="F338" i="1"/>
  <c r="G338" i="1" s="1"/>
  <c r="F328" i="1"/>
  <c r="G328" i="1" s="1"/>
  <c r="F316" i="1"/>
  <c r="G316" i="1" s="1"/>
  <c r="F301" i="1"/>
  <c r="G301" i="1" s="1"/>
  <c r="F285" i="1"/>
  <c r="G285" i="1" s="1"/>
  <c r="F275" i="1"/>
  <c r="G275" i="1" s="1"/>
  <c r="F263" i="1"/>
  <c r="G263" i="1" s="1"/>
  <c r="F255" i="1"/>
  <c r="G255" i="1" s="1"/>
  <c r="F244" i="1"/>
  <c r="G244" i="1" s="1"/>
  <c r="F236" i="1"/>
  <c r="G236" i="1" s="1"/>
  <c r="F224" i="1"/>
  <c r="G224" i="1" s="1"/>
  <c r="G212" i="1"/>
  <c r="F194" i="1"/>
  <c r="G194" i="1" s="1"/>
  <c r="F185" i="1"/>
  <c r="G185" i="1" s="1"/>
  <c r="F177" i="1"/>
  <c r="G177" i="1" s="1"/>
  <c r="F169" i="1"/>
  <c r="G169" i="1" s="1"/>
  <c r="F160" i="1"/>
  <c r="G160" i="1" s="1"/>
  <c r="F152" i="1"/>
  <c r="G152" i="1" s="1"/>
  <c r="F143" i="1"/>
  <c r="G143" i="1" s="1"/>
  <c r="F135" i="1"/>
  <c r="G135" i="1" s="1"/>
  <c r="F127" i="1"/>
  <c r="G127" i="1" s="1"/>
  <c r="F119" i="1"/>
  <c r="G119" i="1" s="1"/>
  <c r="F111" i="1"/>
  <c r="G111" i="1" s="1"/>
  <c r="F102" i="1"/>
  <c r="G102" i="1" s="1"/>
  <c r="F93" i="1"/>
  <c r="G93" i="1" s="1"/>
  <c r="F84" i="1"/>
  <c r="G84" i="1" s="1"/>
  <c r="F832" i="1"/>
  <c r="G832" i="1" s="1"/>
  <c r="F792" i="1"/>
  <c r="G792" i="1" s="1"/>
  <c r="F776" i="1"/>
  <c r="G776" i="1" s="1"/>
  <c r="F759" i="1"/>
  <c r="G759" i="1" s="1"/>
  <c r="F751" i="1"/>
  <c r="G751" i="1" s="1"/>
  <c r="F742" i="1"/>
  <c r="G742" i="1" s="1"/>
  <c r="F731" i="1"/>
  <c r="G731" i="1" s="1"/>
  <c r="F723" i="1"/>
  <c r="G723" i="1" s="1"/>
  <c r="F713" i="1"/>
  <c r="G713" i="1" s="1"/>
  <c r="F696" i="1"/>
  <c r="G696" i="1" s="1"/>
  <c r="F688" i="1"/>
  <c r="G688" i="1" s="1"/>
  <c r="F679" i="1"/>
  <c r="G679" i="1" s="1"/>
  <c r="F669" i="1"/>
  <c r="G669" i="1" s="1"/>
  <c r="F650" i="1"/>
  <c r="G650" i="1" s="1"/>
  <c r="F642" i="1"/>
  <c r="G642" i="1" s="1"/>
  <c r="F634" i="1"/>
  <c r="G634" i="1" s="1"/>
  <c r="F626" i="1"/>
  <c r="G626" i="1" s="1"/>
  <c r="F617" i="1"/>
  <c r="G617" i="1" s="1"/>
  <c r="F609" i="1"/>
  <c r="G609" i="1" s="1"/>
  <c r="F600" i="1"/>
  <c r="G600" i="1" s="1"/>
  <c r="F585" i="1"/>
  <c r="G585" i="1" s="1"/>
  <c r="F577" i="1"/>
  <c r="G577" i="1" s="1"/>
  <c r="F566" i="1"/>
  <c r="G566" i="1" s="1"/>
  <c r="F558" i="1"/>
  <c r="G558" i="1" s="1"/>
  <c r="F539" i="1"/>
  <c r="G539" i="1" s="1"/>
  <c r="F532" i="1"/>
  <c r="G532" i="1" s="1"/>
  <c r="F517" i="1"/>
  <c r="G517" i="1" s="1"/>
  <c r="F502" i="1"/>
  <c r="G502" i="1" s="1"/>
  <c r="F492" i="1"/>
  <c r="G492" i="1" s="1"/>
  <c r="F484" i="1"/>
  <c r="G484" i="1" s="1"/>
  <c r="F470" i="1"/>
  <c r="G470" i="1" s="1"/>
  <c r="F463" i="1"/>
  <c r="G463" i="1" s="1"/>
  <c r="F455" i="1"/>
  <c r="G455" i="1" s="1"/>
  <c r="F448" i="1"/>
  <c r="G448" i="1" s="1"/>
  <c r="F439" i="1"/>
  <c r="G439" i="1" s="1"/>
  <c r="F431" i="1"/>
  <c r="G431" i="1" s="1"/>
  <c r="F424" i="1"/>
  <c r="G424" i="1" s="1"/>
  <c r="F416" i="1"/>
  <c r="G416" i="1" s="1"/>
  <c r="F408" i="1"/>
  <c r="G408" i="1" s="1"/>
  <c r="F401" i="1"/>
  <c r="G401" i="1" s="1"/>
  <c r="F392" i="1"/>
  <c r="G392" i="1" s="1"/>
  <c r="F384" i="1"/>
  <c r="G384" i="1" s="1"/>
  <c r="F377" i="1"/>
  <c r="G377" i="1" s="1"/>
  <c r="F369" i="1"/>
  <c r="G369" i="1" s="1"/>
  <c r="F361" i="1"/>
  <c r="G361" i="1" s="1"/>
  <c r="F353" i="1"/>
  <c r="G353" i="1" s="1"/>
  <c r="F344" i="1"/>
  <c r="G344" i="1" s="1"/>
  <c r="F337" i="1"/>
  <c r="G337" i="1" s="1"/>
  <c r="F326" i="1"/>
  <c r="G326" i="1" s="1"/>
  <c r="F309" i="1"/>
  <c r="G309" i="1" s="1"/>
  <c r="F300" i="1"/>
  <c r="G300" i="1" s="1"/>
  <c r="F284" i="1"/>
  <c r="G284" i="1" s="1"/>
  <c r="F274" i="1"/>
  <c r="G274" i="1" s="1"/>
  <c r="F262" i="1"/>
  <c r="G262" i="1" s="1"/>
  <c r="F254" i="1"/>
  <c r="G254" i="1" s="1"/>
  <c r="F243" i="1"/>
  <c r="G243" i="1" s="1"/>
  <c r="F223" i="1"/>
  <c r="G223" i="1" s="1"/>
  <c r="G211" i="1"/>
  <c r="F202" i="1"/>
  <c r="G202" i="1" s="1"/>
  <c r="F193" i="1"/>
  <c r="G193" i="1" s="1"/>
  <c r="F184" i="1"/>
  <c r="G184" i="1" s="1"/>
  <c r="F176" i="1"/>
  <c r="G176" i="1" s="1"/>
  <c r="F167" i="1"/>
  <c r="G167" i="1" s="1"/>
  <c r="F159" i="1"/>
  <c r="G159" i="1" s="1"/>
  <c r="F151" i="1"/>
  <c r="G151" i="1" s="1"/>
  <c r="F142" i="1"/>
  <c r="G142" i="1" s="1"/>
  <c r="F134" i="1"/>
  <c r="G134" i="1" s="1"/>
  <c r="F126" i="1"/>
  <c r="G126" i="1" s="1"/>
  <c r="F118" i="1"/>
  <c r="G118" i="1" s="1"/>
  <c r="F110" i="1"/>
  <c r="G110" i="1" s="1"/>
  <c r="F101" i="1"/>
  <c r="G101" i="1" s="1"/>
  <c r="F83" i="1"/>
  <c r="G83" i="1" s="1"/>
  <c r="F75" i="1"/>
  <c r="G75" i="1" s="1"/>
  <c r="F67" i="1"/>
  <c r="G67" i="1" s="1"/>
  <c r="F91" i="1"/>
  <c r="G91" i="1" s="1"/>
  <c r="F63" i="1"/>
  <c r="G63" i="1" s="1"/>
  <c r="F53" i="1"/>
  <c r="G53" i="1" s="1"/>
  <c r="F41" i="1"/>
  <c r="G41" i="1" s="1"/>
  <c r="F31" i="1"/>
  <c r="G31" i="1" s="1"/>
  <c r="F23" i="1"/>
  <c r="G23" i="1" s="1"/>
  <c r="F15" i="1"/>
  <c r="G15" i="1" s="1"/>
  <c r="F5" i="1"/>
  <c r="G5" i="1" s="1"/>
  <c r="F82" i="1"/>
  <c r="G82" i="1" s="1"/>
  <c r="F62" i="1"/>
  <c r="G62" i="1" s="1"/>
  <c r="F52" i="1"/>
  <c r="G52" i="1" s="1"/>
  <c r="F40" i="1"/>
  <c r="G40" i="1" s="1"/>
  <c r="F30" i="1"/>
  <c r="G30" i="1" s="1"/>
  <c r="F22" i="1"/>
  <c r="G22" i="1" s="1"/>
  <c r="F14" i="1"/>
  <c r="G14" i="1" s="1"/>
  <c r="F13" i="1"/>
  <c r="G13" i="1" s="1"/>
  <c r="F6" i="1"/>
  <c r="G6" i="1" s="1"/>
  <c r="F80" i="1"/>
  <c r="G80" i="1" s="1"/>
  <c r="F60" i="1"/>
  <c r="G60" i="1" s="1"/>
  <c r="F51" i="1"/>
  <c r="G51" i="1" s="1"/>
  <c r="F39" i="1"/>
  <c r="G39" i="1" s="1"/>
  <c r="F29" i="1"/>
  <c r="G29" i="1" s="1"/>
  <c r="F21" i="1"/>
  <c r="G21" i="1" s="1"/>
  <c r="F32" i="1"/>
  <c r="G32" i="1" s="1"/>
  <c r="F76" i="1"/>
  <c r="G76" i="1" s="1"/>
  <c r="F59" i="1"/>
  <c r="G59" i="1" s="1"/>
  <c r="F49" i="1"/>
  <c r="G49" i="1" s="1"/>
  <c r="F38" i="1"/>
  <c r="G38" i="1" s="1"/>
  <c r="F28" i="1"/>
  <c r="G28" i="1" s="1"/>
  <c r="F20" i="1"/>
  <c r="G20" i="1" s="1"/>
  <c r="F10" i="1"/>
  <c r="G10" i="1" s="1"/>
  <c r="F74" i="1"/>
  <c r="G74" i="1" s="1"/>
  <c r="F57" i="1"/>
  <c r="G57" i="1" s="1"/>
  <c r="F47" i="1"/>
  <c r="G47" i="1" s="1"/>
  <c r="F35" i="1"/>
  <c r="G35" i="1" s="1"/>
  <c r="F27" i="1"/>
  <c r="G27" i="1" s="1"/>
  <c r="F19" i="1"/>
  <c r="G19" i="1" s="1"/>
  <c r="F9" i="1"/>
  <c r="G9" i="1" s="1"/>
  <c r="F65" i="1"/>
  <c r="G65" i="1" s="1"/>
  <c r="F24" i="1"/>
  <c r="G24" i="1" s="1"/>
  <c r="F72" i="1"/>
  <c r="G72" i="1" s="1"/>
  <c r="F56" i="1"/>
  <c r="G56" i="1" s="1"/>
  <c r="F46" i="1"/>
  <c r="G46" i="1" s="1"/>
  <c r="F34" i="1"/>
  <c r="G34" i="1" s="1"/>
  <c r="F26" i="1"/>
  <c r="G26" i="1" s="1"/>
  <c r="F18" i="1"/>
  <c r="G18" i="1" s="1"/>
  <c r="F8" i="1"/>
  <c r="G8" i="1" s="1"/>
  <c r="F54" i="1"/>
  <c r="G54" i="1" s="1"/>
  <c r="F16" i="1"/>
  <c r="G16" i="1" s="1"/>
  <c r="F68" i="1"/>
  <c r="G68" i="1" s="1"/>
  <c r="F55" i="1"/>
  <c r="G55" i="1" s="1"/>
  <c r="F45" i="1"/>
  <c r="G45" i="1" s="1"/>
  <c r="F33" i="1"/>
  <c r="G33" i="1" s="1"/>
  <c r="F25" i="1"/>
  <c r="G25" i="1" s="1"/>
  <c r="F17" i="1"/>
  <c r="G17" i="1" s="1"/>
  <c r="F7" i="1"/>
  <c r="G7" i="1" s="1"/>
  <c r="F43" i="1"/>
  <c r="G43" i="1" s="1"/>
  <c r="F1466" i="1"/>
  <c r="G1466" i="1" s="1"/>
  <c r="F1464" i="1"/>
  <c r="G1464" i="1" s="1"/>
  <c r="F1465" i="1"/>
  <c r="G1465" i="1" s="1"/>
  <c r="F705" i="1"/>
  <c r="G705" i="1" s="1"/>
  <c r="F1463" i="1"/>
  <c r="G1463" i="1" s="1"/>
  <c r="G1453" i="1"/>
  <c r="F1461" i="1"/>
  <c r="G1461" i="1" s="1"/>
  <c r="F708" i="1"/>
  <c r="G708" i="1" s="1"/>
  <c r="F1467" i="1"/>
  <c r="G1467" i="1" s="1"/>
  <c r="G1460" i="1"/>
  <c r="F1455" i="1"/>
  <c r="G1455" i="1" s="1"/>
  <c r="F1454" i="1"/>
  <c r="G1454" i="1" s="1"/>
  <c r="F50" i="1"/>
  <c r="G50" i="1" s="1"/>
  <c r="F1004" i="1"/>
  <c r="G1004" i="1" s="1"/>
  <c r="F707" i="1"/>
  <c r="G707" i="1" s="1"/>
  <c r="F709" i="1"/>
  <c r="G709" i="1" s="1"/>
  <c r="F714" i="1"/>
  <c r="G714" i="1" s="1"/>
  <c r="F1456" i="1"/>
  <c r="G1456" i="1" s="1"/>
  <c r="G720" i="1" l="1"/>
  <c r="G911" i="1"/>
  <c r="D107" i="53"/>
  <c r="I107" i="53" s="1"/>
  <c r="I108" i="53" s="1"/>
  <c r="I114" i="53" s="1"/>
  <c r="D71" i="53"/>
  <c r="I71" i="53" s="1"/>
  <c r="I72" i="53" s="1"/>
  <c r="I78" i="53" s="1"/>
  <c r="G834" i="1"/>
  <c r="D34" i="53"/>
  <c r="F828" i="1"/>
  <c r="G828" i="1" s="1"/>
  <c r="F12" i="1"/>
  <c r="G12" i="1" s="1"/>
  <c r="F187" i="1"/>
  <c r="G187" i="1" s="1"/>
  <c r="F606" i="1"/>
  <c r="G606" i="1" s="1"/>
  <c r="F168" i="1"/>
  <c r="G168" i="1" s="1"/>
  <c r="F917" i="1"/>
  <c r="G917" i="1" s="1"/>
  <c r="F783" i="1"/>
  <c r="G783" i="1" s="1"/>
  <c r="F333" i="1"/>
  <c r="G333" i="1" s="1"/>
  <c r="F195" i="1"/>
  <c r="G195" i="1" s="1"/>
  <c r="F327" i="1"/>
  <c r="F929" i="1"/>
  <c r="G929" i="1" s="1"/>
  <c r="F760" i="1"/>
  <c r="F829" i="1"/>
  <c r="G829" i="1" s="1"/>
  <c r="F588" i="1"/>
  <c r="F654" i="1"/>
  <c r="F596" i="1"/>
  <c r="F981" i="1"/>
  <c r="G981" i="1" s="1"/>
  <c r="F325" i="1"/>
  <c r="D456" i="53" s="1"/>
  <c r="F780" i="1"/>
  <c r="G780" i="1" s="1"/>
  <c r="F565" i="1"/>
  <c r="F220" i="1"/>
  <c r="F652" i="1"/>
  <c r="F552" i="1"/>
  <c r="D458" i="53" s="1"/>
  <c r="F781" i="1"/>
  <c r="F593" i="1"/>
  <c r="F324" i="1"/>
  <c r="F573" i="1"/>
  <c r="G573" i="1" s="1"/>
  <c r="F594" i="1"/>
  <c r="F788" i="1"/>
  <c r="G788" i="1" s="1"/>
  <c r="F207" i="1"/>
  <c r="F824" i="1"/>
  <c r="G824" i="1" s="1"/>
  <c r="F807" i="1"/>
  <c r="G807" i="1" s="1"/>
  <c r="F48" i="1"/>
  <c r="G48" i="1" s="1"/>
  <c r="F791" i="1"/>
  <c r="G791" i="1" s="1"/>
  <c r="F827" i="1"/>
  <c r="G827" i="1" s="1"/>
  <c r="F100" i="1"/>
  <c r="G100" i="1" s="1"/>
  <c r="F651" i="1"/>
  <c r="F591" i="1"/>
  <c r="F203" i="1"/>
  <c r="F569" i="1"/>
  <c r="F148" i="1"/>
  <c r="G148" i="1" s="1"/>
  <c r="F595" i="1"/>
  <c r="F955" i="1"/>
  <c r="G955" i="1" s="1"/>
  <c r="F42" i="1"/>
  <c r="G42" i="1" s="1"/>
  <c r="F37" i="1"/>
  <c r="G37" i="1" s="1"/>
  <c r="F822" i="1"/>
  <c r="G822" i="1" s="1"/>
  <c r="F108" i="1"/>
  <c r="G108" i="1" s="1"/>
  <c r="F11" i="1"/>
  <c r="G11" i="1" s="1"/>
  <c r="F66" i="1"/>
  <c r="G66" i="1" s="1"/>
  <c r="G760" i="1" l="1"/>
  <c r="D314" i="53"/>
  <c r="D353" i="53"/>
  <c r="D275" i="53"/>
  <c r="D388" i="53"/>
  <c r="I388" i="53" s="1"/>
  <c r="D423" i="53"/>
  <c r="G651" i="1"/>
  <c r="D387" i="53"/>
  <c r="I387" i="53" s="1"/>
  <c r="D422" i="53"/>
  <c r="G596" i="1"/>
  <c r="D455" i="53"/>
  <c r="G569" i="1"/>
  <c r="D2555" i="52"/>
  <c r="I2555" i="52" s="1"/>
  <c r="D1250" i="52"/>
  <c r="I1250" i="52" s="1"/>
  <c r="D189" i="52"/>
  <c r="I189" i="52" s="1"/>
  <c r="G781" i="1"/>
  <c r="D2367" i="52"/>
  <c r="I2367" i="52" s="1"/>
  <c r="G203" i="1"/>
  <c r="D1645" i="52"/>
  <c r="I1645" i="52" s="1"/>
  <c r="I1646" i="52" s="1"/>
  <c r="I1654" i="52" s="1"/>
  <c r="G552" i="1"/>
  <c r="D1209" i="52"/>
  <c r="I1209" i="52" s="1"/>
  <c r="D1018" i="52"/>
  <c r="I1018" i="52" s="1"/>
  <c r="D908" i="52"/>
  <c r="I908" i="52" s="1"/>
  <c r="D1321" i="52"/>
  <c r="I1321" i="52" s="1"/>
  <c r="D796" i="52"/>
  <c r="I796" i="52" s="1"/>
  <c r="D653" i="52"/>
  <c r="I653" i="52" s="1"/>
  <c r="D3210" i="52"/>
  <c r="I3210" i="52" s="1"/>
  <c r="D1136" i="52"/>
  <c r="I1136" i="52" s="1"/>
  <c r="D1927" i="52"/>
  <c r="I1927" i="52" s="1"/>
  <c r="D1171" i="52"/>
  <c r="I1171" i="52" s="1"/>
  <c r="I1172" i="52" s="1"/>
  <c r="I1178" i="52" s="1"/>
  <c r="I1179" i="52" s="1"/>
  <c r="I1180" i="52" s="1"/>
  <c r="K1148" i="52" s="1"/>
  <c r="D1097" i="52"/>
  <c r="I1097" i="52" s="1"/>
  <c r="D873" i="52"/>
  <c r="I873" i="52" s="1"/>
  <c r="D2554" i="52"/>
  <c r="I2554" i="52" s="1"/>
  <c r="D1287" i="52"/>
  <c r="I1287" i="52" s="1"/>
  <c r="D1058" i="52"/>
  <c r="I1058" i="52" s="1"/>
  <c r="D762" i="52"/>
  <c r="I762" i="52" s="1"/>
  <c r="D690" i="52"/>
  <c r="I690" i="52" s="1"/>
  <c r="D942" i="52"/>
  <c r="I942" i="52" s="1"/>
  <c r="D834" i="52"/>
  <c r="I834" i="52" s="1"/>
  <c r="D188" i="52"/>
  <c r="I188" i="52" s="1"/>
  <c r="D727" i="52"/>
  <c r="I727" i="52" s="1"/>
  <c r="D979" i="52"/>
  <c r="I979" i="52" s="1"/>
  <c r="G654" i="1"/>
  <c r="D190" i="52"/>
  <c r="I190" i="52" s="1"/>
  <c r="D2556" i="52"/>
  <c r="I2556" i="52" s="1"/>
  <c r="D1251" i="52"/>
  <c r="I1251" i="52" s="1"/>
  <c r="G207" i="1"/>
  <c r="G652" i="1"/>
  <c r="D1020" i="52"/>
  <c r="I1020" i="52" s="1"/>
  <c r="D3212" i="52"/>
  <c r="I3212" i="52" s="1"/>
  <c r="G588" i="1"/>
  <c r="D2628" i="52"/>
  <c r="I2628" i="52" s="1"/>
  <c r="G220" i="1"/>
  <c r="D940" i="52"/>
  <c r="I940" i="52" s="1"/>
  <c r="D1207" i="52"/>
  <c r="I1207" i="52" s="1"/>
  <c r="D1319" i="52"/>
  <c r="I1319" i="52" s="1"/>
  <c r="G594" i="1"/>
  <c r="D1928" i="52"/>
  <c r="I1928" i="52" s="1"/>
  <c r="D874" i="52"/>
  <c r="I874" i="52" s="1"/>
  <c r="D398" i="52"/>
  <c r="I398" i="52" s="1"/>
  <c r="D1059" i="52"/>
  <c r="I1059" i="52" s="1"/>
  <c r="D763" i="52"/>
  <c r="I763" i="52" s="1"/>
  <c r="D1211" i="52"/>
  <c r="I1211" i="52" s="1"/>
  <c r="D506" i="52"/>
  <c r="I506" i="52" s="1"/>
  <c r="D835" i="52"/>
  <c r="I835" i="52" s="1"/>
  <c r="D728" i="52"/>
  <c r="I728" i="52" s="1"/>
  <c r="D470" i="52"/>
  <c r="I470" i="52" s="1"/>
  <c r="D1019" i="52"/>
  <c r="I1019" i="52" s="1"/>
  <c r="D909" i="52"/>
  <c r="I909" i="52" s="1"/>
  <c r="D797" i="52"/>
  <c r="I797" i="52" s="1"/>
  <c r="D434" i="52"/>
  <c r="I434" i="52" s="1"/>
  <c r="D3211" i="52"/>
  <c r="I3211" i="52" s="1"/>
  <c r="G565" i="1"/>
  <c r="D1844" i="52"/>
  <c r="I1844" i="52" s="1"/>
  <c r="I1845" i="52" s="1"/>
  <c r="I1853" i="52" s="1"/>
  <c r="I1854" i="52" s="1"/>
  <c r="I1855" i="52" s="1"/>
  <c r="K1819" i="52" s="1"/>
  <c r="F801" i="1" s="1"/>
  <c r="G801" i="1" s="1"/>
  <c r="D2209" i="52"/>
  <c r="I2209" i="52" s="1"/>
  <c r="I2210" i="52" s="1"/>
  <c r="I2216" i="52" s="1"/>
  <c r="I2217" i="52" s="1"/>
  <c r="I2218" i="52" s="1"/>
  <c r="K2183" i="52" s="1"/>
  <c r="F877" i="1" s="1"/>
  <c r="G877" i="1" s="1"/>
  <c r="D3169" i="52"/>
  <c r="I3169" i="52" s="1"/>
  <c r="I3170" i="52" s="1"/>
  <c r="I3178" i="52" s="1"/>
  <c r="D1882" i="52"/>
  <c r="I1882" i="52" s="1"/>
  <c r="I1883" i="52" s="1"/>
  <c r="I1889" i="52" s="1"/>
  <c r="I1890" i="52" s="1"/>
  <c r="I1891" i="52" s="1"/>
  <c r="K1857" i="52" s="1"/>
  <c r="F811" i="1" s="1"/>
  <c r="G811" i="1" s="1"/>
  <c r="G595" i="1"/>
  <c r="D226" i="52"/>
  <c r="I226" i="52" s="1"/>
  <c r="D943" i="52"/>
  <c r="I943" i="52" s="1"/>
  <c r="D362" i="52"/>
  <c r="I362" i="52" s="1"/>
  <c r="D326" i="52"/>
  <c r="I326" i="52" s="1"/>
  <c r="D1322" i="52"/>
  <c r="I1322" i="52" s="1"/>
  <c r="D258" i="52"/>
  <c r="I258" i="52" s="1"/>
  <c r="G324" i="1"/>
  <c r="D3208" i="52"/>
  <c r="I3208" i="52" s="1"/>
  <c r="D576" i="52"/>
  <c r="I576" i="52" s="1"/>
  <c r="D1056" i="52"/>
  <c r="I1056" i="52" s="1"/>
  <c r="D614" i="52"/>
  <c r="I614" i="52" s="1"/>
  <c r="D539" i="52"/>
  <c r="I539" i="52" s="1"/>
  <c r="D2774" i="52"/>
  <c r="I2774" i="52" s="1"/>
  <c r="I2775" i="52" s="1"/>
  <c r="I2781" i="52" s="1"/>
  <c r="D2626" i="52"/>
  <c r="I2626" i="52" s="1"/>
  <c r="D1016" i="52"/>
  <c r="I1016" i="52" s="1"/>
  <c r="D2738" i="52"/>
  <c r="I2738" i="52" s="1"/>
  <c r="I2739" i="52" s="1"/>
  <c r="I2745" i="52" s="1"/>
  <c r="I2746" i="52" s="1"/>
  <c r="I2747" i="52" s="1"/>
  <c r="K2714" i="52" s="1"/>
  <c r="F307" i="1" s="1"/>
  <c r="G307" i="1" s="1"/>
  <c r="G325" i="1"/>
  <c r="D941" i="52"/>
  <c r="I941" i="52" s="1"/>
  <c r="D833" i="52"/>
  <c r="I833" i="52" s="1"/>
  <c r="D615" i="52"/>
  <c r="I615" i="52" s="1"/>
  <c r="D540" i="52"/>
  <c r="I540" i="52" s="1"/>
  <c r="D4011" i="52"/>
  <c r="I4011" i="52" s="1"/>
  <c r="I4012" i="52" s="1"/>
  <c r="I4018" i="52" s="1"/>
  <c r="I4019" i="52" s="1"/>
  <c r="I4020" i="52" s="1"/>
  <c r="K3986" i="52" s="1"/>
  <c r="F352" i="1" s="1"/>
  <c r="G352" i="1" s="1"/>
  <c r="D3131" i="52"/>
  <c r="I3131" i="52" s="1"/>
  <c r="D2627" i="52"/>
  <c r="I2627" i="52" s="1"/>
  <c r="D726" i="52"/>
  <c r="I726" i="52" s="1"/>
  <c r="D1017" i="52"/>
  <c r="I1017" i="52" s="1"/>
  <c r="D907" i="52"/>
  <c r="I907" i="52" s="1"/>
  <c r="D1320" i="52"/>
  <c r="I1320" i="52" s="1"/>
  <c r="D795" i="52"/>
  <c r="I795" i="52" s="1"/>
  <c r="D652" i="52"/>
  <c r="I652" i="52" s="1"/>
  <c r="D1135" i="52"/>
  <c r="I1135" i="52" s="1"/>
  <c r="D577" i="52"/>
  <c r="I577" i="52" s="1"/>
  <c r="D1096" i="52"/>
  <c r="I1096" i="52" s="1"/>
  <c r="D872" i="52"/>
  <c r="I872" i="52" s="1"/>
  <c r="D1057" i="52"/>
  <c r="I1057" i="52" s="1"/>
  <c r="D1286" i="52"/>
  <c r="I1286" i="52" s="1"/>
  <c r="D761" i="52"/>
  <c r="I761" i="52" s="1"/>
  <c r="D689" i="52"/>
  <c r="I689" i="52" s="1"/>
  <c r="G327" i="1"/>
  <c r="D978" i="52"/>
  <c r="I978" i="52" s="1"/>
  <c r="D3209" i="52"/>
  <c r="I3209" i="52" s="1"/>
  <c r="G591" i="1"/>
  <c r="D1098" i="52"/>
  <c r="I1098" i="52" s="1"/>
  <c r="G593" i="1"/>
  <c r="F815" i="1"/>
  <c r="G815" i="1" s="1"/>
  <c r="F590" i="1"/>
  <c r="D578" i="52" s="1"/>
  <c r="I578" i="52" s="1"/>
  <c r="F547" i="1"/>
  <c r="G547" i="1" s="1"/>
  <c r="F571" i="1"/>
  <c r="F288" i="1"/>
  <c r="F818" i="1"/>
  <c r="G818" i="1" s="1"/>
  <c r="F221" i="1"/>
  <c r="F36" i="1"/>
  <c r="G36" i="1" s="1"/>
  <c r="F740" i="1"/>
  <c r="F44" i="1"/>
  <c r="G44" i="1" s="1"/>
  <c r="F332" i="1"/>
  <c r="I2369" i="52" l="1"/>
  <c r="I2375" i="52" s="1"/>
  <c r="I2376" i="52" s="1"/>
  <c r="I2377" i="52" s="1"/>
  <c r="K2343" i="52" s="1"/>
  <c r="F858" i="1" s="1"/>
  <c r="G858" i="1" s="1"/>
  <c r="D541" i="52"/>
  <c r="I541" i="52" s="1"/>
  <c r="D616" i="52"/>
  <c r="I616" i="52" s="1"/>
  <c r="D2629" i="52"/>
  <c r="I2629" i="52" s="1"/>
  <c r="F768" i="1"/>
  <c r="G768" i="1" s="1"/>
  <c r="F701" i="1"/>
  <c r="G701" i="1" s="1"/>
  <c r="G332" i="1"/>
  <c r="D421" i="53"/>
  <c r="D386" i="53"/>
  <c r="I386" i="53" s="1"/>
  <c r="I980" i="52"/>
  <c r="I986" i="52" s="1"/>
  <c r="I987" i="52" s="1"/>
  <c r="I988" i="52" s="1"/>
  <c r="K954" i="52" s="1"/>
  <c r="F683" i="1" s="1"/>
  <c r="G683" i="1" s="1"/>
  <c r="G288" i="1"/>
  <c r="D1134" i="52"/>
  <c r="I1134" i="52" s="1"/>
  <c r="I1137" i="52" s="1"/>
  <c r="I1143" i="52" s="1"/>
  <c r="I1144" i="52" s="1"/>
  <c r="I1145" i="52" s="1"/>
  <c r="K1110" i="52" s="1"/>
  <c r="F668" i="1" s="1"/>
  <c r="G668" i="1" s="1"/>
  <c r="D1095" i="52"/>
  <c r="I1095" i="52" s="1"/>
  <c r="I1099" i="52" s="1"/>
  <c r="D871" i="52"/>
  <c r="I871" i="52" s="1"/>
  <c r="D1285" i="52"/>
  <c r="I1285" i="52" s="1"/>
  <c r="D760" i="52"/>
  <c r="I760" i="52" s="1"/>
  <c r="D688" i="52"/>
  <c r="I688" i="52" s="1"/>
  <c r="I691" i="52" s="1"/>
  <c r="I697" i="52" s="1"/>
  <c r="I698" i="52" s="1"/>
  <c r="I699" i="52" s="1"/>
  <c r="K665" i="52" s="1"/>
  <c r="F604" i="1" s="1"/>
  <c r="G604" i="1" s="1"/>
  <c r="D832" i="52"/>
  <c r="I832" i="52" s="1"/>
  <c r="D1055" i="52"/>
  <c r="I1055" i="52" s="1"/>
  <c r="I1060" i="52" s="1"/>
  <c r="I1066" i="52" s="1"/>
  <c r="I1067" i="52" s="1"/>
  <c r="I1068" i="52" s="1"/>
  <c r="K1032" i="52" s="1"/>
  <c r="F1218" i="1" s="1"/>
  <c r="G1218" i="1" s="1"/>
  <c r="D725" i="52"/>
  <c r="I725" i="52" s="1"/>
  <c r="D906" i="52"/>
  <c r="I906" i="52" s="1"/>
  <c r="D794" i="52"/>
  <c r="I794" i="52" s="1"/>
  <c r="D651" i="52"/>
  <c r="I651" i="52" s="1"/>
  <c r="I1655" i="52"/>
  <c r="I1656" i="52" s="1"/>
  <c r="K1613" i="52" s="1"/>
  <c r="F92" i="1" s="1"/>
  <c r="G92" i="1" s="1"/>
  <c r="G571" i="1"/>
  <c r="D1210" i="52"/>
  <c r="I1210" i="52" s="1"/>
  <c r="I3179" i="52"/>
  <c r="I3180" i="52" s="1"/>
  <c r="K3142" i="52" s="1"/>
  <c r="F805" i="1" s="1"/>
  <c r="G805" i="1" s="1"/>
  <c r="G740" i="1"/>
  <c r="I2782" i="52"/>
  <c r="I2783" i="52" s="1"/>
  <c r="K2750" i="52" s="1"/>
  <c r="F308" i="1" s="1"/>
  <c r="G308" i="1" s="1"/>
  <c r="G590" i="1"/>
  <c r="D1288" i="52"/>
  <c r="I1288" i="52" s="1"/>
  <c r="G221" i="1"/>
  <c r="D2702" i="52"/>
  <c r="I2702" i="52" s="1"/>
  <c r="I2703" i="52" s="1"/>
  <c r="I2709" i="52" s="1"/>
  <c r="I2710" i="52" s="1"/>
  <c r="I2711" i="52" s="1"/>
  <c r="K2677" i="52" s="1"/>
  <c r="F381" i="1" s="1"/>
  <c r="G381" i="1" s="1"/>
  <c r="D2593" i="52"/>
  <c r="I2593" i="52" s="1"/>
  <c r="I2594" i="52" s="1"/>
  <c r="I2600" i="52" s="1"/>
  <c r="I2601" i="52" s="1"/>
  <c r="I2602" i="52" s="1"/>
  <c r="K2568" i="52" s="1"/>
  <c r="F434" i="1" s="1"/>
  <c r="G434" i="1" s="1"/>
  <c r="D1015" i="52"/>
  <c r="D187" i="52"/>
  <c r="D4627" i="52"/>
  <c r="I4627" i="52" s="1"/>
  <c r="I4628" i="52" s="1"/>
  <c r="I4634" i="52" s="1"/>
  <c r="D3130" i="52"/>
  <c r="I3130" i="52" s="1"/>
  <c r="I3132" i="52" s="1"/>
  <c r="I3138" i="52" s="1"/>
  <c r="I3139" i="52" s="1"/>
  <c r="I3140" i="52" s="1"/>
  <c r="K3105" i="52" s="1"/>
  <c r="F796" i="1" s="1"/>
  <c r="G796" i="1" s="1"/>
  <c r="D2665" i="52"/>
  <c r="I2665" i="52" s="1"/>
  <c r="I2666" i="52" s="1"/>
  <c r="I2672" i="52" s="1"/>
  <c r="I2673" i="52" s="1"/>
  <c r="I2674" i="52" s="1"/>
  <c r="K2640" i="52" s="1"/>
  <c r="F376" i="1" s="1"/>
  <c r="G376" i="1" s="1"/>
  <c r="D2553" i="52"/>
  <c r="I2553" i="52" s="1"/>
  <c r="I2557" i="52" s="1"/>
  <c r="I2563" i="52" s="1"/>
  <c r="I2564" i="52" s="1"/>
  <c r="I2565" i="52" s="1"/>
  <c r="K2528" i="52" s="1"/>
  <c r="F409" i="1" s="1"/>
  <c r="G409" i="1" s="1"/>
  <c r="I1252" i="52"/>
  <c r="G214" i="1"/>
  <c r="O2280" i="6"/>
  <c r="T2279" i="6" s="1"/>
  <c r="N2278" i="6"/>
  <c r="C2278" i="6"/>
  <c r="C194" i="7" s="1"/>
  <c r="O2274" i="6"/>
  <c r="C2272" i="6"/>
  <c r="C190" i="7" s="1"/>
  <c r="O2270" i="6"/>
  <c r="C2268" i="6"/>
  <c r="C189" i="7" s="1"/>
  <c r="O2266" i="6"/>
  <c r="T2250" i="6" s="1"/>
  <c r="C2249" i="6"/>
  <c r="C188" i="7" s="1"/>
  <c r="O2248" i="6"/>
  <c r="C2238" i="6"/>
  <c r="C187" i="7" s="1"/>
  <c r="O2236" i="6"/>
  <c r="N2233" i="6"/>
  <c r="C2233" i="6"/>
  <c r="C185" i="7" s="1"/>
  <c r="O2231" i="6"/>
  <c r="T2229" i="6" s="1"/>
  <c r="N2228" i="6"/>
  <c r="C2228" i="6"/>
  <c r="C184" i="7" s="1"/>
  <c r="O2226" i="6"/>
  <c r="N2223" i="6"/>
  <c r="C2223" i="6"/>
  <c r="O2222" i="6"/>
  <c r="T2220" i="6" s="1"/>
  <c r="D182" i="7" s="1"/>
  <c r="N2220" i="6"/>
  <c r="C2220" i="6"/>
  <c r="O2218" i="6"/>
  <c r="N2216" i="6"/>
  <c r="C2216" i="6"/>
  <c r="C181" i="7" s="1"/>
  <c r="O2214" i="6"/>
  <c r="T2213" i="6" s="1"/>
  <c r="N2205" i="6"/>
  <c r="C2205" i="6"/>
  <c r="O2202" i="6"/>
  <c r="T2201" i="6" s="1"/>
  <c r="N2200" i="6"/>
  <c r="C2200" i="6"/>
  <c r="C178" i="7" s="1"/>
  <c r="O2197" i="6"/>
  <c r="T2195" i="6" s="1"/>
  <c r="D177" i="7" s="1"/>
  <c r="N2195" i="6"/>
  <c r="C2195" i="6"/>
  <c r="C177" i="7" s="1"/>
  <c r="O2192" i="6"/>
  <c r="T2191" i="6" s="1"/>
  <c r="N2190" i="6"/>
  <c r="C2190" i="6"/>
  <c r="O2188" i="6"/>
  <c r="N2186" i="6"/>
  <c r="C2186" i="6"/>
  <c r="C175" i="7" s="1"/>
  <c r="O2184" i="6"/>
  <c r="N2182" i="6"/>
  <c r="C2182" i="6"/>
  <c r="C174" i="7" s="1"/>
  <c r="O2180" i="6"/>
  <c r="T2179" i="6" s="1"/>
  <c r="N2178" i="6"/>
  <c r="C2178" i="6"/>
  <c r="O2176" i="6"/>
  <c r="N2174" i="6"/>
  <c r="C2174" i="6"/>
  <c r="C172" i="7" s="1"/>
  <c r="O2172" i="6"/>
  <c r="T2171" i="6" s="1"/>
  <c r="N2170" i="6"/>
  <c r="C2170" i="6"/>
  <c r="C171" i="7" s="1"/>
  <c r="O2168" i="6"/>
  <c r="N2163" i="6"/>
  <c r="C2163" i="6"/>
  <c r="O2161" i="6"/>
  <c r="T2160" i="6" s="1"/>
  <c r="N2159" i="6"/>
  <c r="C2159" i="6"/>
  <c r="C169" i="7" s="1"/>
  <c r="O2157" i="6"/>
  <c r="N2155" i="6"/>
  <c r="C2155" i="6"/>
  <c r="O2153" i="6"/>
  <c r="T2151" i="6" s="1"/>
  <c r="D167" i="7" s="1"/>
  <c r="N2151" i="6"/>
  <c r="C2151" i="6"/>
  <c r="C167" i="7" s="1"/>
  <c r="O2149" i="6"/>
  <c r="N2147" i="6"/>
  <c r="C2147" i="6"/>
  <c r="O2124" i="6"/>
  <c r="T2121" i="6" s="1"/>
  <c r="N2114" i="6"/>
  <c r="C2114" i="6"/>
  <c r="C159" i="7" s="1"/>
  <c r="O2098" i="6"/>
  <c r="T2093" i="6" s="1"/>
  <c r="N2092" i="6"/>
  <c r="C2092" i="6"/>
  <c r="C156" i="7" s="1"/>
  <c r="O2090" i="6"/>
  <c r="N2084" i="6"/>
  <c r="C2084" i="6"/>
  <c r="C155" i="7" s="1"/>
  <c r="O2082" i="6"/>
  <c r="T2078" i="6" s="1"/>
  <c r="N2076" i="6"/>
  <c r="C2076" i="6"/>
  <c r="O2074" i="6"/>
  <c r="N2068" i="6"/>
  <c r="C2068" i="6"/>
  <c r="C153" i="7" s="1"/>
  <c r="O2066" i="6"/>
  <c r="T2060" i="6" s="1"/>
  <c r="N2054" i="6"/>
  <c r="C2054" i="6"/>
  <c r="C152" i="7" s="1"/>
  <c r="O2052" i="6"/>
  <c r="N2046" i="6"/>
  <c r="C2046" i="6"/>
  <c r="C150" i="7" s="1"/>
  <c r="O2044" i="6"/>
  <c r="T2040" i="6" s="1"/>
  <c r="N2038" i="6"/>
  <c r="C2038" i="6"/>
  <c r="C149" i="7" s="1"/>
  <c r="O2036" i="6"/>
  <c r="N2030" i="6"/>
  <c r="C2030" i="6"/>
  <c r="O2028" i="6"/>
  <c r="T2027" i="6" s="1"/>
  <c r="N2017" i="6"/>
  <c r="C2017" i="6"/>
  <c r="C147" i="7" s="1"/>
  <c r="O2015" i="6"/>
  <c r="T2004" i="6" s="1"/>
  <c r="N2003" i="6"/>
  <c r="C2003" i="6"/>
  <c r="C146" i="7" s="1"/>
  <c r="O1995" i="6"/>
  <c r="T1994" i="6" s="1"/>
  <c r="N1991" i="6"/>
  <c r="C1991" i="6"/>
  <c r="C144" i="7" s="1"/>
  <c r="O1988" i="6"/>
  <c r="T1987" i="6" s="1"/>
  <c r="Y1984" i="6"/>
  <c r="X1984" i="6"/>
  <c r="W1984" i="6"/>
  <c r="O1982" i="6"/>
  <c r="T1980" i="6" s="1"/>
  <c r="Y1979" i="6"/>
  <c r="X1979" i="6"/>
  <c r="W1979" i="6"/>
  <c r="N1979" i="6"/>
  <c r="C1979" i="6"/>
  <c r="C141" i="7" s="1"/>
  <c r="O1977" i="6"/>
  <c r="T1975" i="6" s="1"/>
  <c r="Y1974" i="6"/>
  <c r="X1974" i="6"/>
  <c r="W1974" i="6"/>
  <c r="N1974" i="6"/>
  <c r="C1974" i="6"/>
  <c r="C140" i="7" s="1"/>
  <c r="O1972" i="6"/>
  <c r="Y1968" i="6"/>
  <c r="X1968" i="6"/>
  <c r="W1968" i="6"/>
  <c r="N1968" i="6"/>
  <c r="C1968" i="6"/>
  <c r="C139" i="7" s="1"/>
  <c r="O1966" i="6"/>
  <c r="T1963" i="6" s="1"/>
  <c r="D138" i="7" s="1"/>
  <c r="N1963" i="6"/>
  <c r="C1963" i="6"/>
  <c r="C138" i="7" s="1"/>
  <c r="O1961" i="6"/>
  <c r="T1958" i="6" s="1"/>
  <c r="D137" i="7" s="1"/>
  <c r="N1958" i="6"/>
  <c r="C1958" i="6"/>
  <c r="C137" i="7" s="1"/>
  <c r="O1956" i="6"/>
  <c r="N1953" i="6"/>
  <c r="C1953" i="6"/>
  <c r="O1951" i="6"/>
  <c r="T1948" i="6" s="1"/>
  <c r="N1947" i="6"/>
  <c r="C1947" i="6"/>
  <c r="C135" i="7" s="1"/>
  <c r="O1945" i="6"/>
  <c r="N1942" i="6"/>
  <c r="C1942" i="6"/>
  <c r="C134" i="7" s="1"/>
  <c r="O1940" i="6"/>
  <c r="T1937" i="6" s="1"/>
  <c r="D133" i="7" s="1"/>
  <c r="N1937" i="6"/>
  <c r="C1937" i="6"/>
  <c r="O1935" i="6"/>
  <c r="T1934" i="6" s="1"/>
  <c r="N1932" i="6"/>
  <c r="C1932" i="6"/>
  <c r="O1930" i="6"/>
  <c r="T1927" i="6" s="1"/>
  <c r="N1926" i="6"/>
  <c r="C1926" i="6"/>
  <c r="O1924" i="6"/>
  <c r="T1920" i="6" s="1"/>
  <c r="N1917" i="6"/>
  <c r="C1917" i="6"/>
  <c r="C130" i="7" s="1"/>
  <c r="O1915" i="6"/>
  <c r="T1912" i="6" s="1"/>
  <c r="N1909" i="6"/>
  <c r="C1909" i="6"/>
  <c r="C129" i="7" s="1"/>
  <c r="O1905" i="6"/>
  <c r="T1904" i="6" s="1"/>
  <c r="N1902" i="6"/>
  <c r="C1902" i="6"/>
  <c r="C125" i="7" s="1"/>
  <c r="O1901" i="6"/>
  <c r="T1900" i="6" s="1"/>
  <c r="N1896" i="6"/>
  <c r="C1896" i="6"/>
  <c r="C124" i="7" s="1"/>
  <c r="O1895" i="6"/>
  <c r="T1892" i="6" s="1"/>
  <c r="N1888" i="6"/>
  <c r="C1888" i="6"/>
  <c r="C123" i="7" s="1"/>
  <c r="O1886" i="6"/>
  <c r="T1883" i="6" s="1"/>
  <c r="N1874" i="6"/>
  <c r="C1874" i="6"/>
  <c r="O1872" i="6"/>
  <c r="T1871" i="6" s="1"/>
  <c r="N1867" i="6"/>
  <c r="C1867" i="6"/>
  <c r="C119" i="7" s="1"/>
  <c r="O1865" i="6"/>
  <c r="T1863" i="6" s="1"/>
  <c r="N1860" i="6"/>
  <c r="C1860" i="6"/>
  <c r="O1858" i="6"/>
  <c r="T1856" i="6" s="1"/>
  <c r="N1853" i="6"/>
  <c r="C1853" i="6"/>
  <c r="C117" i="7" s="1"/>
  <c r="O1851" i="6"/>
  <c r="T1850" i="6" s="1"/>
  <c r="C1847" i="6"/>
  <c r="C115" i="7" s="1"/>
  <c r="O1845" i="6"/>
  <c r="T1843" i="6" s="1"/>
  <c r="N1625" i="6"/>
  <c r="C1625" i="6"/>
  <c r="C114" i="7" s="1"/>
  <c r="O1623" i="6"/>
  <c r="T1619" i="6" s="1"/>
  <c r="D113" i="7" s="1"/>
  <c r="N1619" i="6"/>
  <c r="C1619" i="6"/>
  <c r="C113" i="7" s="1"/>
  <c r="O1617" i="6"/>
  <c r="T1609" i="6" s="1"/>
  <c r="N1587" i="6"/>
  <c r="C1587" i="6"/>
  <c r="C112" i="7" s="1"/>
  <c r="O1585" i="6"/>
  <c r="T1581" i="6" s="1"/>
  <c r="N1565" i="6"/>
  <c r="C1565" i="6"/>
  <c r="C111" i="7" s="1"/>
  <c r="O1563" i="6"/>
  <c r="T1551" i="6" s="1"/>
  <c r="N1543" i="6"/>
  <c r="C1543" i="6"/>
  <c r="C110" i="7" s="1"/>
  <c r="O1541" i="6"/>
  <c r="T1533" i="6" s="1"/>
  <c r="N1405" i="6"/>
  <c r="C1405" i="6"/>
  <c r="C109" i="7" s="1"/>
  <c r="O1401" i="6"/>
  <c r="N1362" i="6"/>
  <c r="C1362" i="6"/>
  <c r="C105" i="7" s="1"/>
  <c r="O1360" i="6"/>
  <c r="T1358" i="6" s="1"/>
  <c r="C1321" i="6"/>
  <c r="C104" i="7" s="1"/>
  <c r="O1319" i="6"/>
  <c r="T1318" i="6" s="1"/>
  <c r="C1290" i="6"/>
  <c r="C103" i="7" s="1"/>
  <c r="O1288" i="6"/>
  <c r="T1278" i="6" s="1"/>
  <c r="C1254" i="6"/>
  <c r="O1251" i="6"/>
  <c r="T1250" i="6" s="1"/>
  <c r="Y1248" i="6"/>
  <c r="X1248" i="6"/>
  <c r="W1248" i="6"/>
  <c r="N1248" i="6"/>
  <c r="O1246" i="6"/>
  <c r="T1245" i="6" s="1"/>
  <c r="Y1243" i="6"/>
  <c r="X1243" i="6"/>
  <c r="W1243" i="6"/>
  <c r="N1243" i="6"/>
  <c r="O1241" i="6"/>
  <c r="T1240" i="6" s="1"/>
  <c r="Y1238" i="6"/>
  <c r="X1238" i="6"/>
  <c r="W1238" i="6"/>
  <c r="N1238" i="6"/>
  <c r="O1236" i="6"/>
  <c r="Y1233" i="6"/>
  <c r="X1233" i="6"/>
  <c r="W1233" i="6"/>
  <c r="N1233" i="6"/>
  <c r="O1232" i="6"/>
  <c r="T1231" i="6" s="1"/>
  <c r="Y1227" i="6"/>
  <c r="X1227" i="6"/>
  <c r="W1227" i="6"/>
  <c r="N1227" i="6"/>
  <c r="O1225" i="6"/>
  <c r="T1224" i="6" s="1"/>
  <c r="N1223" i="6"/>
  <c r="C1223" i="6"/>
  <c r="O1221" i="6"/>
  <c r="T1218" i="6" s="1"/>
  <c r="D93" i="7" s="1"/>
  <c r="N1218" i="6"/>
  <c r="C1218" i="6"/>
  <c r="C93" i="7" s="1"/>
  <c r="O1216" i="6"/>
  <c r="T1213" i="6" s="1"/>
  <c r="D92" i="7" s="1"/>
  <c r="N1213" i="6"/>
  <c r="C1213" i="6"/>
  <c r="C92" i="7" s="1"/>
  <c r="O1211" i="6"/>
  <c r="T1210" i="6" s="1"/>
  <c r="N1208" i="6"/>
  <c r="C1208" i="6"/>
  <c r="C91" i="7" s="1"/>
  <c r="O1206" i="6"/>
  <c r="T1201" i="6" s="1"/>
  <c r="D90" i="7" s="1"/>
  <c r="N1201" i="6"/>
  <c r="C1201" i="6"/>
  <c r="C90" i="7" s="1"/>
  <c r="Y1185" i="6"/>
  <c r="X1185" i="6"/>
  <c r="W1185" i="6"/>
  <c r="Y1170" i="6"/>
  <c r="X1170" i="6"/>
  <c r="W1170" i="6"/>
  <c r="O1168" i="6"/>
  <c r="T1162" i="6" s="1"/>
  <c r="Y1131" i="6"/>
  <c r="X1131" i="6"/>
  <c r="W1131" i="6"/>
  <c r="O1129" i="6"/>
  <c r="T1120" i="6" s="1"/>
  <c r="Y1092" i="6"/>
  <c r="X1092" i="6"/>
  <c r="W1092" i="6"/>
  <c r="C1088" i="6"/>
  <c r="T1087" i="6" s="1"/>
  <c r="C1025" i="6"/>
  <c r="T1024" i="6" s="1"/>
  <c r="O1024" i="6"/>
  <c r="T1011" i="6" s="1"/>
  <c r="N1011" i="6"/>
  <c r="C1011" i="6"/>
  <c r="O972" i="6"/>
  <c r="T969" i="6" s="1"/>
  <c r="N926" i="6"/>
  <c r="C926" i="6"/>
  <c r="C79" i="7" s="1"/>
  <c r="O1008" i="6"/>
  <c r="T1007" i="6" s="1"/>
  <c r="N973" i="6"/>
  <c r="C973" i="6"/>
  <c r="C80" i="7" s="1"/>
  <c r="O924" i="6"/>
  <c r="T920" i="6" s="1"/>
  <c r="N887" i="6"/>
  <c r="C887" i="6"/>
  <c r="C78" i="7" s="1"/>
  <c r="T1026" i="6"/>
  <c r="O884" i="6"/>
  <c r="T883" i="6" s="1"/>
  <c r="N847" i="6"/>
  <c r="C847" i="6"/>
  <c r="C77" i="7" s="1"/>
  <c r="O830" i="6"/>
  <c r="T827" i="6" s="1"/>
  <c r="N817" i="6"/>
  <c r="C817" i="6"/>
  <c r="C75" i="7" s="1"/>
  <c r="O815" i="6"/>
  <c r="T766" i="6" s="1"/>
  <c r="D74" i="7" s="1"/>
  <c r="N766" i="6"/>
  <c r="C766" i="6"/>
  <c r="C74" i="7" s="1"/>
  <c r="O763" i="6"/>
  <c r="T760" i="6" s="1"/>
  <c r="N757" i="6"/>
  <c r="C757" i="6"/>
  <c r="C71" i="7" s="1"/>
  <c r="O755" i="6"/>
  <c r="C750" i="6"/>
  <c r="C70" i="7" s="1"/>
  <c r="O748" i="6"/>
  <c r="T743" i="6" s="1"/>
  <c r="C737" i="6"/>
  <c r="C69" i="7" s="1"/>
  <c r="O735" i="6"/>
  <c r="N693" i="6"/>
  <c r="C693" i="6"/>
  <c r="O691" i="6"/>
  <c r="T689" i="6" s="1"/>
  <c r="N687" i="6"/>
  <c r="C687" i="6"/>
  <c r="C67" i="7" s="1"/>
  <c r="O685" i="6"/>
  <c r="T676" i="6" s="1"/>
  <c r="N640" i="6"/>
  <c r="C640" i="6"/>
  <c r="C66" i="7" s="1"/>
  <c r="O638" i="6"/>
  <c r="T626" i="6" s="1"/>
  <c r="N610" i="6"/>
  <c r="C610" i="6"/>
  <c r="C65" i="7" s="1"/>
  <c r="O608" i="6"/>
  <c r="T601" i="6" s="1"/>
  <c r="N598" i="6"/>
  <c r="C598" i="6"/>
  <c r="C64" i="7" s="1"/>
  <c r="O596" i="6"/>
  <c r="T595" i="6" s="1"/>
  <c r="N592" i="6"/>
  <c r="C592" i="6"/>
  <c r="O590" i="6"/>
  <c r="T589" i="6" s="1"/>
  <c r="N584" i="6"/>
  <c r="C584" i="6"/>
  <c r="C62" i="7" s="1"/>
  <c r="O582" i="6"/>
  <c r="T578" i="6" s="1"/>
  <c r="N576" i="6"/>
  <c r="C576" i="6"/>
  <c r="C61" i="7" s="1"/>
  <c r="O569" i="6"/>
  <c r="T568" i="6" s="1"/>
  <c r="N551" i="6"/>
  <c r="C551" i="6"/>
  <c r="O549" i="6"/>
  <c r="T545" i="6" s="1"/>
  <c r="N533" i="6"/>
  <c r="C533" i="6"/>
  <c r="O531" i="6"/>
  <c r="T528" i="6" s="1"/>
  <c r="N515" i="6"/>
  <c r="C515" i="6"/>
  <c r="C57" i="7" s="1"/>
  <c r="O513" i="6"/>
  <c r="T510" i="6" s="1"/>
  <c r="N495" i="6"/>
  <c r="C495" i="6"/>
  <c r="O493" i="6"/>
  <c r="T490" i="6" s="1"/>
  <c r="N475" i="6"/>
  <c r="C475" i="6"/>
  <c r="O473" i="6"/>
  <c r="T471" i="6" s="1"/>
  <c r="N454" i="6"/>
  <c r="C454" i="6"/>
  <c r="O452" i="6"/>
  <c r="T451" i="6" s="1"/>
  <c r="N447" i="6"/>
  <c r="C447" i="6"/>
  <c r="C53" i="7" s="1"/>
  <c r="O445" i="6"/>
  <c r="T443" i="6" s="1"/>
  <c r="N368" i="6"/>
  <c r="C368" i="6"/>
  <c r="C52" i="7" s="1"/>
  <c r="O356" i="6"/>
  <c r="T355" i="6" s="1"/>
  <c r="N353" i="6"/>
  <c r="C353" i="6"/>
  <c r="O351" i="6"/>
  <c r="T349" i="6" s="1"/>
  <c r="N348" i="6"/>
  <c r="C348" i="6"/>
  <c r="C48" i="7" s="1"/>
  <c r="O346" i="6"/>
  <c r="T344" i="6" s="1"/>
  <c r="N343" i="6"/>
  <c r="C343" i="6"/>
  <c r="O341" i="6"/>
  <c r="T340" i="6" s="1"/>
  <c r="N338" i="6"/>
  <c r="C338" i="6"/>
  <c r="O336" i="6"/>
  <c r="T335" i="6" s="1"/>
  <c r="N300" i="6"/>
  <c r="C300" i="6"/>
  <c r="C45" i="7" s="1"/>
  <c r="O298" i="6"/>
  <c r="T297" i="6" s="1"/>
  <c r="N293" i="6"/>
  <c r="C293" i="6"/>
  <c r="O291" i="6"/>
  <c r="T289" i="6" s="1"/>
  <c r="N287" i="6"/>
  <c r="C287" i="6"/>
  <c r="C43" i="7" s="1"/>
  <c r="O285" i="6"/>
  <c r="T284" i="6" s="1"/>
  <c r="N283" i="6"/>
  <c r="C283" i="6"/>
  <c r="C42" i="7" s="1"/>
  <c r="O281" i="6"/>
  <c r="T273" i="6" s="1"/>
  <c r="N246" i="6"/>
  <c r="C246" i="6"/>
  <c r="C41" i="7" s="1"/>
  <c r="O244" i="6"/>
  <c r="T240" i="6" s="1"/>
  <c r="D40" i="7" s="1"/>
  <c r="N240" i="6"/>
  <c r="C240" i="6"/>
  <c r="C40" i="7" s="1"/>
  <c r="O238" i="6"/>
  <c r="T235" i="6" s="1"/>
  <c r="N233" i="6"/>
  <c r="C233" i="6"/>
  <c r="C39" i="7" s="1"/>
  <c r="O231" i="6"/>
  <c r="T229" i="6" s="1"/>
  <c r="N227" i="6"/>
  <c r="C227" i="6"/>
  <c r="O225" i="6"/>
  <c r="T222" i="6" s="1"/>
  <c r="N191" i="6"/>
  <c r="C191" i="6"/>
  <c r="C37" i="7" s="1"/>
  <c r="O189" i="6"/>
  <c r="T188" i="6" s="1"/>
  <c r="N186" i="6"/>
  <c r="C186" i="6"/>
  <c r="O184" i="6"/>
  <c r="T183" i="6" s="1"/>
  <c r="N181" i="6"/>
  <c r="C181" i="6"/>
  <c r="O179" i="6"/>
  <c r="T177" i="6" s="1"/>
  <c r="N174" i="6"/>
  <c r="C174" i="6"/>
  <c r="C34" i="7" s="1"/>
  <c r="O172" i="6"/>
  <c r="T169" i="6" s="1"/>
  <c r="N168" i="6"/>
  <c r="C168" i="6"/>
  <c r="O166" i="6"/>
  <c r="T165" i="6" s="1"/>
  <c r="N163" i="6"/>
  <c r="C163" i="6"/>
  <c r="O161" i="6"/>
  <c r="T159" i="6" s="1"/>
  <c r="N158" i="6"/>
  <c r="C158" i="6"/>
  <c r="C31" i="7" s="1"/>
  <c r="O156" i="6"/>
  <c r="T155" i="6" s="1"/>
  <c r="N145" i="6"/>
  <c r="C145" i="6"/>
  <c r="O143" i="6"/>
  <c r="T135" i="6" s="1"/>
  <c r="N133" i="6"/>
  <c r="C133" i="6"/>
  <c r="C29" i="7" s="1"/>
  <c r="O131" i="6"/>
  <c r="T125" i="6" s="1"/>
  <c r="N124" i="6"/>
  <c r="C124" i="6"/>
  <c r="C28" i="7" s="1"/>
  <c r="O123" i="6"/>
  <c r="T118" i="6" s="1"/>
  <c r="N115" i="6"/>
  <c r="C115" i="6"/>
  <c r="C27" i="7" s="1"/>
  <c r="O111" i="6"/>
  <c r="T110" i="6" s="1"/>
  <c r="Y109" i="6"/>
  <c r="X109" i="6"/>
  <c r="W109" i="6"/>
  <c r="N109" i="6"/>
  <c r="C109" i="6"/>
  <c r="C24" i="7" s="1"/>
  <c r="O107" i="6"/>
  <c r="T105" i="6" s="1"/>
  <c r="Y104" i="6"/>
  <c r="X104" i="6"/>
  <c r="W104" i="6"/>
  <c r="N104" i="6"/>
  <c r="C104" i="6"/>
  <c r="C23" i="7" s="1"/>
  <c r="O102" i="6"/>
  <c r="T99" i="6" s="1"/>
  <c r="Y97" i="6"/>
  <c r="X97" i="6"/>
  <c r="W97" i="6"/>
  <c r="N97" i="6"/>
  <c r="C97" i="6"/>
  <c r="C22" i="7" s="1"/>
  <c r="O95" i="6"/>
  <c r="T92" i="6" s="1"/>
  <c r="D21" i="7" s="1"/>
  <c r="Y92" i="6"/>
  <c r="X92" i="6"/>
  <c r="W92" i="6"/>
  <c r="N92" i="6"/>
  <c r="C92" i="6"/>
  <c r="O90" i="6"/>
  <c r="T89" i="6" s="1"/>
  <c r="Y87" i="6"/>
  <c r="X87" i="6"/>
  <c r="W87" i="6"/>
  <c r="N87" i="6"/>
  <c r="O85" i="6"/>
  <c r="T82" i="6" s="1"/>
  <c r="D19" i="7" s="1"/>
  <c r="Y82" i="6"/>
  <c r="X82" i="6"/>
  <c r="W82" i="6"/>
  <c r="N82" i="6"/>
  <c r="C82" i="6"/>
  <c r="C19" i="7" s="1"/>
  <c r="O80" i="6"/>
  <c r="T79" i="6" s="1"/>
  <c r="Y75" i="6"/>
  <c r="X75" i="6"/>
  <c r="W75" i="6"/>
  <c r="N75" i="6"/>
  <c r="C75" i="6"/>
  <c r="O73" i="6"/>
  <c r="T70" i="6" s="1"/>
  <c r="D17" i="7" s="1"/>
  <c r="Y70" i="6"/>
  <c r="X70" i="6"/>
  <c r="W70" i="6"/>
  <c r="N70" i="6"/>
  <c r="C70" i="6"/>
  <c r="O68" i="6"/>
  <c r="T65" i="6" s="1"/>
  <c r="Y64" i="6"/>
  <c r="X64" i="6"/>
  <c r="W64" i="6"/>
  <c r="N64" i="6"/>
  <c r="C64" i="6"/>
  <c r="O62" i="6"/>
  <c r="T60" i="6" s="1"/>
  <c r="Y59" i="6"/>
  <c r="X59" i="6"/>
  <c r="W59" i="6"/>
  <c r="N59" i="6"/>
  <c r="C59" i="6"/>
  <c r="C15" i="7" s="1"/>
  <c r="O57" i="6"/>
  <c r="T53" i="6" s="1"/>
  <c r="D14" i="7" s="1"/>
  <c r="Y53" i="6"/>
  <c r="X53" i="6"/>
  <c r="W53" i="6"/>
  <c r="N53" i="6"/>
  <c r="C53" i="6"/>
  <c r="C14" i="7" s="1"/>
  <c r="O51" i="6"/>
  <c r="T48" i="6" s="1"/>
  <c r="Y47" i="6"/>
  <c r="X47" i="6"/>
  <c r="W47" i="6"/>
  <c r="N47" i="6"/>
  <c r="C47" i="6"/>
  <c r="C13" i="7" s="1"/>
  <c r="O45" i="6"/>
  <c r="T44" i="6" s="1"/>
  <c r="Y39" i="6"/>
  <c r="X39" i="6"/>
  <c r="W39" i="6"/>
  <c r="N39" i="6"/>
  <c r="C39" i="6"/>
  <c r="C12" i="7" s="1"/>
  <c r="O37" i="6"/>
  <c r="T33" i="6" s="1"/>
  <c r="Y31" i="6"/>
  <c r="X31" i="6"/>
  <c r="W31" i="6"/>
  <c r="N31" i="6"/>
  <c r="C31" i="6"/>
  <c r="C11" i="7" s="1"/>
  <c r="O29" i="6"/>
  <c r="T26" i="6" s="1"/>
  <c r="D10" i="7" s="1"/>
  <c r="N26" i="6"/>
  <c r="C26" i="6"/>
  <c r="O24" i="6"/>
  <c r="T21" i="6" s="1"/>
  <c r="D9" i="7" s="1"/>
  <c r="N21" i="6"/>
  <c r="C21" i="6"/>
  <c r="O19" i="6"/>
  <c r="T18" i="6" s="1"/>
  <c r="N16" i="6"/>
  <c r="C16" i="6"/>
  <c r="C8" i="7" s="1"/>
  <c r="O14" i="6"/>
  <c r="T13" i="6" s="1"/>
  <c r="N7" i="6"/>
  <c r="C7" i="6"/>
  <c r="B2351" i="6"/>
  <c r="C2351" i="6" s="1"/>
  <c r="D2351" i="6" s="1"/>
  <c r="E2351" i="6" s="1"/>
  <c r="F2351" i="6" s="1"/>
  <c r="G2351" i="6" s="1"/>
  <c r="H2351" i="6" s="1"/>
  <c r="I2351" i="6" s="1"/>
  <c r="J2351" i="6" s="1"/>
  <c r="K2351" i="6" s="1"/>
  <c r="L2351" i="6" s="1"/>
  <c r="M2351" i="6" s="1"/>
  <c r="N2351" i="6" s="1"/>
  <c r="O2351" i="6" s="1"/>
  <c r="P2351" i="6" s="1"/>
  <c r="Q2351" i="6" s="1"/>
  <c r="R2351" i="6" s="1"/>
  <c r="S2351" i="6" s="1"/>
  <c r="T2351" i="6" s="1"/>
  <c r="U2351" i="6" s="1"/>
  <c r="V2351" i="6" s="1"/>
  <c r="N2288" i="6"/>
  <c r="N2289" i="6" s="1"/>
  <c r="S2288" i="6" s="1"/>
  <c r="N2284" i="6"/>
  <c r="N2285" i="6" s="1"/>
  <c r="S2284" i="6" s="1"/>
  <c r="N2280" i="6"/>
  <c r="S2277" i="6" s="1"/>
  <c r="N2273" i="6"/>
  <c r="N2274" i="6" s="1"/>
  <c r="N2272" i="6"/>
  <c r="N2269" i="6"/>
  <c r="N2270" i="6" s="1"/>
  <c r="S2269" i="6" s="1"/>
  <c r="N2268" i="6"/>
  <c r="N2265" i="6"/>
  <c r="N2264" i="6"/>
  <c r="N2263" i="6"/>
  <c r="N2262" i="6"/>
  <c r="N2261" i="6"/>
  <c r="N2258" i="6"/>
  <c r="N2255" i="6"/>
  <c r="N2251" i="6"/>
  <c r="N2250" i="6"/>
  <c r="N2249" i="6"/>
  <c r="N2247" i="6"/>
  <c r="N2246" i="6"/>
  <c r="G2245" i="6"/>
  <c r="N2245" i="6" s="1"/>
  <c r="G2244" i="6"/>
  <c r="N2244" i="6" s="1"/>
  <c r="G2243" i="6"/>
  <c r="N2243" i="6" s="1"/>
  <c r="G2242" i="6"/>
  <c r="N2242" i="6" s="1"/>
  <c r="G2241" i="6"/>
  <c r="N2241" i="6" s="1"/>
  <c r="G2240" i="6"/>
  <c r="N2240" i="6" s="1"/>
  <c r="G2239" i="6"/>
  <c r="N2239" i="6" s="1"/>
  <c r="N2238" i="6"/>
  <c r="N2235" i="6"/>
  <c r="L2225" i="6" s="1"/>
  <c r="N2225" i="6" s="1"/>
  <c r="N2234" i="6"/>
  <c r="N2230" i="6"/>
  <c r="N2229" i="6"/>
  <c r="N2221" i="6"/>
  <c r="N2222" i="6" s="1"/>
  <c r="S2221" i="6" s="1"/>
  <c r="N2217" i="6"/>
  <c r="N2218" i="6" s="1"/>
  <c r="S2217" i="6" s="1"/>
  <c r="N2212" i="6"/>
  <c r="N2211" i="6"/>
  <c r="N2208" i="6"/>
  <c r="N2201" i="6"/>
  <c r="N2202" i="6" s="1"/>
  <c r="S2201" i="6" s="1"/>
  <c r="N2196" i="6"/>
  <c r="N2197" i="6" s="1"/>
  <c r="S2196" i="6" s="1"/>
  <c r="N2191" i="6"/>
  <c r="N2192" i="6" s="1"/>
  <c r="S2191" i="6" s="1"/>
  <c r="N2187" i="6"/>
  <c r="N2188" i="6" s="1"/>
  <c r="S2187" i="6" s="1"/>
  <c r="N2184" i="6"/>
  <c r="S2183" i="6" s="1"/>
  <c r="N2180" i="6"/>
  <c r="S2178" i="6" s="1"/>
  <c r="E173" i="7" s="1"/>
  <c r="N2176" i="6"/>
  <c r="S2175" i="6" s="1"/>
  <c r="N2172" i="6"/>
  <c r="N2167" i="6"/>
  <c r="N2165" i="6"/>
  <c r="N2161" i="6"/>
  <c r="S2159" i="6" s="1"/>
  <c r="E169" i="7" s="1"/>
  <c r="N2157" i="6"/>
  <c r="S2156" i="6" s="1"/>
  <c r="N2153" i="6"/>
  <c r="N2149" i="6"/>
  <c r="S2148" i="6" s="1"/>
  <c r="N2141" i="6"/>
  <c r="N2140" i="6"/>
  <c r="N2135" i="6"/>
  <c r="N2134" i="6"/>
  <c r="N2128" i="6"/>
  <c r="N2130" i="6" s="1"/>
  <c r="S2126" i="6" s="1"/>
  <c r="E160" i="7" s="1"/>
  <c r="N2122" i="6"/>
  <c r="N2118" i="6"/>
  <c r="N2112" i="6"/>
  <c r="S2111" i="6" s="1"/>
  <c r="N2104" i="6"/>
  <c r="S2102" i="6" s="1"/>
  <c r="N2097" i="6"/>
  <c r="N2095" i="6"/>
  <c r="N2089" i="6"/>
  <c r="N2087" i="6"/>
  <c r="N2081" i="6"/>
  <c r="N2079" i="6"/>
  <c r="N2074" i="6"/>
  <c r="S2073" i="6" s="1"/>
  <c r="N2059" i="6"/>
  <c r="N2058" i="6"/>
  <c r="N2051" i="6"/>
  <c r="N2049" i="6"/>
  <c r="N2043" i="6"/>
  <c r="N2041" i="6"/>
  <c r="N2035" i="6"/>
  <c r="N2033" i="6"/>
  <c r="N2020" i="6"/>
  <c r="N2028" i="6" s="1"/>
  <c r="S2025" i="6" s="1"/>
  <c r="N2014" i="6"/>
  <c r="N2011" i="6"/>
  <c r="N2009" i="6"/>
  <c r="N2006" i="6"/>
  <c r="N2001" i="6"/>
  <c r="S2000" i="6" s="1"/>
  <c r="N1995" i="6"/>
  <c r="S1994" i="6" s="1"/>
  <c r="W1987" i="6"/>
  <c r="X1987" i="6" s="1"/>
  <c r="Y1987" i="6" s="1"/>
  <c r="Z1987" i="6" s="1"/>
  <c r="N1981" i="6"/>
  <c r="N1982" i="6" s="1"/>
  <c r="S1981" i="6" s="1"/>
  <c r="U1979" i="6"/>
  <c r="N1976" i="6"/>
  <c r="N1977" i="6" s="1"/>
  <c r="S1976" i="6" s="1"/>
  <c r="U1974" i="6"/>
  <c r="U1968" i="6"/>
  <c r="W1965" i="6"/>
  <c r="V1965" i="6"/>
  <c r="U1965" i="6"/>
  <c r="N1961" i="6"/>
  <c r="S1960" i="6" s="1"/>
  <c r="N1956" i="6"/>
  <c r="S1954" i="6" s="1"/>
  <c r="K1944" i="6"/>
  <c r="N1944" i="6" s="1"/>
  <c r="N1940" i="6"/>
  <c r="S1939" i="6" s="1"/>
  <c r="N1935" i="6"/>
  <c r="S1934" i="6" s="1"/>
  <c r="N1923" i="6"/>
  <c r="N1922" i="6"/>
  <c r="N1929" i="6" s="1"/>
  <c r="N1920" i="6"/>
  <c r="L1971" i="6" s="1"/>
  <c r="N1971" i="6" s="1"/>
  <c r="N1972" i="6" s="1"/>
  <c r="S1970" i="6" s="1"/>
  <c r="N1914" i="6"/>
  <c r="N1912" i="6"/>
  <c r="N1905" i="6"/>
  <c r="N1901" i="6"/>
  <c r="S1900" i="6" s="1"/>
  <c r="N1895" i="6"/>
  <c r="S1890" i="6" s="1"/>
  <c r="N1886" i="6"/>
  <c r="S1885" i="6" s="1"/>
  <c r="N1872" i="6"/>
  <c r="S1871" i="6" s="1"/>
  <c r="N1865" i="6"/>
  <c r="S1864" i="6" s="1"/>
  <c r="N1858" i="6"/>
  <c r="S1853" i="6" s="1"/>
  <c r="E117" i="7" s="1"/>
  <c r="N1851" i="6"/>
  <c r="S1847" i="6" s="1"/>
  <c r="E115" i="7" s="1"/>
  <c r="N1845" i="6"/>
  <c r="S1813" i="6" s="1"/>
  <c r="N1623" i="6"/>
  <c r="S1621" i="6" s="1"/>
  <c r="N1617" i="6"/>
  <c r="S1607" i="6" s="1"/>
  <c r="N1585" i="6"/>
  <c r="S1584" i="6" s="1"/>
  <c r="K1584" i="6"/>
  <c r="K1583" i="6"/>
  <c r="K1582" i="6"/>
  <c r="K1581" i="6"/>
  <c r="K1580" i="6"/>
  <c r="K1579" i="6"/>
  <c r="K1578" i="6"/>
  <c r="K1577" i="6"/>
  <c r="K1576" i="6"/>
  <c r="K1575" i="6"/>
  <c r="K1574" i="6"/>
  <c r="K1573" i="6"/>
  <c r="N1554" i="6"/>
  <c r="N1553" i="6"/>
  <c r="N1552" i="6"/>
  <c r="K1540" i="6"/>
  <c r="N1540" i="6" s="1"/>
  <c r="K1539" i="6"/>
  <c r="N1539" i="6" s="1"/>
  <c r="K1538" i="6"/>
  <c r="N1538" i="6" s="1"/>
  <c r="K1537" i="6"/>
  <c r="N1537" i="6" s="1"/>
  <c r="K1536" i="6"/>
  <c r="N1536" i="6" s="1"/>
  <c r="K1535" i="6"/>
  <c r="N1535" i="6" s="1"/>
  <c r="K1534" i="6"/>
  <c r="N1534" i="6" s="1"/>
  <c r="K1533" i="6"/>
  <c r="N1533" i="6" s="1"/>
  <c r="K1532" i="6"/>
  <c r="N1532" i="6" s="1"/>
  <c r="K1531" i="6"/>
  <c r="N1531" i="6" s="1"/>
  <c r="K1530" i="6"/>
  <c r="N1530" i="6" s="1"/>
  <c r="K1529" i="6"/>
  <c r="N1529" i="6" s="1"/>
  <c r="K1528" i="6"/>
  <c r="N1528" i="6" s="1"/>
  <c r="K1527" i="6"/>
  <c r="N1527" i="6" s="1"/>
  <c r="K1526" i="6"/>
  <c r="N1526" i="6" s="1"/>
  <c r="K1525" i="6"/>
  <c r="N1525" i="6" s="1"/>
  <c r="K1524" i="6"/>
  <c r="N1524" i="6" s="1"/>
  <c r="K1523" i="6"/>
  <c r="N1523" i="6" s="1"/>
  <c r="K1522" i="6"/>
  <c r="N1522" i="6" s="1"/>
  <c r="K1521" i="6"/>
  <c r="N1521" i="6" s="1"/>
  <c r="K1520" i="6"/>
  <c r="N1520" i="6" s="1"/>
  <c r="K1519" i="6"/>
  <c r="N1519" i="6" s="1"/>
  <c r="K1518" i="6"/>
  <c r="N1518" i="6" s="1"/>
  <c r="K1517" i="6"/>
  <c r="N1517" i="6" s="1"/>
  <c r="K1516" i="6"/>
  <c r="N1516" i="6" s="1"/>
  <c r="K1515" i="6"/>
  <c r="N1515" i="6" s="1"/>
  <c r="K1514" i="6"/>
  <c r="N1514" i="6" s="1"/>
  <c r="K1513" i="6"/>
  <c r="N1513" i="6" s="1"/>
  <c r="K1512" i="6"/>
  <c r="N1512" i="6" s="1"/>
  <c r="K1511" i="6"/>
  <c r="N1511" i="6" s="1"/>
  <c r="K1510" i="6"/>
  <c r="N1510" i="6" s="1"/>
  <c r="K1509" i="6"/>
  <c r="N1509" i="6" s="1"/>
  <c r="N1400" i="6"/>
  <c r="N1399" i="6"/>
  <c r="N1398" i="6"/>
  <c r="N1397" i="6"/>
  <c r="N1396" i="6"/>
  <c r="N1395" i="6"/>
  <c r="N1394" i="6"/>
  <c r="N1393" i="6"/>
  <c r="N1392" i="6"/>
  <c r="N1391" i="6"/>
  <c r="N1360" i="6"/>
  <c r="S1359" i="6" s="1"/>
  <c r="K1318" i="6"/>
  <c r="N1318" i="6" s="1"/>
  <c r="N1319" i="6" s="1"/>
  <c r="S1318" i="6" s="1"/>
  <c r="K1287" i="6"/>
  <c r="N1287" i="6" s="1"/>
  <c r="K1286" i="6"/>
  <c r="N1286" i="6" s="1"/>
  <c r="K1285" i="6"/>
  <c r="N1285" i="6" s="1"/>
  <c r="K1284" i="6"/>
  <c r="N1284" i="6" s="1"/>
  <c r="K1283" i="6"/>
  <c r="N1283" i="6" s="1"/>
  <c r="K1282" i="6"/>
  <c r="N1282" i="6" s="1"/>
  <c r="M1251" i="6"/>
  <c r="AA1248" i="6" s="1"/>
  <c r="L1251" i="6"/>
  <c r="M1246" i="6"/>
  <c r="AA1243" i="6" s="1"/>
  <c r="L1246" i="6"/>
  <c r="M1241" i="6"/>
  <c r="AA1238" i="6" s="1"/>
  <c r="L1241" i="6"/>
  <c r="M1236" i="6"/>
  <c r="AA1233" i="6" s="1"/>
  <c r="L1236" i="6"/>
  <c r="Z1233" i="6" s="1"/>
  <c r="M1232" i="6"/>
  <c r="AA1227" i="6" s="1"/>
  <c r="L1232" i="6"/>
  <c r="N1225" i="6"/>
  <c r="S1223" i="6" s="1"/>
  <c r="E94" i="7" s="1"/>
  <c r="U1220" i="6"/>
  <c r="M1220" i="6"/>
  <c r="M1205" i="6"/>
  <c r="M1203" i="6"/>
  <c r="P1199" i="6"/>
  <c r="AC1198" i="6"/>
  <c r="AD1198" i="6" s="1"/>
  <c r="AE1198" i="6" s="1"/>
  <c r="M1198" i="6" s="1"/>
  <c r="T1198" i="6"/>
  <c r="AC1197" i="6"/>
  <c r="AD1197" i="6" s="1"/>
  <c r="AE1197" i="6" s="1"/>
  <c r="M1197" i="6" s="1"/>
  <c r="T1197" i="6"/>
  <c r="AC1196" i="6"/>
  <c r="AD1196" i="6" s="1"/>
  <c r="AE1196" i="6" s="1"/>
  <c r="M1196" i="6" s="1"/>
  <c r="T1196" i="6"/>
  <c r="AC1195" i="6"/>
  <c r="AD1195" i="6" s="1"/>
  <c r="AE1195" i="6" s="1"/>
  <c r="M1195" i="6" s="1"/>
  <c r="T1195" i="6"/>
  <c r="AC1194" i="6"/>
  <c r="AD1194" i="6" s="1"/>
  <c r="AE1194" i="6" s="1"/>
  <c r="M1194" i="6" s="1"/>
  <c r="T1194" i="6"/>
  <c r="AC1193" i="6"/>
  <c r="AD1193" i="6" s="1"/>
  <c r="AE1193" i="6" s="1"/>
  <c r="M1193" i="6" s="1"/>
  <c r="T1193" i="6"/>
  <c r="AC1192" i="6"/>
  <c r="AD1192" i="6" s="1"/>
  <c r="AE1192" i="6" s="1"/>
  <c r="M1192" i="6" s="1"/>
  <c r="T1192" i="6"/>
  <c r="AC1191" i="6"/>
  <c r="AD1191" i="6" s="1"/>
  <c r="AE1191" i="6" s="1"/>
  <c r="M1191" i="6" s="1"/>
  <c r="T1191" i="6"/>
  <c r="AC1190" i="6"/>
  <c r="AD1190" i="6" s="1"/>
  <c r="AE1190" i="6" s="1"/>
  <c r="M1190" i="6" s="1"/>
  <c r="T1190" i="6"/>
  <c r="AC1189" i="6"/>
  <c r="AD1189" i="6" s="1"/>
  <c r="AE1189" i="6" s="1"/>
  <c r="M1189" i="6" s="1"/>
  <c r="T1189" i="6"/>
  <c r="AC1188" i="6"/>
  <c r="AD1188" i="6" s="1"/>
  <c r="AE1188" i="6" s="1"/>
  <c r="M1188" i="6" s="1"/>
  <c r="T1188" i="6"/>
  <c r="T1187" i="6"/>
  <c r="T1186" i="6"/>
  <c r="Z1185" i="6"/>
  <c r="T1185" i="6"/>
  <c r="AC1183" i="6"/>
  <c r="AD1183" i="6" s="1"/>
  <c r="AE1183" i="6" s="1"/>
  <c r="M1183" i="6" s="1"/>
  <c r="T1183" i="6"/>
  <c r="AC1182" i="6"/>
  <c r="AD1182" i="6" s="1"/>
  <c r="AE1182" i="6" s="1"/>
  <c r="M1182" i="6" s="1"/>
  <c r="T1182" i="6"/>
  <c r="AC1181" i="6"/>
  <c r="AD1181" i="6" s="1"/>
  <c r="AE1181" i="6" s="1"/>
  <c r="M1181" i="6" s="1"/>
  <c r="T1181" i="6"/>
  <c r="AC1180" i="6"/>
  <c r="AD1180" i="6" s="1"/>
  <c r="AE1180" i="6" s="1"/>
  <c r="M1180" i="6" s="1"/>
  <c r="T1180" i="6"/>
  <c r="AC1179" i="6"/>
  <c r="AD1179" i="6" s="1"/>
  <c r="AE1179" i="6" s="1"/>
  <c r="M1179" i="6" s="1"/>
  <c r="T1179" i="6"/>
  <c r="AC1178" i="6"/>
  <c r="AD1178" i="6" s="1"/>
  <c r="AE1178" i="6" s="1"/>
  <c r="M1178" i="6" s="1"/>
  <c r="T1178" i="6"/>
  <c r="AC1177" i="6"/>
  <c r="AD1177" i="6" s="1"/>
  <c r="AE1177" i="6" s="1"/>
  <c r="M1177" i="6" s="1"/>
  <c r="T1177" i="6"/>
  <c r="AC1176" i="6"/>
  <c r="AD1176" i="6" s="1"/>
  <c r="AE1176" i="6" s="1"/>
  <c r="M1176" i="6" s="1"/>
  <c r="T1176" i="6"/>
  <c r="AC1175" i="6"/>
  <c r="AD1175" i="6" s="1"/>
  <c r="AE1175" i="6" s="1"/>
  <c r="M1175" i="6" s="1"/>
  <c r="T1175" i="6"/>
  <c r="AC1174" i="6"/>
  <c r="AD1174" i="6" s="1"/>
  <c r="AE1174" i="6" s="1"/>
  <c r="M1174" i="6" s="1"/>
  <c r="T1174" i="6"/>
  <c r="AC1173" i="6"/>
  <c r="AD1173" i="6" s="1"/>
  <c r="AE1173" i="6" s="1"/>
  <c r="M1173" i="6" s="1"/>
  <c r="T1173" i="6"/>
  <c r="T1172" i="6"/>
  <c r="T1171" i="6"/>
  <c r="Z1170" i="6"/>
  <c r="T1170" i="6"/>
  <c r="W1167" i="6"/>
  <c r="X1167" i="6" s="1"/>
  <c r="Y1167" i="6" s="1"/>
  <c r="Z1167" i="6" s="1"/>
  <c r="L1167" i="6"/>
  <c r="W1166" i="6"/>
  <c r="X1166" i="6" s="1"/>
  <c r="Y1166" i="6" s="1"/>
  <c r="L1166" i="6"/>
  <c r="W1165" i="6"/>
  <c r="X1165" i="6" s="1"/>
  <c r="Y1165" i="6" s="1"/>
  <c r="Z1165" i="6" s="1"/>
  <c r="L1165" i="6"/>
  <c r="W1164" i="6"/>
  <c r="X1164" i="6" s="1"/>
  <c r="Y1164" i="6" s="1"/>
  <c r="L1164" i="6"/>
  <c r="W1163" i="6"/>
  <c r="X1163" i="6" s="1"/>
  <c r="Y1163" i="6" s="1"/>
  <c r="Z1163" i="6" s="1"/>
  <c r="L1163" i="6"/>
  <c r="W1162" i="6"/>
  <c r="X1162" i="6" s="1"/>
  <c r="Y1162" i="6" s="1"/>
  <c r="L1162" i="6"/>
  <c r="W1161" i="6"/>
  <c r="X1161" i="6" s="1"/>
  <c r="Y1161" i="6" s="1"/>
  <c r="Z1161" i="6" s="1"/>
  <c r="L1161" i="6"/>
  <c r="W1160" i="6"/>
  <c r="X1160" i="6" s="1"/>
  <c r="Y1160" i="6" s="1"/>
  <c r="L1160" i="6"/>
  <c r="W1159" i="6"/>
  <c r="X1159" i="6" s="1"/>
  <c r="Y1159" i="6" s="1"/>
  <c r="Z1159" i="6" s="1"/>
  <c r="L1159" i="6"/>
  <c r="W1158" i="6"/>
  <c r="X1158" i="6" s="1"/>
  <c r="Y1158" i="6" s="1"/>
  <c r="L1158" i="6"/>
  <c r="W1157" i="6"/>
  <c r="X1157" i="6" s="1"/>
  <c r="Y1157" i="6" s="1"/>
  <c r="L1157" i="6"/>
  <c r="W1156" i="6"/>
  <c r="X1156" i="6" s="1"/>
  <c r="Y1156" i="6" s="1"/>
  <c r="L1156" i="6"/>
  <c r="W1155" i="6"/>
  <c r="X1155" i="6" s="1"/>
  <c r="Y1155" i="6" s="1"/>
  <c r="Z1155" i="6" s="1"/>
  <c r="L1155" i="6"/>
  <c r="W1154" i="6"/>
  <c r="X1154" i="6" s="1"/>
  <c r="Y1154" i="6" s="1"/>
  <c r="L1154" i="6"/>
  <c r="W1153" i="6"/>
  <c r="X1153" i="6" s="1"/>
  <c r="Y1153" i="6" s="1"/>
  <c r="L1153" i="6"/>
  <c r="W1152" i="6"/>
  <c r="X1152" i="6" s="1"/>
  <c r="Y1152" i="6" s="1"/>
  <c r="L1152" i="6"/>
  <c r="W1151" i="6"/>
  <c r="X1151" i="6" s="1"/>
  <c r="Y1151" i="6" s="1"/>
  <c r="M1151" i="6" s="1"/>
  <c r="L1151" i="6"/>
  <c r="W1150" i="6"/>
  <c r="X1150" i="6" s="1"/>
  <c r="Y1150" i="6" s="1"/>
  <c r="L1150" i="6"/>
  <c r="W1149" i="6"/>
  <c r="X1149" i="6" s="1"/>
  <c r="Y1149" i="6" s="1"/>
  <c r="L1149" i="6"/>
  <c r="W1148" i="6"/>
  <c r="X1148" i="6" s="1"/>
  <c r="Y1148" i="6" s="1"/>
  <c r="L1148" i="6"/>
  <c r="W1147" i="6"/>
  <c r="X1147" i="6" s="1"/>
  <c r="Y1147" i="6" s="1"/>
  <c r="M1147" i="6" s="1"/>
  <c r="L1147" i="6"/>
  <c r="W1146" i="6"/>
  <c r="X1146" i="6" s="1"/>
  <c r="Y1146" i="6" s="1"/>
  <c r="L1146" i="6"/>
  <c r="W1145" i="6"/>
  <c r="X1145" i="6" s="1"/>
  <c r="Y1145" i="6" s="1"/>
  <c r="L1145" i="6"/>
  <c r="W1144" i="6"/>
  <c r="X1144" i="6" s="1"/>
  <c r="Y1144" i="6" s="1"/>
  <c r="L1144" i="6"/>
  <c r="W1143" i="6"/>
  <c r="X1143" i="6" s="1"/>
  <c r="Y1143" i="6" s="1"/>
  <c r="L1143" i="6"/>
  <c r="W1142" i="6"/>
  <c r="X1142" i="6" s="1"/>
  <c r="Y1142" i="6" s="1"/>
  <c r="L1142" i="6"/>
  <c r="W1141" i="6"/>
  <c r="X1141" i="6" s="1"/>
  <c r="Y1141" i="6" s="1"/>
  <c r="Z1141" i="6" s="1"/>
  <c r="L1141" i="6"/>
  <c r="W1140" i="6"/>
  <c r="X1140" i="6" s="1"/>
  <c r="Y1140" i="6" s="1"/>
  <c r="L1140" i="6"/>
  <c r="W1139" i="6"/>
  <c r="X1139" i="6" s="1"/>
  <c r="Y1139" i="6" s="1"/>
  <c r="Z1139" i="6" s="1"/>
  <c r="L1139" i="6"/>
  <c r="W1138" i="6"/>
  <c r="X1138" i="6" s="1"/>
  <c r="Y1138" i="6" s="1"/>
  <c r="L1138" i="6"/>
  <c r="W1137" i="6"/>
  <c r="X1137" i="6" s="1"/>
  <c r="Y1137" i="6" s="1"/>
  <c r="Z1137" i="6" s="1"/>
  <c r="L1137" i="6"/>
  <c r="W1136" i="6"/>
  <c r="X1136" i="6" s="1"/>
  <c r="Y1136" i="6" s="1"/>
  <c r="L1136" i="6"/>
  <c r="W1135" i="6"/>
  <c r="X1135" i="6" s="1"/>
  <c r="Y1135" i="6" s="1"/>
  <c r="L1135" i="6"/>
  <c r="W1134" i="6"/>
  <c r="X1134" i="6" s="1"/>
  <c r="Y1134" i="6" s="1"/>
  <c r="Z1134" i="6" s="1"/>
  <c r="L1134" i="6"/>
  <c r="W1128" i="6"/>
  <c r="X1128" i="6" s="1"/>
  <c r="Y1128" i="6" s="1"/>
  <c r="Z1128" i="6" s="1"/>
  <c r="L1128" i="6"/>
  <c r="W1127" i="6"/>
  <c r="X1127" i="6" s="1"/>
  <c r="Y1127" i="6" s="1"/>
  <c r="Z1127" i="6" s="1"/>
  <c r="L1127" i="6"/>
  <c r="W1126" i="6"/>
  <c r="X1126" i="6" s="1"/>
  <c r="Y1126" i="6" s="1"/>
  <c r="Z1126" i="6" s="1"/>
  <c r="L1126" i="6"/>
  <c r="W1125" i="6"/>
  <c r="X1125" i="6" s="1"/>
  <c r="Y1125" i="6" s="1"/>
  <c r="Z1125" i="6" s="1"/>
  <c r="L1125" i="6"/>
  <c r="W1124" i="6"/>
  <c r="X1124" i="6" s="1"/>
  <c r="Y1124" i="6" s="1"/>
  <c r="Z1124" i="6" s="1"/>
  <c r="L1124" i="6"/>
  <c r="W1123" i="6"/>
  <c r="X1123" i="6" s="1"/>
  <c r="Y1123" i="6" s="1"/>
  <c r="Z1123" i="6" s="1"/>
  <c r="L1123" i="6"/>
  <c r="W1122" i="6"/>
  <c r="X1122" i="6" s="1"/>
  <c r="Y1122" i="6" s="1"/>
  <c r="Z1122" i="6" s="1"/>
  <c r="L1122" i="6"/>
  <c r="W1121" i="6"/>
  <c r="X1121" i="6" s="1"/>
  <c r="Y1121" i="6" s="1"/>
  <c r="Z1121" i="6" s="1"/>
  <c r="L1121" i="6"/>
  <c r="W1120" i="6"/>
  <c r="X1120" i="6" s="1"/>
  <c r="Y1120" i="6" s="1"/>
  <c r="Z1120" i="6" s="1"/>
  <c r="L1120" i="6"/>
  <c r="W1119" i="6"/>
  <c r="X1119" i="6" s="1"/>
  <c r="Y1119" i="6" s="1"/>
  <c r="Z1119" i="6" s="1"/>
  <c r="L1119" i="6"/>
  <c r="W1118" i="6"/>
  <c r="X1118" i="6" s="1"/>
  <c r="Y1118" i="6" s="1"/>
  <c r="Z1118" i="6" s="1"/>
  <c r="L1118" i="6"/>
  <c r="W1117" i="6"/>
  <c r="X1117" i="6" s="1"/>
  <c r="Y1117" i="6" s="1"/>
  <c r="Z1117" i="6" s="1"/>
  <c r="L1117" i="6"/>
  <c r="W1116" i="6"/>
  <c r="X1116" i="6" s="1"/>
  <c r="Y1116" i="6" s="1"/>
  <c r="Z1116" i="6" s="1"/>
  <c r="L1116" i="6"/>
  <c r="W1115" i="6"/>
  <c r="X1115" i="6" s="1"/>
  <c r="Y1115" i="6" s="1"/>
  <c r="Z1115" i="6" s="1"/>
  <c r="L1115" i="6"/>
  <c r="W1114" i="6"/>
  <c r="X1114" i="6" s="1"/>
  <c r="Y1114" i="6" s="1"/>
  <c r="Z1114" i="6" s="1"/>
  <c r="L1114" i="6"/>
  <c r="W1113" i="6"/>
  <c r="X1113" i="6" s="1"/>
  <c r="Y1113" i="6" s="1"/>
  <c r="Z1113" i="6" s="1"/>
  <c r="L1113" i="6"/>
  <c r="W1112" i="6"/>
  <c r="X1112" i="6" s="1"/>
  <c r="Y1112" i="6" s="1"/>
  <c r="Z1112" i="6" s="1"/>
  <c r="L1112" i="6"/>
  <c r="W1111" i="6"/>
  <c r="X1111" i="6" s="1"/>
  <c r="Y1111" i="6" s="1"/>
  <c r="Z1111" i="6" s="1"/>
  <c r="L1111" i="6"/>
  <c r="W1110" i="6"/>
  <c r="X1110" i="6" s="1"/>
  <c r="Y1110" i="6" s="1"/>
  <c r="Z1110" i="6" s="1"/>
  <c r="L1110" i="6"/>
  <c r="W1109" i="6"/>
  <c r="X1109" i="6" s="1"/>
  <c r="Y1109" i="6" s="1"/>
  <c r="Z1109" i="6" s="1"/>
  <c r="L1109" i="6"/>
  <c r="W1108" i="6"/>
  <c r="X1108" i="6" s="1"/>
  <c r="Y1108" i="6" s="1"/>
  <c r="Z1108" i="6" s="1"/>
  <c r="L1108" i="6"/>
  <c r="W1107" i="6"/>
  <c r="X1107" i="6" s="1"/>
  <c r="Y1107" i="6" s="1"/>
  <c r="Z1107" i="6" s="1"/>
  <c r="L1107" i="6"/>
  <c r="W1106" i="6"/>
  <c r="X1106" i="6" s="1"/>
  <c r="Y1106" i="6" s="1"/>
  <c r="Z1106" i="6" s="1"/>
  <c r="L1106" i="6"/>
  <c r="W1105" i="6"/>
  <c r="X1105" i="6" s="1"/>
  <c r="Y1105" i="6" s="1"/>
  <c r="Z1105" i="6" s="1"/>
  <c r="L1105" i="6"/>
  <c r="W1104" i="6"/>
  <c r="X1104" i="6" s="1"/>
  <c r="Y1104" i="6" s="1"/>
  <c r="Z1104" i="6" s="1"/>
  <c r="L1104" i="6"/>
  <c r="W1103" i="6"/>
  <c r="X1103" i="6" s="1"/>
  <c r="Y1103" i="6" s="1"/>
  <c r="Z1103" i="6" s="1"/>
  <c r="L1103" i="6"/>
  <c r="W1102" i="6"/>
  <c r="X1102" i="6" s="1"/>
  <c r="Y1102" i="6" s="1"/>
  <c r="Z1102" i="6" s="1"/>
  <c r="L1102" i="6"/>
  <c r="W1101" i="6"/>
  <c r="X1101" i="6" s="1"/>
  <c r="Y1101" i="6" s="1"/>
  <c r="Z1101" i="6" s="1"/>
  <c r="L1101" i="6"/>
  <c r="W1100" i="6"/>
  <c r="X1100" i="6" s="1"/>
  <c r="Y1100" i="6" s="1"/>
  <c r="Z1100" i="6" s="1"/>
  <c r="L1100" i="6"/>
  <c r="W1099" i="6"/>
  <c r="X1099" i="6" s="1"/>
  <c r="Y1099" i="6" s="1"/>
  <c r="Z1099" i="6" s="1"/>
  <c r="L1099" i="6"/>
  <c r="W1098" i="6"/>
  <c r="X1098" i="6" s="1"/>
  <c r="Y1098" i="6" s="1"/>
  <c r="Z1098" i="6" s="1"/>
  <c r="L1098" i="6"/>
  <c r="W1097" i="6"/>
  <c r="X1097" i="6" s="1"/>
  <c r="Y1097" i="6" s="1"/>
  <c r="Z1097" i="6" s="1"/>
  <c r="L1097" i="6"/>
  <c r="W1096" i="6"/>
  <c r="X1096" i="6" s="1"/>
  <c r="Y1096" i="6" s="1"/>
  <c r="Z1096" i="6" s="1"/>
  <c r="L1096" i="6"/>
  <c r="W1095" i="6"/>
  <c r="X1095" i="6" s="1"/>
  <c r="Y1095" i="6" s="1"/>
  <c r="Z1095" i="6" s="1"/>
  <c r="L1095" i="6"/>
  <c r="T1089" i="6"/>
  <c r="AA1088" i="6"/>
  <c r="Z1088" i="6"/>
  <c r="T1088" i="6"/>
  <c r="Q1087" i="6"/>
  <c r="P1087" i="6"/>
  <c r="AC1086" i="6"/>
  <c r="AD1086" i="6" s="1"/>
  <c r="AE1086" i="6" s="1"/>
  <c r="T1086" i="6"/>
  <c r="AC1085" i="6"/>
  <c r="AD1085" i="6" s="1"/>
  <c r="AE1085" i="6" s="1"/>
  <c r="T1085" i="6"/>
  <c r="AC1084" i="6"/>
  <c r="AD1084" i="6" s="1"/>
  <c r="AE1084" i="6" s="1"/>
  <c r="T1084" i="6"/>
  <c r="AC1083" i="6"/>
  <c r="AD1083" i="6" s="1"/>
  <c r="AE1083" i="6" s="1"/>
  <c r="T1083" i="6"/>
  <c r="AC1082" i="6"/>
  <c r="AD1082" i="6" s="1"/>
  <c r="AE1082" i="6" s="1"/>
  <c r="T1082" i="6"/>
  <c r="AC1081" i="6"/>
  <c r="AD1081" i="6" s="1"/>
  <c r="AE1081" i="6" s="1"/>
  <c r="T1081" i="6"/>
  <c r="AC1080" i="6"/>
  <c r="AD1080" i="6" s="1"/>
  <c r="AE1080" i="6" s="1"/>
  <c r="T1080" i="6"/>
  <c r="AC1079" i="6"/>
  <c r="AD1079" i="6" s="1"/>
  <c r="AE1079" i="6" s="1"/>
  <c r="T1079" i="6"/>
  <c r="AC1078" i="6"/>
  <c r="AD1078" i="6" s="1"/>
  <c r="AE1078" i="6" s="1"/>
  <c r="T1078" i="6"/>
  <c r="AC1077" i="6"/>
  <c r="AD1077" i="6" s="1"/>
  <c r="AE1077" i="6" s="1"/>
  <c r="T1077" i="6"/>
  <c r="AC1076" i="6"/>
  <c r="AD1076" i="6" s="1"/>
  <c r="AE1076" i="6" s="1"/>
  <c r="T1076" i="6"/>
  <c r="T1075" i="6"/>
  <c r="AC1074" i="6"/>
  <c r="AD1074" i="6" s="1"/>
  <c r="AE1074" i="6" s="1"/>
  <c r="T1074" i="6"/>
  <c r="AC1073" i="6"/>
  <c r="AD1073" i="6" s="1"/>
  <c r="AE1073" i="6" s="1"/>
  <c r="T1073" i="6"/>
  <c r="AC1072" i="6"/>
  <c r="AD1072" i="6" s="1"/>
  <c r="AE1072" i="6" s="1"/>
  <c r="T1072" i="6"/>
  <c r="AC1071" i="6"/>
  <c r="AD1071" i="6" s="1"/>
  <c r="AE1071" i="6" s="1"/>
  <c r="T1071" i="6"/>
  <c r="AC1070" i="6"/>
  <c r="AD1070" i="6" s="1"/>
  <c r="AE1070" i="6" s="1"/>
  <c r="T1070" i="6"/>
  <c r="AC1069" i="6"/>
  <c r="AD1069" i="6" s="1"/>
  <c r="AE1069" i="6" s="1"/>
  <c r="T1069" i="6"/>
  <c r="AC1068" i="6"/>
  <c r="AD1068" i="6" s="1"/>
  <c r="AE1068" i="6" s="1"/>
  <c r="T1068" i="6"/>
  <c r="AC1067" i="6"/>
  <c r="AD1067" i="6" s="1"/>
  <c r="AE1067" i="6" s="1"/>
  <c r="T1067" i="6"/>
  <c r="AC1066" i="6"/>
  <c r="AD1066" i="6" s="1"/>
  <c r="AE1066" i="6" s="1"/>
  <c r="T1066" i="6"/>
  <c r="AC1065" i="6"/>
  <c r="AD1065" i="6" s="1"/>
  <c r="AE1065" i="6" s="1"/>
  <c r="T1065" i="6"/>
  <c r="AC1064" i="6"/>
  <c r="AD1064" i="6" s="1"/>
  <c r="AE1064" i="6" s="1"/>
  <c r="T1064" i="6"/>
  <c r="T1063" i="6"/>
  <c r="T1062" i="6"/>
  <c r="T1025" i="6"/>
  <c r="N1023" i="6"/>
  <c r="N1022" i="6"/>
  <c r="N1021" i="6"/>
  <c r="N1020" i="6"/>
  <c r="N1019" i="6"/>
  <c r="N1018" i="6"/>
  <c r="N1017" i="6"/>
  <c r="N1016" i="6"/>
  <c r="N1015" i="6"/>
  <c r="N1014" i="6"/>
  <c r="K1013" i="6"/>
  <c r="N1013" i="6" s="1"/>
  <c r="K961" i="6"/>
  <c r="N961" i="6" s="1"/>
  <c r="L1205" i="6" s="1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K932" i="6"/>
  <c r="N932" i="6" s="1"/>
  <c r="K931" i="6"/>
  <c r="N931" i="6" s="1"/>
  <c r="K930" i="6"/>
  <c r="N930" i="6" s="1"/>
  <c r="K929" i="6"/>
  <c r="N929" i="6" s="1"/>
  <c r="K928" i="6"/>
  <c r="N928" i="6" s="1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J979" i="6"/>
  <c r="N979" i="6" s="1"/>
  <c r="J978" i="6"/>
  <c r="N978" i="6" s="1"/>
  <c r="J977" i="6"/>
  <c r="N977" i="6" s="1"/>
  <c r="J976" i="6"/>
  <c r="N976" i="6" s="1"/>
  <c r="J975" i="6"/>
  <c r="N975" i="6" s="1"/>
  <c r="N923" i="6"/>
  <c r="K1167" i="6" s="1"/>
  <c r="N922" i="6"/>
  <c r="K1166" i="6" s="1"/>
  <c r="N921" i="6"/>
  <c r="K1165" i="6" s="1"/>
  <c r="N920" i="6"/>
  <c r="K1164" i="6" s="1"/>
  <c r="N1164" i="6" s="1"/>
  <c r="N919" i="6"/>
  <c r="K1163" i="6" s="1"/>
  <c r="N918" i="6"/>
  <c r="K1162" i="6" s="1"/>
  <c r="N917" i="6"/>
  <c r="K1161" i="6" s="1"/>
  <c r="N916" i="6"/>
  <c r="K1160" i="6" s="1"/>
  <c r="N1160" i="6" s="1"/>
  <c r="N915" i="6"/>
  <c r="K1159" i="6" s="1"/>
  <c r="N914" i="6"/>
  <c r="K1158" i="6" s="1"/>
  <c r="N913" i="6"/>
  <c r="K1157" i="6" s="1"/>
  <c r="N912" i="6"/>
  <c r="K1156" i="6" s="1"/>
  <c r="N1156" i="6" s="1"/>
  <c r="N911" i="6"/>
  <c r="K1155" i="6" s="1"/>
  <c r="N910" i="6"/>
  <c r="K1154" i="6" s="1"/>
  <c r="N909" i="6"/>
  <c r="K1153" i="6" s="1"/>
  <c r="N908" i="6"/>
  <c r="K1152" i="6" s="1"/>
  <c r="N1152" i="6" s="1"/>
  <c r="N907" i="6"/>
  <c r="K1151" i="6" s="1"/>
  <c r="N906" i="6"/>
  <c r="K1150" i="6" s="1"/>
  <c r="N905" i="6"/>
  <c r="K1149" i="6" s="1"/>
  <c r="N904" i="6"/>
  <c r="K1148" i="6" s="1"/>
  <c r="N1148" i="6" s="1"/>
  <c r="N903" i="6"/>
  <c r="K1147" i="6" s="1"/>
  <c r="N902" i="6"/>
  <c r="K1146" i="6" s="1"/>
  <c r="N901" i="6"/>
  <c r="K1145" i="6" s="1"/>
  <c r="N900" i="6"/>
  <c r="K1144" i="6" s="1"/>
  <c r="N1144" i="6" s="1"/>
  <c r="N899" i="6"/>
  <c r="K1143" i="6" s="1"/>
  <c r="N898" i="6"/>
  <c r="K1142" i="6" s="1"/>
  <c r="N897" i="6"/>
  <c r="K1141" i="6" s="1"/>
  <c r="K895" i="6"/>
  <c r="N895" i="6" s="1"/>
  <c r="K1140" i="6" s="1"/>
  <c r="K894" i="6"/>
  <c r="N894" i="6" s="1"/>
  <c r="K1139" i="6" s="1"/>
  <c r="K893" i="6"/>
  <c r="N893" i="6" s="1"/>
  <c r="K1138" i="6" s="1"/>
  <c r="K892" i="6"/>
  <c r="N892" i="6" s="1"/>
  <c r="K1137" i="6" s="1"/>
  <c r="K891" i="6"/>
  <c r="N891" i="6" s="1"/>
  <c r="K1136" i="6" s="1"/>
  <c r="K890" i="6"/>
  <c r="N890" i="6" s="1"/>
  <c r="K1135" i="6" s="1"/>
  <c r="K889" i="6"/>
  <c r="N889" i="6" s="1"/>
  <c r="N883" i="6"/>
  <c r="N882" i="6"/>
  <c r="K1060" i="6" s="1"/>
  <c r="N1060" i="6" s="1"/>
  <c r="K1127" i="6" s="1"/>
  <c r="N881" i="6"/>
  <c r="K1059" i="6" s="1"/>
  <c r="N1059" i="6" s="1"/>
  <c r="K1126" i="6" s="1"/>
  <c r="N880" i="6"/>
  <c r="K1058" i="6" s="1"/>
  <c r="N1058" i="6" s="1"/>
  <c r="K1125" i="6" s="1"/>
  <c r="N879" i="6"/>
  <c r="K1057" i="6" s="1"/>
  <c r="N1057" i="6" s="1"/>
  <c r="K1124" i="6" s="1"/>
  <c r="N878" i="6"/>
  <c r="K1056" i="6" s="1"/>
  <c r="N1056" i="6" s="1"/>
  <c r="K1123" i="6" s="1"/>
  <c r="N877" i="6"/>
  <c r="K1055" i="6" s="1"/>
  <c r="N1055" i="6" s="1"/>
  <c r="K1122" i="6" s="1"/>
  <c r="N876" i="6"/>
  <c r="K1054" i="6" s="1"/>
  <c r="N1054" i="6" s="1"/>
  <c r="K1121" i="6" s="1"/>
  <c r="N875" i="6"/>
  <c r="K1053" i="6" s="1"/>
  <c r="N1053" i="6" s="1"/>
  <c r="K1120" i="6" s="1"/>
  <c r="N874" i="6"/>
  <c r="K1052" i="6" s="1"/>
  <c r="N1052" i="6" s="1"/>
  <c r="K1119" i="6" s="1"/>
  <c r="N873" i="6"/>
  <c r="K1051" i="6" s="1"/>
  <c r="N1051" i="6" s="1"/>
  <c r="K1118" i="6" s="1"/>
  <c r="N872" i="6"/>
  <c r="K1050" i="6" s="1"/>
  <c r="N1050" i="6" s="1"/>
  <c r="K1117" i="6" s="1"/>
  <c r="N871" i="6"/>
  <c r="K1049" i="6" s="1"/>
  <c r="N1049" i="6" s="1"/>
  <c r="K1116" i="6" s="1"/>
  <c r="N870" i="6"/>
  <c r="K1048" i="6" s="1"/>
  <c r="N1048" i="6" s="1"/>
  <c r="K1115" i="6" s="1"/>
  <c r="N869" i="6"/>
  <c r="K1047" i="6" s="1"/>
  <c r="N1047" i="6" s="1"/>
  <c r="K1114" i="6" s="1"/>
  <c r="N868" i="6"/>
  <c r="K1046" i="6" s="1"/>
  <c r="N1046" i="6" s="1"/>
  <c r="K1113" i="6" s="1"/>
  <c r="N867" i="6"/>
  <c r="K1045" i="6" s="1"/>
  <c r="N1045" i="6" s="1"/>
  <c r="K1112" i="6" s="1"/>
  <c r="N866" i="6"/>
  <c r="K1044" i="6" s="1"/>
  <c r="N1044" i="6" s="1"/>
  <c r="K1111" i="6" s="1"/>
  <c r="N865" i="6"/>
  <c r="K1043" i="6" s="1"/>
  <c r="N1043" i="6" s="1"/>
  <c r="K1110" i="6" s="1"/>
  <c r="N864" i="6"/>
  <c r="K1042" i="6" s="1"/>
  <c r="N1042" i="6" s="1"/>
  <c r="K1109" i="6" s="1"/>
  <c r="N863" i="6"/>
  <c r="K1041" i="6" s="1"/>
  <c r="N1041" i="6" s="1"/>
  <c r="K1108" i="6" s="1"/>
  <c r="N862" i="6"/>
  <c r="K1040" i="6" s="1"/>
  <c r="N1040" i="6" s="1"/>
  <c r="K1107" i="6" s="1"/>
  <c r="N861" i="6"/>
  <c r="K1039" i="6" s="1"/>
  <c r="N1039" i="6" s="1"/>
  <c r="K1106" i="6" s="1"/>
  <c r="N860" i="6"/>
  <c r="K1038" i="6" s="1"/>
  <c r="N1038" i="6" s="1"/>
  <c r="K1105" i="6" s="1"/>
  <c r="N859" i="6"/>
  <c r="K1037" i="6" s="1"/>
  <c r="N1037" i="6" s="1"/>
  <c r="K1104" i="6" s="1"/>
  <c r="N858" i="6"/>
  <c r="K1036" i="6" s="1"/>
  <c r="N1036" i="6" s="1"/>
  <c r="K1103" i="6" s="1"/>
  <c r="N857" i="6"/>
  <c r="K1035" i="6" s="1"/>
  <c r="N1035" i="6" s="1"/>
  <c r="K1102" i="6" s="1"/>
  <c r="K855" i="6"/>
  <c r="N855" i="6" s="1"/>
  <c r="K1034" i="6" s="1"/>
  <c r="N1034" i="6" s="1"/>
  <c r="K1101" i="6" s="1"/>
  <c r="K854" i="6"/>
  <c r="N854" i="6" s="1"/>
  <c r="K1033" i="6" s="1"/>
  <c r="N1033" i="6" s="1"/>
  <c r="K1100" i="6" s="1"/>
  <c r="K853" i="6"/>
  <c r="N853" i="6" s="1"/>
  <c r="K1032" i="6" s="1"/>
  <c r="N1032" i="6" s="1"/>
  <c r="K1099" i="6" s="1"/>
  <c r="K852" i="6"/>
  <c r="N852" i="6" s="1"/>
  <c r="K1031" i="6" s="1"/>
  <c r="N1031" i="6" s="1"/>
  <c r="K1098" i="6" s="1"/>
  <c r="K851" i="6"/>
  <c r="N851" i="6" s="1"/>
  <c r="K1030" i="6" s="1"/>
  <c r="N1030" i="6" s="1"/>
  <c r="K1097" i="6" s="1"/>
  <c r="K850" i="6"/>
  <c r="N850" i="6" s="1"/>
  <c r="K1029" i="6" s="1"/>
  <c r="N1029" i="6" s="1"/>
  <c r="K1096" i="6" s="1"/>
  <c r="K849" i="6"/>
  <c r="N849" i="6" s="1"/>
  <c r="N844" i="6"/>
  <c r="K1086" i="6" s="1"/>
  <c r="N1086" i="6" s="1"/>
  <c r="K1198" i="6" s="1"/>
  <c r="N843" i="6"/>
  <c r="K1085" i="6" s="1"/>
  <c r="N1085" i="6" s="1"/>
  <c r="K1197" i="6" s="1"/>
  <c r="N842" i="6"/>
  <c r="K1084" i="6" s="1"/>
  <c r="N1084" i="6" s="1"/>
  <c r="K1196" i="6" s="1"/>
  <c r="N841" i="6"/>
  <c r="K1083" i="6" s="1"/>
  <c r="N1083" i="6" s="1"/>
  <c r="K1195" i="6" s="1"/>
  <c r="N840" i="6"/>
  <c r="K1082" i="6" s="1"/>
  <c r="N1082" i="6" s="1"/>
  <c r="K1194" i="6" s="1"/>
  <c r="N839" i="6"/>
  <c r="K1081" i="6" s="1"/>
  <c r="N1081" i="6" s="1"/>
  <c r="K1193" i="6" s="1"/>
  <c r="N838" i="6"/>
  <c r="K1080" i="6" s="1"/>
  <c r="N1080" i="6" s="1"/>
  <c r="K1192" i="6" s="1"/>
  <c r="N837" i="6"/>
  <c r="K1079" i="6" s="1"/>
  <c r="N1079" i="6" s="1"/>
  <c r="K1191" i="6" s="1"/>
  <c r="N836" i="6"/>
  <c r="K1078" i="6" s="1"/>
  <c r="N1078" i="6" s="1"/>
  <c r="K1190" i="6" s="1"/>
  <c r="N835" i="6"/>
  <c r="K1077" i="6" s="1"/>
  <c r="N1077" i="6" s="1"/>
  <c r="K1189" i="6" s="1"/>
  <c r="K834" i="6"/>
  <c r="N834" i="6" s="1"/>
  <c r="K1076" i="6" s="1"/>
  <c r="N1076" i="6" s="1"/>
  <c r="K1188" i="6" s="1"/>
  <c r="N829" i="6"/>
  <c r="K1074" i="6" s="1"/>
  <c r="N1074" i="6" s="1"/>
  <c r="K1183" i="6" s="1"/>
  <c r="N828" i="6"/>
  <c r="K1073" i="6" s="1"/>
  <c r="N1073" i="6" s="1"/>
  <c r="K1182" i="6" s="1"/>
  <c r="N827" i="6"/>
  <c r="K1072" i="6" s="1"/>
  <c r="N1072" i="6" s="1"/>
  <c r="K1181" i="6" s="1"/>
  <c r="N826" i="6"/>
  <c r="K1071" i="6" s="1"/>
  <c r="N1071" i="6" s="1"/>
  <c r="K1180" i="6" s="1"/>
  <c r="N825" i="6"/>
  <c r="K1070" i="6" s="1"/>
  <c r="N1070" i="6" s="1"/>
  <c r="K1179" i="6" s="1"/>
  <c r="N824" i="6"/>
  <c r="K1069" i="6" s="1"/>
  <c r="N1069" i="6" s="1"/>
  <c r="K1178" i="6" s="1"/>
  <c r="N823" i="6"/>
  <c r="K1068" i="6" s="1"/>
  <c r="N1068" i="6" s="1"/>
  <c r="K1177" i="6" s="1"/>
  <c r="N822" i="6"/>
  <c r="K1067" i="6" s="1"/>
  <c r="N1067" i="6" s="1"/>
  <c r="K1176" i="6" s="1"/>
  <c r="N821" i="6"/>
  <c r="K1066" i="6" s="1"/>
  <c r="N1066" i="6" s="1"/>
  <c r="K1175" i="6" s="1"/>
  <c r="N820" i="6"/>
  <c r="K1065" i="6" s="1"/>
  <c r="N1065" i="6" s="1"/>
  <c r="K1174" i="6" s="1"/>
  <c r="K819" i="6"/>
  <c r="N819" i="6" s="1"/>
  <c r="K1064" i="6" s="1"/>
  <c r="K814" i="6"/>
  <c r="N814" i="6" s="1"/>
  <c r="K813" i="6"/>
  <c r="N813" i="6" s="1"/>
  <c r="K812" i="6"/>
  <c r="N812" i="6" s="1"/>
  <c r="K811" i="6"/>
  <c r="N811" i="6" s="1"/>
  <c r="K810" i="6"/>
  <c r="N810" i="6" s="1"/>
  <c r="K809" i="6"/>
  <c r="N809" i="6" s="1"/>
  <c r="K808" i="6"/>
  <c r="N808" i="6" s="1"/>
  <c r="K807" i="6"/>
  <c r="N807" i="6" s="1"/>
  <c r="K805" i="6"/>
  <c r="N805" i="6" s="1"/>
  <c r="K804" i="6"/>
  <c r="N804" i="6" s="1"/>
  <c r="K803" i="6"/>
  <c r="N803" i="6" s="1"/>
  <c r="K802" i="6"/>
  <c r="N802" i="6" s="1"/>
  <c r="K801" i="6"/>
  <c r="N801" i="6" s="1"/>
  <c r="K800" i="6"/>
  <c r="N800" i="6" s="1"/>
  <c r="K799" i="6"/>
  <c r="N799" i="6" s="1"/>
  <c r="K798" i="6"/>
  <c r="N798" i="6" s="1"/>
  <c r="K797" i="6"/>
  <c r="N797" i="6" s="1"/>
  <c r="K796" i="6"/>
  <c r="N796" i="6" s="1"/>
  <c r="K795" i="6"/>
  <c r="N795" i="6" s="1"/>
  <c r="K794" i="6"/>
  <c r="N794" i="6" s="1"/>
  <c r="K793" i="6"/>
  <c r="N793" i="6" s="1"/>
  <c r="K792" i="6"/>
  <c r="N792" i="6" s="1"/>
  <c r="K791" i="6"/>
  <c r="N791" i="6" s="1"/>
  <c r="K790" i="6"/>
  <c r="N790" i="6" s="1"/>
  <c r="K789" i="6"/>
  <c r="N789" i="6" s="1"/>
  <c r="K788" i="6"/>
  <c r="N788" i="6" s="1"/>
  <c r="K787" i="6"/>
  <c r="N787" i="6" s="1"/>
  <c r="K786" i="6"/>
  <c r="N786" i="6" s="1"/>
  <c r="K785" i="6"/>
  <c r="N785" i="6" s="1"/>
  <c r="K784" i="6"/>
  <c r="N784" i="6" s="1"/>
  <c r="K783" i="6"/>
  <c r="N783" i="6" s="1"/>
  <c r="K782" i="6"/>
  <c r="N782" i="6" s="1"/>
  <c r="K781" i="6"/>
  <c r="N781" i="6" s="1"/>
  <c r="K780" i="6"/>
  <c r="N780" i="6" s="1"/>
  <c r="K779" i="6"/>
  <c r="N779" i="6" s="1"/>
  <c r="K778" i="6"/>
  <c r="N778" i="6" s="1"/>
  <c r="K777" i="6"/>
  <c r="N777" i="6" s="1"/>
  <c r="K776" i="6"/>
  <c r="N776" i="6" s="1"/>
  <c r="K775" i="6"/>
  <c r="N775" i="6" s="1"/>
  <c r="K774" i="6"/>
  <c r="N774" i="6" s="1"/>
  <c r="K773" i="6"/>
  <c r="N773" i="6" s="1"/>
  <c r="K772" i="6"/>
  <c r="N772" i="6" s="1"/>
  <c r="K771" i="6"/>
  <c r="N771" i="6" s="1"/>
  <c r="K770" i="6"/>
  <c r="N770" i="6" s="1"/>
  <c r="K769" i="6"/>
  <c r="N769" i="6" s="1"/>
  <c r="K768" i="6"/>
  <c r="N768" i="6" s="1"/>
  <c r="N763" i="6"/>
  <c r="S761" i="6" s="1"/>
  <c r="N755" i="6"/>
  <c r="S754" i="6" s="1"/>
  <c r="N750" i="6"/>
  <c r="N746" i="6"/>
  <c r="N745" i="6"/>
  <c r="N744" i="6"/>
  <c r="N743" i="6"/>
  <c r="N742" i="6"/>
  <c r="N741" i="6"/>
  <c r="N740" i="6"/>
  <c r="N739" i="6"/>
  <c r="N737" i="6"/>
  <c r="N735" i="6"/>
  <c r="S734" i="6" s="1"/>
  <c r="N690" i="6"/>
  <c r="N689" i="6"/>
  <c r="N684" i="6"/>
  <c r="N683" i="6"/>
  <c r="N682" i="6"/>
  <c r="N681" i="6"/>
  <c r="N680" i="6"/>
  <c r="N679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37" i="6"/>
  <c r="N636" i="6"/>
  <c r="N635" i="6"/>
  <c r="N634" i="6"/>
  <c r="N633" i="6"/>
  <c r="N632" i="6"/>
  <c r="N631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07" i="6"/>
  <c r="N606" i="6"/>
  <c r="N605" i="6"/>
  <c r="N604" i="6"/>
  <c r="N603" i="6"/>
  <c r="N602" i="6"/>
  <c r="N601" i="6"/>
  <c r="N600" i="6"/>
  <c r="N596" i="6"/>
  <c r="S593" i="6" s="1"/>
  <c r="N590" i="6"/>
  <c r="S586" i="6" s="1"/>
  <c r="N582" i="6"/>
  <c r="S578" i="6" s="1"/>
  <c r="N574" i="6"/>
  <c r="S572" i="6" s="1"/>
  <c r="N569" i="6"/>
  <c r="S567" i="6" s="1"/>
  <c r="N549" i="6"/>
  <c r="S548" i="6" s="1"/>
  <c r="N531" i="6"/>
  <c r="S525" i="6" s="1"/>
  <c r="N513" i="6"/>
  <c r="S509" i="6" s="1"/>
  <c r="N493" i="6"/>
  <c r="S492" i="6" s="1"/>
  <c r="N473" i="6"/>
  <c r="S472" i="6" s="1"/>
  <c r="N452" i="6"/>
  <c r="S451" i="6" s="1"/>
  <c r="N445" i="6"/>
  <c r="S444" i="6" s="1"/>
  <c r="N366" i="6"/>
  <c r="S365" i="6" s="1"/>
  <c r="N361" i="6"/>
  <c r="S360" i="6" s="1"/>
  <c r="N356" i="6"/>
  <c r="S355" i="6" s="1"/>
  <c r="N351" i="6"/>
  <c r="S350" i="6" s="1"/>
  <c r="N346" i="6"/>
  <c r="S343" i="6" s="1"/>
  <c r="E47" i="7" s="1"/>
  <c r="N341" i="6"/>
  <c r="S340" i="6" s="1"/>
  <c r="N336" i="6"/>
  <c r="S332" i="6" s="1"/>
  <c r="N298" i="6"/>
  <c r="S297" i="6" s="1"/>
  <c r="N291" i="6"/>
  <c r="S287" i="6" s="1"/>
  <c r="E43" i="7" s="1"/>
  <c r="Q284" i="6"/>
  <c r="N284" i="6"/>
  <c r="N285" i="6" s="1"/>
  <c r="Q280" i="6"/>
  <c r="N280" i="6"/>
  <c r="N281" i="6" s="1"/>
  <c r="N244" i="6"/>
  <c r="S240" i="6" s="1"/>
  <c r="E40" i="7" s="1"/>
  <c r="N238" i="6"/>
  <c r="S237" i="6" s="1"/>
  <c r="N231" i="6"/>
  <c r="S230" i="6" s="1"/>
  <c r="N225" i="6"/>
  <c r="S221" i="6" s="1"/>
  <c r="N189" i="6"/>
  <c r="S188" i="6" s="1"/>
  <c r="N184" i="6"/>
  <c r="S183" i="6" s="1"/>
  <c r="N179" i="6"/>
  <c r="S175" i="6" s="1"/>
  <c r="N172" i="6"/>
  <c r="S170" i="6" s="1"/>
  <c r="N166" i="6"/>
  <c r="N161" i="6"/>
  <c r="S159" i="6" s="1"/>
  <c r="N156" i="6"/>
  <c r="S155" i="6" s="1"/>
  <c r="N142" i="6"/>
  <c r="W141" i="6"/>
  <c r="V141" i="6"/>
  <c r="M141" i="6"/>
  <c r="N141" i="6" s="1"/>
  <c r="N139" i="6"/>
  <c r="N138" i="6"/>
  <c r="N137" i="6"/>
  <c r="N136" i="6"/>
  <c r="N135" i="6"/>
  <c r="N130" i="6"/>
  <c r="N128" i="6"/>
  <c r="N127" i="6"/>
  <c r="N126" i="6"/>
  <c r="N122" i="6"/>
  <c r="N120" i="6"/>
  <c r="N119" i="6"/>
  <c r="N118" i="6"/>
  <c r="N117" i="6"/>
  <c r="Q111" i="6"/>
  <c r="P111" i="6"/>
  <c r="N110" i="6"/>
  <c r="N111" i="6" s="1"/>
  <c r="Z109" i="6"/>
  <c r="L107" i="6"/>
  <c r="N106" i="6"/>
  <c r="N107" i="6" s="1"/>
  <c r="U104" i="6"/>
  <c r="L102" i="6"/>
  <c r="N101" i="6"/>
  <c r="N100" i="6"/>
  <c r="U97" i="6"/>
  <c r="L95" i="6"/>
  <c r="N94" i="6"/>
  <c r="N95" i="6" s="1"/>
  <c r="U92" i="6"/>
  <c r="Q90" i="6"/>
  <c r="P90" i="6"/>
  <c r="N89" i="6"/>
  <c r="N90" i="6" s="1"/>
  <c r="Z87" i="6"/>
  <c r="N84" i="6"/>
  <c r="N85" i="6" s="1"/>
  <c r="U82" i="6"/>
  <c r="L80" i="6"/>
  <c r="N79" i="6"/>
  <c r="N78" i="6"/>
  <c r="U75" i="6"/>
  <c r="N72" i="6"/>
  <c r="N73" i="6" s="1"/>
  <c r="U70" i="6"/>
  <c r="N67" i="6"/>
  <c r="N66" i="6"/>
  <c r="U64" i="6"/>
  <c r="N61" i="6"/>
  <c r="N62" i="6" s="1"/>
  <c r="S60" i="6" s="1"/>
  <c r="U59" i="6"/>
  <c r="N56" i="6"/>
  <c r="N55" i="6"/>
  <c r="U53" i="6"/>
  <c r="N50" i="6"/>
  <c r="N49" i="6"/>
  <c r="U47" i="6"/>
  <c r="L45" i="6"/>
  <c r="N44" i="6"/>
  <c r="N43" i="6"/>
  <c r="N42" i="6"/>
  <c r="U39" i="6"/>
  <c r="L37" i="6"/>
  <c r="N36" i="6"/>
  <c r="N35" i="6"/>
  <c r="N34" i="6"/>
  <c r="U31" i="6"/>
  <c r="N29" i="6"/>
  <c r="S27" i="6" s="1"/>
  <c r="N24" i="6"/>
  <c r="S23" i="6" s="1"/>
  <c r="N19" i="6"/>
  <c r="S18" i="6" s="1"/>
  <c r="N13" i="6"/>
  <c r="K12" i="6"/>
  <c r="N12" i="6" s="1"/>
  <c r="K10" i="6"/>
  <c r="N10" i="6" s="1"/>
  <c r="K9" i="6"/>
  <c r="N9" i="6" s="1"/>
  <c r="B197" i="7"/>
  <c r="B196" i="7"/>
  <c r="C195" i="7"/>
  <c r="B194" i="7"/>
  <c r="C193" i="7"/>
  <c r="C192" i="7"/>
  <c r="B190" i="7"/>
  <c r="B189" i="7"/>
  <c r="B188" i="7"/>
  <c r="B187" i="7"/>
  <c r="C186" i="7"/>
  <c r="B185" i="7"/>
  <c r="B184" i="7"/>
  <c r="B183" i="7"/>
  <c r="B182" i="7"/>
  <c r="B181" i="7"/>
  <c r="B180" i="7"/>
  <c r="F180" i="7" s="1"/>
  <c r="C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C165" i="7"/>
  <c r="C164" i="7"/>
  <c r="B162" i="7"/>
  <c r="B161" i="7"/>
  <c r="B160" i="7"/>
  <c r="B159" i="7"/>
  <c r="B158" i="7"/>
  <c r="B157" i="7"/>
  <c r="B156" i="7"/>
  <c r="B155" i="7"/>
  <c r="B154" i="7"/>
  <c r="B153" i="7"/>
  <c r="B152" i="7"/>
  <c r="C151" i="7"/>
  <c r="B150" i="7"/>
  <c r="B149" i="7"/>
  <c r="B148" i="7"/>
  <c r="B147" i="7"/>
  <c r="B146" i="7"/>
  <c r="B145" i="7"/>
  <c r="B144" i="7"/>
  <c r="C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C128" i="7"/>
  <c r="C127" i="7"/>
  <c r="B125" i="7"/>
  <c r="B124" i="7"/>
  <c r="B123" i="7"/>
  <c r="A122" i="7"/>
  <c r="C121" i="7"/>
  <c r="B119" i="7"/>
  <c r="B118" i="7"/>
  <c r="B117" i="7"/>
  <c r="C116" i="7"/>
  <c r="B115" i="7"/>
  <c r="B114" i="7"/>
  <c r="B113" i="7"/>
  <c r="B112" i="7"/>
  <c r="B111" i="7"/>
  <c r="B110" i="7"/>
  <c r="B109" i="7"/>
  <c r="C108" i="7"/>
  <c r="C107" i="7"/>
  <c r="B105" i="7"/>
  <c r="B104" i="7"/>
  <c r="B103" i="7"/>
  <c r="B102" i="7"/>
  <c r="C101" i="7"/>
  <c r="B99" i="7"/>
  <c r="B98" i="7"/>
  <c r="B97" i="7"/>
  <c r="B96" i="7"/>
  <c r="B95" i="7"/>
  <c r="B94" i="7"/>
  <c r="B93" i="7"/>
  <c r="B92" i="7"/>
  <c r="B91" i="7"/>
  <c r="B90" i="7"/>
  <c r="C89" i="7"/>
  <c r="B87" i="7"/>
  <c r="B86" i="7"/>
  <c r="B85" i="7"/>
  <c r="B84" i="7"/>
  <c r="B83" i="7"/>
  <c r="B82" i="7"/>
  <c r="B81" i="7"/>
  <c r="B79" i="7"/>
  <c r="B78" i="7"/>
  <c r="B77" i="7"/>
  <c r="B76" i="7"/>
  <c r="B75" i="7"/>
  <c r="B74" i="7"/>
  <c r="C73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C26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C6" i="7"/>
  <c r="C5" i="7"/>
  <c r="A2" i="7"/>
  <c r="I1289" i="52" l="1"/>
  <c r="I1294" i="52" s="1"/>
  <c r="I1295" i="52" s="1"/>
  <c r="I1296" i="52" s="1"/>
  <c r="K1264" i="52" s="1"/>
  <c r="I1260" i="52"/>
  <c r="I1261" i="52" s="1"/>
  <c r="I1262" i="52" s="1"/>
  <c r="K1223" i="52" s="1"/>
  <c r="F522" i="1" s="1"/>
  <c r="G522" i="1" s="1"/>
  <c r="I1105" i="52"/>
  <c r="I1106" i="52" s="1"/>
  <c r="I1107" i="52" s="1"/>
  <c r="K1071" i="52" s="1"/>
  <c r="F670" i="1" s="1"/>
  <c r="G670" i="1" s="1"/>
  <c r="I1015" i="52"/>
  <c r="I1021" i="52" s="1"/>
  <c r="I1027" i="52" s="1"/>
  <c r="I1028" i="52" s="1"/>
  <c r="I1029" i="52" s="1"/>
  <c r="K991" i="52" s="1"/>
  <c r="F330" i="1" s="1"/>
  <c r="G330" i="1" s="1"/>
  <c r="I729" i="52"/>
  <c r="I735" i="52" s="1"/>
  <c r="I736" i="52" s="1"/>
  <c r="I737" i="52" s="1"/>
  <c r="K702" i="52" s="1"/>
  <c r="F664" i="1" s="1"/>
  <c r="G664" i="1" s="1"/>
  <c r="I654" i="52"/>
  <c r="I660" i="52" s="1"/>
  <c r="I661" i="52" s="1"/>
  <c r="I662" i="52" s="1"/>
  <c r="K628" i="52" s="1"/>
  <c r="F548" i="1" s="1"/>
  <c r="G548" i="1" s="1"/>
  <c r="I187" i="52"/>
  <c r="I191" i="52" s="1"/>
  <c r="I197" i="52" s="1"/>
  <c r="I198" i="52" s="1"/>
  <c r="I199" i="52" s="1"/>
  <c r="K161" i="52" s="1"/>
  <c r="F1286" i="1" s="1"/>
  <c r="G1286" i="1" s="1"/>
  <c r="F726" i="1"/>
  <c r="G726" i="1" s="1"/>
  <c r="F603" i="1"/>
  <c r="G603" i="1" s="1"/>
  <c r="F572" i="1"/>
  <c r="G572" i="1" s="1"/>
  <c r="F732" i="1"/>
  <c r="G732" i="1" s="1"/>
  <c r="S421" i="6"/>
  <c r="S762" i="6"/>
  <c r="S1877" i="6"/>
  <c r="P1097" i="6"/>
  <c r="N1401" i="6"/>
  <c r="S1398" i="6" s="1"/>
  <c r="T1816" i="6"/>
  <c r="T2208" i="6"/>
  <c r="T1783" i="6"/>
  <c r="T2062" i="6"/>
  <c r="T1777" i="6"/>
  <c r="J180" i="7"/>
  <c r="I180" i="7"/>
  <c r="T1648" i="6"/>
  <c r="T1635" i="6"/>
  <c r="T1649" i="6"/>
  <c r="T1336" i="6"/>
  <c r="T1686" i="6"/>
  <c r="T1716" i="6"/>
  <c r="T1717" i="6"/>
  <c r="T1755" i="6"/>
  <c r="T1637" i="6"/>
  <c r="T1693" i="6"/>
  <c r="T1761" i="6"/>
  <c r="T1823" i="6"/>
  <c r="T2063" i="6"/>
  <c r="T1657" i="6"/>
  <c r="T1730" i="6"/>
  <c r="T1791" i="6"/>
  <c r="T1724" i="6"/>
  <c r="T1633" i="6"/>
  <c r="T1679" i="6"/>
  <c r="T1747" i="6"/>
  <c r="T1808" i="6"/>
  <c r="T1656" i="6"/>
  <c r="T1784" i="6"/>
  <c r="T1634" i="6"/>
  <c r="T1685" i="6"/>
  <c r="T1754" i="6"/>
  <c r="T1815" i="6"/>
  <c r="T1640" i="6"/>
  <c r="T1664" i="6"/>
  <c r="T1700" i="6"/>
  <c r="T1731" i="6"/>
  <c r="T1762" i="6"/>
  <c r="T1792" i="6"/>
  <c r="T1824" i="6"/>
  <c r="T2056" i="6"/>
  <c r="T1626" i="6"/>
  <c r="T1641" i="6"/>
  <c r="T1665" i="6"/>
  <c r="T1701" i="6"/>
  <c r="T1738" i="6"/>
  <c r="T1768" i="6"/>
  <c r="T1799" i="6"/>
  <c r="T1830" i="6"/>
  <c r="T2057" i="6"/>
  <c r="T1627" i="6"/>
  <c r="T1642" i="6"/>
  <c r="T1671" i="6"/>
  <c r="T1708" i="6"/>
  <c r="T1739" i="6"/>
  <c r="T1769" i="6"/>
  <c r="T1800" i="6"/>
  <c r="T1837" i="6"/>
  <c r="T1628" i="6"/>
  <c r="T1644" i="6"/>
  <c r="T1672" i="6"/>
  <c r="T1709" i="6"/>
  <c r="T1746" i="6"/>
  <c r="T1776" i="6"/>
  <c r="T1807" i="6"/>
  <c r="T1838" i="6"/>
  <c r="T168" i="6"/>
  <c r="D33" i="7" s="1"/>
  <c r="T353" i="6"/>
  <c r="D49" i="7" s="1"/>
  <c r="T272" i="6"/>
  <c r="T562" i="6"/>
  <c r="T275" i="6"/>
  <c r="T565" i="6"/>
  <c r="T54" i="6"/>
  <c r="T170" i="6"/>
  <c r="T258" i="6"/>
  <c r="T259" i="6"/>
  <c r="T1477" i="6"/>
  <c r="T1297" i="6"/>
  <c r="T1893" i="6"/>
  <c r="T1142" i="6"/>
  <c r="T1307" i="6"/>
  <c r="T1433" i="6"/>
  <c r="S1693" i="6"/>
  <c r="S1831" i="6"/>
  <c r="S294" i="6"/>
  <c r="S1630" i="6"/>
  <c r="S1671" i="6"/>
  <c r="S1725" i="6"/>
  <c r="S1726" i="6"/>
  <c r="S1685" i="6"/>
  <c r="S1766" i="6"/>
  <c r="S1638" i="6"/>
  <c r="S1830" i="6"/>
  <c r="S2101" i="6"/>
  <c r="N2231" i="6"/>
  <c r="S2230" i="6" s="1"/>
  <c r="S413" i="6"/>
  <c r="S1353" i="6"/>
  <c r="S2179" i="6"/>
  <c r="S435" i="6"/>
  <c r="S2157" i="6"/>
  <c r="S342" i="6"/>
  <c r="S1931" i="6"/>
  <c r="S295" i="6"/>
  <c r="K1134" i="6"/>
  <c r="N1134" i="6" s="1"/>
  <c r="S393" i="6"/>
  <c r="S1679" i="6"/>
  <c r="S1758" i="6"/>
  <c r="S1781" i="6"/>
  <c r="S395" i="6"/>
  <c r="V109" i="6"/>
  <c r="T256" i="6"/>
  <c r="T269" i="6"/>
  <c r="T561" i="6"/>
  <c r="T1625" i="6"/>
  <c r="D114" i="7" s="1"/>
  <c r="T1632" i="6"/>
  <c r="T1639" i="6"/>
  <c r="T1647" i="6"/>
  <c r="T1655" i="6"/>
  <c r="T1663" i="6"/>
  <c r="T1678" i="6"/>
  <c r="T1692" i="6"/>
  <c r="T1699" i="6"/>
  <c r="T1707" i="6"/>
  <c r="T1715" i="6"/>
  <c r="T1723" i="6"/>
  <c r="T1729" i="6"/>
  <c r="T1737" i="6"/>
  <c r="T1745" i="6"/>
  <c r="T1753" i="6"/>
  <c r="T1760" i="6"/>
  <c r="T1767" i="6"/>
  <c r="T1775" i="6"/>
  <c r="T1782" i="6"/>
  <c r="T1790" i="6"/>
  <c r="T1798" i="6"/>
  <c r="T1806" i="6"/>
  <c r="T1814" i="6"/>
  <c r="T1822" i="6"/>
  <c r="T1836" i="6"/>
  <c r="T1844" i="6"/>
  <c r="T1864" i="6"/>
  <c r="T2055" i="6"/>
  <c r="T2061" i="6"/>
  <c r="T75" i="6"/>
  <c r="D18" i="7" s="1"/>
  <c r="T171" i="6"/>
  <c r="T261" i="6"/>
  <c r="T276" i="6"/>
  <c r="T354" i="6"/>
  <c r="T566" i="6"/>
  <c r="T1650" i="6"/>
  <c r="T1658" i="6"/>
  <c r="T1666" i="6"/>
  <c r="T1673" i="6"/>
  <c r="T1680" i="6"/>
  <c r="T1687" i="6"/>
  <c r="T1694" i="6"/>
  <c r="T1702" i="6"/>
  <c r="T1710" i="6"/>
  <c r="T1718" i="6"/>
  <c r="T1725" i="6"/>
  <c r="T1732" i="6"/>
  <c r="T1740" i="6"/>
  <c r="T1748" i="6"/>
  <c r="T1756" i="6"/>
  <c r="T1763" i="6"/>
  <c r="T1770" i="6"/>
  <c r="T1778" i="6"/>
  <c r="T1785" i="6"/>
  <c r="T1793" i="6"/>
  <c r="T1801" i="6"/>
  <c r="T1809" i="6"/>
  <c r="T1817" i="6"/>
  <c r="T1825" i="6"/>
  <c r="T1831" i="6"/>
  <c r="T1839" i="6"/>
  <c r="T2064" i="6"/>
  <c r="T250" i="6"/>
  <c r="T264" i="6"/>
  <c r="T277" i="6"/>
  <c r="T553" i="6"/>
  <c r="T1629" i="6"/>
  <c r="T1636" i="6"/>
  <c r="T1643" i="6"/>
  <c r="T1651" i="6"/>
  <c r="T1659" i="6"/>
  <c r="T1667" i="6"/>
  <c r="T1674" i="6"/>
  <c r="T1681" i="6"/>
  <c r="T1688" i="6"/>
  <c r="T1695" i="6"/>
  <c r="T1703" i="6"/>
  <c r="T1711" i="6"/>
  <c r="T1719" i="6"/>
  <c r="T1733" i="6"/>
  <c r="T1741" i="6"/>
  <c r="T1749" i="6"/>
  <c r="T1757" i="6"/>
  <c r="T1764" i="6"/>
  <c r="T1771" i="6"/>
  <c r="T1779" i="6"/>
  <c r="T1786" i="6"/>
  <c r="T1794" i="6"/>
  <c r="T1802" i="6"/>
  <c r="T1810" i="6"/>
  <c r="T1818" i="6"/>
  <c r="T1826" i="6"/>
  <c r="T1832" i="6"/>
  <c r="T1840" i="6"/>
  <c r="T1860" i="6"/>
  <c r="D118" i="7" s="1"/>
  <c r="T2058" i="6"/>
  <c r="T2065" i="6"/>
  <c r="T2190" i="6"/>
  <c r="D176" i="7" s="1"/>
  <c r="T251" i="6"/>
  <c r="T266" i="6"/>
  <c r="T554" i="6"/>
  <c r="T1202" i="6"/>
  <c r="T1652" i="6"/>
  <c r="T1660" i="6"/>
  <c r="T1668" i="6"/>
  <c r="T1675" i="6"/>
  <c r="T1682" i="6"/>
  <c r="T1689" i="6"/>
  <c r="T1696" i="6"/>
  <c r="T1704" i="6"/>
  <c r="T1712" i="6"/>
  <c r="T1720" i="6"/>
  <c r="T1726" i="6"/>
  <c r="T1734" i="6"/>
  <c r="T1742" i="6"/>
  <c r="T1750" i="6"/>
  <c r="T1765" i="6"/>
  <c r="T1772" i="6"/>
  <c r="T1780" i="6"/>
  <c r="T1787" i="6"/>
  <c r="T1795" i="6"/>
  <c r="T1803" i="6"/>
  <c r="T1811" i="6"/>
  <c r="T1819" i="6"/>
  <c r="T1827" i="6"/>
  <c r="T1833" i="6"/>
  <c r="T1841" i="6"/>
  <c r="T1861" i="6"/>
  <c r="T252" i="6"/>
  <c r="T267" i="6"/>
  <c r="T557" i="6"/>
  <c r="T1630" i="6"/>
  <c r="T1645" i="6"/>
  <c r="T1653" i="6"/>
  <c r="T1661" i="6"/>
  <c r="T1669" i="6"/>
  <c r="T1676" i="6"/>
  <c r="T1683" i="6"/>
  <c r="T1690" i="6"/>
  <c r="T1697" i="6"/>
  <c r="T1705" i="6"/>
  <c r="T1713" i="6"/>
  <c r="T1721" i="6"/>
  <c r="T1727" i="6"/>
  <c r="T1735" i="6"/>
  <c r="T1743" i="6"/>
  <c r="T1751" i="6"/>
  <c r="T1758" i="6"/>
  <c r="T1773" i="6"/>
  <c r="T1788" i="6"/>
  <c r="T1796" i="6"/>
  <c r="T1804" i="6"/>
  <c r="T1812" i="6"/>
  <c r="T1820" i="6"/>
  <c r="T1828" i="6"/>
  <c r="T1834" i="6"/>
  <c r="T1842" i="6"/>
  <c r="T1862" i="6"/>
  <c r="T2059" i="6"/>
  <c r="T253" i="6"/>
  <c r="T268" i="6"/>
  <c r="T280" i="6"/>
  <c r="T558" i="6"/>
  <c r="T1631" i="6"/>
  <c r="T1638" i="6"/>
  <c r="T1646" i="6"/>
  <c r="T1654" i="6"/>
  <c r="T1662" i="6"/>
  <c r="T1670" i="6"/>
  <c r="T1677" i="6"/>
  <c r="T1684" i="6"/>
  <c r="T1691" i="6"/>
  <c r="T1698" i="6"/>
  <c r="T1706" i="6"/>
  <c r="T1714" i="6"/>
  <c r="T1722" i="6"/>
  <c r="T1728" i="6"/>
  <c r="T1736" i="6"/>
  <c r="T1744" i="6"/>
  <c r="T1752" i="6"/>
  <c r="T1759" i="6"/>
  <c r="T1766" i="6"/>
  <c r="T1774" i="6"/>
  <c r="T1781" i="6"/>
  <c r="T1789" i="6"/>
  <c r="T1797" i="6"/>
  <c r="T1805" i="6"/>
  <c r="T1813" i="6"/>
  <c r="T1821" i="6"/>
  <c r="T1829" i="6"/>
  <c r="T1835" i="6"/>
  <c r="T2054" i="6"/>
  <c r="D152" i="7" s="1"/>
  <c r="V39" i="6"/>
  <c r="F12" i="7" s="1"/>
  <c r="J12" i="7" s="1"/>
  <c r="T2274" i="6"/>
  <c r="T1386" i="6"/>
  <c r="T1392" i="6"/>
  <c r="T1362" i="6"/>
  <c r="D105" i="7" s="1"/>
  <c r="T1366" i="6"/>
  <c r="T1370" i="6"/>
  <c r="T1382" i="6"/>
  <c r="T1391" i="6"/>
  <c r="T1394" i="6"/>
  <c r="T1373" i="6"/>
  <c r="T1363" i="6"/>
  <c r="T1367" i="6"/>
  <c r="T1371" i="6"/>
  <c r="T1383" i="6"/>
  <c r="T1387" i="6"/>
  <c r="T1393" i="6"/>
  <c r="T1390" i="6"/>
  <c r="T1369" i="6"/>
  <c r="T1388" i="6"/>
  <c r="T1389" i="6"/>
  <c r="T1364" i="6"/>
  <c r="T1368" i="6"/>
  <c r="T1372" i="6"/>
  <c r="T1384" i="6"/>
  <c r="T1385" i="6"/>
  <c r="T1365" i="6"/>
  <c r="T74" i="6"/>
  <c r="P1101" i="6"/>
  <c r="V70" i="6"/>
  <c r="F17" i="7" s="1"/>
  <c r="J17" i="7" s="1"/>
  <c r="V87" i="6"/>
  <c r="F20" i="7" s="1"/>
  <c r="J20" i="7" s="1"/>
  <c r="V47" i="6"/>
  <c r="F13" i="7" s="1"/>
  <c r="J13" i="7" s="1"/>
  <c r="V64" i="6"/>
  <c r="F16" i="7" s="1"/>
  <c r="J16" i="7" s="1"/>
  <c r="T2143" i="6"/>
  <c r="T1586" i="6"/>
  <c r="C47" i="7"/>
  <c r="T949" i="6"/>
  <c r="T1959" i="6"/>
  <c r="T1157" i="6"/>
  <c r="T1255" i="6"/>
  <c r="T1584" i="6"/>
  <c r="T1902" i="6"/>
  <c r="D125" i="7" s="1"/>
  <c r="T1913" i="6"/>
  <c r="T2043" i="6"/>
  <c r="T1150" i="6"/>
  <c r="T1258" i="6"/>
  <c r="T1941" i="6"/>
  <c r="T1284" i="6"/>
  <c r="T1132" i="6"/>
  <c r="T1158" i="6"/>
  <c r="T1266" i="6"/>
  <c r="T1594" i="6"/>
  <c r="T1141" i="6"/>
  <c r="T1271" i="6"/>
  <c r="T1573" i="6"/>
  <c r="T1602" i="6"/>
  <c r="T2178" i="6"/>
  <c r="D173" i="7" s="1"/>
  <c r="T1165" i="6"/>
  <c r="T1134" i="6"/>
  <c r="T1166" i="6"/>
  <c r="T1274" i="6"/>
  <c r="T1610" i="6"/>
  <c r="T2122" i="6"/>
  <c r="T1263" i="6"/>
  <c r="T930" i="6"/>
  <c r="T1149" i="6"/>
  <c r="T1279" i="6"/>
  <c r="C132" i="7"/>
  <c r="T1288" i="6"/>
  <c r="T1298" i="6"/>
  <c r="T1308" i="6"/>
  <c r="T1328" i="6"/>
  <c r="T1437" i="6"/>
  <c r="T1485" i="6"/>
  <c r="T1894" i="6"/>
  <c r="T2010" i="6"/>
  <c r="T2209" i="6"/>
  <c r="T1401" i="6"/>
  <c r="T2194" i="6"/>
  <c r="T2210" i="6"/>
  <c r="T1290" i="6"/>
  <c r="D103" i="7" s="1"/>
  <c r="T1300" i="6"/>
  <c r="T1312" i="6"/>
  <c r="T1344" i="6"/>
  <c r="T1405" i="6"/>
  <c r="D109" i="7" s="1"/>
  <c r="T1453" i="6"/>
  <c r="T1501" i="6"/>
  <c r="T1888" i="6"/>
  <c r="D123" i="7" s="1"/>
  <c r="T2203" i="6"/>
  <c r="T1445" i="6"/>
  <c r="T1291" i="6"/>
  <c r="T1302" i="6"/>
  <c r="T1313" i="6"/>
  <c r="T1352" i="6"/>
  <c r="T1413" i="6"/>
  <c r="T1457" i="6"/>
  <c r="T1889" i="6"/>
  <c r="T2014" i="6"/>
  <c r="T2169" i="6"/>
  <c r="T2205" i="6"/>
  <c r="D180" i="7" s="1"/>
  <c r="T2211" i="6"/>
  <c r="T1299" i="6"/>
  <c r="T296" i="6"/>
  <c r="T1292" i="6"/>
  <c r="T1304" i="6"/>
  <c r="T1314" i="6"/>
  <c r="T1421" i="6"/>
  <c r="T1461" i="6"/>
  <c r="T1509" i="6"/>
  <c r="T1890" i="6"/>
  <c r="T2170" i="6"/>
  <c r="D171" i="7" s="1"/>
  <c r="T2206" i="6"/>
  <c r="T1289" i="6"/>
  <c r="T1493" i="6"/>
  <c r="T1294" i="6"/>
  <c r="T1305" i="6"/>
  <c r="T1315" i="6"/>
  <c r="T1359" i="6"/>
  <c r="T1425" i="6"/>
  <c r="T1465" i="6"/>
  <c r="T1525" i="6"/>
  <c r="T1891" i="6"/>
  <c r="T2207" i="6"/>
  <c r="T2212" i="6"/>
  <c r="T2202" i="6"/>
  <c r="T1310" i="6"/>
  <c r="T1296" i="6"/>
  <c r="T1306" i="6"/>
  <c r="T1316" i="6"/>
  <c r="T1429" i="6"/>
  <c r="T1469" i="6"/>
  <c r="T937" i="6"/>
  <c r="T1587" i="6"/>
  <c r="D112" i="7" s="1"/>
  <c r="T1595" i="6"/>
  <c r="T1603" i="6"/>
  <c r="T1611" i="6"/>
  <c r="T1960" i="6"/>
  <c r="T2038" i="6"/>
  <c r="D149" i="7" s="1"/>
  <c r="T957" i="6"/>
  <c r="T1588" i="6"/>
  <c r="T1596" i="6"/>
  <c r="T1604" i="6"/>
  <c r="T1612" i="6"/>
  <c r="T1914" i="6"/>
  <c r="T2039" i="6"/>
  <c r="T945" i="6"/>
  <c r="T1589" i="6"/>
  <c r="T1605" i="6"/>
  <c r="T933" i="6"/>
  <c r="T1590" i="6"/>
  <c r="T1598" i="6"/>
  <c r="T1606" i="6"/>
  <c r="T1614" i="6"/>
  <c r="T1847" i="6"/>
  <c r="D115" i="7" s="1"/>
  <c r="T1910" i="6"/>
  <c r="T953" i="6"/>
  <c r="T1591" i="6"/>
  <c r="T1599" i="6"/>
  <c r="T1607" i="6"/>
  <c r="T1615" i="6"/>
  <c r="T1848" i="6"/>
  <c r="T1911" i="6"/>
  <c r="T1956" i="6"/>
  <c r="T2041" i="6"/>
  <c r="T1597" i="6"/>
  <c r="T1613" i="6"/>
  <c r="T1846" i="6"/>
  <c r="T1909" i="6"/>
  <c r="D129" i="7" s="1"/>
  <c r="T941" i="6"/>
  <c r="T962" i="6"/>
  <c r="T1592" i="6"/>
  <c r="T1600" i="6"/>
  <c r="T1608" i="6"/>
  <c r="T1616" i="6"/>
  <c r="T1849" i="6"/>
  <c r="T1957" i="6"/>
  <c r="T2042" i="6"/>
  <c r="T646" i="6"/>
  <c r="T970" i="6"/>
  <c r="T1585" i="6"/>
  <c r="T1593" i="6"/>
  <c r="T1601" i="6"/>
  <c r="T27" i="6"/>
  <c r="T1321" i="6"/>
  <c r="D104" i="7" s="1"/>
  <c r="T1329" i="6"/>
  <c r="T1337" i="6"/>
  <c r="T1345" i="6"/>
  <c r="T2275" i="6"/>
  <c r="T28" i="6"/>
  <c r="T1322" i="6"/>
  <c r="T1330" i="6"/>
  <c r="T1338" i="6"/>
  <c r="T1346" i="6"/>
  <c r="T1353" i="6"/>
  <c r="T2157" i="6"/>
  <c r="T2196" i="6"/>
  <c r="T2276" i="6"/>
  <c r="T2185" i="6"/>
  <c r="T1323" i="6"/>
  <c r="T1331" i="6"/>
  <c r="T1339" i="6"/>
  <c r="T1347" i="6"/>
  <c r="T1354" i="6"/>
  <c r="T1867" i="6"/>
  <c r="D119" i="7" s="1"/>
  <c r="T2158" i="6"/>
  <c r="T2277" i="6"/>
  <c r="T352" i="6"/>
  <c r="T550" i="6"/>
  <c r="T1324" i="6"/>
  <c r="T1332" i="6"/>
  <c r="T1340" i="6"/>
  <c r="T1348" i="6"/>
  <c r="T1355" i="6"/>
  <c r="T1868" i="6"/>
  <c r="T1984" i="6"/>
  <c r="D142" i="7" s="1"/>
  <c r="T2159" i="6"/>
  <c r="D169" i="7" s="1"/>
  <c r="T2278" i="6"/>
  <c r="D194" i="7" s="1"/>
  <c r="T1325" i="6"/>
  <c r="T1341" i="6"/>
  <c r="T1356" i="6"/>
  <c r="T1869" i="6"/>
  <c r="T1986" i="6"/>
  <c r="T2192" i="6"/>
  <c r="T1333" i="6"/>
  <c r="T1349" i="6"/>
  <c r="T283" i="6"/>
  <c r="D42" i="7" s="1"/>
  <c r="T1326" i="6"/>
  <c r="T1334" i="6"/>
  <c r="T1342" i="6"/>
  <c r="T1350" i="6"/>
  <c r="T1357" i="6"/>
  <c r="T1870" i="6"/>
  <c r="T2193" i="6"/>
  <c r="T175" i="6"/>
  <c r="T248" i="6"/>
  <c r="T260" i="6"/>
  <c r="T274" i="6"/>
  <c r="T1327" i="6"/>
  <c r="T1335" i="6"/>
  <c r="T1343" i="6"/>
  <c r="T1351" i="6"/>
  <c r="I4635" i="52"/>
  <c r="I4636" i="52" s="1"/>
  <c r="K4602" i="52" s="1"/>
  <c r="F235" i="1" s="1"/>
  <c r="G235" i="1" s="1"/>
  <c r="T464" i="6"/>
  <c r="T128" i="6"/>
  <c r="T457" i="6"/>
  <c r="T126" i="6"/>
  <c r="T472" i="6"/>
  <c r="T1845" i="6"/>
  <c r="T93" i="6"/>
  <c r="T461" i="6"/>
  <c r="T130" i="6"/>
  <c r="T465" i="6"/>
  <c r="T469" i="6"/>
  <c r="T1293" i="6"/>
  <c r="T1301" i="6"/>
  <c r="T1309" i="6"/>
  <c r="T1317" i="6"/>
  <c r="T1409" i="6"/>
  <c r="T1441" i="6"/>
  <c r="T1473" i="6"/>
  <c r="T1517" i="6"/>
  <c r="T187" i="6"/>
  <c r="T389" i="6"/>
  <c r="T1295" i="6"/>
  <c r="T1303" i="6"/>
  <c r="T1311" i="6"/>
  <c r="T1417" i="6"/>
  <c r="T1449" i="6"/>
  <c r="T1481" i="6"/>
  <c r="T293" i="6"/>
  <c r="D44" i="7" s="1"/>
  <c r="T456" i="6"/>
  <c r="T413" i="6"/>
  <c r="T437" i="6"/>
  <c r="T393" i="6"/>
  <c r="T417" i="6"/>
  <c r="T441" i="6"/>
  <c r="S161" i="6"/>
  <c r="T369" i="6"/>
  <c r="T373" i="6"/>
  <c r="T397" i="6"/>
  <c r="T421" i="6"/>
  <c r="T576" i="6"/>
  <c r="D61" i="7" s="1"/>
  <c r="T377" i="6"/>
  <c r="T401" i="6"/>
  <c r="T425" i="6"/>
  <c r="T580" i="6"/>
  <c r="C18" i="7"/>
  <c r="T381" i="6"/>
  <c r="T405" i="6"/>
  <c r="T429" i="6"/>
  <c r="T385" i="6"/>
  <c r="T409" i="6"/>
  <c r="T433" i="6"/>
  <c r="T332" i="6"/>
  <c r="T1133" i="6"/>
  <c r="T1136" i="6"/>
  <c r="T1144" i="6"/>
  <c r="T1152" i="6"/>
  <c r="T1160" i="6"/>
  <c r="T1256" i="6"/>
  <c r="T1264" i="6"/>
  <c r="T1272" i="6"/>
  <c r="T1280" i="6"/>
  <c r="T1577" i="6"/>
  <c r="T1903" i="6"/>
  <c r="T2204" i="6"/>
  <c r="T2221" i="6"/>
  <c r="T2219" i="6"/>
  <c r="T1139" i="6"/>
  <c r="T1147" i="6"/>
  <c r="T1155" i="6"/>
  <c r="T1163" i="6"/>
  <c r="T1257" i="6"/>
  <c r="T1265" i="6"/>
  <c r="T1273" i="6"/>
  <c r="T1281" i="6"/>
  <c r="T1285" i="6"/>
  <c r="T1981" i="6"/>
  <c r="T2168" i="6"/>
  <c r="T1137" i="6"/>
  <c r="T1145" i="6"/>
  <c r="T1153" i="6"/>
  <c r="T1161" i="6"/>
  <c r="T1259" i="6"/>
  <c r="T1267" i="6"/>
  <c r="T1275" i="6"/>
  <c r="T1282" i="6"/>
  <c r="T1286" i="6"/>
  <c r="T1579" i="6"/>
  <c r="T2114" i="6"/>
  <c r="D159" i="7" s="1"/>
  <c r="C83" i="7"/>
  <c r="T1140" i="6"/>
  <c r="T1148" i="6"/>
  <c r="T1156" i="6"/>
  <c r="T1164" i="6"/>
  <c r="T1260" i="6"/>
  <c r="T1268" i="6"/>
  <c r="T1276" i="6"/>
  <c r="C180" i="7"/>
  <c r="T1135" i="6"/>
  <c r="T1143" i="6"/>
  <c r="T1151" i="6"/>
  <c r="T1159" i="6"/>
  <c r="T1167" i="6"/>
  <c r="T1261" i="6"/>
  <c r="T1269" i="6"/>
  <c r="T1277" i="6"/>
  <c r="T1283" i="6"/>
  <c r="T1287" i="6"/>
  <c r="T1575" i="6"/>
  <c r="S2271" i="6"/>
  <c r="T1131" i="6"/>
  <c r="T1138" i="6"/>
  <c r="T1146" i="6"/>
  <c r="T1154" i="6"/>
  <c r="T1254" i="6"/>
  <c r="D102" i="7" s="1"/>
  <c r="T1262" i="6"/>
  <c r="T1270" i="6"/>
  <c r="D87" i="7"/>
  <c r="T294" i="6"/>
  <c r="T458" i="6"/>
  <c r="T466" i="6"/>
  <c r="T94" i="6"/>
  <c r="T127" i="6"/>
  <c r="T282" i="6"/>
  <c r="T459" i="6"/>
  <c r="T467" i="6"/>
  <c r="T186" i="6"/>
  <c r="D36" i="7" s="1"/>
  <c r="T295" i="6"/>
  <c r="T460" i="6"/>
  <c r="T468" i="6"/>
  <c r="T592" i="6"/>
  <c r="D63" i="7" s="1"/>
  <c r="C81" i="7"/>
  <c r="T593" i="6"/>
  <c r="T124" i="6"/>
  <c r="D28" i="7" s="1"/>
  <c r="T129" i="6"/>
  <c r="T454" i="6"/>
  <c r="D54" i="7" s="1"/>
  <c r="T462" i="6"/>
  <c r="T470" i="6"/>
  <c r="T594" i="6"/>
  <c r="T455" i="6"/>
  <c r="T463" i="6"/>
  <c r="D82" i="7"/>
  <c r="T123" i="6"/>
  <c r="T185" i="6"/>
  <c r="T453" i="6"/>
  <c r="D83" i="7"/>
  <c r="T300" i="6"/>
  <c r="D45" i="7" s="1"/>
  <c r="D86" i="7"/>
  <c r="C82" i="7"/>
  <c r="S571" i="6"/>
  <c r="E60" i="7" s="1"/>
  <c r="S575" i="6"/>
  <c r="Q1177" i="6"/>
  <c r="S380" i="6"/>
  <c r="S758" i="6"/>
  <c r="T1061" i="6"/>
  <c r="T304" i="6"/>
  <c r="S576" i="6"/>
  <c r="E61" i="7" s="1"/>
  <c r="T40" i="6"/>
  <c r="T308" i="6"/>
  <c r="S1604" i="6"/>
  <c r="T312" i="6"/>
  <c r="T475" i="6"/>
  <c r="D55" i="7" s="1"/>
  <c r="S577" i="6"/>
  <c r="V31" i="6"/>
  <c r="V82" i="6"/>
  <c r="F19" i="7" s="1"/>
  <c r="J19" i="7" s="1"/>
  <c r="V104" i="6"/>
  <c r="F23" i="7" s="1"/>
  <c r="J23" i="7" s="1"/>
  <c r="S193" i="6"/>
  <c r="T316" i="6"/>
  <c r="T479" i="6"/>
  <c r="S579" i="6"/>
  <c r="S759" i="6"/>
  <c r="S1991" i="6"/>
  <c r="E144" i="7" s="1"/>
  <c r="S209" i="6"/>
  <c r="T320" i="6"/>
  <c r="T483" i="6"/>
  <c r="S580" i="6"/>
  <c r="S1592" i="6"/>
  <c r="V59" i="6"/>
  <c r="F15" i="7" s="1"/>
  <c r="J15" i="7" s="1"/>
  <c r="S214" i="6"/>
  <c r="T324" i="6"/>
  <c r="S445" i="6"/>
  <c r="T487" i="6"/>
  <c r="T605" i="6"/>
  <c r="S1711" i="6"/>
  <c r="N2098" i="6"/>
  <c r="S2091" i="6" s="1"/>
  <c r="S2147" i="6"/>
  <c r="E166" i="7" s="1"/>
  <c r="S163" i="6"/>
  <c r="E32" i="7" s="1"/>
  <c r="S218" i="6"/>
  <c r="T328" i="6"/>
  <c r="T491" i="6"/>
  <c r="S574" i="6"/>
  <c r="S581" i="6"/>
  <c r="T598" i="6"/>
  <c r="D64" i="7" s="1"/>
  <c r="S1587" i="6"/>
  <c r="E112" i="7" s="1"/>
  <c r="N2036" i="6"/>
  <c r="S2028" i="6" s="1"/>
  <c r="N2066" i="6"/>
  <c r="S2052" i="6" s="1"/>
  <c r="S172" i="6"/>
  <c r="S358" i="6"/>
  <c r="E50" i="7" s="1"/>
  <c r="S486" i="6"/>
  <c r="AA1163" i="6"/>
  <c r="AA1165" i="6"/>
  <c r="S2110" i="6"/>
  <c r="S164" i="6"/>
  <c r="S344" i="6"/>
  <c r="K1061" i="6"/>
  <c r="N1061" i="6" s="1"/>
  <c r="AA1159" i="6"/>
  <c r="S2024" i="6"/>
  <c r="S14" i="6"/>
  <c r="S217" i="6"/>
  <c r="S373" i="6"/>
  <c r="S505" i="6"/>
  <c r="C1248" i="6"/>
  <c r="C96" i="76" s="1"/>
  <c r="S1957" i="6"/>
  <c r="S2100" i="6"/>
  <c r="E157" i="7" s="1"/>
  <c r="N37" i="6"/>
  <c r="S35" i="6" s="1"/>
  <c r="S187" i="6"/>
  <c r="S510" i="6"/>
  <c r="P1099" i="6"/>
  <c r="M1163" i="6"/>
  <c r="Q1163" i="6" s="1"/>
  <c r="M1165" i="6"/>
  <c r="Q1165" i="6" s="1"/>
  <c r="S21" i="6"/>
  <c r="E9" i="7" s="1"/>
  <c r="S148" i="6"/>
  <c r="S449" i="6"/>
  <c r="S512" i="6"/>
  <c r="AA1137" i="6"/>
  <c r="S2174" i="6"/>
  <c r="E172" i="7" s="1"/>
  <c r="S2109" i="6"/>
  <c r="N80" i="6"/>
  <c r="S79" i="6" s="1"/>
  <c r="S158" i="6"/>
  <c r="E31" i="7" s="1"/>
  <c r="S171" i="6"/>
  <c r="S235" i="6"/>
  <c r="S354" i="6"/>
  <c r="S588" i="6"/>
  <c r="S595" i="6"/>
  <c r="S1321" i="6"/>
  <c r="E104" i="7" s="1"/>
  <c r="S1328" i="6"/>
  <c r="S1346" i="6"/>
  <c r="S1622" i="6"/>
  <c r="S1937" i="6"/>
  <c r="E133" i="7" s="1"/>
  <c r="S2160" i="6"/>
  <c r="S2182" i="6"/>
  <c r="E174" i="7" s="1"/>
  <c r="S1872" i="6"/>
  <c r="S160" i="6"/>
  <c r="S236" i="6"/>
  <c r="S589" i="6"/>
  <c r="AA1155" i="6"/>
  <c r="S1329" i="6"/>
  <c r="V75" i="6"/>
  <c r="F18" i="7" s="1"/>
  <c r="J18" i="7" s="1"/>
  <c r="V92" i="6"/>
  <c r="F21" i="7" s="1"/>
  <c r="J21" i="7" s="1"/>
  <c r="V97" i="6"/>
  <c r="F22" i="7" s="1"/>
  <c r="J22" i="7" s="1"/>
  <c r="S561" i="6"/>
  <c r="S592" i="6"/>
  <c r="E63" i="7" s="1"/>
  <c r="S695" i="6"/>
  <c r="S1581" i="6"/>
  <c r="S1639" i="6"/>
  <c r="S1653" i="6"/>
  <c r="S1734" i="6"/>
  <c r="S1767" i="6"/>
  <c r="S1839" i="6"/>
  <c r="S1860" i="6"/>
  <c r="E118" i="7" s="1"/>
  <c r="S1992" i="6"/>
  <c r="S2190" i="6"/>
  <c r="E176" i="7" s="1"/>
  <c r="S496" i="6"/>
  <c r="S703" i="6"/>
  <c r="S1330" i="6"/>
  <c r="S1337" i="6"/>
  <c r="S1647" i="6"/>
  <c r="S1661" i="6"/>
  <c r="S1694" i="6"/>
  <c r="S1790" i="6"/>
  <c r="S1993" i="6"/>
  <c r="S2158" i="6"/>
  <c r="N14" i="6"/>
  <c r="S7" i="6" s="1"/>
  <c r="E7" i="7" s="1"/>
  <c r="S198" i="6"/>
  <c r="S363" i="6"/>
  <c r="E51" i="7" s="1"/>
  <c r="S423" i="6"/>
  <c r="S479" i="6"/>
  <c r="S497" i="6"/>
  <c r="S711" i="6"/>
  <c r="S1344" i="6"/>
  <c r="S1568" i="6"/>
  <c r="S1702" i="6"/>
  <c r="S1735" i="6"/>
  <c r="S1749" i="6"/>
  <c r="S1798" i="6"/>
  <c r="S1861" i="6"/>
  <c r="S1930" i="6"/>
  <c r="S201" i="6"/>
  <c r="S233" i="6"/>
  <c r="E39" i="7" s="1"/>
  <c r="S382" i="6"/>
  <c r="S502" i="6"/>
  <c r="S553" i="6"/>
  <c r="S584" i="6"/>
  <c r="E62" i="7" s="1"/>
  <c r="S594" i="6"/>
  <c r="S719" i="6"/>
  <c r="M1137" i="6"/>
  <c r="M1159" i="6"/>
  <c r="S1338" i="6"/>
  <c r="S1629" i="6"/>
  <c r="S1662" i="6"/>
  <c r="S1743" i="6"/>
  <c r="S1757" i="6"/>
  <c r="S1821" i="6"/>
  <c r="S2106" i="6"/>
  <c r="E158" i="7" s="1"/>
  <c r="S2274" i="6"/>
  <c r="S202" i="6"/>
  <c r="S234" i="6"/>
  <c r="S366" i="6"/>
  <c r="S504" i="6"/>
  <c r="S566" i="6"/>
  <c r="S587" i="6"/>
  <c r="S727" i="6"/>
  <c r="M1155" i="6"/>
  <c r="Q1155" i="6" s="1"/>
  <c r="AA1167" i="6"/>
  <c r="S1352" i="6"/>
  <c r="S1596" i="6"/>
  <c r="S1619" i="6"/>
  <c r="E113" i="7" s="1"/>
  <c r="S1670" i="6"/>
  <c r="S1703" i="6"/>
  <c r="S1717" i="6"/>
  <c r="S1807" i="6"/>
  <c r="N2090" i="6"/>
  <c r="S2083" i="6" s="1"/>
  <c r="S2108" i="6"/>
  <c r="S323" i="6"/>
  <c r="N45" i="6"/>
  <c r="S39" i="6" s="1"/>
  <c r="E12" i="7" s="1"/>
  <c r="V53" i="6"/>
  <c r="F14" i="7" s="1"/>
  <c r="J14" i="7" s="1"/>
  <c r="N131" i="6"/>
  <c r="S128" i="6" s="1"/>
  <c r="X141" i="6"/>
  <c r="S199" i="6"/>
  <c r="S215" i="6"/>
  <c r="S310" i="6"/>
  <c r="S367" i="6"/>
  <c r="S406" i="6"/>
  <c r="S434" i="6"/>
  <c r="S450" i="6"/>
  <c r="S465" i="6"/>
  <c r="S487" i="6"/>
  <c r="S495" i="6"/>
  <c r="E56" i="7" s="1"/>
  <c r="S503" i="6"/>
  <c r="S511" i="6"/>
  <c r="S551" i="6"/>
  <c r="E59" i="7" s="1"/>
  <c r="S560" i="6"/>
  <c r="S696" i="6"/>
  <c r="S704" i="6"/>
  <c r="S712" i="6"/>
  <c r="S720" i="6"/>
  <c r="S728" i="6"/>
  <c r="S1325" i="6"/>
  <c r="S1334" i="6"/>
  <c r="S1348" i="6"/>
  <c r="S1357" i="6"/>
  <c r="S1570" i="6"/>
  <c r="S1575" i="6"/>
  <c r="S1578" i="6"/>
  <c r="S1591" i="6"/>
  <c r="S1603" i="6"/>
  <c r="S1608" i="6"/>
  <c r="S1869" i="6"/>
  <c r="S326" i="6"/>
  <c r="S480" i="6"/>
  <c r="S697" i="6"/>
  <c r="S705" i="6"/>
  <c r="S713" i="6"/>
  <c r="S721" i="6"/>
  <c r="S729" i="6"/>
  <c r="S1571" i="6"/>
  <c r="S1958" i="6"/>
  <c r="E137" i="7" s="1"/>
  <c r="S301" i="6"/>
  <c r="S313" i="6"/>
  <c r="S327" i="6"/>
  <c r="S481" i="6"/>
  <c r="S488" i="6"/>
  <c r="S698" i="6"/>
  <c r="S706" i="6"/>
  <c r="S714" i="6"/>
  <c r="S722" i="6"/>
  <c r="S730" i="6"/>
  <c r="S750" i="6"/>
  <c r="E70" i="7" s="1"/>
  <c r="Q1181" i="6"/>
  <c r="T1223" i="6"/>
  <c r="S1326" i="6"/>
  <c r="S1340" i="6"/>
  <c r="S1349" i="6"/>
  <c r="S1358" i="6"/>
  <c r="S1572" i="6"/>
  <c r="S1579" i="6"/>
  <c r="S1582" i="6"/>
  <c r="S1870" i="6"/>
  <c r="S26" i="6"/>
  <c r="E10" i="7" s="1"/>
  <c r="S206" i="6"/>
  <c r="S222" i="6"/>
  <c r="S288" i="6"/>
  <c r="S304" i="6"/>
  <c r="S314" i="6"/>
  <c r="S345" i="6"/>
  <c r="S359" i="6"/>
  <c r="S386" i="6"/>
  <c r="S398" i="6"/>
  <c r="S427" i="6"/>
  <c r="S461" i="6"/>
  <c r="S475" i="6"/>
  <c r="E55" i="7" s="1"/>
  <c r="S482" i="6"/>
  <c r="S490" i="6"/>
  <c r="S498" i="6"/>
  <c r="S506" i="6"/>
  <c r="S522" i="6"/>
  <c r="S562" i="6"/>
  <c r="S573" i="6"/>
  <c r="N691" i="6"/>
  <c r="S689" i="6" s="1"/>
  <c r="S699" i="6"/>
  <c r="S707" i="6"/>
  <c r="S715" i="6"/>
  <c r="S723" i="6"/>
  <c r="S731" i="6"/>
  <c r="S751" i="6"/>
  <c r="N1205" i="6"/>
  <c r="N1231" i="6" s="1"/>
  <c r="M1139" i="6"/>
  <c r="Q1139" i="6" s="1"/>
  <c r="C1238" i="6"/>
  <c r="C94" i="76" s="1"/>
  <c r="S1322" i="6"/>
  <c r="S1336" i="6"/>
  <c r="S1345" i="6"/>
  <c r="S1354" i="6"/>
  <c r="N1563" i="6"/>
  <c r="S1576" i="6"/>
  <c r="S1599" i="6"/>
  <c r="S1617" i="6"/>
  <c r="S1959" i="6"/>
  <c r="N2082" i="6"/>
  <c r="S2075" i="6" s="1"/>
  <c r="S2103" i="6"/>
  <c r="S2155" i="6"/>
  <c r="E168" i="7" s="1"/>
  <c r="S2287" i="6"/>
  <c r="E197" i="7" s="1"/>
  <c r="S57" i="6"/>
  <c r="S157" i="6"/>
  <c r="S168" i="6"/>
  <c r="E33" i="7" s="1"/>
  <c r="S176" i="6"/>
  <c r="S191" i="6"/>
  <c r="E37" i="7" s="1"/>
  <c r="S207" i="6"/>
  <c r="S223" i="6"/>
  <c r="S289" i="6"/>
  <c r="S296" i="6"/>
  <c r="S329" i="6"/>
  <c r="S376" i="6"/>
  <c r="S389" i="6"/>
  <c r="S399" i="6"/>
  <c r="S416" i="6"/>
  <c r="S428" i="6"/>
  <c r="S442" i="6"/>
  <c r="S491" i="6"/>
  <c r="S499" i="6"/>
  <c r="S507" i="6"/>
  <c r="S556" i="6"/>
  <c r="S700" i="6"/>
  <c r="S708" i="6"/>
  <c r="S716" i="6"/>
  <c r="S724" i="6"/>
  <c r="S732" i="6"/>
  <c r="S752" i="6"/>
  <c r="S1332" i="6"/>
  <c r="S1341" i="6"/>
  <c r="S1350" i="6"/>
  <c r="S1565" i="6"/>
  <c r="E111" i="7" s="1"/>
  <c r="S1573" i="6"/>
  <c r="S1583" i="6"/>
  <c r="S1588" i="6"/>
  <c r="S1618" i="6"/>
  <c r="N2044" i="6"/>
  <c r="S2042" i="6" s="1"/>
  <c r="S2278" i="6"/>
  <c r="E194" i="7" s="1"/>
  <c r="S28" i="6"/>
  <c r="S241" i="6"/>
  <c r="S307" i="6"/>
  <c r="S320" i="6"/>
  <c r="S469" i="6"/>
  <c r="S477" i="6"/>
  <c r="S484" i="6"/>
  <c r="S500" i="6"/>
  <c r="S508" i="6"/>
  <c r="S540" i="6"/>
  <c r="S557" i="6"/>
  <c r="S563" i="6"/>
  <c r="S693" i="6"/>
  <c r="E68" i="7" s="1"/>
  <c r="S701" i="6"/>
  <c r="S709" i="6"/>
  <c r="S717" i="6"/>
  <c r="S725" i="6"/>
  <c r="S733" i="6"/>
  <c r="S753" i="6"/>
  <c r="Z1243" i="6"/>
  <c r="S1566" i="6"/>
  <c r="S1577" i="6"/>
  <c r="S1580" i="6"/>
  <c r="S1956" i="6"/>
  <c r="N102" i="6"/>
  <c r="S98" i="6" s="1"/>
  <c r="S194" i="6"/>
  <c r="S210" i="6"/>
  <c r="S242" i="6"/>
  <c r="S293" i="6"/>
  <c r="E44" i="7" s="1"/>
  <c r="S308" i="6"/>
  <c r="S333" i="6"/>
  <c r="S379" i="6"/>
  <c r="S392" i="6"/>
  <c r="S402" i="6"/>
  <c r="S419" i="6"/>
  <c r="S430" i="6"/>
  <c r="S447" i="6"/>
  <c r="E53" i="7" s="1"/>
  <c r="S457" i="6"/>
  <c r="S478" i="6"/>
  <c r="S485" i="6"/>
  <c r="S501" i="6"/>
  <c r="S541" i="6"/>
  <c r="S694" i="6"/>
  <c r="S702" i="6"/>
  <c r="S710" i="6"/>
  <c r="S718" i="6"/>
  <c r="S726" i="6"/>
  <c r="AA1139" i="6"/>
  <c r="AA1141" i="6"/>
  <c r="S1324" i="6"/>
  <c r="S1333" i="6"/>
  <c r="S1342" i="6"/>
  <c r="S1356" i="6"/>
  <c r="S1567" i="6"/>
  <c r="S1620" i="6"/>
  <c r="S1799" i="6"/>
  <c r="S1868" i="6"/>
  <c r="S1875" i="6"/>
  <c r="N2015" i="6"/>
  <c r="S2002" i="6" s="1"/>
  <c r="S2026" i="6"/>
  <c r="S2107" i="6"/>
  <c r="S2173" i="6"/>
  <c r="N2214" i="6"/>
  <c r="S2213" i="6" s="1"/>
  <c r="S2279" i="6"/>
  <c r="S22" i="6"/>
  <c r="N51" i="6"/>
  <c r="S48" i="6" s="1"/>
  <c r="S58" i="6"/>
  <c r="S149" i="6"/>
  <c r="S165" i="6"/>
  <c r="S177" i="6"/>
  <c r="S186" i="6"/>
  <c r="E36" i="7" s="1"/>
  <c r="S192" i="6"/>
  <c r="S200" i="6"/>
  <c r="S208" i="6"/>
  <c r="S216" i="6"/>
  <c r="S224" i="6"/>
  <c r="S243" i="6"/>
  <c r="S290" i="6"/>
  <c r="S302" i="6"/>
  <c r="S315" i="6"/>
  <c r="S321" i="6"/>
  <c r="S328" i="6"/>
  <c r="S334" i="6"/>
  <c r="S353" i="6"/>
  <c r="E49" i="7" s="1"/>
  <c r="S368" i="6"/>
  <c r="E52" i="7" s="1"/>
  <c r="S374" i="6"/>
  <c r="S381" i="6"/>
  <c r="S387" i="6"/>
  <c r="S400" i="6"/>
  <c r="S408" i="6"/>
  <c r="S414" i="6"/>
  <c r="S429" i="6"/>
  <c r="S436" i="6"/>
  <c r="S443" i="6"/>
  <c r="S514" i="6"/>
  <c r="S523" i="6"/>
  <c r="S533" i="6"/>
  <c r="E58" i="7" s="1"/>
  <c r="S542" i="6"/>
  <c r="S552" i="6"/>
  <c r="S558" i="6"/>
  <c r="S564" i="6"/>
  <c r="S760" i="6"/>
  <c r="Z1135" i="6"/>
  <c r="AA1135" i="6" s="1"/>
  <c r="M1135" i="6"/>
  <c r="Q1135" i="6" s="1"/>
  <c r="Z1149" i="6"/>
  <c r="AA1149" i="6" s="1"/>
  <c r="M1149" i="6"/>
  <c r="Q1149" i="6" s="1"/>
  <c r="S1224" i="6"/>
  <c r="S1844" i="6"/>
  <c r="S1840" i="6"/>
  <c r="S1836" i="6"/>
  <c r="S1832" i="6"/>
  <c r="S1828" i="6"/>
  <c r="S1824" i="6"/>
  <c r="S1820" i="6"/>
  <c r="S1816" i="6"/>
  <c r="S1812" i="6"/>
  <c r="S1808" i="6"/>
  <c r="S1804" i="6"/>
  <c r="S1800" i="6"/>
  <c r="S1796" i="6"/>
  <c r="S1792" i="6"/>
  <c r="S1788" i="6"/>
  <c r="S1784" i="6"/>
  <c r="S1780" i="6"/>
  <c r="S1776" i="6"/>
  <c r="S1772" i="6"/>
  <c r="S1768" i="6"/>
  <c r="S1764" i="6"/>
  <c r="S1760" i="6"/>
  <c r="S1756" i="6"/>
  <c r="S1752" i="6"/>
  <c r="S1748" i="6"/>
  <c r="S1744" i="6"/>
  <c r="S1740" i="6"/>
  <c r="S1736" i="6"/>
  <c r="S1732" i="6"/>
  <c r="S1728" i="6"/>
  <c r="S1724" i="6"/>
  <c r="S1720" i="6"/>
  <c r="S1716" i="6"/>
  <c r="S1712" i="6"/>
  <c r="S1708" i="6"/>
  <c r="S1704" i="6"/>
  <c r="S1700" i="6"/>
  <c r="S1696" i="6"/>
  <c r="S1692" i="6"/>
  <c r="S1688" i="6"/>
  <c r="S1684" i="6"/>
  <c r="S1680" i="6"/>
  <c r="S1676" i="6"/>
  <c r="S1672" i="6"/>
  <c r="S1668" i="6"/>
  <c r="S1664" i="6"/>
  <c r="S1660" i="6"/>
  <c r="S1656" i="6"/>
  <c r="S1652" i="6"/>
  <c r="S1648" i="6"/>
  <c r="S1644" i="6"/>
  <c r="S1640" i="6"/>
  <c r="S1636" i="6"/>
  <c r="S1632" i="6"/>
  <c r="S1628" i="6"/>
  <c r="S1835" i="6"/>
  <c r="S1826" i="6"/>
  <c r="S1817" i="6"/>
  <c r="S1803" i="6"/>
  <c r="S1794" i="6"/>
  <c r="S1785" i="6"/>
  <c r="S1771" i="6"/>
  <c r="S1762" i="6"/>
  <c r="S1753" i="6"/>
  <c r="S1739" i="6"/>
  <c r="S1730" i="6"/>
  <c r="S1721" i="6"/>
  <c r="S1707" i="6"/>
  <c r="S1698" i="6"/>
  <c r="S1689" i="6"/>
  <c r="S1675" i="6"/>
  <c r="S1666" i="6"/>
  <c r="S1657" i="6"/>
  <c r="S1643" i="6"/>
  <c r="S1634" i="6"/>
  <c r="S1625" i="6"/>
  <c r="E114" i="7" s="1"/>
  <c r="S1843" i="6"/>
  <c r="S1834" i="6"/>
  <c r="S1825" i="6"/>
  <c r="S1811" i="6"/>
  <c r="S1802" i="6"/>
  <c r="S1793" i="6"/>
  <c r="S1779" i="6"/>
  <c r="S1770" i="6"/>
  <c r="S1761" i="6"/>
  <c r="S1747" i="6"/>
  <c r="S1738" i="6"/>
  <c r="S1729" i="6"/>
  <c r="S1715" i="6"/>
  <c r="S1706" i="6"/>
  <c r="S1697" i="6"/>
  <c r="S1683" i="6"/>
  <c r="S1674" i="6"/>
  <c r="S1665" i="6"/>
  <c r="S1651" i="6"/>
  <c r="S1642" i="6"/>
  <c r="S1633" i="6"/>
  <c r="S1838" i="6"/>
  <c r="S1829" i="6"/>
  <c r="S1815" i="6"/>
  <c r="S1806" i="6"/>
  <c r="S1797" i="6"/>
  <c r="S1783" i="6"/>
  <c r="S1774" i="6"/>
  <c r="S1765" i="6"/>
  <c r="S1751" i="6"/>
  <c r="S1742" i="6"/>
  <c r="S1733" i="6"/>
  <c r="S1719" i="6"/>
  <c r="S1710" i="6"/>
  <c r="S1701" i="6"/>
  <c r="S1687" i="6"/>
  <c r="S1678" i="6"/>
  <c r="S1669" i="6"/>
  <c r="S1655" i="6"/>
  <c r="S1646" i="6"/>
  <c r="S1637" i="6"/>
  <c r="S1842" i="6"/>
  <c r="S1833" i="6"/>
  <c r="S1819" i="6"/>
  <c r="S1810" i="6"/>
  <c r="S1801" i="6"/>
  <c r="S1787" i="6"/>
  <c r="S1778" i="6"/>
  <c r="S1769" i="6"/>
  <c r="S1755" i="6"/>
  <c r="S1746" i="6"/>
  <c r="S1737" i="6"/>
  <c r="S1723" i="6"/>
  <c r="S1714" i="6"/>
  <c r="S1705" i="6"/>
  <c r="S1691" i="6"/>
  <c r="S1682" i="6"/>
  <c r="S1673" i="6"/>
  <c r="S1659" i="6"/>
  <c r="S1650" i="6"/>
  <c r="S1641" i="6"/>
  <c r="S1627" i="6"/>
  <c r="S1837" i="6"/>
  <c r="S1823" i="6"/>
  <c r="S1814" i="6"/>
  <c r="S1805" i="6"/>
  <c r="S1791" i="6"/>
  <c r="S1782" i="6"/>
  <c r="S1773" i="6"/>
  <c r="S1759" i="6"/>
  <c r="S1750" i="6"/>
  <c r="S1741" i="6"/>
  <c r="S1727" i="6"/>
  <c r="S1718" i="6"/>
  <c r="S1709" i="6"/>
  <c r="S1695" i="6"/>
  <c r="S1686" i="6"/>
  <c r="S1677" i="6"/>
  <c r="S1663" i="6"/>
  <c r="S1654" i="6"/>
  <c r="S1645" i="6"/>
  <c r="S1631" i="6"/>
  <c r="S1841" i="6"/>
  <c r="S1827" i="6"/>
  <c r="S1818" i="6"/>
  <c r="S1809" i="6"/>
  <c r="S1795" i="6"/>
  <c r="S1786" i="6"/>
  <c r="S1777" i="6"/>
  <c r="S1763" i="6"/>
  <c r="S1754" i="6"/>
  <c r="S1745" i="6"/>
  <c r="S1731" i="6"/>
  <c r="S1722" i="6"/>
  <c r="S1713" i="6"/>
  <c r="S1699" i="6"/>
  <c r="S1690" i="6"/>
  <c r="S1681" i="6"/>
  <c r="S1667" i="6"/>
  <c r="S1658" i="6"/>
  <c r="S1649" i="6"/>
  <c r="S1635" i="6"/>
  <c r="S1626" i="6"/>
  <c r="S59" i="6"/>
  <c r="E15" i="7" s="1"/>
  <c r="N68" i="6"/>
  <c r="S66" i="6" s="1"/>
  <c r="S150" i="6"/>
  <c r="S178" i="6"/>
  <c r="S303" i="6"/>
  <c r="S309" i="6"/>
  <c r="S316" i="6"/>
  <c r="S322" i="6"/>
  <c r="S335" i="6"/>
  <c r="S369" i="6"/>
  <c r="S375" i="6"/>
  <c r="S388" i="6"/>
  <c r="S394" i="6"/>
  <c r="S409" i="6"/>
  <c r="S415" i="6"/>
  <c r="S422" i="6"/>
  <c r="S437" i="6"/>
  <c r="S454" i="6"/>
  <c r="E54" i="7" s="1"/>
  <c r="S458" i="6"/>
  <c r="S462" i="6"/>
  <c r="S466" i="6"/>
  <c r="S470" i="6"/>
  <c r="S515" i="6"/>
  <c r="E57" i="7" s="1"/>
  <c r="S524" i="6"/>
  <c r="S534" i="6"/>
  <c r="S543" i="6"/>
  <c r="Z1151" i="6"/>
  <c r="AA1151" i="6" s="1"/>
  <c r="S1562" i="6"/>
  <c r="S1554" i="6"/>
  <c r="S1560" i="6"/>
  <c r="S1555" i="6"/>
  <c r="S1561" i="6"/>
  <c r="S1559" i="6"/>
  <c r="S1558" i="6"/>
  <c r="S1557" i="6"/>
  <c r="N143" i="6"/>
  <c r="S141" i="6" s="1"/>
  <c r="S151" i="6"/>
  <c r="S227" i="6"/>
  <c r="E38" i="7" s="1"/>
  <c r="S439" i="6"/>
  <c r="S433" i="6"/>
  <c r="S426" i="6"/>
  <c r="S420" i="6"/>
  <c r="S407" i="6"/>
  <c r="S401" i="6"/>
  <c r="S516" i="6"/>
  <c r="S535" i="6"/>
  <c r="S544" i="6"/>
  <c r="Z1145" i="6"/>
  <c r="AA1145" i="6" s="1"/>
  <c r="M1145" i="6"/>
  <c r="Q1145" i="6" s="1"/>
  <c r="Z1147" i="6"/>
  <c r="AA1147" i="6" s="1"/>
  <c r="S1556" i="6"/>
  <c r="S2151" i="6"/>
  <c r="E167" i="7" s="1"/>
  <c r="S2150" i="6"/>
  <c r="S2149" i="6"/>
  <c r="S2152" i="6"/>
  <c r="S529" i="6"/>
  <c r="S521" i="6"/>
  <c r="S1893" i="6"/>
  <c r="S1889" i="6"/>
  <c r="S1892" i="6"/>
  <c r="S1888" i="6"/>
  <c r="E123" i="7" s="1"/>
  <c r="S1891" i="6"/>
  <c r="S16" i="6"/>
  <c r="E8" i="7" s="1"/>
  <c r="N123" i="6"/>
  <c r="S122" i="6" s="1"/>
  <c r="S152" i="6"/>
  <c r="S173" i="6"/>
  <c r="S179" i="6"/>
  <c r="S195" i="6"/>
  <c r="S203" i="6"/>
  <c r="S211" i="6"/>
  <c r="S219" i="6"/>
  <c r="S228" i="6"/>
  <c r="S311" i="6"/>
  <c r="S317" i="6"/>
  <c r="S324" i="6"/>
  <c r="S330" i="6"/>
  <c r="S338" i="6"/>
  <c r="E46" i="7" s="1"/>
  <c r="S364" i="6"/>
  <c r="S370" i="6"/>
  <c r="S377" i="6"/>
  <c r="S383" i="6"/>
  <c r="S396" i="6"/>
  <c r="S403" i="6"/>
  <c r="S410" i="6"/>
  <c r="S417" i="6"/>
  <c r="S424" i="6"/>
  <c r="S431" i="6"/>
  <c r="S438" i="6"/>
  <c r="S455" i="6"/>
  <c r="S459" i="6"/>
  <c r="S463" i="6"/>
  <c r="S467" i="6"/>
  <c r="S471" i="6"/>
  <c r="S517" i="6"/>
  <c r="S526" i="6"/>
  <c r="S536" i="6"/>
  <c r="S545" i="6"/>
  <c r="N608" i="6"/>
  <c r="S602" i="6" s="1"/>
  <c r="Z1157" i="6"/>
  <c r="AA1157" i="6" s="1"/>
  <c r="M1157" i="6"/>
  <c r="Q1157" i="6" s="1"/>
  <c r="S1953" i="6"/>
  <c r="E136" i="7" s="1"/>
  <c r="S1955" i="6"/>
  <c r="S1969" i="6"/>
  <c r="S17" i="6"/>
  <c r="S145" i="6"/>
  <c r="E30" i="7" s="1"/>
  <c r="S153" i="6"/>
  <c r="S169" i="6"/>
  <c r="S174" i="6"/>
  <c r="E34" i="7" s="1"/>
  <c r="S181" i="6"/>
  <c r="E35" i="7" s="1"/>
  <c r="S196" i="6"/>
  <c r="S204" i="6"/>
  <c r="S212" i="6"/>
  <c r="S220" i="6"/>
  <c r="S229" i="6"/>
  <c r="S305" i="6"/>
  <c r="S312" i="6"/>
  <c r="S318" i="6"/>
  <c r="S331" i="6"/>
  <c r="S339" i="6"/>
  <c r="S348" i="6"/>
  <c r="E48" i="7" s="1"/>
  <c r="S371" i="6"/>
  <c r="S384" i="6"/>
  <c r="S390" i="6"/>
  <c r="S397" i="6"/>
  <c r="S404" i="6"/>
  <c r="S411" i="6"/>
  <c r="S425" i="6"/>
  <c r="S432" i="6"/>
  <c r="S440" i="6"/>
  <c r="S448" i="6"/>
  <c r="S489" i="6"/>
  <c r="S483" i="6"/>
  <c r="S476" i="6"/>
  <c r="S518" i="6"/>
  <c r="S527" i="6"/>
  <c r="S537" i="6"/>
  <c r="S547" i="6"/>
  <c r="S555" i="6"/>
  <c r="S585" i="6"/>
  <c r="S1616" i="6"/>
  <c r="S1612" i="6"/>
  <c r="S1615" i="6"/>
  <c r="S1610" i="6"/>
  <c r="S1606" i="6"/>
  <c r="S1602" i="6"/>
  <c r="S1598" i="6"/>
  <c r="S1594" i="6"/>
  <c r="S1590" i="6"/>
  <c r="S1586" i="6"/>
  <c r="S1614" i="6"/>
  <c r="S1609" i="6"/>
  <c r="S1605" i="6"/>
  <c r="S1601" i="6"/>
  <c r="S1597" i="6"/>
  <c r="S1593" i="6"/>
  <c r="S1589" i="6"/>
  <c r="S1585" i="6"/>
  <c r="S1613" i="6"/>
  <c r="S1904" i="6"/>
  <c r="S1903" i="6"/>
  <c r="S1902" i="6"/>
  <c r="E125" i="7" s="1"/>
  <c r="N57" i="6"/>
  <c r="S54" i="6" s="1"/>
  <c r="S61" i="6"/>
  <c r="S146" i="6"/>
  <c r="S154" i="6"/>
  <c r="S182" i="6"/>
  <c r="S197" i="6"/>
  <c r="S205" i="6"/>
  <c r="S213" i="6"/>
  <c r="S300" i="6"/>
  <c r="E45" i="7" s="1"/>
  <c r="S306" i="6"/>
  <c r="S319" i="6"/>
  <c r="S325" i="6"/>
  <c r="S349" i="6"/>
  <c r="S372" i="6"/>
  <c r="S378" i="6"/>
  <c r="S385" i="6"/>
  <c r="S391" i="6"/>
  <c r="S405" i="6"/>
  <c r="S412" i="6"/>
  <c r="S418" i="6"/>
  <c r="S441" i="6"/>
  <c r="S456" i="6"/>
  <c r="S460" i="6"/>
  <c r="S464" i="6"/>
  <c r="S468" i="6"/>
  <c r="S519" i="6"/>
  <c r="S528" i="6"/>
  <c r="S539" i="6"/>
  <c r="S568" i="6"/>
  <c r="S565" i="6"/>
  <c r="S559" i="6"/>
  <c r="S554" i="6"/>
  <c r="N638" i="6"/>
  <c r="S633" i="6" s="1"/>
  <c r="N685" i="6"/>
  <c r="S675" i="6" s="1"/>
  <c r="S757" i="6"/>
  <c r="E71" i="7" s="1"/>
  <c r="Q1192" i="6"/>
  <c r="S1595" i="6"/>
  <c r="S1600" i="6"/>
  <c r="S1611" i="6"/>
  <c r="S1775" i="6"/>
  <c r="S1789" i="6"/>
  <c r="S1822" i="6"/>
  <c r="S1894" i="6"/>
  <c r="S147" i="6"/>
  <c r="S520" i="6"/>
  <c r="S530" i="6"/>
  <c r="S546" i="6"/>
  <c r="S538" i="6"/>
  <c r="N748" i="6"/>
  <c r="S737" i="6" s="1"/>
  <c r="E69" i="7" s="1"/>
  <c r="Z1153" i="6"/>
  <c r="AA1153" i="6" s="1"/>
  <c r="S1849" i="6"/>
  <c r="S1848" i="6"/>
  <c r="S1878" i="6"/>
  <c r="S1895" i="6"/>
  <c r="S1938" i="6"/>
  <c r="N815" i="6"/>
  <c r="S811" i="6" s="1"/>
  <c r="Z1143" i="6"/>
  <c r="AA1143" i="6" s="1"/>
  <c r="M1143" i="6"/>
  <c r="Q1143" i="6" s="1"/>
  <c r="AA1161" i="6"/>
  <c r="C1233" i="6"/>
  <c r="C96" i="7" s="1"/>
  <c r="N1288" i="6"/>
  <c r="S1252" i="6" s="1"/>
  <c r="S1883" i="6"/>
  <c r="S2216" i="6"/>
  <c r="E181" i="7" s="1"/>
  <c r="S1857" i="6"/>
  <c r="S1856" i="6"/>
  <c r="S1855" i="6"/>
  <c r="S1854" i="6"/>
  <c r="S1884" i="6"/>
  <c r="S1899" i="6"/>
  <c r="S1898" i="6"/>
  <c r="S1897" i="6"/>
  <c r="S1896" i="6"/>
  <c r="E124" i="7" s="1"/>
  <c r="N1915" i="6"/>
  <c r="S1910" i="6" s="1"/>
  <c r="S1863" i="6"/>
  <c r="S1862" i="6"/>
  <c r="S1980" i="6"/>
  <c r="S1979" i="6"/>
  <c r="E141" i="7" s="1"/>
  <c r="S1978" i="6"/>
  <c r="S2171" i="6"/>
  <c r="S2170" i="6"/>
  <c r="E171" i="7" s="1"/>
  <c r="S2169" i="6"/>
  <c r="S1882" i="6"/>
  <c r="S1874" i="6"/>
  <c r="E122" i="7" s="1"/>
  <c r="S1881" i="6"/>
  <c r="S1880" i="6"/>
  <c r="S1879" i="6"/>
  <c r="S1975" i="6"/>
  <c r="S1974" i="6"/>
  <c r="E140" i="7" s="1"/>
  <c r="S1999" i="6"/>
  <c r="S1998" i="6"/>
  <c r="S1997" i="6"/>
  <c r="E145" i="7" s="1"/>
  <c r="S336" i="6"/>
  <c r="S494" i="6"/>
  <c r="N1024" i="6"/>
  <c r="S1008" i="6" s="1"/>
  <c r="M1153" i="6"/>
  <c r="M1161" i="6"/>
  <c r="Q1161" i="6" s="1"/>
  <c r="C1227" i="6"/>
  <c r="C92" i="76" s="1"/>
  <c r="S1850" i="6"/>
  <c r="S1876" i="6"/>
  <c r="S1977" i="6"/>
  <c r="S2023" i="6"/>
  <c r="S2022" i="6"/>
  <c r="S2021" i="6"/>
  <c r="S2020" i="6"/>
  <c r="S2027" i="6"/>
  <c r="S2072" i="6"/>
  <c r="S2071" i="6"/>
  <c r="S2070" i="6"/>
  <c r="S2069" i="6"/>
  <c r="S2068" i="6"/>
  <c r="E153" i="7" s="1"/>
  <c r="S2168" i="6"/>
  <c r="S25" i="6"/>
  <c r="S166" i="6"/>
  <c r="S692" i="6"/>
  <c r="S1222" i="6"/>
  <c r="S1951" i="6"/>
  <c r="S2176" i="6"/>
  <c r="S292" i="6"/>
  <c r="S591" i="6"/>
  <c r="S1858" i="6"/>
  <c r="S2188" i="6"/>
  <c r="S15" i="6"/>
  <c r="S232" i="6"/>
  <c r="S341" i="6"/>
  <c r="S513" i="6"/>
  <c r="M1141" i="6"/>
  <c r="M1167" i="6"/>
  <c r="S1323" i="6"/>
  <c r="S1327" i="6"/>
  <c r="S1331" i="6"/>
  <c r="S1335" i="6"/>
  <c r="S1339" i="6"/>
  <c r="S1343" i="6"/>
  <c r="S1347" i="6"/>
  <c r="S1351" i="6"/>
  <c r="S1355" i="6"/>
  <c r="S1569" i="6"/>
  <c r="S1574" i="6"/>
  <c r="S1867" i="6"/>
  <c r="E119" i="7" s="1"/>
  <c r="S1932" i="6"/>
  <c r="E132" i="7" s="1"/>
  <c r="S2200" i="6"/>
  <c r="E178" i="7" s="1"/>
  <c r="S2275" i="6"/>
  <c r="S1933" i="6"/>
  <c r="S190" i="6"/>
  <c r="S298" i="6"/>
  <c r="S474" i="6"/>
  <c r="N1965" i="6"/>
  <c r="N1966" i="6" s="1"/>
  <c r="N2168" i="6"/>
  <c r="S2166" i="6" s="1"/>
  <c r="S2276" i="6"/>
  <c r="S20" i="6"/>
  <c r="S239" i="6"/>
  <c r="S2214" i="6"/>
  <c r="N2052" i="6"/>
  <c r="S2044" i="6" s="1"/>
  <c r="N2124" i="6"/>
  <c r="S2122" i="6" s="1"/>
  <c r="S180" i="6"/>
  <c r="S583" i="6"/>
  <c r="N972" i="6"/>
  <c r="S958" i="6" s="1"/>
  <c r="T635" i="6"/>
  <c r="T761" i="6"/>
  <c r="T98" i="6"/>
  <c r="T152" i="6"/>
  <c r="T148" i="6"/>
  <c r="T16" i="6"/>
  <c r="D8" i="7" s="1"/>
  <c r="T49" i="6"/>
  <c r="T237" i="6"/>
  <c r="T642" i="6"/>
  <c r="T674" i="6"/>
  <c r="T745" i="6"/>
  <c r="T69" i="6"/>
  <c r="T526" i="6"/>
  <c r="T662" i="6"/>
  <c r="T808" i="6"/>
  <c r="T514" i="6"/>
  <c r="T650" i="6"/>
  <c r="T1925" i="6"/>
  <c r="T2153" i="6"/>
  <c r="C55" i="7"/>
  <c r="T233" i="6"/>
  <c r="D39" i="7" s="1"/>
  <c r="T670" i="6"/>
  <c r="T741" i="6"/>
  <c r="T522" i="6"/>
  <c r="T658" i="6"/>
  <c r="T530" i="6"/>
  <c r="T666" i="6"/>
  <c r="T812" i="6"/>
  <c r="T1239" i="6"/>
  <c r="T50" i="6"/>
  <c r="T518" i="6"/>
  <c r="T654" i="6"/>
  <c r="T91" i="6"/>
  <c r="C35" i="7"/>
  <c r="T9" i="6"/>
  <c r="T41" i="6"/>
  <c r="T67" i="6"/>
  <c r="T141" i="6"/>
  <c r="T191" i="6"/>
  <c r="D37" i="7" s="1"/>
  <c r="T195" i="6"/>
  <c r="T199" i="6"/>
  <c r="T203" i="6"/>
  <c r="T207" i="6"/>
  <c r="T211" i="6"/>
  <c r="T215" i="6"/>
  <c r="T219" i="6"/>
  <c r="T223" i="6"/>
  <c r="S446" i="6"/>
  <c r="T963" i="6"/>
  <c r="T971" i="6"/>
  <c r="T66" i="6"/>
  <c r="T137" i="6"/>
  <c r="T292" i="6"/>
  <c r="T301" i="6"/>
  <c r="T305" i="6"/>
  <c r="T309" i="6"/>
  <c r="T313" i="6"/>
  <c r="T317" i="6"/>
  <c r="T321" i="6"/>
  <c r="T325" i="6"/>
  <c r="T329" i="6"/>
  <c r="T333" i="6"/>
  <c r="T339" i="6"/>
  <c r="T476" i="6"/>
  <c r="T480" i="6"/>
  <c r="T484" i="6"/>
  <c r="T488" i="6"/>
  <c r="T492" i="6"/>
  <c r="T616" i="6"/>
  <c r="T629" i="6"/>
  <c r="T928" i="6"/>
  <c r="T934" i="6"/>
  <c r="T938" i="6"/>
  <c r="T942" i="6"/>
  <c r="T946" i="6"/>
  <c r="T950" i="6"/>
  <c r="T954" i="6"/>
  <c r="T958" i="6"/>
  <c r="T964" i="6"/>
  <c r="T1203" i="6"/>
  <c r="T1876" i="6"/>
  <c r="T196" i="6"/>
  <c r="T606" i="6"/>
  <c r="T1204" i="6"/>
  <c r="T38" i="6"/>
  <c r="T63" i="6"/>
  <c r="T192" i="6"/>
  <c r="S286" i="6"/>
  <c r="T302" i="6"/>
  <c r="T306" i="6"/>
  <c r="T310" i="6"/>
  <c r="T314" i="6"/>
  <c r="T318" i="6"/>
  <c r="T322" i="6"/>
  <c r="T326" i="6"/>
  <c r="T330" i="6"/>
  <c r="T334" i="6"/>
  <c r="T477" i="6"/>
  <c r="T481" i="6"/>
  <c r="T485" i="6"/>
  <c r="T489" i="6"/>
  <c r="T501" i="6"/>
  <c r="S582" i="6"/>
  <c r="T611" i="6"/>
  <c r="T935" i="6"/>
  <c r="T939" i="6"/>
  <c r="T943" i="6"/>
  <c r="T947" i="6"/>
  <c r="T951" i="6"/>
  <c r="T955" i="6"/>
  <c r="T959" i="6"/>
  <c r="T966" i="6"/>
  <c r="T42" i="6"/>
  <c r="T200" i="6"/>
  <c r="T208" i="6"/>
  <c r="T216" i="6"/>
  <c r="T220" i="6"/>
  <c r="S285" i="6"/>
  <c r="C21" i="7"/>
  <c r="T39" i="6"/>
  <c r="D12" i="7" s="1"/>
  <c r="T43" i="6"/>
  <c r="T90" i="6"/>
  <c r="T132" i="6"/>
  <c r="T139" i="6"/>
  <c r="T142" i="6"/>
  <c r="T193" i="6"/>
  <c r="T197" i="6"/>
  <c r="T201" i="6"/>
  <c r="T205" i="6"/>
  <c r="T209" i="6"/>
  <c r="T213" i="6"/>
  <c r="T217" i="6"/>
  <c r="T221" i="6"/>
  <c r="S590" i="6"/>
  <c r="T625" i="6"/>
  <c r="T929" i="6"/>
  <c r="T960" i="6"/>
  <c r="T967" i="6"/>
  <c r="T1205" i="6"/>
  <c r="T931" i="6"/>
  <c r="T140" i="6"/>
  <c r="T138" i="6"/>
  <c r="S184" i="6"/>
  <c r="T227" i="6"/>
  <c r="D38" i="7" s="1"/>
  <c r="T303" i="6"/>
  <c r="T307" i="6"/>
  <c r="T311" i="6"/>
  <c r="T315" i="6"/>
  <c r="T319" i="6"/>
  <c r="T323" i="6"/>
  <c r="T327" i="6"/>
  <c r="T331" i="6"/>
  <c r="T478" i="6"/>
  <c r="T482" i="6"/>
  <c r="T486" i="6"/>
  <c r="T591" i="6"/>
  <c r="T757" i="6"/>
  <c r="D71" i="7" s="1"/>
  <c r="T926" i="6"/>
  <c r="D81" i="7" s="1"/>
  <c r="T932" i="6"/>
  <c r="T936" i="6"/>
  <c r="T940" i="6"/>
  <c r="T944" i="6"/>
  <c r="T948" i="6"/>
  <c r="T952" i="6"/>
  <c r="T956" i="6"/>
  <c r="T968" i="6"/>
  <c r="T1400" i="6"/>
  <c r="T299" i="6"/>
  <c r="T597" i="6"/>
  <c r="T1009" i="6"/>
  <c r="T204" i="6"/>
  <c r="T212" i="6"/>
  <c r="T224" i="6"/>
  <c r="T965" i="6"/>
  <c r="T190" i="6"/>
  <c r="T194" i="6"/>
  <c r="T198" i="6"/>
  <c r="T202" i="6"/>
  <c r="T206" i="6"/>
  <c r="T210" i="6"/>
  <c r="T214" i="6"/>
  <c r="T218" i="6"/>
  <c r="T497" i="6"/>
  <c r="T511" i="6"/>
  <c r="T620" i="6"/>
  <c r="T927" i="6"/>
  <c r="T961" i="6"/>
  <c r="T1396" i="6"/>
  <c r="T749" i="6"/>
  <c r="T230" i="6"/>
  <c r="T338" i="6"/>
  <c r="D46" i="7" s="1"/>
  <c r="S453" i="6"/>
  <c r="T496" i="6"/>
  <c r="T505" i="6"/>
  <c r="T610" i="6"/>
  <c r="D65" i="7" s="1"/>
  <c r="T615" i="6"/>
  <c r="T624" i="6"/>
  <c r="T2080" i="6"/>
  <c r="T5" i="6"/>
  <c r="T1935" i="6"/>
  <c r="C131" i="7"/>
  <c r="T100" i="6"/>
  <c r="T145" i="6"/>
  <c r="D30" i="7" s="1"/>
  <c r="T149" i="6"/>
  <c r="T153" i="6"/>
  <c r="T507" i="6"/>
  <c r="T612" i="6"/>
  <c r="T621" i="6"/>
  <c r="T631" i="6"/>
  <c r="T762" i="6"/>
  <c r="S1623" i="6"/>
  <c r="T228" i="6"/>
  <c r="T503" i="6"/>
  <c r="T512" i="6"/>
  <c r="T617" i="6"/>
  <c r="T636" i="6"/>
  <c r="T758" i="6"/>
  <c r="T1623" i="6"/>
  <c r="T1884" i="6"/>
  <c r="C44" i="7"/>
  <c r="C63" i="7"/>
  <c r="C102" i="7"/>
  <c r="T101" i="6"/>
  <c r="T146" i="6"/>
  <c r="T150" i="6"/>
  <c r="T154" i="6"/>
  <c r="T499" i="6"/>
  <c r="T508" i="6"/>
  <c r="T613" i="6"/>
  <c r="T627" i="6"/>
  <c r="T632" i="6"/>
  <c r="T1208" i="6"/>
  <c r="D91" i="7" s="1"/>
  <c r="S1624" i="6"/>
  <c r="C54" i="7"/>
  <c r="T7" i="6"/>
  <c r="D7" i="7" s="1"/>
  <c r="T97" i="6"/>
  <c r="D22" i="7" s="1"/>
  <c r="T495" i="6"/>
  <c r="D56" i="7" s="1"/>
  <c r="T504" i="6"/>
  <c r="T623" i="6"/>
  <c r="T637" i="6"/>
  <c r="T759" i="6"/>
  <c r="T1398" i="6"/>
  <c r="T1624" i="6"/>
  <c r="T1939" i="6"/>
  <c r="C16" i="7"/>
  <c r="C36" i="7"/>
  <c r="C118" i="7"/>
  <c r="T147" i="6"/>
  <c r="T151" i="6"/>
  <c r="T500" i="6"/>
  <c r="T509" i="6"/>
  <c r="T619" i="6"/>
  <c r="T628" i="6"/>
  <c r="T633" i="6"/>
  <c r="T1880" i="6"/>
  <c r="T2079" i="6"/>
  <c r="T184" i="6"/>
  <c r="S185" i="6"/>
  <c r="S291" i="6"/>
  <c r="T291" i="6"/>
  <c r="S452" i="6"/>
  <c r="T452" i="6"/>
  <c r="T538" i="6"/>
  <c r="T1099" i="6"/>
  <c r="T189" i="6"/>
  <c r="T828" i="6"/>
  <c r="T546" i="6"/>
  <c r="T1106" i="6"/>
  <c r="T1115" i="6"/>
  <c r="T1559" i="6"/>
  <c r="C154" i="7"/>
  <c r="T241" i="6"/>
  <c r="T534" i="6"/>
  <c r="T2024" i="6"/>
  <c r="T824" i="6"/>
  <c r="T1122" i="6"/>
  <c r="T1897" i="6"/>
  <c r="T542" i="6"/>
  <c r="T1219" i="6"/>
  <c r="T1555" i="6"/>
  <c r="T2094" i="6"/>
  <c r="C17" i="7"/>
  <c r="C133" i="7"/>
  <c r="T2020" i="6"/>
  <c r="T820" i="6"/>
  <c r="T1544" i="6"/>
  <c r="S1936" i="6"/>
  <c r="T73" i="6"/>
  <c r="T157" i="6"/>
  <c r="T55" i="6"/>
  <c r="T56" i="6"/>
  <c r="S231" i="6"/>
  <c r="T246" i="6"/>
  <c r="D41" i="7" s="1"/>
  <c r="T254" i="6"/>
  <c r="T262" i="6"/>
  <c r="T270" i="6"/>
  <c r="T278" i="6"/>
  <c r="T78" i="6"/>
  <c r="S156" i="6"/>
  <c r="T247" i="6"/>
  <c r="T255" i="6"/>
  <c r="T263" i="6"/>
  <c r="T271" i="6"/>
  <c r="T279" i="6"/>
  <c r="T551" i="6"/>
  <c r="D59" i="7" s="1"/>
  <c r="T555" i="6"/>
  <c r="T559" i="6"/>
  <c r="T563" i="6"/>
  <c r="T567" i="6"/>
  <c r="T249" i="6"/>
  <c r="T257" i="6"/>
  <c r="T265" i="6"/>
  <c r="T552" i="6"/>
  <c r="T556" i="6"/>
  <c r="T560" i="6"/>
  <c r="T564" i="6"/>
  <c r="T2230" i="6"/>
  <c r="C49" i="7"/>
  <c r="T1227" i="6"/>
  <c r="T893" i="6"/>
  <c r="T22" i="6"/>
  <c r="T106" i="6"/>
  <c r="T350" i="6"/>
  <c r="T690" i="6"/>
  <c r="T1101" i="6"/>
  <c r="T1108" i="6"/>
  <c r="T1117" i="6"/>
  <c r="T1124" i="6"/>
  <c r="T1545" i="6"/>
  <c r="T1552" i="6"/>
  <c r="S1972" i="6"/>
  <c r="T2015" i="6"/>
  <c r="T163" i="6"/>
  <c r="D32" i="7" s="1"/>
  <c r="T242" i="6"/>
  <c r="T535" i="6"/>
  <c r="T539" i="6"/>
  <c r="T543" i="6"/>
  <c r="T547" i="6"/>
  <c r="T821" i="6"/>
  <c r="T825" i="6"/>
  <c r="T829" i="6"/>
  <c r="T1092" i="6"/>
  <c r="T1103" i="6"/>
  <c r="T1110" i="6"/>
  <c r="T1119" i="6"/>
  <c r="T1126" i="6"/>
  <c r="T1220" i="6"/>
  <c r="T1546" i="6"/>
  <c r="T1556" i="6"/>
  <c r="T1560" i="6"/>
  <c r="T1898" i="6"/>
  <c r="S1973" i="6"/>
  <c r="T2016" i="6"/>
  <c r="T2021" i="6"/>
  <c r="T2025" i="6"/>
  <c r="T2095" i="6"/>
  <c r="T23" i="6"/>
  <c r="T68" i="6"/>
  <c r="T103" i="6"/>
  <c r="T817" i="6"/>
  <c r="D75" i="7" s="1"/>
  <c r="T1093" i="6"/>
  <c r="T1096" i="6"/>
  <c r="T1105" i="6"/>
  <c r="T1112" i="6"/>
  <c r="T1121" i="6"/>
  <c r="T1128" i="6"/>
  <c r="T1360" i="6"/>
  <c r="T1547" i="6"/>
  <c r="T1553" i="6"/>
  <c r="T2017" i="6"/>
  <c r="D147" i="7" s="1"/>
  <c r="T2096" i="6"/>
  <c r="T2256" i="6"/>
  <c r="C56" i="7"/>
  <c r="T164" i="6"/>
  <c r="T243" i="6"/>
  <c r="T536" i="6"/>
  <c r="T540" i="6"/>
  <c r="T544" i="6"/>
  <c r="T548" i="6"/>
  <c r="T687" i="6"/>
  <c r="D67" i="7" s="1"/>
  <c r="T818" i="6"/>
  <c r="T822" i="6"/>
  <c r="T826" i="6"/>
  <c r="T1094" i="6"/>
  <c r="T1098" i="6"/>
  <c r="T1107" i="6"/>
  <c r="T1114" i="6"/>
  <c r="T1123" i="6"/>
  <c r="T1548" i="6"/>
  <c r="T1557" i="6"/>
  <c r="T1561" i="6"/>
  <c r="T1895" i="6"/>
  <c r="T1899" i="6"/>
  <c r="T2018" i="6"/>
  <c r="T2022" i="6"/>
  <c r="T2026" i="6"/>
  <c r="C46" i="7"/>
  <c r="T20" i="6"/>
  <c r="T348" i="6"/>
  <c r="D48" i="7" s="1"/>
  <c r="T688" i="6"/>
  <c r="T1100" i="6"/>
  <c r="T1109" i="6"/>
  <c r="T1116" i="6"/>
  <c r="T1125" i="6"/>
  <c r="T1541" i="6"/>
  <c r="T1549" i="6"/>
  <c r="T2019" i="6"/>
  <c r="T2097" i="6"/>
  <c r="S337" i="6"/>
  <c r="T533" i="6"/>
  <c r="D58" i="7" s="1"/>
  <c r="T537" i="6"/>
  <c r="T541" i="6"/>
  <c r="T819" i="6"/>
  <c r="T823" i="6"/>
  <c r="T1095" i="6"/>
  <c r="T1102" i="6"/>
  <c r="T1111" i="6"/>
  <c r="T1118" i="6"/>
  <c r="T1127" i="6"/>
  <c r="T1542" i="6"/>
  <c r="T1550" i="6"/>
  <c r="T1554" i="6"/>
  <c r="T1558" i="6"/>
  <c r="T1562" i="6"/>
  <c r="T1896" i="6"/>
  <c r="D124" i="7" s="1"/>
  <c r="S1935" i="6"/>
  <c r="T2023" i="6"/>
  <c r="T2092" i="6"/>
  <c r="D156" i="7" s="1"/>
  <c r="T162" i="6"/>
  <c r="T346" i="6"/>
  <c r="T532" i="6"/>
  <c r="T1097" i="6"/>
  <c r="T1104" i="6"/>
  <c r="T1113" i="6"/>
  <c r="T1543" i="6"/>
  <c r="D110" i="7" s="1"/>
  <c r="C59" i="7"/>
  <c r="C68" i="7"/>
  <c r="T120" i="6"/>
  <c r="T25" i="6"/>
  <c r="C173" i="7"/>
  <c r="T244" i="6"/>
  <c r="C94" i="7"/>
  <c r="S24" i="6"/>
  <c r="T36" i="6"/>
  <c r="T167" i="6"/>
  <c r="T287" i="6"/>
  <c r="D43" i="7" s="1"/>
  <c r="S549" i="6"/>
  <c r="T584" i="6"/>
  <c r="D62" i="7" s="1"/>
  <c r="T144" i="6"/>
  <c r="T226" i="6"/>
  <c r="C33" i="7"/>
  <c r="T113" i="6"/>
  <c r="T245" i="6"/>
  <c r="T585" i="6"/>
  <c r="C136" i="7"/>
  <c r="T61" i="6"/>
  <c r="T80" i="6"/>
  <c r="T115" i="6"/>
  <c r="D27" i="7" s="1"/>
  <c r="T449" i="6"/>
  <c r="C148" i="7"/>
  <c r="T116" i="6"/>
  <c r="T290" i="6"/>
  <c r="T891" i="6"/>
  <c r="T2222" i="6"/>
  <c r="T35" i="6"/>
  <c r="T58" i="6"/>
  <c r="T180" i="6"/>
  <c r="T887" i="6"/>
  <c r="C10" i="7"/>
  <c r="T286" i="6"/>
  <c r="T445" i="6"/>
  <c r="T588" i="6"/>
  <c r="T83" i="6"/>
  <c r="T166" i="6"/>
  <c r="T181" i="6"/>
  <c r="D35" i="7" s="1"/>
  <c r="T337" i="6"/>
  <c r="S493" i="6"/>
  <c r="S143" i="6"/>
  <c r="S225" i="6"/>
  <c r="T493" i="6"/>
  <c r="T143" i="6"/>
  <c r="T225" i="6"/>
  <c r="S755" i="6"/>
  <c r="C38" i="7"/>
  <c r="S144" i="6"/>
  <c r="S226" i="6"/>
  <c r="S756" i="6"/>
  <c r="C30" i="7"/>
  <c r="T84" i="6"/>
  <c r="T114" i="6"/>
  <c r="T119" i="6"/>
  <c r="S167" i="6"/>
  <c r="T448" i="6"/>
  <c r="T888" i="6"/>
  <c r="T897" i="6"/>
  <c r="T901" i="6"/>
  <c r="T905" i="6"/>
  <c r="T909" i="6"/>
  <c r="T913" i="6"/>
  <c r="T917" i="6"/>
  <c r="T921" i="6"/>
  <c r="T1620" i="6"/>
  <c r="T1938" i="6"/>
  <c r="T2177" i="6"/>
  <c r="T894" i="6"/>
  <c r="T898" i="6"/>
  <c r="T902" i="6"/>
  <c r="T906" i="6"/>
  <c r="T910" i="6"/>
  <c r="T914" i="6"/>
  <c r="T918" i="6"/>
  <c r="T922" i="6"/>
  <c r="S1221" i="6"/>
  <c r="T1617" i="6"/>
  <c r="T1621" i="6"/>
  <c r="T32" i="6"/>
  <c r="T37" i="6"/>
  <c r="T59" i="6"/>
  <c r="D15" i="7" s="1"/>
  <c r="T81" i="6"/>
  <c r="T121" i="6"/>
  <c r="T182" i="6"/>
  <c r="T288" i="6"/>
  <c r="T336" i="6"/>
  <c r="S351" i="6"/>
  <c r="T494" i="6"/>
  <c r="T498" i="6"/>
  <c r="T502" i="6"/>
  <c r="T506" i="6"/>
  <c r="T549" i="6"/>
  <c r="T582" i="6"/>
  <c r="T586" i="6"/>
  <c r="T590" i="6"/>
  <c r="T608" i="6"/>
  <c r="T630" i="6"/>
  <c r="T634" i="6"/>
  <c r="T756" i="6"/>
  <c r="T889" i="6"/>
  <c r="T1209" i="6"/>
  <c r="T1228" i="6"/>
  <c r="T1361" i="6"/>
  <c r="T1877" i="6"/>
  <c r="T1881" i="6"/>
  <c r="T1885" i="6"/>
  <c r="T11" i="6"/>
  <c r="T117" i="6"/>
  <c r="T351" i="6"/>
  <c r="T446" i="6"/>
  <c r="T450" i="6"/>
  <c r="S550" i="6"/>
  <c r="T609" i="6"/>
  <c r="T614" i="6"/>
  <c r="T618" i="6"/>
  <c r="T622" i="6"/>
  <c r="T892" i="6"/>
  <c r="T899" i="6"/>
  <c r="T903" i="6"/>
  <c r="T907" i="6"/>
  <c r="T911" i="6"/>
  <c r="T915" i="6"/>
  <c r="T919" i="6"/>
  <c r="T923" i="6"/>
  <c r="T1229" i="6"/>
  <c r="T1248" i="6"/>
  <c r="T1618" i="6"/>
  <c r="T1622" i="6"/>
  <c r="T1936" i="6"/>
  <c r="T1988" i="6"/>
  <c r="T2081" i="6"/>
  <c r="T2228" i="6"/>
  <c r="D184" i="7" s="1"/>
  <c r="T111" i="6"/>
  <c r="T122" i="6"/>
  <c r="T179" i="6"/>
  <c r="T285" i="6"/>
  <c r="S352" i="6"/>
  <c r="T583" i="6"/>
  <c r="T587" i="6"/>
  <c r="T895" i="6"/>
  <c r="T1230" i="6"/>
  <c r="T1874" i="6"/>
  <c r="D122" i="7" s="1"/>
  <c r="T1878" i="6"/>
  <c r="T1882" i="6"/>
  <c r="T2076" i="6"/>
  <c r="D154" i="7" s="1"/>
  <c r="T2149" i="6"/>
  <c r="C182" i="7"/>
  <c r="T112" i="6"/>
  <c r="T447" i="6"/>
  <c r="D53" i="7" s="1"/>
  <c r="T886" i="6"/>
  <c r="T890" i="6"/>
  <c r="T896" i="6"/>
  <c r="T900" i="6"/>
  <c r="T904" i="6"/>
  <c r="T908" i="6"/>
  <c r="T912" i="6"/>
  <c r="T916" i="6"/>
  <c r="T1249" i="6"/>
  <c r="T2077" i="6"/>
  <c r="T1875" i="6"/>
  <c r="T1879" i="6"/>
  <c r="S2177" i="6"/>
  <c r="T1965" i="6"/>
  <c r="T1854" i="6"/>
  <c r="T1964" i="6"/>
  <c r="T2218" i="6"/>
  <c r="T1857" i="6"/>
  <c r="T2186" i="6"/>
  <c r="D175" i="7" s="1"/>
  <c r="S1952" i="6"/>
  <c r="T1961" i="6"/>
  <c r="T2152" i="6"/>
  <c r="T2176" i="6"/>
  <c r="T2187" i="6"/>
  <c r="T1853" i="6"/>
  <c r="D117" i="7" s="1"/>
  <c r="T2184" i="6"/>
  <c r="T2150" i="6"/>
  <c r="T1931" i="6"/>
  <c r="T52" i="6"/>
  <c r="T1855" i="6"/>
  <c r="T342" i="6"/>
  <c r="T108" i="6"/>
  <c r="T96" i="6"/>
  <c r="T72" i="6"/>
  <c r="T88" i="6"/>
  <c r="T109" i="6"/>
  <c r="D24" i="7" s="1"/>
  <c r="T174" i="6"/>
  <c r="D34" i="7" s="1"/>
  <c r="T178" i="6"/>
  <c r="S189" i="6"/>
  <c r="T239" i="6"/>
  <c r="T343" i="6"/>
  <c r="D47" i="7" s="1"/>
  <c r="S347" i="6"/>
  <c r="T474" i="6"/>
  <c r="T513" i="6"/>
  <c r="T517" i="6"/>
  <c r="T521" i="6"/>
  <c r="T525" i="6"/>
  <c r="T529" i="6"/>
  <c r="T639" i="6"/>
  <c r="T686" i="6"/>
  <c r="T740" i="6"/>
  <c r="T744" i="6"/>
  <c r="T807" i="6"/>
  <c r="T811" i="6"/>
  <c r="T1214" i="6"/>
  <c r="T765" i="6"/>
  <c r="T15" i="6"/>
  <c r="S19" i="6"/>
  <c r="T71" i="6"/>
  <c r="T156" i="6"/>
  <c r="T160" i="6"/>
  <c r="T232" i="6"/>
  <c r="T236" i="6"/>
  <c r="T281" i="6"/>
  <c r="T347" i="6"/>
  <c r="T368" i="6"/>
  <c r="D52" i="7" s="1"/>
  <c r="T372" i="6"/>
  <c r="T376" i="6"/>
  <c r="T380" i="6"/>
  <c r="T384" i="6"/>
  <c r="T388" i="6"/>
  <c r="T392" i="6"/>
  <c r="T396" i="6"/>
  <c r="T400" i="6"/>
  <c r="T404" i="6"/>
  <c r="T408" i="6"/>
  <c r="T412" i="6"/>
  <c r="T416" i="6"/>
  <c r="T420" i="6"/>
  <c r="T424" i="6"/>
  <c r="T428" i="6"/>
  <c r="T432" i="6"/>
  <c r="T436" i="6"/>
  <c r="T440" i="6"/>
  <c r="T444" i="6"/>
  <c r="T575" i="6"/>
  <c r="T579" i="6"/>
  <c r="T641" i="6"/>
  <c r="T645" i="6"/>
  <c r="T649" i="6"/>
  <c r="T653" i="6"/>
  <c r="T657" i="6"/>
  <c r="T661" i="6"/>
  <c r="T665" i="6"/>
  <c r="T669" i="6"/>
  <c r="T673" i="6"/>
  <c r="T677" i="6"/>
  <c r="T1215" i="6"/>
  <c r="T1238" i="6"/>
  <c r="C58" i="7"/>
  <c r="T46" i="6"/>
  <c r="T51" i="6"/>
  <c r="T87" i="6"/>
  <c r="D20" i="76" s="1"/>
  <c r="T161" i="6"/>
  <c r="T172" i="6"/>
  <c r="T176" i="6"/>
  <c r="T298" i="6"/>
  <c r="T341" i="6"/>
  <c r="T345" i="6"/>
  <c r="T515" i="6"/>
  <c r="D57" i="7" s="1"/>
  <c r="T519" i="6"/>
  <c r="T523" i="6"/>
  <c r="T527" i="6"/>
  <c r="S531" i="6"/>
  <c r="T596" i="6"/>
  <c r="T738" i="6"/>
  <c r="T742" i="6"/>
  <c r="T746" i="6"/>
  <c r="T809" i="6"/>
  <c r="T813" i="6"/>
  <c r="T17" i="6"/>
  <c r="T158" i="6"/>
  <c r="D31" i="7" s="1"/>
  <c r="S162" i="6"/>
  <c r="T234" i="6"/>
  <c r="S238" i="6"/>
  <c r="S299" i="6"/>
  <c r="T366" i="6"/>
  <c r="T370" i="6"/>
  <c r="T374" i="6"/>
  <c r="T378" i="6"/>
  <c r="T382" i="6"/>
  <c r="T386" i="6"/>
  <c r="T390" i="6"/>
  <c r="T394" i="6"/>
  <c r="T398" i="6"/>
  <c r="T402" i="6"/>
  <c r="T406" i="6"/>
  <c r="T410" i="6"/>
  <c r="T414" i="6"/>
  <c r="T418" i="6"/>
  <c r="T422" i="6"/>
  <c r="T426" i="6"/>
  <c r="T430" i="6"/>
  <c r="T434" i="6"/>
  <c r="T438" i="6"/>
  <c r="T442" i="6"/>
  <c r="S473" i="6"/>
  <c r="T531" i="6"/>
  <c r="T577" i="6"/>
  <c r="T581" i="6"/>
  <c r="T643" i="6"/>
  <c r="T647" i="6"/>
  <c r="T651" i="6"/>
  <c r="T655" i="6"/>
  <c r="T659" i="6"/>
  <c r="T663" i="6"/>
  <c r="T667" i="6"/>
  <c r="T671" i="6"/>
  <c r="T675" i="6"/>
  <c r="S748" i="6"/>
  <c r="T885" i="6"/>
  <c r="T1008" i="6"/>
  <c r="C32" i="7"/>
  <c r="T107" i="6"/>
  <c r="T173" i="6"/>
  <c r="T238" i="6"/>
  <c r="S346" i="6"/>
  <c r="T473" i="6"/>
  <c r="T516" i="6"/>
  <c r="T520" i="6"/>
  <c r="T524" i="6"/>
  <c r="S532" i="6"/>
  <c r="T739" i="6"/>
  <c r="S749" i="6"/>
  <c r="T806" i="6"/>
  <c r="T810" i="6"/>
  <c r="T814" i="6"/>
  <c r="T231" i="6"/>
  <c r="T367" i="6"/>
  <c r="T371" i="6"/>
  <c r="T375" i="6"/>
  <c r="T379" i="6"/>
  <c r="T383" i="6"/>
  <c r="T387" i="6"/>
  <c r="T391" i="6"/>
  <c r="T395" i="6"/>
  <c r="T399" i="6"/>
  <c r="T403" i="6"/>
  <c r="T407" i="6"/>
  <c r="T411" i="6"/>
  <c r="T415" i="6"/>
  <c r="T419" i="6"/>
  <c r="T423" i="6"/>
  <c r="T427" i="6"/>
  <c r="T431" i="6"/>
  <c r="T435" i="6"/>
  <c r="T439" i="6"/>
  <c r="T574" i="6"/>
  <c r="T644" i="6"/>
  <c r="T648" i="6"/>
  <c r="T652" i="6"/>
  <c r="T656" i="6"/>
  <c r="T660" i="6"/>
  <c r="T664" i="6"/>
  <c r="T668" i="6"/>
  <c r="T672" i="6"/>
  <c r="V1233" i="6"/>
  <c r="F96" i="7" s="1"/>
  <c r="T1952" i="6"/>
  <c r="T1962" i="6"/>
  <c r="T6" i="6"/>
  <c r="T2161" i="6"/>
  <c r="T30" i="6"/>
  <c r="C7" i="7"/>
  <c r="C9" i="7"/>
  <c r="T8" i="6"/>
  <c r="T10" i="6"/>
  <c r="T12" i="6"/>
  <c r="T1967" i="6"/>
  <c r="V1979" i="6"/>
  <c r="F141" i="7" s="1"/>
  <c r="T1930" i="6"/>
  <c r="T1932" i="6"/>
  <c r="D132" i="7" s="1"/>
  <c r="T1933" i="6"/>
  <c r="T1951" i="6"/>
  <c r="T1979" i="6"/>
  <c r="D141" i="7" s="1"/>
  <c r="T1985" i="6"/>
  <c r="V1088" i="6"/>
  <c r="V1968" i="6"/>
  <c r="F139" i="7" s="1"/>
  <c r="V1974" i="6"/>
  <c r="F140" i="7" s="1"/>
  <c r="S1990" i="6"/>
  <c r="S1989" i="6"/>
  <c r="S1988" i="6"/>
  <c r="T1989" i="6"/>
  <c r="T2001" i="6"/>
  <c r="T2002" i="6"/>
  <c r="T2009" i="6"/>
  <c r="T2005" i="6"/>
  <c r="T2003" i="6"/>
  <c r="D146" i="7" s="1"/>
  <c r="T2033" i="6"/>
  <c r="T2032" i="6"/>
  <c r="T2030" i="6"/>
  <c r="D148" i="7" s="1"/>
  <c r="T2035" i="6"/>
  <c r="T2034" i="6"/>
  <c r="T2031" i="6"/>
  <c r="T2051" i="6"/>
  <c r="T2050" i="6"/>
  <c r="T2047" i="6"/>
  <c r="T2049" i="6"/>
  <c r="T2048" i="6"/>
  <c r="S2067" i="6"/>
  <c r="S2066" i="6"/>
  <c r="T2073" i="6"/>
  <c r="T2072" i="6"/>
  <c r="T2071" i="6"/>
  <c r="T2070" i="6"/>
  <c r="T2069" i="6"/>
  <c r="T2068" i="6"/>
  <c r="D153" i="7" s="1"/>
  <c r="T2087" i="6"/>
  <c r="T2086" i="6"/>
  <c r="T2084" i="6"/>
  <c r="D155" i="7" s="1"/>
  <c r="T2089" i="6"/>
  <c r="T2088" i="6"/>
  <c r="T2085" i="6"/>
  <c r="T2123" i="6"/>
  <c r="T2120" i="6"/>
  <c r="T2118" i="6"/>
  <c r="T2117" i="6"/>
  <c r="T2115" i="6"/>
  <c r="T2119" i="6"/>
  <c r="T2116" i="6"/>
  <c r="S2146" i="6"/>
  <c r="S2145" i="6"/>
  <c r="S2144" i="6"/>
  <c r="S2143" i="6"/>
  <c r="S2142" i="6"/>
  <c r="T2146" i="6"/>
  <c r="T2144" i="6"/>
  <c r="T2142" i="6"/>
  <c r="T2148" i="6"/>
  <c r="T2147" i="6"/>
  <c r="D166" i="7" s="1"/>
  <c r="S2154" i="6"/>
  <c r="S2153" i="6"/>
  <c r="T2154" i="6"/>
  <c r="T2156" i="6"/>
  <c r="T2155" i="6"/>
  <c r="D168" i="7" s="1"/>
  <c r="T2163" i="6"/>
  <c r="D170" i="7" s="1"/>
  <c r="T2167" i="6"/>
  <c r="T2164" i="6"/>
  <c r="T2173" i="6"/>
  <c r="T2172" i="6"/>
  <c r="S2172" i="6"/>
  <c r="T2175" i="6"/>
  <c r="T2174" i="6"/>
  <c r="D172" i="7" s="1"/>
  <c r="T2181" i="6"/>
  <c r="T2180" i="6"/>
  <c r="S2180" i="6"/>
  <c r="T2183" i="6"/>
  <c r="T2182" i="6"/>
  <c r="D174" i="7" s="1"/>
  <c r="S2197" i="6"/>
  <c r="S2198" i="6"/>
  <c r="T2216" i="6"/>
  <c r="D181" i="7" s="1"/>
  <c r="T2217" i="6"/>
  <c r="T2225" i="6"/>
  <c r="T2224" i="6"/>
  <c r="T2223" i="6"/>
  <c r="D183" i="7" s="1"/>
  <c r="T2235" i="6"/>
  <c r="T2234" i="6"/>
  <c r="T2233" i="6"/>
  <c r="D185" i="7" s="1"/>
  <c r="T2247" i="6"/>
  <c r="T2246" i="6"/>
  <c r="T2245" i="6"/>
  <c r="T2244" i="6"/>
  <c r="T2243" i="6"/>
  <c r="T2242" i="6"/>
  <c r="T2241" i="6"/>
  <c r="T2240" i="6"/>
  <c r="T2239" i="6"/>
  <c r="T2238" i="6"/>
  <c r="D187" i="7" s="1"/>
  <c r="T2269" i="6"/>
  <c r="T2266" i="6"/>
  <c r="T2268" i="6"/>
  <c r="D189" i="7" s="1"/>
  <c r="T2267" i="6"/>
  <c r="C166" i="7"/>
  <c r="C168" i="7"/>
  <c r="C170" i="7"/>
  <c r="C176" i="7"/>
  <c r="C183" i="7"/>
  <c r="T1990" i="6"/>
  <c r="T1991" i="6"/>
  <c r="D144" i="7" s="1"/>
  <c r="T1992" i="6"/>
  <c r="T1993" i="6"/>
  <c r="T2046" i="6"/>
  <c r="D150" i="7" s="1"/>
  <c r="T2145" i="6"/>
  <c r="T2162" i="6"/>
  <c r="S2181" i="6"/>
  <c r="T2200" i="6"/>
  <c r="D178" i="7" s="1"/>
  <c r="T607" i="6"/>
  <c r="T603" i="6"/>
  <c r="T599" i="6"/>
  <c r="T684" i="6"/>
  <c r="T683" i="6"/>
  <c r="T682" i="6"/>
  <c r="T681" i="6"/>
  <c r="T680" i="6"/>
  <c r="T679" i="6"/>
  <c r="T678" i="6"/>
  <c r="T640" i="6"/>
  <c r="D66" i="7" s="1"/>
  <c r="T692" i="6"/>
  <c r="S691" i="6"/>
  <c r="T734" i="6"/>
  <c r="T733" i="6"/>
  <c r="T732" i="6"/>
  <c r="T731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D68" i="7" s="1"/>
  <c r="T747" i="6"/>
  <c r="T737" i="6"/>
  <c r="D69" i="7" s="1"/>
  <c r="T736" i="6"/>
  <c r="T754" i="6"/>
  <c r="T753" i="6"/>
  <c r="T752" i="6"/>
  <c r="T751" i="6"/>
  <c r="T750" i="6"/>
  <c r="D70" i="7" s="1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1023" i="6"/>
  <c r="T1022" i="6"/>
  <c r="T1021" i="6"/>
  <c r="T1020" i="6"/>
  <c r="T1019" i="6"/>
  <c r="T1018" i="6"/>
  <c r="T1017" i="6"/>
  <c r="T1016" i="6"/>
  <c r="T1015" i="6"/>
  <c r="T1014" i="6"/>
  <c r="T1013" i="6"/>
  <c r="T1012" i="6"/>
  <c r="T1955" i="6"/>
  <c r="T1954" i="6"/>
  <c r="T1953" i="6"/>
  <c r="D136" i="7" s="1"/>
  <c r="T1971" i="6"/>
  <c r="T1970" i="6"/>
  <c r="T1969" i="6"/>
  <c r="T1968" i="6"/>
  <c r="D139" i="7" s="1"/>
  <c r="T1966" i="6"/>
  <c r="T1976" i="6"/>
  <c r="T1974" i="6"/>
  <c r="D140" i="7" s="1"/>
  <c r="S71" i="6"/>
  <c r="S72" i="6"/>
  <c r="S70" i="6"/>
  <c r="E17" i="7" s="1"/>
  <c r="S69" i="6"/>
  <c r="S68" i="6"/>
  <c r="S83" i="6"/>
  <c r="S84" i="6"/>
  <c r="S82" i="6"/>
  <c r="E19" i="7" s="1"/>
  <c r="S81" i="6"/>
  <c r="S80" i="6"/>
  <c r="S284" i="6"/>
  <c r="S283" i="6"/>
  <c r="E42" i="7" s="1"/>
  <c r="S282" i="6"/>
  <c r="S281" i="6"/>
  <c r="S738" i="6"/>
  <c r="N1064" i="6"/>
  <c r="K1087" i="6"/>
  <c r="M1087" i="6" s="1"/>
  <c r="AA1025" i="6" s="1"/>
  <c r="Q1174" i="6"/>
  <c r="N1174" i="6"/>
  <c r="P1174" i="6"/>
  <c r="P1176" i="6"/>
  <c r="N1176" i="6"/>
  <c r="Q1176" i="6"/>
  <c r="P1178" i="6"/>
  <c r="N1178" i="6"/>
  <c r="Q1178" i="6"/>
  <c r="P1180" i="6"/>
  <c r="N1180" i="6"/>
  <c r="Q1180" i="6"/>
  <c r="P1182" i="6"/>
  <c r="N1182" i="6"/>
  <c r="Q1182" i="6"/>
  <c r="P1103" i="6"/>
  <c r="N1103" i="6"/>
  <c r="P1105" i="6"/>
  <c r="N1105" i="6"/>
  <c r="P1107" i="6"/>
  <c r="N1107" i="6"/>
  <c r="P1109" i="6"/>
  <c r="N1109" i="6"/>
  <c r="P1111" i="6"/>
  <c r="N1111" i="6"/>
  <c r="P1113" i="6"/>
  <c r="N1113" i="6"/>
  <c r="P1115" i="6"/>
  <c r="N1115" i="6"/>
  <c r="P1117" i="6"/>
  <c r="N1117" i="6"/>
  <c r="P1119" i="6"/>
  <c r="N1119" i="6"/>
  <c r="P1121" i="6"/>
  <c r="N1121" i="6"/>
  <c r="P1123" i="6"/>
  <c r="N1123" i="6"/>
  <c r="P1125" i="6"/>
  <c r="N1125" i="6"/>
  <c r="P1127" i="6"/>
  <c r="N1127" i="6"/>
  <c r="N1135" i="6"/>
  <c r="P1135" i="6"/>
  <c r="S88" i="6"/>
  <c r="S89" i="6"/>
  <c r="S87" i="6"/>
  <c r="E20" i="7" s="1"/>
  <c r="S93" i="6"/>
  <c r="S94" i="6"/>
  <c r="S92" i="6"/>
  <c r="E21" i="7" s="1"/>
  <c r="S91" i="6"/>
  <c r="S90" i="6"/>
  <c r="S106" i="6"/>
  <c r="S104" i="6"/>
  <c r="E23" i="7" s="1"/>
  <c r="S103" i="6"/>
  <c r="S102" i="6"/>
  <c r="S105" i="6"/>
  <c r="S110" i="6"/>
  <c r="S109" i="6"/>
  <c r="E24" i="7" s="1"/>
  <c r="S108" i="6"/>
  <c r="S107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E41" i="7" s="1"/>
  <c r="S245" i="6"/>
  <c r="S244" i="6"/>
  <c r="N1189" i="6"/>
  <c r="Q1189" i="6"/>
  <c r="Q1190" i="6"/>
  <c r="N1190" i="6"/>
  <c r="N1191" i="6"/>
  <c r="Q1191" i="6"/>
  <c r="N1193" i="6"/>
  <c r="Q1193" i="6"/>
  <c r="Q1194" i="6"/>
  <c r="N1194" i="6"/>
  <c r="N1195" i="6"/>
  <c r="Q1195" i="6"/>
  <c r="N1197" i="6"/>
  <c r="Q1197" i="6"/>
  <c r="Q1198" i="6"/>
  <c r="N1198" i="6"/>
  <c r="N1102" i="6"/>
  <c r="P1102" i="6"/>
  <c r="N1104" i="6"/>
  <c r="P1104" i="6"/>
  <c r="N1106" i="6"/>
  <c r="P1106" i="6"/>
  <c r="N1108" i="6"/>
  <c r="P1108" i="6"/>
  <c r="N1110" i="6"/>
  <c r="P1110" i="6"/>
  <c r="N1112" i="6"/>
  <c r="P1112" i="6"/>
  <c r="N1114" i="6"/>
  <c r="P1114" i="6"/>
  <c r="N1116" i="6"/>
  <c r="P1116" i="6"/>
  <c r="N1118" i="6"/>
  <c r="P1118" i="6"/>
  <c r="N1120" i="6"/>
  <c r="P1120" i="6"/>
  <c r="N1122" i="6"/>
  <c r="P1122" i="6"/>
  <c r="N1124" i="6"/>
  <c r="P1124" i="6"/>
  <c r="N1126" i="6"/>
  <c r="P1126" i="6"/>
  <c r="N1096" i="6"/>
  <c r="P1096" i="6"/>
  <c r="N1098" i="6"/>
  <c r="P1098" i="6"/>
  <c r="N1100" i="6"/>
  <c r="P1100" i="6"/>
  <c r="S944" i="6"/>
  <c r="L1220" i="6"/>
  <c r="N1220" i="6" s="1"/>
  <c r="S1016" i="6"/>
  <c r="S1013" i="6"/>
  <c r="S1015" i="6"/>
  <c r="T14" i="6"/>
  <c r="T19" i="6"/>
  <c r="T24" i="6"/>
  <c r="T29" i="6"/>
  <c r="T31" i="6"/>
  <c r="D11" i="7" s="1"/>
  <c r="T34" i="6"/>
  <c r="T45" i="6"/>
  <c r="T47" i="6"/>
  <c r="D13" i="7" s="1"/>
  <c r="T57" i="6"/>
  <c r="T62" i="6"/>
  <c r="T64" i="6"/>
  <c r="D16" i="7" s="1"/>
  <c r="T76" i="6"/>
  <c r="T77" i="6"/>
  <c r="T95" i="6"/>
  <c r="T102" i="6"/>
  <c r="T104" i="6"/>
  <c r="D23" i="7" s="1"/>
  <c r="T131" i="6"/>
  <c r="T133" i="6"/>
  <c r="D29" i="7" s="1"/>
  <c r="T134" i="6"/>
  <c r="T136" i="6"/>
  <c r="T600" i="6"/>
  <c r="T602" i="6"/>
  <c r="T604" i="6"/>
  <c r="T638" i="6"/>
  <c r="T685" i="6"/>
  <c r="T691" i="6"/>
  <c r="T735" i="6"/>
  <c r="T748" i="6"/>
  <c r="T755" i="6"/>
  <c r="T763" i="6"/>
  <c r="T764" i="6"/>
  <c r="T816" i="6"/>
  <c r="T815" i="6"/>
  <c r="N830" i="6"/>
  <c r="N845" i="6"/>
  <c r="T846" i="6"/>
  <c r="T845" i="6"/>
  <c r="K1028" i="6"/>
  <c r="N1028" i="6" s="1"/>
  <c r="N884" i="6"/>
  <c r="T857" i="6"/>
  <c r="T859" i="6"/>
  <c r="T861" i="6"/>
  <c r="T863" i="6"/>
  <c r="T865" i="6"/>
  <c r="T867" i="6"/>
  <c r="T869" i="6"/>
  <c r="T871" i="6"/>
  <c r="T873" i="6"/>
  <c r="T875" i="6"/>
  <c r="T877" i="6"/>
  <c r="T879" i="6"/>
  <c r="T881" i="6"/>
  <c r="T884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P1144" i="6"/>
  <c r="P1148" i="6"/>
  <c r="P1152" i="6"/>
  <c r="P1156" i="6"/>
  <c r="P1160" i="6"/>
  <c r="P1164" i="6"/>
  <c r="N924" i="6"/>
  <c r="T925" i="6"/>
  <c r="T924" i="6"/>
  <c r="N1008" i="6"/>
  <c r="T981" i="6"/>
  <c r="T983" i="6"/>
  <c r="T985" i="6"/>
  <c r="T987" i="6"/>
  <c r="T989" i="6"/>
  <c r="T991" i="6"/>
  <c r="T993" i="6"/>
  <c r="T995" i="6"/>
  <c r="T997" i="6"/>
  <c r="T999" i="6"/>
  <c r="T1001" i="6"/>
  <c r="T1003" i="6"/>
  <c r="T1005" i="6"/>
  <c r="T1010" i="6"/>
  <c r="T972" i="6"/>
  <c r="P1177" i="6"/>
  <c r="N1177" i="6"/>
  <c r="P1181" i="6"/>
  <c r="N1181" i="6"/>
  <c r="AA1095" i="6"/>
  <c r="M1095" i="6" s="1"/>
  <c r="AA1096" i="6"/>
  <c r="M1096" i="6" s="1"/>
  <c r="Q1096" i="6" s="1"/>
  <c r="N1097" i="6"/>
  <c r="AA1097" i="6"/>
  <c r="M1097" i="6" s="1"/>
  <c r="Q1097" i="6" s="1"/>
  <c r="AA1098" i="6"/>
  <c r="M1098" i="6" s="1"/>
  <c r="Q1098" i="6" s="1"/>
  <c r="N1099" i="6"/>
  <c r="AA1099" i="6"/>
  <c r="M1099" i="6" s="1"/>
  <c r="Q1099" i="6" s="1"/>
  <c r="AA1100" i="6"/>
  <c r="M1100" i="6" s="1"/>
  <c r="Q1100" i="6" s="1"/>
  <c r="N1101" i="6"/>
  <c r="AA1101" i="6"/>
  <c r="M1101" i="6" s="1"/>
  <c r="Q1101" i="6" s="1"/>
  <c r="AA1102" i="6"/>
  <c r="M1102" i="6" s="1"/>
  <c r="Q1102" i="6" s="1"/>
  <c r="AA1103" i="6"/>
  <c r="M1103" i="6" s="1"/>
  <c r="Q1103" i="6" s="1"/>
  <c r="AA1104" i="6"/>
  <c r="M1104" i="6" s="1"/>
  <c r="Q1104" i="6" s="1"/>
  <c r="AA1105" i="6"/>
  <c r="M1105" i="6" s="1"/>
  <c r="Q1105" i="6" s="1"/>
  <c r="AA1106" i="6"/>
  <c r="M1106" i="6" s="1"/>
  <c r="Q1106" i="6" s="1"/>
  <c r="AA1107" i="6"/>
  <c r="M1107" i="6" s="1"/>
  <c r="Q1107" i="6" s="1"/>
  <c r="AA1108" i="6"/>
  <c r="M1108" i="6" s="1"/>
  <c r="Q1108" i="6" s="1"/>
  <c r="AA1109" i="6"/>
  <c r="M1109" i="6" s="1"/>
  <c r="Q1109" i="6" s="1"/>
  <c r="AA1110" i="6"/>
  <c r="M1110" i="6" s="1"/>
  <c r="Q1110" i="6" s="1"/>
  <c r="AA1111" i="6"/>
  <c r="M1111" i="6" s="1"/>
  <c r="Q1111" i="6" s="1"/>
  <c r="AA1112" i="6"/>
  <c r="M1112" i="6" s="1"/>
  <c r="Q1112" i="6" s="1"/>
  <c r="AA1113" i="6"/>
  <c r="M1113" i="6" s="1"/>
  <c r="Q1113" i="6" s="1"/>
  <c r="AA1114" i="6"/>
  <c r="M1114" i="6" s="1"/>
  <c r="Q1114" i="6" s="1"/>
  <c r="AA1115" i="6"/>
  <c r="M1115" i="6" s="1"/>
  <c r="Q1115" i="6" s="1"/>
  <c r="AA1116" i="6"/>
  <c r="M1116" i="6" s="1"/>
  <c r="Q1116" i="6" s="1"/>
  <c r="AA1117" i="6"/>
  <c r="M1117" i="6" s="1"/>
  <c r="Q1117" i="6" s="1"/>
  <c r="AA1118" i="6"/>
  <c r="M1118" i="6" s="1"/>
  <c r="Q1118" i="6" s="1"/>
  <c r="AA1119" i="6"/>
  <c r="M1119" i="6" s="1"/>
  <c r="Q1119" i="6" s="1"/>
  <c r="AA1120" i="6"/>
  <c r="M1120" i="6" s="1"/>
  <c r="Q1120" i="6" s="1"/>
  <c r="AA1121" i="6"/>
  <c r="M1121" i="6" s="1"/>
  <c r="Q1121" i="6" s="1"/>
  <c r="AA1122" i="6"/>
  <c r="M1122" i="6" s="1"/>
  <c r="Q1122" i="6" s="1"/>
  <c r="AA1123" i="6"/>
  <c r="M1123" i="6" s="1"/>
  <c r="Q1123" i="6" s="1"/>
  <c r="AA1124" i="6"/>
  <c r="M1124" i="6" s="1"/>
  <c r="Q1124" i="6" s="1"/>
  <c r="AA1125" i="6"/>
  <c r="M1125" i="6" s="1"/>
  <c r="Q1125" i="6" s="1"/>
  <c r="AA1126" i="6"/>
  <c r="M1126" i="6" s="1"/>
  <c r="Q1126" i="6" s="1"/>
  <c r="AA1127" i="6"/>
  <c r="M1127" i="6" s="1"/>
  <c r="Q1127" i="6" s="1"/>
  <c r="AA1128" i="6"/>
  <c r="M1128" i="6" s="1"/>
  <c r="AA1134" i="6"/>
  <c r="M1134" i="6"/>
  <c r="M1136" i="6"/>
  <c r="Q1136" i="6" s="1"/>
  <c r="Z1136" i="6"/>
  <c r="AA1136" i="6" s="1"/>
  <c r="M1138" i="6"/>
  <c r="Q1138" i="6" s="1"/>
  <c r="Z1138" i="6"/>
  <c r="AA1138" i="6" s="1"/>
  <c r="M1140" i="6"/>
  <c r="Q1140" i="6" s="1"/>
  <c r="Z1140" i="6"/>
  <c r="AA1140" i="6" s="1"/>
  <c r="M1142" i="6"/>
  <c r="Q1142" i="6" s="1"/>
  <c r="Z1142" i="6"/>
  <c r="AA1142" i="6" s="1"/>
  <c r="M1144" i="6"/>
  <c r="Q1144" i="6" s="1"/>
  <c r="Z1144" i="6"/>
  <c r="AA1144" i="6" s="1"/>
  <c r="M1146" i="6"/>
  <c r="Q1146" i="6" s="1"/>
  <c r="Z1146" i="6"/>
  <c r="AA1146" i="6" s="1"/>
  <c r="M1148" i="6"/>
  <c r="Q1148" i="6" s="1"/>
  <c r="Z1148" i="6"/>
  <c r="AA1148" i="6" s="1"/>
  <c r="M1150" i="6"/>
  <c r="Q1150" i="6" s="1"/>
  <c r="Z1150" i="6"/>
  <c r="AA1150" i="6" s="1"/>
  <c r="M1152" i="6"/>
  <c r="Q1152" i="6" s="1"/>
  <c r="Z1152" i="6"/>
  <c r="AA1152" i="6" s="1"/>
  <c r="M1154" i="6"/>
  <c r="Q1154" i="6" s="1"/>
  <c r="Z1154" i="6"/>
  <c r="AA1154" i="6" s="1"/>
  <c r="M1156" i="6"/>
  <c r="Q1156" i="6" s="1"/>
  <c r="Z1156" i="6"/>
  <c r="AA1156" i="6" s="1"/>
  <c r="M1158" i="6"/>
  <c r="Q1158" i="6" s="1"/>
  <c r="Z1158" i="6"/>
  <c r="AA1158" i="6" s="1"/>
  <c r="M1160" i="6"/>
  <c r="Q1160" i="6" s="1"/>
  <c r="Z1160" i="6"/>
  <c r="AA1160" i="6" s="1"/>
  <c r="M1162" i="6"/>
  <c r="Q1162" i="6" s="1"/>
  <c r="Z1162" i="6"/>
  <c r="AA1162" i="6" s="1"/>
  <c r="M1164" i="6"/>
  <c r="Q1164" i="6" s="1"/>
  <c r="Z1164" i="6"/>
  <c r="AA1164" i="6" s="1"/>
  <c r="M1166" i="6"/>
  <c r="Q1166" i="6" s="1"/>
  <c r="Z1166" i="6"/>
  <c r="AA1166" i="6" s="1"/>
  <c r="N1192" i="6"/>
  <c r="T1207" i="6"/>
  <c r="T1206" i="6"/>
  <c r="T1234" i="6"/>
  <c r="T1233" i="6"/>
  <c r="T1235" i="6"/>
  <c r="T1320" i="6"/>
  <c r="T1319" i="6"/>
  <c r="S1320" i="6"/>
  <c r="S1319" i="6"/>
  <c r="T1540" i="6"/>
  <c r="T1538" i="6"/>
  <c r="T1536" i="6"/>
  <c r="T1534" i="6"/>
  <c r="T1532" i="6"/>
  <c r="T1530" i="6"/>
  <c r="T1528" i="6"/>
  <c r="T1526" i="6"/>
  <c r="T1524" i="6"/>
  <c r="T1522" i="6"/>
  <c r="T1520" i="6"/>
  <c r="T1518" i="6"/>
  <c r="T1516" i="6"/>
  <c r="T1514" i="6"/>
  <c r="T1512" i="6"/>
  <c r="T1510" i="6"/>
  <c r="T1508" i="6"/>
  <c r="T1506" i="6"/>
  <c r="T1504" i="6"/>
  <c r="T1502" i="6"/>
  <c r="T1500" i="6"/>
  <c r="T1498" i="6"/>
  <c r="T1496" i="6"/>
  <c r="T1494" i="6"/>
  <c r="T1492" i="6"/>
  <c r="T1490" i="6"/>
  <c r="T1488" i="6"/>
  <c r="T1486" i="6"/>
  <c r="T1539" i="6"/>
  <c r="T1535" i="6"/>
  <c r="T1531" i="6"/>
  <c r="T1527" i="6"/>
  <c r="T1523" i="6"/>
  <c r="T1519" i="6"/>
  <c r="T1515" i="6"/>
  <c r="T1511" i="6"/>
  <c r="T1507" i="6"/>
  <c r="T1503" i="6"/>
  <c r="T1499" i="6"/>
  <c r="T1495" i="6"/>
  <c r="T1491" i="6"/>
  <c r="T1487" i="6"/>
  <c r="T1484" i="6"/>
  <c r="T1482" i="6"/>
  <c r="T1480" i="6"/>
  <c r="T1478" i="6"/>
  <c r="T1476" i="6"/>
  <c r="T1474" i="6"/>
  <c r="T1472" i="6"/>
  <c r="T1470" i="6"/>
  <c r="T1468" i="6"/>
  <c r="T1466" i="6"/>
  <c r="T1464" i="6"/>
  <c r="T1462" i="6"/>
  <c r="T1460" i="6"/>
  <c r="T1458" i="6"/>
  <c r="T1456" i="6"/>
  <c r="T1454" i="6"/>
  <c r="T1452" i="6"/>
  <c r="T1450" i="6"/>
  <c r="T1448" i="6"/>
  <c r="T1446" i="6"/>
  <c r="T1444" i="6"/>
  <c r="T1442" i="6"/>
  <c r="T1440" i="6"/>
  <c r="T1438" i="6"/>
  <c r="T1436" i="6"/>
  <c r="T1434" i="6"/>
  <c r="T1432" i="6"/>
  <c r="T1430" i="6"/>
  <c r="T1428" i="6"/>
  <c r="T1426" i="6"/>
  <c r="T1424" i="6"/>
  <c r="T1422" i="6"/>
  <c r="T1420" i="6"/>
  <c r="T1418" i="6"/>
  <c r="T1416" i="6"/>
  <c r="T1414" i="6"/>
  <c r="T1412" i="6"/>
  <c r="T1410" i="6"/>
  <c r="T1408" i="6"/>
  <c r="T1406" i="6"/>
  <c r="T1404" i="6"/>
  <c r="T1402" i="6"/>
  <c r="T1537" i="6"/>
  <c r="T1529" i="6"/>
  <c r="T1521" i="6"/>
  <c r="T1513" i="6"/>
  <c r="T1505" i="6"/>
  <c r="T1497" i="6"/>
  <c r="T1489" i="6"/>
  <c r="T1483" i="6"/>
  <c r="T1479" i="6"/>
  <c r="T1475" i="6"/>
  <c r="T1471" i="6"/>
  <c r="T1467" i="6"/>
  <c r="T1463" i="6"/>
  <c r="T1459" i="6"/>
  <c r="T1455" i="6"/>
  <c r="T1451" i="6"/>
  <c r="T1447" i="6"/>
  <c r="T1443" i="6"/>
  <c r="T1439" i="6"/>
  <c r="T1435" i="6"/>
  <c r="T1431" i="6"/>
  <c r="T1427" i="6"/>
  <c r="T1423" i="6"/>
  <c r="T1419" i="6"/>
  <c r="T1415" i="6"/>
  <c r="T1411" i="6"/>
  <c r="T1407" i="6"/>
  <c r="T1403" i="6"/>
  <c r="T882" i="6"/>
  <c r="T880" i="6"/>
  <c r="T878" i="6"/>
  <c r="T876" i="6"/>
  <c r="T874" i="6"/>
  <c r="T872" i="6"/>
  <c r="T870" i="6"/>
  <c r="T868" i="6"/>
  <c r="T866" i="6"/>
  <c r="T864" i="6"/>
  <c r="T862" i="6"/>
  <c r="T860" i="6"/>
  <c r="T858" i="6"/>
  <c r="T856" i="6"/>
  <c r="T855" i="6"/>
  <c r="T854" i="6"/>
  <c r="T853" i="6"/>
  <c r="T852" i="6"/>
  <c r="T851" i="6"/>
  <c r="T850" i="6"/>
  <c r="T849" i="6"/>
  <c r="T848" i="6"/>
  <c r="T847" i="6"/>
  <c r="D77" i="7" s="1"/>
  <c r="K1168" i="6"/>
  <c r="P1134" i="6"/>
  <c r="P1136" i="6"/>
  <c r="P1138" i="6"/>
  <c r="P1140" i="6"/>
  <c r="P1142" i="6"/>
  <c r="P1146" i="6"/>
  <c r="P1150" i="6"/>
  <c r="P1154" i="6"/>
  <c r="P1158" i="6"/>
  <c r="P1162" i="6"/>
  <c r="P1166" i="6"/>
  <c r="T1006" i="6"/>
  <c r="T1004" i="6"/>
  <c r="T1002" i="6"/>
  <c r="T1000" i="6"/>
  <c r="T998" i="6"/>
  <c r="T996" i="6"/>
  <c r="T994" i="6"/>
  <c r="T992" i="6"/>
  <c r="T990" i="6"/>
  <c r="T988" i="6"/>
  <c r="T986" i="6"/>
  <c r="T984" i="6"/>
  <c r="T982" i="6"/>
  <c r="T980" i="6"/>
  <c r="T979" i="6"/>
  <c r="T978" i="6"/>
  <c r="T977" i="6"/>
  <c r="T976" i="6"/>
  <c r="T975" i="6"/>
  <c r="T974" i="6"/>
  <c r="T973" i="6"/>
  <c r="D80" i="7" s="1"/>
  <c r="P1175" i="6"/>
  <c r="N1175" i="6"/>
  <c r="P1179" i="6"/>
  <c r="N1179" i="6"/>
  <c r="P1183" i="6"/>
  <c r="N1183" i="6"/>
  <c r="K1199" i="6"/>
  <c r="Q1188" i="6"/>
  <c r="N1188" i="6"/>
  <c r="Q1196" i="6"/>
  <c r="N1196" i="6"/>
  <c r="N1136" i="6"/>
  <c r="Q1137" i="6"/>
  <c r="N1137" i="6"/>
  <c r="P1137" i="6"/>
  <c r="N1138" i="6"/>
  <c r="N1139" i="6"/>
  <c r="P1139" i="6"/>
  <c r="N1140" i="6"/>
  <c r="Q1141" i="6"/>
  <c r="N1141" i="6"/>
  <c r="P1141" i="6"/>
  <c r="N1142" i="6"/>
  <c r="N1143" i="6"/>
  <c r="P1143" i="6"/>
  <c r="N1145" i="6"/>
  <c r="P1145" i="6"/>
  <c r="N1146" i="6"/>
  <c r="Q1147" i="6"/>
  <c r="N1147" i="6"/>
  <c r="P1147" i="6"/>
  <c r="N1149" i="6"/>
  <c r="P1149" i="6"/>
  <c r="N1150" i="6"/>
  <c r="Q1151" i="6"/>
  <c r="N1151" i="6"/>
  <c r="P1151" i="6"/>
  <c r="Q1153" i="6"/>
  <c r="N1153" i="6"/>
  <c r="P1153" i="6"/>
  <c r="N1154" i="6"/>
  <c r="N1155" i="6"/>
  <c r="P1155" i="6"/>
  <c r="N1157" i="6"/>
  <c r="P1157" i="6"/>
  <c r="N1158" i="6"/>
  <c r="Q1159" i="6"/>
  <c r="N1159" i="6"/>
  <c r="P1159" i="6"/>
  <c r="N1161" i="6"/>
  <c r="P1161" i="6"/>
  <c r="N1162" i="6"/>
  <c r="N1163" i="6"/>
  <c r="P1163" i="6"/>
  <c r="N1165" i="6"/>
  <c r="P1165" i="6"/>
  <c r="N1166" i="6"/>
  <c r="Q1167" i="6"/>
  <c r="N1167" i="6"/>
  <c r="P1167" i="6"/>
  <c r="Q1175" i="6"/>
  <c r="Q1179" i="6"/>
  <c r="Q1183" i="6"/>
  <c r="T1200" i="6"/>
  <c r="T1199" i="6"/>
  <c r="T1217" i="6"/>
  <c r="T1216" i="6"/>
  <c r="Z1227" i="6"/>
  <c r="V1227" i="6" s="1"/>
  <c r="F95" i="7" s="1"/>
  <c r="Z1238" i="6"/>
  <c r="V1238" i="6" s="1"/>
  <c r="F97" i="7" s="1"/>
  <c r="T1253" i="6"/>
  <c r="T1252" i="6"/>
  <c r="T1251" i="6"/>
  <c r="S1253" i="6"/>
  <c r="S1251" i="6"/>
  <c r="S1287" i="6"/>
  <c r="S1286" i="6"/>
  <c r="S1285" i="6"/>
  <c r="S1284" i="6"/>
  <c r="S1283" i="6"/>
  <c r="S1282" i="6"/>
  <c r="S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S1264" i="6"/>
  <c r="S1263" i="6"/>
  <c r="S1262" i="6"/>
  <c r="S1261" i="6"/>
  <c r="S1260" i="6"/>
  <c r="S1259" i="6"/>
  <c r="S1258" i="6"/>
  <c r="S1257" i="6"/>
  <c r="S1256" i="6"/>
  <c r="S1255" i="6"/>
  <c r="S1254" i="6"/>
  <c r="E102" i="7" s="1"/>
  <c r="S1289" i="6"/>
  <c r="S1288" i="6"/>
  <c r="S1317" i="6"/>
  <c r="S1316" i="6"/>
  <c r="S1315" i="6"/>
  <c r="S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E103" i="7" s="1"/>
  <c r="T1564" i="6"/>
  <c r="T1563" i="6"/>
  <c r="S1564" i="6"/>
  <c r="S1563" i="6"/>
  <c r="T1866" i="6"/>
  <c r="T1865" i="6"/>
  <c r="S1866" i="6"/>
  <c r="S1865" i="6"/>
  <c r="S2186" i="6"/>
  <c r="E175" i="7" s="1"/>
  <c r="S2185" i="6"/>
  <c r="S2184" i="6"/>
  <c r="T2232" i="6"/>
  <c r="T2231" i="6"/>
  <c r="N2236" i="6"/>
  <c r="S2231" i="6" s="1"/>
  <c r="L2224" i="6"/>
  <c r="N2224" i="6" s="1"/>
  <c r="N2226" i="6" s="1"/>
  <c r="T1212" i="6"/>
  <c r="T1211" i="6"/>
  <c r="T1222" i="6"/>
  <c r="T1221" i="6"/>
  <c r="T1244" i="6"/>
  <c r="T1243" i="6"/>
  <c r="Z1248" i="6"/>
  <c r="V1248" i="6" s="1"/>
  <c r="F99" i="7" s="1"/>
  <c r="S1400" i="6"/>
  <c r="T1399" i="6"/>
  <c r="T1397" i="6"/>
  <c r="T1395" i="6"/>
  <c r="S1553" i="6"/>
  <c r="S1551" i="6"/>
  <c r="S1550" i="6"/>
  <c r="S1549" i="6"/>
  <c r="S1548" i="6"/>
  <c r="S1547" i="6"/>
  <c r="S1546" i="6"/>
  <c r="S1545" i="6"/>
  <c r="S1544" i="6"/>
  <c r="S1543" i="6"/>
  <c r="E110" i="7" s="1"/>
  <c r="S1542" i="6"/>
  <c r="S1541" i="6"/>
  <c r="S1552" i="6"/>
  <c r="T1852" i="6"/>
  <c r="T1851" i="6"/>
  <c r="S1852" i="6"/>
  <c r="S1851" i="6"/>
  <c r="T1887" i="6"/>
  <c r="T1886" i="6"/>
  <c r="S1887" i="6"/>
  <c r="S1886" i="6"/>
  <c r="T1908" i="6"/>
  <c r="T1907" i="6"/>
  <c r="T1906" i="6"/>
  <c r="T1944" i="6"/>
  <c r="T1942" i="6"/>
  <c r="D134" i="7" s="1"/>
  <c r="T1940" i="6"/>
  <c r="T1943" i="6"/>
  <c r="T1950" i="6"/>
  <c r="T1949" i="6"/>
  <c r="T1947" i="6"/>
  <c r="D135" i="7" s="1"/>
  <c r="T1945" i="6"/>
  <c r="T1946" i="6"/>
  <c r="S2019" i="6"/>
  <c r="S2018" i="6"/>
  <c r="S2017" i="6"/>
  <c r="E147" i="7" s="1"/>
  <c r="S2016" i="6"/>
  <c r="S2015" i="6"/>
  <c r="T2037" i="6"/>
  <c r="T2036" i="6"/>
  <c r="T2053" i="6"/>
  <c r="T2052" i="6"/>
  <c r="N1541" i="6"/>
  <c r="T1583" i="6"/>
  <c r="T1582" i="6"/>
  <c r="T1580" i="6"/>
  <c r="T1578" i="6"/>
  <c r="T1576" i="6"/>
  <c r="T1574" i="6"/>
  <c r="T1572" i="6"/>
  <c r="T1571" i="6"/>
  <c r="T1570" i="6"/>
  <c r="T1569" i="6"/>
  <c r="T1568" i="6"/>
  <c r="T1567" i="6"/>
  <c r="T1566" i="6"/>
  <c r="T1565" i="6"/>
  <c r="D111" i="7" s="1"/>
  <c r="S1846" i="6"/>
  <c r="S1845" i="6"/>
  <c r="T1859" i="6"/>
  <c r="T1858" i="6"/>
  <c r="S1859" i="6"/>
  <c r="T1873" i="6"/>
  <c r="T1872" i="6"/>
  <c r="S1873" i="6"/>
  <c r="T1901" i="6"/>
  <c r="S1901" i="6"/>
  <c r="T1916" i="6"/>
  <c r="T1915" i="6"/>
  <c r="T1922" i="6"/>
  <c r="T1919" i="6"/>
  <c r="T1918" i="6"/>
  <c r="T1917" i="6"/>
  <c r="D130" i="7" s="1"/>
  <c r="T1923" i="6"/>
  <c r="T1921" i="6"/>
  <c r="T1928" i="6"/>
  <c r="T1929" i="6"/>
  <c r="T1926" i="6"/>
  <c r="D131" i="7" s="1"/>
  <c r="T1924" i="6"/>
  <c r="K1950" i="6"/>
  <c r="N1950" i="6" s="1"/>
  <c r="N1951" i="6" s="1"/>
  <c r="N1945" i="6"/>
  <c r="S1968" i="6"/>
  <c r="E139" i="7" s="1"/>
  <c r="S1967" i="6"/>
  <c r="S1966" i="6"/>
  <c r="S1971" i="6"/>
  <c r="T2029" i="6"/>
  <c r="T2028" i="6"/>
  <c r="T2045" i="6"/>
  <c r="T2044" i="6"/>
  <c r="N1928" i="6"/>
  <c r="N1930" i="6" s="1"/>
  <c r="N1924" i="6"/>
  <c r="S1916" i="6" s="1"/>
  <c r="T1973" i="6"/>
  <c r="T1972" i="6"/>
  <c r="T1978" i="6"/>
  <c r="T1977" i="6"/>
  <c r="AA1987" i="6"/>
  <c r="T2013" i="6"/>
  <c r="T2012" i="6"/>
  <c r="T2011" i="6"/>
  <c r="T2008" i="6"/>
  <c r="T2007" i="6"/>
  <c r="T2006" i="6"/>
  <c r="T2067" i="6"/>
  <c r="T2066" i="6"/>
  <c r="T2075" i="6"/>
  <c r="T2074" i="6"/>
  <c r="T2083" i="6"/>
  <c r="T2082" i="6"/>
  <c r="T2091" i="6"/>
  <c r="T2090" i="6"/>
  <c r="T2113" i="6"/>
  <c r="T2112" i="6"/>
  <c r="S2129" i="6"/>
  <c r="S2128" i="6"/>
  <c r="S2127" i="6"/>
  <c r="N2136" i="6"/>
  <c r="T2189" i="6"/>
  <c r="T2188" i="6"/>
  <c r="S2189" i="6"/>
  <c r="T2248" i="6"/>
  <c r="T2272" i="6"/>
  <c r="D190" i="7" s="1"/>
  <c r="T2273" i="6"/>
  <c r="S2283" i="6"/>
  <c r="E196" i="7" s="1"/>
  <c r="T2166" i="6"/>
  <c r="T2165" i="6"/>
  <c r="S2195" i="6"/>
  <c r="E177" i="7" s="1"/>
  <c r="S2194" i="6"/>
  <c r="S2193" i="6"/>
  <c r="S2192" i="6"/>
  <c r="T2199" i="6"/>
  <c r="T2198" i="6"/>
  <c r="S2199" i="6"/>
  <c r="T2197" i="6"/>
  <c r="T2215" i="6"/>
  <c r="T2214" i="6"/>
  <c r="S2215" i="6"/>
  <c r="S2220" i="6"/>
  <c r="E182" i="7" s="1"/>
  <c r="S2219" i="6"/>
  <c r="S2218" i="6"/>
  <c r="N2248" i="6"/>
  <c r="T2264" i="6"/>
  <c r="T2262" i="6"/>
  <c r="T2260" i="6"/>
  <c r="T2259" i="6"/>
  <c r="T2258" i="6"/>
  <c r="T2254" i="6"/>
  <c r="T2253" i="6"/>
  <c r="T2252" i="6"/>
  <c r="T2251" i="6"/>
  <c r="T2249" i="6"/>
  <c r="D188" i="7" s="1"/>
  <c r="T2265" i="6"/>
  <c r="T2263" i="6"/>
  <c r="T2261" i="6"/>
  <c r="T2257" i="6"/>
  <c r="T2255" i="6"/>
  <c r="S2273" i="6"/>
  <c r="S2272" i="6"/>
  <c r="E190" i="7" s="1"/>
  <c r="S2270" i="6"/>
  <c r="T2227" i="6"/>
  <c r="T2226" i="6"/>
  <c r="T2237" i="6"/>
  <c r="T2236" i="6"/>
  <c r="N2266" i="6"/>
  <c r="S2268" i="6"/>
  <c r="E189" i="7" s="1"/>
  <c r="S2267" i="6"/>
  <c r="S2266" i="6"/>
  <c r="T2271" i="6"/>
  <c r="T2270" i="6"/>
  <c r="C122" i="7"/>
  <c r="B122" i="7"/>
  <c r="C14" i="22"/>
  <c r="A12" i="22"/>
  <c r="A11" i="22"/>
  <c r="A10" i="22"/>
  <c r="A9" i="22"/>
  <c r="A8" i="22"/>
  <c r="A7" i="22"/>
  <c r="A6" i="22"/>
  <c r="A5" i="22"/>
  <c r="A4" i="22"/>
  <c r="A3" i="22"/>
  <c r="B188" i="76"/>
  <c r="B187" i="76"/>
  <c r="C186" i="76"/>
  <c r="C185" i="76"/>
  <c r="B185" i="76"/>
  <c r="C184" i="76"/>
  <c r="C183" i="76"/>
  <c r="C182" i="76"/>
  <c r="B182" i="76"/>
  <c r="C181" i="76"/>
  <c r="B181" i="76"/>
  <c r="C180" i="76"/>
  <c r="B180" i="76"/>
  <c r="C179" i="76"/>
  <c r="B179" i="76"/>
  <c r="C178" i="76"/>
  <c r="C177" i="76"/>
  <c r="B177" i="76"/>
  <c r="C176" i="76"/>
  <c r="B176" i="76"/>
  <c r="C175" i="76"/>
  <c r="B175" i="76"/>
  <c r="D174" i="76"/>
  <c r="C174" i="76"/>
  <c r="B174" i="76"/>
  <c r="C173" i="76"/>
  <c r="B173" i="76"/>
  <c r="C172" i="76"/>
  <c r="B172" i="76"/>
  <c r="C171" i="76"/>
  <c r="C170" i="76"/>
  <c r="B170" i="76"/>
  <c r="D169" i="76"/>
  <c r="C169" i="76"/>
  <c r="B169" i="76"/>
  <c r="C168" i="76"/>
  <c r="B168" i="76"/>
  <c r="C167" i="76"/>
  <c r="B167" i="76"/>
  <c r="C166" i="76"/>
  <c r="B166" i="76"/>
  <c r="E165" i="76"/>
  <c r="C165" i="76"/>
  <c r="B165" i="76"/>
  <c r="C164" i="76"/>
  <c r="B164" i="76"/>
  <c r="C163" i="76"/>
  <c r="B163" i="76"/>
  <c r="C162" i="76"/>
  <c r="B162" i="76"/>
  <c r="E161" i="76"/>
  <c r="C161" i="76"/>
  <c r="B161" i="76"/>
  <c r="C160" i="76"/>
  <c r="B160" i="76"/>
  <c r="D159" i="76"/>
  <c r="C159" i="76"/>
  <c r="B159" i="76"/>
  <c r="C158" i="76"/>
  <c r="B158" i="76"/>
  <c r="C157" i="76"/>
  <c r="C156" i="76"/>
  <c r="B155" i="76"/>
  <c r="B154" i="76"/>
  <c r="E153" i="76"/>
  <c r="B153" i="76"/>
  <c r="C152" i="76"/>
  <c r="B152" i="76"/>
  <c r="B151" i="76"/>
  <c r="B150" i="76"/>
  <c r="C149" i="76"/>
  <c r="B149" i="76"/>
  <c r="C148" i="76"/>
  <c r="B148" i="76"/>
  <c r="C147" i="76"/>
  <c r="B147" i="76"/>
  <c r="C146" i="76"/>
  <c r="B146" i="76"/>
  <c r="C145" i="76"/>
  <c r="B145" i="76"/>
  <c r="C144" i="76"/>
  <c r="C143" i="76"/>
  <c r="B143" i="76"/>
  <c r="C142" i="76"/>
  <c r="B142" i="76"/>
  <c r="C141" i="76"/>
  <c r="B141" i="76"/>
  <c r="C140" i="76"/>
  <c r="B140" i="76"/>
  <c r="C139" i="76"/>
  <c r="B139" i="76"/>
  <c r="B138" i="76"/>
  <c r="C137" i="76"/>
  <c r="B137" i="76"/>
  <c r="C136" i="76"/>
  <c r="B135" i="76"/>
  <c r="C134" i="76"/>
  <c r="B134" i="76"/>
  <c r="C133" i="76"/>
  <c r="B133" i="76"/>
  <c r="C132" i="76"/>
  <c r="B132" i="76"/>
  <c r="D131" i="76"/>
  <c r="C131" i="76"/>
  <c r="B131" i="76"/>
  <c r="D130" i="76"/>
  <c r="C130" i="76"/>
  <c r="B130" i="76"/>
  <c r="C129" i="76"/>
  <c r="B129" i="76"/>
  <c r="C128" i="76"/>
  <c r="B128" i="76"/>
  <c r="C127" i="76"/>
  <c r="B127" i="76"/>
  <c r="D126" i="76"/>
  <c r="C126" i="76"/>
  <c r="B126" i="76"/>
  <c r="C125" i="76"/>
  <c r="B125" i="76"/>
  <c r="C124" i="76"/>
  <c r="B124" i="76"/>
  <c r="C123" i="76"/>
  <c r="B123" i="76"/>
  <c r="C122" i="76"/>
  <c r="B122" i="76"/>
  <c r="C121" i="76"/>
  <c r="C120" i="76"/>
  <c r="C119" i="76"/>
  <c r="B119" i="76"/>
  <c r="C118" i="76"/>
  <c r="B118" i="76"/>
  <c r="C117" i="76"/>
  <c r="B117" i="76"/>
  <c r="A116" i="76"/>
  <c r="C115" i="76"/>
  <c r="C114" i="76"/>
  <c r="B114" i="76"/>
  <c r="C113" i="76"/>
  <c r="B113" i="76"/>
  <c r="E112" i="76"/>
  <c r="C112" i="76"/>
  <c r="B112" i="76"/>
  <c r="C111" i="76"/>
  <c r="E110" i="76"/>
  <c r="C110" i="76"/>
  <c r="B110" i="76"/>
  <c r="C109" i="76"/>
  <c r="B109" i="76"/>
  <c r="D108" i="76"/>
  <c r="C108" i="76"/>
  <c r="B108" i="76"/>
  <c r="C107" i="76"/>
  <c r="B107" i="76"/>
  <c r="C106" i="76"/>
  <c r="B106" i="76"/>
  <c r="C105" i="76"/>
  <c r="B105" i="76"/>
  <c r="C104" i="76"/>
  <c r="B104" i="76"/>
  <c r="C103" i="76"/>
  <c r="C102" i="76"/>
  <c r="C101" i="76"/>
  <c r="B101" i="76"/>
  <c r="C100" i="76"/>
  <c r="B100" i="76"/>
  <c r="C99" i="76"/>
  <c r="B99" i="76"/>
  <c r="C98" i="76"/>
  <c r="B98" i="76"/>
  <c r="C97" i="76"/>
  <c r="B96" i="76"/>
  <c r="B95" i="76"/>
  <c r="B94" i="76"/>
  <c r="B93" i="76"/>
  <c r="B92" i="76"/>
  <c r="E91" i="76"/>
  <c r="C91" i="76"/>
  <c r="B91" i="76"/>
  <c r="D90" i="76"/>
  <c r="C90" i="76"/>
  <c r="B90" i="76"/>
  <c r="D89" i="76"/>
  <c r="C89" i="76"/>
  <c r="B89" i="76"/>
  <c r="C88" i="76"/>
  <c r="B88" i="76"/>
  <c r="D87" i="76"/>
  <c r="C87" i="76"/>
  <c r="B87" i="76"/>
  <c r="C86" i="76"/>
  <c r="D85" i="76"/>
  <c r="B85" i="76"/>
  <c r="D84" i="76"/>
  <c r="B84" i="76"/>
  <c r="B83" i="76"/>
  <c r="B82" i="76"/>
  <c r="D81" i="76"/>
  <c r="C81" i="76"/>
  <c r="B81" i="76"/>
  <c r="D80" i="76"/>
  <c r="C80" i="76"/>
  <c r="B80" i="76"/>
  <c r="D79" i="76"/>
  <c r="C79" i="76"/>
  <c r="B79" i="76"/>
  <c r="C78" i="76"/>
  <c r="B78" i="76"/>
  <c r="C77" i="76"/>
  <c r="B77" i="76"/>
  <c r="C76" i="76"/>
  <c r="B76" i="76"/>
  <c r="C75" i="76"/>
  <c r="B75" i="76"/>
  <c r="B74" i="76"/>
  <c r="C73" i="76"/>
  <c r="B73" i="76"/>
  <c r="D72" i="76"/>
  <c r="C72" i="76"/>
  <c r="B72" i="76"/>
  <c r="C71" i="76"/>
  <c r="C70" i="76"/>
  <c r="B70" i="76"/>
  <c r="C69" i="76"/>
  <c r="B69" i="76"/>
  <c r="C68" i="76"/>
  <c r="B68" i="76"/>
  <c r="C67" i="76"/>
  <c r="B67" i="76"/>
  <c r="C66" i="76"/>
  <c r="B66" i="76"/>
  <c r="C65" i="76"/>
  <c r="B65" i="76"/>
  <c r="C64" i="76"/>
  <c r="B64" i="76"/>
  <c r="C63" i="76"/>
  <c r="B63" i="76"/>
  <c r="C62" i="76"/>
  <c r="B62" i="76"/>
  <c r="C61" i="76"/>
  <c r="B61" i="76"/>
  <c r="C60" i="76"/>
  <c r="B60" i="76"/>
  <c r="B59" i="76"/>
  <c r="C58" i="76"/>
  <c r="B58" i="76"/>
  <c r="C57" i="76"/>
  <c r="B57" i="76"/>
  <c r="C56" i="76"/>
  <c r="B56" i="76"/>
  <c r="C55" i="76"/>
  <c r="B55" i="76"/>
  <c r="C54" i="76"/>
  <c r="B54" i="76"/>
  <c r="C53" i="76"/>
  <c r="B53" i="76"/>
  <c r="C52" i="76"/>
  <c r="B52" i="76"/>
  <c r="C51" i="76"/>
  <c r="B51" i="76"/>
  <c r="B50" i="76"/>
  <c r="B49" i="76"/>
  <c r="C48" i="76"/>
  <c r="B48" i="76"/>
  <c r="C47" i="76"/>
  <c r="B47" i="76"/>
  <c r="E46" i="76"/>
  <c r="C46" i="76"/>
  <c r="B46" i="76"/>
  <c r="C45" i="76"/>
  <c r="B45" i="76"/>
  <c r="C44" i="76"/>
  <c r="B44" i="76"/>
  <c r="C43" i="76"/>
  <c r="B43" i="76"/>
  <c r="E42" i="76"/>
  <c r="C42" i="76"/>
  <c r="B42" i="76"/>
  <c r="C41" i="76"/>
  <c r="B41" i="76"/>
  <c r="C40" i="76"/>
  <c r="B40" i="76"/>
  <c r="E39" i="76"/>
  <c r="D39" i="76"/>
  <c r="C39" i="76"/>
  <c r="B39" i="76"/>
  <c r="C38" i="76"/>
  <c r="B38" i="76"/>
  <c r="C37" i="76"/>
  <c r="B37" i="76"/>
  <c r="C36" i="76"/>
  <c r="B36" i="76"/>
  <c r="C35" i="76"/>
  <c r="B35" i="76"/>
  <c r="C34" i="76"/>
  <c r="B34" i="76"/>
  <c r="C33" i="76"/>
  <c r="B33" i="76"/>
  <c r="C32" i="76"/>
  <c r="B32" i="76"/>
  <c r="C31" i="76"/>
  <c r="B31" i="76"/>
  <c r="C30" i="76"/>
  <c r="B30" i="76"/>
  <c r="C29" i="76"/>
  <c r="B29" i="76"/>
  <c r="C28" i="76"/>
  <c r="B28" i="76"/>
  <c r="C27" i="76"/>
  <c r="B27" i="76"/>
  <c r="C26" i="76"/>
  <c r="B26" i="76"/>
  <c r="C25" i="76"/>
  <c r="C24" i="76"/>
  <c r="B24" i="76"/>
  <c r="C23" i="76"/>
  <c r="B23" i="76"/>
  <c r="C22" i="76"/>
  <c r="B22" i="76"/>
  <c r="D21" i="76"/>
  <c r="C21" i="76"/>
  <c r="B21" i="76"/>
  <c r="B20" i="76"/>
  <c r="D19" i="76"/>
  <c r="C19" i="76"/>
  <c r="B19" i="76"/>
  <c r="C18" i="76"/>
  <c r="B18" i="76"/>
  <c r="D17" i="76"/>
  <c r="C17" i="76"/>
  <c r="B17" i="76"/>
  <c r="C16" i="76"/>
  <c r="B16" i="76"/>
  <c r="C15" i="76"/>
  <c r="B15" i="76"/>
  <c r="D14" i="76"/>
  <c r="C14" i="76"/>
  <c r="B14" i="76"/>
  <c r="C13" i="76"/>
  <c r="B13" i="76"/>
  <c r="C12" i="76"/>
  <c r="B12" i="76"/>
  <c r="C11" i="76"/>
  <c r="B11" i="76"/>
  <c r="D10" i="76"/>
  <c r="C10" i="76"/>
  <c r="B10" i="76"/>
  <c r="D9" i="76"/>
  <c r="C9" i="76"/>
  <c r="B9" i="76"/>
  <c r="C8" i="76"/>
  <c r="B8" i="76"/>
  <c r="C7" i="76"/>
  <c r="B7" i="76"/>
  <c r="C6" i="76"/>
  <c r="C5" i="76"/>
  <c r="A2" i="76"/>
  <c r="V1243" i="6" l="1"/>
  <c r="F98" i="7" s="1"/>
  <c r="I98" i="7" s="1"/>
  <c r="J98" i="7" s="1"/>
  <c r="C1243" i="6"/>
  <c r="C95" i="76" s="1"/>
  <c r="S671" i="6"/>
  <c r="S77" i="6"/>
  <c r="S677" i="6"/>
  <c r="S684" i="6"/>
  <c r="S646" i="6"/>
  <c r="S2209" i="6"/>
  <c r="S654" i="6"/>
  <c r="S99" i="6"/>
  <c r="S656" i="6"/>
  <c r="S97" i="6"/>
  <c r="E22" i="7" s="1"/>
  <c r="G22" i="7" s="1"/>
  <c r="S639" i="6"/>
  <c r="S100" i="6"/>
  <c r="S2079" i="6"/>
  <c r="S640" i="6"/>
  <c r="E66" i="7" s="1"/>
  <c r="S679" i="6"/>
  <c r="S645" i="6"/>
  <c r="S2094" i="6"/>
  <c r="S653" i="6"/>
  <c r="S662" i="6"/>
  <c r="S655" i="6"/>
  <c r="S670" i="6"/>
  <c r="S661" i="6"/>
  <c r="S672" i="6"/>
  <c r="S669" i="6"/>
  <c r="S142" i="6"/>
  <c r="S2208" i="6"/>
  <c r="S2039" i="6"/>
  <c r="F675" i="1"/>
  <c r="G675" i="1" s="1"/>
  <c r="F615" i="1"/>
  <c r="G615" i="1" s="1"/>
  <c r="S2038" i="6"/>
  <c r="E149" i="7" s="1"/>
  <c r="S2030" i="6"/>
  <c r="E148" i="7" s="1"/>
  <c r="S2211" i="6"/>
  <c r="S2060" i="6"/>
  <c r="S609" i="6"/>
  <c r="S2055" i="6"/>
  <c r="S2056" i="6"/>
  <c r="S2061" i="6"/>
  <c r="S612" i="6"/>
  <c r="S67" i="6"/>
  <c r="S2207" i="6"/>
  <c r="S2053" i="6"/>
  <c r="S2226" i="6"/>
  <c r="S1360" i="6"/>
  <c r="S47" i="6"/>
  <c r="E13" i="7" s="1"/>
  <c r="G13" i="7" s="1"/>
  <c r="S2228" i="6"/>
  <c r="E184" i="7" s="1"/>
  <c r="S1361" i="6"/>
  <c r="S2229" i="6"/>
  <c r="S1396" i="6"/>
  <c r="S650" i="6"/>
  <c r="S666" i="6"/>
  <c r="S683" i="6"/>
  <c r="S649" i="6"/>
  <c r="S665" i="6"/>
  <c r="S680" i="6"/>
  <c r="S95" i="6"/>
  <c r="S10" i="6"/>
  <c r="S648" i="6"/>
  <c r="S664" i="6"/>
  <c r="S681" i="6"/>
  <c r="S647" i="6"/>
  <c r="S663" i="6"/>
  <c r="S678" i="6"/>
  <c r="S101" i="6"/>
  <c r="S40" i="6"/>
  <c r="S2084" i="6"/>
  <c r="E155" i="7" s="1"/>
  <c r="S652" i="6"/>
  <c r="S668" i="6"/>
  <c r="S638" i="6"/>
  <c r="S651" i="6"/>
  <c r="S667" i="6"/>
  <c r="S682" i="6"/>
  <c r="S135" i="6"/>
  <c r="S96" i="6"/>
  <c r="S2227" i="6"/>
  <c r="S688" i="6"/>
  <c r="S2033" i="6"/>
  <c r="S642" i="6"/>
  <c r="S658" i="6"/>
  <c r="S674" i="6"/>
  <c r="S641" i="6"/>
  <c r="S657" i="6"/>
  <c r="S673" i="6"/>
  <c r="S50" i="6"/>
  <c r="S133" i="6"/>
  <c r="E29" i="7" s="1"/>
  <c r="S2031" i="6"/>
  <c r="S131" i="6"/>
  <c r="S2165" i="6"/>
  <c r="S2029" i="6"/>
  <c r="S644" i="6"/>
  <c r="S660" i="6"/>
  <c r="S676" i="6"/>
  <c r="S643" i="6"/>
  <c r="S659" i="6"/>
  <c r="S45" i="6"/>
  <c r="S618" i="6"/>
  <c r="S740" i="6"/>
  <c r="S2210" i="6"/>
  <c r="S1914" i="6"/>
  <c r="S2040" i="6"/>
  <c r="S615" i="6"/>
  <c r="S620" i="6"/>
  <c r="S2202" i="6"/>
  <c r="S2089" i="6"/>
  <c r="S2003" i="6"/>
  <c r="E146" i="7" s="1"/>
  <c r="S2063" i="6"/>
  <c r="S2051" i="6"/>
  <c r="S2032" i="6"/>
  <c r="S1912" i="6"/>
  <c r="S2043" i="6"/>
  <c r="S961" i="6"/>
  <c r="S619" i="6"/>
  <c r="S624" i="6"/>
  <c r="S743" i="6"/>
  <c r="S744" i="6"/>
  <c r="S52" i="6"/>
  <c r="S2062" i="6"/>
  <c r="S741" i="6"/>
  <c r="S742" i="6"/>
  <c r="S51" i="6"/>
  <c r="S2054" i="6"/>
  <c r="E152" i="7" s="1"/>
  <c r="S2057" i="6"/>
  <c r="S2203" i="6"/>
  <c r="S2087" i="6"/>
  <c r="S2064" i="6"/>
  <c r="S2049" i="6"/>
  <c r="S2035" i="6"/>
  <c r="S1913" i="6"/>
  <c r="S2041" i="6"/>
  <c r="Q1134" i="6"/>
  <c r="Q1168" i="6" s="1"/>
  <c r="M1168" i="6" s="1"/>
  <c r="AA1131" i="6" s="1"/>
  <c r="S955" i="6"/>
  <c r="S623" i="6"/>
  <c r="S628" i="6"/>
  <c r="S745" i="6"/>
  <c r="S746" i="6"/>
  <c r="S55" i="6"/>
  <c r="S635" i="6"/>
  <c r="S56" i="6"/>
  <c r="S2205" i="6"/>
  <c r="E180" i="7" s="1"/>
  <c r="S2058" i="6"/>
  <c r="S2037" i="6"/>
  <c r="S2034" i="6"/>
  <c r="S1906" i="6"/>
  <c r="S685" i="6"/>
  <c r="S630" i="6"/>
  <c r="S637" i="6"/>
  <c r="S74" i="6"/>
  <c r="S736" i="6"/>
  <c r="S118" i="6"/>
  <c r="S2212" i="6"/>
  <c r="S1911" i="6"/>
  <c r="S613" i="6"/>
  <c r="S739" i="6"/>
  <c r="S63" i="6"/>
  <c r="S2204" i="6"/>
  <c r="S2065" i="6"/>
  <c r="S2036" i="6"/>
  <c r="S1907" i="6"/>
  <c r="S629" i="6"/>
  <c r="S73" i="6"/>
  <c r="S735" i="6"/>
  <c r="S747" i="6"/>
  <c r="S2206" i="6"/>
  <c r="S2059" i="6"/>
  <c r="S1908" i="6"/>
  <c r="S1909" i="6"/>
  <c r="E129" i="7" s="1"/>
  <c r="S686" i="6"/>
  <c r="S634" i="6"/>
  <c r="S78" i="6"/>
  <c r="S2004" i="6"/>
  <c r="S2013" i="6"/>
  <c r="S2088" i="6"/>
  <c r="S2011" i="6"/>
  <c r="S2005" i="6"/>
  <c r="S2050" i="6"/>
  <c r="S969" i="6"/>
  <c r="S687" i="6"/>
  <c r="E67" i="7" s="1"/>
  <c r="S617" i="6"/>
  <c r="S632" i="6"/>
  <c r="S622" i="6"/>
  <c r="S75" i="6"/>
  <c r="E18" i="7" s="1"/>
  <c r="G18" i="7" s="1"/>
  <c r="S46" i="6"/>
  <c r="S132" i="6"/>
  <c r="S65" i="6"/>
  <c r="S53" i="6"/>
  <c r="E14" i="7" s="1"/>
  <c r="G14" i="7" s="1"/>
  <c r="S2007" i="6"/>
  <c r="D60" i="76"/>
  <c r="S2082" i="6"/>
  <c r="S2045" i="6"/>
  <c r="S2008" i="6"/>
  <c r="S2010" i="6"/>
  <c r="S930" i="6"/>
  <c r="S690" i="6"/>
  <c r="S608" i="6"/>
  <c r="S621" i="6"/>
  <c r="S636" i="6"/>
  <c r="S626" i="6"/>
  <c r="S76" i="6"/>
  <c r="S49" i="6"/>
  <c r="S137" i="6"/>
  <c r="S134" i="6"/>
  <c r="S62" i="6"/>
  <c r="S2012" i="6"/>
  <c r="S2014" i="6"/>
  <c r="S136" i="6"/>
  <c r="S2085" i="6"/>
  <c r="S2001" i="6"/>
  <c r="S2047" i="6"/>
  <c r="L1203" i="6"/>
  <c r="N1203" i="6" s="1"/>
  <c r="N1206" i="6" s="1"/>
  <c r="S610" i="6"/>
  <c r="E65" i="7" s="1"/>
  <c r="S625" i="6"/>
  <c r="S614" i="6"/>
  <c r="S631" i="6"/>
  <c r="S140" i="6"/>
  <c r="S138" i="6"/>
  <c r="S64" i="6"/>
  <c r="E16" i="7" s="1"/>
  <c r="G16" i="7" s="1"/>
  <c r="S2006" i="6"/>
  <c r="S2009" i="6"/>
  <c r="S2046" i="6"/>
  <c r="E150" i="7" s="1"/>
  <c r="S139" i="6"/>
  <c r="S2086" i="6"/>
  <c r="S2048" i="6"/>
  <c r="S611" i="6"/>
  <c r="S627" i="6"/>
  <c r="S616" i="6"/>
  <c r="S129" i="6"/>
  <c r="F11" i="7"/>
  <c r="J11" i="7" s="1"/>
  <c r="D48" i="76"/>
  <c r="D18" i="76"/>
  <c r="D113" i="76"/>
  <c r="I139" i="7"/>
  <c r="J139" i="7" s="1"/>
  <c r="I141" i="7"/>
  <c r="J141" i="7" s="1"/>
  <c r="I95" i="7"/>
  <c r="J95" i="7" s="1"/>
  <c r="I99" i="7"/>
  <c r="J99" i="7" s="1"/>
  <c r="I97" i="7"/>
  <c r="J97" i="7" s="1"/>
  <c r="I96" i="7"/>
  <c r="J96" i="7" s="1"/>
  <c r="I140" i="7"/>
  <c r="J140" i="7" s="1"/>
  <c r="D163" i="76"/>
  <c r="D32" i="76"/>
  <c r="D109" i="76"/>
  <c r="E117" i="76"/>
  <c r="E129" i="76"/>
  <c r="D43" i="76"/>
  <c r="D172" i="76"/>
  <c r="E43" i="76"/>
  <c r="E59" i="76"/>
  <c r="D107" i="76"/>
  <c r="D104" i="76"/>
  <c r="D114" i="76"/>
  <c r="E164" i="76"/>
  <c r="D185" i="76"/>
  <c r="E150" i="76"/>
  <c r="D135" i="76"/>
  <c r="D122" i="76"/>
  <c r="D145" i="76"/>
  <c r="E36" i="76"/>
  <c r="E30" i="76"/>
  <c r="D117" i="76"/>
  <c r="D168" i="76"/>
  <c r="D119" i="76"/>
  <c r="D110" i="76"/>
  <c r="D142" i="76"/>
  <c r="D101" i="76"/>
  <c r="E60" i="76"/>
  <c r="S1362" i="6"/>
  <c r="E105" i="7" s="1"/>
  <c r="S1370" i="6"/>
  <c r="S1386" i="6"/>
  <c r="S1363" i="6"/>
  <c r="S1371" i="6"/>
  <c r="S1387" i="6"/>
  <c r="S1394" i="6"/>
  <c r="S1393" i="6"/>
  <c r="S1364" i="6"/>
  <c r="S1372" i="6"/>
  <c r="S1388" i="6"/>
  <c r="S1389" i="6"/>
  <c r="S1365" i="6"/>
  <c r="S1373" i="6"/>
  <c r="S1366" i="6"/>
  <c r="S1382" i="6"/>
  <c r="S1385" i="6"/>
  <c r="S1367" i="6"/>
  <c r="S1383" i="6"/>
  <c r="S1390" i="6"/>
  <c r="S1392" i="6"/>
  <c r="S1368" i="6"/>
  <c r="S1384" i="6"/>
  <c r="S1391" i="6"/>
  <c r="S1369" i="6"/>
  <c r="D99" i="76"/>
  <c r="S933" i="6"/>
  <c r="S962" i="6"/>
  <c r="S970" i="6"/>
  <c r="S959" i="6"/>
  <c r="S931" i="6"/>
  <c r="S946" i="6"/>
  <c r="S937" i="6"/>
  <c r="S971" i="6"/>
  <c r="S932" i="6"/>
  <c r="D165" i="76"/>
  <c r="S941" i="6"/>
  <c r="S964" i="6"/>
  <c r="S935" i="6"/>
  <c r="S1009" i="6"/>
  <c r="S934" i="6"/>
  <c r="S950" i="6"/>
  <c r="D162" i="76"/>
  <c r="S963" i="6"/>
  <c r="S960" i="6"/>
  <c r="S948" i="6"/>
  <c r="S945" i="6"/>
  <c r="S965" i="6"/>
  <c r="S939" i="6"/>
  <c r="S926" i="6"/>
  <c r="S936" i="6"/>
  <c r="S952" i="6"/>
  <c r="S949" i="6"/>
  <c r="S966" i="6"/>
  <c r="S943" i="6"/>
  <c r="S927" i="6"/>
  <c r="S938" i="6"/>
  <c r="S954" i="6"/>
  <c r="S953" i="6"/>
  <c r="S967" i="6"/>
  <c r="S947" i="6"/>
  <c r="S928" i="6"/>
  <c r="S940" i="6"/>
  <c r="S956" i="6"/>
  <c r="S957" i="6"/>
  <c r="S968" i="6"/>
  <c r="S951" i="6"/>
  <c r="S929" i="6"/>
  <c r="S942" i="6"/>
  <c r="S1019" i="6"/>
  <c r="S1018" i="6"/>
  <c r="S785" i="6"/>
  <c r="S1023" i="6"/>
  <c r="S1020" i="6"/>
  <c r="G19" i="7"/>
  <c r="D161" i="76"/>
  <c r="S1010" i="6"/>
  <c r="S1022" i="6"/>
  <c r="S972" i="6"/>
  <c r="S1017" i="6"/>
  <c r="S1011" i="6"/>
  <c r="E81" i="7" s="1"/>
  <c r="S1021" i="6"/>
  <c r="D100" i="76"/>
  <c r="S1012" i="6"/>
  <c r="S1014" i="6"/>
  <c r="S31" i="6"/>
  <c r="E11" i="7" s="1"/>
  <c r="D79" i="7"/>
  <c r="S801" i="6"/>
  <c r="S123" i="6"/>
  <c r="S763" i="6"/>
  <c r="S124" i="6"/>
  <c r="E28" i="7" s="1"/>
  <c r="S771" i="6"/>
  <c r="S125" i="6"/>
  <c r="S780" i="6"/>
  <c r="S598" i="6"/>
  <c r="E64" i="7" s="1"/>
  <c r="S127" i="6"/>
  <c r="S796" i="6"/>
  <c r="S604" i="6"/>
  <c r="S130" i="6"/>
  <c r="S813" i="6"/>
  <c r="S126" i="6"/>
  <c r="D41" i="76"/>
  <c r="E55" i="76"/>
  <c r="D85" i="7"/>
  <c r="E49" i="76"/>
  <c r="D53" i="76"/>
  <c r="D35" i="76"/>
  <c r="E54" i="76"/>
  <c r="T1232" i="6"/>
  <c r="E48" i="76"/>
  <c r="E37" i="76"/>
  <c r="E32" i="76"/>
  <c r="E31" i="76"/>
  <c r="E38" i="76"/>
  <c r="D27" i="76"/>
  <c r="E33" i="76"/>
  <c r="E44" i="76"/>
  <c r="D95" i="76"/>
  <c r="D98" i="7"/>
  <c r="D96" i="76"/>
  <c r="D99" i="7"/>
  <c r="D91" i="76"/>
  <c r="D94" i="7"/>
  <c r="D93" i="76"/>
  <c r="D96" i="7"/>
  <c r="E151" i="76"/>
  <c r="D92" i="76"/>
  <c r="D95" i="7"/>
  <c r="D94" i="76"/>
  <c r="D97" i="7"/>
  <c r="E29" i="76"/>
  <c r="D62" i="76"/>
  <c r="E15" i="76"/>
  <c r="E109" i="76"/>
  <c r="E9" i="76"/>
  <c r="D7" i="76"/>
  <c r="E56" i="76"/>
  <c r="E70" i="76"/>
  <c r="E8" i="76"/>
  <c r="E100" i="76"/>
  <c r="D152" i="76"/>
  <c r="E163" i="76"/>
  <c r="E51" i="76"/>
  <c r="C93" i="76"/>
  <c r="E185" i="76"/>
  <c r="D44" i="76"/>
  <c r="E114" i="76"/>
  <c r="G15" i="7"/>
  <c r="D98" i="76"/>
  <c r="E168" i="76"/>
  <c r="E10" i="76"/>
  <c r="D78" i="7"/>
  <c r="E35" i="76"/>
  <c r="E106" i="76"/>
  <c r="E170" i="76"/>
  <c r="E130" i="76"/>
  <c r="E108" i="76"/>
  <c r="E137" i="76"/>
  <c r="E67" i="76"/>
  <c r="E166" i="76"/>
  <c r="E159" i="76"/>
  <c r="D82" i="76"/>
  <c r="E188" i="76"/>
  <c r="E118" i="76"/>
  <c r="E138" i="76"/>
  <c r="D54" i="76"/>
  <c r="E62" i="76"/>
  <c r="E113" i="76"/>
  <c r="E146" i="76"/>
  <c r="E57" i="76"/>
  <c r="E50" i="76"/>
  <c r="D84" i="7"/>
  <c r="E126" i="76"/>
  <c r="E53" i="76"/>
  <c r="E107" i="76"/>
  <c r="E160" i="76"/>
  <c r="E158" i="76"/>
  <c r="G17" i="7"/>
  <c r="G12" i="7"/>
  <c r="E134" i="76"/>
  <c r="S2092" i="6"/>
  <c r="E156" i="7" s="1"/>
  <c r="S2078" i="6"/>
  <c r="S115" i="6"/>
  <c r="E27" i="7" s="1"/>
  <c r="S42" i="6"/>
  <c r="S29" i="6"/>
  <c r="S8" i="6"/>
  <c r="S2093" i="6"/>
  <c r="S2081" i="6"/>
  <c r="S116" i="6"/>
  <c r="S44" i="6"/>
  <c r="S30" i="6"/>
  <c r="S9" i="6"/>
  <c r="S2097" i="6"/>
  <c r="S2080" i="6"/>
  <c r="S120" i="6"/>
  <c r="S41" i="6"/>
  <c r="S34" i="6"/>
  <c r="S11" i="6"/>
  <c r="S2095" i="6"/>
  <c r="S2123" i="6"/>
  <c r="S111" i="6"/>
  <c r="S121" i="6"/>
  <c r="S43" i="6"/>
  <c r="S36" i="6"/>
  <c r="S12" i="6"/>
  <c r="E58" i="76"/>
  <c r="D63" i="76"/>
  <c r="D70" i="76"/>
  <c r="E133" i="76"/>
  <c r="S2096" i="6"/>
  <c r="S2074" i="6"/>
  <c r="S112" i="6"/>
  <c r="S117" i="6"/>
  <c r="S37" i="6"/>
  <c r="S32" i="6"/>
  <c r="S5" i="6"/>
  <c r="S13" i="6"/>
  <c r="G140" i="7"/>
  <c r="E47" i="76"/>
  <c r="E61" i="76"/>
  <c r="S2076" i="6"/>
  <c r="E154" i="7" s="1"/>
  <c r="S113" i="6"/>
  <c r="S119" i="6"/>
  <c r="S38" i="6"/>
  <c r="S33" i="6"/>
  <c r="S6" i="6"/>
  <c r="D38" i="76"/>
  <c r="S2090" i="6"/>
  <c r="S2077" i="6"/>
  <c r="S114" i="6"/>
  <c r="G141" i="7"/>
  <c r="S1061" i="6"/>
  <c r="K1128" i="6"/>
  <c r="Q1128" i="6" s="1"/>
  <c r="S2161" i="6"/>
  <c r="N1087" i="6"/>
  <c r="S787" i="6"/>
  <c r="S803" i="6"/>
  <c r="S764" i="6"/>
  <c r="S772" i="6"/>
  <c r="S782" i="6"/>
  <c r="S798" i="6"/>
  <c r="S599" i="6"/>
  <c r="S606" i="6"/>
  <c r="E52" i="76"/>
  <c r="E125" i="76"/>
  <c r="S2162" i="6"/>
  <c r="S789" i="6"/>
  <c r="S805" i="6"/>
  <c r="S765" i="6"/>
  <c r="S773" i="6"/>
  <c r="S784" i="6"/>
  <c r="S800" i="6"/>
  <c r="S601" i="6"/>
  <c r="S2163" i="6"/>
  <c r="E170" i="7" s="1"/>
  <c r="S791" i="6"/>
  <c r="S806" i="6"/>
  <c r="S766" i="6"/>
  <c r="E74" i="7" s="1"/>
  <c r="S774" i="6"/>
  <c r="S786" i="6"/>
  <c r="S802" i="6"/>
  <c r="S603" i="6"/>
  <c r="E173" i="76"/>
  <c r="S2164" i="6"/>
  <c r="S793" i="6"/>
  <c r="S808" i="6"/>
  <c r="S767" i="6"/>
  <c r="S775" i="6"/>
  <c r="S788" i="6"/>
  <c r="S804" i="6"/>
  <c r="S605" i="6"/>
  <c r="E69" i="76"/>
  <c r="S2167" i="6"/>
  <c r="S779" i="6"/>
  <c r="S795" i="6"/>
  <c r="S810" i="6"/>
  <c r="S768" i="6"/>
  <c r="S776" i="6"/>
  <c r="S790" i="6"/>
  <c r="S807" i="6"/>
  <c r="S607" i="6"/>
  <c r="S781" i="6"/>
  <c r="S797" i="6"/>
  <c r="S812" i="6"/>
  <c r="S769" i="6"/>
  <c r="S777" i="6"/>
  <c r="S792" i="6"/>
  <c r="S809" i="6"/>
  <c r="S596" i="6"/>
  <c r="S600" i="6"/>
  <c r="S783" i="6"/>
  <c r="S799" i="6"/>
  <c r="S814" i="6"/>
  <c r="S770" i="6"/>
  <c r="S778" i="6"/>
  <c r="S794" i="6"/>
  <c r="S597" i="6"/>
  <c r="E45" i="76"/>
  <c r="E34" i="76"/>
  <c r="S1964" i="6"/>
  <c r="S1963" i="6"/>
  <c r="E138" i="7" s="1"/>
  <c r="S1962" i="6"/>
  <c r="S1961" i="6"/>
  <c r="S1965" i="6"/>
  <c r="S2113" i="6"/>
  <c r="S2118" i="6"/>
  <c r="N1168" i="6"/>
  <c r="S1156" i="6" s="1"/>
  <c r="S2112" i="6"/>
  <c r="S2119" i="6"/>
  <c r="S2114" i="6"/>
  <c r="E159" i="7" s="1"/>
  <c r="S2120" i="6"/>
  <c r="E116" i="76"/>
  <c r="S2115" i="6"/>
  <c r="S2121" i="6"/>
  <c r="S2116" i="6"/>
  <c r="L1087" i="6"/>
  <c r="Z1025" i="6" s="1"/>
  <c r="V1025" i="6" s="1"/>
  <c r="S2117" i="6"/>
  <c r="S1395" i="6"/>
  <c r="S1399" i="6"/>
  <c r="S1397" i="6"/>
  <c r="E119" i="76"/>
  <c r="D40" i="76"/>
  <c r="D36" i="76"/>
  <c r="D45" i="76"/>
  <c r="D37" i="76"/>
  <c r="D179" i="76"/>
  <c r="D11" i="76"/>
  <c r="D112" i="76"/>
  <c r="D66" i="76"/>
  <c r="D8" i="76"/>
  <c r="D139" i="76"/>
  <c r="D149" i="76"/>
  <c r="D77" i="76"/>
  <c r="D46" i="76"/>
  <c r="D125" i="76"/>
  <c r="D12" i="76"/>
  <c r="D88" i="76"/>
  <c r="D65" i="76"/>
  <c r="E7" i="76"/>
  <c r="D28" i="76"/>
  <c r="D56" i="76"/>
  <c r="E98" i="76"/>
  <c r="D64" i="76"/>
  <c r="D123" i="76"/>
  <c r="E12" i="76"/>
  <c r="D29" i="76"/>
  <c r="D176" i="76"/>
  <c r="D47" i="76"/>
  <c r="D26" i="76"/>
  <c r="D52" i="76"/>
  <c r="G21" i="7"/>
  <c r="E24" i="76"/>
  <c r="D164" i="76"/>
  <c r="D55" i="76"/>
  <c r="D160" i="76"/>
  <c r="E140" i="76"/>
  <c r="D129" i="76"/>
  <c r="D173" i="76"/>
  <c r="D57" i="76"/>
  <c r="D22" i="76"/>
  <c r="D140" i="76"/>
  <c r="D31" i="76"/>
  <c r="D83" i="76"/>
  <c r="D61" i="76"/>
  <c r="D167" i="76"/>
  <c r="D170" i="76"/>
  <c r="D30" i="76"/>
  <c r="D158" i="76"/>
  <c r="D124" i="76"/>
  <c r="D58" i="76"/>
  <c r="D118" i="76"/>
  <c r="E21" i="76"/>
  <c r="D105" i="76"/>
  <c r="E19" i="76"/>
  <c r="D24" i="76"/>
  <c r="D68" i="76"/>
  <c r="D73" i="76"/>
  <c r="E20" i="76"/>
  <c r="E68" i="76"/>
  <c r="D134" i="76"/>
  <c r="D13" i="76"/>
  <c r="D23" i="76"/>
  <c r="D141" i="76"/>
  <c r="D34" i="76"/>
  <c r="E132" i="76"/>
  <c r="D67" i="76"/>
  <c r="D69" i="76"/>
  <c r="D15" i="76"/>
  <c r="D42" i="76"/>
  <c r="D51" i="76"/>
  <c r="E40" i="76"/>
  <c r="D106" i="76"/>
  <c r="D33" i="76"/>
  <c r="E105" i="76"/>
  <c r="D166" i="76"/>
  <c r="D16" i="76"/>
  <c r="E41" i="76"/>
  <c r="D137" i="76"/>
  <c r="D147" i="76"/>
  <c r="E99" i="76"/>
  <c r="D132" i="76"/>
  <c r="D181" i="76"/>
  <c r="D175" i="76"/>
  <c r="D146" i="76"/>
  <c r="E17" i="76"/>
  <c r="E23" i="76"/>
  <c r="D76" i="76"/>
  <c r="D133" i="76"/>
  <c r="C87" i="6"/>
  <c r="D20" i="7"/>
  <c r="D143" i="76"/>
  <c r="D148" i="76"/>
  <c r="D177" i="76"/>
  <c r="D75" i="76"/>
  <c r="E187" i="76"/>
  <c r="D180" i="76"/>
  <c r="D127" i="76"/>
  <c r="E181" i="76"/>
  <c r="E174" i="76"/>
  <c r="D182" i="76"/>
  <c r="D78" i="76"/>
  <c r="D128" i="76"/>
  <c r="E167" i="76"/>
  <c r="E169" i="76"/>
  <c r="E182" i="76"/>
  <c r="G20" i="7"/>
  <c r="G139" i="7"/>
  <c r="D116" i="76"/>
  <c r="S2135" i="6"/>
  <c r="S2133" i="6"/>
  <c r="S2132" i="6"/>
  <c r="S2134" i="6"/>
  <c r="S1923" i="6"/>
  <c r="S1921" i="6"/>
  <c r="S1920" i="6"/>
  <c r="S1922" i="6"/>
  <c r="S1918" i="6"/>
  <c r="S1917" i="6"/>
  <c r="S1915" i="6"/>
  <c r="S1919" i="6"/>
  <c r="K1987" i="6"/>
  <c r="S1950" i="6"/>
  <c r="S1949" i="6"/>
  <c r="S1948" i="6"/>
  <c r="S1947" i="6"/>
  <c r="S1946" i="6"/>
  <c r="S1945" i="6"/>
  <c r="S1540" i="6"/>
  <c r="S1539" i="6"/>
  <c r="S1538" i="6"/>
  <c r="S1537" i="6"/>
  <c r="S1536" i="6"/>
  <c r="S1535" i="6"/>
  <c r="S1534" i="6"/>
  <c r="S1533" i="6"/>
  <c r="S1532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80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T1247" i="6"/>
  <c r="T1246" i="6"/>
  <c r="C99" i="7"/>
  <c r="S2225" i="6"/>
  <c r="S2223" i="6"/>
  <c r="S2224" i="6"/>
  <c r="S2222" i="6"/>
  <c r="N1199" i="6"/>
  <c r="P1168" i="6"/>
  <c r="L1168" i="6" s="1"/>
  <c r="Z1131" i="6" s="1"/>
  <c r="S922" i="6"/>
  <c r="S920" i="6"/>
  <c r="S918" i="6"/>
  <c r="S916" i="6"/>
  <c r="S914" i="6"/>
  <c r="S912" i="6"/>
  <c r="S910" i="6"/>
  <c r="S908" i="6"/>
  <c r="S906" i="6"/>
  <c r="S904" i="6"/>
  <c r="S902" i="6"/>
  <c r="S900" i="6"/>
  <c r="S898" i="6"/>
  <c r="S896" i="6"/>
  <c r="S895" i="6"/>
  <c r="S894" i="6"/>
  <c r="S893" i="6"/>
  <c r="S892" i="6"/>
  <c r="S891" i="6"/>
  <c r="S890" i="6"/>
  <c r="S889" i="6"/>
  <c r="S888" i="6"/>
  <c r="S887" i="6"/>
  <c r="S886" i="6"/>
  <c r="S921" i="6"/>
  <c r="S917" i="6"/>
  <c r="S913" i="6"/>
  <c r="S909" i="6"/>
  <c r="S905" i="6"/>
  <c r="S901" i="6"/>
  <c r="S897" i="6"/>
  <c r="S923" i="6"/>
  <c r="S919" i="6"/>
  <c r="S915" i="6"/>
  <c r="S911" i="6"/>
  <c r="S907" i="6"/>
  <c r="S903" i="6"/>
  <c r="S899" i="6"/>
  <c r="S883" i="6"/>
  <c r="S881" i="6"/>
  <c r="S879" i="6"/>
  <c r="S877" i="6"/>
  <c r="S875" i="6"/>
  <c r="S873" i="6"/>
  <c r="S871" i="6"/>
  <c r="S869" i="6"/>
  <c r="S867" i="6"/>
  <c r="S865" i="6"/>
  <c r="S863" i="6"/>
  <c r="S861" i="6"/>
  <c r="S859" i="6"/>
  <c r="S857" i="6"/>
  <c r="S855" i="6"/>
  <c r="S854" i="6"/>
  <c r="S853" i="6"/>
  <c r="S852" i="6"/>
  <c r="S851" i="6"/>
  <c r="S850" i="6"/>
  <c r="S849" i="6"/>
  <c r="S848" i="6"/>
  <c r="S846" i="6"/>
  <c r="S882" i="6"/>
  <c r="S880" i="6"/>
  <c r="S878" i="6"/>
  <c r="S876" i="6"/>
  <c r="S874" i="6"/>
  <c r="S872" i="6"/>
  <c r="S870" i="6"/>
  <c r="S868" i="6"/>
  <c r="S866" i="6"/>
  <c r="S864" i="6"/>
  <c r="S862" i="6"/>
  <c r="S860" i="6"/>
  <c r="S858" i="6"/>
  <c r="S856" i="6"/>
  <c r="S847" i="6"/>
  <c r="S845" i="6"/>
  <c r="S843" i="6"/>
  <c r="S841" i="6"/>
  <c r="S839" i="6"/>
  <c r="S837" i="6"/>
  <c r="S835" i="6"/>
  <c r="S842" i="6"/>
  <c r="S838" i="6"/>
  <c r="S834" i="6"/>
  <c r="S844" i="6"/>
  <c r="S840" i="6"/>
  <c r="S836" i="6"/>
  <c r="S833" i="6"/>
  <c r="S832" i="6"/>
  <c r="G23" i="7"/>
  <c r="B116" i="76"/>
  <c r="S2265" i="6"/>
  <c r="S2263" i="6"/>
  <c r="S2261" i="6"/>
  <c r="S2257" i="6"/>
  <c r="S2256" i="6"/>
  <c r="S2255" i="6"/>
  <c r="S2250" i="6"/>
  <c r="S2264" i="6"/>
  <c r="S2262" i="6"/>
  <c r="S2260" i="6"/>
  <c r="S2258" i="6"/>
  <c r="S2254" i="6"/>
  <c r="S2252" i="6"/>
  <c r="S2259" i="6"/>
  <c r="S2253" i="6"/>
  <c r="S2251" i="6"/>
  <c r="S2249" i="6"/>
  <c r="S2246" i="6"/>
  <c r="S2247" i="6"/>
  <c r="S2244" i="6"/>
  <c r="S2242" i="6"/>
  <c r="S2240" i="6"/>
  <c r="S2238" i="6"/>
  <c r="S2236" i="6"/>
  <c r="S2245" i="6"/>
  <c r="S2241" i="6"/>
  <c r="S2237" i="6"/>
  <c r="S2239" i="6"/>
  <c r="S2243" i="6"/>
  <c r="S2248" i="6"/>
  <c r="S1929" i="6"/>
  <c r="S1927" i="6"/>
  <c r="S1926" i="6"/>
  <c r="S1925" i="6"/>
  <c r="S1924" i="6"/>
  <c r="S1928" i="6"/>
  <c r="S1944" i="6"/>
  <c r="S1943" i="6"/>
  <c r="S1942" i="6"/>
  <c r="S1941" i="6"/>
  <c r="S1940" i="6"/>
  <c r="S2234" i="6"/>
  <c r="S2235" i="6"/>
  <c r="S2233" i="6"/>
  <c r="S2232" i="6"/>
  <c r="T1236" i="6"/>
  <c r="T1237" i="6"/>
  <c r="C97" i="7"/>
  <c r="T1226" i="6"/>
  <c r="T1225" i="6"/>
  <c r="C95" i="7"/>
  <c r="Q1199" i="6"/>
  <c r="M1199" i="6" s="1"/>
  <c r="C1185" i="6" s="1"/>
  <c r="N1245" i="6"/>
  <c r="N1246" i="6" s="1"/>
  <c r="S1007" i="6"/>
  <c r="S1005" i="6"/>
  <c r="S1003" i="6"/>
  <c r="S1001" i="6"/>
  <c r="S999" i="6"/>
  <c r="S997" i="6"/>
  <c r="S995" i="6"/>
  <c r="S993" i="6"/>
  <c r="S991" i="6"/>
  <c r="S989" i="6"/>
  <c r="S987" i="6"/>
  <c r="S985" i="6"/>
  <c r="S983" i="6"/>
  <c r="S981" i="6"/>
  <c r="S979" i="6"/>
  <c r="S978" i="6"/>
  <c r="S977" i="6"/>
  <c r="S976" i="6"/>
  <c r="S975" i="6"/>
  <c r="S974" i="6"/>
  <c r="S925" i="6"/>
  <c r="L1210" i="6"/>
  <c r="S1006" i="6"/>
  <c r="S1004" i="6"/>
  <c r="S1002" i="6"/>
  <c r="S1000" i="6"/>
  <c r="S998" i="6"/>
  <c r="S996" i="6"/>
  <c r="S994" i="6"/>
  <c r="S992" i="6"/>
  <c r="S990" i="6"/>
  <c r="S988" i="6"/>
  <c r="S986" i="6"/>
  <c r="S984" i="6"/>
  <c r="S982" i="6"/>
  <c r="S980" i="6"/>
  <c r="S973" i="6"/>
  <c r="S924" i="6"/>
  <c r="K1095" i="6"/>
  <c r="S828" i="6"/>
  <c r="S826" i="6"/>
  <c r="S824" i="6"/>
  <c r="S822" i="6"/>
  <c r="S820" i="6"/>
  <c r="S827" i="6"/>
  <c r="S823" i="6"/>
  <c r="S819" i="6"/>
  <c r="S816" i="6"/>
  <c r="S829" i="6"/>
  <c r="S825" i="6"/>
  <c r="S821" i="6"/>
  <c r="S818" i="6"/>
  <c r="S817" i="6"/>
  <c r="S815" i="6"/>
  <c r="N1250" i="6"/>
  <c r="N1251" i="6" s="1"/>
  <c r="S1247" i="6" s="1"/>
  <c r="N1221" i="6"/>
  <c r="K1173" i="6"/>
  <c r="C116" i="76"/>
  <c r="C98" i="7" l="1"/>
  <c r="T1241" i="6"/>
  <c r="T1242" i="6"/>
  <c r="E65" i="76"/>
  <c r="E22" i="76"/>
  <c r="E139" i="76"/>
  <c r="E141" i="76"/>
  <c r="E142" i="76"/>
  <c r="E18" i="76"/>
  <c r="E122" i="76"/>
  <c r="E172" i="76"/>
  <c r="E143" i="76"/>
  <c r="E176" i="76"/>
  <c r="E28" i="76"/>
  <c r="E148" i="76"/>
  <c r="E64" i="76"/>
  <c r="N1229" i="6"/>
  <c r="N1232" i="6" s="1"/>
  <c r="S1225" i="6" s="1"/>
  <c r="E13" i="76"/>
  <c r="E16" i="76"/>
  <c r="E145" i="76"/>
  <c r="S1157" i="6"/>
  <c r="S1200" i="6"/>
  <c r="S1204" i="6"/>
  <c r="S1205" i="6"/>
  <c r="S1202" i="6"/>
  <c r="S1203" i="6"/>
  <c r="S1201" i="6"/>
  <c r="E87" i="76" s="1"/>
  <c r="S1199" i="6"/>
  <c r="E66" i="76"/>
  <c r="E14" i="76"/>
  <c r="G11" i="7"/>
  <c r="E11" i="76"/>
  <c r="E63" i="76"/>
  <c r="E101" i="76"/>
  <c r="E27" i="76"/>
  <c r="E79" i="76"/>
  <c r="S1142" i="6"/>
  <c r="S1148" i="6"/>
  <c r="S1135" i="6"/>
  <c r="S1158" i="6"/>
  <c r="S1141" i="6"/>
  <c r="S1164" i="6"/>
  <c r="S1151" i="6"/>
  <c r="S1167" i="6"/>
  <c r="S1133" i="6"/>
  <c r="E149" i="76"/>
  <c r="E26" i="76"/>
  <c r="E152" i="76"/>
  <c r="E147" i="76"/>
  <c r="E131" i="76"/>
  <c r="E162" i="76"/>
  <c r="N1128" i="6"/>
  <c r="P1128" i="6"/>
  <c r="E72" i="76"/>
  <c r="S1137" i="6"/>
  <c r="S1153" i="6"/>
  <c r="S1131" i="6"/>
  <c r="S1144" i="6"/>
  <c r="S1160" i="6"/>
  <c r="S1139" i="6"/>
  <c r="S1155" i="6"/>
  <c r="S1132" i="6"/>
  <c r="S1146" i="6"/>
  <c r="S1162" i="6"/>
  <c r="S1143" i="6"/>
  <c r="S1159" i="6"/>
  <c r="S1134" i="6"/>
  <c r="S1150" i="6"/>
  <c r="S1166" i="6"/>
  <c r="S1145" i="6"/>
  <c r="S1161" i="6"/>
  <c r="S1136" i="6"/>
  <c r="S1152" i="6"/>
  <c r="S1147" i="6"/>
  <c r="S1163" i="6"/>
  <c r="S1138" i="6"/>
  <c r="S1154" i="6"/>
  <c r="S1149" i="6"/>
  <c r="S1165" i="6"/>
  <c r="S1140" i="6"/>
  <c r="S1226" i="6"/>
  <c r="C20" i="7"/>
  <c r="S86" i="6"/>
  <c r="S85" i="6"/>
  <c r="T86" i="6"/>
  <c r="C20" i="76"/>
  <c r="T85" i="6"/>
  <c r="C1131" i="6"/>
  <c r="S1086" i="6"/>
  <c r="S1084" i="6"/>
  <c r="S1082" i="6"/>
  <c r="S1080" i="6"/>
  <c r="S1078" i="6"/>
  <c r="S1076" i="6"/>
  <c r="S1075" i="6"/>
  <c r="S1073" i="6"/>
  <c r="S1071" i="6"/>
  <c r="S1069" i="6"/>
  <c r="S1067" i="6"/>
  <c r="S1065" i="6"/>
  <c r="S1025" i="6"/>
  <c r="N1089" i="6"/>
  <c r="N1090" i="6" s="1"/>
  <c r="S1083" i="6"/>
  <c r="S1079" i="6"/>
  <c r="S1072" i="6"/>
  <c r="S1068" i="6"/>
  <c r="S1064" i="6"/>
  <c r="S1085" i="6"/>
  <c r="S1081" i="6"/>
  <c r="S1077" i="6"/>
  <c r="S1074" i="6"/>
  <c r="S1070" i="6"/>
  <c r="S1066" i="6"/>
  <c r="S1063" i="6"/>
  <c r="S1062" i="6"/>
  <c r="S1024" i="6"/>
  <c r="N1210" i="6"/>
  <c r="N1211" i="6" s="1"/>
  <c r="L1215" i="6"/>
  <c r="N1215" i="6" s="1"/>
  <c r="N1216" i="6" s="1"/>
  <c r="S1245" i="6"/>
  <c r="S1244" i="6"/>
  <c r="S1243" i="6"/>
  <c r="S1241" i="6"/>
  <c r="AA1185" i="6"/>
  <c r="V1185" i="6" s="1"/>
  <c r="E134" i="7"/>
  <c r="E127" i="76"/>
  <c r="E131" i="7"/>
  <c r="E124" i="76"/>
  <c r="E187" i="7"/>
  <c r="E179" i="76"/>
  <c r="E188" i="7"/>
  <c r="E180" i="76"/>
  <c r="E77" i="7"/>
  <c r="E75" i="76"/>
  <c r="Q1173" i="6"/>
  <c r="Q1184" i="6" s="1"/>
  <c r="N1173" i="6"/>
  <c r="N1184" i="6" s="1"/>
  <c r="P1173" i="6"/>
  <c r="P1184" i="6" s="1"/>
  <c r="K1184" i="6"/>
  <c r="S1220" i="6"/>
  <c r="S1219" i="6"/>
  <c r="S1218" i="6"/>
  <c r="S1216" i="6"/>
  <c r="S1217" i="6"/>
  <c r="K1129" i="6"/>
  <c r="P1095" i="6"/>
  <c r="Q1095" i="6"/>
  <c r="Q1129" i="6" s="1"/>
  <c r="N1095" i="6"/>
  <c r="N1129" i="6" s="1"/>
  <c r="E80" i="7"/>
  <c r="E78" i="76"/>
  <c r="S1242" i="6"/>
  <c r="E185" i="7"/>
  <c r="E177" i="76"/>
  <c r="E76" i="7"/>
  <c r="E74" i="76"/>
  <c r="V1131" i="6"/>
  <c r="E183" i="7"/>
  <c r="E175" i="76"/>
  <c r="E130" i="7"/>
  <c r="E123" i="76"/>
  <c r="S1249" i="6"/>
  <c r="S1248" i="6"/>
  <c r="S1250" i="6"/>
  <c r="E75" i="7"/>
  <c r="E73" i="7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885" i="6"/>
  <c r="S884" i="6"/>
  <c r="E79" i="7"/>
  <c r="E77" i="76"/>
  <c r="S1197" i="6"/>
  <c r="S1195" i="6"/>
  <c r="S1193" i="6"/>
  <c r="S1191" i="6"/>
  <c r="S1189" i="6"/>
  <c r="S1196" i="6"/>
  <c r="S1192" i="6"/>
  <c r="S1188" i="6"/>
  <c r="S1187" i="6"/>
  <c r="S1186" i="6"/>
  <c r="S1198" i="6"/>
  <c r="S1190" i="6"/>
  <c r="S1194" i="6"/>
  <c r="S1185" i="6"/>
  <c r="S1246" i="6"/>
  <c r="E109" i="7"/>
  <c r="E104" i="76"/>
  <c r="E135" i="7"/>
  <c r="E128" i="76"/>
  <c r="P1987" i="6"/>
  <c r="P1988" i="6" s="1"/>
  <c r="K1988" i="6"/>
  <c r="N1987" i="6"/>
  <c r="N1988" i="6" s="1"/>
  <c r="Q1987" i="6"/>
  <c r="Q1988" i="6" s="1"/>
  <c r="E161" i="7"/>
  <c r="E154" i="76"/>
  <c r="S1231" i="6" l="1"/>
  <c r="S1229" i="6"/>
  <c r="S1230" i="6"/>
  <c r="S1227" i="6"/>
  <c r="E95" i="7" s="1"/>
  <c r="G95" i="7" s="1"/>
  <c r="S1228" i="6"/>
  <c r="E90" i="7"/>
  <c r="P1129" i="6"/>
  <c r="E80" i="76"/>
  <c r="E82" i="7"/>
  <c r="M1129" i="6"/>
  <c r="AA1092" i="6" s="1"/>
  <c r="M1988" i="6"/>
  <c r="AA1984" i="6" s="1"/>
  <c r="S1987" i="6"/>
  <c r="S1986" i="6"/>
  <c r="S1985" i="6"/>
  <c r="S1984" i="6"/>
  <c r="L1988" i="6"/>
  <c r="Z1984" i="6" s="1"/>
  <c r="E78" i="7"/>
  <c r="E76" i="76"/>
  <c r="E99" i="7"/>
  <c r="G99" i="7" s="1"/>
  <c r="E96" i="76"/>
  <c r="S1127" i="6"/>
  <c r="S1125" i="6"/>
  <c r="S1123" i="6"/>
  <c r="S1121" i="6"/>
  <c r="S1119" i="6"/>
  <c r="S1117" i="6"/>
  <c r="S1115" i="6"/>
  <c r="S1113" i="6"/>
  <c r="S1111" i="6"/>
  <c r="S1109" i="6"/>
  <c r="S1107" i="6"/>
  <c r="S1105" i="6"/>
  <c r="S1103" i="6"/>
  <c r="S1101" i="6"/>
  <c r="S1099" i="6"/>
  <c r="S1097" i="6"/>
  <c r="S1095" i="6"/>
  <c r="S1094" i="6"/>
  <c r="S1093" i="6"/>
  <c r="S1092" i="6"/>
  <c r="S1128" i="6"/>
  <c r="S1126" i="6"/>
  <c r="S1124" i="6"/>
  <c r="S1122" i="6"/>
  <c r="S1120" i="6"/>
  <c r="S1118" i="6"/>
  <c r="S1116" i="6"/>
  <c r="S1114" i="6"/>
  <c r="S1112" i="6"/>
  <c r="S1110" i="6"/>
  <c r="S1108" i="6"/>
  <c r="S1106" i="6"/>
  <c r="S1104" i="6"/>
  <c r="S1102" i="6"/>
  <c r="S1100" i="6"/>
  <c r="S1098" i="6"/>
  <c r="S1096" i="6"/>
  <c r="L1129" i="6"/>
  <c r="Z1092" i="6" s="1"/>
  <c r="E93" i="7"/>
  <c r="E90" i="76"/>
  <c r="M1184" i="6"/>
  <c r="C1170" i="6" s="1"/>
  <c r="C86" i="7" s="1"/>
  <c r="S1184" i="6"/>
  <c r="T1184" i="6"/>
  <c r="N1240" i="6"/>
  <c r="N1241" i="6" s="1"/>
  <c r="S1214" i="6"/>
  <c r="S1213" i="6"/>
  <c r="S1211" i="6"/>
  <c r="S1212" i="6"/>
  <c r="S1215" i="6"/>
  <c r="S1089" i="6"/>
  <c r="S1088" i="6"/>
  <c r="E81" i="76" s="1"/>
  <c r="S1087" i="6"/>
  <c r="T1130" i="6"/>
  <c r="T1129" i="6"/>
  <c r="S1129" i="6"/>
  <c r="S1130" i="6"/>
  <c r="S1183" i="6"/>
  <c r="S1182" i="6"/>
  <c r="S1181" i="6"/>
  <c r="S1180" i="6"/>
  <c r="S1179" i="6"/>
  <c r="S1178" i="6"/>
  <c r="S1177" i="6"/>
  <c r="S1176" i="6"/>
  <c r="S1175" i="6"/>
  <c r="S1172" i="6"/>
  <c r="S1171" i="6"/>
  <c r="S1170" i="6"/>
  <c r="S1174" i="6"/>
  <c r="S1173" i="6"/>
  <c r="E98" i="7"/>
  <c r="G98" i="7" s="1"/>
  <c r="E95" i="76"/>
  <c r="S1210" i="6"/>
  <c r="N1235" i="6"/>
  <c r="N1236" i="6" s="1"/>
  <c r="S1209" i="6"/>
  <c r="S1208" i="6"/>
  <c r="S1206" i="6"/>
  <c r="S1207" i="6"/>
  <c r="E92" i="76" l="1"/>
  <c r="E83" i="7"/>
  <c r="C84" i="76"/>
  <c r="E86" i="7"/>
  <c r="E84" i="76"/>
  <c r="C1984" i="6"/>
  <c r="C1092" i="6"/>
  <c r="E91" i="7"/>
  <c r="E88" i="76"/>
  <c r="S1235" i="6"/>
  <c r="S1234" i="6"/>
  <c r="S1233" i="6"/>
  <c r="S1232" i="6"/>
  <c r="E87" i="7"/>
  <c r="E85" i="76"/>
  <c r="E84" i="7"/>
  <c r="E82" i="76"/>
  <c r="AA1170" i="6"/>
  <c r="V1170" i="6" s="1"/>
  <c r="E142" i="7"/>
  <c r="E135" i="76"/>
  <c r="E92" i="7"/>
  <c r="E89" i="76"/>
  <c r="S1239" i="6"/>
  <c r="S1238" i="6"/>
  <c r="S1240" i="6"/>
  <c r="S1237" i="6"/>
  <c r="S1236" i="6"/>
  <c r="V1092" i="6"/>
  <c r="F85" i="7" s="1"/>
  <c r="E85" i="7"/>
  <c r="E83" i="76"/>
  <c r="V1984" i="6"/>
  <c r="F142" i="7" s="1"/>
  <c r="I142" i="7" l="1"/>
  <c r="J142" i="7" s="1"/>
  <c r="I85" i="7"/>
  <c r="J85" i="7" s="1"/>
  <c r="G85" i="7"/>
  <c r="F87" i="7"/>
  <c r="F86" i="7"/>
  <c r="C84" i="7"/>
  <c r="C82" i="76"/>
  <c r="T1983" i="6"/>
  <c r="T1982" i="6"/>
  <c r="S1982" i="6"/>
  <c r="S1983" i="6"/>
  <c r="C142" i="7"/>
  <c r="C135" i="76"/>
  <c r="T1091" i="6"/>
  <c r="T1090" i="6"/>
  <c r="S1090" i="6"/>
  <c r="S1091" i="6"/>
  <c r="C85" i="7"/>
  <c r="C83" i="76"/>
  <c r="E97" i="7"/>
  <c r="G97" i="7" s="1"/>
  <c r="E94" i="76"/>
  <c r="T1169" i="6"/>
  <c r="T1168" i="6"/>
  <c r="S1168" i="6"/>
  <c r="S1169" i="6"/>
  <c r="C87" i="7"/>
  <c r="C85" i="76"/>
  <c r="G142" i="7"/>
  <c r="E96" i="7"/>
  <c r="G96" i="7" s="1"/>
  <c r="E93" i="76"/>
  <c r="G87" i="7" l="1"/>
  <c r="I87" i="7"/>
  <c r="J87" i="7" s="1"/>
  <c r="G86" i="7"/>
  <c r="I86" i="7"/>
  <c r="J86" i="7" s="1"/>
  <c r="I4" i="53"/>
  <c r="I3" i="53"/>
  <c r="F322" i="53" l="1"/>
  <c r="F115" i="53"/>
  <c r="F508" i="53"/>
  <c r="F205" i="53"/>
  <c r="F283" i="53"/>
  <c r="F361" i="53"/>
  <c r="F158" i="53"/>
  <c r="F466" i="53"/>
  <c r="F431" i="53"/>
  <c r="F396" i="53"/>
  <c r="F79" i="53"/>
  <c r="F244" i="53"/>
  <c r="F42" i="53"/>
  <c r="I115" i="53"/>
  <c r="I116" i="53" s="1"/>
  <c r="I79" i="53"/>
  <c r="I80" i="53" s="1"/>
  <c r="I245" i="53"/>
  <c r="K209" i="53" s="1"/>
  <c r="I205" i="53"/>
  <c r="I508" i="53"/>
  <c r="I509" i="53" s="1"/>
  <c r="I158" i="53"/>
  <c r="I159" i="53" s="1"/>
  <c r="K46" i="53" l="1"/>
  <c r="K83" i="53"/>
  <c r="K470" i="53"/>
  <c r="K119" i="53"/>
  <c r="K162" i="53"/>
  <c r="F40" i="7" l="1"/>
  <c r="I40" i="7" s="1"/>
  <c r="I422" i="53"/>
  <c r="I421" i="53"/>
  <c r="F82" i="7"/>
  <c r="J82" i="7" s="1"/>
  <c r="F93" i="7"/>
  <c r="F84" i="7"/>
  <c r="F75" i="7"/>
  <c r="G93" i="7" l="1"/>
  <c r="J93" i="7"/>
  <c r="I93" i="7"/>
  <c r="G84" i="7"/>
  <c r="I84" i="7"/>
  <c r="J84" i="7" s="1"/>
  <c r="G82" i="7"/>
  <c r="I82" i="7"/>
  <c r="G75" i="7"/>
  <c r="I75" i="7"/>
  <c r="J75" i="7"/>
  <c r="G40" i="7"/>
  <c r="J40" i="7"/>
  <c r="A30" i="75"/>
  <c r="F155" i="7" l="1"/>
  <c r="F124" i="7"/>
  <c r="F24" i="7"/>
  <c r="F131" i="7"/>
  <c r="I455" i="53"/>
  <c r="I458" i="53"/>
  <c r="G155" i="7" l="1"/>
  <c r="I155" i="7"/>
  <c r="J155" i="7"/>
  <c r="G131" i="7"/>
  <c r="I131" i="7"/>
  <c r="J131" i="7"/>
  <c r="G124" i="7"/>
  <c r="J124" i="7"/>
  <c r="I124" i="7"/>
  <c r="G24" i="7"/>
  <c r="J24" i="7"/>
  <c r="F739" i="1"/>
  <c r="G739" i="1" s="1"/>
  <c r="F745" i="1"/>
  <c r="G745" i="1" s="1"/>
  <c r="F150" i="7"/>
  <c r="F123" i="7"/>
  <c r="F148" i="7"/>
  <c r="F152" i="7"/>
  <c r="F113" i="7"/>
  <c r="F129" i="7"/>
  <c r="F28" i="7"/>
  <c r="F112" i="7"/>
  <c r="F156" i="7"/>
  <c r="F146" i="7"/>
  <c r="F159" i="7"/>
  <c r="F138" i="7"/>
  <c r="G146" i="7" l="1"/>
  <c r="J146" i="7"/>
  <c r="I146" i="7"/>
  <c r="G156" i="7"/>
  <c r="J156" i="7"/>
  <c r="I156" i="7"/>
  <c r="G150" i="7"/>
  <c r="I150" i="7"/>
  <c r="J150" i="7"/>
  <c r="G113" i="7"/>
  <c r="I113" i="7"/>
  <c r="J113" i="7"/>
  <c r="G112" i="7"/>
  <c r="J112" i="7"/>
  <c r="I112" i="7"/>
  <c r="G129" i="7"/>
  <c r="J129" i="7"/>
  <c r="I129" i="7"/>
  <c r="G138" i="7"/>
  <c r="I138" i="7"/>
  <c r="J138" i="7"/>
  <c r="G152" i="7"/>
  <c r="I152" i="7"/>
  <c r="J152" i="7"/>
  <c r="G123" i="7"/>
  <c r="I123" i="7"/>
  <c r="J123" i="7"/>
  <c r="G159" i="7"/>
  <c r="J159" i="7"/>
  <c r="I159" i="7"/>
  <c r="G148" i="7"/>
  <c r="I148" i="7"/>
  <c r="J148" i="7"/>
  <c r="G28" i="7"/>
  <c r="J28" i="7"/>
  <c r="F806" i="1"/>
  <c r="G806" i="1" l="1"/>
  <c r="D1926" i="52"/>
  <c r="I1926" i="52" s="1"/>
  <c r="F735" i="1"/>
  <c r="G735" i="1" s="1"/>
  <c r="F67" i="7"/>
  <c r="F79" i="7"/>
  <c r="G79" i="7" l="1"/>
  <c r="I79" i="7"/>
  <c r="J79" i="7"/>
  <c r="G67" i="7"/>
  <c r="I67" i="7"/>
  <c r="J67" i="7"/>
  <c r="G7" i="79"/>
  <c r="G6" i="79"/>
  <c r="A12" i="75" l="1"/>
  <c r="A24" i="75" l="1"/>
  <c r="G36" i="79" l="1"/>
  <c r="G35" i="79"/>
  <c r="G34" i="79"/>
  <c r="G33" i="79"/>
  <c r="G32" i="79"/>
  <c r="G31" i="79"/>
  <c r="G30" i="79"/>
  <c r="G29" i="79"/>
  <c r="G28" i="79"/>
  <c r="G27" i="79"/>
  <c r="G26" i="79"/>
  <c r="G25" i="79"/>
  <c r="G24" i="79"/>
  <c r="G23" i="79"/>
  <c r="G22" i="79"/>
  <c r="G21" i="79"/>
  <c r="G20" i="79"/>
  <c r="G19" i="79"/>
  <c r="G18" i="79"/>
  <c r="G17" i="79"/>
  <c r="G16" i="79"/>
  <c r="G15" i="79"/>
  <c r="G14" i="79"/>
  <c r="G13" i="79"/>
  <c r="G12" i="79"/>
  <c r="G11" i="79"/>
  <c r="G10" i="79"/>
  <c r="G9" i="79"/>
  <c r="G8" i="79"/>
  <c r="G5" i="79"/>
  <c r="G4" i="79"/>
  <c r="F86" i="1" l="1"/>
  <c r="G86" i="1" l="1"/>
  <c r="F80" i="7"/>
  <c r="F346" i="1"/>
  <c r="G346" i="1" s="1"/>
  <c r="F394" i="1"/>
  <c r="G394" i="1" s="1"/>
  <c r="F215" i="1" l="1"/>
  <c r="F351" i="1"/>
  <c r="G351" i="1" s="1"/>
  <c r="I34" i="53"/>
  <c r="I35" i="53" l="1"/>
  <c r="I41" i="53" s="1"/>
  <c r="I42" i="53" s="1"/>
  <c r="D1925" i="52"/>
  <c r="I1925" i="52" s="1"/>
  <c r="G215" i="1"/>
  <c r="D1318" i="52"/>
  <c r="I1318" i="52" s="1"/>
  <c r="D939" i="52"/>
  <c r="I939" i="52" s="1"/>
  <c r="F31" i="7"/>
  <c r="I31" i="7" s="1"/>
  <c r="I43" i="53" l="1"/>
  <c r="K7" i="53" s="1"/>
  <c r="I1323" i="52"/>
  <c r="I1328" i="52" s="1"/>
  <c r="I1329" i="52" s="1"/>
  <c r="I1330" i="52" s="1"/>
  <c r="K1299" i="52" s="1"/>
  <c r="I944" i="52"/>
  <c r="I949" i="52" s="1"/>
  <c r="I950" i="52" s="1"/>
  <c r="I951" i="52" s="1"/>
  <c r="K920" i="52" s="1"/>
  <c r="F545" i="1" s="1"/>
  <c r="G545" i="1" s="1"/>
  <c r="G31" i="7"/>
  <c r="J31" i="7"/>
  <c r="F787" i="1"/>
  <c r="G787" i="1" s="1"/>
  <c r="F194" i="7"/>
  <c r="F544" i="1" l="1"/>
  <c r="G544" i="1" s="1"/>
  <c r="F494" i="1"/>
  <c r="G494" i="1" s="1"/>
  <c r="G194" i="7"/>
  <c r="I194" i="7"/>
  <c r="J194" i="7" s="1"/>
  <c r="F172" i="7"/>
  <c r="O2289" i="6"/>
  <c r="C2287" i="6"/>
  <c r="N2283" i="6"/>
  <c r="O2142" i="6"/>
  <c r="C2138" i="6"/>
  <c r="N2132" i="6"/>
  <c r="O2130" i="6"/>
  <c r="C2126" i="6"/>
  <c r="O2112" i="6"/>
  <c r="C2106" i="6"/>
  <c r="N2100" i="6"/>
  <c r="O2001" i="6"/>
  <c r="C1997" i="6"/>
  <c r="O845" i="6"/>
  <c r="C832" i="6"/>
  <c r="O574" i="6"/>
  <c r="C571" i="6"/>
  <c r="N363" i="6"/>
  <c r="O361" i="6"/>
  <c r="C358" i="6"/>
  <c r="N2287" i="6"/>
  <c r="O2285" i="6"/>
  <c r="C2283" i="6"/>
  <c r="N2138" i="6"/>
  <c r="N2142" i="6" s="1"/>
  <c r="O2136" i="6"/>
  <c r="C2132" i="6"/>
  <c r="N2126" i="6"/>
  <c r="N2106" i="6"/>
  <c r="O2104" i="6"/>
  <c r="C2100" i="6"/>
  <c r="N1997" i="6"/>
  <c r="N832" i="6"/>
  <c r="N571" i="6"/>
  <c r="O366" i="6"/>
  <c r="C363" i="6"/>
  <c r="N358" i="6"/>
  <c r="F196" i="7"/>
  <c r="F158" i="7"/>
  <c r="F76" i="7"/>
  <c r="F145" i="7"/>
  <c r="F157" i="7"/>
  <c r="F197" i="7"/>
  <c r="G196" i="7" l="1"/>
  <c r="I196" i="7"/>
  <c r="J196" i="7" s="1"/>
  <c r="G197" i="7"/>
  <c r="I197" i="7"/>
  <c r="J197" i="7" s="1"/>
  <c r="G172" i="7"/>
  <c r="J172" i="7"/>
  <c r="I172" i="7"/>
  <c r="G157" i="7"/>
  <c r="I157" i="7"/>
  <c r="J157" i="7" s="1"/>
  <c r="G145" i="7"/>
  <c r="I145" i="7"/>
  <c r="J145" i="7" s="1"/>
  <c r="G158" i="7"/>
  <c r="I158" i="7"/>
  <c r="J158" i="7" s="1"/>
  <c r="G76" i="7"/>
  <c r="I76" i="7"/>
  <c r="J76" i="7"/>
  <c r="F92" i="7"/>
  <c r="T365" i="6"/>
  <c r="T364" i="6"/>
  <c r="T363" i="6"/>
  <c r="T2103" i="6"/>
  <c r="T2101" i="6"/>
  <c r="T2102" i="6"/>
  <c r="T2100" i="6"/>
  <c r="T2132" i="6"/>
  <c r="T2135" i="6"/>
  <c r="T2134" i="6"/>
  <c r="T2133" i="6"/>
  <c r="C196" i="7"/>
  <c r="T2280" i="6"/>
  <c r="S2282" i="6"/>
  <c r="S2280" i="6"/>
  <c r="C187" i="76"/>
  <c r="T2282" i="6"/>
  <c r="T2281" i="6"/>
  <c r="S2281" i="6"/>
  <c r="T360" i="6"/>
  <c r="T359" i="6"/>
  <c r="T358" i="6"/>
  <c r="T570" i="6"/>
  <c r="T569" i="6"/>
  <c r="S570" i="6"/>
  <c r="S569" i="6"/>
  <c r="C60" i="7"/>
  <c r="C59" i="76"/>
  <c r="C76" i="7"/>
  <c r="T831" i="6"/>
  <c r="T830" i="6"/>
  <c r="C74" i="76"/>
  <c r="S831" i="6"/>
  <c r="S830" i="6"/>
  <c r="T1905" i="6"/>
  <c r="S1905" i="6"/>
  <c r="T1996" i="6"/>
  <c r="T1995" i="6"/>
  <c r="S1995" i="6"/>
  <c r="S1996" i="6"/>
  <c r="C145" i="7"/>
  <c r="C138" i="76"/>
  <c r="T2111" i="6"/>
  <c r="T2110" i="6"/>
  <c r="T2109" i="6"/>
  <c r="T2108" i="6"/>
  <c r="T2107" i="6"/>
  <c r="T2106" i="6"/>
  <c r="T2128" i="6"/>
  <c r="T2129" i="6"/>
  <c r="T2126" i="6"/>
  <c r="T2127" i="6"/>
  <c r="T2136" i="6"/>
  <c r="T2137" i="6"/>
  <c r="C162" i="7"/>
  <c r="S2137" i="6"/>
  <c r="S2136" i="6"/>
  <c r="C155" i="76"/>
  <c r="T2287" i="6"/>
  <c r="T2288" i="6"/>
  <c r="S362" i="6"/>
  <c r="S361" i="6"/>
  <c r="T362" i="6"/>
  <c r="T361" i="6"/>
  <c r="C51" i="7"/>
  <c r="C50" i="76"/>
  <c r="S2099" i="6"/>
  <c r="C157" i="7"/>
  <c r="T2098" i="6"/>
  <c r="C150" i="76"/>
  <c r="S2098" i="6"/>
  <c r="T2099" i="6"/>
  <c r="T2130" i="6"/>
  <c r="T2131" i="6"/>
  <c r="C154" i="76"/>
  <c r="C161" i="7"/>
  <c r="S2130" i="6"/>
  <c r="S2131" i="6"/>
  <c r="S2139" i="6"/>
  <c r="S2140" i="6"/>
  <c r="S2141" i="6"/>
  <c r="S2138" i="6"/>
  <c r="T2284" i="6"/>
  <c r="T2283" i="6"/>
  <c r="T357" i="6"/>
  <c r="T356" i="6"/>
  <c r="S357" i="6"/>
  <c r="S356" i="6"/>
  <c r="C50" i="7"/>
  <c r="C49" i="76"/>
  <c r="T573" i="6"/>
  <c r="T572" i="6"/>
  <c r="T571" i="6"/>
  <c r="T832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2000" i="6"/>
  <c r="T1999" i="6"/>
  <c r="T1998" i="6"/>
  <c r="T1997" i="6"/>
  <c r="S2104" i="6"/>
  <c r="C158" i="7"/>
  <c r="S2105" i="6"/>
  <c r="T2104" i="6"/>
  <c r="C151" i="76"/>
  <c r="T2105" i="6"/>
  <c r="C160" i="7"/>
  <c r="T2125" i="6"/>
  <c r="S2125" i="6"/>
  <c r="C153" i="76"/>
  <c r="T2124" i="6"/>
  <c r="S2124" i="6"/>
  <c r="T2141" i="6"/>
  <c r="T2138" i="6"/>
  <c r="T2139" i="6"/>
  <c r="T2140" i="6"/>
  <c r="S2285" i="6"/>
  <c r="C197" i="7"/>
  <c r="T2285" i="6"/>
  <c r="C188" i="76"/>
  <c r="T2286" i="6"/>
  <c r="S2286" i="6"/>
  <c r="G198" i="7" l="1"/>
  <c r="G92" i="7"/>
  <c r="J92" i="7"/>
  <c r="I92" i="7"/>
  <c r="D145" i="7"/>
  <c r="D138" i="76"/>
  <c r="D158" i="7"/>
  <c r="D151" i="76"/>
  <c r="D50" i="7"/>
  <c r="D49" i="76"/>
  <c r="D161" i="7"/>
  <c r="D154" i="76"/>
  <c r="D162" i="7"/>
  <c r="D155" i="76"/>
  <c r="D76" i="7"/>
  <c r="D74" i="76"/>
  <c r="D196" i="7"/>
  <c r="D187" i="76"/>
  <c r="E162" i="7"/>
  <c r="E155" i="76"/>
  <c r="D60" i="7"/>
  <c r="D59" i="76"/>
  <c r="D197" i="7"/>
  <c r="D188" i="76"/>
  <c r="D160" i="7"/>
  <c r="D153" i="76"/>
  <c r="D157" i="7"/>
  <c r="D150" i="76"/>
  <c r="D51" i="7"/>
  <c r="D50" i="76"/>
  <c r="B12" i="22" l="1"/>
  <c r="C12" i="22" s="1"/>
  <c r="M79" i="7"/>
  <c r="M78" i="7"/>
  <c r="M77" i="7"/>
  <c r="M76" i="7"/>
  <c r="G180" i="7" l="1"/>
  <c r="F170" i="7"/>
  <c r="F173" i="7"/>
  <c r="F174" i="7"/>
  <c r="F181" i="7"/>
  <c r="F171" i="7"/>
  <c r="F182" i="7"/>
  <c r="G182" i="7" l="1"/>
  <c r="I182" i="7"/>
  <c r="J182" i="7"/>
  <c r="G181" i="7"/>
  <c r="J181" i="7"/>
  <c r="I181" i="7"/>
  <c r="G171" i="7"/>
  <c r="I171" i="7"/>
  <c r="J171" i="7"/>
  <c r="G170" i="7"/>
  <c r="I170" i="7"/>
  <c r="J170" i="7"/>
  <c r="G174" i="7"/>
  <c r="I174" i="7"/>
  <c r="J174" i="7"/>
  <c r="G173" i="7"/>
  <c r="J173" i="7"/>
  <c r="I173" i="7"/>
  <c r="I275" i="53"/>
  <c r="I276" i="53" s="1"/>
  <c r="I314" i="53"/>
  <c r="I315" i="53" s="1"/>
  <c r="I321" i="53" s="1"/>
  <c r="I322" i="53" s="1"/>
  <c r="I323" i="53" s="1"/>
  <c r="K287" i="53" s="1"/>
  <c r="F161" i="7" s="1"/>
  <c r="I353" i="53"/>
  <c r="I354" i="53" s="1"/>
  <c r="F136" i="7"/>
  <c r="F34" i="7"/>
  <c r="I34" i="7" s="1"/>
  <c r="F33" i="7"/>
  <c r="I33" i="7" s="1"/>
  <c r="F144" i="7"/>
  <c r="I282" i="53" l="1"/>
  <c r="I283" i="53" s="1"/>
  <c r="I284" i="53" s="1"/>
  <c r="K248" i="53" s="1"/>
  <c r="F160" i="7" s="1"/>
  <c r="I360" i="53"/>
  <c r="I361" i="53" s="1"/>
  <c r="I362" i="53" s="1"/>
  <c r="K326" i="53" s="1"/>
  <c r="F162" i="7" s="1"/>
  <c r="G136" i="7"/>
  <c r="I136" i="7"/>
  <c r="J136" i="7"/>
  <c r="G144" i="7"/>
  <c r="J144" i="7"/>
  <c r="I144" i="7"/>
  <c r="G161" i="7"/>
  <c r="I161" i="7"/>
  <c r="J161" i="7" s="1"/>
  <c r="G33" i="7"/>
  <c r="J33" i="7"/>
  <c r="G34" i="7"/>
  <c r="J34" i="7"/>
  <c r="F188" i="7"/>
  <c r="F169" i="7"/>
  <c r="J169" i="7" s="1"/>
  <c r="F189" i="7"/>
  <c r="F115" i="7"/>
  <c r="F90" i="7"/>
  <c r="F125" i="7"/>
  <c r="F117" i="7"/>
  <c r="I160" i="7" l="1"/>
  <c r="J160" i="7" s="1"/>
  <c r="G160" i="7"/>
  <c r="I162" i="7"/>
  <c r="J162" i="7" s="1"/>
  <c r="G162" i="7"/>
  <c r="G188" i="7"/>
  <c r="I188" i="7"/>
  <c r="J188" i="7"/>
  <c r="G189" i="7"/>
  <c r="I189" i="7"/>
  <c r="J189" i="7"/>
  <c r="G115" i="7"/>
  <c r="I115" i="7"/>
  <c r="J115" i="7"/>
  <c r="G90" i="7"/>
  <c r="J90" i="7"/>
  <c r="I90" i="7"/>
  <c r="G117" i="7"/>
  <c r="J117" i="7"/>
  <c r="I117" i="7"/>
  <c r="G169" i="7"/>
  <c r="I169" i="7"/>
  <c r="G125" i="7"/>
  <c r="J125" i="7"/>
  <c r="I125" i="7"/>
  <c r="F1180" i="1"/>
  <c r="G1180" i="1" s="1"/>
  <c r="F149" i="7"/>
  <c r="F282" i="1"/>
  <c r="G282" i="1" s="1"/>
  <c r="F29" i="7"/>
  <c r="F10" i="7"/>
  <c r="F133" i="7"/>
  <c r="F118" i="7"/>
  <c r="F190" i="7"/>
  <c r="F27" i="7"/>
  <c r="F175" i="7"/>
  <c r="F132" i="7"/>
  <c r="F9" i="7"/>
  <c r="F74" i="7"/>
  <c r="F7" i="7"/>
  <c r="J7" i="7" s="1"/>
  <c r="F166" i="7"/>
  <c r="F168" i="7"/>
  <c r="F187" i="7"/>
  <c r="F167" i="7"/>
  <c r="G187" i="7" l="1"/>
  <c r="I187" i="7"/>
  <c r="J187" i="7"/>
  <c r="G190" i="7"/>
  <c r="J190" i="7"/>
  <c r="I190" i="7"/>
  <c r="G175" i="7"/>
  <c r="J175" i="7"/>
  <c r="I175" i="7"/>
  <c r="G149" i="7"/>
  <c r="I149" i="7"/>
  <c r="J149" i="7"/>
  <c r="G132" i="7"/>
  <c r="I132" i="7"/>
  <c r="J132" i="7"/>
  <c r="G118" i="7"/>
  <c r="I118" i="7"/>
  <c r="J118" i="7"/>
  <c r="G167" i="7"/>
  <c r="I167" i="7"/>
  <c r="J167" i="7"/>
  <c r="G168" i="7"/>
  <c r="J168" i="7"/>
  <c r="I168" i="7"/>
  <c r="G166" i="7"/>
  <c r="J166" i="7"/>
  <c r="I166" i="7"/>
  <c r="G133" i="7"/>
  <c r="I133" i="7"/>
  <c r="J133" i="7"/>
  <c r="G27" i="7"/>
  <c r="J27" i="7"/>
  <c r="G10" i="7"/>
  <c r="J10" i="7"/>
  <c r="G74" i="7"/>
  <c r="I74" i="7"/>
  <c r="J74" i="7"/>
  <c r="G9" i="7"/>
  <c r="J9" i="7"/>
  <c r="G29" i="7"/>
  <c r="J29" i="7"/>
  <c r="G7" i="7"/>
  <c r="I423" i="53"/>
  <c r="F184" i="7"/>
  <c r="F283" i="1"/>
  <c r="G283" i="1" s="1"/>
  <c r="F374" i="1"/>
  <c r="G374" i="1" s="1"/>
  <c r="F119" i="7"/>
  <c r="F77" i="7"/>
  <c r="F134" i="7"/>
  <c r="F114" i="7"/>
  <c r="F111" i="7"/>
  <c r="F109" i="7"/>
  <c r="F8" i="7"/>
  <c r="F130" i="7"/>
  <c r="F83" i="7"/>
  <c r="F78" i="7"/>
  <c r="F135" i="7"/>
  <c r="F81" i="7"/>
  <c r="G184" i="7" l="1"/>
  <c r="I184" i="7"/>
  <c r="J184" i="7"/>
  <c r="G83" i="7"/>
  <c r="I83" i="7"/>
  <c r="J83" i="7"/>
  <c r="G119" i="7"/>
  <c r="I119" i="7"/>
  <c r="J119" i="7"/>
  <c r="G134" i="7"/>
  <c r="J134" i="7"/>
  <c r="I134" i="7"/>
  <c r="G130" i="7"/>
  <c r="J130" i="7"/>
  <c r="I130" i="7"/>
  <c r="G109" i="7"/>
  <c r="J109" i="7"/>
  <c r="I109" i="7"/>
  <c r="G135" i="7"/>
  <c r="I135" i="7"/>
  <c r="J135" i="7"/>
  <c r="G111" i="7"/>
  <c r="J111" i="7"/>
  <c r="I111" i="7"/>
  <c r="G114" i="7"/>
  <c r="I114" i="7"/>
  <c r="J114" i="7"/>
  <c r="G8" i="7"/>
  <c r="J8" i="7"/>
  <c r="G78" i="7"/>
  <c r="I78" i="7"/>
  <c r="J78" i="7"/>
  <c r="G77" i="7"/>
  <c r="I77" i="7"/>
  <c r="J77" i="7"/>
  <c r="G81" i="7"/>
  <c r="I81" i="7"/>
  <c r="J81" i="7"/>
  <c r="F35" i="7"/>
  <c r="I35" i="7" s="1"/>
  <c r="I456" i="53"/>
  <c r="F550" i="1"/>
  <c r="G550" i="1" s="1"/>
  <c r="F495" i="1"/>
  <c r="G495" i="1" s="1"/>
  <c r="F322" i="1"/>
  <c r="F618" i="1"/>
  <c r="G618" i="1" s="1"/>
  <c r="F305" i="1"/>
  <c r="G305" i="1" s="1"/>
  <c r="F730" i="1"/>
  <c r="G730" i="1" s="1"/>
  <c r="F671" i="1"/>
  <c r="G671" i="1" s="1"/>
  <c r="F1117" i="1"/>
  <c r="G1117" i="1" s="1"/>
  <c r="F673" i="1"/>
  <c r="G673" i="1" s="1"/>
  <c r="F667" i="1"/>
  <c r="G667" i="1" s="1"/>
  <c r="F496" i="1"/>
  <c r="G496" i="1" s="1"/>
  <c r="F549" i="1"/>
  <c r="G549" i="1" s="1"/>
  <c r="F686" i="1"/>
  <c r="G686" i="1" s="1"/>
  <c r="F37" i="7"/>
  <c r="I37" i="7" s="1"/>
  <c r="F185" i="7"/>
  <c r="F153" i="7"/>
  <c r="G25" i="7" l="1"/>
  <c r="B3" i="22" s="1"/>
  <c r="C3" i="22" s="1"/>
  <c r="G185" i="7"/>
  <c r="I185" i="7"/>
  <c r="J185" i="7"/>
  <c r="G153" i="7"/>
  <c r="I153" i="7"/>
  <c r="J153" i="7"/>
  <c r="G37" i="7"/>
  <c r="J37" i="7"/>
  <c r="G35" i="7"/>
  <c r="J35" i="7"/>
  <c r="G322" i="1"/>
  <c r="D433" i="52"/>
  <c r="D257" i="52"/>
  <c r="I257" i="52" s="1"/>
  <c r="D1208" i="52"/>
  <c r="D397" i="52"/>
  <c r="I397" i="52" s="1"/>
  <c r="I399" i="52" s="1"/>
  <c r="I405" i="52" s="1"/>
  <c r="I406" i="52" s="1"/>
  <c r="I407" i="52" s="1"/>
  <c r="K374" i="52" s="1"/>
  <c r="D225" i="52"/>
  <c r="I225" i="52" s="1"/>
  <c r="I227" i="52" s="1"/>
  <c r="I233" i="52" s="1"/>
  <c r="I234" i="52" s="1"/>
  <c r="I235" i="52" s="1"/>
  <c r="K202" i="52" s="1"/>
  <c r="D505" i="52"/>
  <c r="D361" i="52"/>
  <c r="I361" i="52" s="1"/>
  <c r="I363" i="52" s="1"/>
  <c r="I369" i="52" s="1"/>
  <c r="I370" i="52" s="1"/>
  <c r="I371" i="52" s="1"/>
  <c r="K338" i="52" s="1"/>
  <c r="D325" i="52"/>
  <c r="I325" i="52" s="1"/>
  <c r="I327" i="52" s="1"/>
  <c r="I333" i="52" s="1"/>
  <c r="D469" i="52"/>
  <c r="I469" i="52" s="1"/>
  <c r="F36" i="7"/>
  <c r="I36" i="7" s="1"/>
  <c r="F52" i="7"/>
  <c r="F30" i="7"/>
  <c r="F66" i="7"/>
  <c r="F54" i="7"/>
  <c r="F105" i="7"/>
  <c r="F176" i="7"/>
  <c r="F53" i="7"/>
  <c r="F65" i="7"/>
  <c r="F70" i="7"/>
  <c r="F64" i="7"/>
  <c r="F61" i="7"/>
  <c r="F62" i="7"/>
  <c r="F63" i="7"/>
  <c r="I1208" i="52" l="1"/>
  <c r="I1212" i="52" s="1"/>
  <c r="I1218" i="52" s="1"/>
  <c r="I1219" i="52" s="1"/>
  <c r="I1220" i="52" s="1"/>
  <c r="K1183" i="52" s="1"/>
  <c r="F295" i="1" s="1"/>
  <c r="G295" i="1" s="1"/>
  <c r="I505" i="52"/>
  <c r="I507" i="52" s="1"/>
  <c r="I513" i="52" s="1"/>
  <c r="I514" i="52" s="1"/>
  <c r="I515" i="52" s="1"/>
  <c r="K482" i="52" s="1"/>
  <c r="F272" i="1" s="1"/>
  <c r="G272" i="1" s="1"/>
  <c r="I471" i="52"/>
  <c r="I477" i="52" s="1"/>
  <c r="I478" i="52" s="1"/>
  <c r="I479" i="52" s="1"/>
  <c r="K446" i="52" s="1"/>
  <c r="F271" i="1" s="1"/>
  <c r="G271" i="1" s="1"/>
  <c r="I433" i="52"/>
  <c r="I435" i="52" s="1"/>
  <c r="I441" i="52" s="1"/>
  <c r="I442" i="52" s="1"/>
  <c r="I443" i="52" s="1"/>
  <c r="K410" i="52" s="1"/>
  <c r="F267" i="1" s="1"/>
  <c r="I259" i="52"/>
  <c r="I264" i="52" s="1"/>
  <c r="I265" i="52" s="1"/>
  <c r="I266" i="52" s="1"/>
  <c r="K238" i="52" s="1"/>
  <c r="F228" i="1" s="1"/>
  <c r="G228" i="1" s="1"/>
  <c r="F292" i="1"/>
  <c r="G292" i="1" s="1"/>
  <c r="F297" i="1"/>
  <c r="G297" i="1" s="1"/>
  <c r="F233" i="1"/>
  <c r="G233" i="1" s="1"/>
  <c r="F227" i="1"/>
  <c r="F247" i="1"/>
  <c r="G247" i="1" s="1"/>
  <c r="F320" i="1"/>
  <c r="G320" i="1" s="1"/>
  <c r="F296" i="1"/>
  <c r="G296" i="1" s="1"/>
  <c r="F266" i="1"/>
  <c r="G266" i="1" s="1"/>
  <c r="F291" i="1"/>
  <c r="G291" i="1" s="1"/>
  <c r="F248" i="1"/>
  <c r="G248" i="1" s="1"/>
  <c r="G176" i="7"/>
  <c r="I176" i="7"/>
  <c r="J176" i="7"/>
  <c r="G105" i="7"/>
  <c r="J105" i="7"/>
  <c r="I105" i="7"/>
  <c r="G62" i="7"/>
  <c r="J62" i="7"/>
  <c r="I62" i="7"/>
  <c r="G61" i="7"/>
  <c r="J61" i="7"/>
  <c r="I61" i="7"/>
  <c r="G64" i="7"/>
  <c r="J64" i="7"/>
  <c r="I64" i="7"/>
  <c r="G70" i="7"/>
  <c r="I70" i="7"/>
  <c r="J70" i="7"/>
  <c r="G65" i="7"/>
  <c r="J65" i="7"/>
  <c r="I65" i="7"/>
  <c r="G30" i="7"/>
  <c r="J30" i="7"/>
  <c r="G66" i="7"/>
  <c r="I66" i="7"/>
  <c r="J66" i="7"/>
  <c r="G52" i="7"/>
  <c r="I52" i="7"/>
  <c r="J52" i="7"/>
  <c r="G54" i="7"/>
  <c r="J54" i="7"/>
  <c r="I54" i="7"/>
  <c r="G63" i="7"/>
  <c r="I63" i="7"/>
  <c r="J63" i="7"/>
  <c r="G53" i="7"/>
  <c r="J53" i="7"/>
  <c r="I53" i="7"/>
  <c r="G36" i="7"/>
  <c r="J36" i="7"/>
  <c r="I334" i="52"/>
  <c r="I335" i="52" s="1"/>
  <c r="K302" i="52" s="1"/>
  <c r="F71" i="7"/>
  <c r="G267" i="1" l="1"/>
  <c r="F44" i="7"/>
  <c r="I44" i="7" s="1"/>
  <c r="F137" i="7"/>
  <c r="G137" i="7" s="1"/>
  <c r="F42" i="7"/>
  <c r="F68" i="7"/>
  <c r="G68" i="7" s="1"/>
  <c r="F43" i="7"/>
  <c r="F46" i="7"/>
  <c r="G227" i="1"/>
  <c r="D385" i="53"/>
  <c r="D870" i="52"/>
  <c r="D905" i="52"/>
  <c r="I905" i="52" s="1"/>
  <c r="I910" i="52" s="1"/>
  <c r="I915" i="52" s="1"/>
  <c r="I916" i="52" s="1"/>
  <c r="I917" i="52" s="1"/>
  <c r="K886" i="52" s="1"/>
  <c r="D538" i="52"/>
  <c r="I538" i="52" s="1"/>
  <c r="I542" i="52" s="1"/>
  <c r="I547" i="52" s="1"/>
  <c r="I548" i="52" s="1"/>
  <c r="I549" i="52" s="1"/>
  <c r="K518" i="52" s="1"/>
  <c r="D759" i="52"/>
  <c r="I759" i="52" s="1"/>
  <c r="D3207" i="52"/>
  <c r="I3207" i="52" s="1"/>
  <c r="D2625" i="52"/>
  <c r="D613" i="52"/>
  <c r="D793" i="52"/>
  <c r="I793" i="52" s="1"/>
  <c r="I798" i="52" s="1"/>
  <c r="I803" i="52" s="1"/>
  <c r="I804" i="52" s="1"/>
  <c r="I805" i="52" s="1"/>
  <c r="K774" i="52" s="1"/>
  <c r="D831" i="52"/>
  <c r="D457" i="53"/>
  <c r="I457" i="53" s="1"/>
  <c r="D575" i="52"/>
  <c r="D420" i="53"/>
  <c r="I420" i="53" s="1"/>
  <c r="I424" i="53" s="1"/>
  <c r="I430" i="53" s="1"/>
  <c r="I431" i="53" s="1"/>
  <c r="I432" i="53" s="1"/>
  <c r="K400" i="53" s="1"/>
  <c r="F51" i="7" s="1"/>
  <c r="D1924" i="52"/>
  <c r="I1924" i="52" s="1"/>
  <c r="I1929" i="52" s="1"/>
  <c r="I1935" i="52" s="1"/>
  <c r="I1936" i="52" s="1"/>
  <c r="I1937" i="52" s="1"/>
  <c r="K1894" i="52" s="1"/>
  <c r="F147" i="7"/>
  <c r="F183" i="7"/>
  <c r="F154" i="7"/>
  <c r="F232" i="1"/>
  <c r="G232" i="1" s="1"/>
  <c r="F38" i="7"/>
  <c r="G71" i="7"/>
  <c r="I71" i="7"/>
  <c r="J71" i="7"/>
  <c r="F39" i="7"/>
  <c r="I39" i="7" s="1"/>
  <c r="F45" i="7"/>
  <c r="I45" i="7" s="1"/>
  <c r="C2" i="75"/>
  <c r="D2" i="75" s="1"/>
  <c r="E2" i="75" s="1"/>
  <c r="F2" i="75" s="1"/>
  <c r="G2" i="75" s="1"/>
  <c r="H2" i="75" s="1"/>
  <c r="I2" i="75" s="1"/>
  <c r="J2" i="75" s="1"/>
  <c r="K2" i="75" s="1"/>
  <c r="L2" i="75" s="1"/>
  <c r="M2" i="75" s="1"/>
  <c r="N2" i="75" s="1"/>
  <c r="O2" i="75" s="1"/>
  <c r="P2" i="75" s="1"/>
  <c r="Q2" i="75" s="1"/>
  <c r="R2" i="75" s="1"/>
  <c r="S2" i="75" s="1"/>
  <c r="T2" i="75" s="1"/>
  <c r="I460" i="53" l="1"/>
  <c r="I465" i="53" s="1"/>
  <c r="I466" i="53" s="1"/>
  <c r="I467" i="53" s="1"/>
  <c r="K435" i="53" s="1"/>
  <c r="F60" i="7" s="1"/>
  <c r="I385" i="53"/>
  <c r="I389" i="53" s="1"/>
  <c r="I3213" i="52"/>
  <c r="I3219" i="52" s="1"/>
  <c r="I3220" i="52" s="1"/>
  <c r="I3221" i="52" s="1"/>
  <c r="K3183" i="52" s="1"/>
  <c r="F1468" i="1" s="1"/>
  <c r="G1468" i="1" s="1"/>
  <c r="J44" i="7"/>
  <c r="G44" i="7"/>
  <c r="I870" i="52"/>
  <c r="I875" i="52" s="1"/>
  <c r="I881" i="52" s="1"/>
  <c r="I882" i="52" s="1"/>
  <c r="I883" i="52" s="1"/>
  <c r="K847" i="52" s="1"/>
  <c r="F479" i="1" s="1"/>
  <c r="G479" i="1" s="1"/>
  <c r="I831" i="52"/>
  <c r="I836" i="52" s="1"/>
  <c r="I842" i="52" s="1"/>
  <c r="I843" i="52" s="1"/>
  <c r="I844" i="52" s="1"/>
  <c r="K808" i="52" s="1"/>
  <c r="F478" i="1" s="1"/>
  <c r="G478" i="1" s="1"/>
  <c r="I764" i="52"/>
  <c r="I769" i="52" s="1"/>
  <c r="I770" i="52" s="1"/>
  <c r="I771" i="52" s="1"/>
  <c r="K740" i="52" s="1"/>
  <c r="F481" i="1" s="1"/>
  <c r="G481" i="1" s="1"/>
  <c r="I613" i="52"/>
  <c r="I617" i="52" s="1"/>
  <c r="I623" i="52" s="1"/>
  <c r="I624" i="52" s="1"/>
  <c r="I625" i="52" s="1"/>
  <c r="K590" i="52" s="1"/>
  <c r="F253" i="1" s="1"/>
  <c r="G253" i="1" s="1"/>
  <c r="I575" i="52"/>
  <c r="I579" i="52" s="1"/>
  <c r="I585" i="52" s="1"/>
  <c r="I586" i="52" s="1"/>
  <c r="I587" i="52" s="1"/>
  <c r="K552" i="52" s="1"/>
  <c r="G46" i="7"/>
  <c r="I46" i="7"/>
  <c r="J43" i="7"/>
  <c r="I43" i="7"/>
  <c r="J42" i="7"/>
  <c r="I42" i="7"/>
  <c r="J38" i="7"/>
  <c r="I38" i="7"/>
  <c r="J137" i="7"/>
  <c r="I137" i="7"/>
  <c r="I2625" i="52"/>
  <c r="I2630" i="52" s="1"/>
  <c r="I2635" i="52" s="1"/>
  <c r="I2636" i="52" s="1"/>
  <c r="I2637" i="52" s="1"/>
  <c r="K2605" i="52" s="1"/>
  <c r="F443" i="1" s="1"/>
  <c r="G443" i="1" s="1"/>
  <c r="G42" i="7"/>
  <c r="G43" i="7"/>
  <c r="J46" i="7"/>
  <c r="I68" i="7"/>
  <c r="J68" i="7"/>
  <c r="F526" i="1"/>
  <c r="G526" i="1" s="1"/>
  <c r="F482" i="1"/>
  <c r="G482" i="1" s="1"/>
  <c r="F276" i="1"/>
  <c r="G276" i="1" s="1"/>
  <c r="F251" i="1"/>
  <c r="G251" i="1" s="1"/>
  <c r="F523" i="1"/>
  <c r="F69" i="7" s="1"/>
  <c r="F527" i="1"/>
  <c r="G527" i="1" s="1"/>
  <c r="F483" i="1"/>
  <c r="G483" i="1" s="1"/>
  <c r="F525" i="1"/>
  <c r="G525" i="1" s="1"/>
  <c r="F278" i="1"/>
  <c r="G278" i="1" s="1"/>
  <c r="F524" i="1"/>
  <c r="G524" i="1" s="1"/>
  <c r="F480" i="1"/>
  <c r="G480" i="1" s="1"/>
  <c r="F488" i="1"/>
  <c r="G488" i="1" s="1"/>
  <c r="G38" i="7"/>
  <c r="F785" i="1"/>
  <c r="G785" i="1" s="1"/>
  <c r="F718" i="1"/>
  <c r="G718" i="1" s="1"/>
  <c r="F41" i="7"/>
  <c r="I147" i="7"/>
  <c r="J147" i="7"/>
  <c r="G147" i="7"/>
  <c r="G51" i="7"/>
  <c r="J51" i="7"/>
  <c r="G154" i="7"/>
  <c r="I154" i="7"/>
  <c r="J154" i="7"/>
  <c r="I183" i="7"/>
  <c r="G183" i="7"/>
  <c r="J183" i="7"/>
  <c r="G39" i="7"/>
  <c r="J39" i="7"/>
  <c r="G45" i="7"/>
  <c r="J45" i="7"/>
  <c r="I395" i="53" l="1"/>
  <c r="I396" i="53" s="1"/>
  <c r="I397" i="53" s="1"/>
  <c r="K365" i="53" s="1"/>
  <c r="F50" i="7" s="1"/>
  <c r="I60" i="7"/>
  <c r="J60" i="7" s="1"/>
  <c r="G60" i="7"/>
  <c r="F277" i="1"/>
  <c r="G277" i="1" s="1"/>
  <c r="F252" i="1"/>
  <c r="G252" i="1" s="1"/>
  <c r="G41" i="7"/>
  <c r="I41" i="7"/>
  <c r="F49" i="7"/>
  <c r="F59" i="7"/>
  <c r="G59" i="7" s="1"/>
  <c r="G163" i="7"/>
  <c r="B10" i="22" s="1"/>
  <c r="C10" i="22" s="1"/>
  <c r="F32" i="7"/>
  <c r="F47" i="7"/>
  <c r="F56" i="7"/>
  <c r="I56" i="7" s="1"/>
  <c r="F104" i="7"/>
  <c r="G104" i="7" s="1"/>
  <c r="F55" i="7"/>
  <c r="G55" i="7" s="1"/>
  <c r="F58" i="7"/>
  <c r="G58" i="7" s="1"/>
  <c r="F57" i="7"/>
  <c r="I57" i="7" s="1"/>
  <c r="J69" i="7"/>
  <c r="G69" i="7"/>
  <c r="I69" i="7"/>
  <c r="G523" i="1"/>
  <c r="J41" i="7"/>
  <c r="M47" i="46"/>
  <c r="L47" i="46"/>
  <c r="K47" i="46"/>
  <c r="A47" i="46"/>
  <c r="M46" i="46"/>
  <c r="L46" i="46"/>
  <c r="K46" i="46"/>
  <c r="A46" i="46"/>
  <c r="M45" i="46"/>
  <c r="L45" i="46"/>
  <c r="K45" i="46"/>
  <c r="A45" i="46"/>
  <c r="H34" i="46"/>
  <c r="J34" i="46" s="1"/>
  <c r="G34" i="46"/>
  <c r="A34" i="46"/>
  <c r="H33" i="46"/>
  <c r="J33" i="46" s="1"/>
  <c r="G33" i="46"/>
  <c r="A33" i="46"/>
  <c r="H32" i="46"/>
  <c r="J32" i="46" s="1"/>
  <c r="G32" i="46"/>
  <c r="A32" i="46"/>
  <c r="I20" i="46"/>
  <c r="J20" i="46" s="1"/>
  <c r="A20" i="46"/>
  <c r="I19" i="46"/>
  <c r="J19" i="46" s="1"/>
  <c r="A19" i="46"/>
  <c r="I18" i="46"/>
  <c r="J18" i="46" s="1"/>
  <c r="A18" i="46"/>
  <c r="I9" i="46"/>
  <c r="H9" i="46"/>
  <c r="A9" i="46"/>
  <c r="I8" i="46"/>
  <c r="H8" i="46"/>
  <c r="A8" i="46"/>
  <c r="I7" i="46"/>
  <c r="H7" i="46"/>
  <c r="A7" i="46"/>
  <c r="M46" i="45"/>
  <c r="L46" i="45"/>
  <c r="K46" i="45"/>
  <c r="A46" i="45"/>
  <c r="M45" i="45"/>
  <c r="L45" i="45"/>
  <c r="K45" i="45"/>
  <c r="A45" i="45"/>
  <c r="H32" i="45"/>
  <c r="J32" i="45" s="1"/>
  <c r="G32" i="45"/>
  <c r="A32" i="45"/>
  <c r="I19" i="45"/>
  <c r="J19" i="45" s="1"/>
  <c r="A19" i="45"/>
  <c r="I18" i="45"/>
  <c r="J18" i="45" s="1"/>
  <c r="A18" i="45"/>
  <c r="M47" i="47"/>
  <c r="L47" i="47"/>
  <c r="K47" i="47"/>
  <c r="A47" i="47"/>
  <c r="M46" i="47"/>
  <c r="L46" i="47"/>
  <c r="K46" i="47"/>
  <c r="A46" i="47"/>
  <c r="M45" i="47"/>
  <c r="L45" i="47"/>
  <c r="K45" i="47"/>
  <c r="A45" i="47"/>
  <c r="H35" i="47"/>
  <c r="J35" i="47" s="1"/>
  <c r="G35" i="47"/>
  <c r="A35" i="47"/>
  <c r="H34" i="47"/>
  <c r="J34" i="47" s="1"/>
  <c r="G34" i="47"/>
  <c r="A34" i="47"/>
  <c r="H33" i="47"/>
  <c r="J33" i="47" s="1"/>
  <c r="G33" i="47"/>
  <c r="A33" i="47"/>
  <c r="H32" i="47"/>
  <c r="J32" i="47" s="1"/>
  <c r="G32" i="47"/>
  <c r="A32" i="47"/>
  <c r="I19" i="47"/>
  <c r="J19" i="47" s="1"/>
  <c r="A19" i="47"/>
  <c r="I18" i="47"/>
  <c r="J18" i="47" s="1"/>
  <c r="A18" i="47"/>
  <c r="I7" i="47"/>
  <c r="H7" i="47"/>
  <c r="G7" i="47"/>
  <c r="A7" i="47"/>
  <c r="M46" i="41"/>
  <c r="L46" i="41"/>
  <c r="K46" i="41"/>
  <c r="A46" i="41"/>
  <c r="M45" i="41"/>
  <c r="L45" i="41"/>
  <c r="K45" i="41"/>
  <c r="A45" i="41"/>
  <c r="H33" i="41"/>
  <c r="J33" i="41" s="1"/>
  <c r="G33" i="41"/>
  <c r="A33" i="41"/>
  <c r="H32" i="41"/>
  <c r="J32" i="41" s="1"/>
  <c r="G32" i="41"/>
  <c r="A32" i="41"/>
  <c r="I19" i="41"/>
  <c r="J19" i="41" s="1"/>
  <c r="A19" i="41"/>
  <c r="I18" i="41"/>
  <c r="J18" i="41" s="1"/>
  <c r="A18" i="41"/>
  <c r="I8" i="41"/>
  <c r="H8" i="41"/>
  <c r="A8" i="41"/>
  <c r="B3" i="41"/>
  <c r="A3" i="41"/>
  <c r="V32" i="23"/>
  <c r="W30" i="23"/>
  <c r="Y30" i="23" s="1"/>
  <c r="V30" i="23"/>
  <c r="R30" i="23"/>
  <c r="S30" i="23" s="1"/>
  <c r="Q30" i="23"/>
  <c r="K30" i="23"/>
  <c r="W29" i="23"/>
  <c r="Y29" i="23" s="1"/>
  <c r="V29" i="23"/>
  <c r="R29" i="23"/>
  <c r="Q29" i="23"/>
  <c r="K29" i="23"/>
  <c r="W28" i="23"/>
  <c r="Y28" i="23" s="1"/>
  <c r="V28" i="23"/>
  <c r="R28" i="23"/>
  <c r="Q28" i="23"/>
  <c r="K28" i="23"/>
  <c r="W27" i="23"/>
  <c r="Y27" i="23" s="1"/>
  <c r="V27" i="23"/>
  <c r="R27" i="23"/>
  <c r="Q27" i="23"/>
  <c r="K27" i="23"/>
  <c r="W26" i="23"/>
  <c r="Y26" i="23" s="1"/>
  <c r="V26" i="23"/>
  <c r="R26" i="23"/>
  <c r="Q26" i="23"/>
  <c r="K26" i="23"/>
  <c r="W25" i="23"/>
  <c r="Y25" i="23" s="1"/>
  <c r="V25" i="23"/>
  <c r="R25" i="23"/>
  <c r="Q25" i="23"/>
  <c r="K25" i="23"/>
  <c r="W24" i="23"/>
  <c r="Y24" i="23" s="1"/>
  <c r="V24" i="23"/>
  <c r="R24" i="23"/>
  <c r="Q24" i="23"/>
  <c r="K24" i="23"/>
  <c r="W23" i="23"/>
  <c r="Y23" i="23" s="1"/>
  <c r="V23" i="23"/>
  <c r="R23" i="23"/>
  <c r="Q23" i="23"/>
  <c r="K23" i="23"/>
  <c r="G23" i="23"/>
  <c r="G24" i="23" s="1"/>
  <c r="W22" i="23"/>
  <c r="Y22" i="23" s="1"/>
  <c r="V22" i="23"/>
  <c r="R22" i="23"/>
  <c r="Q22" i="23"/>
  <c r="K22" i="23"/>
  <c r="H22" i="23"/>
  <c r="J49" i="28"/>
  <c r="O43" i="28"/>
  <c r="J42" i="28"/>
  <c r="J19" i="28"/>
  <c r="J18" i="28"/>
  <c r="J7" i="28"/>
  <c r="J15" i="28" s="1"/>
  <c r="J53" i="31"/>
  <c r="J37" i="31"/>
  <c r="I36" i="31"/>
  <c r="J36" i="31" s="1"/>
  <c r="J23" i="31"/>
  <c r="J22" i="31"/>
  <c r="J53" i="29"/>
  <c r="J46" i="29"/>
  <c r="J22" i="29"/>
  <c r="J31" i="29" s="1"/>
  <c r="J49" i="44"/>
  <c r="J27" i="44"/>
  <c r="H10" i="44" s="1"/>
  <c r="J10" i="44" s="1"/>
  <c r="J15" i="44" s="1"/>
  <c r="J28" i="44" s="1"/>
  <c r="J29" i="44" s="1"/>
  <c r="J49" i="40"/>
  <c r="J27" i="40"/>
  <c r="M45" i="42"/>
  <c r="L45" i="42"/>
  <c r="K45" i="42"/>
  <c r="A45" i="42"/>
  <c r="H32" i="42"/>
  <c r="J32" i="42" s="1"/>
  <c r="G32" i="42"/>
  <c r="A32" i="42"/>
  <c r="I20" i="42"/>
  <c r="J20" i="42" s="1"/>
  <c r="A20" i="42"/>
  <c r="I19" i="42"/>
  <c r="J19" i="42" s="1"/>
  <c r="A19" i="42"/>
  <c r="I18" i="42"/>
  <c r="J18" i="42" s="1"/>
  <c r="A18" i="42"/>
  <c r="I7" i="42"/>
  <c r="H7" i="42"/>
  <c r="A7" i="42"/>
  <c r="M45" i="39"/>
  <c r="L45" i="39"/>
  <c r="K45" i="39"/>
  <c r="A45" i="39"/>
  <c r="H32" i="39"/>
  <c r="J32" i="39" s="1"/>
  <c r="G32" i="39"/>
  <c r="A32" i="39"/>
  <c r="I20" i="39"/>
  <c r="J20" i="39" s="1"/>
  <c r="A20" i="39"/>
  <c r="I19" i="39"/>
  <c r="J19" i="39" s="1"/>
  <c r="A19" i="39"/>
  <c r="I18" i="39"/>
  <c r="J18" i="39" s="1"/>
  <c r="A18" i="39"/>
  <c r="M45" i="38"/>
  <c r="L45" i="38"/>
  <c r="K45" i="38"/>
  <c r="A45" i="38"/>
  <c r="J32" i="38"/>
  <c r="I19" i="38"/>
  <c r="J19" i="38" s="1"/>
  <c r="A19" i="38"/>
  <c r="I18" i="38"/>
  <c r="J18" i="38" s="1"/>
  <c r="A18" i="38"/>
  <c r="I8" i="38"/>
  <c r="H8" i="38"/>
  <c r="A8" i="38"/>
  <c r="I7" i="38"/>
  <c r="H7" i="38"/>
  <c r="A7" i="38"/>
  <c r="M45" i="37"/>
  <c r="L45" i="37"/>
  <c r="K45" i="37"/>
  <c r="A45" i="37"/>
  <c r="H32" i="37"/>
  <c r="J32" i="37" s="1"/>
  <c r="I19" i="37"/>
  <c r="J19" i="37" s="1"/>
  <c r="A19" i="37"/>
  <c r="I18" i="37"/>
  <c r="J18" i="37" s="1"/>
  <c r="A18" i="37"/>
  <c r="I8" i="37"/>
  <c r="H8" i="37"/>
  <c r="A8" i="37"/>
  <c r="I7" i="37"/>
  <c r="H7" i="37"/>
  <c r="A7" i="37"/>
  <c r="M47" i="36"/>
  <c r="L47" i="36"/>
  <c r="K47" i="36"/>
  <c r="A47" i="36"/>
  <c r="M46" i="36"/>
  <c r="L46" i="36"/>
  <c r="K46" i="36"/>
  <c r="A46" i="36"/>
  <c r="M45" i="36"/>
  <c r="L45" i="36"/>
  <c r="K45" i="36"/>
  <c r="A45" i="36"/>
  <c r="H34" i="36"/>
  <c r="J34" i="36" s="1"/>
  <c r="G34" i="36"/>
  <c r="A34" i="36"/>
  <c r="H33" i="36"/>
  <c r="J33" i="36" s="1"/>
  <c r="G33" i="36"/>
  <c r="A33" i="36"/>
  <c r="H32" i="36"/>
  <c r="J32" i="36" s="1"/>
  <c r="G32" i="36"/>
  <c r="A32" i="36"/>
  <c r="I20" i="36"/>
  <c r="J20" i="36" s="1"/>
  <c r="A20" i="36"/>
  <c r="I19" i="36"/>
  <c r="J19" i="36" s="1"/>
  <c r="A19" i="36"/>
  <c r="I18" i="36"/>
  <c r="J18" i="36" s="1"/>
  <c r="A18" i="36"/>
  <c r="I9" i="36"/>
  <c r="H9" i="36"/>
  <c r="A9" i="36"/>
  <c r="I8" i="36"/>
  <c r="H8" i="36"/>
  <c r="A8" i="36"/>
  <c r="I7" i="36"/>
  <c r="H7" i="36"/>
  <c r="A7" i="36"/>
  <c r="M47" i="35"/>
  <c r="L47" i="35"/>
  <c r="K47" i="35"/>
  <c r="A47" i="35"/>
  <c r="M46" i="35"/>
  <c r="L46" i="35"/>
  <c r="K46" i="35"/>
  <c r="A46" i="35"/>
  <c r="M45" i="35"/>
  <c r="L45" i="35"/>
  <c r="K45" i="35"/>
  <c r="A45" i="35"/>
  <c r="H35" i="35"/>
  <c r="J35" i="35" s="1"/>
  <c r="G35" i="35"/>
  <c r="A35" i="35"/>
  <c r="H34" i="35"/>
  <c r="J34" i="35" s="1"/>
  <c r="G34" i="35"/>
  <c r="A34" i="35"/>
  <c r="H33" i="35"/>
  <c r="J33" i="35" s="1"/>
  <c r="G33" i="35"/>
  <c r="A33" i="35"/>
  <c r="H32" i="35"/>
  <c r="J32" i="35" s="1"/>
  <c r="G32" i="35"/>
  <c r="A32" i="35"/>
  <c r="I19" i="35"/>
  <c r="J19" i="35" s="1"/>
  <c r="A19" i="35"/>
  <c r="I18" i="35"/>
  <c r="J18" i="35" s="1"/>
  <c r="A18" i="35"/>
  <c r="B64" i="24"/>
  <c r="J56" i="24"/>
  <c r="E55" i="24"/>
  <c r="L55" i="24" s="1"/>
  <c r="J52" i="24"/>
  <c r="I19" i="24"/>
  <c r="J19" i="24" s="1"/>
  <c r="A19" i="24"/>
  <c r="I18" i="24"/>
  <c r="J18" i="24" s="1"/>
  <c r="A18" i="24"/>
  <c r="I17" i="24"/>
  <c r="J17" i="24" s="1"/>
  <c r="A17" i="24"/>
  <c r="I6" i="24"/>
  <c r="H6" i="24"/>
  <c r="A6" i="24"/>
  <c r="A27" i="75"/>
  <c r="A21" i="75"/>
  <c r="A18" i="75"/>
  <c r="A15" i="75"/>
  <c r="A9" i="75"/>
  <c r="A6" i="75"/>
  <c r="A2" i="24"/>
  <c r="A3" i="75"/>
  <c r="J50" i="7" l="1"/>
  <c r="G50" i="7"/>
  <c r="F48" i="7"/>
  <c r="J48" i="7" s="1"/>
  <c r="J47" i="7"/>
  <c r="I47" i="7"/>
  <c r="G49" i="7"/>
  <c r="I49" i="7"/>
  <c r="G32" i="7"/>
  <c r="I32" i="7"/>
  <c r="J49" i="7"/>
  <c r="J59" i="7"/>
  <c r="I59" i="7"/>
  <c r="J56" i="7"/>
  <c r="J32" i="7"/>
  <c r="J55" i="7"/>
  <c r="I55" i="7"/>
  <c r="G56" i="7"/>
  <c r="G47" i="7"/>
  <c r="I58" i="7"/>
  <c r="I104" i="7"/>
  <c r="J57" i="7"/>
  <c r="G57" i="7"/>
  <c r="J104" i="7"/>
  <c r="J58" i="7"/>
  <c r="F91" i="7"/>
  <c r="S27" i="23"/>
  <c r="J27" i="36"/>
  <c r="H10" i="36" s="1"/>
  <c r="J10" i="36" s="1"/>
  <c r="B3" i="35"/>
  <c r="J9" i="36"/>
  <c r="H46" i="46"/>
  <c r="J46" i="46" s="1"/>
  <c r="J27" i="41"/>
  <c r="H10" i="41" s="1"/>
  <c r="J10" i="41" s="1"/>
  <c r="S26" i="23"/>
  <c r="H47" i="36"/>
  <c r="J47" i="36" s="1"/>
  <c r="J27" i="37"/>
  <c r="H10" i="37" s="1"/>
  <c r="J10" i="37" s="1"/>
  <c r="A55" i="24"/>
  <c r="J31" i="31"/>
  <c r="H11" i="31" s="1"/>
  <c r="J11" i="31" s="1"/>
  <c r="J19" i="31" s="1"/>
  <c r="J32" i="31" s="1"/>
  <c r="J33" i="31" s="1"/>
  <c r="K55" i="24"/>
  <c r="M55" i="24"/>
  <c r="S22" i="23"/>
  <c r="H47" i="46"/>
  <c r="J47" i="46" s="1"/>
  <c r="J7" i="42"/>
  <c r="S24" i="23"/>
  <c r="J27" i="28"/>
  <c r="J28" i="28" s="1"/>
  <c r="J29" i="28" s="1"/>
  <c r="J50" i="28" s="1"/>
  <c r="J51" i="28" s="1"/>
  <c r="J52" i="28" s="1"/>
  <c r="S29" i="23"/>
  <c r="J27" i="47"/>
  <c r="H13" i="47" s="1"/>
  <c r="J13" i="47" s="1"/>
  <c r="S25" i="23"/>
  <c r="J27" i="35"/>
  <c r="H7" i="35" s="1"/>
  <c r="J7" i="35" s="1"/>
  <c r="J15" i="35" s="1"/>
  <c r="J28" i="35" s="1"/>
  <c r="J29" i="35" s="1"/>
  <c r="J46" i="31"/>
  <c r="S28" i="23"/>
  <c r="J37" i="24"/>
  <c r="J27" i="45"/>
  <c r="H10" i="45" s="1"/>
  <c r="J10" i="45" s="1"/>
  <c r="J15" i="45" s="1"/>
  <c r="J28" i="45" s="1"/>
  <c r="J29" i="45" s="1"/>
  <c r="S23" i="23"/>
  <c r="J27" i="39"/>
  <c r="H10" i="39" s="1"/>
  <c r="J10" i="39" s="1"/>
  <c r="J15" i="39" s="1"/>
  <c r="J28" i="39" s="1"/>
  <c r="J29" i="39" s="1"/>
  <c r="J27" i="46"/>
  <c r="H13" i="46" s="1"/>
  <c r="J13" i="46" s="1"/>
  <c r="H45" i="36"/>
  <c r="J45" i="36" s="1"/>
  <c r="H47" i="35"/>
  <c r="J47" i="35" s="1"/>
  <c r="H47" i="47"/>
  <c r="J47" i="47" s="1"/>
  <c r="H45" i="35"/>
  <c r="J45" i="35" s="1"/>
  <c r="H46" i="36"/>
  <c r="J46" i="36" s="1"/>
  <c r="H45" i="47"/>
  <c r="J45" i="47" s="1"/>
  <c r="H46" i="47"/>
  <c r="J46" i="47" s="1"/>
  <c r="H46" i="35"/>
  <c r="J46" i="35" s="1"/>
  <c r="H45" i="37"/>
  <c r="J45" i="37" s="1"/>
  <c r="J49" i="37" s="1"/>
  <c r="H46" i="45"/>
  <c r="J46" i="45" s="1"/>
  <c r="H45" i="38"/>
  <c r="J45" i="38" s="1"/>
  <c r="J49" i="38" s="1"/>
  <c r="H45" i="42"/>
  <c r="J45" i="42" s="1"/>
  <c r="J49" i="42" s="1"/>
  <c r="H45" i="41"/>
  <c r="J45" i="41" s="1"/>
  <c r="H45" i="45"/>
  <c r="J45" i="45" s="1"/>
  <c r="H45" i="39"/>
  <c r="J45" i="39" s="1"/>
  <c r="J49" i="39" s="1"/>
  <c r="H46" i="41"/>
  <c r="J46" i="41" s="1"/>
  <c r="H45" i="46"/>
  <c r="J45" i="46" s="1"/>
  <c r="A3" i="35"/>
  <c r="A3" i="40"/>
  <c r="A3" i="38"/>
  <c r="A3" i="44"/>
  <c r="A3" i="39"/>
  <c r="A3" i="36"/>
  <c r="A3" i="42"/>
  <c r="A3" i="37"/>
  <c r="J42" i="35"/>
  <c r="J42" i="41"/>
  <c r="J42" i="46"/>
  <c r="J42" i="36"/>
  <c r="H11" i="29"/>
  <c r="J11" i="29" s="1"/>
  <c r="J19" i="29" s="1"/>
  <c r="J32" i="29" s="1"/>
  <c r="J33" i="29" s="1"/>
  <c r="J54" i="29" s="1"/>
  <c r="J55" i="29" s="1"/>
  <c r="J56" i="29" s="1"/>
  <c r="G25" i="23"/>
  <c r="H24" i="23"/>
  <c r="J42" i="47"/>
  <c r="J27" i="38"/>
  <c r="H10" i="38" s="1"/>
  <c r="J10" i="38" s="1"/>
  <c r="J27" i="42"/>
  <c r="H10" i="42" s="1"/>
  <c r="J10" i="42" s="1"/>
  <c r="J7" i="37"/>
  <c r="J7" i="38"/>
  <c r="J7" i="47"/>
  <c r="J8" i="46"/>
  <c r="H10" i="40"/>
  <c r="J10" i="40" s="1"/>
  <c r="J15" i="40" s="1"/>
  <c r="J28" i="40" s="1"/>
  <c r="J29" i="40" s="1"/>
  <c r="H23" i="23"/>
  <c r="B3" i="44"/>
  <c r="B3" i="40"/>
  <c r="B2" i="24"/>
  <c r="B3" i="37"/>
  <c r="J9" i="46"/>
  <c r="J7" i="36"/>
  <c r="J8" i="38"/>
  <c r="J6" i="24"/>
  <c r="J14" i="24" s="1"/>
  <c r="J8" i="41"/>
  <c r="J7" i="46"/>
  <c r="J8" i="37"/>
  <c r="J8" i="36"/>
  <c r="G48" i="7" l="1"/>
  <c r="G72" i="7" s="1"/>
  <c r="B4" i="22" s="1"/>
  <c r="C4" i="22" s="1"/>
  <c r="I48" i="7"/>
  <c r="H55" i="24"/>
  <c r="J55" i="24" s="1"/>
  <c r="J59" i="24" s="1"/>
  <c r="G91" i="7"/>
  <c r="J91" i="7"/>
  <c r="I91" i="7"/>
  <c r="J15" i="41"/>
  <c r="J28" i="41" s="1"/>
  <c r="J29" i="41" s="1"/>
  <c r="J49" i="46"/>
  <c r="J15" i="42"/>
  <c r="J28" i="42" s="1"/>
  <c r="J29" i="42" s="1"/>
  <c r="J54" i="31"/>
  <c r="J55" i="31" s="1"/>
  <c r="J56" i="31" s="1"/>
  <c r="J15" i="46"/>
  <c r="J28" i="46" s="1"/>
  <c r="J29" i="46" s="1"/>
  <c r="J38" i="24"/>
  <c r="J39" i="24" s="1"/>
  <c r="J15" i="47"/>
  <c r="J28" i="47" s="1"/>
  <c r="J29" i="47" s="1"/>
  <c r="J49" i="45"/>
  <c r="J49" i="36"/>
  <c r="J49" i="41"/>
  <c r="J49" i="35"/>
  <c r="J50" i="35" s="1"/>
  <c r="J51" i="35" s="1"/>
  <c r="J52" i="35" s="1"/>
  <c r="J15" i="37"/>
  <c r="J28" i="37" s="1"/>
  <c r="J29" i="37" s="1"/>
  <c r="J15" i="38"/>
  <c r="J28" i="38" s="1"/>
  <c r="J29" i="38" s="1"/>
  <c r="J15" i="36"/>
  <c r="J28" i="36" s="1"/>
  <c r="J29" i="36" s="1"/>
  <c r="J49" i="47"/>
  <c r="G26" i="23"/>
  <c r="H25" i="23"/>
  <c r="J60" i="24" l="1"/>
  <c r="J61" i="24" s="1"/>
  <c r="J62" i="24" s="1"/>
  <c r="F94" i="7"/>
  <c r="G94" i="7" s="1"/>
  <c r="J50" i="47"/>
  <c r="J51" i="47" s="1"/>
  <c r="J52" i="47" s="1"/>
  <c r="J50" i="41"/>
  <c r="H39" i="42" s="1"/>
  <c r="J39" i="42" s="1"/>
  <c r="J42" i="42" s="1"/>
  <c r="J50" i="42" s="1"/>
  <c r="J51" i="42" s="1"/>
  <c r="J52" i="42" s="1"/>
  <c r="J50" i="46"/>
  <c r="H38" i="45" s="1"/>
  <c r="J38" i="45" s="1"/>
  <c r="J42" i="45" s="1"/>
  <c r="J50" i="45" s="1"/>
  <c r="J51" i="45" s="1"/>
  <c r="J52" i="45" s="1"/>
  <c r="J50" i="36"/>
  <c r="J51" i="36" s="1"/>
  <c r="J52" i="36" s="1"/>
  <c r="I3" i="35"/>
  <c r="G27" i="23"/>
  <c r="H26" i="23"/>
  <c r="G100" i="7" l="1"/>
  <c r="B6" i="22" s="1"/>
  <c r="C6" i="22" s="1"/>
  <c r="H39" i="39"/>
  <c r="J39" i="39" s="1"/>
  <c r="J42" i="39" s="1"/>
  <c r="J50" i="39" s="1"/>
  <c r="J51" i="39" s="1"/>
  <c r="J52" i="39" s="1"/>
  <c r="J51" i="41"/>
  <c r="J52" i="41" s="1"/>
  <c r="H40" i="44"/>
  <c r="J40" i="44" s="1"/>
  <c r="H40" i="40"/>
  <c r="J40" i="40" s="1"/>
  <c r="H33" i="38"/>
  <c r="J33" i="38" s="1"/>
  <c r="J42" i="38" s="1"/>
  <c r="J50" i="38" s="1"/>
  <c r="J51" i="38" s="1"/>
  <c r="J52" i="38" s="1"/>
  <c r="H33" i="37"/>
  <c r="J33" i="37" s="1"/>
  <c r="J42" i="37" s="1"/>
  <c r="J50" i="37" s="1"/>
  <c r="J51" i="37" s="1"/>
  <c r="J52" i="37" s="1"/>
  <c r="J51" i="46"/>
  <c r="J52" i="46" s="1"/>
  <c r="H39" i="40"/>
  <c r="J39" i="40" s="1"/>
  <c r="H39" i="44"/>
  <c r="J39" i="44" s="1"/>
  <c r="G28" i="23"/>
  <c r="H27" i="23"/>
  <c r="J42" i="40" l="1"/>
  <c r="J50" i="40" s="1"/>
  <c r="J51" i="40" s="1"/>
  <c r="J52" i="40" s="1"/>
  <c r="J42" i="44"/>
  <c r="J50" i="44" s="1"/>
  <c r="J51" i="44" s="1"/>
  <c r="J52" i="44" s="1"/>
  <c r="G29" i="23"/>
  <c r="H28" i="23"/>
  <c r="G30" i="23" l="1"/>
  <c r="H30" i="23" s="1"/>
  <c r="H29" i="23"/>
  <c r="B3" i="39" l="1"/>
  <c r="B3" i="36"/>
  <c r="I3" i="41" l="1"/>
  <c r="B3" i="42"/>
  <c r="B3" i="38"/>
  <c r="I3" i="36" l="1"/>
  <c r="F177" i="7" l="1"/>
  <c r="I177" i="7" s="1"/>
  <c r="F103" i="7"/>
  <c r="G177" i="7" l="1"/>
  <c r="J177" i="7"/>
  <c r="G103" i="7"/>
  <c r="I103" i="7"/>
  <c r="J103" i="7"/>
  <c r="F122" i="7"/>
  <c r="G122" i="7" l="1"/>
  <c r="J122" i="7"/>
  <c r="I122" i="7"/>
  <c r="G126" i="7" l="1"/>
  <c r="B9" i="22" s="1"/>
  <c r="C9" i="22" s="1"/>
  <c r="I80" i="7"/>
  <c r="J80" i="7"/>
  <c r="G80" i="7"/>
  <c r="F102" i="7"/>
  <c r="G88" i="7" l="1"/>
  <c r="B5" i="22" s="1"/>
  <c r="C5" i="22" s="1"/>
  <c r="G102" i="7"/>
  <c r="I102" i="7"/>
  <c r="J102" i="7"/>
  <c r="G106" i="7" l="1"/>
  <c r="B7" i="22" s="1"/>
  <c r="C7" i="22" s="1"/>
  <c r="F178" i="7"/>
  <c r="G178" i="7" l="1"/>
  <c r="J178" i="7"/>
  <c r="I178" i="7"/>
  <c r="G191" i="7" l="1"/>
  <c r="B11" i="22" l="1"/>
  <c r="C11" i="22" s="1"/>
  <c r="F110" i="7"/>
  <c r="G110" i="7" l="1"/>
  <c r="J110" i="7"/>
  <c r="I110" i="7"/>
  <c r="G120" i="7" l="1"/>
  <c r="G199" i="7" s="1"/>
  <c r="B8" i="22" l="1"/>
  <c r="B13" i="22" s="1"/>
  <c r="D8" i="22" s="1"/>
  <c r="B14" i="22"/>
  <c r="D14" i="22" s="1"/>
  <c r="G201" i="7"/>
  <c r="D12" i="22" l="1"/>
  <c r="D10" i="22"/>
  <c r="D4" i="22"/>
  <c r="D3" i="22"/>
  <c r="D6" i="22"/>
  <c r="D7" i="22"/>
  <c r="D11" i="22"/>
  <c r="D5" i="22"/>
  <c r="D9" i="22"/>
  <c r="C8" i="22"/>
  <c r="C13" i="22" s="1"/>
  <c r="D13" i="22" l="1"/>
</calcChain>
</file>

<file path=xl/sharedStrings.xml><?xml version="1.0" encoding="utf-8"?>
<sst xmlns="http://schemas.openxmlformats.org/spreadsheetml/2006/main" count="20678" uniqueCount="3276">
  <si>
    <t xml:space="preserve">Código </t>
  </si>
  <si>
    <t>Unidade</t>
  </si>
  <si>
    <t>Total</t>
  </si>
  <si>
    <t>t</t>
  </si>
  <si>
    <t>TOTAL DA ESTIMATIVA DE ORÇAMENTO</t>
  </si>
  <si>
    <t>ITEM</t>
  </si>
  <si>
    <t>QUANT.</t>
  </si>
  <si>
    <t>Estaca</t>
  </si>
  <si>
    <t>+</t>
  </si>
  <si>
    <t>EXTENSÃO (km)</t>
  </si>
  <si>
    <t>ESTIMATIVA R$/km</t>
  </si>
  <si>
    <t>CÓDIGO</t>
  </si>
  <si>
    <t>SERVIÇOS</t>
  </si>
  <si>
    <t>UND</t>
  </si>
  <si>
    <t>UNITÁRIOS</t>
  </si>
  <si>
    <t>TOTAIS</t>
  </si>
  <si>
    <t>R$/km</t>
  </si>
  <si>
    <t>%</t>
  </si>
  <si>
    <t>TOTAL DO ORÇAMENTO</t>
  </si>
  <si>
    <t>CE-01</t>
  </si>
  <si>
    <t>XR</t>
  </si>
  <si>
    <t>XP</t>
  </si>
  <si>
    <t>CE-02</t>
  </si>
  <si>
    <t>CE-03</t>
  </si>
  <si>
    <t>CAIXA</t>
  </si>
  <si>
    <t>ARMAÇÃO TAMPA (Kg)</t>
  </si>
  <si>
    <t>FORMA (m²)</t>
  </si>
  <si>
    <t>CONCRETO CICLÓPICO fck 20 Mpa (m³)</t>
  </si>
  <si>
    <t>CONCRETO ESTRUTURAL TAMPA fck 30 Mpa (m³)</t>
  </si>
  <si>
    <t xml:space="preserve">TABELA DE QUANTIDADES </t>
  </si>
  <si>
    <t>CE-04</t>
  </si>
  <si>
    <t>CE-05</t>
  </si>
  <si>
    <t>CE-06</t>
  </si>
  <si>
    <t>CE-07</t>
  </si>
  <si>
    <t>CE-08</t>
  </si>
  <si>
    <t>CE-09</t>
  </si>
  <si>
    <t xml:space="preserve">ÁREA </t>
  </si>
  <si>
    <t>VOLUME</t>
  </si>
  <si>
    <t>CONCRETO CICLÓPICO</t>
  </si>
  <si>
    <t>ALT</t>
  </si>
  <si>
    <t>FORMAS PLANAS DE MADEIRA</t>
  </si>
  <si>
    <t>PERIM PAREDE</t>
  </si>
  <si>
    <t>ÁREA TAMPA</t>
  </si>
  <si>
    <t>PERIM TAMPA</t>
  </si>
  <si>
    <t xml:space="preserve">ALT PAREDE </t>
  </si>
  <si>
    <t>ALT TAMPA</t>
  </si>
  <si>
    <t>ÁREA LATERAL TAMPA</t>
  </si>
  <si>
    <t>ÁREA PAREDE</t>
  </si>
  <si>
    <t>ÁREA TOTAL</t>
  </si>
  <si>
    <t>CONCRETO DE REGULARIZAÇÃO</t>
  </si>
  <si>
    <t>ARMAÇÃO TAMPA</t>
  </si>
  <si>
    <t xml:space="preserve">COMPRIMENTO </t>
  </si>
  <si>
    <t>Kg/m</t>
  </si>
  <si>
    <t>PESO</t>
  </si>
  <si>
    <t>CONCRETO ESTRUTURAL 30 Mpa</t>
  </si>
  <si>
    <t>ALTURA</t>
  </si>
  <si>
    <t>envelopamento</t>
  </si>
  <si>
    <t xml:space="preserve">por m </t>
  </si>
  <si>
    <t>kg</t>
  </si>
  <si>
    <t>Concreto de regularização</t>
  </si>
  <si>
    <t>Código</t>
  </si>
  <si>
    <t>Automóvel - VW/ Gol (flex)</t>
  </si>
  <si>
    <t>m</t>
  </si>
  <si>
    <t>Material</t>
  </si>
  <si>
    <t>Custo Unitário</t>
  </si>
  <si>
    <t>CM - 30</t>
  </si>
  <si>
    <t>Servente</t>
  </si>
  <si>
    <t>Desenhista projetista</t>
  </si>
  <si>
    <t>m²</t>
  </si>
  <si>
    <t>m³</t>
  </si>
  <si>
    <t>CUSTOS UNITÁRIOS</t>
  </si>
  <si>
    <t>Código:</t>
  </si>
  <si>
    <t>Serviço:</t>
  </si>
  <si>
    <t>Unidade:</t>
  </si>
  <si>
    <t>Data:</t>
  </si>
  <si>
    <t>EQUIPAMENTOS</t>
  </si>
  <si>
    <t>Quant</t>
  </si>
  <si>
    <t>Utilização</t>
  </si>
  <si>
    <t>Custo operacional</t>
  </si>
  <si>
    <t>Custo horário</t>
  </si>
  <si>
    <t>Produtivo</t>
  </si>
  <si>
    <t>Improdutivo</t>
  </si>
  <si>
    <t>Total - A</t>
  </si>
  <si>
    <t>MÃO DE OBRA SUPLEMENTAR</t>
  </si>
  <si>
    <t>K ou R</t>
  </si>
  <si>
    <t>Salário base</t>
  </si>
  <si>
    <t>Total - B</t>
  </si>
  <si>
    <t>PRODUÇÃO DA EQUIPE - C</t>
  </si>
  <si>
    <t>CUSTO TOTAL - D = (A+B)</t>
  </si>
  <si>
    <t>CUSTO UNITÁRIO DA EXECUÇÃO (A+B)/C = D</t>
  </si>
  <si>
    <t>MATERIAIS COMPLEMENTARES</t>
  </si>
  <si>
    <t>Consumo</t>
  </si>
  <si>
    <t>Custo Total</t>
  </si>
  <si>
    <t>Total - E</t>
  </si>
  <si>
    <t>TRANSPORTE</t>
  </si>
  <si>
    <t>DMT</t>
  </si>
  <si>
    <t>Custo</t>
  </si>
  <si>
    <t>Consumo (T)</t>
  </si>
  <si>
    <t>Total - G</t>
  </si>
  <si>
    <t>CUSTO DIRETO TOTAL</t>
  </si>
  <si>
    <t>D+E+F</t>
  </si>
  <si>
    <t>R$</t>
  </si>
  <si>
    <t>BONIFICAÇÃO</t>
  </si>
  <si>
    <t>CUSTO UNITÁRIO TOTAL</t>
  </si>
  <si>
    <t>OBSERVAÇÃO</t>
  </si>
  <si>
    <t>S/COD</t>
  </si>
  <si>
    <t>ud</t>
  </si>
  <si>
    <t>Cotação: Premobras - (028) 2102 2735</t>
  </si>
  <si>
    <t>10676</t>
  </si>
  <si>
    <t>Anel pre-moldado para bueiro celular 2,00x2,00x1,00, Classe 45</t>
  </si>
  <si>
    <t>ST 003</t>
  </si>
  <si>
    <t>Vistoria previa de edificações</t>
  </si>
  <si>
    <t>unid</t>
  </si>
  <si>
    <t>Produto Pétreo</t>
  </si>
  <si>
    <t>Fornecedor</t>
  </si>
  <si>
    <t>Areia</t>
  </si>
  <si>
    <t xml:space="preserve">Argila </t>
  </si>
  <si>
    <t>Mistura asfáltica</t>
  </si>
  <si>
    <t>Pré-moldados de concreto</t>
  </si>
  <si>
    <t>E-2 (Leste Oeste)</t>
  </si>
  <si>
    <t>Concreto usinado</t>
  </si>
  <si>
    <t>Madeira em Geral</t>
  </si>
  <si>
    <t>Insumos sinalização</t>
  </si>
  <si>
    <t>Ladrilho hidráulico</t>
  </si>
  <si>
    <t>Produtos siderúrgico</t>
  </si>
  <si>
    <t xml:space="preserve">Grama em placa </t>
  </si>
  <si>
    <t>Local</t>
  </si>
  <si>
    <t>Cariacica-ES</t>
  </si>
  <si>
    <t>Serra-ES</t>
  </si>
  <si>
    <t>Diversos</t>
  </si>
  <si>
    <t>Grande Vitória-ES</t>
  </si>
  <si>
    <t>Material betuminoso</t>
  </si>
  <si>
    <t>Sinales</t>
  </si>
  <si>
    <t>Sub total 01</t>
  </si>
  <si>
    <t>Sub total 02</t>
  </si>
  <si>
    <t>Sub total 03</t>
  </si>
  <si>
    <t>Imprimação</t>
  </si>
  <si>
    <t>Sub total 04</t>
  </si>
  <si>
    <t>Sub total 05</t>
  </si>
  <si>
    <t>2.1</t>
  </si>
  <si>
    <t>2.2</t>
  </si>
  <si>
    <t>Desempenamento de superficie de concreto, acabamento camurçado</t>
  </si>
  <si>
    <t>Ferramentas manuais</t>
  </si>
  <si>
    <t xml:space="preserve">Pedreiro de O.A.C. </t>
  </si>
  <si>
    <t>(XP)</t>
  </si>
  <si>
    <t>(XR)</t>
  </si>
  <si>
    <t>(XS)</t>
  </si>
  <si>
    <t xml:space="preserve">Ladrilho hidráulico podotátil </t>
  </si>
  <si>
    <t>10781</t>
  </si>
  <si>
    <t xml:space="preserve">Argamassa cimento e areia traço 1:4 </t>
  </si>
  <si>
    <t>40348</t>
  </si>
  <si>
    <t>42611</t>
  </si>
  <si>
    <t>Rampa de pedestres com largura de 3,80m, piso em ladrilho hidráulico podotátil  (Rampa de acesso 01)</t>
  </si>
  <si>
    <t>ST 005</t>
  </si>
  <si>
    <t>6.1</t>
  </si>
  <si>
    <t>meses</t>
  </si>
  <si>
    <t>6.2</t>
  </si>
  <si>
    <t>Sub total 06</t>
  </si>
  <si>
    <t>mês</t>
  </si>
  <si>
    <t>ST 006</t>
  </si>
  <si>
    <t>Engennheiro consultor</t>
  </si>
  <si>
    <t>Anel pre-moldado para bueiro celular 2,00x1,00x1,00, Classe 45</t>
  </si>
  <si>
    <t xml:space="preserve">Argamassa cimento e areia traço 1:4 em Vias Urbanas </t>
  </si>
  <si>
    <t xml:space="preserve">x1 = DMT em km (rodovia pavimentada) </t>
  </si>
  <si>
    <t xml:space="preserve">x2 = DMT em km (rodovia não pavimentada) </t>
  </si>
  <si>
    <t xml:space="preserve">Fórmula de Transporte (R$/t) </t>
  </si>
  <si>
    <t xml:space="preserve">Fórmula de Transporte c/ BDI (R$/t) </t>
  </si>
  <si>
    <t>K</t>
  </si>
  <si>
    <t>11/2013</t>
  </si>
  <si>
    <t>Remoção bueiros</t>
  </si>
  <si>
    <t>Caibros</t>
  </si>
  <si>
    <t>Madeira roliça</t>
  </si>
  <si>
    <t xml:space="preserve"> Taipá</t>
  </si>
  <si>
    <t>Ferramnetas manuais</t>
  </si>
  <si>
    <t>Cimento</t>
  </si>
  <si>
    <t>Pedra</t>
  </si>
  <si>
    <t>42714</t>
  </si>
  <si>
    <t>Galeria</t>
  </si>
  <si>
    <t>Nassau</t>
  </si>
  <si>
    <t>Tubos</t>
  </si>
  <si>
    <t>Concreto ciclópico com 70% concreto 15,0 MPa e 30% de pedra de mão, tudo incluído</t>
  </si>
  <si>
    <t>Concreto estrutural fck = 15,0 MPa, tudo incluído</t>
  </si>
  <si>
    <t>40358</t>
  </si>
  <si>
    <t>Formas planas de madeira com 04 (quatro) reaproveitamentos, inclusive fornecimento e transporte das madeiras
transporte das madeiras</t>
  </si>
  <si>
    <t>Caibro</t>
  </si>
  <si>
    <t>Sarrafo</t>
  </si>
  <si>
    <t>Tábuas</t>
  </si>
  <si>
    <t>40313</t>
  </si>
  <si>
    <t>Formas planas de madeira com 04 (quatro) reaproveitamentos, inclusive fornecimento e transporte das madeiras</t>
  </si>
  <si>
    <t>40351</t>
  </si>
  <si>
    <t>Prod.</t>
  </si>
  <si>
    <t>Imp.</t>
  </si>
  <si>
    <t>(A) Equipamento</t>
  </si>
  <si>
    <t>CT</t>
  </si>
  <si>
    <t>Ut. Pr.</t>
  </si>
  <si>
    <t>Ut. Imp</t>
  </si>
  <si>
    <t>Vl. Hr. Prod</t>
  </si>
  <si>
    <t>Vl. Hr. Imp.</t>
  </si>
  <si>
    <t>Custo Horário</t>
  </si>
  <si>
    <t>(A) Total:</t>
  </si>
  <si>
    <t>(B) Mão-de-Obra</t>
  </si>
  <si>
    <t>Eq. Salarial</t>
  </si>
  <si>
    <t>Sal/Hora</t>
  </si>
  <si>
    <t>(B) Total:</t>
  </si>
  <si>
    <t>(C) Itens de Incidência</t>
  </si>
  <si>
    <t>M. O.</t>
  </si>
  <si>
    <t>Equip.</t>
  </si>
  <si>
    <t>Mat.</t>
  </si>
  <si>
    <t>Custo Horário da Execução (A) + (B) + (C)</t>
  </si>
  <si>
    <t>(D) Produção da Equipe</t>
  </si>
  <si>
    <t>(F) Materiais</t>
  </si>
  <si>
    <t>Unid.</t>
  </si>
  <si>
    <t>(F) Total:</t>
  </si>
  <si>
    <t>(G) Serviços</t>
  </si>
  <si>
    <t>(G) Total:</t>
  </si>
  <si>
    <t>(H) Itens de Transporte</t>
  </si>
  <si>
    <t>Fórmula</t>
  </si>
  <si>
    <t>X1</t>
  </si>
  <si>
    <t>X2</t>
  </si>
  <si>
    <t>Custo Unit.</t>
  </si>
  <si>
    <t>(H) Total:</t>
  </si>
  <si>
    <t>Custo Direto Total (E) + (F) + (G) + (H)</t>
  </si>
  <si>
    <t>Preço Unitário Total</t>
  </si>
  <si>
    <t>X</t>
  </si>
  <si>
    <t>Transp. de Taipá de 1ª com 2,5 cm</t>
  </si>
  <si>
    <t>Transp. de Cimento</t>
  </si>
  <si>
    <t>Transp. de Pedra britada p/ concreto</t>
  </si>
  <si>
    <t>Transp</t>
  </si>
  <si>
    <t>Transp. de Bloco p/ alvenaria 40 X 20 X 20 cm</t>
  </si>
  <si>
    <t>COMPOSIÇÃO DE CUSTOS UNITÁRIOS</t>
  </si>
  <si>
    <t>Tabela Referencial de Preços - DER-ES</t>
  </si>
  <si>
    <t>Preço com transporte</t>
  </si>
  <si>
    <t>(E) Custo Unit da Execução [(A) + (B) + (C)] / (D)</t>
  </si>
  <si>
    <t>Custo Unit</t>
  </si>
  <si>
    <t>Transp. de Oleo combustível BPF - baixo pto. fusao</t>
  </si>
  <si>
    <t>Transp. de Material termoplástico (SPRAY)</t>
  </si>
  <si>
    <t>Transp. de Micro-esfera (preço médio)</t>
  </si>
  <si>
    <t>Transp. de Tinta</t>
  </si>
  <si>
    <t>Transp. de Lajota de 20 X 20 X 10 cm</t>
  </si>
  <si>
    <t>Comércio Local</t>
  </si>
  <si>
    <t>h</t>
  </si>
  <si>
    <t>7.1</t>
  </si>
  <si>
    <t>7.2</t>
  </si>
  <si>
    <t>Sub total 07</t>
  </si>
  <si>
    <t>1.1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</si>
  <si>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</si>
  <si>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</si>
  <si>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</si>
  <si>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</si>
  <si>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</si>
  <si>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</si>
  <si>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</si>
  <si>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</si>
  <si>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</si>
  <si>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</si>
  <si>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</si>
  <si>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</si>
  <si>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</si>
  <si>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</si>
  <si>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</si>
  <si>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</si>
  <si>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</si>
  <si>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</si>
  <si>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</si>
  <si>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</si>
  <si>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</si>
  <si>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</si>
  <si>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</si>
  <si>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</si>
  <si>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</si>
  <si>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</si>
  <si>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</si>
  <si>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</si>
  <si>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</si>
  <si>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</si>
  <si>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</si>
  <si>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</si>
  <si>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</si>
  <si>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</si>
  <si>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6.1.2</t>
  </si>
  <si>
    <t>6.1.3</t>
  </si>
  <si>
    <t>6.2.1</t>
  </si>
  <si>
    <t>6.2.2</t>
  </si>
  <si>
    <t>6.2.3</t>
  </si>
  <si>
    <t>REF.</t>
  </si>
  <si>
    <t>Ref.</t>
  </si>
  <si>
    <t>6.1.1</t>
  </si>
  <si>
    <t>Serviços preliminares</t>
  </si>
  <si>
    <t>Equipamento</t>
  </si>
  <si>
    <t>Serviço</t>
  </si>
  <si>
    <t>Preço Unitário</t>
  </si>
  <si>
    <t>Transporte</t>
  </si>
  <si>
    <t>Grupo de Serviço: 1 - TERRAPLENAGEM</t>
  </si>
  <si>
    <t>Capina manual inclusive limpeza</t>
  </si>
  <si>
    <t>Carga de escoria de aciaria de vagão ferroviário supervisionado</t>
  </si>
  <si>
    <t>Carga de material de 1ª categoria</t>
  </si>
  <si>
    <t>Carga de material de 2ª categoria (solo, areia, brita, excl. rocha escavada)</t>
  </si>
  <si>
    <t>Carga de material de 3ª categoria (rocha)</t>
  </si>
  <si>
    <t>Compactação de aterros em rocha</t>
  </si>
  <si>
    <t>Compactação de aterros 100% P.I.</t>
  </si>
  <si>
    <t>Compactação de aterros 100% PN</t>
  </si>
  <si>
    <t>Decapagem de pedreira, 1ª categoria, com escavadeira</t>
  </si>
  <si>
    <t>Decapagem de pedreira, 1ª categoria, com trator de esteiras</t>
  </si>
  <si>
    <t>Demolição de material de 3ª categoria com fio diamantado</t>
  </si>
  <si>
    <t>Desmonte de rocha</t>
  </si>
  <si>
    <t>Destocamento de árvores com diâmetro de 15 a 30 cm, com trator de esteira</t>
  </si>
  <si>
    <t>Escalonamento de taludes com escavadeira</t>
  </si>
  <si>
    <t>Escalonamento de taludes, com trator de esteiras</t>
  </si>
  <si>
    <t>Escavação e carga de material de barreira (remoção)</t>
  </si>
  <si>
    <t>Escavação e carga de material de 1ª categoria com escavadeira</t>
  </si>
  <si>
    <t>Escavação e carga de material de 1ª categoria, com trator de esteira e pá carregadeira</t>
  </si>
  <si>
    <t>Escavação e carga de material de 2ª categoria com escavadeira</t>
  </si>
  <si>
    <t>Escavação e carga de material de 2ª categoria, com trator de esteira e pá carregadeira</t>
  </si>
  <si>
    <t>Escavação e carga de material de 3ª categoria (fogo controlado)</t>
  </si>
  <si>
    <t>Escavação e carga de material de 3ª categoria (H bancada &gt;1,0 m)</t>
  </si>
  <si>
    <t>Espalhamento / regularização / compactação de material em bota-fora</t>
  </si>
  <si>
    <t>Espalhamento de material de 1ª categoria com motoniveladora</t>
  </si>
  <si>
    <t>Espalhamento de material de 1ª categoria com trator de esteiras</t>
  </si>
  <si>
    <t>Fragmentação de rocha (fogacheamento)</t>
  </si>
  <si>
    <t>Limpeza de acostamento</t>
  </si>
  <si>
    <t>Limpeza, desmatamento e destocamento de jazida com remoçao 15 cm solo orgânico</t>
  </si>
  <si>
    <t>Pré-fissuramento de taludes de rocha</t>
  </si>
  <si>
    <t>Remoção de solos moles, incluindo carregamento mecânico com escavadeira hidráulica</t>
  </si>
  <si>
    <t>Roçada manual com roçadeira costal, ferramentas manuais, inclusive limpeza manual</t>
  </si>
  <si>
    <t>Roçada mecânica</t>
  </si>
  <si>
    <t>Transporte horizontal com trator de lâmina de material de 1ª cat. DMTaté 50m</t>
  </si>
  <si>
    <t>Grupo de Serviço: 2 - PAVIMENTAÇÃO</t>
  </si>
  <si>
    <t>Base com mistura de Saibro, Argila e Brita, 45%, 15% e 40%, exclusive transporte</t>
  </si>
  <si>
    <t>Base com mistura de solo 80% e areia 20%, inclusive transporte da areia</t>
  </si>
  <si>
    <t>Base de brita graduada, inclusive fornecimento e transporte da brita</t>
  </si>
  <si>
    <t>Base de brita graduada, inclusive fornecimento, exclusive transporte da brita</t>
  </si>
  <si>
    <t>Base de brita 1, inclusive fornecimento, exclusive transporte da brita</t>
  </si>
  <si>
    <t>Base de escória de aciaria, inclusive fornecimento e transporte da escória</t>
  </si>
  <si>
    <t>Base de solo brita, 40% em peso, inclusive fornecimento, exclusive transporte da brita</t>
  </si>
  <si>
    <t>Base de solo brita, 50% em peso, inclusive fornecimento, exclusive transporte da brita</t>
  </si>
  <si>
    <t>Base de solo brita, 70% em peso, inclusive fornecimento, exclusive transporte da brita</t>
  </si>
  <si>
    <t>Base de solo brita, 80% em peso, inclusive fornecimento e transporte da brita</t>
  </si>
  <si>
    <t>Base solo brita, 20% em peso, inclusive fornecimento e transporte da brita</t>
  </si>
  <si>
    <t>Base solo brita, 50% em peso, inclusive fornecimento e transporte da brita</t>
  </si>
  <si>
    <t>Base solo brita, 70% em peso, inclusive fornecimento e transporte da brita</t>
  </si>
  <si>
    <t>Base solo brita, 80% em peso, inclusive fornecimento, exclusive transporte da brita</t>
  </si>
  <si>
    <t>Capa selante (emulsão e areia) inclusive fornecimento e transporte comercial da emulsão</t>
  </si>
  <si>
    <t>CBUQ (camada pronta - capa) exclusive fornecimento e transportes do CAP e massa</t>
  </si>
  <si>
    <t>CBUQ (massa fina - faixa"D") exclusive fornecimento do CAP e transp.de todos os materiais</t>
  </si>
  <si>
    <t>Demolição e remoção de pavimento asfáltico</t>
  </si>
  <si>
    <t>Estabilização granulométrica de solo s/ mistura 100% P.I.</t>
  </si>
  <si>
    <t>Estabilização granulométrica de solo s/ mistura 100% P.M.</t>
  </si>
  <si>
    <t>Estabilização granulométrica de solos c/ mistura na pista 100 % P.I.</t>
  </si>
  <si>
    <t>Fresagem de pavimento asfáltico a frio, esp. até 15cm, exclusive transporte de materiais</t>
  </si>
  <si>
    <t>Imprimação exclusive fornecimento e transporte comercial do material betuminoso</t>
  </si>
  <si>
    <t>Imprimação inclusive fornecimento e transporte comercial do material betuminoso</t>
  </si>
  <si>
    <t>Lama asfáltica (faixa I - ISSA) exclusive fornecimento e transporte comercial da emulsão</t>
  </si>
  <si>
    <t>Lama asfáltica (faixa I - ISSA) inclusive fornecimento e transporte comercial da emulsão</t>
  </si>
  <si>
    <t>Lama asfáltica (faixa II - ISSA) exclusive fornecimento e transporte comercial da emulsão</t>
  </si>
  <si>
    <t>Lama asfáltica (faixa II - ISSA) inclusive fornecimento e transporte comercial da emulsão</t>
  </si>
  <si>
    <t>Lama asfáltica (faixa III - ISSA) exclusive fornecimento e transporte comercial da emulsão</t>
  </si>
  <si>
    <t>Lama asfáltica (faixa III - ISSA) inclusive fornecimento e transporte comercial da emulsão</t>
  </si>
  <si>
    <t>Lama asfáltica (faixa IV - ISSA) exclusive fornecimento e transporte comercial da emulsão</t>
  </si>
  <si>
    <t>Lama asfáltica (faixa IV - ISSA) inclusive fornecimento e transporte comercial da emulsão</t>
  </si>
  <si>
    <t>Meio fio (assentamento), inclusive caiação</t>
  </si>
  <si>
    <t>Obturação de buracos c/ CBUQ inclusive fornecimento e transporte dos materiais betuminosos</t>
  </si>
  <si>
    <t>Obturação de buracos c/ PMF exclusive fornecimento e transporte comercial da emulsão</t>
  </si>
  <si>
    <t>Obturação de buracos c/ PMF exclusive fornecimento e transporte dos materiais betuminosos</t>
  </si>
  <si>
    <t>Obturação de buracos c/ PMF inclusive fornecimento e transporte comercial da emulsão</t>
  </si>
  <si>
    <t>Obturação de buracos c/ PMF inclusive fornecimento e transporte dos materiais betuminosos</t>
  </si>
  <si>
    <t>Pintura de ligação exclusive fornecimento e transporte comercial do material betuminoso</t>
  </si>
  <si>
    <t>Pintura de ligação inclusive fornecimento e transporte comercial do material betuminoso</t>
  </si>
  <si>
    <t>PMF (massa asfáltica) exclusive fornecimento e transporte comercial da emulsão</t>
  </si>
  <si>
    <t>PMF (massa asfáltica) inclusive fornecimento e transporte comercial da emulsão</t>
  </si>
  <si>
    <t>Pó de pedra, fornecimento</t>
  </si>
  <si>
    <t>Produção de brita no canteiro, exclusive o desmonte e fragmentação de rocha</t>
  </si>
  <si>
    <t>Reciclagem de pavimento (Base existente + CBUQ) sem adição de materiais</t>
  </si>
  <si>
    <t>Reciclagem de pavimento (Base existente + T.S.D.) sem adição de materiais</t>
  </si>
  <si>
    <t>Recuperação de base de acostamento exclusive transporte do material (solo)</t>
  </si>
  <si>
    <t>Recuperação de base de acostamentos, inclusive fornecimento e transporte da brita</t>
  </si>
  <si>
    <t>Reforço do sub leito 100% P.I.</t>
  </si>
  <si>
    <t>Remoção de capa asfáltica em TSS, TSD, ou TST exclusive transporte</t>
  </si>
  <si>
    <t>Remoção de meio fio</t>
  </si>
  <si>
    <t>Remoção de pavimentação poliédrica</t>
  </si>
  <si>
    <t>Remoção e reassentamento de blocos de concreto, inclusive perdas</t>
  </si>
  <si>
    <t>Revestimento em estradas vicinais (saibro)</t>
  </si>
  <si>
    <t>Revestimento primário, espalhamento e compactação (espessura até 0,15m)</t>
  </si>
  <si>
    <t>Sub-base c/ mistura de solo 80% e areia 20%, inclusive transporte da areia</t>
  </si>
  <si>
    <t>Sub-base de brita graduada, inclusive fornecimento e transporte da brita</t>
  </si>
  <si>
    <t>Sub-base de brita graduada, inclusive fornecimento, exclusive transporte da brita</t>
  </si>
  <si>
    <t>Sub-base de brita 1, inclusive fornecimento, exclusive transporte da brita</t>
  </si>
  <si>
    <t>Sub-base de escória de aciaria, inclusive fornecimento e transporte da escória</t>
  </si>
  <si>
    <t>Sub-base de solo brita, 50% em peso, inclusive fornecimento, exclusive transporte da brita</t>
  </si>
  <si>
    <t>Sub-base solo brita, 20% em peso, inclusive fornecimento e transporte da brita.</t>
  </si>
  <si>
    <t>Sub-base solo brita, 30% em peso, inclusive fornecimento e transporte da brita</t>
  </si>
  <si>
    <t>Sub-base solo brita, 50% em peso, inclusive fornecimento e transporte da brita</t>
  </si>
  <si>
    <t>Sub-base solo brita, 70% em peso, inclusive fornecimento e transporte da brita</t>
  </si>
  <si>
    <t>T.S.B.S. inclusive fornecimento e transporte comercial dos materiais e lavagem da brita</t>
  </si>
  <si>
    <t>Usinagem de mistura de solo brita</t>
  </si>
  <si>
    <t>Grupo de Serviço: 3 - OBRAS DE ARTE CORRENTES E DRENAGEM</t>
  </si>
  <si>
    <t>Aço CA-25, fornecimento, dobragem e colocação nas formas</t>
  </si>
  <si>
    <t>Aço CA-50, fornecimento, dobragem e colocação nas formas (preço médio das bitolas)</t>
  </si>
  <si>
    <t>Aço CA-50 média, diâmetro de 6.3 a 10 mm, fornecimento, dobragem e colocação nas formas</t>
  </si>
  <si>
    <t>Aço CA-60 fina, diâmetro de 4.2 a 5.0 mm, fornecimento, dobragem e colocação nas formas</t>
  </si>
  <si>
    <t>Aluguel mensal de escoramento tubular com tubos metálicos com até 10 metros de altura</t>
  </si>
  <si>
    <t>Alvenaria de pedra de mão (junta seca), inclusive transporte da pedra</t>
  </si>
  <si>
    <t>Andaime de madeira para altura até 7 m, compreendendo montagem e desmontagem</t>
  </si>
  <si>
    <t>Andaime suspenso em madeira, inclusive montagem e desmontagem</t>
  </si>
  <si>
    <t>Apicoamento manual de superfície de concreto</t>
  </si>
  <si>
    <t>Apiloamento manual</t>
  </si>
  <si>
    <t>Argamassa cimento e areia traço 1:4, tudo incluído</t>
  </si>
  <si>
    <t>Argamassa cimento (nata), inclusive transporte de cimento</t>
  </si>
  <si>
    <t>Argamassa de cimento e areia, traço 1:4, consumo de cimento 400 kg/m³</t>
  </si>
  <si>
    <t>Aterro com areia, exceto fornecimento da areia</t>
  </si>
  <si>
    <t>Berço de concreto ciclópico para BDTC diâmetro 0,60 m</t>
  </si>
  <si>
    <t>Berço de concreto ciclópico para BDTC diâmetro 0,80 m</t>
  </si>
  <si>
    <t>Berço de concreto ciclópico para BDTC diâmetro 1,00 m</t>
  </si>
  <si>
    <t>Berço de concreto ciclópico para BDTC diâmetro 1,20 m</t>
  </si>
  <si>
    <t>Berço de concreto ciclópico para BDTC diâmetro 1,50 m</t>
  </si>
  <si>
    <t>Berço de concreto ciclópico para BSTC diâmetro 0,40 m</t>
  </si>
  <si>
    <t>Berço de concreto ciclópico para BSTC diâmetro 0,60 m</t>
  </si>
  <si>
    <t>Berço de concreto ciclópico para BSTC diâmetro 0,80 m</t>
  </si>
  <si>
    <t>Berço de concreto ciclópico para BSTC diâmetro 1,00 m</t>
  </si>
  <si>
    <t>Berço de concreto ciclópico para BSTC diâmetro 1,20 m</t>
  </si>
  <si>
    <t>Berço de concreto ciclópico para BSTC diâmetro 1,50 m</t>
  </si>
  <si>
    <t>Berço de concreto ciclópico para BTTC diâmetro 0,60 m</t>
  </si>
  <si>
    <t>Berço de concreto ciclópico para BTTC diâmetro 0,80 m</t>
  </si>
  <si>
    <t>Berço de concreto ciclópico para BTTC diâmetro 1,00 m</t>
  </si>
  <si>
    <t>Berço de concreto ciclópico para BTTC diâmetro 1,20 m</t>
  </si>
  <si>
    <t>Berço de concreto ciclópico para BTTC diâmetro 1,50 m</t>
  </si>
  <si>
    <t>Boca de BDCC 1,50 x 1,50 m projeto DNIT</t>
  </si>
  <si>
    <t>Boca de BDCC 2,00 x 1,20 m conforme projeto</t>
  </si>
  <si>
    <t>Boca de BDCC 2,00 x 2,00 m projeto DNIT</t>
  </si>
  <si>
    <t>Boca de BDCC 2,00 x 3,00 m projeto DNIT</t>
  </si>
  <si>
    <t>Boca de BDCC 2,50 x 2,00 m conforme projeto</t>
  </si>
  <si>
    <t>Boca de BDCC 2,50 x 2,50 m projeto DNIT</t>
  </si>
  <si>
    <t>Boca de BDCC 2,50 x 3,00 m projeto DNIT</t>
  </si>
  <si>
    <t>Boca de BDCC 3,00 x 3,00 m projeto DNIT</t>
  </si>
  <si>
    <t>Boca de BSCC 1,50 x 1,50 m projeto DNIT</t>
  </si>
  <si>
    <t>Boca de BSCC 2,00 x 2,00 m projeto DNIT</t>
  </si>
  <si>
    <t>Boca de BSCC 2,00 x 3,00 m projeto DNIT</t>
  </si>
  <si>
    <t>Boca de BSCC 2,50 x 2,50 m projeto DNIT</t>
  </si>
  <si>
    <t>Boca de BSCC 2,50 x 3,00 m projeto DNIT</t>
  </si>
  <si>
    <t>Boca de BSCC 3,00 x 3,00 m projeto DNIT</t>
  </si>
  <si>
    <t>Boca de BTCC 1,50 x 1,50 m projeto DNIT</t>
  </si>
  <si>
    <t>Boca de BTCC 2,00 x 2,00 m projeto DNIT</t>
  </si>
  <si>
    <t>Boca de BTCC 2,00 x 3,00 m projeto DNIT</t>
  </si>
  <si>
    <t>Boca de BTCC 2,50 x 2,50 m projeto DNIT</t>
  </si>
  <si>
    <t>Boca de BTCC 2,50 x 3,00 m projeto DNIT</t>
  </si>
  <si>
    <t>Boca de BTCC 3,00 x 3,00 m projeto DNIT</t>
  </si>
  <si>
    <t>Boca de concreto ciclópico para BDTC diâmetro 0,60 m</t>
  </si>
  <si>
    <t>Boca de concreto ciclópico para BDTC diâmetro 0,80 m</t>
  </si>
  <si>
    <t>Boca de concreto ciclópico para BDTC diâmetro 1,00 m</t>
  </si>
  <si>
    <t>Boca de concreto ciclópico para BDTC diâmetro 1,20 m</t>
  </si>
  <si>
    <t>Boca de concreto ciclópico para BDTC diâmetro 1,50 m</t>
  </si>
  <si>
    <t>Boca de concreto ciclópico para BSTC diâmetro 0,40 m</t>
  </si>
  <si>
    <t>Boca de concreto ciclópico para BSTC diâmetro 0,60 m</t>
  </si>
  <si>
    <t>Boca de concreto ciclópico para BSTC diâmetro 0,80 m</t>
  </si>
  <si>
    <t>Boca de concreto ciclópico para BSTC diâmetro 1,00 m</t>
  </si>
  <si>
    <t>Boca de concreto ciclópico para BSTC diâmetro 1,20 m</t>
  </si>
  <si>
    <t>Boca de concreto ciclópico para BSTC diâmetro 1,50 m</t>
  </si>
  <si>
    <t>Boca de concreto ciclópico para BTTC diâmetro 0,60 m</t>
  </si>
  <si>
    <t>Boca de concreto ciclópico para BTTC diâmetro 0,80 m</t>
  </si>
  <si>
    <t>Boca de concreto ciclópico para BTTC diâmetro 1,00 m</t>
  </si>
  <si>
    <t>Boca de concreto ciclópico para BTTC diâmetro 1,20 m</t>
  </si>
  <si>
    <t>Boca de concreto ciclópico para BTTC diâmetro 1,50 m</t>
  </si>
  <si>
    <t>Boca de lobo simples</t>
  </si>
  <si>
    <t>Boca de saída de dreno profundo BSD-01</t>
  </si>
  <si>
    <t>Caiação de meio fios, sarjetas, etc</t>
  </si>
  <si>
    <t>Caixa Boca de Lobo em bloco pré-moldado 1,20 x 1,20m</t>
  </si>
  <si>
    <t>Caixa de passagem (2,50 x 2,50m)</t>
  </si>
  <si>
    <t>Caixa para rede de dutos, dimensões 100 x 100 x 100 cm</t>
  </si>
  <si>
    <t>Caixa para rede de dutos, dimensões 60 x 60 x 60 cm</t>
  </si>
  <si>
    <t>Caixa ralo de elementos pré-moldados em concreto (tudo incluído)</t>
  </si>
  <si>
    <t>Canaleta com grelha DP-1, inclusive transporte da grelha</t>
  </si>
  <si>
    <t>Canaleta de concreto, com forma retangular inclusive caiação - parede 12 cm</t>
  </si>
  <si>
    <t>Canaleta de concreto retangular (0,130m³/m) inclusive caiação</t>
  </si>
  <si>
    <t>Canaleta de concreto (0,130m³/m) forma trapezoidal inclusive caiação</t>
  </si>
  <si>
    <t>Cerca de tela galvanizada fio 12 malha 3"x3", com altura de 1,80 m</t>
  </si>
  <si>
    <t>Chapisco com argamassa de cimento e areia no traço 1:3</t>
  </si>
  <si>
    <t>Chapisco com argamassa de cimento e pedrisco no traço 1:4</t>
  </si>
  <si>
    <t>Colchão drenante de areia para fundação de aterros, exclusive o fornecimento de areia</t>
  </si>
  <si>
    <t>Concreto ciclópico com 70% concreto 10,0 MPa e 30% de pedra de mão, tudo incluído</t>
  </si>
  <si>
    <t>Concreto ciclópico com 70% concreto 20,0 MPa e 30% de pedra de mão, tudo incluído</t>
  </si>
  <si>
    <t>Concreto de regularização, tudo incluído</t>
  </si>
  <si>
    <t>Corpo BSTC diâmetro 0,20 m C.S. MF inclusive escavação, reaterro e transporte do tubo</t>
  </si>
  <si>
    <t>Corpo BSTC diâmetro 0,20 m C.S. PB inclusive escavação, reaterro e transporte do tubo</t>
  </si>
  <si>
    <t>Corpo BSTC diâmetro 0,30 m C.S. MF inclusive escavação, reaterro e transporte do tubo</t>
  </si>
  <si>
    <t>Corpo BSTC diâmetro 0,30 m C.S. PB inclusive escavação, reaterro e transporte do tubo</t>
  </si>
  <si>
    <t>Corpo BSTC diâmetro 0,40 m C.S. MF inclusive escavação, reaterro e transporte do tubo</t>
  </si>
  <si>
    <t>Corpo BSTC diâmetro 0,40 m C.S. PB inclusive escavação, reaterro e transporte do tubo</t>
  </si>
  <si>
    <t>Corpo BSTC diâmetro 0,60 m C.S. MF inclusive escavação, reaterro e transporte do tubo</t>
  </si>
  <si>
    <t>Corpo BSTC diâmetro 0,60 m C.S. PB inclusive escavação, reaterro e transporte do tubo</t>
  </si>
  <si>
    <t>Corpo de BDCC 1,50 x 1,50 m projeto DNIT para 2,50 &lt; H &lt; 5,00 m</t>
  </si>
  <si>
    <t>Corpo de BDCC 2,00 x 2,00 m projeto DNIT para 2,50 &lt; H &lt;5,00 m</t>
  </si>
  <si>
    <t>Corpo de BDCC 2,00 x 3,00 m projeto DNIT para 2,50 &lt; H &lt; 5,00 m</t>
  </si>
  <si>
    <t>Corpo de BDCC 2,50 x 2,00 m - tudo incluído conforme projeto</t>
  </si>
  <si>
    <t>Corpo de BDCC 2,50 x 2,50 m projeto DNIT para 2,50 &lt; H &lt; 5,00 m</t>
  </si>
  <si>
    <t>Corpo de BDCC 2,50 x 3,00 m projeto DNIT para 2,50 &lt; H &lt; 5,00 m</t>
  </si>
  <si>
    <t>Corpo de BDCC 3,00 x 3,00 m projeto DNIT para 2,50 &lt; H &lt; 5,00 m</t>
  </si>
  <si>
    <t>Corpo de BSCC 1,50 x 1,50 m projeto DNIT para 2,50 &lt; H &lt; 5,00 m</t>
  </si>
  <si>
    <t>Corpo de BSCC 2,00 x 2,00 m projeto DNIT para 2,50 &lt; H &lt; 5,00 m</t>
  </si>
  <si>
    <t>Corpo de BSCC 2,00 x 3,00 m projeto DNIT para 2,50 &lt; H &lt; 5,00 m</t>
  </si>
  <si>
    <t>Corpo de BSCC 2,50 x 2,50 m projeto DNIT para 2,50 &lt; H &lt; 5,00 m</t>
  </si>
  <si>
    <t>Corpo de BSCC 2,50 x 3,00 m projeto DNIT para 2,50 &lt; H &lt; 5,00 m</t>
  </si>
  <si>
    <t>Corpo de BSCC 3,00 x 3,00 m projeto DNIT para 2,50 &lt; H &lt; 5,00 m</t>
  </si>
  <si>
    <t>Corpo de BTCC 1,50 x 1,50 m projeto DNIT para 2,50 &lt; H &lt; 5,00 m</t>
  </si>
  <si>
    <t>Corpo de BTCC 2,00 x 2,00 m projeto DNIT para 2,50 &lt; H &lt; 5,00 m</t>
  </si>
  <si>
    <t>Corpo de BTCC 2,00 x 3,00 m projeto DNIT para 2,50 &lt; H &lt; 5,00 m</t>
  </si>
  <si>
    <t>Corpo de BTCC 2,50 x 2,50 m projeto DNIT para 2,50 &lt; H &lt; 5,00 m</t>
  </si>
  <si>
    <t>Corpo de BTCC 2,50 x 3,00 m projeto DNIT para 2,50 &lt; H &lt; 5,00 m</t>
  </si>
  <si>
    <t>Corpo de BTCC 3,00 x 3,00 m projeto DNIT para 2,50 &lt; H &lt; 5,00 m</t>
  </si>
  <si>
    <t>Corte e esmerilhamento de pontas de tubo de ferro fundido DN 500 a 200mm</t>
  </si>
  <si>
    <t>Demolição manual alvenaria tijolo furado assentado com argamassa</t>
  </si>
  <si>
    <t>Demolição manual de concreto armado</t>
  </si>
  <si>
    <t>Demolição manual de concreto simples ou ciclópico</t>
  </si>
  <si>
    <t>Demolição mecânica de concreto</t>
  </si>
  <si>
    <t>Descida d'água concreto armado (calha) c/ caiação (DSA-01A) canal</t>
  </si>
  <si>
    <t>Descida d'água concreto armado (calha) c/ caiação (DSA-01A) dispersor</t>
  </si>
  <si>
    <t>Descida d'água concreto armado (degraus) c/ caiação (DSA-03A) apoio</t>
  </si>
  <si>
    <t>Descida d'água concreto armado (degraus) c/ caiação (DSA-03A) degrau</t>
  </si>
  <si>
    <t>Descida d'água concreto armado (degraus) c/ caiação (DSA-03A) dispersor</t>
  </si>
  <si>
    <t>Descida d'água concreto armado DP-1 (calha) c/ caiação</t>
  </si>
  <si>
    <t>Descida d'água concreto armado DP-1 (degraus) c/ caiação</t>
  </si>
  <si>
    <t>Descida d'água concreto simples (calha) c/ caiação (DSA-01) canal</t>
  </si>
  <si>
    <t>Descida d'água concreto simples (calha) c/ caiação (DSA-01) dispersor</t>
  </si>
  <si>
    <t>Descida d'água concreto simples (degraus) c/ caiação (DSA-03) apoio</t>
  </si>
  <si>
    <t>Descida d'água concreto simples (degraus) c/ caiação (DSA-03) degrau</t>
  </si>
  <si>
    <t>Descida d'água concreto simples (degraus) c/ caiação (DSA-03) dispersor</t>
  </si>
  <si>
    <t>Deslocamento de cerca de tela galvanizada fio 12 malha 3" x 3"</t>
  </si>
  <si>
    <t>Dissipador de energia aplicado a saída d'água tipo DP-1</t>
  </si>
  <si>
    <t>Dissipador de energia aplicado a saída de bueiro/descida d'agua de aterro (DEB-01)</t>
  </si>
  <si>
    <t>Dissipador de energia aplicado a saída de bueiro/descida d'água de aterro (DEB-02)</t>
  </si>
  <si>
    <t>Dissipador de energia aplicado a saída de bueiro/descida d'água de aterro (DEB-03)</t>
  </si>
  <si>
    <t>Dissipador de energia aplicado a saída de bueiro/descida d'água de aterro (DEB-04)</t>
  </si>
  <si>
    <t>Dissipador de energia aplicado a saída de bueiro/descida d'água de aterro (DEB-05)</t>
  </si>
  <si>
    <t>Dissipador de energia aplicado a saída de bueiro/descida d'água de aterro (DEB-06)</t>
  </si>
  <si>
    <t>Dissipador de energia aplicado a saída de bueiro/descida d'água de aterro (DEB-07)</t>
  </si>
  <si>
    <t>Dissipador de energia aplicado a saída de bueiro/descida d'água de aterro (DEB-08)</t>
  </si>
  <si>
    <t>Dissipador de energia aplicado a saída de bueiro/descida d'água de aterro (DEB-09)</t>
  </si>
  <si>
    <t>Dissipador de energia aplicado a saída de bueiro/descida d'água de aterro (DEB-10)</t>
  </si>
  <si>
    <t>Dissipador de energia aplicado a saída de bueiro/descida d'água de aterro (DEB-12)</t>
  </si>
  <si>
    <t>Dissipador de energia aplicado a saída de sarjeta/valeta (DES-01)</t>
  </si>
  <si>
    <t>Dissipador de energia aplicado a saída de sarjeta/valeta (DES-02)</t>
  </si>
  <si>
    <t>Dissipador de energia aplicado a saída de sarjeta/valeta (DES-03)</t>
  </si>
  <si>
    <t>Dreno ou Barbacã em tubo PVC, diâmetro de 2"</t>
  </si>
  <si>
    <t>Eletroduto para rede de lógica, inclusive conexões</t>
  </si>
  <si>
    <t>Eletroduto PVC diâmetro 75mm, fornecimento e assentamento</t>
  </si>
  <si>
    <t>Eletroduto PVC rígido roscável diâm. 50mm, fornecimento e assentamento</t>
  </si>
  <si>
    <t>Eletroduto tipo Kanaflex diâmetro 1 1/2", fornecimento e assentamento</t>
  </si>
  <si>
    <t>Eletroduto tipo Kanaflex diâmetro 2", fornecimento e assentamento</t>
  </si>
  <si>
    <t>Eletroduto tipo Kanaflex diâmetro 4", fornecimento e assentamento</t>
  </si>
  <si>
    <t>Enrocamento de pedra de mão arrumada exclusive transporte</t>
  </si>
  <si>
    <t>Enrocamento de pedra jogada exclusive o fornecimento e transporte da pedra</t>
  </si>
  <si>
    <t>Enrocamento de pedra jogada inclusive fornecimento, exclusive transporte da pedra</t>
  </si>
  <si>
    <t>Entrada para descida d'agua DP-1 (calha/degraus) inclusive caiação</t>
  </si>
  <si>
    <t>Entrada para descida d'água EDA-01</t>
  </si>
  <si>
    <t>Entrada para descida d'água EDA-02</t>
  </si>
  <si>
    <t>Escada de madeira executada sobre terreno inclinado, com 80 cm de largura mínima</t>
  </si>
  <si>
    <t>Escoramento de cavas e valas, inclusive fornecimento e transportes das madeiras</t>
  </si>
  <si>
    <t>Forma especial de madeira para meio fio, inclusive fornecimento e transporte das madeiras</t>
  </si>
  <si>
    <t>Forma metálica para meio fio</t>
  </si>
  <si>
    <t>Gabiões com caixas galvanizadas, sem manta</t>
  </si>
  <si>
    <t>Geogrelha monodirecional 200KN, fornecimento e assentamento</t>
  </si>
  <si>
    <t>Lastro de brita, inclusive transporte da brita</t>
  </si>
  <si>
    <t>Limpeza e apicoamento manual de superfície de rocha</t>
  </si>
  <si>
    <t>Limpeza e desobstrução de BDTC e BDCC</t>
  </si>
  <si>
    <t>Limpeza e desobstrução de BQTC</t>
  </si>
  <si>
    <t>Limpeza e desobstrução de BSTC e BSCC</t>
  </si>
  <si>
    <t>Limpeza e desobstrução de BTTC e BTCC</t>
  </si>
  <si>
    <t>Limpeza e preparo de superfície de aço</t>
  </si>
  <si>
    <t>Lona plástica preta para isolamento de concretagem sobre solo, fornecimento e colocação</t>
  </si>
  <si>
    <t>Manta Geotêxtil não tecida RT - 16 kn/m, fornecimento e aplicação</t>
  </si>
  <si>
    <t>Meio fio de concreto DP-1, inclusive caiação</t>
  </si>
  <si>
    <t>Meio fio de concreto MFC 01, inclusive caiação</t>
  </si>
  <si>
    <t>Meio fio de concreto MFC 05, inclusive caiação</t>
  </si>
  <si>
    <t>Meio fio de concreto pré-moldado (12 x 30 x 15) cm, inclusive caiação e transporte do meio fio</t>
  </si>
  <si>
    <t>Meio fio sarjeta de concreto tipo DP-1 (0,035 m³/m) inclusive caiação</t>
  </si>
  <si>
    <t>Mureta de corte em rocha</t>
  </si>
  <si>
    <t>Muro de testa em concreto para saída de dreno profundo em solo, inclusive transporte do tubo</t>
  </si>
  <si>
    <t>Passagem d'água 1,10 x 1,00 - Canteiro</t>
  </si>
  <si>
    <t>Pedra de mão para (concreto ciclópico ou alvenaria) rocha paga em medição</t>
  </si>
  <si>
    <t>Pintura com nata de cimento</t>
  </si>
  <si>
    <t>Pintura interna ou externa sobre ferro, com tinta a base de resina de borracha clorada</t>
  </si>
  <si>
    <t>Placas pré-moldadas para passeio</t>
  </si>
  <si>
    <t>Plataforma ou passarela de pinho de 1ª ou similar, 1" x 12"</t>
  </si>
  <si>
    <t>Poço de visita para BDTC diam. 1,00 m - tudo incluido</t>
  </si>
  <si>
    <t>Poço de Visita para BSTC diâm. 0,40m em blocos de concreto</t>
  </si>
  <si>
    <t>Poço de visita para BSTC diâm. 0,60m em blocos de concreto</t>
  </si>
  <si>
    <t>Poço de visita para BSTC diâm. 0,80m em blocos de concreto</t>
  </si>
  <si>
    <t>Poço de visita para BTTC diam. 1,20 m - tudo incluído</t>
  </si>
  <si>
    <t>Reaterro com areia, tudo incluído</t>
  </si>
  <si>
    <t>Reaterro de cavas c/ compactação manual (apiloamento)</t>
  </si>
  <si>
    <t>Reaterro de cavas c/ compactação manual (apiloamento) (dim. reduz.)</t>
  </si>
  <si>
    <t>Reaterro de cavas c/ compactação mecânica (compactador manual)</t>
  </si>
  <si>
    <t>Recuperação de poço de visita inclusive fornecimento tampão F.F.A.P.</t>
  </si>
  <si>
    <t>Religação de rede de água em PVC DN 20mm, inclusive conexões</t>
  </si>
  <si>
    <t>Religação de rede de água em PVC DN 25mm, incluisve conexões</t>
  </si>
  <si>
    <t>Religação de rede de água em PVC DN 32mm, incluisve conexões</t>
  </si>
  <si>
    <t>Religação de rede de água em PVC DN 75mm, inclusive conexões</t>
  </si>
  <si>
    <t>Religação de rede de água em PVC PBA CL 15 DN 100mm, inclusive conexões</t>
  </si>
  <si>
    <t>Remanejamento de ligação e religação de redes de esgoto</t>
  </si>
  <si>
    <t>Remoção de bueiros existentes</t>
  </si>
  <si>
    <t>Rip-rap c/ argamassa cimento areia 1:6, inclusive aquisição e transporte dos materiais</t>
  </si>
  <si>
    <t>Rip-rap de areia inclusive escavação, transporte e fornecimento de materiais</t>
  </si>
  <si>
    <t>Rip-rap de solo e cimento (Traço 1:15)</t>
  </si>
  <si>
    <t>Saída d'água concreto armado DP-1 c/ caiação</t>
  </si>
  <si>
    <t>Saída d'água concreto p/ aterro c/ caiação (SDA-01)</t>
  </si>
  <si>
    <t>Saída d'água concreto p/ aterro c/ caiação (SDA-02)</t>
  </si>
  <si>
    <t>Saída d'água concreto p/ corte c/ caiação (SDC-01)</t>
  </si>
  <si>
    <t>Sarjeta de concreto DP-1 (0,081 m³/m) calha triangular, inclusive caiação</t>
  </si>
  <si>
    <t>Sarjeta de concreto DP-2 (0,085 m³/m) calha triangular, inclusive caiação</t>
  </si>
  <si>
    <t>Sarjeta de concreto SCA 40/10</t>
  </si>
  <si>
    <t>Sarjeta de concreto (SCA 70/15) calha triangular, inclusive caiação</t>
  </si>
  <si>
    <t>Sarjeta de concreto (SCA 90/10) calha triangular, inclusive caiação</t>
  </si>
  <si>
    <t>Sarjeta de concreto SCC 40/15</t>
  </si>
  <si>
    <t>Sarjeta de concreto (STC - 02) calha triangular em corte/aterro, inclusive caiação</t>
  </si>
  <si>
    <t>Sarjeta de concreto (STC - 04) calha triangular de bancada em corte, inclusive caiação</t>
  </si>
  <si>
    <t>Tampa de concreto em grelha, fornecimento, assentamento e transporte</t>
  </si>
  <si>
    <t>Tampão F.F.A.P. com 100 kg, fornecimento, assentamento e transporte</t>
  </si>
  <si>
    <t>Tela de aço soldada Telcon Q-138 ou similar, fornecimento e assentamento.</t>
  </si>
  <si>
    <t>Tela de aço soldada Telcon Q-196 ou similar, fornecimento e assentamento.</t>
  </si>
  <si>
    <t>Terminal de dreno de alívio de pavimento (DP - TDA - 01)</t>
  </si>
  <si>
    <t>Transporte de materiais encosta abaixo, serviço manual, inclusive carga e descarga</t>
  </si>
  <si>
    <t>t dam</t>
  </si>
  <si>
    <t>Transporte de materiais encosta acima, serviço manual, inclusive carga e descarga</t>
  </si>
  <si>
    <t>Transposição de segmento de sarjeta - TSS 01, inclusive transporte do tubo de concreto</t>
  </si>
  <si>
    <t>Tubo de PVC NBR 5648 diâmetro 50 mm, fornecimento e assentamento</t>
  </si>
  <si>
    <t>Tubo de PVC NBR 5648 diâmetro 75 mm, fornecimento e assentamento</t>
  </si>
  <si>
    <t>Tubo de PVC rígido série R diâmetro 100 mm, fornecimento e assentamento</t>
  </si>
  <si>
    <t>Tubo irrifort agropecuário diâmetro 32 mm, fornecimento e assentamento</t>
  </si>
  <si>
    <t>Tubo para irrigação linha fixa PN40 50 mm, fornecimento e assentamento</t>
  </si>
  <si>
    <t>Tubos de ferro fundido diâmetro 0,90 m, assentamento</t>
  </si>
  <si>
    <t>Tubos para irrigação Linha fixa PN40, diâmetro 75 mm, fornecimento e assentamento</t>
  </si>
  <si>
    <t>Valeta de pedra argamassada VPAR</t>
  </si>
  <si>
    <t>Valeta de pedra jogada VPJ, inclusive transporte da pedra</t>
  </si>
  <si>
    <t>Valeta de proteção de aterro enleivada (VPA-01 DNIT)</t>
  </si>
  <si>
    <t>Valeta de proteção de aterro revestida em concreto (VPA-03 DNIT)</t>
  </si>
  <si>
    <t>Valeta de proteção de aterro VPA 02 (revestida em concreto)</t>
  </si>
  <si>
    <t>Valeta de proteção de aterro VPA-01 (escavação)</t>
  </si>
  <si>
    <t>Valeta de proteção de corte - desobstrução e limpeza</t>
  </si>
  <si>
    <t>Valeta de proteção de corte enleivada (VPC-01 DNIT)</t>
  </si>
  <si>
    <t>Valeta de proteção de corte revestida em concreto VPC-03</t>
  </si>
  <si>
    <t>Valeta de proteção de corte VPC-01 (escavação)</t>
  </si>
  <si>
    <t>Valeta de proteção de corte VPC-02 (revestida em grama)</t>
  </si>
  <si>
    <t>Grupo de Serviço: 4 - MATERIAL BETUMINOSO</t>
  </si>
  <si>
    <t>CAP FLEX 60/85, fornecimento</t>
  </si>
  <si>
    <t>CAP-50/70, fornecimento</t>
  </si>
  <si>
    <t>CM-30, fornecimento</t>
  </si>
  <si>
    <t>Dope, fornecimento</t>
  </si>
  <si>
    <t>Emulsão RL-1C- FLEX (Emulflex RL-1C-E), fornecimento</t>
  </si>
  <si>
    <t>Emulsão RM-1C, fornecimento</t>
  </si>
  <si>
    <t>Emulsão RR-1C FLEX (Emulflex RR-1C-E,) fornecimento</t>
  </si>
  <si>
    <t>Emulsão RR-1C, fornecimento</t>
  </si>
  <si>
    <t>Emulsão RR-2C, fornecimento</t>
  </si>
  <si>
    <t>Emulsão RR-2C-FLEX (Emulflex RR-2C-E), fornecimento</t>
  </si>
  <si>
    <t>Grupo de Serviço: 5 - OBRAS COMPLEMENTARES</t>
  </si>
  <si>
    <t>Abrigo de Ônibus - Rodovia Rural - 3,40 m x 6,00 m</t>
  </si>
  <si>
    <t>Abrigo de Ônibus Urbano - Padrão reduzido - 2,40 x 6,00 m</t>
  </si>
  <si>
    <t>Braço galvanizado 101mm - projeção 4,70m, fornecimento e instalação</t>
  </si>
  <si>
    <t>Cabo flexível 2 x 1,5 mm², fornecimento e instalação</t>
  </si>
  <si>
    <t>Cabo flexível 2 x 2,5 mm², fornecimento e instalação</t>
  </si>
  <si>
    <t>Cabo flexível 3 x 1,5 mm², fornecimento e instalação</t>
  </si>
  <si>
    <t>Cabo flexível 4 x 1,5 mm², fornecimento e instalação</t>
  </si>
  <si>
    <t>Caixa de passagem de concreto armado de 0,40 x 0,40 x 0,40m</t>
  </si>
  <si>
    <t>Caixa de passagem de eletroduto de lógica</t>
  </si>
  <si>
    <t>Calçada de concreto</t>
  </si>
  <si>
    <t>Cerca de arame farpado 4 fios com postes cada 2,5 m, esticadores de concreto a cada 25,0 m</t>
  </si>
  <si>
    <t>Cerca de arame farpado 8 fios com postes concreto 10 x 10 x 220 cm, a cada 1,5 m</t>
  </si>
  <si>
    <t>Corrimão em eucalipto tratado</t>
  </si>
  <si>
    <t>Demolição de cerca de madeira com 4 fios</t>
  </si>
  <si>
    <t>Demolição de edificações</t>
  </si>
  <si>
    <t>Descida d'água em madeira e pedra de mão, tudo incluído</t>
  </si>
  <si>
    <t>Deslocamento de cerca de madeira com 4 fios de arame</t>
  </si>
  <si>
    <t>Eletroduto de aço galv. 1 1/4" inclusive abertura e fechamento de rasgos em alvenaria, e luvas</t>
  </si>
  <si>
    <t>Eletroduto de PVC diâmetro de 4", fornecimento e instalação</t>
  </si>
  <si>
    <t>Estrutura de madeira para telha cerâmica ancorada em laje ou alvenaria</t>
  </si>
  <si>
    <t>Fita isolante em rolo de 19 mm x 20 m, número 33 Scoth ou equivalente</t>
  </si>
  <si>
    <t>Haste cobreada para aterramento diâmetro 5/8" x 2,4m ( fornecimento e instalação)</t>
  </si>
  <si>
    <t>Isolador de Porcelana tipo roldana com rack 3 x 16, instalação</t>
  </si>
  <si>
    <t>Ladrilho hidráulico (argamassa cimento e areia 1:4), fornecimento e assentamento</t>
  </si>
  <si>
    <t>Mata-burro</t>
  </si>
  <si>
    <t>Passagem de gado (boca)</t>
  </si>
  <si>
    <t>Passagem de gado (sem guarda corpo)</t>
  </si>
  <si>
    <t>Pavimentação com pedra de mão (pé de moleque) argamassada</t>
  </si>
  <si>
    <t>Pintura com tinta a óleo em esquadria de ferros duas demãos</t>
  </si>
  <si>
    <t>Pintura em látex acrílica em parede externa, sem massa corrida, três demãos</t>
  </si>
  <si>
    <t>Pintura logomarca DER-ES em mourões de concreto ( baixo relevo )</t>
  </si>
  <si>
    <t>Poste galvanizado 101mm simples, fornecimento e instalação</t>
  </si>
  <si>
    <t>Poste galvanizado 114 mm - 1boca, fornecimento e instalação</t>
  </si>
  <si>
    <t>Poste galvanizado 114mm - 2 bocas, fornecimento e instalação</t>
  </si>
  <si>
    <t>Rampa de pedestres, com piso em ladrilho hidráulico podotátil</t>
  </si>
  <si>
    <t>Rampa em pedra de mão (pé de moleque) argamassada e travada</t>
  </si>
  <si>
    <t>Remoção de camada vegetal</t>
  </si>
  <si>
    <t>Retirada de Defensa Metálica</t>
  </si>
  <si>
    <t>Retirada e recolocação de alambrado</t>
  </si>
  <si>
    <t>Sumidouro cilíndrico pré-moldado diam. 2,00m com 5 anéis inclusive escavação</t>
  </si>
  <si>
    <t>Suporte de concreto armado ( 15x15x280 ) com logomarca pintada em baixo relevo</t>
  </si>
  <si>
    <t>Grupo de Serviço: 8 - SERVIÇOS AMBIENTAIS</t>
  </si>
  <si>
    <t>Arborização para paisagismo ( mudas viveiro de espera) com altura maior que 150 cm</t>
  </si>
  <si>
    <t>Arborização para paisagismo (mudas viveiro de espera) com altura até 150 cm</t>
  </si>
  <si>
    <t>Conformação manual de taludes</t>
  </si>
  <si>
    <t>Grama em placas, fornecimento e plantio (sem fixação com estacas)</t>
  </si>
  <si>
    <t>Gramínea em leiva, extração</t>
  </si>
  <si>
    <t>Gramínea em leiva, extração, plantio e transporte</t>
  </si>
  <si>
    <t>Gramíneas em sementes, fornecimento e plantio a lanço</t>
  </si>
  <si>
    <t>Hidrossemeadura simples em taludes</t>
  </si>
  <si>
    <t>Hidrossemeadura simples em terrenos planos</t>
  </si>
  <si>
    <t>Reflorestamento com espécies nativas da mata atlântica, mudas em sacolas ou tubetes</t>
  </si>
  <si>
    <t>Reunião de Comunicação Social inclusive material de consumo</t>
  </si>
  <si>
    <t>Revestimento vegetal com grama em placas, inclusive transporte de grama</t>
  </si>
  <si>
    <t>Revestimento vegetal por hidrossemeadura com manta de fibras vegetais</t>
  </si>
  <si>
    <t>Grupo de Serviço: 10 - SINALIZAÇÃO</t>
  </si>
  <si>
    <t>Abraçadeira para fixação de semáforo em braço/coluna de diâmetro 101 ou 114 mm</t>
  </si>
  <si>
    <t>Anteparo 3 x 300 mm, fornecimento e instalação</t>
  </si>
  <si>
    <t>Balizador de concreto ( fornecimento e assentamento )</t>
  </si>
  <si>
    <t>Botoeira com sinal sonoro, fornecimento e instalação</t>
  </si>
  <si>
    <t>Cabos para rede de dados (sincronismo) blindado 2 x 20 awg, fornecimento e instalação</t>
  </si>
  <si>
    <t>Cones para sinalização, fornecimento e colocação</t>
  </si>
  <si>
    <t>Controlador Eletrônico Microprocessado 4 fases, fornecimento e instalação</t>
  </si>
  <si>
    <t>Controlador Eletrônico Microprocessado 6/6 fases, fornecimento e instalação</t>
  </si>
  <si>
    <t>Defensa de concreto tipo New Jersey, fornecimento e colocação</t>
  </si>
  <si>
    <t>Elementos de madeira para sinalização - cavaletes</t>
  </si>
  <si>
    <t>Ondulação transversal em CBUQ</t>
  </si>
  <si>
    <t>Ondulação transversal em concreto</t>
  </si>
  <si>
    <t>Pintura acrílica sobre capa asfáltica</t>
  </si>
  <si>
    <t>Pintura de setas e zebrados em material termoplástico - 5 anos ( por extrusão)</t>
  </si>
  <si>
    <t>Sinalização com chapa em alumínio revestida em película</t>
  </si>
  <si>
    <t>Sinalização noturna ( fio com lâmpada e balde ), fornecimento e instalação</t>
  </si>
  <si>
    <t>Sinalização vertical com chapa em esmalte sintético</t>
  </si>
  <si>
    <t>Sinalização vertical com chapa revestida em película, inclusive suporte em madeira</t>
  </si>
  <si>
    <t>Sonorizador</t>
  </si>
  <si>
    <t>Tacha refletiva birrefletorizada, fornecimento e aplicação</t>
  </si>
  <si>
    <t>Tachão refletivo birrefletorizado, fornecimento e aplicação</t>
  </si>
  <si>
    <t>Grupo de Serviço: 12 - SERVIÇOS DIVERSOS</t>
  </si>
  <si>
    <t>Aluguel mensal de automóvel utilitário inclusive combustível, exclusive motorista</t>
  </si>
  <si>
    <t>Grupo de Serviço: 15 - CONSERVAÇÃO CORRETIVA ROTINEIRA</t>
  </si>
  <si>
    <t>Aplicação de jato de ar comprimido para limpeza de trincas</t>
  </si>
  <si>
    <t>Arborização (mudas de árvores com altura até 1,50 m)</t>
  </si>
  <si>
    <t>Boca de bueiro tubular em concreto ciclópico inclusive escavação, tudo incluído</t>
  </si>
  <si>
    <t>Capina manual inclusive, limpeza</t>
  </si>
  <si>
    <t>Carga manual de material de limpeza de galerias urbanas</t>
  </si>
  <si>
    <t>CBUQ - Usinagem, aquisição e transporte dos materiais</t>
  </si>
  <si>
    <t>Cerca com mourões de madeira, inclusive escavação e transporte de mourão e arame farpado</t>
  </si>
  <si>
    <t>Compactação de subleito</t>
  </si>
  <si>
    <t>Conformação de taludes de corte</t>
  </si>
  <si>
    <t>Corpo e berço de bueiro tubular, inclusive transporte do tubo</t>
  </si>
  <si>
    <t>Demolição e remoção de estrutura de pavimento inclusive capa asfáltica</t>
  </si>
  <si>
    <t>Desmatamento, destocamento e limpeza</t>
  </si>
  <si>
    <t>Desobstrução manual de valetas</t>
  </si>
  <si>
    <t>Escavação, carga e transporte de material de 1º categoria</t>
  </si>
  <si>
    <t>Fresagem de pavimento asfáltico à frio, inclusive transporte do material</t>
  </si>
  <si>
    <t>Imprimação inclusive fornecimento e transporte do CM-30</t>
  </si>
  <si>
    <t>Lama asfáltica (faixa I - ISSA) (tudo incluído)</t>
  </si>
  <si>
    <t>Lama asfáltica (faixa II - ISSA) (tudo incluído)</t>
  </si>
  <si>
    <t>Lama asfáltica (faixa III - ISSA) (tudo incluído)</t>
  </si>
  <si>
    <t>Lama asfáltica (faixa IV - ISSA) (tudo incluído)</t>
  </si>
  <si>
    <t>Limpeza de sarjeta e meio-fio</t>
  </si>
  <si>
    <t>Limpeza e desobstrução de bueiros</t>
  </si>
  <si>
    <t>Limpeza e desobstrução de caixa coletora</t>
  </si>
  <si>
    <t>Limpeza e pintura de guarda-corpo</t>
  </si>
  <si>
    <t>Meio-fio pré-moldado em concreto, inclusive caiação e transporte do meio-fio</t>
  </si>
  <si>
    <t>Obturação de buracos com CBUQ (tudo incluído)</t>
  </si>
  <si>
    <t>Obturação de buracos com PMF (tudo incluído)</t>
  </si>
  <si>
    <t>Obturação de buracos com PMF usinado pelo DER-ES (tudo incluído)</t>
  </si>
  <si>
    <t>Pintura de dispositivos de drenagem</t>
  </si>
  <si>
    <t>Pintura de ligação, inclusive fornecimento e transporte da emulsão</t>
  </si>
  <si>
    <t>Pintura de pontes a base de cal</t>
  </si>
  <si>
    <t>Placas de sinalização, assentamento</t>
  </si>
  <si>
    <t>Placas de sinalização, inclusive materiais, substituição</t>
  </si>
  <si>
    <t>PMF - Usinagem, aquisição e transportes dos materiais</t>
  </si>
  <si>
    <t>Recomposição de revestimento c/ CBUQ - Inclusive fornecimento e transporte dos materiais</t>
  </si>
  <si>
    <t>Recomposição de revestimento c/ PMF - Inclusive fornecimento e transporte dos materiais</t>
  </si>
  <si>
    <t>Recomposição de revestimento primário (tudo incluído)</t>
  </si>
  <si>
    <t>Recomposição mecânica de aterros</t>
  </si>
  <si>
    <t>Reconformação mecânica de plataforma (patrolamento)</t>
  </si>
  <si>
    <t>Remendo com massa asfáltica fria (tudo incluído)</t>
  </si>
  <si>
    <t>Remendo com massa asfáltica fria usinada pelo DER-ES (tudo incluído)</t>
  </si>
  <si>
    <t>Remendo com massa asfáltica quente (tudo incluído)</t>
  </si>
  <si>
    <t>Remoção mecânica de barreiras</t>
  </si>
  <si>
    <t>Reparo de bueiros celulares (inclusive boca)</t>
  </si>
  <si>
    <t>Reparo de bueiros tubulares</t>
  </si>
  <si>
    <t>Reparo de guarda-corpo</t>
  </si>
  <si>
    <t>Reparo de meio-fio, inclusive caiação</t>
  </si>
  <si>
    <t>Reparo de muros de arrimo</t>
  </si>
  <si>
    <t>Reparo de sarjeta, inclusive caiação</t>
  </si>
  <si>
    <t>Retirada de placas de sinalização</t>
  </si>
  <si>
    <t>Roçada mecanizada</t>
  </si>
  <si>
    <t>Selagem de trincas, inclusive transporte de areia e emulsão</t>
  </si>
  <si>
    <t>Sinalização horizontal - taxa 0,6 l/m², tudo incluído</t>
  </si>
  <si>
    <t>Sinalização vertical, inclusive transporte de placa sinalização e madeira</t>
  </si>
  <si>
    <t>Sub-base de solo estabilizada granulométricamente sem mistura inclusive escavação e carga</t>
  </si>
  <si>
    <t>Tapa-panela, inclusive transporte de material de 1ª categoria</t>
  </si>
  <si>
    <t>TSD - Tratamento superficial duplo incl. transporte dos materiais</t>
  </si>
  <si>
    <t>Valeta não revestida</t>
  </si>
  <si>
    <t>Grupo de Serviço: 18 - ALUGUEL DE EQUIPAMENTOS</t>
  </si>
  <si>
    <t>Aluguel mensal de barco de alumínio 4,20 m com motor 15 HP (equipamentos)</t>
  </si>
  <si>
    <t>Grupo de Serviço: 32 - INFRA E MESO-ESTRUTURA</t>
  </si>
  <si>
    <t>Escoramento para blocos submersos, inclusive transporte da madeira</t>
  </si>
  <si>
    <t>Estaca metálica dupla exclusive fornecimento de trilhos</t>
  </si>
  <si>
    <t>Estaca metálica, fornecimento, transporte, perdas, solda, emenda, corte e cravação de TR- 68</t>
  </si>
  <si>
    <t>Estaca metálica simples exclusive fornecimento de trilhos</t>
  </si>
  <si>
    <t>Perfuração rotativa inclinada, em solo, com coroa de Widia, diâmetro 150mm</t>
  </si>
  <si>
    <t>Perfuração rotativa inclinada, em solo, com coroa de Widia, diâmetro 75mm</t>
  </si>
  <si>
    <t>Grupo de Serviço: 33 - SUPER-ESTRUTURA</t>
  </si>
  <si>
    <t>Placas pré-moldadas para forma de tabuleiro de ponte</t>
  </si>
  <si>
    <t>Remoção de superestrutura de pontes com auxilio de guindaste para 40 toneladas</t>
  </si>
  <si>
    <t>Grupo de Serviço: 37 - OBRAS DE ARTE ESPECIAIS</t>
  </si>
  <si>
    <t>Acessório para tirante protendido de aço Rocsolo ou similar diâmetro 29,3 mm</t>
  </si>
  <si>
    <t>Acessório para tirante protendido de aço ST 85/105</t>
  </si>
  <si>
    <t>Chapas de aço SAC 41 de 1/4" para passarelas, fornecimento, soldagem e montagem</t>
  </si>
  <si>
    <t>Concreto projetado com cimento especial</t>
  </si>
  <si>
    <t>Concreto projetado com cimento especial, inclusive aditivo de pega Sigunit STM-35 AF</t>
  </si>
  <si>
    <t>Escoramento contínuo de cavas em estaca prancha de largura até 4000 mm</t>
  </si>
  <si>
    <t>Estrutura metálica provisória para macaqueamento de laje de ponte</t>
  </si>
  <si>
    <t>Formas curvas de madeira sem reutilização, inclusive fornecimento e transporte das madeiras</t>
  </si>
  <si>
    <t>Furação, fornecimento e fixação de grampos diam.16 mm com resina epoxi (prof. 50 cm)</t>
  </si>
  <si>
    <t>Furação, fornecimento e fixação de grampos 10 mm com resina epoxi</t>
  </si>
  <si>
    <t>Guarda corpo em toras de eucalipto conf. projeto</t>
  </si>
  <si>
    <t>Guarda corpo metálico</t>
  </si>
  <si>
    <t>Guarda corpo padrão (tipo DNIT)</t>
  </si>
  <si>
    <t>Hidrojateamento de superfícies metálicas</t>
  </si>
  <si>
    <t>Injeção de calda de cimento para chumbamento de tirantes</t>
  </si>
  <si>
    <t>Injeção de epoxi em fissuras, inclusive preparo e montagem de bicos de injeção</t>
  </si>
  <si>
    <t>Junta de cantoneira L de 4" x 4" x 3/8"</t>
  </si>
  <si>
    <t>Perfuração de concreto</t>
  </si>
  <si>
    <t>Perfuração de rocha para fixação de chumbadores</t>
  </si>
  <si>
    <t>Pintura a cal em pontes (2 demãos)</t>
  </si>
  <si>
    <t>Tirante de Aço CA-50, diâmetro de 25mm (1"), para comprimentos até 6m</t>
  </si>
  <si>
    <t>Tirante protendido em Aço GEWI 50/55 ou similar, diâmetro de 32mm</t>
  </si>
  <si>
    <t>Grupo de Serviço: 44 - MATERIAIS</t>
  </si>
  <si>
    <t>Aquisição de solo de jazida comercial (saibreira)</t>
  </si>
  <si>
    <t>Grupo de Serviço: 61 - TERRAPLENAGEM - VIAS URBANAS</t>
  </si>
  <si>
    <t>Carga de material de 1ª categoria em Vias Urbanas</t>
  </si>
  <si>
    <t>Carga de material de 2ª categoria (solo, areia, brita, excl. rocha escavada) em Vias Urbanas</t>
  </si>
  <si>
    <t>Carga de material de 3ª categoria (rocha) em Vias Urbanas</t>
  </si>
  <si>
    <t>Compactação de aterros 100% PI em Vias Urbanas</t>
  </si>
  <si>
    <t>Compactação de aterros 100% PN em Vias Urbanas</t>
  </si>
  <si>
    <t>Escalonamento de taludes com escavadeira em Vias Urbanas</t>
  </si>
  <si>
    <t>Escavação, carga de material de 3ª categoria (fogo controlado) em Vias Urbanas</t>
  </si>
  <si>
    <t>Escavação e carga de material de barreira (remoção) em Vias Urbanas</t>
  </si>
  <si>
    <t>Escavação e carga de material de 1ª categoria com escavadeira em Vias Urbanas</t>
  </si>
  <si>
    <t>Escavação e carga de material de 2ª categoria com escavadeira em Vias Urbanas</t>
  </si>
  <si>
    <t>Escavação e carga de material de 3ª categoria (H bancada &gt;1,0 m) em Vias Urbanas</t>
  </si>
  <si>
    <t>Fragmentação de rocha (fogacheamento) em Vias Urbanas</t>
  </si>
  <si>
    <t>Limpeza de acostamento em Vias Urbanas</t>
  </si>
  <si>
    <t>Pré-fissuramento de taludes de rocha em Vias Urbanas</t>
  </si>
  <si>
    <t>Recomposição vegetal de jazidas, empréstimos e bota-fora em Vias Urbanas</t>
  </si>
  <si>
    <t>Grupo de Serviço: 62 - PAVIMENTAÇÃO - VIAS URBANAS</t>
  </si>
  <si>
    <t>Base de brita graduada, inclusive fornecimento, exclusive transporte da brita em Vias Urbanas</t>
  </si>
  <si>
    <t>Base de brita 1, inclusive fornecimento, exclusive transporte da brita em Vias Urbanas</t>
  </si>
  <si>
    <t>Demolição e remoção de pavimento asfáltico em Vias Urbanas</t>
  </si>
  <si>
    <t>Remoção de capa asfáltica em TSS, TSD, ou TST exclusive transporte em Vias Urbanas</t>
  </si>
  <si>
    <t>Remoção de meio fio em Vias Urbanas</t>
  </si>
  <si>
    <t>Remoção de pavimentação poliédrica em Vias Urbanas</t>
  </si>
  <si>
    <t>Remoção e reassentamento de blocos de concreto, inclusive perdas em Vias Urbanas</t>
  </si>
  <si>
    <t>Remoção e reassentamento de paralelepípedos, inclusive perdas em Vias Urbanas</t>
  </si>
  <si>
    <t>Sub-base de brita graduada, inclusive fornecimento e transporte da brita em Vias Urbanas</t>
  </si>
  <si>
    <t>Sub-base de brita 1, inclusive fornecimento, exclusive transporte da brita em Vias Urbanas</t>
  </si>
  <si>
    <t>Grupo de Serviço: 63 - OBRAS DE ARTE CORRENTES E DRENAGEM - VIAS URBANAS</t>
  </si>
  <si>
    <t>Alvenaria de bloco (39 x 19 x 19) cm espessura 19 cm em Vias Urbanas</t>
  </si>
  <si>
    <t>Andaime suspenso em madeira, inclusive montagem e desmontagem em Vias Urbanas</t>
  </si>
  <si>
    <t>Apicoamento manual de superfície de concreto em Vias Urbanas</t>
  </si>
  <si>
    <t>Apiloamento manual em Vias Urbanas</t>
  </si>
  <si>
    <t>Argamassa cimento e areia traço 1:4 em Vias Urbanas</t>
  </si>
  <si>
    <t>Argamassa cimento (nata) em Vias Urbanas</t>
  </si>
  <si>
    <t>Argamassa de cimento e areia, traço 1:4, consumo de cimento 400 kg/m³ em Vias Urbanas</t>
  </si>
  <si>
    <t>Berço de concreto ciclópico para BDTC diâmetro 0,60 m em Via Urbanas</t>
  </si>
  <si>
    <t>Boca de BDCC 2,00 x 1,20m conforme projeto em Vias Urbanas</t>
  </si>
  <si>
    <t>Boca de BDCC 2,00 x 2,50 m em Vias Urbanas</t>
  </si>
  <si>
    <t>Boca de BSCC 2,50 x 2,50 m, projeto DNIT em Vias Urbanas</t>
  </si>
  <si>
    <t>Boca de lobo simples em blocos pré-moldados CR(0,40 x 0,80 m) em Vias Urbanas</t>
  </si>
  <si>
    <t>Caiação de meio fios, sarjetas, etc. em Vias Urbanas</t>
  </si>
  <si>
    <t>Caixa Boca de Lobo em bloco pré-moldado 1,20 x 1,20m em Vias Urbanas</t>
  </si>
  <si>
    <t>Caixa de passagem (2,50 x 2,50m) em Vias Urbanas</t>
  </si>
  <si>
    <t>Caixa para rede de dutos dimensões 100 x100 x100 cm, em Vias Urbanas</t>
  </si>
  <si>
    <t>Caixa para rede de dutos dimensões 60 x 60 x 60 cm, em Vias Urbanas</t>
  </si>
  <si>
    <t>Caixa ralo com grelha de concreto em blocos pré-moldados - CRG - Vias Urbanas</t>
  </si>
  <si>
    <t>Caixa ralo de elementos pré-moldados em concreto (tudo incluído) em Vias Urbanas</t>
  </si>
  <si>
    <t>Caixa ralo em blocos pré-moldados e grelha articulada em FFA em Vias Urbanas</t>
  </si>
  <si>
    <t>Canaleta com grelha DP-1, inclusive transporte da grelha em Vias Urbanas</t>
  </si>
  <si>
    <t>Canaleta de concreto retangular (0,130m³/m) inclusive caiação em Vias Urbanas</t>
  </si>
  <si>
    <t>Canaleta de concreto (0,130m³/m) forma trapezoidal inclusive caiação em Vias Urbanas</t>
  </si>
  <si>
    <t>Chapisco com argamassa de cimento e areia 1:3 em Vias Urbanas</t>
  </si>
  <si>
    <t>Chapisco com argamassa de cimento e pedrisco 1:4 em Vias Urbanas</t>
  </si>
  <si>
    <t>Concreto de regularização em Vias Urbanas</t>
  </si>
  <si>
    <t>Corpo de BDCC 1,00 x 1,00 m em Vias Urbanas</t>
  </si>
  <si>
    <t>Corpo de BDCC 1,50 x 1,50 m projeto DNIT para 2,50 &lt; H &lt; 5,00 m em Vias Urbanas</t>
  </si>
  <si>
    <t>Corpo de BDCC 2,00 x 2,00 m projeto DNIT para 2,50 &lt; H &lt; 5,00 m em Vias Urbanas</t>
  </si>
  <si>
    <t>Corpo de BDCC 2,00 x 2,50 m em Vias Urbanas</t>
  </si>
  <si>
    <t>Corpo de BDCC 2,00 x 3,00 m projeto DNIT p/ 2,50 &lt; H &lt; 5,00 m em Vias Urbanas</t>
  </si>
  <si>
    <t>Corpo de BDCC 2,50 x 2,00m - tudo incluído conforme projeto em Vias Urbanas</t>
  </si>
  <si>
    <t>Corpo de BDCC 2,50 x 2,50 m projeto DNIT p/ 2,50&lt; H &lt;5,00 m em Vias Urbanas</t>
  </si>
  <si>
    <t>Corpo de BDCC 2,50 x 3,00 m projeto DNIT p/ 2,50 &lt; H &lt; 5,00 m em Vias Urbanas</t>
  </si>
  <si>
    <t>Corpo de BDCC 3,00 x 3,00 m projeto DNIT p/ 2,50 &lt; H &lt; 5,00 m em Vias Urbanas</t>
  </si>
  <si>
    <t>Corpo de BSCC 1,50x1,50m projeto DNIT p/ 2,50&lt; H &lt;5,00m em Vias Urbanas</t>
  </si>
  <si>
    <t>Corpo de BSCC 2,00x2,00m projeto DNIT p/ 2,50&lt; H &lt;5,00m em Vias Urbanas</t>
  </si>
  <si>
    <t>Corpo de BSCC 2,00x3,00m projeto DNIT p/ 2,50&lt; H &lt;5,00m em Vias Urbanas</t>
  </si>
  <si>
    <t>Corpo de BSCC 2,50x2,50m projeto DNIT para 2,50&lt; H &lt;5,00m em Vias Urbanas</t>
  </si>
  <si>
    <t>Corpo de BSCC 2,50x3,00m projeto DNIT para 2,50&lt; H &lt;5,00m em Vias Urbanas</t>
  </si>
  <si>
    <t>Corpo de BSCC 3,00x1,50 para 2,50m&lt; H &lt; 5,00m , em Vias Urbanas</t>
  </si>
  <si>
    <t>Corpo de BSCC 3,00x3,00m projeto DNIT para 2,50&lt; H &lt;5,00m em Vias Urbanas</t>
  </si>
  <si>
    <t>Corpo de BTCC 1,50 x 1,50 m projeto DNIT para 2,50 &lt; H &lt; 5,00 m em Vias Urbanas</t>
  </si>
  <si>
    <t>Corpo de BTCC 2,00 x 2,00 m projeto DNIT para 2,50 &lt; H &lt; 5,00 m em Vias Urbanas</t>
  </si>
  <si>
    <t>Corpo de BTCC 2,00 x 3,00 m projeto DNIT para 2,50 &lt; H &lt; 5,00 m em Vias Urbanas</t>
  </si>
  <si>
    <t>Corpo de BTCC 2,50 x 2,50 m projeto DNIT para 2,50 &lt; H &lt; 5,00 m em Vias Urbanas</t>
  </si>
  <si>
    <t>Corpo de BTCC 2,50 x 3,00 m projeto DNIT para 2,50 &lt; H &lt; 5,00 m em Vias Urbanas</t>
  </si>
  <si>
    <t>Corpo de BTCC 3,00 x 3,00 m projeto DNIT para 2,50 &lt; H &lt; 5,00 m em Vias Urbanas</t>
  </si>
  <si>
    <t>Demolição manual alvenaria tijolo furado assentado com argamassa em Vias Urbanas</t>
  </si>
  <si>
    <t>Demolição manual de concreto armado em Vias Urbanas</t>
  </si>
  <si>
    <t>Demolição manual de concreto simples ou ciclópico em Vias Urbanas</t>
  </si>
  <si>
    <t>Demolição mecânica de concreto em Vias Urbanas</t>
  </si>
  <si>
    <t>Descida d'água concreto simples (degraus) c/ caiação (DSA-03) apoio em Vias Urbanas</t>
  </si>
  <si>
    <t>Deslocamento de cerca de tela galvanizada fio 12 malha 3" x 3", em Vias Urbanas</t>
  </si>
  <si>
    <t>Dreno ou Barbacã em tubo PVC, diâmetro de 2" em Vias Urbanas</t>
  </si>
  <si>
    <t>Eletroduto para rede de lógica, inclusive conexões, em Vias Urbanas</t>
  </si>
  <si>
    <t>Eletroduto PVC diâmetro 75mm, fornecimento e assentamento em Vias Urbanas</t>
  </si>
  <si>
    <t>Eletroduto PVC rígido roscável diâm. 50 mm, fornecimento e assentamento em Vias Urbanas</t>
  </si>
  <si>
    <t>Eletroduto tipo Kanaflex diâmetro 1 1/2", fornecimento e assentamento em Vias Urbanas</t>
  </si>
  <si>
    <t>Eletroduto tipo Kanaflex diâmetro 2", fornecimento e assentamento em Vias Urbanas</t>
  </si>
  <si>
    <t>Eletroduto tipo Kanaflex diâmetro 4", fornecimento e assentamento em Vias Urbanas</t>
  </si>
  <si>
    <t>Forma metálica para meio fio, em Vias Urbanas</t>
  </si>
  <si>
    <t>Gabiões com caixas galvanizadas, sem manta, em Vias Urbanas</t>
  </si>
  <si>
    <t>Geotêxtil não tecido RT-16 kn/m, fornecimento e aplicação em Vias Urbanas</t>
  </si>
  <si>
    <t>Lastro de brita, inclusive transporte da brita em Vias Urbanas</t>
  </si>
  <si>
    <t>Limpeza e apicoamento manual de superfície de rocha em Vias Urbanas</t>
  </si>
  <si>
    <t>Limpeza e desobstrução de BDTC e BDCC em Vias Urbanas</t>
  </si>
  <si>
    <t>Limpeza e desobstrução de BQTC em Vias Urbanas</t>
  </si>
  <si>
    <t>Limpeza e desobstrução de BSTC e BSCC em Vias Urbanas</t>
  </si>
  <si>
    <t>Limpeza e desobstrução de BTTC e BTCC em Vias Urbanas</t>
  </si>
  <si>
    <t>Limpeza e preparo de superfície de aço em Vias Urbanas</t>
  </si>
  <si>
    <t>Pedra de mão p/ (concreto ciclópico ou alvenaria) rocha paga em medição em Vias Urbanas</t>
  </si>
  <si>
    <t>Pintura com nata de cimento em Vias Urbanas</t>
  </si>
  <si>
    <t>Plataforma ou passarela de pinho de 1ª ou similar, 1" x 12", em Vias Urbanas</t>
  </si>
  <si>
    <t>Poço de Visita para BSTC diâm. 0,40 m em blocos de concreto, em Vias Urbanas</t>
  </si>
  <si>
    <t>Poço de visita para BSTC diâm. 0,60 m em blocos de concreto, em Vias Urbanas</t>
  </si>
  <si>
    <t>Poço de visita para BSTC diâm. 0,80 m em blocos de concreto, em Vias Urbanas</t>
  </si>
  <si>
    <t>Reaterro com areia, tudo incluído, em Vias Urbanas</t>
  </si>
  <si>
    <t>Reaterro de cavas c/ compactação manual (apiloamento) (dim. reduz.), em Vias Urbanas</t>
  </si>
  <si>
    <t>Reaterro de cavas c/ compactação manual (apiloamento) em Vias Urbanas</t>
  </si>
  <si>
    <t>Reaterro de cavas c/ compactação mecânica (compactador manual), em Vias Urbanas</t>
  </si>
  <si>
    <t>Recuperação de poço de visita inclusive fornecimento tampão F.F.A.P., em Vias Urbanas</t>
  </si>
  <si>
    <t>Religação de rede de água em PVC DN 20 mm, inclusive conexões, em Vias Urbanas</t>
  </si>
  <si>
    <t>Religação de rede de água em PVC DN 25 mm, inclusive conexões, em Vias Urbanas</t>
  </si>
  <si>
    <t>Religação de rede de água em PVC DN 32 mm, inclusive conexões, em Vias Urbanas</t>
  </si>
  <si>
    <t>Religação de rede de água em PVC DN 75 mm, inclusive conexões, em Vias Urbanas</t>
  </si>
  <si>
    <t>Remanejamento de ligação e religação de redes de esgoto, em Vias Urbanas</t>
  </si>
  <si>
    <t>Remoção de bueiros existentes, em Vias Urbanas</t>
  </si>
  <si>
    <t>Sarjeta de concreto DP-1 (0,081 m³/m) calha triangular, inclusive caiação, em Vias Urbanas</t>
  </si>
  <si>
    <t>Sarjeta de concreto DP-2 (0,085 m³/m) calha triangular, inclusive caiação, em Vias Urbanas</t>
  </si>
  <si>
    <t>Sarjeta de concreto SCA 40/10 - em Vias Urbanas</t>
  </si>
  <si>
    <t>Sarjeta de concreto (SCA 70/15) calha triangular, inclusive caiação, em Vias Urbanas</t>
  </si>
  <si>
    <t>Sarjeta de concreto (SCA 90/10) calha triangular, inclusive caiação, em Vias Urbanas</t>
  </si>
  <si>
    <t>Tampa de concreto em grelha, fornecimento, assentamento e transporte, em Vias Urbanas</t>
  </si>
  <si>
    <t>Tampão F.F.A.P. com 100 kg, fornecimento, assentamento e transporte em Vias Urbanas</t>
  </si>
  <si>
    <t>Tela de aço soldada Telcon Q-138 ou similar, fornecimento e assentamento em Vias Urbanas</t>
  </si>
  <si>
    <t>Terminal de dreno de alívio de pavimento (DP - TDA - 01) em Vias Urbanas</t>
  </si>
  <si>
    <t>Trincheira drenante em madeira em Vias Urbanas</t>
  </si>
  <si>
    <t>Tubo de PVC NBR 5648 diâmetro 50 mm, fornecimento e assentamento em Vias Urbanas</t>
  </si>
  <si>
    <t>Tubo de PVC NBR 5648 diâmetro 75 mm, fornecimento e assentamento em Vias Urbanas</t>
  </si>
  <si>
    <t>Tubo de PVC rígido série R diâmetro 100 mm, fornecimento e assentamento em Vias Urbanas</t>
  </si>
  <si>
    <t>Tubo irrifort agropecuário diâmetro 32 mm, fornecimento e assentamento em Vias Urbanas</t>
  </si>
  <si>
    <t>Tubo para irrigação linha fixa PN40 50 mm, fornecimento e assentamento em Vias Urbanas</t>
  </si>
  <si>
    <t>Tubos de ferro fundido diâmetro 0,90 m, assentamento em Vias Urbanas</t>
  </si>
  <si>
    <t>Valeta de pedra argamassada VPAR em Vias Urbanas</t>
  </si>
  <si>
    <t>Valeta de pedra jogada VPJ, inclusive transporte da pedra em Vias Urbanas</t>
  </si>
  <si>
    <t>Valeta de proteção de corte - desobstrução e limpeza em Vias Urbanas</t>
  </si>
  <si>
    <t>Grupo de Serviço: 139 - INSTALAÇÃO DE CANTEIRO, MOBILIZAÇÃO E DESMOBILIZAÇÃO</t>
  </si>
  <si>
    <t>Aluguel de container para almoxarifado</t>
  </si>
  <si>
    <t>Aluguel de container tipo vestiário, 2 luminárias, piso especial e janela</t>
  </si>
  <si>
    <t>Canaleta de concreto retangular com grelha em barra de aço</t>
  </si>
  <si>
    <t>Mobilização e desmobilização de caminhão basculante (máximo)</t>
  </si>
  <si>
    <t>Mobilização e desmobilização de caminhão carroceria (máximo)</t>
  </si>
  <si>
    <t>Mobilização e desmobilização de caminhão tanque (6.000 L) (máximo)</t>
  </si>
  <si>
    <t>Mobilização e desmobilização de container acima de 150 km</t>
  </si>
  <si>
    <t>Mobilização e desmobilização de container até 50 km</t>
  </si>
  <si>
    <t>Mobilização e desmobilização de container de 51 km até 150 km</t>
  </si>
  <si>
    <t>Mobilização e desmobilização de equipamentos com carreta prancha (máximo)</t>
  </si>
  <si>
    <t>Placa de obra nas dimensões de 3,0 x 6,0 m, padrão DER-ES</t>
  </si>
  <si>
    <t>Rede de água c/ padrão de entrada d'água diâm. 3/4" conf. CESAN, incl. tubos e conexões p/ aliment., distrib., extravas. e limp., cons. o padrão a 25m</t>
  </si>
  <si>
    <t>Rede de esgoto, contendo fossa e filtro, incl. tubos e conexões de ligação entre caixas, considerando distância de 25m</t>
  </si>
  <si>
    <t>Refeitório c/ paredes chapa de comp. 12mm e pont. 8x8cm, piso ciment. e cob. telhas fibroc. 6mm, incl. ponto de luz e cx. de insp. (1,21m²/func/turno)</t>
  </si>
  <si>
    <t>Reservatório de fibra de vidro de 1000 L, incl. suporte em madeira de 7x12cm, elevado de 4m</t>
  </si>
  <si>
    <t>Sistema separador de água e óleo</t>
  </si>
  <si>
    <t>Potência</t>
  </si>
  <si>
    <t>Combustível</t>
  </si>
  <si>
    <t>Hora Prod.</t>
  </si>
  <si>
    <t>Hora Improd.</t>
  </si>
  <si>
    <t>Pulvimisturadora</t>
  </si>
  <si>
    <t>Família : 2 - ENCARGOS SOCIAIS E COMPLEMENTARES</t>
  </si>
  <si>
    <t xml:space="preserve"> t  </t>
  </si>
  <si>
    <t>Fórmula de Transporte (R$/t)</t>
  </si>
  <si>
    <t>Valores sem BDI</t>
  </si>
  <si>
    <t xml:space="preserve">x  = DMT em km </t>
  </si>
  <si>
    <t>Pos.</t>
  </si>
  <si>
    <t>Área (m²)</t>
  </si>
  <si>
    <t>Prof. (m)</t>
  </si>
  <si>
    <t>XP (km)</t>
  </si>
  <si>
    <t>XR (km)</t>
  </si>
  <si>
    <t>Largura (m)</t>
  </si>
  <si>
    <t>Altura (m)</t>
  </si>
  <si>
    <t>Quant. (un)</t>
  </si>
  <si>
    <t>Instalações</t>
  </si>
  <si>
    <t>Extensão (m)</t>
  </si>
  <si>
    <t>Estimativa para orientação do tráfego</t>
  </si>
  <si>
    <t>Estaca Inicial</t>
  </si>
  <si>
    <t>Estaca Final</t>
  </si>
  <si>
    <t>Observações</t>
  </si>
  <si>
    <t>Volume (m³)</t>
  </si>
  <si>
    <t>SINALIZAÇÃO</t>
  </si>
  <si>
    <t>OBRAS COMPLEMENTARES</t>
  </si>
  <si>
    <t>Cotação</t>
  </si>
  <si>
    <t>Comp.(m)</t>
  </si>
  <si>
    <t>Nº lados (un)</t>
  </si>
  <si>
    <t>Espessura (m)</t>
  </si>
  <si>
    <t>Taxa (t/m²)</t>
  </si>
  <si>
    <t>DESCRIÇÃO DOS SERVIÇOS PREVISTOS</t>
  </si>
  <si>
    <t>1.1.1</t>
  </si>
  <si>
    <t>1.1.2</t>
  </si>
  <si>
    <t>1.1.3</t>
  </si>
  <si>
    <t>1.1.4</t>
  </si>
  <si>
    <t>1.1.5</t>
  </si>
  <si>
    <t>1.1.6</t>
  </si>
  <si>
    <t>1.1.7</t>
  </si>
  <si>
    <t>6.1.4</t>
  </si>
  <si>
    <t>PAVIMENTAÇÃO</t>
  </si>
  <si>
    <t>TERRAPLENAGEM</t>
  </si>
  <si>
    <t>DRENAGEM E OAC</t>
  </si>
  <si>
    <t>FORNECIMENTO E TRANSPORTE DE MATERIAL BETUMINOSO</t>
  </si>
  <si>
    <t>Prazo previsto=</t>
  </si>
  <si>
    <t>8.1</t>
  </si>
  <si>
    <t>Sub total 08</t>
  </si>
  <si>
    <t>9.1</t>
  </si>
  <si>
    <t>MEMÓRIA DE CÁLCULO</t>
  </si>
  <si>
    <t>Distâncias</t>
  </si>
  <si>
    <t>Bacia de contenção - Piso</t>
  </si>
  <si>
    <t>Bacia de contenção - Parede de contorno</t>
  </si>
  <si>
    <t>Vol. de conceto (m³)</t>
  </si>
  <si>
    <t>Taxa armadura (kg/m³)</t>
  </si>
  <si>
    <t>Sinalização em fase de obra</t>
  </si>
  <si>
    <t>CUSTOS</t>
  </si>
  <si>
    <t>TOTAIS (R$)</t>
  </si>
  <si>
    <t>ITENS DE SERVIÇOS</t>
  </si>
  <si>
    <t>10.1</t>
  </si>
  <si>
    <t>9.1.1</t>
  </si>
  <si>
    <t>9.1.2</t>
  </si>
  <si>
    <t>9.1.3</t>
  </si>
  <si>
    <t>9.2</t>
  </si>
  <si>
    <t>9.2.1</t>
  </si>
  <si>
    <t>9.2.2</t>
  </si>
  <si>
    <t>9.2.3</t>
  </si>
  <si>
    <t>9.2.4</t>
  </si>
  <si>
    <t>9.2.5</t>
  </si>
  <si>
    <t>9.2.6</t>
  </si>
  <si>
    <t>9.3</t>
  </si>
  <si>
    <t>9.3.1</t>
  </si>
  <si>
    <t>9.3.2</t>
  </si>
  <si>
    <t>9.3.3</t>
  </si>
  <si>
    <t>9.3.4</t>
  </si>
  <si>
    <t>Administração local</t>
  </si>
  <si>
    <t>PREÇOS (R$)</t>
  </si>
  <si>
    <t>Brita</t>
  </si>
  <si>
    <t xml:space="preserve">Pedreira </t>
  </si>
  <si>
    <t xml:space="preserve">Mourão </t>
  </si>
  <si>
    <t>Arame</t>
  </si>
  <si>
    <t>Geotêxtil</t>
  </si>
  <si>
    <t>Conforme Resumo de Terraplenagem</t>
  </si>
  <si>
    <t>Massa Específica</t>
  </si>
  <si>
    <t>1.1.8</t>
  </si>
  <si>
    <t>1.1.9</t>
  </si>
  <si>
    <t>Pista</t>
  </si>
  <si>
    <t>Consumo (m²/und)</t>
  </si>
  <si>
    <t xml:space="preserve"> Transp. de Tubo de concreto armado D=0,80m CA-1 PB</t>
  </si>
  <si>
    <t>Sinalização Pista</t>
  </si>
  <si>
    <t>LG-001</t>
  </si>
  <si>
    <t>Forma e Armação</t>
  </si>
  <si>
    <t>Oficina Mecânica</t>
  </si>
  <si>
    <t>Escritório e fiscalização</t>
  </si>
  <si>
    <t>Laboratório</t>
  </si>
  <si>
    <t>Guarita</t>
  </si>
  <si>
    <t>Almoxarifado</t>
  </si>
  <si>
    <t>Comp (m)</t>
  </si>
  <si>
    <t>Quant (und)</t>
  </si>
  <si>
    <t xml:space="preserve"> Transp. de Mourao p/ cerca (2,20 m - D=0,10m) m. branca</t>
  </si>
  <si>
    <t xml:space="preserve"> Transp. de Mourao p/ cerca (2,50 m - D=0,10m) m. branca (estic)</t>
  </si>
  <si>
    <t>RECUPERAÇÃO AMBIENTAL</t>
  </si>
  <si>
    <t>10.2</t>
  </si>
  <si>
    <t>Mobilização e Desmobilização</t>
  </si>
  <si>
    <t>LG-003</t>
  </si>
  <si>
    <t>Sub total 10</t>
  </si>
  <si>
    <t>DIAS</t>
  </si>
  <si>
    <t>QUANTITATIVOS</t>
  </si>
  <si>
    <t>7.3</t>
  </si>
  <si>
    <t>2.25</t>
  </si>
  <si>
    <t>Transp. de Areia grossa jazida c/ carreg.mecânico</t>
  </si>
  <si>
    <t>Transp. de Tubo poroso D=0,20 m (preço médio)</t>
  </si>
  <si>
    <t>Ferramentas manuis</t>
  </si>
  <si>
    <t>x</t>
  </si>
  <si>
    <t>Hidrossemeadura</t>
  </si>
  <si>
    <r>
      <t>m</t>
    </r>
    <r>
      <rPr>
        <vertAlign val="superscript"/>
        <sz val="8"/>
        <rFont val="Arial"/>
        <family val="2"/>
      </rPr>
      <t>2</t>
    </r>
  </si>
  <si>
    <t>Custo Adotado</t>
  </si>
  <si>
    <t>Hidrossemeadura simples</t>
  </si>
  <si>
    <t>LG-004</t>
  </si>
  <si>
    <t>LG-005</t>
  </si>
  <si>
    <t>Massa Específica (t/m³)</t>
  </si>
  <si>
    <t>Massa Asfática</t>
  </si>
  <si>
    <t>LE</t>
  </si>
  <si>
    <t>LD</t>
  </si>
  <si>
    <t>Vestiário</t>
  </si>
  <si>
    <t>CBUQ</t>
  </si>
  <si>
    <t>Peso (t)</t>
  </si>
  <si>
    <t>Taxa (%)</t>
  </si>
  <si>
    <t>4.6</t>
  </si>
  <si>
    <t>4.7</t>
  </si>
  <si>
    <t>Areal (A1)</t>
  </si>
  <si>
    <t>Duque de Caxias - RJ</t>
  </si>
  <si>
    <t>Pedreira (P1)</t>
  </si>
  <si>
    <t>Pedreira (P2)</t>
  </si>
  <si>
    <t>Vitória - ES</t>
  </si>
  <si>
    <t>Itapemirim - ES</t>
  </si>
  <si>
    <t>Cach. Itapemirim - ES</t>
  </si>
  <si>
    <t>Este serviço não tem BDI</t>
  </si>
  <si>
    <t>Item</t>
  </si>
  <si>
    <t>Percurso - Origem/Destino</t>
  </si>
  <si>
    <t>Distância até o ponto médio da Obra</t>
  </si>
  <si>
    <t>Pavimentação</t>
  </si>
  <si>
    <t>REDUC Duque de Caxias (RJ) - Canteiro</t>
  </si>
  <si>
    <t>Pedreira (P1) - Canteiro</t>
  </si>
  <si>
    <t>Areal (A1) - Canteiro</t>
  </si>
  <si>
    <t>Sub-Base Solo Estabilizado</t>
  </si>
  <si>
    <t>Saibro</t>
  </si>
  <si>
    <t>Jazida de Solo (J4) - Pista</t>
  </si>
  <si>
    <t>Pedreira P1 - Pista</t>
  </si>
  <si>
    <t>Solo</t>
  </si>
  <si>
    <t>Canteiro - Pista</t>
  </si>
  <si>
    <t>Drenagem Obra de Artes Correntes e Especiais</t>
  </si>
  <si>
    <t>Pintura de Ligação</t>
  </si>
  <si>
    <t>RR - 2C</t>
  </si>
  <si>
    <t xml:space="preserve">  Concreto Estrutural    Concreto Ciclópico    Canaleta de Concreto    Boca de Bueiro    Caixa de Passagem    Saída D'água          Muro de Arrimo    Testa para Dreno    etc.</t>
  </si>
  <si>
    <t>Pedreira (P1) - Pista</t>
  </si>
  <si>
    <t>Areal (A1) - Pista</t>
  </si>
  <si>
    <t>Fornecedor (Cachoeiro) - Pista</t>
  </si>
  <si>
    <t>Pedra de Mão</t>
  </si>
  <si>
    <t>Aço</t>
  </si>
  <si>
    <t>Formas/Madeira/Madeiriti</t>
  </si>
  <si>
    <t>Drenagem                                                                                             Obra de Artes Correntes e Especiais</t>
  </si>
  <si>
    <t>Dreno Profundo</t>
  </si>
  <si>
    <t>Geotêxteis</t>
  </si>
  <si>
    <t>Fornecedor (Vitória) - Pista</t>
  </si>
  <si>
    <t>Colchão Drenante</t>
  </si>
  <si>
    <t>Transp.  de Segmento de Sarjeta Bueiros Tubulares de Concreto</t>
  </si>
  <si>
    <t>Poço de Visita</t>
  </si>
  <si>
    <t>Tampão  F.F.A.P</t>
  </si>
  <si>
    <t>Obras Complementares                                                                                 Meio Ambiente</t>
  </si>
  <si>
    <t>Cerca de Arame Farpado</t>
  </si>
  <si>
    <t>Mourões de   Madeira</t>
  </si>
  <si>
    <t>Esticadores de Madeira</t>
  </si>
  <si>
    <t>Arame Farpado</t>
  </si>
  <si>
    <t>Sinalização Horizontal</t>
  </si>
  <si>
    <t>Tintas</t>
  </si>
  <si>
    <t>Sinalização Vertical</t>
  </si>
  <si>
    <t>Pórtico/Semi-Pórticos</t>
  </si>
  <si>
    <t>Revestimento Vegetal</t>
  </si>
  <si>
    <t>Grama</t>
  </si>
  <si>
    <t>Barreira de Segurança</t>
  </si>
  <si>
    <t>Formas de Madeirit</t>
  </si>
  <si>
    <t>Defensa Metálica</t>
  </si>
  <si>
    <t xml:space="preserve"> Lâmina Maleável</t>
  </si>
  <si>
    <t>Calçada de Concreto fck: 25MPa</t>
  </si>
  <si>
    <t>VALORES SEM BDI</t>
  </si>
  <si>
    <t>Aluguel mensal de laboratório de solos</t>
  </si>
  <si>
    <t>CAP 50/70</t>
  </si>
  <si>
    <t>SC</t>
  </si>
  <si>
    <t>Equipe de Topografia</t>
  </si>
  <si>
    <t>Equipe de Laboratório</t>
  </si>
  <si>
    <t>(C) Total:</t>
  </si>
  <si>
    <t>Transporte de Brita Gadruada</t>
  </si>
  <si>
    <t>Transporte de Filler</t>
  </si>
  <si>
    <t>Transporte de pó de pedra (Incl. 0% IUM) s/ frete</t>
  </si>
  <si>
    <t>Transporte de areia suja jazida c/ carregamento mecânico</t>
  </si>
  <si>
    <t>Transporte de areia grossa jazida c/ carregamento mecânico</t>
  </si>
  <si>
    <t>Transporte de bloco p/ pavimentação - esp= 8 cm</t>
  </si>
  <si>
    <t>Transporte de Grama</t>
  </si>
  <si>
    <t>Transporte de Muda de árvore</t>
  </si>
  <si>
    <t>Transporte de Caibros 8 X 8 cm</t>
  </si>
  <si>
    <t>Transporte de Pedra de mao (incl. 0% IUM) s/ frete</t>
  </si>
  <si>
    <t>Transporte de Caibros 8 X 8 cm (pontalete)</t>
  </si>
  <si>
    <t>Transporte de Sarrafo 10 X 2,5 cm</t>
  </si>
  <si>
    <t>Transporte de Tábuas de 2,5 cm</t>
  </si>
  <si>
    <t>Transp. de Tubo de concreto armado D=1,00m CA-1 PB</t>
  </si>
  <si>
    <t>Transp. de Tubo de concreto s/ armaçao D=0,20m PB</t>
  </si>
  <si>
    <t>Transp. de Brita 0 (incl. 0% IUM) s/ frete</t>
  </si>
  <si>
    <t>Transp. de Brita 1 (incl. 0% IUM) s/ frete</t>
  </si>
  <si>
    <t>Transp. de Arame farpado fio 16 rolo 500 m</t>
  </si>
  <si>
    <t>Transp. de Mourao quadrado (tipo DNER) 10 X 10 cm X 2,20 m</t>
  </si>
  <si>
    <t>Transp. de Mourao triangular (tipo DNER) 10 cm X 2,00 m</t>
  </si>
  <si>
    <t>Transp. de Tinta borracha clorada (preço médio)</t>
  </si>
  <si>
    <t>Transp. de Geotêxtil</t>
  </si>
  <si>
    <t>Transp. de Madeira roliça</t>
  </si>
  <si>
    <t>Transp. de Arame ovalado liso (cerca) 45 kg - 1000 m</t>
  </si>
  <si>
    <t>Transp. de Mourao p/ cerca (2,20m - D=0,10m) m. branca</t>
  </si>
  <si>
    <t>Transp. de Mourao p/ cerca (2,50m - D=0,20m) m. bran (estic.)</t>
  </si>
  <si>
    <t>Transp. de Madeirit (ou similar) 2.20 X 1.10 - 17mm</t>
  </si>
  <si>
    <t>Transp. de Madeira roliça (aprox. 8,00m - D=0,15m)</t>
  </si>
  <si>
    <t>Transp. de Tubo de concreto armado D=0,30m CA-1 MF</t>
  </si>
  <si>
    <t>Transp. de Tubo de concreto armado D=0,60m CA-1 PB</t>
  </si>
  <si>
    <t>Transp. de Tubo de concreto armado D=1,20m CA-2 PB</t>
  </si>
  <si>
    <t>Transp. de Tampao F.F. articulado pesado - poço visita</t>
  </si>
  <si>
    <t>Transp. de Ladrilho hidraúlico 2 cores p/ calçada</t>
  </si>
  <si>
    <t>Transp. de Defensa (lâmina 4 m) - semi maleável</t>
  </si>
  <si>
    <t>Transp. de Pranchoes 30 X 5 cm (p/ ensecadeira)</t>
  </si>
  <si>
    <t>Transp. de Ripao de 2.5 X 7.0 cm</t>
  </si>
  <si>
    <t>Transp. De Escoria de Aciaria</t>
  </si>
  <si>
    <t>BDI (%)</t>
  </si>
  <si>
    <t>A incluir</t>
  </si>
  <si>
    <t>BDI:</t>
  </si>
  <si>
    <t>Transporte de pedra portuguesa (só a pedra)</t>
  </si>
  <si>
    <t>LG-009</t>
  </si>
  <si>
    <t xml:space="preserve"> INSTALAÇÃO DE CANTEIRO. MOBILIZAÇÃO E DESMOBILIZAÇÃO</t>
  </si>
  <si>
    <t>Transp. De Tubo de concreto armado D=0,60m CA-2PB</t>
  </si>
  <si>
    <t>Transp. De Tubo de concreto armado D=0,80m CA-2PB</t>
  </si>
  <si>
    <t>Transp. De Tubo de concreto armado D=1,00m CA-2PB</t>
  </si>
  <si>
    <t>Transp. De Tubo de concreto armado D=0,40m CA-1 MF</t>
  </si>
  <si>
    <t>LG-010</t>
  </si>
  <si>
    <t>10.1.1</t>
  </si>
  <si>
    <t>10.2.1</t>
  </si>
  <si>
    <t>10.2.2</t>
  </si>
  <si>
    <t>Posição</t>
  </si>
  <si>
    <t>5.1</t>
  </si>
  <si>
    <t>5.2</t>
  </si>
  <si>
    <t>Transp. De Brita 2 (incl. 0% IUM) s/ frete</t>
  </si>
  <si>
    <t>Canteiro Central</t>
  </si>
  <si>
    <t>Massa Asfáltica</t>
  </si>
  <si>
    <t>Tapume Telha Metálica Ondulada 0,50mm Branca h=2,20m, incl. montagem estr. mad. 8"x8", incl. faixas pint. esmalte sintético c/ h=40cm (Reaproveitamento 2x)</t>
  </si>
  <si>
    <t>Transporte de Material Asfáltico (DNIT), inclusive BDI diferenciado</t>
  </si>
  <si>
    <t>Somente Ocorrência Corte</t>
  </si>
  <si>
    <t>A-2b</t>
  </si>
  <si>
    <t>R-19.60</t>
  </si>
  <si>
    <t>E-1</t>
  </si>
  <si>
    <t>ADMINISTRAÇÃO LOCAL E SERVIÇOS AUXILIARES</t>
  </si>
  <si>
    <t>Aluguel mensal de automóvel utilitário, inclusive combustível</t>
  </si>
  <si>
    <t>Estação Total Leica/Wild</t>
  </si>
  <si>
    <t>Nivel</t>
  </si>
  <si>
    <t>Administração Local</t>
  </si>
  <si>
    <t>Controle Tecnológico dos Serviços</t>
  </si>
  <si>
    <t>L</t>
  </si>
  <si>
    <t>m2</t>
  </si>
  <si>
    <t>Eq. Sal.</t>
  </si>
  <si>
    <t>Castelo d'água</t>
  </si>
  <si>
    <t>Quantidade Equip.</t>
  </si>
  <si>
    <t>Quantidade - Carreta Prancha</t>
  </si>
  <si>
    <t>Distância (km)</t>
  </si>
  <si>
    <t>Velocidade (km/h)</t>
  </si>
  <si>
    <t>Caminhão tanque</t>
  </si>
  <si>
    <t>Trator de esteiras</t>
  </si>
  <si>
    <t>Carregadeira</t>
  </si>
  <si>
    <t>Caminhão Basculante</t>
  </si>
  <si>
    <t>Motoniveladora</t>
  </si>
  <si>
    <t>Trator de Pneus</t>
  </si>
  <si>
    <t>Comboio de Lubrificação</t>
  </si>
  <si>
    <t>Compressor</t>
  </si>
  <si>
    <t>Rompedores</t>
  </si>
  <si>
    <t>Tanque de Estocagem</t>
  </si>
  <si>
    <t>Caminhão Espargidor</t>
  </si>
  <si>
    <t>Caminhão Pipa</t>
  </si>
  <si>
    <t>Compactador Placa</t>
  </si>
  <si>
    <t>Caminhão 1</t>
  </si>
  <si>
    <t>Betoneira</t>
  </si>
  <si>
    <t>Compactador Sapo</t>
  </si>
  <si>
    <t>Caminhão 2</t>
  </si>
  <si>
    <t>Caminhão 3</t>
  </si>
  <si>
    <t>Quantidade - Caminhão Carroceria</t>
  </si>
  <si>
    <t>Retroescavadeira</t>
  </si>
  <si>
    <t>Escavadeira Hidráulica</t>
  </si>
  <si>
    <t>Caminhão Munck</t>
  </si>
  <si>
    <t>Um caminhão é capaz de transportar dois rolos compactadores.</t>
  </si>
  <si>
    <t>Um caminhão é capaz de transportar dois rolos pneumáticos.</t>
  </si>
  <si>
    <t>BG-01</t>
  </si>
  <si>
    <t>BG-02</t>
  </si>
  <si>
    <t>Sub-base</t>
  </si>
  <si>
    <t>Linha Dupla Contínua (LFO-3)</t>
  </si>
  <si>
    <t>Eixo</t>
  </si>
  <si>
    <t>R-7</t>
  </si>
  <si>
    <t>A-5b</t>
  </si>
  <si>
    <t>Barreira de siltagem</t>
  </si>
  <si>
    <t>Taludes de Corte - Ramo principal</t>
  </si>
  <si>
    <t>Taludes de Aterro - Ramo principal</t>
  </si>
  <si>
    <t>Caminhão carroceria</t>
  </si>
  <si>
    <t>Grade de Discos</t>
  </si>
  <si>
    <t>Equip. Pintura de Faixas</t>
  </si>
  <si>
    <t>Aparelhagem de Topografia</t>
  </si>
  <si>
    <t>Aparelhagem de Laboratório de Solos</t>
  </si>
  <si>
    <t>Rolo Compactação</t>
  </si>
  <si>
    <t>Rolo Pneumático</t>
  </si>
  <si>
    <t>CM-30</t>
  </si>
  <si>
    <t>CAP50/70</t>
  </si>
  <si>
    <t>Dope (Tambor de 100kg)</t>
  </si>
  <si>
    <t>A-5a</t>
  </si>
  <si>
    <t>A-2a</t>
  </si>
  <si>
    <t>A-1a</t>
  </si>
  <si>
    <t>A-1b</t>
  </si>
  <si>
    <t>A-3b</t>
  </si>
  <si>
    <t>A-3a</t>
  </si>
  <si>
    <t>M-50</t>
  </si>
  <si>
    <t>E-2</t>
  </si>
  <si>
    <t>A-20b</t>
  </si>
  <si>
    <t>A-20a</t>
  </si>
  <si>
    <t>Linha de Bordo - a cada 10m</t>
  </si>
  <si>
    <t>Linha Simples Seccionada (LFO-2) - cadência 3:6</t>
  </si>
  <si>
    <t>Tacha amarela a cada 10m</t>
  </si>
  <si>
    <t>Linha Contínua/Seccionada (LFO-4) - LE</t>
  </si>
  <si>
    <t>Transporte de Material de 1ª Categoria - DMT 600.0m</t>
  </si>
  <si>
    <t>Transporte de Material de 1ª Categoria - DMT 800.0m</t>
  </si>
  <si>
    <t>Transporte de Material de 1ª Categoria - DMT 1000.0m</t>
  </si>
  <si>
    <t>Transporte de Material de 1ª Categoria - DMT 1200.0m</t>
  </si>
  <si>
    <t>1.1.10</t>
  </si>
  <si>
    <t>1.1.11</t>
  </si>
  <si>
    <t>1.1.12</t>
  </si>
  <si>
    <t>Transporte de Material de 1ª Categoria - DMT 1400.0m</t>
  </si>
  <si>
    <t>Transporte de Material de 1ª Categoria - DMT 1800.0m</t>
  </si>
  <si>
    <t>Pos. Montante</t>
  </si>
  <si>
    <t>BG-03</t>
  </si>
  <si>
    <t>BG-04</t>
  </si>
  <si>
    <t>BG-05</t>
  </si>
  <si>
    <t>BG-06</t>
  </si>
  <si>
    <t>BG-07</t>
  </si>
  <si>
    <t>BG-08</t>
  </si>
  <si>
    <t>BG-09</t>
  </si>
  <si>
    <t>BG-10</t>
  </si>
  <si>
    <t>BG-11</t>
  </si>
  <si>
    <t>BG-12</t>
  </si>
  <si>
    <t>BG-13</t>
  </si>
  <si>
    <t>BG-14</t>
  </si>
  <si>
    <t>BG-15</t>
  </si>
  <si>
    <t>BG-16</t>
  </si>
  <si>
    <t>BG-17</t>
  </si>
  <si>
    <t>BG-18</t>
  </si>
  <si>
    <t>BG-19</t>
  </si>
  <si>
    <t>BG-20</t>
  </si>
  <si>
    <t>BG-21</t>
  </si>
  <si>
    <t>BG-22</t>
  </si>
  <si>
    <t>BG-23</t>
  </si>
  <si>
    <t>BG-24</t>
  </si>
  <si>
    <t>BG-25</t>
  </si>
  <si>
    <t>BG-26</t>
  </si>
  <si>
    <t>BG-27</t>
  </si>
  <si>
    <t>BG-28</t>
  </si>
  <si>
    <t>BG-29</t>
  </si>
  <si>
    <t>BG-30</t>
  </si>
  <si>
    <t>BG-31</t>
  </si>
  <si>
    <t>BG-32</t>
  </si>
  <si>
    <t>Prof. Média (m)</t>
  </si>
  <si>
    <t>TR</t>
  </si>
  <si>
    <t>OAC-01</t>
  </si>
  <si>
    <t>OAC-02</t>
  </si>
  <si>
    <t>OAC-03</t>
  </si>
  <si>
    <t>OAC-04</t>
  </si>
  <si>
    <t>OAC-05</t>
  </si>
  <si>
    <t>OAC-06</t>
  </si>
  <si>
    <t>OAC-07</t>
  </si>
  <si>
    <t>Consumo (m³/m)</t>
  </si>
  <si>
    <t>2.26</t>
  </si>
  <si>
    <t>2.27</t>
  </si>
  <si>
    <t>2.28</t>
  </si>
  <si>
    <t>2.29</t>
  </si>
  <si>
    <t>2.30</t>
  </si>
  <si>
    <t>Vol. (m³)</t>
  </si>
  <si>
    <t>Total (t)</t>
  </si>
  <si>
    <t>γ (t/m³)</t>
  </si>
  <si>
    <t>Vol x XP</t>
  </si>
  <si>
    <t>Vol x XR</t>
  </si>
  <si>
    <t>Empréstimo E1</t>
  </si>
  <si>
    <t>Empréstimo E2</t>
  </si>
  <si>
    <t>Empréstimo E4</t>
  </si>
  <si>
    <t>Empréstimo E3</t>
  </si>
  <si>
    <t>1.1.13</t>
  </si>
  <si>
    <t>1.1.14</t>
  </si>
  <si>
    <t>1.1.15</t>
  </si>
  <si>
    <t>1.1.16</t>
  </si>
  <si>
    <t>OBRAS DE ARTE ESPECIAIS</t>
  </si>
  <si>
    <t>Serviços Preliminares</t>
  </si>
  <si>
    <t>Infraestrutura e fundações</t>
  </si>
  <si>
    <t>Superestrutura</t>
  </si>
  <si>
    <t>Ponte Campo Novo</t>
  </si>
  <si>
    <t>Offset de 5 metros em torno da OAE</t>
  </si>
  <si>
    <t>Extensão(m)</t>
  </si>
  <si>
    <t>Escavação sob a projeção da OAE</t>
  </si>
  <si>
    <t>Taxa</t>
  </si>
  <si>
    <t>LG-006</t>
  </si>
  <si>
    <t>LG-007</t>
  </si>
  <si>
    <t>LG-008</t>
  </si>
  <si>
    <t>Blocos de fundação</t>
  </si>
  <si>
    <t>Cortinas</t>
  </si>
  <si>
    <t>Alas</t>
  </si>
  <si>
    <t>Apoios para neoprene</t>
  </si>
  <si>
    <t>geometria complexa - CAD</t>
  </si>
  <si>
    <t>Fretagens</t>
  </si>
  <si>
    <t>Blocos e cortinas de fundação. Conf. Projeto</t>
  </si>
  <si>
    <t>Lajes de transição</t>
  </si>
  <si>
    <t>Concreto 35 Mpa para encontros, blocos e cortinas. Conf. Projeto</t>
  </si>
  <si>
    <t>Concreto regularização sob encontros</t>
  </si>
  <si>
    <t>Ensecadeira com margem de trabalho de 1 metro</t>
  </si>
  <si>
    <t>Concreto para tabuleiro</t>
  </si>
  <si>
    <t>Concreto para lajes de transição</t>
  </si>
  <si>
    <t>Concreto das prelajes</t>
  </si>
  <si>
    <t xml:space="preserve">Barreira </t>
  </si>
  <si>
    <t>Concreto para passeio</t>
  </si>
  <si>
    <t>Aço para tabuleiro + prelajes + barreiras</t>
  </si>
  <si>
    <t xml:space="preserve">200 x 300 x 52 mm </t>
  </si>
  <si>
    <t>Comprimento de guarda corpo em cada lateral = 16 m</t>
  </si>
  <si>
    <t>Formas para tabuleiro</t>
  </si>
  <si>
    <t>Barreira</t>
  </si>
  <si>
    <t>Formas para pré-lajes</t>
  </si>
  <si>
    <t>Estaca metálica, fornecimento, transporte, perdas, solda, emenda, corte e cravação de perfil metálico H 200 x 35,9 laminado</t>
  </si>
  <si>
    <t>Sistema termo-elástico para movimentação de juntas rodoviárias tipo Nafutekt</t>
  </si>
  <si>
    <t>Perfil de borracha esponjosa resistente a altas temperaturas</t>
  </si>
  <si>
    <t>Emulsão Voranstrich</t>
  </si>
  <si>
    <t>Malha poliester Gittergewebe</t>
  </si>
  <si>
    <t>Manta asfáltica revestida com aço inox Bitinox strip</t>
  </si>
  <si>
    <t>Betume modificado Nafutekt plus</t>
  </si>
  <si>
    <t>Tubo condutor de instalações sob passeio</t>
  </si>
  <si>
    <t>Estrutura metálica em perfis laminados ASTM A36 (fornecimento, tratamento anti-corrosivo e montagem)</t>
  </si>
  <si>
    <t>Estrutura metálica em perfis laminados tipo Histar (fornecimento, tratamento anti-corrosivo e montagem)</t>
  </si>
  <si>
    <t>Estrutura metálica em perfis soldados em chapa USI SAC 50 (fornecimento, tratamento anti-corrosivo e montagem)</t>
  </si>
  <si>
    <t>Ponte São Salvador</t>
  </si>
  <si>
    <t>Blocos, alas e cortinas de fundação. Conf. Projeto</t>
  </si>
  <si>
    <t>Concreto 35 Mpa para encontros, blocos, ALAS e cortinas. Conf. Projeto</t>
  </si>
  <si>
    <t>Tubo PEAD para instalações</t>
  </si>
  <si>
    <t>4.8</t>
  </si>
  <si>
    <t>Empolam.</t>
  </si>
  <si>
    <t>6.1.5</t>
  </si>
  <si>
    <t>Ponto de ônibus</t>
  </si>
  <si>
    <r>
      <t>Área (m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)</t>
    </r>
  </si>
  <si>
    <t>Interseção - Canteiro Esquerdo</t>
  </si>
  <si>
    <t>Interseção - Canteiro Direito</t>
  </si>
  <si>
    <t>Interseção - Gota</t>
  </si>
  <si>
    <t>2.31</t>
  </si>
  <si>
    <t>Interseção</t>
  </si>
  <si>
    <t>Base</t>
  </si>
  <si>
    <t>3.8</t>
  </si>
  <si>
    <t>Transporte de Material  até o bota-fora - 7600.00m</t>
  </si>
  <si>
    <t>I-1</t>
  </si>
  <si>
    <t>I-12</t>
  </si>
  <si>
    <t>I-2</t>
  </si>
  <si>
    <t>R-24b</t>
  </si>
  <si>
    <t>R-1</t>
  </si>
  <si>
    <t>I-3</t>
  </si>
  <si>
    <t>I-4</t>
  </si>
  <si>
    <t>I-5</t>
  </si>
  <si>
    <t>Interseção -  a cada 5m</t>
  </si>
  <si>
    <t>Interseção -  a cada 10m</t>
  </si>
  <si>
    <t>ZPA</t>
  </si>
  <si>
    <t>Tacha branca</t>
  </si>
  <si>
    <t>6.1.6</t>
  </si>
  <si>
    <t>Interseção -  a cada 2m</t>
  </si>
  <si>
    <t>Linha de Bordo (LE)</t>
  </si>
  <si>
    <t>Linha de Bordo (LD)</t>
  </si>
  <si>
    <t>Linha Simples Seccionada (LFO-2) - cadência 1:1</t>
  </si>
  <si>
    <t>Marca delimitadora de parada de veículos específicos - LD</t>
  </si>
  <si>
    <t>Linha de Continuidade - cadência 1:1 - LD</t>
  </si>
  <si>
    <t>Marca delimitadora de parada de veículos específicos - LE</t>
  </si>
  <si>
    <t>Linha de Continuidade - cadência 1:1 - LE</t>
  </si>
  <si>
    <t>Linha Simples Contínua (LMS-1) - Interseção</t>
  </si>
  <si>
    <t>Linha Simples Contínua (LFO-1) - Acesso Interseção</t>
  </si>
  <si>
    <t>Linha de Retenção - 0,60m de largura - Interseção - LD</t>
  </si>
  <si>
    <t>Cadência</t>
  </si>
  <si>
    <t>3:6</t>
  </si>
  <si>
    <t>Linha Simples Seccionada (LMS-2) - Interseção - LE - cadência 3:6</t>
  </si>
  <si>
    <t>Linha Simples Seccionada (LMS-2) - Interseção - LD  - cadência 3:6</t>
  </si>
  <si>
    <t>Linha Simples Seccionada (LMS-2) - Interseção - LE  - cadência 3:6</t>
  </si>
  <si>
    <t>1:1</t>
  </si>
  <si>
    <t>Siga em frente ou vire à esquerda</t>
  </si>
  <si>
    <t>Mudança obrigatória de faixa</t>
  </si>
  <si>
    <t>Siga em frente ou vire à direita</t>
  </si>
  <si>
    <t>Interseção - LD</t>
  </si>
  <si>
    <t>Interseção - LE</t>
  </si>
  <si>
    <t>Legenda - Pare</t>
  </si>
  <si>
    <t>Zona de pavimento não-utilizável - amarelo</t>
  </si>
  <si>
    <t>Espaçamento 1,20m - Interseção</t>
  </si>
  <si>
    <t>Zona de pavimento não-utilizável - branco</t>
  </si>
  <si>
    <t>Espaçamento 1,20m - Interseção - LD</t>
  </si>
  <si>
    <t>6.1.7</t>
  </si>
  <si>
    <t>Empréstimo 03</t>
  </si>
  <si>
    <t>7.4</t>
  </si>
  <si>
    <t>Interseção - canteiro direito</t>
  </si>
  <si>
    <t>Interseção - gota</t>
  </si>
  <si>
    <t>Interseção - canteiro esquerdo</t>
  </si>
  <si>
    <t>9.1.4</t>
  </si>
  <si>
    <t>9.1.5</t>
  </si>
  <si>
    <t>9.1.6</t>
  </si>
  <si>
    <t>9.1.7</t>
  </si>
  <si>
    <t>9.1.8</t>
  </si>
  <si>
    <t>9.1.9</t>
  </si>
  <si>
    <t>Caminho de Serviço - Ponte Campo Novo</t>
  </si>
  <si>
    <t>Ramo 1300 - Ponte Campo Novo</t>
  </si>
  <si>
    <t>9.1.10</t>
  </si>
  <si>
    <t>Caminho de Serviço - Ponte Campo Novo - DMT 200.00m</t>
  </si>
  <si>
    <t>Empréstimo - Caminho de Serviço - DMT 3000.00m</t>
  </si>
  <si>
    <t>9.1.11</t>
  </si>
  <si>
    <t>Dist entre estacas</t>
  </si>
  <si>
    <t>Dist média</t>
  </si>
  <si>
    <t>Dist média + estaca (m) inicial</t>
  </si>
  <si>
    <t>Estaca média</t>
  </si>
  <si>
    <t>Resto da estaca</t>
  </si>
  <si>
    <t>Pedreira até Pista (km)</t>
  </si>
  <si>
    <t>Base de Brita Graduada</t>
  </si>
  <si>
    <t>Vigas (m3)</t>
  </si>
  <si>
    <t>Tabuleiro (m3)</t>
  </si>
  <si>
    <t>Encontros (m3)</t>
  </si>
  <si>
    <t>9.1.12</t>
  </si>
  <si>
    <t>9.1.13</t>
  </si>
  <si>
    <t>Ramo 1000 - Ponte Campo Novo</t>
  </si>
  <si>
    <t>2.32</t>
  </si>
  <si>
    <t>2.33</t>
  </si>
  <si>
    <t>LG-011</t>
  </si>
  <si>
    <t>Envelopamento de BDTC diâmetro 1,00 m</t>
  </si>
  <si>
    <t>LG-012</t>
  </si>
  <si>
    <t>Envelopamento de BDTC diâmetro 1,20 m</t>
  </si>
  <si>
    <t>Transporte de Material - DMT 200.0m</t>
  </si>
  <si>
    <t>Material de 1ª Categoria</t>
  </si>
  <si>
    <t>Empréstimo</t>
  </si>
  <si>
    <t>Transporte de Material - DMT 400.0m</t>
  </si>
  <si>
    <t>Transporte de Material - DMT 1600.0m</t>
  </si>
  <si>
    <t>Transporte de Material - DMT 3000.0m</t>
  </si>
  <si>
    <t>Empréstimo - Transporte de Material - DMT 2500.0m</t>
  </si>
  <si>
    <t>Empréstimo - Transporte de Material - DMT 5000.0m</t>
  </si>
  <si>
    <t>OAC - 04</t>
  </si>
  <si>
    <t>OAC - 07</t>
  </si>
  <si>
    <t>Altura do aterro sobre a galeria</t>
  </si>
  <si>
    <t>2.34</t>
  </si>
  <si>
    <t>2.35</t>
  </si>
  <si>
    <t>2.36</t>
  </si>
  <si>
    <t>Aparelhagem de Laboratório de Concreto</t>
  </si>
  <si>
    <t>Tabela Referencial de Preços - DER-ES - sem desoneração</t>
  </si>
  <si>
    <t>5.3</t>
  </si>
  <si>
    <t>Quantidade (un)</t>
  </si>
  <si>
    <t>1.1.17</t>
  </si>
  <si>
    <t>1.1.18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</si>
  <si>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</si>
  <si>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</si>
  <si>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</si>
  <si>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</si>
  <si>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</si>
  <si>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</si>
  <si>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</si>
  <si>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</si>
  <si>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</si>
  <si>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3.9</t>
  </si>
  <si>
    <t>3.10</t>
  </si>
  <si>
    <t>3.11</t>
  </si>
  <si>
    <t>3.12</t>
  </si>
  <si>
    <t>3.13</t>
  </si>
  <si>
    <t>3.14</t>
  </si>
  <si>
    <t>4.9</t>
  </si>
  <si>
    <t>4.10</t>
  </si>
  <si>
    <t>5.4</t>
  </si>
  <si>
    <t>Trecho 06 - ES-162 - São Salvador - Divisa com Itapemirim (Nova Canaã) / Trecho 07 - Dois Corações - Comissão</t>
  </si>
  <si>
    <t>Trecho 6</t>
  </si>
  <si>
    <t>Trecho 7</t>
  </si>
  <si>
    <t>D/E</t>
  </si>
  <si>
    <t>Jazida J-4</t>
  </si>
  <si>
    <t>E</t>
  </si>
  <si>
    <t>Transporte de Material de 1ª Categoria - DMT 2000,0m</t>
  </si>
  <si>
    <t>OAC - 02 - BSTC Ø 1,00m</t>
  </si>
  <si>
    <t/>
  </si>
  <si>
    <t>OAC - 01 - BDCC 3,00 X 3,00m</t>
  </si>
  <si>
    <t>O consumo corresp. ao corpo e o berço.</t>
  </si>
  <si>
    <t>O consumo corresp. ao tubo e o berço.</t>
  </si>
  <si>
    <t>Ver item</t>
  </si>
  <si>
    <t>D</t>
  </si>
  <si>
    <t>E/D</t>
  </si>
  <si>
    <t>LG-013</t>
  </si>
  <si>
    <t>conc.</t>
  </si>
  <si>
    <t>form.</t>
  </si>
  <si>
    <t>aço</t>
  </si>
  <si>
    <t>Pontos de ônibus</t>
  </si>
  <si>
    <t>Área 97,00m²</t>
  </si>
  <si>
    <r>
      <t>Volume (m</t>
    </r>
    <r>
      <rPr>
        <vertAlign val="superscript"/>
        <sz val="10"/>
        <rFont val="Times New Roman"/>
        <family val="1"/>
      </rPr>
      <t>3)</t>
    </r>
  </si>
  <si>
    <t>F.E.</t>
  </si>
  <si>
    <t>Total (m³)</t>
  </si>
  <si>
    <t>Material p/sub-base</t>
  </si>
  <si>
    <t>Vol. (m³) Base</t>
  </si>
  <si>
    <t>Vol. (m³) Solo</t>
  </si>
  <si>
    <t>γ (t/m³) Mistura</t>
  </si>
  <si>
    <t>γ (t/m³) Solo</t>
  </si>
  <si>
    <t>Material p/base</t>
  </si>
  <si>
    <t>TSBD</t>
  </si>
  <si>
    <t>RR-2C</t>
  </si>
  <si>
    <t>LFO-2 - Cadência 3:3</t>
  </si>
  <si>
    <t>EX</t>
  </si>
  <si>
    <t>LBO</t>
  </si>
  <si>
    <t>LFO-1</t>
  </si>
  <si>
    <t>LCO</t>
  </si>
  <si>
    <t>MARCA DELIMITADORA DE PARADA DE VEÍCULOS</t>
  </si>
  <si>
    <t>LFO-4 - Cadência 3:3</t>
  </si>
  <si>
    <t>LFO-3</t>
  </si>
  <si>
    <t>Cor amarela, refletivo branca a cada 6m</t>
  </si>
  <si>
    <t>Cor branca, refletivo branca a cada 20m</t>
  </si>
  <si>
    <t>Cor amarela, refletivo branca a cada 10m</t>
  </si>
  <si>
    <t>M-1</t>
  </si>
  <si>
    <t>M-2</t>
  </si>
  <si>
    <t>Taludes de Corte</t>
  </si>
  <si>
    <t>Taludes de Aterro</t>
  </si>
  <si>
    <t>Caminhão Multidistribuidor - TSBD</t>
  </si>
  <si>
    <t xml:space="preserve">Lavagem de Brita para tratamento </t>
  </si>
  <si>
    <t>Descida d'agua para Cortes - DCD 02</t>
  </si>
  <si>
    <t>Sarjeta de canteiro central de concreto - SCC 04</t>
  </si>
  <si>
    <t>Compactação manual</t>
  </si>
  <si>
    <t>Base mistura em peso 60% de brita graduada / 40% solo</t>
  </si>
  <si>
    <t xml:space="preserve"> Transp. de brita graduada</t>
  </si>
  <si>
    <t>CBUQ (massa asfáltica) exclusive fornecimento e transporte comercial do CAP, (Usinagem)</t>
  </si>
  <si>
    <t>CBUQ (massa asfáltica) inclusive fornecimento e transporte comercial do CAP (Usinagem)</t>
  </si>
  <si>
    <t>Emulsão Asfáltica para Imprimação (EAI), fornecimento</t>
  </si>
  <si>
    <t>Escarificação de base H = 0,10m e capa asfáltica</t>
  </si>
  <si>
    <t>Escarificação e compactação de base (100% P.I.) H=0,20m</t>
  </si>
  <si>
    <t>Fresagem de pavimento asfáltico a frio, esp=5cm, exclusive transporte de materiais</t>
  </si>
  <si>
    <t>Fresagem de pavimento asfáltico a frio, esp.=5cm inclusive transporte do material</t>
  </si>
  <si>
    <t>Meio fio (remoção e reassentamento),  inclusive caiação</t>
  </si>
  <si>
    <t>Pó de pedra inclusive fornecimento, espalhamento e transporte</t>
  </si>
  <si>
    <t>Regularização e compactação do sub-leito (100% P.I.) H = 0,20 m</t>
  </si>
  <si>
    <t>Berço em brita para BSTC diâm. = 1,00 m</t>
  </si>
  <si>
    <t>Berço em brita para BSTC diâm.=1,20 m</t>
  </si>
  <si>
    <t>Berço em concreto ciclópico para BSTC diâm. = 0,30m</t>
  </si>
  <si>
    <t>Caixa coletora concreto armado H= 2,00 m, inclusive escavação</t>
  </si>
  <si>
    <t>Caixa coletora concreto armado H= 2,50 m, inclusive escavação</t>
  </si>
  <si>
    <t>Caixa coletora em bloco pré-moldado para d=0,60m (1,00 x 1,00m)</t>
  </si>
  <si>
    <t>Caixa de concreto para BSTC diâmetro 0,40 m H=1,60 m</t>
  </si>
  <si>
    <t>Caixa de concreto para BSTC diâmetro 0,60 m H=2,00 m</t>
  </si>
  <si>
    <t>Caixa de concreto para BSTC diâmetro 0,80 m H=2,50 m</t>
  </si>
  <si>
    <t>Caixa de concreto para BSTC diâmetro 1,00 m H=3,00 m</t>
  </si>
  <si>
    <t>Caixa de passagem para tubos de D=0,40 m H=1,10 m</t>
  </si>
  <si>
    <t>Caixa de passagem para tubos de D=0,60 m H=1,30 m</t>
  </si>
  <si>
    <t>Caixa de passagem para tubos de D=0,80 m H=1,50 m</t>
  </si>
  <si>
    <t>Caixa de passagem para tubos de D=1,00 m H=1,80 m</t>
  </si>
  <si>
    <t>Cerca de tela de arame galvanizado h = 1,20 m</t>
  </si>
  <si>
    <t>Concreto estrutural fck = 20,0 MPa com plastificante, tudo incluído</t>
  </si>
  <si>
    <t>Concreto estrutural fck = 20,0 MPa, tudo incluído</t>
  </si>
  <si>
    <t>Concreto estrutural fck = 25,0 MPa com plastificante, tudo incluído</t>
  </si>
  <si>
    <t>Concreto estrutural fck = 30,0 MPa com micro-silica e Sikacrete BR ou equivalente</t>
  </si>
  <si>
    <t>Concreto estrutural fck = 30,0 MPa com plastificante</t>
  </si>
  <si>
    <t>Concreto estrutural fck = 30,0 MPa, tudo incluído</t>
  </si>
  <si>
    <t>Concreto estrutural fck = 35,0 MPa com micro-silica e Sikacrete BR ou equivalente</t>
  </si>
  <si>
    <t>Concreto submerso fck = 20,0 MPa, tudo incluído</t>
  </si>
  <si>
    <t>Corpo de BDCC 1,50 x 1,50 m projeto DNIT para H &lt; = 2,50 m</t>
  </si>
  <si>
    <t>Corpo de BDCC 2,00 x 2,00 m projeto DNIT para H &lt; = 2,50 m</t>
  </si>
  <si>
    <t>Corpo de BDCC 2,00 x 3,00 m projeto DNIT para H &lt; = 2,50 m</t>
  </si>
  <si>
    <t>Corpo de BDCC 2,50 x 2,50 m projeto DNIT para H &lt; = 2,50 m</t>
  </si>
  <si>
    <t>Corpo de BDCC 2,50 x 3,00 m projeto DNIT para H &lt; = 2,50 m</t>
  </si>
  <si>
    <t>Corpo de BDCC 3,00 x 3,00 m projeto DNIT para H &lt; = 2,50 m</t>
  </si>
  <si>
    <t>Corpo de BSCC 1,50 x 1,50 m projeto DNIT para H &lt; = 2,50 m</t>
  </si>
  <si>
    <t>Corpo de BSCC 2,00 x 2,00 m projeto DNIT para H &lt; = 2,50 m</t>
  </si>
  <si>
    <t>Corpo de BSCC 2,00 x 3,00 m projeto DNIT para H &lt; = 2,50 m</t>
  </si>
  <si>
    <t>Corpo de BSCC 2,50 x 2,50 m projeto DNIT para H &lt; = 2,50 m</t>
  </si>
  <si>
    <t>Corpo de BSCC 2,50 x 3,00 m projeto DNIT para H &lt; = 2,50 m</t>
  </si>
  <si>
    <t>Corpo de BSCC 3,00 x 3,00 m projeto DNIT para H &lt; = 2,50 m</t>
  </si>
  <si>
    <t>Corpo de BTCC 1,50 x 1,50 m projeto DNIT para H &lt; = 2,50 m</t>
  </si>
  <si>
    <t>Corpo de BTCC 2,00 x 2,00 m projeto DNIT para H &lt; = 2,50 m</t>
  </si>
  <si>
    <t>Corpo de BTCC 2,00 x 3,00 m projeto DNIT para H &lt; = 2,50 m</t>
  </si>
  <si>
    <t>Corpo de BTCC 2,50 x 2,50 m projeto DNIT para H &lt; = 2,50 m</t>
  </si>
  <si>
    <t>Corpo de BTCC 2,50 x 3,00 m projeto DNIT para H &lt; = 2,50 m</t>
  </si>
  <si>
    <t>Corpo de BTCC 3,00 x 3,00 m projeto DNIT para H &lt; = 2,50 m</t>
  </si>
  <si>
    <t>Corta-rio (escavação mecânica em material de 1ª cat.) H = 1,50 a 3,00 m</t>
  </si>
  <si>
    <t>Corta-rio (escavação mecânica em material de 2ª cat.) H = 1,50 a 3,00 m</t>
  </si>
  <si>
    <t>Curva 90° de PVC, junta elástica PBA, D=75mm, fornecimento e assentamento</t>
  </si>
  <si>
    <t>Dreno vertical D = 75 mm em PVC, com geotêxtil não tecido resistência longitudinal 16 kn/m</t>
  </si>
  <si>
    <t>Ensecadeira dupla de madeira esp.= 5 cm com 1 reaproveitamento</t>
  </si>
  <si>
    <t>Ensecadeira dupla de madeira esp.= 5 cm sem reaproveitamento, tudo incluído</t>
  </si>
  <si>
    <t>Escavação manual em mat. 1ª cat. H= 0,00 a 1,50 m</t>
  </si>
  <si>
    <t>Escavação manual em mat. 1ª cat. H= 0,00 a 1,50 m com esgotamento</t>
  </si>
  <si>
    <t>Escavação manual em mat. 1ª cat. H= 1,50 a 3,00 m</t>
  </si>
  <si>
    <t>Escavação manual em mat. 1ª cat. H= 1,50 a 3,00 m com esgotamento</t>
  </si>
  <si>
    <t>Escavação manual em mat. 1ª cat. H= 3,00 a 4,50 m</t>
  </si>
  <si>
    <t>Escavação manual em mat. 1ª cat. H= 3,00 a 4,50 m com esgotamento</t>
  </si>
  <si>
    <t>Escavação manual em mat. 2ª cat. H= 0,00 a 1,50 m com esgotamento</t>
  </si>
  <si>
    <t>Escavação manual em mat. 2ª cat. H= 0,00 a 1,50 m sem detonação</t>
  </si>
  <si>
    <t>Escavação manual em mat. 2ª cat. H= 1,50 a 3,00 m com esgotamento</t>
  </si>
  <si>
    <t>Escavação manual em mat. 2ª cat. H= 1,50 a 3,00 m sem detonação</t>
  </si>
  <si>
    <t>Escavação manual em mat. 2ª cat. H= 3,00 a 4,50 m com esgotamento</t>
  </si>
  <si>
    <t>Escavação manual em mat. 2ª cat. H= 3,00 a 4,50 m sem detonação</t>
  </si>
  <si>
    <t>Escavação manual em mat. 3ª cat. H= 0,00 a 1,50 m, a fogo</t>
  </si>
  <si>
    <t>Escavação manual furos, valetas mat. 1ª cat. H= 0,00 a 1,50 m (dim. reduz.)</t>
  </si>
  <si>
    <t>Escavação manual furos, valetas mat. 2ª cat. H= 0,00 a 1,50 m sem detonação (dim. reduz.)</t>
  </si>
  <si>
    <t>Escavação mecânica em material de 1ª cat. H= 0,00 a 1,50 m</t>
  </si>
  <si>
    <t>Escavação mecânica em material de 1ª cat. H= 0,00 a 1,50 m com esgotamento</t>
  </si>
  <si>
    <t>Escavação mecânica em material de 1ª cat. H= 1,50 a 3,00 m</t>
  </si>
  <si>
    <t>Escavação mecânica em material de 1ª cat. H= 1,50 a 3,00 m com esgotamento</t>
  </si>
  <si>
    <t>Escavação mecânica em material de 1ª cat. H= 3,00 a 4,50 m</t>
  </si>
  <si>
    <t>Escavação mecânica em material de 1º cat. H= 3,00 a 4,50 m com esgotamento</t>
  </si>
  <si>
    <t>Escavação mecânica em material de 2ª cat. H= 0,00 a 1,50 m</t>
  </si>
  <si>
    <t>Escavação mecânica em material de 2ª cat. H= 0,00 a 1,50 m com esgotamento</t>
  </si>
  <si>
    <t>Escavação mecânica em material de 2ª cat. H= 1,50 a 3,00 m</t>
  </si>
  <si>
    <t>Escavação mecânica em material de 2ª cat. H= 1,50 a 3,00 m com esgotamento</t>
  </si>
  <si>
    <t>Escavação mecânica em material de 2ª cat. H= 3,00 a 4,50 m</t>
  </si>
  <si>
    <t>Escavação mecânica em material de 2º cat. H= 3,00 a 4,50 m com esgotamento</t>
  </si>
  <si>
    <t>Escavação mecânica em material de 3ª cat. H= 0,00 a 1,50 m</t>
  </si>
  <si>
    <t>Escavação mecânica em material de 3ª cat. H= 0,00 a 1,50 m com esgotamento</t>
  </si>
  <si>
    <t>Escavação mecânica em material de 3ª cat. H= 1,50 a 3,00 m</t>
  </si>
  <si>
    <t>Escavação mecânica em material de 3ª cat. H= 1,50 a 3,00 m com esgotamento</t>
  </si>
  <si>
    <t>Escavação mecânica em material de 3ª cat. H= 3,00 a 4,50 m</t>
  </si>
  <si>
    <t>Escavação mecânica em material de 3ª cat. H= 3,00 a 4,50 m com esgotamento</t>
  </si>
  <si>
    <t>Muro com Terramesh System ou similar, altura H&lt;= 4,00 metros (4 cx 1x1x4m), tudo incluído</t>
  </si>
  <si>
    <t>Poço de visita em bloco pré-moldado para d=0,30 e 0,40m (0,80x0,80m)</t>
  </si>
  <si>
    <t>Poço de visita em bloco pré-moldado para d=0,60m (1,00x1,00m)</t>
  </si>
  <si>
    <t>Bonificação de 15,28% sobre Materiais Betuminosos</t>
  </si>
  <si>
    <t>Cabo de cobre nú, seção 35 mm2, fornecimento e colocação</t>
  </si>
  <si>
    <t>Concreto estrutural fck = 10,0 MPa, inclusive transportes areia, cimento e pedra britada</t>
  </si>
  <si>
    <t>Passeio em concreto, largura 2,00m, acabamento em ladrilho hidráulico podotátil (L=0,40m)</t>
  </si>
  <si>
    <t>Grama  em placas em taludes com estacas de madeira, fornecimento e plantio</t>
  </si>
  <si>
    <t>Defensa metálica (1 lâmina com espessura = 3 mm), fornecimento e colocação</t>
  </si>
  <si>
    <t>Grupo focal repetidor 2x200 mm com lâmpada LED, fornecimento e instalação</t>
  </si>
  <si>
    <t>Grupo focal repetidor 3x200 mm com lâmpada LED, fornecimento e instalação</t>
  </si>
  <si>
    <t>Grupo focal repetidor 3x300 mm com lâmpada LED, fornecimento e instalação</t>
  </si>
  <si>
    <t>Sinalização horizontal TMD=200, vida útil 2 a 3 anos, taxa=0,40 L/m²</t>
  </si>
  <si>
    <t>Sinalização horizontal TMD=400, vida útil 2 a 3 anos, taxa=0,60 L/m²</t>
  </si>
  <si>
    <t>Sinalização horizontal TMD=600, vida útil 2 a 3 anos, taxa=0,80 L/m²</t>
  </si>
  <si>
    <t>Sinalização horizontal TMD=600, vida útil 3 anos, taxa=3,0 kg/m² material termoplástico )</t>
  </si>
  <si>
    <t>Aluguel de automóvel VW/ Gol (flex) 1,6 ou equivalente, exclusive motorista e combustível</t>
  </si>
  <si>
    <t>Caixa coletora em concreto fck=10,0 MPa inclusive escavação, tudo incluído</t>
  </si>
  <si>
    <t>Dreno profundo D=0,20 m com enchimento brita e areia, tudo incluído</t>
  </si>
  <si>
    <t>Sarjeta em concreto fck=10,0 MPa inclusive caiação, tudo incluído</t>
  </si>
  <si>
    <t>Valeta em concreto fck=10,0 MPa, tudo incluído</t>
  </si>
  <si>
    <t>Arrasamento estaca concreto D = 0,80 m com martelete pneumático</t>
  </si>
  <si>
    <t>Estaca de eucalipto D= 0,20 m, fornecimento, transporte, cravação e perda</t>
  </si>
  <si>
    <t>Estaca tipo Franki D = 520 mm</t>
  </si>
  <si>
    <t>T</t>
  </si>
  <si>
    <t>Conectores diâmetro 16mm (h=10cm), fornecimento e soldagem</t>
  </si>
  <si>
    <t>Recuperação estrutural com uso de argamassa polimérica (espessura média=3,5cm)</t>
  </si>
  <si>
    <t>Bonificação de 15,28% sobre aquisição de materiais</t>
  </si>
  <si>
    <t>Berço em brita para BSTC diâm. = 0,30 m em Vias Urbanas</t>
  </si>
  <si>
    <t>Berço em brita para BSTC diâm. = 0,40 m em Vias Urbanas</t>
  </si>
  <si>
    <t>Berço em brita para BSTC diâm. = 0,60 m em Vias Urbanas</t>
  </si>
  <si>
    <t>Berço em brita para BSTC diam. = 0,80 m em Vias Urbanas</t>
  </si>
  <si>
    <t>Caixa Boca de Lobo em bloco pré-moldado para diâm. = 0,80m (1,20 x 1,20m) (Vias Urbanas)</t>
  </si>
  <si>
    <t>Caixa Boca de Lobo em bloco pré-moldado para diâm. = 1,20m(1,50 x 1,50m) (Vias Urbanas)</t>
  </si>
  <si>
    <t>Caixa coletora concreto armado H= 2,00m, inclusive escavação em Vias Urbanas</t>
  </si>
  <si>
    <t>Caixa coletora concreto armado H= 2,50m, inclusive escavação em Vias Urbanas</t>
  </si>
  <si>
    <t>Caixa coletora em bloco pré-moldado para d=0,60m (1,00 x 1,00m) em Vias Urbanas</t>
  </si>
  <si>
    <t>Caixa coletora em bloco pré-moldado para d=0,80m (1,20 x 1,20m) em Vias Urbanas</t>
  </si>
  <si>
    <t>Caixa de concreto para BSTC diâmetro 0,40 m H=1,60 m em Vias Urbanas</t>
  </si>
  <si>
    <t>Caixa de concreto para BSTC diâmetro 0,60m H=2,00m em Vias Urbanas</t>
  </si>
  <si>
    <t>Caixa de concreto para BSTC diâmetro 0,80m H=2,50m em Vias Urbanas</t>
  </si>
  <si>
    <t>Caixa de concreto para BSTC diâmetro 1,00m H=3,00m em Vias Urbanas</t>
  </si>
  <si>
    <t>Caixa de passagem em bloco pré-moldado para d=0,60m (1,00x1,00m) em Vias Urbanas</t>
  </si>
  <si>
    <t>Caixa de passagem em bloco pré-moldado para d=0,80m (1,20 x 1,20m) em Vias Urbanas</t>
  </si>
  <si>
    <t>Caixa de passagem em bloco pré-moldado para d=1,00m (1,30 x 1,30m) em Vias Urbanas</t>
  </si>
  <si>
    <t>Caixa de passagem em bloco pré-moldado para d=1,20m (1,50 x 1,50m) em Vias Urbanas</t>
  </si>
  <si>
    <t>Caixa de passagem para tubos de D=0,40m H=1,10m em Vias Urbanas</t>
  </si>
  <si>
    <t>Caixa de passagem para tubos de D=0,60m H=1,30m em Vias Urbanas</t>
  </si>
  <si>
    <t>Caixa de passagem para tubos de D=0,80m H=1,50m em Vias Urbanas</t>
  </si>
  <si>
    <t>Caixa de passagem para tubos de D=1,00m H=1,80m em Vias Urbanas</t>
  </si>
  <si>
    <t>Cerca de tela de arame galvanizado h=1,20m em Vias Urbanas</t>
  </si>
  <si>
    <t>Concreto estrutural fck = 20,0 MPa com plastificante em Vias Urbanas</t>
  </si>
  <si>
    <t>Concreto estrutural fck = 20,0 MPa em Vias Urbanas</t>
  </si>
  <si>
    <t>Concreto estrutural fck = 25,0 MPa com plastificante em Vias Urbanas</t>
  </si>
  <si>
    <t>Concreto estrutural fck = 25,0 MPa em Vias Urbanas</t>
  </si>
  <si>
    <t>Concreto estrutural fck = 30,0 MPa com plastificante em Vias Urbanas</t>
  </si>
  <si>
    <t>Concreto estrutural fck = 30,0 MPa em Vias Urbanas</t>
  </si>
  <si>
    <t>Concreto submerso fck = 20,0 MPa em Vias Urbanas</t>
  </si>
  <si>
    <t>Corpo de BDCC 1,50 x 1,50 m projeto DNIT para H &lt; = 2,50 m em Vias Urbanas</t>
  </si>
  <si>
    <t>Corpo de BDCC 2,00 x 2,00 m projeto DNIT para H &lt; = 2,50 m em Vias Urbanas</t>
  </si>
  <si>
    <t>Corpo de BDCC 2,00 x 3,00 m projeto DNIT para H &lt; = 2,50 m em Vias Urbanas</t>
  </si>
  <si>
    <t>Corpo de BDCC 2,50 x 2,50 m projeto DNIT para H&lt;=2,50m em Vias Urbanas</t>
  </si>
  <si>
    <t>Corpo de BDCC 2,50 x 3,00 m projeto DNIT p/ H &lt;= 2,50 m em Vias Urbanas</t>
  </si>
  <si>
    <t>Corpo de BSCC 1,50 x 1,50 m projeto DNIT p/ H &lt;= 2,50 m em Vias Urbanas</t>
  </si>
  <si>
    <t>Corpo de BSCC 2,00x2,00m projeto DNIT p/ H&lt;=2,50m em Vias Urbanas</t>
  </si>
  <si>
    <t>Corpo de BSCC 2,00x3,00m projeto DNIT p/ H&lt;=2,50m em Vias Urbanas</t>
  </si>
  <si>
    <t>Corpo de BSCC 2,50 x 2,50 m, para H &lt; = 2,50 m em Vias Urbanas</t>
  </si>
  <si>
    <t>Corpo de BSCC 2,50x3,00m projeto DNIT para H&lt;=2,50m em Vias Urbanas</t>
  </si>
  <si>
    <t>Corpo de BSCC 3,00x3,00m projeto DNIT para H&lt;=2,50m em Vias Urbanas</t>
  </si>
  <si>
    <t>Corpo de BTCC 1,50 x 1,50 m projeto DNIT para H &lt;= 2,50 m em Vias Urbanas</t>
  </si>
  <si>
    <t>Corpo de BTCC 2,00 x 2,00 m projeto DNIT para H &lt;= 2,50 m em Vias Urbanas</t>
  </si>
  <si>
    <t>Corpo de BTCC 2,00 x 3,00 m projeto DNIT para H &lt; = 2,50 m em Vias Urbanas</t>
  </si>
  <si>
    <t>Corpo de BTCC 2,50 x 2,50 m projeto DNIT para H &lt; = 2,50 m em Vias Urbanas</t>
  </si>
  <si>
    <t>Corpo de BTCC 2,50 x 3,00 m projeto DNIT para H &lt; = 2,50 m em Vias Urbanas</t>
  </si>
  <si>
    <t>Corpo de BTCC 2,50 x 3,00 m projeto DNIT para H &lt; = 2,50 m em vias Urbanas</t>
  </si>
  <si>
    <t>Corpo de BTCC 3,00 x 3,00 m projeto DNIT para H &lt; = 2,50 m em Vias Urbanas</t>
  </si>
  <si>
    <t>Corta-rio (escavação mecânica em material de 1ª cat.) H=1,50 a 3,00 m em Vias Urbanas</t>
  </si>
  <si>
    <t>Corta-rio (escavação mecânica em material de 2ª cat.) H=1,50 a 3,00m em Vias Urbanas</t>
  </si>
  <si>
    <t>Corta-rio (escavação mecânica em material de 3º cat.) H=0,00 a 1,50m em Vias Urbanas</t>
  </si>
  <si>
    <t>Escavação manual em mat. 1ª cat. H= 0,00 a 1,50 m c/ esgotamento em Vias Urbanas</t>
  </si>
  <si>
    <t>Escavação manual em mat. 1ª cat. H= 0,00 a 1,50 m em Vias Urbanas</t>
  </si>
  <si>
    <t>Escavação manual em mat. 1ª cat. H= 1,50 a 3,00 m c/ esgotamento em Vias Urbanas</t>
  </si>
  <si>
    <t>Escavação manual em mat. 1ª cat. H= 1,50 a 3,00 m em Vias Urbanas</t>
  </si>
  <si>
    <t>Escavação manual em mat. 1ª cat. H= 3,00 a 4,50 m c/ esgotamento, em Vias Urbanas</t>
  </si>
  <si>
    <t>Escavação manual em mat. 1ª cat. H= 3,00 a 4,50 m, em Vias Urbanas</t>
  </si>
  <si>
    <t>Escavação manual em mat. 2ª cat. H= 0,00 a 1,50 m c/ esgotamento, em Vias Urbanas</t>
  </si>
  <si>
    <t>Escavação manual em mat. 2ª cat. H= 0,00 a 1,50 m s/ detonação, em Vias Urbanas</t>
  </si>
  <si>
    <t>Escavação manual em mat. 2ª cat. H= 1,50 a 3,00 m c/ esgotamento, em Vias Urbanas</t>
  </si>
  <si>
    <t>Escavação manual em mat. 2ª cat. H= 1,50 a 3,00 m s/ detonação, em Vias Urbanas</t>
  </si>
  <si>
    <t>Escavação manual em mat. 2ª cat. H= 3,00 a 4,50 m c/ esgotamento, em Vias Urbanas</t>
  </si>
  <si>
    <t>Escavação manual em mat. 2ª cat. H= 3,00 a 4,50 m s/ detonação, em Vias Urbanas</t>
  </si>
  <si>
    <t>Escavação manual em mat. 3ª cat. H= 0,00 a 1,50 m, a fogo, em Vias Urbanas</t>
  </si>
  <si>
    <t>Escavação manual furos, valetas mat. 1ª cat. H= 0,00 a 1,50 m (dim. reduz.), em Vias Urbanas</t>
  </si>
  <si>
    <t>Escavação mecânica em material de 1ª cat. H= 0,00 a 1,50 m, em Vias Urbanas</t>
  </si>
  <si>
    <t>Escavação mecânica em material de 1ª cat. H= 1,50 a 3,00 m, em Vias Urbanas</t>
  </si>
  <si>
    <t>Escavação mecânica em material de 1ª cat. H= 3,00 a 4,50 m, em Vias Urbanas</t>
  </si>
  <si>
    <t>Escavação mecânica em material de 2ª cat. H= 0,00 a 1,50 m, em Vias Urbanas</t>
  </si>
  <si>
    <t>Escavação mecânica em material de 2ª cat. H= 1,50 a 3,00 m, em Vias Urbanas</t>
  </si>
  <si>
    <t>Escavação mecânica em material de 2ª cat. H= 3,00 a 4,50 m, em Vias Urbanas</t>
  </si>
  <si>
    <t>Poço de visita em bloco pré-moldado para d=0,30 e 0,40 m (0,80 x 0,8 0m), em Vias Urbanas</t>
  </si>
  <si>
    <t>Poço de visita em bloco pré-moldado para d=0,60 m (1,00 x 1,00 m), em Vias Urbanas</t>
  </si>
  <si>
    <t>Poço de visita em bloco pré-moldado para d=0,80m (1,20x1,20m), em Vias Urbanas</t>
  </si>
  <si>
    <t>Poço de visita em bloco pré-moldado para d=1,00m (1,30x1,30m) (Vias Urbanas)</t>
  </si>
  <si>
    <t>Poço de visita em bloco pré-moldado para d=1,20m (1,50x1,50m), em Vias Urbanas</t>
  </si>
  <si>
    <r>
      <rPr>
        <sz val="7"/>
        <rFont val="Arial"/>
        <family val="2"/>
      </rPr>
      <t>L</t>
    </r>
  </si>
  <si>
    <r>
      <rPr>
        <sz val="7"/>
        <rFont val="Arial"/>
        <family val="2"/>
      </rPr>
      <t>Viga pré-moldada concreto vão 14,00 m, classe 45 (preço médio)</t>
    </r>
  </si>
  <si>
    <r>
      <rPr>
        <sz val="7"/>
        <rFont val="Arial"/>
        <family val="2"/>
      </rPr>
      <t>Viga pré-moldada concreto vão 15,00 m, classe 45 (preço médio)</t>
    </r>
  </si>
  <si>
    <r>
      <rPr>
        <sz val="7"/>
        <rFont val="Arial"/>
        <family val="2"/>
      </rPr>
      <t>Zarcão, Suvinil ou equivalente</t>
    </r>
  </si>
  <si>
    <t>TR-201-00 (Comercial - Caminhão basculante)</t>
  </si>
  <si>
    <t>TR-202-00 (Comercial - Caminhão basculante)</t>
  </si>
  <si>
    <t>TR-203-00 (Comercial - Caminhão carroceria)</t>
  </si>
  <si>
    <t>TR-204-00 (Comercial - Carreta prancha)</t>
  </si>
  <si>
    <t>TR-301-00 (Massa Asfáltica)</t>
  </si>
  <si>
    <t>Transporte Local de Materiais (TR-101-01) (Vias urbanas - Caminhão basculante)</t>
  </si>
  <si>
    <t>TR-202-01 (Comercial - Caminhão basculante)</t>
  </si>
  <si>
    <t>TR-203-01 (Comercial - Caminhão carroceria)</t>
  </si>
  <si>
    <t>TR-204-01 (Comercial - Carreta com Prancha)</t>
  </si>
  <si>
    <t>LOCAL COM DMT ATÉ 3,0 KM (Caminhão basculante)</t>
  </si>
  <si>
    <t>LOCAL COM DMT DE 3,1 A 5,0 KM (Caminhão basculante)</t>
  </si>
  <si>
    <t>LOCAL COM DMT DE 5,1 A 10,0 KM (Caminhão basculante)</t>
  </si>
  <si>
    <t>LOCAL COM DMT DE 10,1 A 15,0 KM (Caminhão basculante)</t>
  </si>
  <si>
    <t>Transporte de materiais para DMT acima de 15 KM (Caminhão basculante)</t>
  </si>
  <si>
    <t>Transp. de Meio fio 12 X 30 X 15 cm X 1 m</t>
  </si>
  <si>
    <t>Transp. de Caixa ralo sup e inf p/ carga média</t>
  </si>
  <si>
    <t>Transp. de Grelha e caixilho de concreto (cx. ralo)</t>
  </si>
  <si>
    <t>Trans. de Bloco p/ pavimentação - esp=10 cm</t>
  </si>
  <si>
    <t>vb</t>
  </si>
  <si>
    <t>Valores com BDI de 23,32%</t>
  </si>
  <si>
    <t>Pavimentação com blocos de concreto (35 MPa), esp.= 08 cm, colchão areia esp.= 5cm, inclusive fornecimento e transporte dos blocos e areia</t>
  </si>
  <si>
    <t>Cerca de arame liso 4 fios com mourões cada 2,0 m, esticadores de madeira, a cada 20,0 m, inclusive transporte de mourão e arame liso</t>
  </si>
  <si>
    <r>
      <rPr>
        <b/>
        <sz val="7"/>
        <rFont val="Arial"/>
        <family val="2"/>
      </rPr>
      <t>004 - CONSULTORIA</t>
    </r>
  </si>
  <si>
    <r>
      <rPr>
        <sz val="7"/>
        <rFont val="Arial"/>
        <family val="2"/>
      </rPr>
      <t>Ud</t>
    </r>
  </si>
  <si>
    <t>23,32</t>
  </si>
  <si>
    <t>Limpeza, desmatamento e destocamento de árvores com diâmetro até 15 cm, com trator de esteira</t>
  </si>
  <si>
    <t>DIFERENÇA DE PREÇOS</t>
  </si>
  <si>
    <t>JUSTIFICATIVA DA DIFERENÇA DE PREÇOS</t>
  </si>
  <si>
    <t>PREÇO UN. COM AS CARACTERÍSTICA DA OBRA</t>
  </si>
  <si>
    <t>PREÇO UN. TABELA DER/ES</t>
  </si>
  <si>
    <t>Constatado que na composição do projeto, o valor está arredondado e na planilha do DER, o valor é truncado</t>
  </si>
  <si>
    <t>descobrir preço de argamassa</t>
  </si>
  <si>
    <t>Constatado falta de inclusão do transporte do anel até à obra XP=37,20km e XR= 5,60km e o insumo concreto, faltou o transporte da areia, cimento e pedra confeccionados no local da obra</t>
  </si>
  <si>
    <t>Constatado falta de inclusão do transporte do tubo da fábrica até à obra XP=37,20km e XR= 5,60km e o insumo argamassa, faltou o transporte da areia e cimento confeccionados no local da obra</t>
  </si>
  <si>
    <t>Constatado falta de inclusão do transporte da brita até à obra XP=37,20km e XR= 5,60km</t>
  </si>
  <si>
    <t>Os insumos concreto e formas foram considerados com o transporte até o local da obra (Areia XP=10km e XR=5,60km; Cimento e  pedra XP=37,20km e XR=5,60km)</t>
  </si>
  <si>
    <t>Os insumos concreto, formas e madeiras foram considerados com o transporte até o local da obra (Areia XP=10km e XR=5,60km; Cimento, pedra e madeiras em geral XP=37,20km e XR=5,60km) não tem transporte do anel pré-moldado</t>
  </si>
  <si>
    <t>Composição Lugare. Isumos já considerados até o local da obra</t>
  </si>
  <si>
    <t>O insumo concreto foi considerado com o transporte até o local da obra (Areia XP=10km e XR=5,60km; Cimento e  pedra XP=37,20km e XR=5,60km)</t>
  </si>
  <si>
    <t>Os insumos concreto e formas de madeiras foram considerados com o transporte até o local da obra (Areia XP=10km e XR=5,60km; Cimento, pedra e madeiras em geral XP=37,20km e XR=5,60km)</t>
  </si>
  <si>
    <t>Os insumos da alvenaria de pedra (pedra de mão e argamassa), do concreto (cimento e areia) e das formas (madeiras), todos foram considerados com o transporte até o local da obra (Areia XP=10km e XR=5,60km; Pedra de mão, Cimento, pedra e madeiras em geral XP=37,20km e XR=5,60km)</t>
  </si>
  <si>
    <t>Constatado falta de inclusão do transporte do tubo D 0,40 da fábrica até à obra XP=37,20km e XR= 5,60km e o insumo concreto, faltou o transporte da areia, cimento e pedra</t>
  </si>
  <si>
    <t>Constatado falta de inclusão do transporte da grelha e caixilho da fábrica até à obra XP=37,20km e XR= 5,60km e os insumos argamassa, concreto e formas concreto, faltou o transporte da areia, cimento, pedra e madeira em geral até o local da obra</t>
  </si>
  <si>
    <t>Os insumos do concreto ciclópico (pedra de mão, areia e cimento) e forma de madeira (madeiras em geral) foram considerados com o transporte até o local da obra (Areia XP=10km e XR=5,60km; Cimento, pedra e madeiras em geral XP=37,20km e XR=5,60km)</t>
  </si>
  <si>
    <t>Constatado falta de inclusão do transporte da areia grossa, brita graduada e tubo poroso 0,20 da fábrica até à obra  (Areia XP=10km e XR=5,60km; Brita e tubo XP=37,20km e XR=5,60km)</t>
  </si>
  <si>
    <t xml:space="preserve">Constatado falta de inclusão do transporte da brita graduada da pedreira até o local da obra XP=37,20km e XR= 5,60km </t>
  </si>
  <si>
    <t>Os insumos da alvenaria de lajota (areia, lajota e cimento), do concreto (cimento e areia) e das formas (madeiras), todos foram considerados com o transporte até o local da obra (Areia XP=10km e XR=5,60km; Lajota, Cimento e madeiras em geral XP=37,20km e XR=5,60km)</t>
  </si>
  <si>
    <t>Constatado falta de inclusão do transporte da brita graduada da pedreira até o local da obra (XP=37,20km e XR=5,60km) e os insumos argamassa e concreto, faltou o transporte da areia, cimento e pedra até o local da obra</t>
  </si>
  <si>
    <t>Constatado falta de inclusão do transporte da Micro-esfera, da tinta e tinta borracha até o local da obra (XP =159,00km e XR=5,60km)</t>
  </si>
  <si>
    <t>Constatado falta de inclusão do transporte da Defensa (lâmina 4m) da fábrica até o local da obra (XP =159,00km e XR=5,60km)</t>
  </si>
  <si>
    <t>Constatado falta de inclusão do transporte da Manta Geotêxtil e da Madeira até o local da obra (XP =37,20km e XR=5,60km)</t>
  </si>
  <si>
    <t>Constatado falta de inclusão do transporte da Grama até o local da obra (XP =37,20km e XR=5,60km)</t>
  </si>
  <si>
    <t>Constatado falta de inclusão do transporte da Brita Graduada da pedreira até o local da obra (XP =37,20km e XR=5,60km)</t>
  </si>
  <si>
    <t>Constatado falta de inclusão do transporte de Caibros, Sarrafo e Tábuas até o local da obra (XP=37,20km e XR=5,60km)</t>
  </si>
  <si>
    <t>Constatado falta de inclusão do transporte de Areia, Cimento e Pedra até o local da obra (Areia XP=10km e RX= 5,60km; Cimento e pedra XP=37,20km e XR=5,60km)</t>
  </si>
  <si>
    <t>Constatado falta de inclusão do transporte de Pranchões e Tábuas até o local da obra (XP=37,20km e XR=5,60km)</t>
  </si>
  <si>
    <t>Constatado falta de inclusão do transporte de Caibros, Sarrafo e Tábuas até o local da obra (XP=37,20km e XR=5,60km) TRASNPORTE DIFERENTE DA TABELA DER</t>
  </si>
  <si>
    <t xml:space="preserve">Constatado falta de inclusão do transporte da Placa Neoprene da fábrica até o local da obra ( XP=37,20km e XR=5,60km) </t>
  </si>
  <si>
    <t xml:space="preserve">Constatado falta de inclusão do transporte do pó de pedra da pedreira até o local da obra ( XP=37,20km e XR=5,60km) </t>
  </si>
  <si>
    <t>Constatado falta de inclusão do transporte de Arame e Mourao p/ cerca  até o local da obra (XP=37,20km e XR=5,60km)</t>
  </si>
  <si>
    <t>Os insumos dos concretos e das formas de madeiras foram considerados com o transporte até o local da obra (Areia XP=10km e XR=5,60km; Cimento, pedra e madeiras em geral XP=37,20km e XR=5,60km)</t>
  </si>
  <si>
    <t xml:space="preserve">Constatado falta de inclusão do transporte dos Caibros, Sarrafo e Tábuas até o local da obra (XP=37,20km e XR=5,60km) </t>
  </si>
  <si>
    <t>Descrição com BDI (23,32%)</t>
  </si>
  <si>
    <t>Transp. de Silica ativa (micro-silica) saco 15 kg</t>
  </si>
  <si>
    <t>Transp. de Placa neoprene (18% I.P.I. eembalagem)</t>
  </si>
  <si>
    <t xml:space="preserve"> (Incluindo BDI= 23,32%)</t>
  </si>
  <si>
    <t>8.1.1</t>
  </si>
  <si>
    <t>8.1.2</t>
  </si>
  <si>
    <t>8.1.3</t>
  </si>
  <si>
    <t>8.1.4</t>
  </si>
  <si>
    <t>8.1.5</t>
  </si>
  <si>
    <t>8.1.6</t>
  </si>
  <si>
    <t>8.1.7</t>
  </si>
  <si>
    <t>8.1.8</t>
  </si>
  <si>
    <t>8.1.9</t>
  </si>
  <si>
    <t>8.1.10</t>
  </si>
  <si>
    <t>8.1.11</t>
  </si>
  <si>
    <t>8.1.12</t>
  </si>
  <si>
    <t>8.1.13</t>
  </si>
  <si>
    <t>8.1.14</t>
  </si>
  <si>
    <t>8.2</t>
  </si>
  <si>
    <t>8.2.1</t>
  </si>
  <si>
    <t>8.2.2</t>
  </si>
  <si>
    <t>8.2.3</t>
  </si>
  <si>
    <t>8.2.4</t>
  </si>
  <si>
    <t>8.2.5</t>
  </si>
  <si>
    <t>8.2.6</t>
  </si>
  <si>
    <t>8.2.7</t>
  </si>
  <si>
    <t>8.3</t>
  </si>
  <si>
    <t>8.3.1</t>
  </si>
  <si>
    <t>8.3.2</t>
  </si>
  <si>
    <t>8.3.3</t>
  </si>
  <si>
    <t>8.3.4</t>
  </si>
  <si>
    <t>8.3.5</t>
  </si>
  <si>
    <t>8.3.6</t>
  </si>
  <si>
    <t>8.3.7</t>
  </si>
  <si>
    <t>8.3.8</t>
  </si>
  <si>
    <t>8.3.9</t>
  </si>
  <si>
    <t>8.3.10</t>
  </si>
  <si>
    <t>8.3.11</t>
  </si>
  <si>
    <t>Sub total 9</t>
  </si>
  <si>
    <t>LG-002</t>
  </si>
  <si>
    <t>M2</t>
  </si>
  <si>
    <t>M3</t>
  </si>
  <si>
    <t>Demolição de rocha a frio, até altura de 3,0m, com argamassa expansiva, inclusive remoção com escavadeira</t>
  </si>
  <si>
    <t>Demolição de rocha a frio até 3 metros com utilização de argamassa expansiva, inclusive remoção com trator de esteiras</t>
  </si>
  <si>
    <t>Destocamento de árvores com diâmetro &gt; 30 cm, com trator de esteira</t>
  </si>
  <si>
    <t>Ud</t>
  </si>
  <si>
    <t>Escavação, carga e transporte de material de 1ª cat. até 200 m com moto-escavo- transportador</t>
  </si>
  <si>
    <t>Escavação, carga e transporte de material de 1ª cat. 1000 a 1200 m com moto-escavo- transportador</t>
  </si>
  <si>
    <t>Escavação, carga e transporte de material de 1ª cat. 200 a 400 m com moto-escavo- transportador</t>
  </si>
  <si>
    <t>Escavação, carga e transporte de material de 1ª cat. 400 a 600 m com moto-escavo- transportador</t>
  </si>
  <si>
    <t>Escavação, carga e transporte de material de 1ª cat. 600 a 800 m com moto-escavo- transportador</t>
  </si>
  <si>
    <t>Escavação, carga e transporte de material de 1ª cat. 800 a 1000 m com moto-escavo- transportador</t>
  </si>
  <si>
    <t>Escavação, carga e transporte de material de 2ª cat. até 200 m com moto-escavo- transportador</t>
  </si>
  <si>
    <t>Escavação, carga e transporte de material de 2ª cat. 1000 a 1200 m com moto-escavo- transportador</t>
  </si>
  <si>
    <t>Escavação, carga e transporte de material de 2ª cat. 200 a 400 m com moto-escavo- transportador</t>
  </si>
  <si>
    <t>Escavação, carga e transporte de material de 2ª cat. 400 a 600 m com moto-escavo- transportador</t>
  </si>
  <si>
    <t>Escavação, carga e transporte de material de 2ª cat. 600 a 800 m com moto-escavo- transportador</t>
  </si>
  <si>
    <t>Escavação, carga e transporte de material de 2ª cat. 800 a 1000 m com moto-escavo- transportador</t>
  </si>
  <si>
    <t>Forro de regularização sobre plataforma de enrocamento para tráfego de caminhões, inclusive fornecimento do pó de pedra e da pedra demão</t>
  </si>
  <si>
    <t>Limpeza e desmatamento em área alagada (pântano) com ferramentas manuais, inclusive moto serra</t>
  </si>
  <si>
    <t>Limpeza em superfície de concreto com jateamento d'água sob pressão</t>
  </si>
  <si>
    <t>Roçada manual com roçadeira costal, ferramentas manuais, inclusive limpeza e remoção com retroescavadeira</t>
  </si>
  <si>
    <t>Tabela de preços  : 222 - Referencial de Preços outubro 2018 sem desoneração                                                                                Data base: Outubro/2018</t>
  </si>
  <si>
    <t>Base com mistura de argila, areia e escória de aciaria, 30%,30%,40%, inclusive fornecim. transp.areia e escória, exclusive fornecim. transp. da argila</t>
  </si>
  <si>
    <t>Base com mistura de argila, areia e escória de aciaria, 50%,20%,30%, inclusive fornecim.e transp. areia e escória, exclusive fornecim. e transp.argila</t>
  </si>
  <si>
    <t>Base com mistura de argila 30%, pó de pedra 30% e brita 40%, inclusive fornecimento e transporte do pó de pedra e da brita</t>
  </si>
  <si>
    <t>Base com mistura de argila 70% e escória de aciaria 30%, inclusive fornecim. e transporte da escória, exclusive fornecimento e transporte da argila</t>
  </si>
  <si>
    <t>Base de escória/argila na proporção 80:20, inclusive aquisição e transporte da escória, exclusive argila</t>
  </si>
  <si>
    <t>Base de escória/solo na proporção 75:25, inclusive fornecimento da escória, exceto fornecimento do solo e transporte do solo e escória</t>
  </si>
  <si>
    <t>Base de solo brita, 20% em peso, inclusive fornecim. da brita, exclusive transporte da brita e do solo (100% P.IM)</t>
  </si>
  <si>
    <t>Base estabilizada granulométricamente. com mistura de escória de aciaria 80% e argila exceto fornecimento da argila e transporte da argila e escória</t>
  </si>
  <si>
    <t>Base solo brita, 30% em peso, inclusive fornecimento e transporte da brita</t>
  </si>
  <si>
    <t>Capa selante (emulsão e areia) exclusive fornecimento e transporte comercial da emulsão, inclusive transporte da areia</t>
  </si>
  <si>
    <t>CBUQ (camada pronta - binder) exclusive fornecimento e transportes do CAP e massa, inclusive fornecimento e transporte da brita e pó de pedra</t>
  </si>
  <si>
    <t>CBUQ (camada pronta - binder) inclusive fornecimento e transporte comercial do CAP, exclusive transporte da massa</t>
  </si>
  <si>
    <t>CBUQ (camada pronta - capa) inclusive fornecimento e transporte comercial do CAP, exclusive transporte da massa</t>
  </si>
  <si>
    <t>CBUQ (camada pronta Faixa "B" para revestimento) exclusive fornecimento do CAP e transp. de todos os materiais</t>
  </si>
  <si>
    <t>CBUQ (camada pronta-faixa "C") , exclusive fornecimento do CAP e transporte de todos os materiais (traço padrão areia e brita)</t>
  </si>
  <si>
    <t>CBUQ (camada pronta-faixa"C") exclusive fornecimento do CAP e transporte de todos os materiais</t>
  </si>
  <si>
    <t>CBUQ (massa asfáltica-faixa"C") exclusive fornecimento CAP e transporte de todos os materiais</t>
  </si>
  <si>
    <t>CBUQ (massa fina-faixa"D"), exclusive fornecimento do CAP e transporte de todos os materiais (traço padrão areia e brita)</t>
  </si>
  <si>
    <t>Estabilização granulométrica de solos c/ mistura de areia na pista 100% P.M. (80%, 20%) exclusive transporte</t>
  </si>
  <si>
    <t>Estabilização granulométrica de solos c/ mistura na pista 100% P.M.</t>
  </si>
  <si>
    <t>M</t>
  </si>
  <si>
    <t>Micro revestimento asfáltico à frio exclusive fornecimento e transporte comercial do material betuminoso</t>
  </si>
  <si>
    <t>Micro revestimento asfáltico à frio exclusive fornecimento emulsão e transp. de todos os materiais</t>
  </si>
  <si>
    <t>Micro revestimento asfáltico à frio inclusive fornecimento e transporte comercial do material betuminoso</t>
  </si>
  <si>
    <t>Obturação de buracos c/ CBUQ exclusive fornecimento e transporte comercial dos materiais betuminosos</t>
  </si>
  <si>
    <t>Obturação de buracos c/ CBUQ exclusive fornecimento e transporte dos materiais betuminosos</t>
  </si>
  <si>
    <t>Obturação de buracos c/ CBUQ inclusive fornecimento e transporte comercial dos materiais betuminosos</t>
  </si>
  <si>
    <t>Obturação de buracos c/ CBUQ-faixa "C", exclusive forn.do CAP e transporte de todos os materiais</t>
  </si>
  <si>
    <t>Pavimentação com blocos de concreto (35 MPa), esp.= 06 cm, sobre colchão areia esp.= 5 cm, inclusive fornecimento e transporte dos blocos e areia</t>
  </si>
  <si>
    <t>Pavimentação com blocos de concreto (35 MPa), esp. = 10 cm, sobre colchão areia esp.= 5cm
, inclusive fornecimento e transporte dos blocos e areia</t>
  </si>
  <si>
    <t>Pavimentação com blocos de concreto (35 MPa), esp.= 06cm, sobre colchão areia esp.=5cm, inclusive fornecim. do bloco e areia, exclus. transp.materiais</t>
  </si>
  <si>
    <t>Pavimentação com blocos de concreto (35 MPa) esp.=08 cm,colchão areia esp.=5cm, inclusive fornecim. do bloco e areia, exclusive transp. blocos e areia</t>
  </si>
  <si>
    <t>Pavimentação com blocos de concreto (35MPa), esp.=10 cm, sobre colchão de areia esp.= 5cm, inclusive fornecim. do bloco e areia , exclusive transportes</t>
  </si>
  <si>
    <t>Pavimentação com paralelepípedo, sobre colchão areia esp.= 5cm, inclus. fornecimento e transport. da areia, exclus. fornecim. e transp. paralelepípedo</t>
  </si>
  <si>
    <t>Pavimentação com paralelepípedo, sobre colchão areia esp.= 5cm, inclusive fornecimento e transporte do paralelepípedo e areia</t>
  </si>
  <si>
    <t>Pavimentação com paralelepípedo, sobre colchão pó de pedra esp.= 5cm, inclusive fornecimento e transporte do paralelepípedo e pó de pedra</t>
  </si>
  <si>
    <t>Pavimentação com pedra portuguesa, inclusive fornecimento e transporte da pedra portuguesa, cimento e areia</t>
  </si>
  <si>
    <t>PMF camada pronta exclusive fornecimento e transporte comercial da emulsão</t>
  </si>
  <si>
    <t>Produção de brita no canteiro, inclusive o desmonte e fragmentação de rocha</t>
  </si>
  <si>
    <t>Reciclagem de pavimento (base) c/ adição de 20% de brita1, 10% de brita 0 e 2% de cimento, inclusive fornecimento e transportes dos materiais</t>
  </si>
  <si>
    <t>Reciclagem de pavimento (Base existente + T.S.D.) c/ adição de 30% de brita, inclusive fornecimento e transporte da brita</t>
  </si>
  <si>
    <t>Reciclagem de pavimento (Base existente + T.S.D.) c/ adição de 30% de brita, inclusive fornecimento, exclusive transporte da brita</t>
  </si>
  <si>
    <t>Reciclagem de pavimento (Base existente + T.S.D.) com adição de 20% de brita, inclusive fornecimento e transporte da brita.</t>
  </si>
  <si>
    <t>Reciclagem de pavimento (Base existente + T.S.D.) com adição de 3% de cimento, inclusive fornecimento e tarnsporte do cimento</t>
  </si>
  <si>
    <t>Reciclagem de pavimento (Base existente + T.S.D.) com adição de 40% de brita, inclusive fornecimento e transporte da brita.</t>
  </si>
  <si>
    <t>Reciclagem de pavimento (Base existente+TSD) com adição de Ligante Betuminoso, inclusive fornecimento e transporte da emulsão</t>
  </si>
  <si>
    <t>Reciclagem de pavimento com adição de 2% de cimento, inclusive fornecimento e transporte do cimento</t>
  </si>
  <si>
    <t>Reciclagem de pavimento(Base existente + T.S.D.) com adição de 40% de brita, inclusive fornecimento, exclusive transporte da brita</t>
  </si>
  <si>
    <t>Reestabilização da base com adição de 50% de brita, inclusive fonecimento, exclusive transporte da brita</t>
  </si>
  <si>
    <t>Reestabilização de base com adição de 50% de brita, inclusive fornecimento e transporte da brita</t>
  </si>
  <si>
    <t>Remoção e reassentamento de paralelepípedos, inclusive perdas, colchão de areia e transportes de areia e paralelepípedo</t>
  </si>
  <si>
    <t>Sub-base c/ mistura de argila 30%, pó de pedra 30% e brita 40%, inclusive fornecimento e transporte do pó de pedra e da brita</t>
  </si>
  <si>
    <t>Sub-base com mistura de argila 70% e escória de aciaria 30%, inclusive fornecim. e transporte da escória, exceto fornecimento e transporte da argila</t>
  </si>
  <si>
    <t>Sub-base com solo/escória na proporção 70:30, inclusive fornecimento da escória, exceto fornecimento do solo e transporte do solo e escória</t>
  </si>
  <si>
    <t>T.S.B.D. com capa selante exclusive fornecimento e transporte comercial da emulsão, inclusive lavagem da brita e transporte da areia e brita</t>
  </si>
  <si>
    <t>T.S.B.D. com capa selante, executado c/ Multidistribuidor exclus. forn. e transp. com. da emulsão, inclus. lavagem brita e transp. comerc.areia, brita</t>
  </si>
  <si>
    <t>T.S.B.D. com capa selante executado c/ Multidistribuidor,inclus.fornec.areia/brita e lavagem brita, excl.fornec.da emulsão e trnasp.todos os materiais</t>
  </si>
  <si>
    <t>T.S.B.D. com capa selante, executado com Multidistribuidor inclusive fornecimento, transporte comercial dos materiais e lavagem da brita</t>
  </si>
  <si>
    <t>T.S.B.D. com capa selante inclusive fornecimento e transporte comercial dos materiais e lavagem da brita</t>
  </si>
  <si>
    <t>T.S.B.D. sem capa selante, inclusive fornecimento e transporte comercial dos materiais e lavagem de brita</t>
  </si>
  <si>
    <t>T.S.B.D. sem capa selante exclusive fornecimento e transporte comercial da emulsão, inclusive lavagem e transporte comercial da brita</t>
  </si>
  <si>
    <t>T.S.B.D. sem capa selante, executado c/ Multidistribuidor exclusive fornec.e transp. comercial da emulsão, inclusive lavagem e transp. comerc.da brita</t>
  </si>
  <si>
    <t>T.S.B.D. sem capa selante executado com Multidistribuidor excl. forn. da emulsão e transp. comerciais da emulsão e da brita, inclus. lavagem da brita</t>
  </si>
  <si>
    <t>T.S.B.D. sem capa selante inclusive fornecimento e transporte comercial dos materiais e lavagem da brita</t>
  </si>
  <si>
    <t>T.S.B.S. com capa selante exclusive fornecimento e transporte comercial da emulsão, inclusive lavagem e transporte comercial da brita</t>
  </si>
  <si>
    <t>T.S.B.S. com capa selante inclusive fornecimento e transporte comercial dos materiais e lavagem da brita</t>
  </si>
  <si>
    <t>T.S.B.S. exclusive fornecimento e transporte comercial do material betuminoso, inclusive fornecimento, transporte e lavagem da brita</t>
  </si>
  <si>
    <t>Usinagem de concreto betuminoso usinado a quente (CBUQ), inclusive transporte comercial do oleo combustível</t>
  </si>
  <si>
    <t>Aço CA-50 grossa, diâmetro de 12.5 a 25 mm, fornecimento, dobragem e colocação nas formas</t>
  </si>
  <si>
    <t>Alvenaria de bloco (39 x 19 x 09) cm espessura 09 cm, inclusive transporte da areia, cimento e bloco</t>
  </si>
  <si>
    <t>Alvenaria de bloco (39 x 19 x 19) cm espessura 19 cm, inclusive fornecimento e transporte do bloco, areia e cimento</t>
  </si>
  <si>
    <t>Alvenaria de lajota (20 x 20 x 10) cm espessura 10 cm, inclusive transporte de areia, lajota e cimento</t>
  </si>
  <si>
    <t>Alvenaria de pedra de mão argamassada (argamassa cimento areia 1:4), inclusive transporte da pedra</t>
  </si>
  <si>
    <t>BSCC (pré-moldado) 1,50 x 1,50 x 1,00m CL 45t, inclusive transporte do Anel de Bueiro Celular Pré-moldado</t>
  </si>
  <si>
    <t>BSCC (pré-moldado) 2,00 x 2,00 x 1,00m CL 45t, inclusive transporte de Anel de Bueiro Celular Pré-moldado</t>
  </si>
  <si>
    <t>BSCC (pré-moldado) 2,50 x 2,50 x 1,00m CL 45t, inclusive transporte de Anel de Bueiro Celular Pré-moldado</t>
  </si>
  <si>
    <t>BSCC (pré-moldado) 3,00 x 3,00 x 1,00m CL 45t, inclusive transporte de Anel de Bueiro Celular Pré-moldado</t>
  </si>
  <si>
    <t>Bueiro Metálico BSTM - D = 3,00 m - T.L. com tratamento epóxi e = 2,7 mm - método não destrutivo</t>
  </si>
  <si>
    <t>Bueiro Metálico BSTM - D=3,05m - MP-152 com tratamento epóxi e=2,7mm - método destrutivo, inclusive lastro de brita</t>
  </si>
  <si>
    <t>Cerca em tela revestida em PVC com mourões de concreto, 10 x 10 x 2,40 m, fornecimento e execução</t>
  </si>
  <si>
    <t>Colchão drenante de areia para fundação de aterros, inclusive fornecimento e transporte da areia</t>
  </si>
  <si>
    <t>Colchão drenante de brita 1 inclusive fornecimento, espalhamento, compactação e transporte da brita</t>
  </si>
  <si>
    <t>Colchão drenante de brita 2 inclusive fornecimento, espalhamento, compactação e transporte da brita</t>
  </si>
  <si>
    <t>Colchão drenante de brita 3 inclusive fornecimento, espalhamento, compactação e transporte da brita</t>
  </si>
  <si>
    <t>Coleta drenante (1,00x1,00) m c/ geotêxtil não tecido RT 16kn/m, inclusive transporte da brita</t>
  </si>
  <si>
    <t>Concreto armado, dosado para resist. 20 Mpa,  incluindo 60kg aço CA-50A, mão de obra p/ corte, dobragem e montagem, exclusive forma</t>
  </si>
  <si>
    <t>Concreto estrutural fck = 25,0 MPa, inclusive fornecimento e transporte do cimento, areia e pedra britada</t>
  </si>
  <si>
    <t>Corpo BDTC (grota) diâmetro 0,60 m CA-1 MF exclusive escavação e reaterro, inclusive transporte do tubo</t>
  </si>
  <si>
    <t>Corpo BDTC (grota) diâmetro 0,60 m CA-1 PB exclusive escavação e reaterro, inclusive transporte do tubo</t>
  </si>
  <si>
    <t>Corpo BDTC (grota) diâmetro 0,60 m CA-2 MF exclusive escavação e reaterro, inclusive transporte do tubo</t>
  </si>
  <si>
    <t>Corpo BDTC (grota) diâmetro 0,60 m CA-2 PB exclusive escavação e reaterro, inclusive transporte do tubo</t>
  </si>
  <si>
    <t>Corpo BDTC (grota) diâmetro 0,80 m CA-1 MF exclusive escavação e reaterro, inclusive transporte do tubo</t>
  </si>
  <si>
    <t>Corpo BDTC (grota) diâmetro 0,80 m CA-1 PB exclusive escavação e reaterro, inclusive transporte do tubo</t>
  </si>
  <si>
    <t>Corpo BDTC (grota) diâmetro 0,80 m CA-2 MF exclusive escavação e reaterro, inclusive transporte do tubo</t>
  </si>
  <si>
    <t>Corpo BDTC (grota) diâmetro 0,80 m CA-2 PB exclusive escavação e reaterro, inclusive transporte do tubo</t>
  </si>
  <si>
    <t>Corpo BDTC (grota) diâmetro 1,00 m CA-1 MF exclusive escavação e reaterro, inclusive transporte do tubo</t>
  </si>
  <si>
    <t>Corpo BDTC (grota) diâmetro 1,00 m CA-1 PB exclusive escavação e reaterro, inclusive transporte do tubo</t>
  </si>
  <si>
    <t>Corpo BDTC (grota) diâmetro 1,00 m CA-2 MF exclusive escavação e reaterro, inclusive transporte do tubo</t>
  </si>
  <si>
    <t>Corpo BDTC (grota) diâmetro 1,00 m CA-2 PB exclusive escavação e reaterro, inclusive transporte do tubo</t>
  </si>
  <si>
    <t>Corpo BDTC (grota) diâmetro 1,00 m CA-3 MF exclusive escavação e reaterro, inclusive transporte do tubo</t>
  </si>
  <si>
    <t>Corpo BDTC (grota) diâmetro 1,20 m CA-1 MF exclusive escavação e reaterro, inclusive transporte do tubo</t>
  </si>
  <si>
    <t>Corpo BDTC (grota) diâmetro 1,20 m CA-1 PB exclusive escavação e reaterro, inclusive transporte do tubo</t>
  </si>
  <si>
    <t>Corpo BDTC (grota) diâmetro 1,20 m CA-2 MF exclusive escavação e reaterro, inclusive transporte do tubo</t>
  </si>
  <si>
    <t>Corpo BDTC (grota) diâmetro 1,20 m CA-2 PB exclusive escavação e reaterro, inclusive transporte do tubo</t>
  </si>
  <si>
    <t>Corpo BDTC (grota) diâmetro 1,20 m CA-3 MF exclusive escavação e reaterro, inclusive transporte do tubo</t>
  </si>
  <si>
    <t>Corpo BDTC (grota) diâmetro 1,50 m CA-1 MF exclusive escavação e reaterro, inclusive transporte do tubo</t>
  </si>
  <si>
    <t>Corpo BDTC (grota) diâmetro 1,50 m CA-1 PB exclusive escavação e reaterro, inclusive transporte do tubo</t>
  </si>
  <si>
    <t>Corpo BDTC (grota) diâmetro 1,50 m CA-2 MF exclusive escavação e reaterro, inclusive transporte do tubo</t>
  </si>
  <si>
    <t>Corpo BDTC (grota) diâmetro 1,50 m CA-2 PB exclusive escavação e reaterro, inclusive transporte do tubo</t>
  </si>
  <si>
    <t>Corpo BDTC (grota) diâmetro 1,50 m CA-3 MF exclusive escavação e reaterro, inclusive transporte do tubo</t>
  </si>
  <si>
    <t>Corpo BSTC (greide) diâmetro 0,30 m CA-1 MF inclusive escavação, reaterro e transporte do tubo</t>
  </si>
  <si>
    <t>Corpo BSTC (greide) diâmetro 0,40 m CA-1 MF inclusive escavação, reaterro e transporte do tubo</t>
  </si>
  <si>
    <t>Corpo BSTC (greide) diâmetro 0,40 m CA-2 MF inclusive escavação, reaterro e transporte do tubo</t>
  </si>
  <si>
    <t>Corpo BSTC (greide) diâmetro 0,60 m CA-1 MF inclusive escavação, reaterro e transporte do tubo</t>
  </si>
  <si>
    <t>Corpo BSTC (greide) diâmetro 0,60 m CA-1 PB inclusive escavação, reaterro e transporte do tubo</t>
  </si>
  <si>
    <t>Corpo BSTC (greide) diâmetro 0,60 m CA-2 MF inclusive escavação, reaterro e transporte do tubo</t>
  </si>
  <si>
    <t>Corpo BSTC (greide) diâmetro 0,60 m CA-2 PB inclusive escavação, reaterro e transporte do tubo</t>
  </si>
  <si>
    <t>Corpo BSTC (greide) diâmetro 0,80 m CA-1 MF inclusive escavação, reaterro e transporte do tubo</t>
  </si>
  <si>
    <t>Corpo BSTC (greide) diâmetro 0,80 m CA-1 PB inclusive escavação, reaterro e transporte do tubo</t>
  </si>
  <si>
    <t>Corpo BSTC (greide) diâmetro 0,80 m CA-2 MF inclusive escavação, reaterro e transporte do tubo</t>
  </si>
  <si>
    <t>Corpo BSTC (greide) diâmetro 0,80 m CA-2 PB inclusive escavação, reaterro e transporte do tubo</t>
  </si>
  <si>
    <t>Corpo BSTC (greide) diâmetro 1,00 m CA-1 MF inclusive escavação, reaterro e transporte do tubo</t>
  </si>
  <si>
    <t>Corpo BSTC (greide) diâmetro 1,00 m CA-1 PB inclusive escavação, reaterro e transporte do tubo</t>
  </si>
  <si>
    <t>Corpo BSTC (greide) diâmetro 1,00 m CA-2 MF inclusive escavação, reaterro e transporte do tubo</t>
  </si>
  <si>
    <t>Corpo BSTC (greide) diâmetro 1,00 m CA-2 PB inclusive escavação, reaterro e transporte do tubo</t>
  </si>
  <si>
    <t>Corpo BSTC (greide) diâmetro 1,20 m CA-1 MF inclusive escavação, reaterro e transporte do tubo</t>
  </si>
  <si>
    <t>Corpo BSTC (greide) diâmetro 1,20 m CA-1 PB inclusive escavação, reaterro e transporte do tubo</t>
  </si>
  <si>
    <t>Corpo BSTC (greide) diâmetro 1,20 m CA-2 MF inclusive escavação, reaterro e transporte do tubo</t>
  </si>
  <si>
    <t>Corpo BSTC (greide) diâmetro 1,20 m CA-2 PB inclusive escavação, reaterro e transporte do tubo</t>
  </si>
  <si>
    <t>Corpo BSTC (grota) diâmetro 0,60 m CA-1 MF exclusive escavação e reaterro, inclusive transporte do tubo</t>
  </si>
  <si>
    <t>Corpo BSTC (grota) diâmetro 0,60 m CA-1 PB exclusive escavação e reaterro, inclusive transporte do tubo</t>
  </si>
  <si>
    <t>Corpo BSTC (grota) diâmetro 0,60 m CA-2 MF exclusive escavação e reaterro, inclusive transporte do tubo</t>
  </si>
  <si>
    <t>Corpo BSTC (grota) diâmetro 0,60 m CA-2 PB exclusive escavação e reaterro, inclusive transporte do tubo</t>
  </si>
  <si>
    <t>Corpo BSTC (grota) diâmetro 0,80 m CA-1 MF exclusive escavação e reaterro, inclusive transporte do tubo</t>
  </si>
  <si>
    <t>Corpo BSTC (grota) diâmetro 0,80 m CA-1 PB exclusive escavação e reaterro, inclusive transporte do tubo</t>
  </si>
  <si>
    <t>Corpo BSTC (grota) diâmetro 0,80 m CA-2 MF exclusive escavação e reaterro, inclusive transporte do tubo</t>
  </si>
  <si>
    <t>Corpo BSTC (grota) diâmetro 0,80 m CA-2 PB exclusive escavação e reaterro, inclusive transporte do tubo</t>
  </si>
  <si>
    <t>Corpo BSTC (grota) diâmetro 1,00 m CA-1 MF exclusive escavação e reaterro, inclusive transporte do tubo</t>
  </si>
  <si>
    <t>Corpo BSTC (grota) diâmetro 1,00 m CA-1 PB exclusive escavação e reaterro, inclusive transporte do tubo</t>
  </si>
  <si>
    <t>Corpo BSTC (grota) diâmetro 1,00 m CA-2 MF exclusive escavação e reaterro, inclusive transporte do tubo</t>
  </si>
  <si>
    <t>Corpo BSTC (grota) diâmetro 1,00 m CA-2 PB exclusive escavação e reaterro, inclusive transporte do tubo</t>
  </si>
  <si>
    <t>Corpo BSTC (grota) diâmetro 1,00 m CA-3 MF exclusive escavação e reaterro, inclusive transporte do tubo</t>
  </si>
  <si>
    <t>Corpo BSTC (grota) diâmetro 1,20 m CA-1 MF exclusive escavação e reaterro, inclusive transporte do tubo</t>
  </si>
  <si>
    <t>Corpo BSTC (grota) diâmetro 1,20 m CA-1 PB exclusive escavação e reaterro, inclusive transporte do tubo</t>
  </si>
  <si>
    <t>Corpo BSTC (grota) diâmetro 1,20 m CA-2 MF exclusive escavação e reaterro, inclusive transporte do tubo</t>
  </si>
  <si>
    <t>Corpo BSTC (grota) diâmetro 1,20 m CA-2 PB exclusive escavação e reaterro, inclusive transporte do tubo</t>
  </si>
  <si>
    <t>Corpo BSTC (grota) diâmetro 1,20 m CA-3 MF exclusive escavação e reaterro, inclusive transporte do tubo</t>
  </si>
  <si>
    <t>Corpo BSTC (grota) diâmetro 1,50 m CA-1 MF exclusive escavação e reaterro, inclusive transporte do tubo</t>
  </si>
  <si>
    <t>Corpo BSTC (grota) diâmetro 1,50 m CA-1 PB exclusive escavação e reaterro, inclusive transporte do tubo</t>
  </si>
  <si>
    <t>Corpo BSTC (grota) diâmetro 1,50 m CA-2 MF exclusive escavação e reaterro, inclusive transporte do tubo</t>
  </si>
  <si>
    <t>Corpo BSTC (grota) diâmetro 1,50 m CA-2 PB exclusive escavação e reaterro, inclusive transporte do tubo</t>
  </si>
  <si>
    <t>Corpo BSTC (grota) diâmetro 1,50 m CA-3 MF exclusive escavação e reaterro, inclusive transporte do tubo</t>
  </si>
  <si>
    <t>Corpo BTTC (grota) diâmetro 0,60 m CA-1 MF exclusive escavação e reaterro, inclusive transporte do tubo</t>
  </si>
  <si>
    <t>Corpo BTTC (grota) diâmetro 0,60 m CA-1 PB exclusive escavação e reaterro, inclusive transporte do tubo</t>
  </si>
  <si>
    <t>Corpo BTTC (grota) diâmetro 0,60 m CA-2 MF exclusive escavação e reaterro, inclusive transporte do tubo</t>
  </si>
  <si>
    <t>Corpo BTTC (grota) diâmetro 0,60 m CA-2 PB exclusive escavação e reaterro, inclusive transporte do tubo</t>
  </si>
  <si>
    <t>Corpo BTTC (grota) diâmetro 0,80 m CA-1 MF exclusive escavação e reaterro, inclusive transporte do tubo</t>
  </si>
  <si>
    <t>Corpo BTTC (grota) diâmetro 0,80 m CA-1 PB exclusive escavação e reaterro, inclusive transporte do tubo</t>
  </si>
  <si>
    <t>Corpo BTTC (grota) diâmetro 0,80 m CA-2 MF exclusive escavação e reaterro, inclusive transporte do tubo</t>
  </si>
  <si>
    <t>Corpo BTTC (grota) diâmetro 0,80 m CA-2 PB exclusive escavação e reaterro, inclusive transporte do tubo</t>
  </si>
  <si>
    <t>Corpo BTTC (grota) diâmetro 1,00 m CA-1 MF exclusive escavação e reaterro, inclusive transporte do tubo</t>
  </si>
  <si>
    <t>Corpo BTTC (grota) diâmetro 1,00 m CA-1 PB exclusive escavação e reaterro, inclusive transporte do tubo</t>
  </si>
  <si>
    <t>Corpo BTTC (grota) diâmetro 1,00 m CA-2 MF exclusive escavação e reaterro, inclusive transporte do tubo</t>
  </si>
  <si>
    <t>Corpo BTTC (grota) diâmetro 1,00 m CA-2 PB exclusive escavação e reaterro, inclusive transporte do tubo</t>
  </si>
  <si>
    <t>Corpo BTTC (grota) diâmetro 1,00 m CA-3 MF exclusive escavação e reaterro, inclusive transporte do tubo</t>
  </si>
  <si>
    <t>Corpo BTTC (grota) diâmetro 1,20 m CA-1 MF exclusive escavação e reaterro, inclusive transporte do tubo</t>
  </si>
  <si>
    <t>Corpo BTTC (grota) diâmetro 1,20 m CA-1 PB exclusive escavação e reaterro, inclusive transporte do tubo</t>
  </si>
  <si>
    <t>Corpo BTTC (grota) diâmetro 1,20 m CA-2 MF exclusive escavação e reaterro, inclusive transporte do tubo</t>
  </si>
  <si>
    <t>Corpo BTTC (grota) diâmetro 1,20 m CA-2 PB exclusive escavação e reaterro, inclusive transporte do tubo</t>
  </si>
  <si>
    <t>Corpo BTTC (grota) diâmetro 1,20 m CA-3 MF exclusive escavação e reaterro, inclusive transporte do tubo</t>
  </si>
  <si>
    <t>Corpo BTTC (grota) diâmetro 1,50 m CA-1 MF exclusive escavação e reaterro, inclusive transporte do tubo</t>
  </si>
  <si>
    <t>Corpo BTTC (grota) diâmetro 1,50 m CA-1 PB exclusive escavação e reaterro, inclusive transporte do tubo</t>
  </si>
  <si>
    <t>Corpo BTTC (grota) diâmetro 1,50 m CA-2 MF exclusive escavação e reaterro, inclusive transporte do tubo</t>
  </si>
  <si>
    <t>Corpo BTTC (grota) diâmetro 1,50 m CA-2 PB exclusive escavação e reaterro, inclusive transporte do tubo</t>
  </si>
  <si>
    <t>Corpo BTTC (grota) diâmetro 1,50 m CA-3 MF exclusive escavação e reaterro, inclusive transporte do tubo</t>
  </si>
  <si>
    <t>Corpo de BDCC 2,00 x 1,20 m - tudo incluido conforme projeto</t>
  </si>
  <si>
    <t>Corpo de BSCC 2,00 x 2,00 m projeto DNIT para 5,00 &lt; H &lt; 7,50 m</t>
  </si>
  <si>
    <t>Dreno de alívio de pavimento (DP - DAP - 01), com utilização de geotêxtil não tecido RT 07 kn
/m, inclusive transporte da brita</t>
  </si>
  <si>
    <t>Dreno de PVC D = 100 mm</t>
  </si>
  <si>
    <t>Dreno de PVC D = 50 mm</t>
  </si>
  <si>
    <t>Dreno Longitudinal tipo Trincheira Drenante, H = 0,90 m com tubo poroso tipo PEAD de diâm
= 100 mm, incluindo esc. em mat. 1ª cat. e transporte do tubo</t>
  </si>
  <si>
    <t>Dreno Longitudinal tipo Trincheira Drenante, H = 0,90 m com tubo poroso tipo PEAD de diâm
= 100 mm, incluindo esc. mat. 3ª cat. e transporte do tubo</t>
  </si>
  <si>
    <t>Dreno Longitudinal tipo Trincheira Drenante, H=0,40m c/ tubo poroso tipo PEAD d=65mm, inclus. esc. em mat. 1ª cat.e geotêxtil não tecido RT 07 kN/m</t>
  </si>
  <si>
    <t>Dreno profundo com enchimento de areia, escavação em material 1ª categoria, inclusive transporte da areia</t>
  </si>
  <si>
    <t>Dreno profundo com enchimento de brita e areia (1:1) escavação em material 1ª categoria, inclusive transporte da areia e da brita</t>
  </si>
  <si>
    <t>Dreno profundo com enchimento de brita e areia (1:1) escavação em material 2ª categoria, inclusive transporte da areia e da brita</t>
  </si>
  <si>
    <t>Dreno profundo com enchimento de brita, escavação em material 1ª categoria, inclusive transporte da brita</t>
  </si>
  <si>
    <t>Dreno profundo com tubo poroso, D = 0,20 m com enchimento de brita e areia, escavação em material 2ª categoria, inclusive transp.da areia, brita, tubo</t>
  </si>
  <si>
    <t>Dreno profundo com tubo poroso, D = 0,20 m com enchimento de brita, escavação em material 3ª categoria (DPR-01), inclusive transporte da brita, tubo</t>
  </si>
  <si>
    <t>Dreno profundo D = 0,10 m c/ enchim. brita, areia (1:1) escav. mat. 3º categ.incl. transp. areia, brita c/ geotêxtil não tecido res.long. mín 16kn/m</t>
  </si>
  <si>
    <t>Dreno profundo D = 0,10 m c/enchim. brita e areia (1:1) escav.mat. 1º categ., inclus.transp. areia, brita,c/ geotêxtil não tecido res.long. mín 16 kn/m</t>
  </si>
  <si>
    <t>Dreno profundo D = 0,20 m com enchimento de areia, escavação em material 1ª categoria ( DPS-01), inclusive transporte da areia e do tubo</t>
  </si>
  <si>
    <t>Dreno profundo D = 0,20 m com enchimento de brita e areia, escavação em material 1ª categoria, inclusive transporte da brita e da areia</t>
  </si>
  <si>
    <t>Dreno profundo em solo com tubo PEAD perfur. D=100 mm, envolto por geotêxtil não tecido RT16 kn/m, preenchim. c/ brita, incl. transporte</t>
  </si>
  <si>
    <t>Dreno profundo para corte em solo, com enchimento em brita revestido com geotextil não tecido RT 16 kn/m, inclusive transporte da brita</t>
  </si>
  <si>
    <t>Dreno sub-horizontal D = 50 mm em PVC, com geotêxtil não tecido RT 16 kn/m, exclusive transportes</t>
  </si>
  <si>
    <t>Dreno sub-horizontal D=50mm em PVC (escavação em alteração de rocha), inclusive geotêxtil não tecido RT 16 kn/m, exclusive transportes</t>
  </si>
  <si>
    <t>Dreno sub-horizontal D=50mm em PVC (escavação em rocha sã), inlusive geotêxtil não tecido RT 16 kn/m, exclusive transportes</t>
  </si>
  <si>
    <t>Dreno sub-superficial rocha (h=0,55m) c/ tubo PEAD perfur. d=100mm, env. por geotêxtil16kn
/m, preenc.c/ brita, inclus.transp. tubo, exclusive transp.brita</t>
  </si>
  <si>
    <t>Eletroduto de ferro galvanizado DN 4", inclusive conexões, exclusive escavação e reaterro, fornecimento e assentamento</t>
  </si>
  <si>
    <t>Eletroduto tipo Kanaflex diâmetro 1 1/4", fornecimento e assentamento</t>
  </si>
  <si>
    <t>Enrocamento de pedra arrumada com pá carregadeira e escavadeira, inclusive fornecimento, exclusive transporte da pedra</t>
  </si>
  <si>
    <t>Enrocamento de pedra jogada exclusive fornecimento e transporte (utilização de material considerado em medição)</t>
  </si>
  <si>
    <t>Ensecadeira simples de madeira esp.= 5 cm com 1 reaproveitamento, inclusive transporte das madeiras</t>
  </si>
  <si>
    <t>Ensecadeira simples de madeira esp.= 5 cm sem reaproveitamento, inclusive transporte das madeiras</t>
  </si>
  <si>
    <t>Escoramento e cimbramento (bueiro celular), inclusive fornecimento e transportes das madeiras</t>
  </si>
  <si>
    <t>Esgotamento de escavações para rebaixamento do nível dágua nos serviços de bueiros, galerias e outros, com conj. moto bomba</t>
  </si>
  <si>
    <t>Mes</t>
  </si>
  <si>
    <t>Forma especial de madeira para sarjeta (gabarito), inclusive fornecimento e transporte da madeira</t>
  </si>
  <si>
    <t>Formas planas de madeira com 01 (um) reaproveitamento, inclusive fornecimento e transporte das madeiras</t>
  </si>
  <si>
    <t>Formas planas de madeira com 02 (dois) reaproveitamentos, inclusive fornecimento e transporte das madeiras</t>
  </si>
  <si>
    <t>Formas planas de madeira sem reaproveitamento (forma perdida), inclusive fornecimento e transporte das madeiras</t>
  </si>
  <si>
    <t>Gabião manta/colchão, malha hex 6x8mm Zn-Al/PVC, e=2,8mm,h=0,23m, inclus.aquis./ assentam. pedra mão, exclus. transp. p/ revestim. canal</t>
  </si>
  <si>
    <t>Gabiões com caixas galvanizadas com utilização de geotêxtil não tecido RT 07 kN/m, inclus. transp. madeira e pedra mão</t>
  </si>
  <si>
    <t>Geogrelha com resistência londitudinal a tração 35 a 40 kN, resist. transversal a tração 30 kN, fornecimento e aplicação</t>
  </si>
  <si>
    <t>Geogrelha com resistência londitudinal a tração 55 a 60 kN, resist. transversal a tração 30 kN, fornecimento e aplicação</t>
  </si>
  <si>
    <t>Geogrelha com resistência longitudinal a tração 300 kN, resist. transversal a tração 30 kN, fornecimento e aplicação</t>
  </si>
  <si>
    <t>Geogrelha com resistência longitudinal a tração 80 a 90 kN, resist. transversal a tração 30 kN, fornecimento e aplicação</t>
  </si>
  <si>
    <t>Geogrelha tecida bidirecional de polipropileno de alto módulo inicial c/ módulo de rigidez nominal = 400KN/m nas duas direções, fornecimento/aplicação</t>
  </si>
  <si>
    <t>Manta Geotêxtil não tecida com resistência longitudinal a tração 10kN/m, fornecimento e aplicação</t>
  </si>
  <si>
    <t>Montagem e desmontagem de escoramento tubular normal, em obras de arte na densidade de 5m de tubo por m³ de escoramento</t>
  </si>
  <si>
    <t>Muro com Terramesh System ou similar, altura 4,00 &lt; H &lt;= 5,00 metros (3 cx 1x1x4m e 4 cx 0, 5x1x4m) , execução, tudo incluído</t>
  </si>
  <si>
    <t>Muro com Terramesh System ou similar, altura 5,00 &lt; H &lt;= 6,00 metros (4 cx 1x1x4m e 4 cx 0, 5x1x4m) , tudo incluído</t>
  </si>
  <si>
    <t>Muro com Terramesh System ou similar, altura 6,00 &lt; H &lt;= 7,50 metros (3cx 1x1x4m, 2cx 1x1x5 e 5cx 0,5x1x6m), tudo incluído</t>
  </si>
  <si>
    <t>Muro com Terramesh System ou similar, altura 7,50 &lt; H &lt;= 9,00 metros (4 cx 1x1x4m, 2 cx 1x1x5, 3 cx 0,5x1x6m e 3cx 0,5x1x7), tudo incluído</t>
  </si>
  <si>
    <t>Muro de testa em concreto para saída de dreno profundo em rocha, inclusive transporte do tubo</t>
  </si>
  <si>
    <t>Perfuração rotativa inclinada, em rocha sã, com coroa de diamante, diâmetro N (75mm), inclusive deslocamento e posicionamento em cada furo.</t>
  </si>
  <si>
    <t>Pescoço de poço de visita H=0,30 m, diâm. = 0,60 m, fornecimento, assentamento e transporte</t>
  </si>
  <si>
    <t>Poço de visita (tubo D=0,40 m) H=1,50 m com tampão F.F.A.P., inclusive escavação e transporte do tampão</t>
  </si>
  <si>
    <t>Poço de visita (tubo D=0,60 m) H=1,70 m com tampão F.F.A.P., inclusive escavação e transporte do tampão</t>
  </si>
  <si>
    <t>Poço de visita (tubo D=0,80 m) H=1,90 m com tampão F.F.A.P., inclusive escavação e transporte do tampão</t>
  </si>
  <si>
    <t>Poço de visita (tubo D=1,00 m) H=2,10 m com tampão F.F.A.P., inclusive escavação e transporte do tampão</t>
  </si>
  <si>
    <t>Preparo manual de talude, compreendendo acerto, raspagem eventual de até 0,30m de prof. e afastamento lateral</t>
  </si>
  <si>
    <t>Preparo manual de terreno, compreendendo acerto raspagem até 25cm de profundidade e afastamento lateral do material excedente</t>
  </si>
  <si>
    <t>Tapume de vedação e proteção, executado com chapas de compensado resinado com 6mm de espessura, exclusive pintura</t>
  </si>
  <si>
    <t>Trincheira drenante cega (0,50 x 1,70) m, inclusive transporte da brita c/ geotêxtil não tecido res.long. mín 16 kn/m</t>
  </si>
  <si>
    <t>Alvenaria de tijolos cerâmicos maciços aparentes 5x10x20cm,assent.c/argam.de cimento,cal hidratada CH1 e areia no traço 1:0,5:8,juntas de 10mm e esp.</t>
  </si>
  <si>
    <t>Calçada de concreto fck=15 MP, camurçado c/ argam. cimento e areia 1:4, lastro de brita e 8 cm de concreto, incl. preparo da caixa e transp. da brita</t>
  </si>
  <si>
    <t>Cerca de arame farpado 4 fios com mourões a cada 2,0 m, esticadores de madeira, a cada 20
,0 m, inclusive transporte de mourão e arame farpado)</t>
  </si>
  <si>
    <t>Cerca de arame farpado 4 fios com mourões a cada 1,0 m, esticadores de madeira, a cada 20, 0 m, inclusive transporte de mourão e arame farpado</t>
  </si>
  <si>
    <t>Cerca de arame farpado 4 fios com mourões, a cada 2,5 m, esticadores de madeira a cada 60, 0m, inclusive transporte de arame farpado e mourão</t>
  </si>
  <si>
    <t>Cerca de arame farpado 4 fios com mourões a cada 3,0 metros e sem esticadores, inclusive transporte de arame e mourão</t>
  </si>
  <si>
    <t>Cerca de arame farpado 8 fios com postes triangulares 10 x 200 cm, a cada 2,5 m, mourão de concreto 10 x 10 x 220 cm, a cada 50,0 m</t>
  </si>
  <si>
    <t>Cerca de arame farpado,4 fios ,mourões de madeira a cada 2,5 m e esticadores de concreto/ madeira a cada 40m</t>
  </si>
  <si>
    <t>Passeio pavimentado em blocos de concreto esp.=6cm, colorido, resistência 35 MPa, colchão de areia 5cm, inclusive transporte dos blocos e da areia</t>
  </si>
  <si>
    <t>Pintura em estrutura metálica com tinta epoxídica inclusive primer</t>
  </si>
  <si>
    <t>Porteira, confecção e colocação, inclusive fornecimento e transporte da madeira e chapa de aço</t>
  </si>
  <si>
    <t>Sistema cercamento tipo Gradil Nylofor 3DPintura Simples (preto, verde ou branco), # 50x200m, fio 5,0mm, L=2,50m, H=2,03m, incl. forn./chumb. postes</t>
  </si>
  <si>
    <t>Tela de aço galvanizado ,em malha hexagonal de dupla torção, tipo 8,0cm x 10,0cm, com fios de diâmetro 2,7mm, tudo incluído, fornecimento e execução</t>
  </si>
  <si>
    <t>Barreira de Siltagem com escoras de eucalipto, diâm. 0,10m e a altura 1,60m, espaçadas a cada 2,0 m, 1 reaproveitamento</t>
  </si>
  <si>
    <t>Recomposição de talude de corte com aterro de solo argiloso compactado, exclusive material de aterro</t>
  </si>
  <si>
    <t>Defensa metálica (2 lâminas com espessuras = 3mm) inclusive acessórios, fornecimento e colocação</t>
  </si>
  <si>
    <t>Grupo focal gradativo (semáforo com informação de tempo) com lâmpada LED, fornecimento e instalação</t>
  </si>
  <si>
    <t>Sinalização vertical com chapa em poliéster (e=2,3mm) reforçada com fibra de vidro, inclusive suporte de madeira</t>
  </si>
  <si>
    <t>Suporte de placa de sinalização vertical em madeira de 1ª qualidade, pintada, fornecimento e instalação</t>
  </si>
  <si>
    <t>Tacha refletiva monodirecional, fornecimento e aplicação</t>
  </si>
  <si>
    <t>Tachão refletivo monodirecional, fornecimento e aplicação</t>
  </si>
  <si>
    <t>Tela de proteção de segurança de PVC cor laranja com suporte para sinalização de obras</t>
  </si>
  <si>
    <t>Base de solo estabilizada granulométricamente sem mistura inclusive escavação e carga</t>
  </si>
  <si>
    <t>Colchão drenante de brita 1, inclusive fornecimento, espalhamento, compactação e transporte da brita</t>
  </si>
  <si>
    <t>Defensas metálicas (espessura lâminas = 3 mm), inclusive fornecimento de materiais, substituição</t>
  </si>
  <si>
    <t>Limpeza e desobstrução de rede de drenagem, utilizando caminhão equipado com conjunto de alta pressão e sucção</t>
  </si>
  <si>
    <t>Reciclagem de pavimento (base) c/ adição de 20% de brita1, 10% de brita0 e 2% de cimento, inclusive fornecimento e transportes dos materiais</t>
  </si>
  <si>
    <t>Reparo de caixa coletora</t>
  </si>
  <si>
    <t>Reparo de cerca ( substituição de mourões, grampo e arame farpado), inclusive transportes de todos os materiais</t>
  </si>
  <si>
    <t>Roçada manual com roçadeira costal, ferramentas manuais, inclusive limpeza e remoção com retroescavadeira (conservação)</t>
  </si>
  <si>
    <t>Roçada manual com roçadeira costal, ferramentas manuais, inclusive limpeza manual ( conservação)</t>
  </si>
  <si>
    <t>Encamisamento metálico de estacas, diâmetro 380mm em chapa de 6.3mm, preenchido c/ concreto auto adensável (20MPa)</t>
  </si>
  <si>
    <t>Estaca metálica, fornecimento, transporte, perdas, solda, emenda, corte e cravação de trilho TR- 57</t>
  </si>
  <si>
    <t>Estaca metálica, fornecimento, transporte, perdas, solda, emenda, corte e cravação de 2 TR- 57</t>
  </si>
  <si>
    <t>Estaca metálica, fornecimento, transporte, perdas, solda, emenda, corte e cravação de 2 TR- 68</t>
  </si>
  <si>
    <t>Estaca raiz perfurada em rocha, diâm. 310mm com injeção de arg. incl. fornecimento de todos materiais</t>
  </si>
  <si>
    <t>Estaca raiz perfurada em solo, diâm. 410mm com injeção de arg. incl. fornecimento de todos materiais</t>
  </si>
  <si>
    <t>Formas planas de madeira sem reaproveitamento (fundações), inclusive fornecimento e transporte das madeiras</t>
  </si>
  <si>
    <t>Perfuração rotativa vertical, em solo, com coroa de Widia ou similar, diâmetro H(99mm), inclusive deslocamento e posicionamento em cada furo</t>
  </si>
  <si>
    <t>Perfuração rotativa vertical, em solo, com coroa de Widia ou similar, diâmetro N(75mm), inclusive deslocamento e posicionamento em cada furo</t>
  </si>
  <si>
    <t>Passarela metálica p/ pontes rodoviárias com 1,0m de largura, piso em chapa xadrez esp 1/4", em perfis laminados, inclusive pintura</t>
  </si>
  <si>
    <t>Tabuleiro em vigas pré-moldadas CL.45, com ou sem laje entre vigas, vão de 10,00 m, inclusive descarga e assentamento das vigas</t>
  </si>
  <si>
    <t>Tabuleiro em vigas pré-moldadas CL.45, com ou sem laje entre vigas, vão de 11,00 m, inclusive descarga e assentamento das vigas</t>
  </si>
  <si>
    <t>Tabuleiro em vigas pré-moldadas CL.45, com ou sem laje entre vigas, vão de 12,00 m, inclusive descarga e assentamento das vigas</t>
  </si>
  <si>
    <t>Tabuleiro em vigas pré-moldadas CL.45, com ou sem laje entre vigas, vão de 13,00 m, inclusive descarga e assentamento das vigas</t>
  </si>
  <si>
    <t>Tabuleiro em vigas pré-moldadas CL.45, com ou sem laje entre vigas, vão de 15,00 m, inclusive descarga e assentamento das vigas</t>
  </si>
  <si>
    <t>Tabuleiro em vigas pré-moldadas CL.45, com ou sem laje entre vigas, vão de 5,00 m, inclusive descarga e assentamento das vigas</t>
  </si>
  <si>
    <t>Tabuleiro em vigas pré-moldadas CL.45, com ou sem laje entre vigas, vão de 6,00 m, inclusive descarga e assentamento das vigas</t>
  </si>
  <si>
    <t>Tabuleiro em vigas pré-moldadas CL.45, com ou sem laje entre vigas, vão de 7,00 m, inclusive descarga e assentamento das vigas</t>
  </si>
  <si>
    <t>Tabuleiro em vigas pré-moldadas CL.45, com ou sem laje entre vigas, vão de 8,00 m, inclusive descarga e assentamento das vigas</t>
  </si>
  <si>
    <t>Tabuleiro em vigas pré-moldadas CL.45, com ou sem laje entre vigas, vão de 9,00 m, inclusive descarga e assentamento das vigas</t>
  </si>
  <si>
    <t>Tabuleiro em vigas pré-moldadas CL.45, com ou sem laje entre vigas, vão 14,00 m, inclusive descarga e assentamento das vigas</t>
  </si>
  <si>
    <t>Acabamento em concreto fresco (15,0 MPA), para pavimento, inclusive endurecedor químico de superfície</t>
  </si>
  <si>
    <t>Aparelho de apoio de neoprene fretado, fornecimento e assentamento, inclusive grauteamento e transporte do neoprene</t>
  </si>
  <si>
    <t>dm3</t>
  </si>
  <si>
    <t>Cantoneiras (2 1/2" x 2 1/2" x 5/16") para extremidade de laje, fornecimento, montagem e pintura</t>
  </si>
  <si>
    <t>Chumbador de aço de 25 mm, inclusive proteção anticorrosiva, exclusive a injeção e a perfuração</t>
  </si>
  <si>
    <t>Colagem das mantas de borracha nos berços de apoio das placas, com Sikadur 32 ou equivalente, fornecimento e aplicação</t>
  </si>
  <si>
    <t>Cone de ancoragem de cabo de aço com 12 cordoalhas de 1/2", inclusive protensão dos cabos</t>
  </si>
  <si>
    <t>Escoramento de O.A.E. diretamente sobre o solo, inclusive fornecimento e transporte das madeiras</t>
  </si>
  <si>
    <t>Escoramento e cimbramento (pontes e pontilhões), inclusive fornecimento e transporte das madeiras</t>
  </si>
  <si>
    <t>Formas planas de madeira com 05 (cinco) utilizações (guarda-corpo de pontes), inclusive fornecimento e transportes das madeiras</t>
  </si>
  <si>
    <t>Formas planas de madeirit meso e superestrutura com 1 reaproveitamento esp. = 14 mm, inclusive fornecimento e transporte das madeiras</t>
  </si>
  <si>
    <t>Formas planas de madeirit meso e superestrutura com 1 reaproveitamento esp. = 17 mm, inclusive fornecimento e transporte das madeiras</t>
  </si>
  <si>
    <t>Formas planas de madeirit meso e superestrutura com 2 reaproveitamentos esp. = 17 mm, inclusive fornecimento e transporte das madeiras</t>
  </si>
  <si>
    <t>Formas planas de madeirit meso e superestrutura com 4 reaproveitamentos esp. = 17 mm, inclusive fornecimento e transporte das madeiras</t>
  </si>
  <si>
    <t>Formas planas de madeirit meso e superestrutura sem reaproveitamento esp. = 10 mm, inclusive fornecimento e transporte das madeiras</t>
  </si>
  <si>
    <t>Formas planas de madeirit meso e superestrutura sem reaproveitamento esp. = 14 mm, inclusive fornecimento e transporte das madeiras</t>
  </si>
  <si>
    <t>Formas planas de madeirit meso e superestrutura sem reaproveitamento esp. = 17 mm, inclusive fornecimento e transporte das madeiras</t>
  </si>
  <si>
    <t>Furação, fornecimento e fixação de grampos 12,5 mm com resina epoxi em vigas pré- moldadas</t>
  </si>
  <si>
    <t>Junta de dilatação elástica pré-moldada p/ concreto, tipo fungenband em perfil O-12 de PVC alta densidade, Uniontech ou equival. fornecim./colocação</t>
  </si>
  <si>
    <t>Junta perfil elastomérico de vedação p/pontes c/abertura média de 25mm ± 10 mm, inclus. lábios poliméricos-Marca Ref JEENE-JJ2540 VV (constr.)</t>
  </si>
  <si>
    <t>Junta perfil elastomérico de vedação p/pontes c/abertura média de 50 mm ±  25 mm, inclus. lábios poliméricos-Marca Ref.JEENE mod.JJ-5070 (constr.)</t>
  </si>
  <si>
    <t>Junta perfil elastomérico de vedação p/pontes c/abertura média de 50mm ± 25mm,inclus. lábios poliméricos-Marca Ref JEENE mod.JJ-5070 VV(substituição)</t>
  </si>
  <si>
    <t>Ponte provisoria para movimentação de equipamentos de execução de fundação composta de passadiço de madeira sobre estacas de madeira</t>
  </si>
  <si>
    <t>Preparo e colocação de 12 cordoalhas de 1/2" (Aço CP-190 RB) nas formas, inclusive injeção de nata de cimento</t>
  </si>
  <si>
    <t>Tirante de aço Rocsolo ou similar, diâmetro 29,3mm, incluindo fornecimento da barra e da bainha proteção anticorrosiva, preparo e colocação no furo</t>
  </si>
  <si>
    <t>Tirante de aço ST 50/55, para carga trab. até 22 t, diam.32mm, incluindo fornecimento da bainha proteção anticorrosiva, preparo e colocação no furo.</t>
  </si>
  <si>
    <t>Tirante de aço ST 85/105, diâmetro de 32 mm, incluindo fornecimento da barra e da bainha proteção anticorrosiva, preparo e colocação no furo</t>
  </si>
  <si>
    <t>Limpeza e desmatamento em área alagada (pântano) com ferr. man., incl. moto serra em Vias Urbanas</t>
  </si>
  <si>
    <t>Remoção de solos moles, incluindo carregamento mecânico com escavadeira hidráulica em Vias Urbanas</t>
  </si>
  <si>
    <t>Transporte horizontal com trator de lâmina de material de 1ª cat. DMTaté 50m em Vias Urbanas</t>
  </si>
  <si>
    <t>Base de solo brita, 50% em peso, inclusive fornecimento, exclusive transporte da brita em Vias Urbanas</t>
  </si>
  <si>
    <t>Fresagem de pavimento asfáltico a frio, esp. até 15cm, exclusive transporte de materiais, em Vias Urbanas</t>
  </si>
  <si>
    <t>Fresagem de pavimento asfáltico a frio, esp=5cm, exclusive transporte de materiais em Vias Urbanas</t>
  </si>
  <si>
    <t>Imprimação exclusive fornecimento e transporte comercial do material betuminoso em Vias Urbanas</t>
  </si>
  <si>
    <t>Imprimação inclusive fornecimento e transporte comercial do material betuminoso em Vias Urbanas</t>
  </si>
  <si>
    <t>Micro revestimento asfáltico à frio inclusive fornecimento e transporte comercial do material betuminoso, em Vias Urbanas</t>
  </si>
  <si>
    <t>Obturação de buracos c/ CBUQ inclusive fornecimento e transporte comercial dos materiais betuminosos em Vias Urbanas</t>
  </si>
  <si>
    <t>Obturação de buracos c/ CBUQ inclusive fornecimento e transporte dos materiais betuminosos em Vias Urbanas</t>
  </si>
  <si>
    <t>Pavimentação com blocos de concreto (35 MPa), esp.=06cm, sobre colchão areia esp.=5cm, inclusive fornecim. e transporte blocos e areia,  Vias Urbanas</t>
  </si>
  <si>
    <t>Pavimentação com blocos de concreto (35 MPa), esp.=08cm, sobre colchão de areia 5cm, inclusive fornecim. e transporte blocos e areia, em Vias Urbanas</t>
  </si>
  <si>
    <t>Pavimentação com blocos de concreto (35 MPa), esp.=10cm, sobre colchão de areia esp.= 5cm, inclusive fornecim.e transporte blocos e areia,Vias Urbanas</t>
  </si>
  <si>
    <t>Pavimentação com paralelepípedo, colchão areia 5cm, inclusive fornecimento e transporte do paralelepípedo e areia, em Vias Urbanas</t>
  </si>
  <si>
    <t>Pavimentação com paralelepípedo sobre colchão pó de pedra esp.=5cm, inclusive fornecimento e transporte do paralelepípedo e pó de pedra, Vias Urbanas</t>
  </si>
  <si>
    <t>Pavimentação com pedra portuguesa, inclusive fornecimento e transporte do cimento, areia e pedra portuguesa em Vias Urbanas</t>
  </si>
  <si>
    <t>Pintura de ligação exclusive fornecimento e transporte comercial do material betuminoso em Vias Urbanas</t>
  </si>
  <si>
    <t>Pintura de ligação inclusive fornecimento e transporte comercial do material betuminoso em Vias Urbanas</t>
  </si>
  <si>
    <t>Sub-base solo brita, 50% em peso, inclusive fornecimento e transporte da brita em Vias Urbanas</t>
  </si>
  <si>
    <t>T.S.B.D. com capa selante, executado com Multidistribuidor inclusive fornecimento e transporte da emulsão, areia, brita e lavagem da brita -V. Urbanas</t>
  </si>
  <si>
    <t>T.S.B.D. com capa selante inclusive fornec. areia/brita/emulsão, transporte comerc. emulsão e lavagem brita, exclus. transp. areia e brita - V.Urbana</t>
  </si>
  <si>
    <t>T.S.B.D. sem capa selante, inclusive fornecimento e transporte comercial do material betuminoso e lavagem da brita em Vias Urbanas</t>
  </si>
  <si>
    <t>T.S.B.D. sem capa selante executado com Multidistribuidor excl. forn.e transp. com. da emulsão, inclus. fornecim., transp.e lavagem brita, V.Urbanas</t>
  </si>
  <si>
    <t>Alvenaria de bloco (39 x 19 x 09) cm espessura 09 cm em Vias Urbanas, inclusive transporte, areia, cimento e bloco</t>
  </si>
  <si>
    <t>Alvenaria de bloco (39 x 19 x 19) cm espessura 19 cm, inclusive transporte de areia, cimento e bloco em Vias Urbanas</t>
  </si>
  <si>
    <t>Alvenaria de lajota (20 x 20 x 10) cm espessura 10 cm , inclusive transporte de areia, lajota e cimento, em Vias Urbanas</t>
  </si>
  <si>
    <t>Alvenaria de pedra de mão (junta seca), inclusive transporte da pedra em Vias Urbanas</t>
  </si>
  <si>
    <t>Alvenaria de pedra de mão argamassada (argamassa cimento areia 1:4) inclusive transporte da pedra de mão, em Vias Urbanas</t>
  </si>
  <si>
    <t>Andaime de madeira para altura até 7 m, compreendendo montagem e desmontagem em Vias Urbanas</t>
  </si>
  <si>
    <t>Bueiro Metálico BSTM - D= 3,00 m - T.L. com tratamento epóxi e=2,7 mm - método não destrutivo em Vias Urbanas</t>
  </si>
  <si>
    <t>Bueiro Metálico BSTM - D=3,05m - MP-152 com tratamento epóxi e=2,7mm - método destrutivo, inclusive lastro de brita em Vias Urbanas</t>
  </si>
  <si>
    <t>Caixa Boca de Lobo em bloco pré-moldado de concreto para diâm.=1,00m (1,30 x 1,30m) em Vias Urbanas</t>
  </si>
  <si>
    <t>Caixa Boca de Lobo em bloco pré-moldado para diâm. = 0,60m (1,00 x 1,00m) CBL2 (Vias Urbanas)</t>
  </si>
  <si>
    <t>Caixa Boca de Lobo em bloco pré-moldado para diâm.= 0,30m e 0,40m (0,80 x 0,80m) (Vias Urbanas)</t>
  </si>
  <si>
    <t>Caixa de passagem em bloco pré-moldado para d=0,30 e 0,40m (0,80x0,80m) em Vias Urbanas</t>
  </si>
  <si>
    <t>Canaleta de concreto, com forma retangular inclusive caiação - parede 12 cm em Vias Urbanas</t>
  </si>
  <si>
    <t>Cerca em tela revestida em PVC com mourões de concreto, fornecimento e execução em Vias Urbanas</t>
  </si>
  <si>
    <t>Colchão drenante de areia para fundação de aterros, exclusive o fornecimento de areia em Vias Urbanas</t>
  </si>
  <si>
    <t>Colchão drenante de areia para fundação de aterros, inclusive fornecimento e transporte da areia em Vias Urbanas</t>
  </si>
  <si>
    <t>Colchão drenante de brita 1 inclusive fornecimento, espalhamento, compactação e transporte da brita em Vias Urbanas</t>
  </si>
  <si>
    <t>Colchão drenante de brita 2 inclusive fornecimento, espalhamento, compactação e transporte da brita em Vias Urbanas</t>
  </si>
  <si>
    <t>Colchão drenante de brita 3 inclusive fornecimento, espalhamento, compactação e transporte da brita em Vias Urbanas</t>
  </si>
  <si>
    <t>Coleta drenante (1,00x1,00) m c/ geotêxtil não tecido RT 16kn/m, inclusive transporte da brita em Vias Urbanas</t>
  </si>
  <si>
    <t>Concreto armado, dosado para resist. 20 Mpa,  incluindo 60 kg aço CA-50 A, mão de obra p/ corte, dobragem e montagem, exclusive forma em Vias Urbanas</t>
  </si>
  <si>
    <t>Concreto estrutural fck = 30,0 MPa com micro-silica e Sikacrete BR ou equivalente em Vias Urbanas</t>
  </si>
  <si>
    <t>Concreto estrutural fck = 35,0 MPa com micro-silica e Sikacrete ou equivalente em Vias Urbanas</t>
  </si>
  <si>
    <t>Corpo BDTC (grota) diâmetro 0,60 m CA-1 MF exclusive escavação e reaterro, inclusive transporte do tubo em Vias Urbanas</t>
  </si>
  <si>
    <t>Corpo BDTC (grota) diâmetro 0,60 m CA-1 PB exclusive escavação e reaterro, inclusive transporte do tubo em Vias Urbanas</t>
  </si>
  <si>
    <t>Corpo BDTC (grota) diâmetro 0,60 m CA-2 MF exclusive escavação e reaterro, inclusive transporte do tubo em Vias Urbanas</t>
  </si>
  <si>
    <t>Corpo BDTC (grota) diâmetro 0,60 m CA-2 PB exclusive escavação e reaterro, inclusive transporte do tubo em Vias Urbanas</t>
  </si>
  <si>
    <t>Corpo BDTC (grota) diâmetro 0,80 m CA-1 MF exclusive escavação e reaterro, inclusive transporte do tubo em Vias Urbanas</t>
  </si>
  <si>
    <t>Corpo BDTC (grota) diâmetro 0,80 m CA-1 PB exclusive escavação e reaterro, inclusive transporte do tubo em Vias Urbanas</t>
  </si>
  <si>
    <t>Corpo BDTC (grota) diâmetro 0,80 m CA-2 MF exclusive escavação e reaterro, inclusive transporte do tubo em Vias Urbanas</t>
  </si>
  <si>
    <t>Corpo BDTC (grota) diâmetro 0,80 m CA-2 PB exclusive escavação e reaterro, inclusive transporte do tubo em Vias Urbanas</t>
  </si>
  <si>
    <t>Corpo BDTC (grota) diâmetro 1,00 m CA-1 MF exclusive escavação e reaterro, inclusive transporte do tubo em Vias Urbanas</t>
  </si>
  <si>
    <t>Corpo BDTC (grota) diâmetro 1,00 m CA-1 PB exclusive escavação e reaterro, inclusive transporte do tubo em Vias Urbanas</t>
  </si>
  <si>
    <t>Corpo BDTC (grota) diâmetro 1,00 m CA-2 MF exclusive escavação e reaterro, inclusive transporte do tubo em Vias Urbanas</t>
  </si>
  <si>
    <t>Corpo BDTC (grota) diâmetro 1,00 m CA-2 PB exclusive escavação e reaterro, inclusive transporte do tubo em Vias Urbanas</t>
  </si>
  <si>
    <t>Corpo BDTC (grota) diâmetro 1,00 m CA-3 MF exclusive escavação e reaterro, inclusive transporte do tubo em Vias Urbanas</t>
  </si>
  <si>
    <t>Corpo BDTC (grota) diâmetro 1,20 m CA-1 MF exclusive escavação e reaterro, inclusive transporte do tubo em Vias Urbanas</t>
  </si>
  <si>
    <t>Corpo BDTC (grota) diâmetro 1,20 m CA-2 MF exclusive escavação e reaterro, inclusive transporte do tubo em Vias Urbanas</t>
  </si>
  <si>
    <t>Corpo BDTC (grota) diâmetro 1,20 m CA-2 PB exclusive escavação e reaterro, inclusive transporte do tubo em Vias Urbanas</t>
  </si>
  <si>
    <t>Corpo BDTC (grota) diâmetro 1,20 m CA-3 MF exclusive escavação e reaterro, inclusive transporte do tubo em Vias Urbanas</t>
  </si>
  <si>
    <t>Corpo BDTC (grota) diâmetro 1,50 m CA-1 MF exclusive escavação e reaterro, inclusive transporte do tubo em Vias Urbanas</t>
  </si>
  <si>
    <t>Corpo BDTC (grota) diâmetro 1,50 m CA-1 PB exclusive escavação e reaterro, inclusive transporte do tubo em Vias Urbanas</t>
  </si>
  <si>
    <t>Corpo BDTC (grota) diâmetro 1,50 m CA-2 MF exclusive escavação e reaterro, inclusive transporte do tubo em Vias Urbanas</t>
  </si>
  <si>
    <t>Corpo BDTC (grota) diâmetro 1,50 m CA-2 PB exclusive escavação e reaterro, inclusive transporte do tubo em Vias Urbanas</t>
  </si>
  <si>
    <t>Corpo BDTC (grota) diâmetro 1,50 m CA-3 MF exclusive escavação e reaterro, inclusive transporte do tubo em Vias Urbanas</t>
  </si>
  <si>
    <t>Corpo BSTC diâmetro 0,20 m C.S. MF inclusive escavação, reaterro e transporte do tubo em Vias Urbanas</t>
  </si>
  <si>
    <t>Corpo BSTC diâmetro 0,20 m C.S. PB inclusive escavação, reaterro e transporte do tubo em Vias Urbanas</t>
  </si>
  <si>
    <t>Corpo BSTC diâmetro 0,30 m C.S. MF inclusive escavação, reaterro e transporte do tubo em Vias Urbanas</t>
  </si>
  <si>
    <t>Corpo BSTC diâmetro 0,30 m C.S. PB inclusive escavação, reaterro e transporte do tubo em Vias Urbanas</t>
  </si>
  <si>
    <t>Corpo BSTC diâmetro 0,40 m C.S. MF inclusive escavação, reaterro e transporte do tubo em Vias Urbanas</t>
  </si>
  <si>
    <t>Corpo BSTC diâmetro 0,40 m C.S. PB inclusive escavação, reaterro e transporte do tubo em Vias Urbanas</t>
  </si>
  <si>
    <t>Corpo BSTC diâmetro 0,60 m C.S. MF inclusive escavação, reaterro e transporte do tubo em Vias Urbanas</t>
  </si>
  <si>
    <t>Corpo BSTC diâmetro 0,60 m C.S. PB inclusive escavação, reaterro e transporte do tubo em Vias Urbanas</t>
  </si>
  <si>
    <t>Corpo BSTC (greide) diâmetro 0,30 m CA-1 MF inclusive escavação, reaterro e transporte do tubo em Vias Urbanas</t>
  </si>
  <si>
    <t>Corpo BSTC (greide) diâmetro 0,40 m CA-1 MF inclusive escavação, reaterro e transporte do tubo em Vias Urbanas</t>
  </si>
  <si>
    <t>Corpo BSTC (greide) diâmetro 0,40 m CA-2 MF inclusive escavação, reaterro e transporte do tubo em Vias Urbanas</t>
  </si>
  <si>
    <t>Corpo BSTC (greide) diâmetro 0,60 m CA-1 MF inclusive escavação, reaterro e transporte do tubo em Vias Urbanas</t>
  </si>
  <si>
    <t>Corpo BSTC (greide) diâmetro 0,60 m CA-1 PB inclusive escavação, reaterro e transporte do tubo em Vias Urbanas</t>
  </si>
  <si>
    <t>Corpo BSTC (greide) diâmetro 0,60 m CA-2 MF inclusive escavação, reaterro e transporte do tubo em Vias Urbanas</t>
  </si>
  <si>
    <t>Corpo BSTC (greide) diâmetro 0,60 m CA-2 PB inclusive escavação, reaterro e transporte do tubo em Vias Urbanas</t>
  </si>
  <si>
    <t>Corpo BSTC (greide) diâmetro 0,80 m CA-1 MF inclusive escavação, reaterro e transporte do tubo em Vias Urbanas</t>
  </si>
  <si>
    <t>Corpo BSTC (greide) diâmetro 0,80 m CA-1 PB inclusive escavação, reaterro e transporte do tubo em Vias Urbanas</t>
  </si>
  <si>
    <t>Corpo BSTC (greide) diâmetro 0,80 m CA-2 MF inclusive escavação, reaterro e transporte do tubo em Vias Urbanas</t>
  </si>
  <si>
    <t>Corpo BSTC (greide) diâmetro 0,80 m CA-2 PB inclusive escavação, reaterro e transporte do tubo em Vias Urbanas</t>
  </si>
  <si>
    <t>Corpo BSTC (greide) diâmetro 1,00 m CA-1 MF inclusive escavação, reaterro e transporte do tubo em Vias Urbanas</t>
  </si>
  <si>
    <t>Corpo BSTC (greide) diâmetro 1,00 m CA-1 PB inclusive escavação, reaterro e transporte do tubo em Vias Urbanas</t>
  </si>
  <si>
    <t>Corpo BSTC (greide) diâmetro 1,00 m CA-2 MF inclusive escavação, reaterro e transporte do tubo em Vias Urbanas</t>
  </si>
  <si>
    <t>Corpo BSTC (greide) diâmetro 1,00 m CA-2 PB inclusive escavação, reaterro e transporte do tubo em Vias Urbanas</t>
  </si>
  <si>
    <t>Corpo BSTC (greide) diâmetro 1,20 m CA-1 MF inclusive escavação, reaterro e transporte do tubo em Vias Urbanas</t>
  </si>
  <si>
    <t>Corpo BSTC (greide) diâmetro 1,20 m CA-1 PB inclusive escavação, reaterro e transporte do tubo em Vias Urbanas</t>
  </si>
  <si>
    <t>Corpo BSTC (greide) diâmetro 1,20 m CA-2 MF inclusive escavação, reaterro e transporte do tubo, em Vias Urbanas</t>
  </si>
  <si>
    <t>Corpo BSTC (greide) diâmetro 1,20 m CA-2 PB inclusive escavação, reaterro e transporte do tubo em Vias Urbanas</t>
  </si>
  <si>
    <t>Corpo BSTC (grota) diâmetro 0,60 m CA-1 MF exclusive escavação e reaterro, inclusive transporte do tubo em Vias Urbanas</t>
  </si>
  <si>
    <t>Corpo BSTC (grota) diâmetro 0,60 m CA-1 PB exclusive escavação e reaterro, inclusive transporte do tubo em Vias Urbanas</t>
  </si>
  <si>
    <t>Corpo BSTC (grota) diâmetro 0,60 m CA-2 MF exclusive escavação e reaterro, inclusive transporte do tubo em Vias Urbanas</t>
  </si>
  <si>
    <t>Corpo BSTC (grota) diâmetro 0,60 m CA-2 PB exclusive escavação e reaterro, inclusive transporte do tubo em Vias Urbanas</t>
  </si>
  <si>
    <t>Corpo BSTC (grota) diâmetro 0,80 m CA-1 MF exclusive escavação e reaterro, inclusive transporte do tubo em Vias Urbanas</t>
  </si>
  <si>
    <t>Corpo BSTC (grota) diâmetro 0,80 m CA-1 PB exclusive escavação e reaterro, inclusive transporte do tubo em Vias Urbanas</t>
  </si>
  <si>
    <t>Corpo BSTC (grota) diâmetro 0,80 m CA-2 MF exclusive escavação e reaterro, inclusive transporte do tubo em Vias Urbanas</t>
  </si>
  <si>
    <t>Corpo BSTC (grota) diâmetro 0,80 m CA-2 PB exclusive escavação e reaterro, inclusive transporte do tubo em Vias Urbanas</t>
  </si>
  <si>
    <t>Corpo BSTC (grota) diâmetro 1,00 m CA-1 MF exclusive escavação e reaterro, inclusive transporte do tubo em Vias Urbanas</t>
  </si>
  <si>
    <t>Corpo BSTC (grota) diâmetro 1,00 m CA-1 PB exclusive escavação e reaterro, inclusive transporte do tubo em Vias Urbanas</t>
  </si>
  <si>
    <t>Corpo BSTC (grota) diâmetro 1,00 m CA-2 MF exclusive escavação e reaterro, inclusive transporte do tubo em Vias Urbanas</t>
  </si>
  <si>
    <t>Corpo BSTC (grota) diâmetro 1,00 m CA-2 PB exclusive escavação e reaterro, inclusive transporte do tubo em Vias Urbanas</t>
  </si>
  <si>
    <t>Corpo BSTC (grota) diâmetro 1,00 m CA-3 MF exclusive escavação e reaterro, inclusive transporte do tubo em Vias Urbanas</t>
  </si>
  <si>
    <t>Corpo BSTC (grota) diâmetro 1,20 m CA-1 MF exclusive escavação e reaterro, inclusive transporte do tubo em Vias Urbanas</t>
  </si>
  <si>
    <t>Corpo BSTC (grota) diâmetro 1,20 m CA-1 PB exclusive escavação e reaterro, inclusive transporte do tubo em Vias Urbanas</t>
  </si>
  <si>
    <t>Corpo BSTC (grota) diâmetro 1,20 m CA-2 MF exclusive escavação e reaterro, inclusive transporte do tubo em Vias Urbanas</t>
  </si>
  <si>
    <t>Corpo BSTC (grota) diâmetro 1,20 m CA-2 PB exclusive escavação e reaterro, inclusive transporte do tubo em Vias Urbanas</t>
  </si>
  <si>
    <t>Corpo BSTC (grota) diâmetro 1,20 m CA-3 MF exclusive escavação e reaterro, inclusive transporte do tubo em Vias Urbanas</t>
  </si>
  <si>
    <t>Corpo BSTC (grota) diâmetro 1,50 m CA-1 MF exclusive escavação e reaterro, inclusive transporte do tubo em Vias Urbanas</t>
  </si>
  <si>
    <t>Corpo BSTC (grota) diâmetro 1,50 m CA-1 PB exclusive escavação e reaterro, inclusive transporte do tubo em Vias Urbanas</t>
  </si>
  <si>
    <t>Corpo BSTC (grota) diâmetro 1,50 m CA-2 MF exclusive escavação e reaterro, inclusive transporte do tubo em Vias Urbanas</t>
  </si>
  <si>
    <t>Corpo BSTC (grota) diâmetro 1,50 m CA-2 PB exclusive escavação e reaterro, inclusive transporte do tubo em Vias Urbanas</t>
  </si>
  <si>
    <t>Corpo BSTC (grota) diâmetro 1,50 m CA-3 MF exclusive escavação e reaterro, inclusive transporte do tubo em Vias Urbanas</t>
  </si>
  <si>
    <t>Corpo BTTC (grota) diâmetro 0,60 m CA-1 MF exclusive escavação e reaterro, inclusive transporte do tubo em Vias Urbanas</t>
  </si>
  <si>
    <t>Corpo BTTC (grota) diâmetro 0,60 m CA-1 PB exclusive escavação e reaterro, inclusive transporte do tubo em Vias Urbanas</t>
  </si>
  <si>
    <t>Corpo BTTC (grota) diâmetro 0,60 m CA-2 MF exclusive escavação e reaterro, inclusive transporte do tubo em Vias Urbanas</t>
  </si>
  <si>
    <t>Corpo BTTC (grota) diâmetro 0,60 m CA-2 PB exclusive escavação e reaterro, inclusive transporte do tubo em Vias Urbanas</t>
  </si>
  <si>
    <t>Corpo BTTC (grota) diâmetro 0,80 m CA-1 MF exclusive escavação e reaterro, inclusive transporte do tubo em Vias Urbanas</t>
  </si>
  <si>
    <t>Corpo BTTC (grota) diâmetro 0,80 m CA-1 PB exclusive escavação e reaterro, inclusive transporte do tubo em Vias Urbanas</t>
  </si>
  <si>
    <t>Corpo BTTC (grota) diâmetro 0,80 m CA-2 MF exclusive escavação e reaterro, inclusive transporte do tubo em Vias Urbanas</t>
  </si>
  <si>
    <t>Corpo BTTC (grota) diâmetro 0,80 m CA-2 PB exclusive escavação e reaterro, inclusive transporte do tubo em Vias Urbanas</t>
  </si>
  <si>
    <t>Corpo BTTC (grota) diâmetro 1,00 m CA-1 MF exclusive escavação e reaterro, inclusive transporte do tubo em Vias Urbanas</t>
  </si>
  <si>
    <t>Corpo BTTC (grota) diâmetro 1,00 m CA-1 PB exclusive escavação e reaterro, inclusive transporte do tubo em Vias Urbanas</t>
  </si>
  <si>
    <t>Corpo BTTC (grota) diâmetro 1,00 m CA-2 MF exclusive escavação e reaterro, inclusive transporte do tubo em Vias Urbanas</t>
  </si>
  <si>
    <t>Corpo BTTC (grota) diâmetro 1,00 m CA-2 PB exclusive escavação e reaterro, inclusive transporte do tubo em Vias Urbanas</t>
  </si>
  <si>
    <t>Corpo BTTC (grota) diâmetro 1,00 m CA-3 MF exclusive escavação e reaterro, inclusive transporte do tubo em Vias Urbanas</t>
  </si>
  <si>
    <t>Corpo BTTC (grota) diâmetro 1,20 m CA-1 MF exclusive escavação e reaterro, inclusive transporte do tubo em Vias Urbanas</t>
  </si>
  <si>
    <t>Corpo BTTC (grota) diâmetro 1,20 m CA-1 PB exclusive escavação e reaterro, inclusive transporte do tubo em Vias Urbanas</t>
  </si>
  <si>
    <t>Corpo BTTC (grota) diâmetro 1,20 m CA-2 MF exclusive escavação e reaterro, inclusive transporte do tubo em Vias Urbanas</t>
  </si>
  <si>
    <t>Corpo BTTC (grota) diâmetro 1,20 m CA-2 PB exclusive escavação e reaterro, inclusive transporte do tubo em Vias Urbanas</t>
  </si>
  <si>
    <t>Corpo BTTC (grota) diâmetro 1,20 m CA-3 MF exclusive escavação e reaterro, inclusive transporte do tubo em Vias Urbanas</t>
  </si>
  <si>
    <t>Corpo BTTC (grota) diâmetro 1,50 m CA-1 MF exclusive escavação e reaterro, inclusive transporte do tubo em Vias Urbanas</t>
  </si>
  <si>
    <t>Corpo BTTC (grota) diâmetro 1,50 m CA-1 PB exclusive escavação e reaterro, inclusive transporte do tubo em Vias Urbanas</t>
  </si>
  <si>
    <t>Corpo BTTC (grota) diâmetro 1,50 m CA-2 MF exclusive escavação e reaterro, inclusive transporte do tubo em Vias Urbanas</t>
  </si>
  <si>
    <t>Corpo BTTC (grota) diâmetro 1,50 m CA-2 PB exclusive escavação e reaterro, inclusive transporte do tubo em Vias Urbanas</t>
  </si>
  <si>
    <t>Corpo BTTC (grota) diâmetro 1,50 m CA-3 MF exclusive escavação e reaterro, inclusive transporte do tubo em Vias Urbanas</t>
  </si>
  <si>
    <t>Corpo de BDCC 2,00 x 1,20 m - tudo incluido conforme projeto em Vias Urbanas</t>
  </si>
  <si>
    <t>Corpo de BDCC 3,00 x 3,00 m projeto DNIT para H &lt;= 2,50 m em Vias Urbanas</t>
  </si>
  <si>
    <t>Corpo de BSCC 2,00 x 2,00m projeto DNIT para 5,00 &lt; H &lt; 7,50 m em Vias Urbanas</t>
  </si>
  <si>
    <t>Corte e esmerilhamento de pontas de tubo de ferro fundido DN 500 a 200mm em Vias Urbanas</t>
  </si>
  <si>
    <t>Curva 90° de PVC, junta elástica PBA, D=75mm, fornecimento e assentamento em Vias Urbanas</t>
  </si>
  <si>
    <t>Dreno de alívio de pavimento (DP - DAP - 01), com tubo PVC d=50mm, geotêxtil não tecido RT 07 kN/m inclusive transporte da brita em Vias Urbanas</t>
  </si>
  <si>
    <t>Dreno de PVC D = 100 mm em Vias Urbanas</t>
  </si>
  <si>
    <t>Dreno de PVC D = 50 mm em Vias Urbanas</t>
  </si>
  <si>
    <t>Dreno em PEAD perfurado diâm. = 100 mm, inclusive transporte do tubo, em Vias Urbanas</t>
  </si>
  <si>
    <t>Dreno Longitudinal tipo Trincheira Drenante, H = 0,90 m com tubo poroso tipo PEAD d =100 mm, incluindo esc. mat. 3ª cat. e transporte do tubo em Vias Urbanas</t>
  </si>
  <si>
    <t>Dreno Longitudinal tipo Trincheira Drenante, H = 0,90 m com tubo poroso tipo PEAD d=100 mm, inclusive esc. em mat. 1ª cat. e transporte do tubo em Vias Urbanas</t>
  </si>
  <si>
    <t>Dreno Longitudinal tipo Trincheira Drenante, H=0,40m c/tubo poroso PEAD d = 65 mm, incl. esc. mat. 1ª cat., geotêxtil não tecido RT 07kN/m, V. Urbanas</t>
  </si>
  <si>
    <t>Dreno profundo com enchimento de areia, escavação em material 1ª categoria, inclusive transporte da areia, em vias Urbanas</t>
  </si>
  <si>
    <t>Dreno profundo com enchimento de brita e areia (1:1) escavação em material 1ª categoria, inclusive transporte da areia e da brita em Vias Urbanas</t>
  </si>
  <si>
    <t>Dreno profundo com enchimento de brita e areia (1:1) escavação em material 2ª categoria, inclusive transporte da areia e da brita em Vias Urbanas</t>
  </si>
  <si>
    <t>Dreno profundo com enchimento de brita, escavação em material 1ª categoria, inclusive transporte da brita em Vias Urbanas</t>
  </si>
  <si>
    <t>Dreno profundo com tubo poroso, D=0,20 m com enchim. de brita, escav. material 3ª categoria (DPR-01),  inclus. transporte brita e tubo,  Vias Urbanas</t>
  </si>
  <si>
    <t>Dreno profundo com tubo poroso, D=0,20m com enchim. de brita e areia, escav. material 2ª categoria, inclusi. transp. areia,brita e tubo Vias Urbanas</t>
  </si>
  <si>
    <t>Dreno profundo D=0,10m c/ enchim.brita, areia (1:1) escav. em mat. 3ª categoria, incl.geotêxtil não tecido RT 16kn/m, e transp. brita, areia V.Urbanas</t>
  </si>
  <si>
    <t>Dreno profundo D=0,10m c/ enchim.brita,areia (1:1) escav.mat. 1ª categoria, incl. geotêxtil não tecido RT16 kn/m e transp. areia,brita- Vias Urbanas</t>
  </si>
  <si>
    <t>Dreno profundo D=0,20m com enchimento de areia, escavação em material 1ª categoria (DPS
-01), inclusive transporte da areia e do tubo em Vias Urbanas</t>
  </si>
  <si>
    <t>Dreno profundo D=0,20m com enchimento de brita e areia, escavação em material 1ª categoria, inclusive transporte da brita e da areia, em Vias Urbanas</t>
  </si>
  <si>
    <t>Dreno profundo para corte em solo, com enchimento em brita revestido com geotêxtil não tecido RT-16, inclusive transporte da brita em Vias Urbanas</t>
  </si>
  <si>
    <t>Dreno profundo solo c/tubo PEAD perfur. D=100mm envolto geotêxtil não tecido RT16kn, preench.c/brita, inclus.transp.tubo exclus transp.brita V Urbanas</t>
  </si>
  <si>
    <t>Dreno sub-horizontal D = 50 mm em PVC inclus. escavação em alteração de rocha, geotêxtil não tecido RT-16 exclusive transp. em Vias Urbanas</t>
  </si>
  <si>
    <t>Dreno sub-horizontal D = 50 mm em PVC inclus.escavação em rocha sã, geotêxtil não tecido RT-16, exclusive transportes em Vias Urbanas</t>
  </si>
  <si>
    <t>Dreno sub-horizontal D=50 mm inclusive geotêxtil não tecido RT 16 kn/m, em PVC, exclusive transportes em Vias Urbanas</t>
  </si>
  <si>
    <t>Dreno sub-superficial rocha (h=0,55m) c/tubo PEAD perfur.d=100mm, env. geotêxtil RT-16, preenc.c/ brita, incl. transp. tubo, excl. transp brita-Vias Urb</t>
  </si>
  <si>
    <t>Dreno vertical D = 75 mm em PVC, inclusive geotêxtil não tecido RT-16, exclusive transportes, em Vias Urbanas</t>
  </si>
  <si>
    <t>Eletroduto de ferro galvanizado DN 4" , inclusive conexões, exclusive escavação e reaterro, fornecimento e assentamento, em Vias Urbanas</t>
  </si>
  <si>
    <t>Eletroduto tipo Kanaflex diâmetro 1 1/4", fornecimento e assentamento em Vias Urbanas</t>
  </si>
  <si>
    <t>Escada de madeira executada sobre terreno inclinado, com 80 cm de largura mínima em Vias Urbanas</t>
  </si>
  <si>
    <t>Escavação manual furos, valetas mat. 2ª cat. H= 0,00 a 1,50 m s/detonação (dim. reduz.), em Vias Urbanas</t>
  </si>
  <si>
    <t>Escavação mecânica de valas em material de 1ª categoria, 3,00 a 4,50 m, c/ esgotamento, carga do material, transp. material p/ bota-fora -Vias Urbanas</t>
  </si>
  <si>
    <t>Escavação mecânica de valas em 1ª categoria, profundidade de 4,50 a 6,00 m com esgotamento, transp. DMT=20km, descarga e espalhamento, em Vias Urbanas</t>
  </si>
  <si>
    <t>Escavação mecânica em material de 1ª cat. H= 0,00 a 1,50 m c/ esgotamento, em Vias Urbanas</t>
  </si>
  <si>
    <t>Escavação mecânica em material de 1ª cat. H= 1,50 a 3,00 m c/ esgotamento, em Vias Urbanas</t>
  </si>
  <si>
    <t>Escavação mecânica em material de 1º cat. H= 3,00 a 4,50 m c/ esgotamento, em Vias Urbanas</t>
  </si>
  <si>
    <t>Escavação mecânica em material de 2ª cat. H= 0,00 a 1,50 m c/ esgotamento, em Vias Urbanas</t>
  </si>
  <si>
    <t>Escavação mecânica em material de 2ª cat. H= 1,50 a 3,00 m c/ esgotamento, em Vias Urbanas</t>
  </si>
  <si>
    <t>Escavação mecânica em material de 2ª cat. H= 3,00 a 4,50 m c/ esgotamento, em Vias Urbanas</t>
  </si>
  <si>
    <t>Escavação mecânica em material de 2º cat. H= 3,00 a 4,50 m c/ esgotamento em Vias Urbanas</t>
  </si>
  <si>
    <t>Escoramento de cavas e valas, inclusive fornecimento e transporte das madeiras, em Vias Urbanas</t>
  </si>
  <si>
    <t>Escoramento e cimbramento (bueiro celular), inclusive fornecimento e transporte das madeiras
,  em Vias Urbanas</t>
  </si>
  <si>
    <t>Forma especial de madeira para meio fio, inclusive fornecimento e transporte das madeiras em Vias Urbanas</t>
  </si>
  <si>
    <t>Forma especial de madeira para sarjeta (gabarito), inclusive fornecimento e transporte das madeiras, em Vias Urbanas</t>
  </si>
  <si>
    <t>Formas planas de madeira com 01 (um) reaproveitamento, inclusive fornecimento e transporte das madeiras, em Vias Urbanas</t>
  </si>
  <si>
    <t>Formas planas de madeira com 02 (dois) reaproveitamentos, inclusive fornecimento e transporte das madeiras, em Vias Urbanas</t>
  </si>
  <si>
    <t>Formas planas de madeira com 04 (quatro) reaproveitamentos, inclusive fornecimento e transporte das madeiras, em Vias Urbanas</t>
  </si>
  <si>
    <t>Formas planas de madeira sem reaproveitamento (forma perdida), inclusive fornecimento e transporte das madeiras em Vias Urbanas</t>
  </si>
  <si>
    <t>Gabião manta/colchão, p/ revest. canal em malha hex 6x8mm Zn-Al/PVC, e=2,8mm,h=0,23m, inclus.aquis./assentam. pedra mão, exclus. transp., Vias Urbanas</t>
  </si>
  <si>
    <t>Geotêxtil não-tecido com resistência longitudinal a tração 10kN/m, fornecimento e aplicação em Vias Urbanas</t>
  </si>
  <si>
    <t>Meio fio de concreto pré-moldado (12 x 30 x 15) cm, inclusive caiação e transporte do meio fio em Vias Urbanas</t>
  </si>
  <si>
    <t>Montagem e desmontagem de escoramento tubular normal, em obras de arte na densidade de 5m de tubo por m³ de escoramento em Vias Urbanas</t>
  </si>
  <si>
    <t>Muro de testa em concreto para saída de dreno profundo em rocha, inclusive transporte do tubo em Vias Urbanas</t>
  </si>
  <si>
    <t>Pescoço de poço de visita H=0,30m, diâm. = 0,60 m, fornecimento, assentamento e transporte em Vias Urbanas</t>
  </si>
  <si>
    <t>Pintura interna ou externa sobre ferro, com tinta a base de resina de borracha clorada em Vias Urbanas</t>
  </si>
  <si>
    <t>Poço de visita (tubo D=0,40 m) H=1,50 m com tampão F.F.A.P., inclusive escavação e transporte do tampão, em Vias Urbanas</t>
  </si>
  <si>
    <t>Poço de visita (tubo D=0,60 m) H=1,70 m com tampão F.F.A.P., inclusive escavação e transporte do tampão, em Vias Urbanas</t>
  </si>
  <si>
    <t>Poço de visita (tubo D=0,80 m) H=1,90 m com tampão F.F.A.P., inclusive escavação e transporte do tampão, em Vias Urbanas</t>
  </si>
  <si>
    <t>Poço de visita (tubo D=1,00 m) H=2,10 m com tampão F.F.A.P., inclusive escavação e transporte do tampão, em Vias Urbanas</t>
  </si>
  <si>
    <t>Preparo manual de talude, compreendendo acerto, raspagem eventual de até 0,30 m de prof. e afastamento lateral, em Vias Urbanas</t>
  </si>
  <si>
    <t>Preparo manual de terreno, compreendendo acerto raspagem até 25 cm de profundidade e afastamento lateral do material excedente, em Vias Urbanas</t>
  </si>
  <si>
    <t>Religação de rede de água em PVC PBA CL 15 DN 100 mm, inclusive conexões, em Vias Urbanas</t>
  </si>
  <si>
    <t>Rip-rap c/ argamassa cimento areia 1:6, inclusive aquisição e transporte dos materiais, em Vias Urbanas</t>
  </si>
  <si>
    <t>Sarjeta de concreto (STC - 02) calha triangular em corte/aterro, inclusive caiação, em Vias Urbanas</t>
  </si>
  <si>
    <t>Sarjeta de concreto (STC - 04) calha triangular de bancada em corte, inclusive caiação, em Vias Urbanas</t>
  </si>
  <si>
    <t>Tapume de vedação e proteção, executado com chapas de compensado resinado com 6 mm de espessura, exclusive pintura, em Vias Urbanas</t>
  </si>
  <si>
    <t>Tela de proteção de segurança de PVC cor laranja com suporte para sinalização de obras em Vias Urbanas</t>
  </si>
  <si>
    <t>Transporte de materiais encosta abaixo, serviço manual, inclusive carga e descarga em Vias Urbanas</t>
  </si>
  <si>
    <t>Transporte de materiais encosta acima, serviço manual, inclusive carga e descarga em Vias Urbanas</t>
  </si>
  <si>
    <t>Transposição de segmento de sarjeta - TSS 01, inclusive transporte do tubo de concreto em Vias Urbanas</t>
  </si>
  <si>
    <t>Trincheira drenante cega (0,50 x 1,70) m, com utilização de geotêxtil não tecido Rt-16 kn/m, inclusive transporte da brita em Vias Urbanas</t>
  </si>
  <si>
    <t>Tubos para irrigação Linha fixa PN40, diâmetro 75 mm, fornecimento e assentamento em Vias Urbanas</t>
  </si>
  <si>
    <t>Aluguel de container p/ escritório c/ ar condicionado e banheiro, isolam.térmico e acústico, 2 luminárias, janela de vidro, tomada p/ comput. e telef.</t>
  </si>
  <si>
    <t>Aluguel de container p/ escritório com ar condicionado, isolamento term/acust., 2 luminárias, janela de vidro, tomadas computador e telefone</t>
  </si>
  <si>
    <t>Aluguel de container tipo cozinha com isolamento térmico e acústico, 2 luminárias, piso especial e janela</t>
  </si>
  <si>
    <t>Aluguel de container tipo refeitório simples, c/ 1 aparelho de ar condicionado, 2 luminárias e 2 janelas de vidro</t>
  </si>
  <si>
    <t>Aluguel de container tipo refeitório (2 unidades acopladas), c/ 2 aparelhos de ar condicionado, 4 lumináriase 4 janelas de vidro</t>
  </si>
  <si>
    <t>Aluguel de container tipo refeitório (3 unidades acopladas), c/ 3 aparelhos de ar condiocionado
, 6 luminárias e 6 janelas de vidro</t>
  </si>
  <si>
    <t>Aluguel de container tipo sanitário com 3 vasos sanitários, lavatório, mictório, 5 chuveiros, 2 venezianas e piso especial</t>
  </si>
  <si>
    <t>Barracão com sanitário, em chapa compensada 12 mm e pont. 8x8cm, piso cimentado e cobertura em telha de fibroc. 6mm, incl. ponto de luz e cx. inspeção</t>
  </si>
  <si>
    <t>Barracão em chapa compensada 12mm e pont. 8x8cm, piso cimentado e cobertura de telhas fibrocimento 6mm, incl. ponto de luz</t>
  </si>
  <si>
    <t>Cobertura nova de telhas onduladas de fibrocimento 6,0mm, inclusive cumeeiras e acessórios de fixação</t>
  </si>
  <si>
    <t>Estrutura de madeira lei para telhado de telha ondulada de fibroc. esp. 6mm, c/ pontaletes e caibros, incl. com cupinicida, excl. telhas</t>
  </si>
  <si>
    <t>Galpão em peças de madeira 8x8cm e contravent. de 5x7cm, cobertura de telhas de fibroc. de 6mm, incl. ponto e cabo de alimentação da máquina</t>
  </si>
  <si>
    <t>Rede de luz, incl. padrão entr. energia trifás. cabo ligação até barracões, quadro distrib., disj. e chave de força, cons. 20m entre padrão entr.e QDG</t>
  </si>
  <si>
    <t>Sanitário e vestiário de 40/60 func., c/ 33,90m², paredes chapa compens. 12mm e pont. 8x8cm
, piso ciment., cobert. telha fibroc., incl. luz e cx. insp</t>
  </si>
  <si>
    <t>Tapume madeira compensada resinada e= 12mm h=2,20m, estr. c/ mad reflorest., incl montagem e pintura esmalte sintético</t>
  </si>
  <si>
    <r>
      <rPr>
        <sz val="10"/>
        <rFont val="Arial"/>
        <family val="2"/>
      </rPr>
      <t>Administração Local (valor mensal a calcular de acordo com a obra)</t>
    </r>
  </si>
  <si>
    <r>
      <rPr>
        <sz val="10"/>
        <rFont val="Arial"/>
        <family val="2"/>
      </rPr>
      <t>vb</t>
    </r>
  </si>
  <si>
    <t>Grupo de Serviço: ADMINISTRAÇÃO LOCAL</t>
  </si>
  <si>
    <r>
      <rPr>
        <sz val="10"/>
        <rFont val="Arial"/>
        <family val="2"/>
      </rPr>
      <t>*O valor correspondente ao transporte será calculado por ocasião do orçamento, quando serão informadas as distâncias.</t>
    </r>
  </si>
  <si>
    <t>Tabela Referencial Outubro 2018 sem desoneração</t>
  </si>
  <si>
    <t>Data Base: Outubro/2018</t>
  </si>
  <si>
    <t>Acabadora de asfalto AF 5000, esteira, CIBER ou equivalente</t>
  </si>
  <si>
    <t>ÓLEO DIESEL</t>
  </si>
  <si>
    <t>Acabadora de superficie de concreto, rotativa PT 36" B c/ motor de 9 hp, Petrotec ou equivalente</t>
  </si>
  <si>
    <t>Aplicador de material termoplástico por extrusão, marca de referência Elgimaq ou equivalente</t>
  </si>
  <si>
    <t>Automóvel - VW Gol (flex), 1.6 Total Flex 4 P ou equivalente</t>
  </si>
  <si>
    <t>GASOLINA</t>
  </si>
  <si>
    <t>Automóvel Utilitário - GM/S 10 cabine simples (flex), ou equivalente</t>
  </si>
  <si>
    <t>Automóvel Utilitário - VW/ Kombi (flex)</t>
  </si>
  <si>
    <t>Barco de aluminio compr. 4,20 metros motor 15HP</t>
  </si>
  <si>
    <t>Bate-estaca (martelo 2.500 kg)</t>
  </si>
  <si>
    <t>Betoneira 600 l com carregador (elétrica)</t>
  </si>
  <si>
    <t>ENERGIA</t>
  </si>
  <si>
    <t>Bomba d'água 3,0 CV</t>
  </si>
  <si>
    <t>Bomba de concreto BSF 1406 D (diesel) 60m3/h</t>
  </si>
  <si>
    <t>Bomba hidraulica tipo MT 200</t>
  </si>
  <si>
    <t>Bomba triplex MT-100, motor diesel de 12CV, 122 l/min, 250rpm, Maquessonda ou equivalente</t>
  </si>
  <si>
    <t>Calandra para chapas de aço até 25mm - 22KW</t>
  </si>
  <si>
    <t>Caminhão basculante L 2324/41 PBT=22,0t (TRUCK 15,0t)</t>
  </si>
  <si>
    <t>Caminhão basculante L 2324/51 PBT - 22,0 t</t>
  </si>
  <si>
    <t>Caminhão basculante 1315C PBT=12,9t (TOCO 8,0t)</t>
  </si>
  <si>
    <t>Caminhão basculante 1518/48C PBT=19,0t (TRUCK 12,0t)</t>
  </si>
  <si>
    <t>Caminhão carroceria L 1319 PBT=13,9t (TOCO 8,0t)</t>
  </si>
  <si>
    <t>Caminhão carroceria 1518/48 PBT=19,0t (TRUCK 15,0t)</t>
  </si>
  <si>
    <t>Caminhão carroceria 815/37 PBT=8,3t (TOCO 4,0t)</t>
  </si>
  <si>
    <t>Caminhao para hidrossemeadura L 1319 - (6.000 L)</t>
  </si>
  <si>
    <t>Caminhão tanque L 1319/48 PBT=12,9t (6.000L)</t>
  </si>
  <si>
    <t>Carregadeira de rodas ref. Caterpillar modelo 924H (1,9 m3) ( cab + ar ) ou equivalente</t>
  </si>
  <si>
    <t>Carregadeira de rodas ref. Caterpillar modelo 950H (3,10 m3) ( cab + ar ) ou equivalente</t>
  </si>
  <si>
    <t>Carreta com prancha 2040 45,0 t</t>
  </si>
  <si>
    <t>Carrinho de mão</t>
  </si>
  <si>
    <t>Compactador manual LF-100 gasol marca de referência Honda asfal 500mm ou equivalente</t>
  </si>
  <si>
    <t>Compressor de ar XA 187/400 PCM, ATLAS ou equivalente</t>
  </si>
  <si>
    <t>Compressor de ar XA 360/763 pcm (ATLAS) ou equivalente</t>
  </si>
  <si>
    <t>Conjunto acoplado para manômetro para bomba injetora manual Putzmeister ou equivalente</t>
  </si>
  <si>
    <t>Conjunto de campânula para fundação a ar comprimido</t>
  </si>
  <si>
    <t>Conjunto de manômetro O-100 bar, para bomba injetora manual Putzmeister ou similar.</t>
  </si>
  <si>
    <t>Conjunto moto bomba diam. 4"</t>
  </si>
  <si>
    <t>Conjunto móvel de britagem (produção de 80 a 100m3/h)</t>
  </si>
  <si>
    <t>Demarcador de faixas a gasolina referência Elgimaq EGM CAF 800 L ou equivalente</t>
  </si>
  <si>
    <t>Distribuidor de agregado DA 3660 D, CMV ou equivalente</t>
  </si>
  <si>
    <t>Equipamento espargidor de asfalto 1315C DA-6C 6.500L (CONSMAQ) ou equivalente</t>
  </si>
  <si>
    <t>Equipamento lama asfáltica LA-6, CONSMAQ ou equivalente, montado em caminhão</t>
  </si>
  <si>
    <t>Equipamento Vácuo SEWER JET e combinado de jato d'água à alta pressão ou equivalente</t>
  </si>
  <si>
    <t>Escavadeira EC 240 VOLVO ou equivalente</t>
  </si>
  <si>
    <t>Escavadeira hidráulica sobre esteiras mod. C X 220 (22t), Case ou equivalente</t>
  </si>
  <si>
    <t>Esmerilhadeira Angular 7" marca de referência BOSCH - 1755 ou equivalente</t>
  </si>
  <si>
    <t>Fresadora de pav. asfalt. W 1000 ou equivalente</t>
  </si>
  <si>
    <t>Furadeira elétrica de bancada</t>
  </si>
  <si>
    <t>Furadeira elétrica de impacto BOSCH 1184 ou equivalente</t>
  </si>
  <si>
    <t>Grade de disco GA-24x24 (TATU) ou equivalente</t>
  </si>
  <si>
    <t>Grupo Gerador - 25,0 / 18,0 kVA (20kW) ou equivalente</t>
  </si>
  <si>
    <t>Grupo gerador GEHM 200/187 kva (HEIMER) ou equivalente</t>
  </si>
  <si>
    <t>Grupo Gerador Stemac ou equivalente, montado em contêiner , 500 KVa</t>
  </si>
  <si>
    <t>Grupo gerador 114/109 kva (STEMAC) ou equivalente</t>
  </si>
  <si>
    <t>Grupo gerador 2,5 a 3,0 kva a gasolina</t>
  </si>
  <si>
    <t>Grupo gerador 40/35 kva (STEMAC) ou equivalente</t>
  </si>
  <si>
    <t>Guilhotina para corte em chapa de aço até 2mm</t>
  </si>
  <si>
    <t>Guindaste de esteira para 40.0t (KOEHRING BANTAM) ou equivalente</t>
  </si>
  <si>
    <t>Guindaste 97 T (PBT) sobre esteira com lança de 15m</t>
  </si>
  <si>
    <t>Guindauto 6t, Madal-Palfinger ou equivalente</t>
  </si>
  <si>
    <t>Macaco Freyssinet modelo K101 ou similar, 7 cordoalhas de 1/2" ou equivalente</t>
  </si>
  <si>
    <t>Macaco hidraúlico p/ protensao (12 cordoalhas)</t>
  </si>
  <si>
    <t>Máquina de cortar ferro</t>
  </si>
  <si>
    <t>Máquina de hidrojateamento</t>
  </si>
  <si>
    <t>Máquina de jateamento de areia</t>
  </si>
  <si>
    <t>Máquina de solda 425 A, pot=33A</t>
  </si>
  <si>
    <t>Máquina injetora de nata de cimento</t>
  </si>
  <si>
    <t>Máquina para fio diamantado, Guidoni, modelo TSY, 15 cv/11kw, ou equivalente</t>
  </si>
  <si>
    <t>Martelete man. e mec. RH 658 110 pcm/24kg (ATLAS) ou equivalente</t>
  </si>
  <si>
    <t>Moto Escavo carregador ref. Caterpillar modelo 621G ou equivalente</t>
  </si>
  <si>
    <t>Moto serra 15" (gas.)</t>
  </si>
  <si>
    <t>Motoniveladora Caterpillar modelo 120K ( cab + ar + ríper) ou equivalente</t>
  </si>
  <si>
    <t>Multi distribuidor de agregados referência MDR 9 Romanelli ou equivalente</t>
  </si>
  <si>
    <t>Perfuratriz de 22,4 kg de peso para uso subterrâneo</t>
  </si>
  <si>
    <t>Perfuratriz Mach 16 montada em esteira auto propulsora, incl. conj. de haste ou equivalente</t>
  </si>
  <si>
    <t>Recicladora ref. Caterpillar modelo RM500 ou equivalente</t>
  </si>
  <si>
    <t>Retroescavadeira MF 86 TM (MASSEY FERGUSSON) ou equivalente</t>
  </si>
  <si>
    <t>Roçadeira deslocavel adaptavel ao trator agrícola</t>
  </si>
  <si>
    <t>Roçadeira mecânica costal, Stihl - F 220 ou equivalente</t>
  </si>
  <si>
    <t>Rolo AP de pneus AP-26 (8,9t) (MULLER) ou equivalente</t>
  </si>
  <si>
    <t>Rolo AP liso de aço CA 2505 STD Dynapac ou equivalente</t>
  </si>
  <si>
    <t>Rolo AP liso de aço RT-82H (6,5t) (MULLER) ou equivalente</t>
  </si>
  <si>
    <t>Rolo AP liso de aço TH-10 (6,3t) (TEMA TERRA) ou equivalente</t>
  </si>
  <si>
    <t>Rolo AP vib. liso de aço CA-15 STD (DYNAPAC) ou equivalente</t>
  </si>
  <si>
    <t>Rolo AP vib. liso de aço VAP-70 L (MULLER) ou equivalente</t>
  </si>
  <si>
    <t>Rolo AP vib. patas 100 mm CA-25P (DYNAPAC) ou equivalente</t>
  </si>
  <si>
    <t>Rolo AP vib. patas 128 mm CA-15P (DYNAPAC) ou equivalente</t>
  </si>
  <si>
    <t>Rolo compactador de pneus CP 224, Dynapac ou equivalente</t>
  </si>
  <si>
    <t>Serra circular manual</t>
  </si>
  <si>
    <t>Serra circular (WEG) ou equivalente</t>
  </si>
  <si>
    <t>Serra de juntas para concreto, Clipper, mod. C-844 ou equivalente</t>
  </si>
  <si>
    <t>Sonda rotativa Mach 850, com motor a diesel de 30HP, Maquesonda ou equivalente</t>
  </si>
  <si>
    <t>Sonda rotativa tipo Mach 700 ou equivalente</t>
  </si>
  <si>
    <t>Talha de 4 toneladas, elétrica ref. Tirfor ou equivalente,</t>
  </si>
  <si>
    <t>Tanque estacionário 20.000 L</t>
  </si>
  <si>
    <t>Tanque estacionário 30.000 L</t>
  </si>
  <si>
    <t>Tanque pre-aquecedor 30.000L (s/óleo)</t>
  </si>
  <si>
    <t>Trator agrícola MF 297/4 -4 X 4 (MASSEY FERGUSSON) ou equivalente</t>
  </si>
  <si>
    <t>Trator de esteiras c/ placa emp. D-8R (CAT) ou equivalente</t>
  </si>
  <si>
    <t>Trator de esteiras ref. Caterpillar cm lâmina modelo D5K ou equivalente</t>
  </si>
  <si>
    <t>Trator de esteiras ref. Caterpillar cm lâmina modelo D6N ou equivalente</t>
  </si>
  <si>
    <t>Trator de esteiras ref. Caterpillar cm lâmina modelo D6T ou equivalente</t>
  </si>
  <si>
    <t>Trator de esteiras ref. Caterpillar com lâmina  modelo D8T, sem ríper ou equivalente</t>
  </si>
  <si>
    <t>Trator de esteiras ref. Caterpillar com lâmina e ripper modelo D8T ou equivalente</t>
  </si>
  <si>
    <t>Usina de asfalto UA-2 60/80 t/h - CBUQ (CIBER) ou equivalente</t>
  </si>
  <si>
    <t>Usina de asfalto 33-E 40/60 t/h - PMF (ALMEIDA) ou equivalente</t>
  </si>
  <si>
    <t>Usina de solos USC-2 dos. triplo 100/200t (CIBER) ou equivalente</t>
  </si>
  <si>
    <t>Vassoura mecânica VM-2440 (CMV) ou equivalente</t>
  </si>
  <si>
    <t>Vibrador de imersao AA67 c/ mangote, marca de referência ATLAS COPCO ou equivalente</t>
  </si>
  <si>
    <t>Salário base: R$ 995,38                                                                                                                                                                 Salário hora: R$ 4,52</t>
  </si>
  <si>
    <t>Cód. Padrão</t>
  </si>
  <si>
    <t>Descrição da mão de obra</t>
  </si>
  <si>
    <t>Qt. sal</t>
  </si>
  <si>
    <t>Valor sem encargos</t>
  </si>
  <si>
    <t>Encargos</t>
  </si>
  <si>
    <t>Valor com encargos</t>
  </si>
  <si>
    <t>Ajudante de carpinteiro</t>
  </si>
  <si>
    <t>Ajudante de carpinteiro de O.A.C.</t>
  </si>
  <si>
    <t>Ajudante de eletricista</t>
  </si>
  <si>
    <t>Ajudante de máquina</t>
  </si>
  <si>
    <t>Ajudante de pedreiro O.A.C.</t>
  </si>
  <si>
    <t>Ajudante de pedreiro O.A.E.</t>
  </si>
  <si>
    <t>Almoxarife</t>
  </si>
  <si>
    <t>Apontador</t>
  </si>
  <si>
    <t>Armador</t>
  </si>
  <si>
    <t>Auxiliar de almoxarife</t>
  </si>
  <si>
    <t>Auxiliar de serviços gerais</t>
  </si>
  <si>
    <t>Blaster</t>
  </si>
  <si>
    <t>Cabo de fogo</t>
  </si>
  <si>
    <t>Calceteiro</t>
  </si>
  <si>
    <t>Capataz de ar comprimido</t>
  </si>
  <si>
    <t>Carpinteiro de O.A.C.</t>
  </si>
  <si>
    <t>Carpinteiro de O.A.E.</t>
  </si>
  <si>
    <t>Cavouqueiro</t>
  </si>
  <si>
    <t>Compressorista</t>
  </si>
  <si>
    <t>Eletricista</t>
  </si>
  <si>
    <t>Encarregado de britador</t>
  </si>
  <si>
    <t>Encarregado de escritório</t>
  </si>
  <si>
    <t>Encarregado de fundação</t>
  </si>
  <si>
    <t>Encarregado de O.A.C.</t>
  </si>
  <si>
    <t>Encarregado de pavimentação</t>
  </si>
  <si>
    <t>Encarregado de pesagem</t>
  </si>
  <si>
    <t>Encarregado de pista</t>
  </si>
  <si>
    <t>Encarregado de protensao</t>
  </si>
  <si>
    <t>Encarregado de terraplenagem</t>
  </si>
  <si>
    <t>Encarregado de usina</t>
  </si>
  <si>
    <t>Encarregado Geral</t>
  </si>
  <si>
    <t>Encarregado O.A.E.</t>
  </si>
  <si>
    <t>Escavadeirista</t>
  </si>
  <si>
    <t>Feitor</t>
  </si>
  <si>
    <t>Greidista</t>
  </si>
  <si>
    <t>Laboratorista de Usina</t>
  </si>
  <si>
    <t>Marroeiro</t>
  </si>
  <si>
    <t>Marteleteiro</t>
  </si>
  <si>
    <t>Meio Oficial</t>
  </si>
  <si>
    <t>Montador</t>
  </si>
  <si>
    <t>Motorista</t>
  </si>
  <si>
    <t>Oficial</t>
  </si>
  <si>
    <t>Operador de bate-estacas</t>
  </si>
  <si>
    <t>Operador de betoneira</t>
  </si>
  <si>
    <t>Operador de campânula p/ tubulaçao</t>
  </si>
  <si>
    <t>Operador de máquina</t>
  </si>
  <si>
    <t>Operador de protensão</t>
  </si>
  <si>
    <t>Operador de roçadeira</t>
  </si>
  <si>
    <t>Operador de usina</t>
  </si>
  <si>
    <t>Operário braçal</t>
  </si>
  <si>
    <t>Patrolista</t>
  </si>
  <si>
    <t>Pedreiro de O.A.C.</t>
  </si>
  <si>
    <t>Pedreiro de O.A.E.</t>
  </si>
  <si>
    <t>Pintor</t>
  </si>
  <si>
    <t>Poceiro</t>
  </si>
  <si>
    <t>Rasteleiro</t>
  </si>
  <si>
    <t>Serralheiro</t>
  </si>
  <si>
    <t>Servente de usina</t>
  </si>
  <si>
    <t>Sinaleiro</t>
  </si>
  <si>
    <t>Soldador</t>
  </si>
  <si>
    <t>Sondador</t>
  </si>
  <si>
    <t>Supervisor Técnico de Montagem</t>
  </si>
  <si>
    <t>Trabalhador sob ar comprimido</t>
  </si>
  <si>
    <t>Tratorista</t>
  </si>
  <si>
    <t>Vigia</t>
  </si>
  <si>
    <t>Administrador de empresas</t>
  </si>
  <si>
    <t>Advogado</t>
  </si>
  <si>
    <t>Analista de sistemas (júnior)</t>
  </si>
  <si>
    <t>Analista de sistemas (sênior)</t>
  </si>
  <si>
    <t>Auxiliar de administraçao</t>
  </si>
  <si>
    <t>Auxiliar de desenhista</t>
  </si>
  <si>
    <t>Auxiliar de escritório</t>
  </si>
  <si>
    <t>Auxiliar de laboratório</t>
  </si>
  <si>
    <t>Auxiliar de Serviços Gerais</t>
  </si>
  <si>
    <t>Auxiliar de topografia</t>
  </si>
  <si>
    <t>Auxiliar técnico</t>
  </si>
  <si>
    <t>Auxiliar técnico de estradas</t>
  </si>
  <si>
    <t>Auxliar de engenharia</t>
  </si>
  <si>
    <t>Contador de nível superior</t>
  </si>
  <si>
    <t>Desenhista</t>
  </si>
  <si>
    <t>Desenhista chefe</t>
  </si>
  <si>
    <t>Digitador</t>
  </si>
  <si>
    <t>Economista</t>
  </si>
  <si>
    <t>Engenheiro auxiliar</t>
  </si>
  <si>
    <t>Engenheiro coordenador</t>
  </si>
  <si>
    <t>Engenheiro junior</t>
  </si>
  <si>
    <t>Engenheiro pleno</t>
  </si>
  <si>
    <t>Engenheiro sênior</t>
  </si>
  <si>
    <t>Especialista Ambiental (Coordenador de Estudos)</t>
  </si>
  <si>
    <t>Especialista em meio ambiente</t>
  </si>
  <si>
    <t>Laboratorista</t>
  </si>
  <si>
    <t>Laboratorista auxiliar</t>
  </si>
  <si>
    <t>Laboratorista chefe</t>
  </si>
  <si>
    <t>Nivelador</t>
  </si>
  <si>
    <t>Secretária</t>
  </si>
  <si>
    <t>Servente consultoria</t>
  </si>
  <si>
    <t>Técnico de campo</t>
  </si>
  <si>
    <t>Técnico de estradas I</t>
  </si>
  <si>
    <t>Técnico de Estradas II</t>
  </si>
  <si>
    <t>Técnico de Estradas III</t>
  </si>
  <si>
    <t>Técnico de nível médio</t>
  </si>
  <si>
    <t>Técnico de Segurança</t>
  </si>
  <si>
    <t>Técnico em meio ambiente</t>
  </si>
  <si>
    <t>Técnico Especial</t>
  </si>
  <si>
    <t>Topógrafo</t>
  </si>
  <si>
    <t>Topógrafo auxiliar (nivelador)</t>
  </si>
  <si>
    <t>Topógrafo chefe</t>
  </si>
  <si>
    <t>Abraçadeira para fixação de eletroduto diâm. 3/4"</t>
  </si>
  <si>
    <t>Abraçadeira para fixação de semáforo em braço/coluna de diâmetro 101 ou 114mm</t>
  </si>
  <si>
    <t>Acetileno</t>
  </si>
  <si>
    <t>Aço (barra) GEWI ou equivalente, ST 85/105, de 32mm</t>
  </si>
  <si>
    <t>Aço (barra) GEWI ou similar,ST 50/55 diâmetro de 32mm</t>
  </si>
  <si>
    <t>Aço CA-25 (granel) - (preço médio)</t>
  </si>
  <si>
    <t>Aço CA-25 (granel) D=1/2"</t>
  </si>
  <si>
    <t>Aço CA-25 (granel) D=3/8"</t>
  </si>
  <si>
    <t>Aço CA-50 (carreta 20 t) D=1/2" a 3/8"</t>
  </si>
  <si>
    <t>Aço CA-50 diam 12.5 a 25 mm</t>
  </si>
  <si>
    <t>Aço CA-50 diam. 6.3 a 10 mm</t>
  </si>
  <si>
    <t>Aço CA-50 (granel) - (preço médio)</t>
  </si>
  <si>
    <t>Aço CA-50 (granel) diam. 1/2"</t>
  </si>
  <si>
    <t>Aço CA-50 (granel) diam. 3/8"</t>
  </si>
  <si>
    <t>Aço CA-60 (granel) (preço médio)</t>
  </si>
  <si>
    <t>Aço (cordoalha de 7 fios) CP 190 RB-12,7 mm</t>
  </si>
  <si>
    <t>Aço diâmetro 29,3mm para tirante, referência Rocsolo ou equivalente</t>
  </si>
  <si>
    <t>Adesivo epoxi bicomponente para fissuras, em latas de 1kg, Sikadur 32 ou equivalente</t>
  </si>
  <si>
    <t>LAT</t>
  </si>
  <si>
    <t>Adesivo estrutural tixotrópico a base de epoxi para colagem de pré-moldados em latas de 1kg -Sikadur 31</t>
  </si>
  <si>
    <t>Adesivo para PVC soldável</t>
  </si>
  <si>
    <t>Kg</t>
  </si>
  <si>
    <t>Adubo NPK</t>
  </si>
  <si>
    <t>Agua potável tratada (CESAN)</t>
  </si>
  <si>
    <t>Aguarráz mineral</t>
  </si>
  <si>
    <t>Alcool etílico hidratado</t>
  </si>
  <si>
    <t>Aluguel mensal de máquina fotográfica (20.1 MP)</t>
  </si>
  <si>
    <t>Aluguel computador com : Processador 2,80 GHz , Memória RAM 4,00 GB, Sistema Operacional 32 Bits, Windows com Pacote Office</t>
  </si>
  <si>
    <t>Aluguel de tubo equipado completo para andaime com h=10,0 m</t>
  </si>
  <si>
    <t>Aluguel mensal de alojamento</t>
  </si>
  <si>
    <t>Aluguel mensal de escritório até 50m2</t>
  </si>
  <si>
    <t>Aluguel mensal de GPS Geodésico dupla frequência (L1/L2)</t>
  </si>
  <si>
    <t>Aluguel mensal de instrumento de topografia ( Estação Total )</t>
  </si>
  <si>
    <t>Aluguel mensal de laboratório de betume</t>
  </si>
  <si>
    <t>Aluguel mensal de laboratório de concreto</t>
  </si>
  <si>
    <t>Aluguel mensal de mobiliário - alojamento</t>
  </si>
  <si>
    <t>Aluguel mensal de mobiliário - escritório</t>
  </si>
  <si>
    <t>Aluguel mensal de mobiliário - resid. engenheiro</t>
  </si>
  <si>
    <t>Aluguel mensal de residência - engenheiro</t>
  </si>
  <si>
    <t>Aluguel mensal de utilitário exclusive motorista e combustível</t>
  </si>
  <si>
    <t>Aluguel mensal de veículos tipo Gol 1.6, exclusive motorista e combustível</t>
  </si>
  <si>
    <t>Aluguel multifuncional A4 monocromática</t>
  </si>
  <si>
    <t>Anéis de borracha para PVC PBA 75mm</t>
  </si>
  <si>
    <t>Anéis de borracha para PVC PBA 100mm</t>
  </si>
  <si>
    <t>Anel para compensação angular até 45°</t>
  </si>
  <si>
    <t>Anel pré moldado para bueiro celular 1,50 x 1,50 x 1,00m CL45</t>
  </si>
  <si>
    <t>Anel pré moldado para bueiro celular 2,00 x 2,00 x 1,00m CL 45</t>
  </si>
  <si>
    <t>Anel pré moldado para bueiro celular 2,50 x 2,50 x 1,00m CL 45</t>
  </si>
  <si>
    <t>Anel pré-moldado em concreto para sumidouro diam. 2,0m MF</t>
  </si>
  <si>
    <t>Anel pré-moldado para bueiro celular 3,00 x 3,00 x 1,00m CL 45</t>
  </si>
  <si>
    <t>Anteparo 3 x 300 mm</t>
  </si>
  <si>
    <t>Anti-óxido de base de resina alquídica modificada</t>
  </si>
  <si>
    <t>GL</t>
  </si>
  <si>
    <t>Aquisição de máquina fotográfica (12.1 MP)</t>
  </si>
  <si>
    <t>Arame farpado fio 16 rolo 500 m</t>
  </si>
  <si>
    <t>rl</t>
  </si>
  <si>
    <t>Arame nº 06 galvanizado</t>
  </si>
  <si>
    <t>Arame nº 10 galvanizado</t>
  </si>
  <si>
    <t>Arame nº 12 galvanizado</t>
  </si>
  <si>
    <t>Arame nº 16 galvanizado</t>
  </si>
  <si>
    <t>Arame ovalado liso (cerca) 45 kg - 1.000m</t>
  </si>
  <si>
    <t>Arame recozido 18</t>
  </si>
  <si>
    <t>Areia de rio (preço médio)</t>
  </si>
  <si>
    <t>Areia grossa jazida com carregamento mecânico</t>
  </si>
  <si>
    <t>m3</t>
  </si>
  <si>
    <t>Areia grossa rio com carregamento mecânico</t>
  </si>
  <si>
    <t>Areia média jazida com carregamento mecânico</t>
  </si>
  <si>
    <t>Areia suja jazida com carregamento mecânico</t>
  </si>
  <si>
    <t>Argamassa expansiva</t>
  </si>
  <si>
    <t>Argamassa polimérica de reparo estrutural, bicomponente</t>
  </si>
  <si>
    <t>Argila (barreiras comerciais - saibreiras)</t>
  </si>
  <si>
    <t>Armação secundária para isolador de porcelana 3 x 16</t>
  </si>
  <si>
    <t>ARMCO BDTM D=1,20 m - T.L. esp. 2,7 mm</t>
  </si>
  <si>
    <t>ARMCO BDTM D=1,40 m - T.L. esp. 2,7 mm</t>
  </si>
  <si>
    <t>ARMCO BDTM D=1,60 m - T.L. esp. 2,7 mm</t>
  </si>
  <si>
    <t>ARMCO BDTM D=2,00 m - T.L. esp. 2,7 mm</t>
  </si>
  <si>
    <t>ARMCO BDTM D=2,20 m - T.L. esp. 2,7 mm</t>
  </si>
  <si>
    <t>ARMCO BDTM D=2,40 m - T.L. esp. 2,7 mm</t>
  </si>
  <si>
    <t>ARMCO BDTM D=2,60 m - T.L. esp. 3,4 mm</t>
  </si>
  <si>
    <t>ARMCO BSTM D=1,20 m - T.L. esp. 2,7 mm</t>
  </si>
  <si>
    <t>ARMCO BSTM D=1,40 m - T.L. esp. 2,7 mm</t>
  </si>
  <si>
    <t>ARMCO BSTM D=1,60 m - T.L. esp. 2,7 mm</t>
  </si>
  <si>
    <t>ARMCO BSTM D=2,00 m - T.L. esp. 2,7 mm</t>
  </si>
  <si>
    <t>ARMCO BSTM D=2,20 m - T.L. esp. 2,7 mm</t>
  </si>
  <si>
    <t>ARMCO BSTM D=2,40 m - T.L. esp. 2,7 mm</t>
  </si>
  <si>
    <t>ARMCO BSTM D=2,60 m - T.L. esp. 3,4 mm</t>
  </si>
  <si>
    <t>ARMCO BSTM D=3,00 m - T.L. esp. 2,7 mm</t>
  </si>
  <si>
    <t>ARMCO STACO BDTM D=3,05 m - MPI52 esp.2,7mm</t>
  </si>
  <si>
    <t>ARMCO STACO BSTM D=3,05 m - MPI52 esp.2,7mm</t>
  </si>
  <si>
    <t>Arruela de alumínio fundido 3/4"</t>
  </si>
  <si>
    <t>Bainha de aço galvanizado diam. interno= 65 mm</t>
  </si>
  <si>
    <t>Bainha metálica preta, diâmetro de 75mm</t>
  </si>
  <si>
    <t>Bainha Plástica de PEAD (tubo de polietileno de alta densidade )</t>
  </si>
  <si>
    <t>Balde plástico para sinalização (vermelho)</t>
  </si>
  <si>
    <t>Bica corrida sem frete</t>
  </si>
  <si>
    <t>Bloco de concreto estrutural 14 x 19 x 39 cm, FBK 10Mpa (NBR 6136)</t>
  </si>
  <si>
    <t>Bloco de concreto para alvenaria 39 X 19 X 09 cm</t>
  </si>
  <si>
    <t>Bloco de concreto para alvenaria 39 X 19 X 14 cm</t>
  </si>
  <si>
    <t>Bloco de concreto para alvenaria 39 X 19 X 19 cm</t>
  </si>
  <si>
    <t>Bloco de concreto 19 x 19 x 39 cm ( estrutural )</t>
  </si>
  <si>
    <t>Bloco para pavimentaçao intertravado - esp= 06 cm, resistência 35 MPa</t>
  </si>
  <si>
    <t>Bloco para pavimentação intertravado - esp= 06cm, colorido, resistência 35 MPa</t>
  </si>
  <si>
    <t>Bloco para pavimentaçao intertravado - esp= 08 cm, resistência 35 MPa</t>
  </si>
  <si>
    <t>Bloco para pavimentaçao intertravado - esp= 10 cm, resistência 35 MPa</t>
  </si>
  <si>
    <t>Bocal com rabicho</t>
  </si>
  <si>
    <t>Bombeamento de concreto</t>
  </si>
  <si>
    <t>Bonificação de 15,28 % sobre material betuminoso</t>
  </si>
  <si>
    <t>Bota borracha sem forro cano 40cm</t>
  </si>
  <si>
    <t>Botinas de couro sem biqueira</t>
  </si>
  <si>
    <t>Botoeira com sinal sonoro</t>
  </si>
  <si>
    <t>Braço galvanizado 101 mm - projeção 4,70 m, para sustentação de semáforos</t>
  </si>
  <si>
    <t>Brita graduada, especificada sem pó, sem frete</t>
  </si>
  <si>
    <t>Brita 0 (incl. 0% IUM) sem frete</t>
  </si>
  <si>
    <t>Brita 1 (incl. 0% IUM) sem frete</t>
  </si>
  <si>
    <t>Brita 2 (incl. 0% IUM) sem frete</t>
  </si>
  <si>
    <t>Brita 3 (incl. 0% IUM) sem frete</t>
  </si>
  <si>
    <t>Brita 4 (incl. 0% IUM) sem frete</t>
  </si>
  <si>
    <t>Broca para perfuratriz 714.0441 (S-12)</t>
  </si>
  <si>
    <t>Broca para perfuratriz 714.0840 (S-12)</t>
  </si>
  <si>
    <t>Broca para perfuratriz 714.1639 (S-12)</t>
  </si>
  <si>
    <t>Broca para perfuratriz 714.2438 (S-12)</t>
  </si>
  <si>
    <t>Broca para perfuratriz 714.3237 (S-12)</t>
  </si>
  <si>
    <t>Broca para perfuratriz 714.4036 (S-12)</t>
  </si>
  <si>
    <t>Broca para perfuratriz 714.4835 (S-12)</t>
  </si>
  <si>
    <t>Broca para perfuratriz 714.5634 (S-12)</t>
  </si>
  <si>
    <t>Broca para perfuratriz 714.6433 (S-12)</t>
  </si>
  <si>
    <t>Bucha de alumínio fundido 3/4"</t>
  </si>
  <si>
    <t>Bucha de nylon S16</t>
  </si>
  <si>
    <t>Bucha plástica com parafuso - 8 mm</t>
  </si>
  <si>
    <t>Cabo blindado 2 x 20 AWG (sincronismo)</t>
  </si>
  <si>
    <t>Cabo de aço polido com alma de fibra, 6 pernas 19 fios, diâm. 3/8"</t>
  </si>
  <si>
    <t>Cabo de cobre com isolamento para 1000V (1KV), seção 2,5 mm2</t>
  </si>
  <si>
    <t>Cabo de cobre com isolamento para 1000V (1KV), seção 4,0 mm2</t>
  </si>
  <si>
    <t>Cabo de cobre com isolamento para 1000V (1KV), seção 6,0 mm2</t>
  </si>
  <si>
    <t>Cabo de cobre com isolamento para 1000V (1KV), seção 10,0 mm2</t>
  </si>
  <si>
    <t>Cabo de cobre com isolamento para 1000V (1KV), seção 25,0 mm2</t>
  </si>
  <si>
    <t>Cabo de cobre com isolamento para 1000V (1KV), seção 35,0 mm2</t>
  </si>
  <si>
    <t>Cabo de cobre nú seção 35mm2</t>
  </si>
  <si>
    <t>Cabo flexivel 2 x 1,5mm²</t>
  </si>
  <si>
    <t>Cabo flexivel 2 x 2,5 mm²</t>
  </si>
  <si>
    <t>Cabo flexivel 3 x 1,5 mm2</t>
  </si>
  <si>
    <t>Cabo flexivel 4 x 1,5mm²</t>
  </si>
  <si>
    <t>Cabo isolado 750V - 4 x 4,00 mm²</t>
  </si>
  <si>
    <t>Cadeado de 40mm</t>
  </si>
  <si>
    <t>Caibros abrigo passag. 8pç 15x7x240 / 2pç 25x7x620 cm</t>
  </si>
  <si>
    <t>CJ</t>
  </si>
  <si>
    <t>Caibros abrigo passag. 8pç 15x7x300 / 2pç 25x7x620cm</t>
  </si>
  <si>
    <t>Caibros 7 X 7 cm</t>
  </si>
  <si>
    <t>Caibros 7 X 7 cm (pontalete)</t>
  </si>
  <si>
    <t>Caixa ralo sup e inf p/ carga média</t>
  </si>
  <si>
    <t>Cal (saco de 7 kg)</t>
  </si>
  <si>
    <t>Cambotas de 1" (taipá de 1ª com 2,5cm)</t>
  </si>
  <si>
    <t>Cantoneira de aço seção - 2" X 2" x 1/8"</t>
  </si>
  <si>
    <t>Cantoneira de aço seçao - 3" X 3" X 3/8"</t>
  </si>
  <si>
    <t>Cantoneira de aço seção - 4" X 4" X 3/8"</t>
  </si>
  <si>
    <t>Cantoneira de aço seção 2 1/2"x 2 1/2" x 5/16"</t>
  </si>
  <si>
    <t>CAP AB 8</t>
  </si>
  <si>
    <t>Chapa compensada resinada 06mm (dim. 2,20 x 1,10m)</t>
  </si>
  <si>
    <t>Chapa compensada resinada 10mm (dim. 2,20 x 1,10m)</t>
  </si>
  <si>
    <t>CH</t>
  </si>
  <si>
    <t>Chapa compensada resinada 12mm (dim. 2,20 x 1,10m)</t>
  </si>
  <si>
    <t>Chapa compensada resinada 14mm (dim. 2,20 x 1,10m)</t>
  </si>
  <si>
    <t>Chapa compensada resinada 17mm (dim. 2,20 x 1,10m)</t>
  </si>
  <si>
    <t>Chapa de aço ASTM A572, grau 50 esp.=12,50mm,</t>
  </si>
  <si>
    <t>Chapa de aço esp.= 25mm</t>
  </si>
  <si>
    <t>Chapa de aço esp.= 5mm</t>
  </si>
  <si>
    <t>Chapa de aço espessura 2mm</t>
  </si>
  <si>
    <t>Chapa de aço fina-frio nº 16, esp.1,5mm SAE 1008/1010</t>
  </si>
  <si>
    <t>Chapa de aço 1/2"</t>
  </si>
  <si>
    <t>Chapa de aço 1/8"</t>
  </si>
  <si>
    <t>Chapa de aço 3/8"</t>
  </si>
  <si>
    <t>Chapa de aço 6.3 mm</t>
  </si>
  <si>
    <t>Chapa de poliéster reforçado, com fibra de vidro de 2mm, para sinalização viária vertical</t>
  </si>
  <si>
    <t>Chapa xadrez espessura=1/4"</t>
  </si>
  <si>
    <t>Cimento CP III</t>
  </si>
  <si>
    <t>Cinto segurança nylon</t>
  </si>
  <si>
    <t>Clips (grampo) para cabo de aço diam. 3/8"</t>
  </si>
  <si>
    <t>CM 30</t>
  </si>
  <si>
    <t>Cola a base de poliester</t>
  </si>
  <si>
    <t>Concreto pronto - 15 MPa - DT = 50 km</t>
  </si>
  <si>
    <t>Concreto pronto - 20 MPa - DT = 50 km</t>
  </si>
  <si>
    <t>Concreto pronto - 25 MPa - DT = 50 km</t>
  </si>
  <si>
    <t>Concreto pronto - 30 MPa - DT = 50 km</t>
  </si>
  <si>
    <t>Concreto pronto - 35 MPa - DT = 50 km</t>
  </si>
  <si>
    <t>Concreto pronto - 40 MPa - DT = 50 km</t>
  </si>
  <si>
    <t>Cone de ancoragem ativo 12 fios de 1/2"</t>
  </si>
  <si>
    <t>Cone para sinalizaçao ( NBR-15.071, h=75cm)</t>
  </si>
  <si>
    <t>Contra porca sextavada</t>
  </si>
  <si>
    <t>Controlador eletronico microprocessado 6/6 fases</t>
  </si>
  <si>
    <t>Controlador microprocessado 4 fases</t>
  </si>
  <si>
    <t>Cópia Xerox - formato A4</t>
  </si>
  <si>
    <t>Cordel detonante</t>
  </si>
  <si>
    <t>Coroa para diamante NX D=75 mm</t>
  </si>
  <si>
    <t>Curva de aço 90° para eletroduto 3/4"</t>
  </si>
  <si>
    <t>Curva de PVC rígido para eletroduto 3/4"</t>
  </si>
  <si>
    <t>Curva de 90° PVC junta elástica ponta e bolsa PBA, diam 75mm</t>
  </si>
  <si>
    <t>Custo médio tabuleiro vigas pré-moldadas CL.45 c/ ou s/ laje entre vigas, vão 10m, incl. descarga e assentamento</t>
  </si>
  <si>
    <t>Custo médio tabuleiro vigas pré-moldadas CL.45 c/ ou s/ laje entre vigas, vão 11m, incl. descarga e assentamento</t>
  </si>
  <si>
    <t>Custo médio tabuleiro vigas pré-moldadas CL.45 c/ ou s/ laje entre vigas, vão 12m, incl. descarga e assentamento</t>
  </si>
  <si>
    <t>Custo médio tabuleiro vigas pré-moldadas CL.45 c/ ou s/ laje entre vigas, vão 13m, incl. descarga e assentamento</t>
  </si>
  <si>
    <t>Custo médio tabuleiro vigas pré-moldadas CL.45 c/ ou s/ laje entre vigas, vão 14m, incl. descarga e assentamento</t>
  </si>
  <si>
    <t>Custo médio tabuleiro vigas pré-moldadas CL.45 c/ ou s/ laje entre vigas, vão 15m, incl. descarga e assentamento</t>
  </si>
  <si>
    <t>Custo médio tabuleiro vigas pré-moldadas CL.45 c/ ou s/ laje entre vigas, vão 5 m, descarga e assentamento</t>
  </si>
  <si>
    <t>Custo médio tabuleiro vigas pré-moldadas CL.45 c/ ou s/ laje entre vigas, vão 6m, incl. descarga e assentamento</t>
  </si>
  <si>
    <t>Custo médio tabuleiro vigas pré-moldadas CL.45 c/ ou s/ laje entre vigas, vão 7m, incl. descarga e assentamento</t>
  </si>
  <si>
    <t>Custo médio tabuleiro vigas pré-moldadas CL.45 c/ ou s/ laje entre vigas, vão 8m, incl. descarga e assentamento</t>
  </si>
  <si>
    <t>Custo médio tabuleiro vigas pré-moldadas CL.45 c/ ou s/ laje entre vigas, vão 9m, incl. descarga e assentamento</t>
  </si>
  <si>
    <t>Defensa (lâmina 4 m, espessura = 3 mm) - semi maleável</t>
  </si>
  <si>
    <t>Desengraxante alcalino (Solupan)</t>
  </si>
  <si>
    <t>Diária</t>
  </si>
  <si>
    <t>DIA</t>
  </si>
  <si>
    <t>Dinamite a 60%</t>
  </si>
  <si>
    <t>Dope</t>
  </si>
  <si>
    <t>Dope AT</t>
  </si>
  <si>
    <t>Eletrodo para soldas - OK 4804</t>
  </si>
  <si>
    <t>Eletroduto de aço com costura galvanizada 3/4"</t>
  </si>
  <si>
    <t>Eletroduto de aço galvanizado d=1 1/4"</t>
  </si>
  <si>
    <t>Eletroduto de ferro galvanizado DN 4"</t>
  </si>
  <si>
    <t>Eletroduto de ferro galvanizado d=2"</t>
  </si>
  <si>
    <t>vr</t>
  </si>
  <si>
    <t>Eletroduto de PVC rígido d=3/4"</t>
  </si>
  <si>
    <t>Eletroduto de PVC rígido d=4"</t>
  </si>
  <si>
    <t>Eletroduto de PVC rígido roscável diâm.50mm</t>
  </si>
  <si>
    <t>Eletroduto de PVC rígido roscável diâm.75mm</t>
  </si>
  <si>
    <t>Eletroduto Kanaflex diâmetro 1 1/2</t>
  </si>
  <si>
    <t>Eletroduto Kanaflex diâmetro 1 1/4</t>
  </si>
  <si>
    <t>Eletroduto Kanaflex diâmetro 2</t>
  </si>
  <si>
    <t>Eletroduto Kanaflex diâmetro 4</t>
  </si>
  <si>
    <t>Emulsão Asfáltica para Imprimação (EAI)</t>
  </si>
  <si>
    <t>Emulsão RC 1C-E</t>
  </si>
  <si>
    <t>Emulsao RL 1C</t>
  </si>
  <si>
    <t>Emulsão RL 1C-E</t>
  </si>
  <si>
    <t>Emulsao RM 1C</t>
  </si>
  <si>
    <t>Emulsão RR 1C</t>
  </si>
  <si>
    <t>Emulsão RR 1C-E</t>
  </si>
  <si>
    <t>Emulsao RR 2C</t>
  </si>
  <si>
    <t>Emulsão RR 2C-E</t>
  </si>
  <si>
    <t>Endurecedor químico de superfícies de concreto aplicado, referência -Sikafloor Cure Hard 24  da Sika</t>
  </si>
  <si>
    <t>Equipamento completo de topografia</t>
  </si>
  <si>
    <t>Escoras de eucalipto (4,00m - D=0,10m)</t>
  </si>
  <si>
    <t>DZ</t>
  </si>
  <si>
    <t>Escória de aciaria, posto em Vitória</t>
  </si>
  <si>
    <t>Escova de Aço 18 x 6 cm</t>
  </si>
  <si>
    <t>Esmalte sintético brilhante secagem rápida</t>
  </si>
  <si>
    <t>Esmalte sintético fosco secagem rápida</t>
  </si>
  <si>
    <t>Espoleta elétrica nº 8 - 3 metros</t>
  </si>
  <si>
    <t>Espoleta simples</t>
  </si>
  <si>
    <t>Estaca de concreto pré-moldada, carga 40T</t>
  </si>
  <si>
    <t>Estaca de concreto pré-moldada, carga 60T</t>
  </si>
  <si>
    <t>Estaca de concreto pré-moldada, carga 90T</t>
  </si>
  <si>
    <t>Estaca prancha de aço até 400 mm</t>
  </si>
  <si>
    <t>Estaçao total LEICA TC-800</t>
  </si>
  <si>
    <t>Estaçao total WILD TC-600</t>
  </si>
  <si>
    <t>Esticador com catraca</t>
  </si>
  <si>
    <t>Estopa branca de 2ª (pacote de 10kg)</t>
  </si>
  <si>
    <t>Estopim simples</t>
  </si>
  <si>
    <t>Filler</t>
  </si>
  <si>
    <t>Filmagem para Consulta / Audiência Publica</t>
  </si>
  <si>
    <t>Fio diamantado</t>
  </si>
  <si>
    <t>Fio isolado de PVC 705V -70°C - baixa tensão 6mm²</t>
  </si>
  <si>
    <t>Fio isolado em PVC 4,00 mm² - 750V</t>
  </si>
  <si>
    <t>Fio paralelo de cobre (2,50mm²)</t>
  </si>
  <si>
    <t>Fita isolante NR 33 19m x 20mm</t>
  </si>
  <si>
    <t>Formicida - referência:macro e microgranulado tipo Mirex</t>
  </si>
  <si>
    <t>Fosfato natural</t>
  </si>
  <si>
    <t>Fundo preparador de superfície</t>
  </si>
  <si>
    <t>Gabião malha hex. 8X10mm PVC, e= 2,4mm, dimensões = 1,00 m</t>
  </si>
  <si>
    <t>Gabião malha hex. 8X10mm PVC, e-&gt; 2,7mm, h-&gt; 0,50m</t>
  </si>
  <si>
    <t>Gabião malha hex. 8X10mm ZN/AL, e-&gt; 2,7mm, h-&gt; 0,50m</t>
  </si>
  <si>
    <t>Gabião malha hex. 8X10mm ZN/AL, e= 2,7mm, h =1,00m</t>
  </si>
  <si>
    <t>Gabião manta hex. 6X8mm Zn-Al/PVC, e=2,8mm, h=0,23m, para revestimento de canal</t>
  </si>
  <si>
    <t>Gabião tipo saco malha hex. de dupla torção 8x10mm PVC e=2,7mm e diâmetro 0,65m</t>
  </si>
  <si>
    <t>Gasolina</t>
  </si>
  <si>
    <t>Gelatina a 75%</t>
  </si>
  <si>
    <t>Geodreno vertical, em forma de fita</t>
  </si>
  <si>
    <t>Geogrelha com resistência longit. a tração 300 kN, resist. transv. a tração 30 kN</t>
  </si>
  <si>
    <t>Geogrelha com resistência longit. tração 35 a 40 kN, resist. transv. a tração de 25 a 30 kN e deformação de 5%</t>
  </si>
  <si>
    <t>Geogrelha com resistência longit. tração 55 a 60 kN, resist. transv. a tração de 25 a 30 kN e deformação de 5%</t>
  </si>
  <si>
    <t>Geogrelha com resistência longit. tração 80 a 90 kN, resist. transv. a tração de 25 a 30 kN e deformação 5%</t>
  </si>
  <si>
    <t>Geogrelha de poliéster monodirecional com resistência de 200KN na longitudinal e 25kN na transversal</t>
  </si>
  <si>
    <t>Geogrelha em polipropileno (PP) módulo de rigidez nominal 400KN/m nas duas direções</t>
  </si>
  <si>
    <t>Grama esmeralda em placas</t>
  </si>
  <si>
    <t>Grampo para cerca (galvanizado)</t>
  </si>
  <si>
    <t>Graxa comum (chassis 2), tambores com 170kg</t>
  </si>
  <si>
    <t>Grelha articulada, inclusive caixilho em ferro fundido</t>
  </si>
  <si>
    <t>Grelha e caixilho de concreto (cx. ralo)</t>
  </si>
  <si>
    <t>Grupo focal gradativo</t>
  </si>
  <si>
    <t>Grupo focal gradativo veicular 200 x 200 x 200mm, com lâmpada tipo LED</t>
  </si>
  <si>
    <t>Grupo focal repetidor 2 x 200mm, com lâmpada LED, pedestre, inclusive abraçadeira para fixação</t>
  </si>
  <si>
    <t>Grupo focal repetidor 2 x 200mm, pedestre</t>
  </si>
  <si>
    <t>Grupo focal repetidor 3 x 200mm</t>
  </si>
  <si>
    <t>Grupo focal repetidor 3x200mm, com lâmpada tipo LED, inclusive suporte de fixação</t>
  </si>
  <si>
    <t>Grupo focal repetidor 3x300mm</t>
  </si>
  <si>
    <t>Grupo focal repetidor 3x300mm, com lâmpada tipo LED, inclusive suporte para fixação</t>
  </si>
  <si>
    <t>Guia pré-moldada para caixa boca de lobo</t>
  </si>
  <si>
    <t>Haste cobreada para aterramento diam. 5/8" x 2,40m</t>
  </si>
  <si>
    <t>Imposto sobre serviços (ISS)</t>
  </si>
  <si>
    <t>Interruptor</t>
  </si>
  <si>
    <t>Isolador de porcelana tipo roldana</t>
  </si>
  <si>
    <t>Jogo de brocas p/ perfuratriz (S-12)</t>
  </si>
  <si>
    <t>JG</t>
  </si>
  <si>
    <t>Junta de dilatação elástica prémoldada tipo fungenband em perfil O-12, de PVC de alta densidade, Uniontech ou equivalente</t>
  </si>
  <si>
    <t>Ladrilho hidráulico podotátil</t>
  </si>
  <si>
    <t>Ladrilho hidráulico 2 cores p/ calçada</t>
  </si>
  <si>
    <t>Lajota de 20 X 20 X 10 cm</t>
  </si>
  <si>
    <t>MIL</t>
  </si>
  <si>
    <t>Lâmpada de LED equivalente a incandescente (60Watts)</t>
  </si>
  <si>
    <t>Lanche (cofee break) p/ pessoa</t>
  </si>
  <si>
    <t>Lixa d'água</t>
  </si>
  <si>
    <t>Lixa d'água nº 80</t>
  </si>
  <si>
    <t>Lixa para madeira nº 100</t>
  </si>
  <si>
    <t>Lixa para superfície metálica</t>
  </si>
  <si>
    <t>Lona plástica preta para isolamento de concretagem sobre solo</t>
  </si>
  <si>
    <t>Luva de PVC rígido para eletroduto 3/4"</t>
  </si>
  <si>
    <t>Luva de PVC rígido, roscável de 3/4"</t>
  </si>
  <si>
    <t>Luva DN 4" ferro galvanizado</t>
  </si>
  <si>
    <t>Luva para tirante referência Rocsolo d=50mm</t>
  </si>
  <si>
    <t>Luva raspa crupon cano curto reforçado</t>
  </si>
  <si>
    <t>Luvas de couro - cano curto reforçada</t>
  </si>
  <si>
    <t>Madeira roliça (aprox. 8,00m - D=0,15m)</t>
  </si>
  <si>
    <t>Madeira roliça (aprox. 8,00m - D=0,20m)</t>
  </si>
  <si>
    <t>Madeira serrada (passadeira 30 X 8 cm)</t>
  </si>
  <si>
    <t>Madeira serrada (pranchões 20 X 8 cm)</t>
  </si>
  <si>
    <t>Madeira tratada (aprox. 4,00m - D=0,15m)</t>
  </si>
  <si>
    <t>Mangueira para bomba injetora manual Putzmeister de 10, diam. 35mm</t>
  </si>
  <si>
    <t>Mangueira para bomba injetora manual Putzmeister de 10, diam. 50mm</t>
  </si>
  <si>
    <t>Manta de fibras vegetais, 0,5kg/m², fornecimento e aplicação, inclusive grampos</t>
  </si>
  <si>
    <t>Manta Geotêxtil não tecida RT- 07 (07 kN/m)</t>
  </si>
  <si>
    <t>Manta Geotêxtil não tecida RT-10 (10kN/m)</t>
  </si>
  <si>
    <t>Manta Geotêxtil não tecida RT-16 (16kN/m)</t>
  </si>
  <si>
    <t>Massa asfáltica CBUQ - usina comercial</t>
  </si>
  <si>
    <t>Material termoplástico (extrusão)</t>
  </si>
  <si>
    <t>Material termoplástico (SPRAY) (25 kg)</t>
  </si>
  <si>
    <t>Meio fio 12 X 30 X 15 cm X 1 m</t>
  </si>
  <si>
    <t>PÇ</t>
  </si>
  <si>
    <t>Micro esfera (DROP-ON) saco 25 kg</t>
  </si>
  <si>
    <t>Micro-esfera (preço médio)</t>
  </si>
  <si>
    <t>Micro-esfera (PRE-MIX) saco 25 kg</t>
  </si>
  <si>
    <t>Mourão de concreto 2,50m "T"</t>
  </si>
  <si>
    <t>Mourao p/ cerca (2,20m - D=0,10m) m. branca</t>
  </si>
  <si>
    <t>Mourão p/ cerca (2,50m - D=0,20m) madeira branca (estic.)</t>
  </si>
  <si>
    <t>Mourão para cerca (2,80 - D=0,20m) m. branca (esticador)</t>
  </si>
  <si>
    <t>Mourao quadrado (tipo DNIT) 10 X 10 cm X 2,20 m</t>
  </si>
  <si>
    <t>Mourao triangular (tipo DNIT) 10 cm X 2,00 m</t>
  </si>
  <si>
    <t>Muda de árvore (altura até 1,50m)</t>
  </si>
  <si>
    <t>Muda de árvore grande (altura maior que 150cm)</t>
  </si>
  <si>
    <t>Muda de árvore/arbusto espécies da Mata Atlântica (mudas em sacolas ou tubetes)</t>
  </si>
  <si>
    <t>Óleo combustível BPF - baixo pto. fusão</t>
  </si>
  <si>
    <t>Oleo de linhaça</t>
  </si>
  <si>
    <t>Óleo diesel</t>
  </si>
  <si>
    <t>Oxigênio</t>
  </si>
  <si>
    <t>Parafuso c/ porca e arruela (3/16x1 1/2")</t>
  </si>
  <si>
    <t>Parafuso de 1/2 X 230 mm (galvanizado)</t>
  </si>
  <si>
    <t>Parafuso em aço galvanizado comp. 250mm, diâmetro = 16mm</t>
  </si>
  <si>
    <t>Parafuso sextavado, soberba 5/8 x 130</t>
  </si>
  <si>
    <t>Parafusos completos 5/16 X 65 mm</t>
  </si>
  <si>
    <t>Paralelepípedo de pedra (milheiro)</t>
  </si>
  <si>
    <t>Pasta lubrificante para tubos junta elástica</t>
  </si>
  <si>
    <t>Peça em madeira de 1ª qualidade 10,0 x 2,5 cm</t>
  </si>
  <si>
    <t>Peça em madeira de 1ª qualidade 7,0 x 2,0 cm</t>
  </si>
  <si>
    <t>Peça em madeira de 1ª qualidade 8,0 x 8,0 cm</t>
  </si>
  <si>
    <t>Peça em madeira 7 x 12 cm</t>
  </si>
  <si>
    <t>Peça em madeira 7 x 5 cm</t>
  </si>
  <si>
    <t>Pedra britada p/ concreto, sem frete</t>
  </si>
  <si>
    <t>Pedra de mao (incl. 0% IUM) s/ frete</t>
  </si>
  <si>
    <t>Pedra p/ enrocamento</t>
  </si>
  <si>
    <t>Pedra portuguesa (só a pedra)</t>
  </si>
  <si>
    <t>Pedrisco</t>
  </si>
  <si>
    <t>Película preto legenda</t>
  </si>
  <si>
    <t>Película refletiva grau técnico todas as cores</t>
  </si>
  <si>
    <t>Película refletiva lentes inclusas</t>
  </si>
  <si>
    <t>Perfil elastomérico de vedação em juntas de pontes com abertura média de 25 mm ±  10 mm, inclusive lábios poliméricos e mão de obra para colocação (Ref. JEENE JJ2540 VV)</t>
  </si>
  <si>
    <t>Perfil elastomérico de vedação em juntas de pontes com abertura média de 50 mm ±  25 mm, inclusive lábios poliméricos e mão de obra para colocação</t>
  </si>
  <si>
    <t>Perfil laminado W 250 x 44.80, Perfil I</t>
  </si>
  <si>
    <t>Perfil metálico seção I</t>
  </si>
  <si>
    <t>Pescoço p/ PV H= 0,30 m diam= 0,60 m (anel de concreto pré-moldado)</t>
  </si>
  <si>
    <t>PIS/COFINS</t>
  </si>
  <si>
    <t>Placa de neoprene fretado esp = 5 cm (18% I.P.I. e embalagem)</t>
  </si>
  <si>
    <t>Placa em alumínio espessura = 1,5mm</t>
  </si>
  <si>
    <t>Placa metálica para ancoragem, sextavada, de (160x160x19)mm</t>
  </si>
  <si>
    <t>Placa sinalizaçao pronta - chapa de ferro N. 20</t>
  </si>
  <si>
    <t>Placa 160 x 160 x 10mm</t>
  </si>
  <si>
    <t>Placa 20 x 20 x 3/4" para tirante Rocsolo</t>
  </si>
  <si>
    <t>Plastiment VZ (10% I.P.I. e 8% frete), marca de referência Sika</t>
  </si>
  <si>
    <t>Plotagem de desenho P/B em papel Sulfit</t>
  </si>
  <si>
    <t>Pó calcáreo dolomítico</t>
  </si>
  <si>
    <t>Pó de pedra (incl. 0% IUM) s/ frete</t>
  </si>
  <si>
    <t>Pontalete de Pinho de 1ª de 3" x 3", sem aparelhamento</t>
  </si>
  <si>
    <t>Pontalete de Pinho de 3ª ou similar de 3" x 3", sem aparelhamento</t>
  </si>
  <si>
    <t>Porca de ancoragem de aço, sextavada, para protensão, com altura de 50mm</t>
  </si>
  <si>
    <t>Porca sextavada esférica H=70mm, chave 55mm</t>
  </si>
  <si>
    <t>Poste galvanizado reto com 4,0m e base</t>
  </si>
  <si>
    <t>Poste galvanizado 101mm simples, h= 6,0 m para semáforo</t>
  </si>
  <si>
    <t>Poste galvanizado 114mm - 1 boca, h = 6,00 m para semáforo</t>
  </si>
  <si>
    <t>Poste galvanizado 114mm - 2 bocas, h = 6,00 m para semáforo</t>
  </si>
  <si>
    <t>Poste Intermediário 40x60 mm, para Gradil Nylofor</t>
  </si>
  <si>
    <t>Pranchoes 30 X 5 cm (p/ ensecadeira)</t>
  </si>
  <si>
    <t>Prego 18 X 24</t>
  </si>
  <si>
    <t>Prego 25 X 72 (para pontes de madeira)</t>
  </si>
  <si>
    <t>Primer base cromato de zinco</t>
  </si>
  <si>
    <t>Primer epoxi tipo Quinnducot 5800/14 na cor vermelha. Química União ou similar</t>
  </si>
  <si>
    <t>Primer epoxi tipo Quinnducot 5806 na cor branca, Química União ou similar</t>
  </si>
  <si>
    <t>Primer (PCF)</t>
  </si>
  <si>
    <t>Redutor  tipo 2002 primeira qualidade</t>
  </si>
  <si>
    <t>Reservatório de polietileno 1000 litros tampa redonda</t>
  </si>
  <si>
    <t>Retardo</t>
  </si>
  <si>
    <t>Ripão de 2,5 X 7.0 cm</t>
  </si>
  <si>
    <t>Ripas de 2,5cm x 5,0cm</t>
  </si>
  <si>
    <t>Saco de propileno (RIP RAP)</t>
  </si>
  <si>
    <t>Sapata de widea NW</t>
  </si>
  <si>
    <t>Sarrafo 10 X 2,5 cm</t>
  </si>
  <si>
    <t>SBS 55 75 (CAP FLEX 55/75)</t>
  </si>
  <si>
    <t>SBS 60 85 (CAP FLEX 60/85)</t>
  </si>
  <si>
    <t>SBS 65 90 (CAP FLEX 65/90)</t>
  </si>
  <si>
    <t>Sementes</t>
  </si>
  <si>
    <t>Serviços gráficos e materiais de consumo</t>
  </si>
  <si>
    <t>Sigunit STM-35 AF, Aditivo de pega, Sika ou similar</t>
  </si>
  <si>
    <t>Sikacrete BR</t>
  </si>
  <si>
    <t>Sikadur 32</t>
  </si>
  <si>
    <t>Sikadur 43 (argamassa epoxídica)</t>
  </si>
  <si>
    <t>Sikagrout</t>
  </si>
  <si>
    <t>Silica ativa (micro-silica) saco 15 kg</t>
  </si>
  <si>
    <t>Sistema  de cercamento tipo Gradil Nylofor Pintura Simples (preto, verde ou branco), #50x200mm, fio 5mm, L=2,50m, H=2,03m</t>
  </si>
  <si>
    <t>Solo brita (incl. 0% IUM) sem frete</t>
  </si>
  <si>
    <t>Solvente epoxi</t>
  </si>
  <si>
    <t>Suporte em madeira de 1ª qualidade (8x8x320cm)</t>
  </si>
  <si>
    <t>Suporte para placa de sinalização vertical em madeira de 1ª qualidade, tratada e pintada (8x8) com 3,40m</t>
  </si>
  <si>
    <t>Tábua de pinho de 1ª de 1" x 12"</t>
  </si>
  <si>
    <t>Tábuas de 2,5 cm (Não Aparelhada)</t>
  </si>
  <si>
    <t>Tábuas de 30 X 2,5 cm (Aparelhada)</t>
  </si>
  <si>
    <t>Tacha bidirecional</t>
  </si>
  <si>
    <t>Tacha monodirecional</t>
  </si>
  <si>
    <t>Tachao bidirecional</t>
  </si>
  <si>
    <t>Tachao monodirecional</t>
  </si>
  <si>
    <t>Taipá de 1ª com 2,5 cm</t>
  </si>
  <si>
    <t>Tampa pré-moldada em concreto para sumidouro d=2,00m</t>
  </si>
  <si>
    <t>Tampão de aço galvanizado D=3"</t>
  </si>
  <si>
    <t>Tampao F.F. articulado pesado p / poço visita Classe D400 (carga 400kN)</t>
  </si>
  <si>
    <t>Tampão simples 1,07x0,62 Padrão R2 Telemar</t>
  </si>
  <si>
    <t>Tela de aço galvanizada 8 x 10 cm , d=2,70mm, dupla torção</t>
  </si>
  <si>
    <t>Tela de aço soldada Telcon Q-138 ou similar</t>
  </si>
  <si>
    <t>Tela de aço soldada Telcon Q-196 ou similar</t>
  </si>
  <si>
    <t>Tela de PVC na cor laranja, para proteção de segurança (tapume), rolo com 50,00 m</t>
  </si>
  <si>
    <t>Tela losangular fio 10 galvanizado, malha 3"</t>
  </si>
  <si>
    <t>Tela losangular fio 12 galvanizado, malha 3"</t>
  </si>
  <si>
    <t>Tela losangular fio 12, revestido em PVC, malha 3"</t>
  </si>
  <si>
    <t>Telha cerâmica tipo plana</t>
  </si>
  <si>
    <t>Telha de fribrocimento ondulada de 6 mm</t>
  </si>
  <si>
    <t>Telha fibrocimento - Canalete normal 49 - Comp. = 2,50 m</t>
  </si>
  <si>
    <t>Telha fibrocimento - Canalete normal 49 - Comp. = 3,60 m</t>
  </si>
  <si>
    <t>Telha fibrocimento - Canalete terminal 49 - Comp. = 2,50 m</t>
  </si>
  <si>
    <t>Telha fibrocimento - Canalete terminal 49 - Comp. = 3,60 m</t>
  </si>
  <si>
    <t>Terra vegetal</t>
  </si>
  <si>
    <t>Terramesh System malha hexagonal 8x10mm, PVC, diâmetro 2,7 mm, 0,50x1,00x6,00m</t>
  </si>
  <si>
    <t>Terramesh System malha hexagonal 8x10mm, PVC, diâmetro 2,7mm, 0,50x1,00x4,00m</t>
  </si>
  <si>
    <t>Terramesh System malha hexagonal 8x10mm, PVC, diâmetro 2,7mm, 0,50x1,00x7,00m</t>
  </si>
  <si>
    <t>Terramesh System malha hexagonal, 8x10mm, PVC, diâmetro 2,7mm, 1,00x1,00x4,00m</t>
  </si>
  <si>
    <t>Terramesh System malha hexagonal 8x10mm, PVC, diâmetro 2,7mm, 1,00x1,00x5,00m</t>
  </si>
  <si>
    <t>Tijolinho a vista (placa de revestimento)</t>
  </si>
  <si>
    <t>Tijolo cerâmico maciço 5x10x20 cm</t>
  </si>
  <si>
    <t>Tinner comum</t>
  </si>
  <si>
    <t>Tinta a base de borracha clorada para acabamento a cores</t>
  </si>
  <si>
    <t>Tinta à base de epóxi, Coral (Wandepóxi), Suvinil (Esmalte Epóxi) ou equivalente</t>
  </si>
  <si>
    <t>Tinta a óleo</t>
  </si>
  <si>
    <t>Tinta acrílica</t>
  </si>
  <si>
    <t>BD</t>
  </si>
  <si>
    <t>Tinta base água (preço médio)</t>
  </si>
  <si>
    <t>Tinta epóxica isenta de solvente</t>
  </si>
  <si>
    <t>Tinta látex acrílica</t>
  </si>
  <si>
    <t>Tinta para demarc.viária à base de resina acrílica emuls. água (Preço médio)</t>
  </si>
  <si>
    <t>Trilho usado</t>
  </si>
  <si>
    <t>Tubo de aço galvanizado D=1 1/2"</t>
  </si>
  <si>
    <t>Tubo de aço galvanizado D=3"</t>
  </si>
  <si>
    <t>Tubo de aço galvanizado, semi-pesado d=2"</t>
  </si>
  <si>
    <t>Tubo de aço redondo preto DIN2440 diâm. 2"</t>
  </si>
  <si>
    <t>Tubo de concreto armado D=0,30m CA-1 MF</t>
  </si>
  <si>
    <t>Tubo de concreto armado D=0,40m CA-1 MF</t>
  </si>
  <si>
    <t>Tubo de concreto armado D=0,40m CA-2 MF</t>
  </si>
  <si>
    <t>Tubo de concreto armado D=0,60m CA-1 MF</t>
  </si>
  <si>
    <t>Tubo de concreto armado D=0,60m CA-1 PB</t>
  </si>
  <si>
    <t>Tubo de concreto armado D=0,60m CA-2 MF</t>
  </si>
  <si>
    <t>Tubo de concreto armado D=0,60m CA-2 PB</t>
  </si>
  <si>
    <t>Tubo de concreto armado D=0,80m CA-1 MF</t>
  </si>
  <si>
    <t>Tubo de concreto armado D=0,80m CA-1 PB</t>
  </si>
  <si>
    <t>Tubo de concreto armado D=0,80m CA-2 MF</t>
  </si>
  <si>
    <t>Tubo de concreto armado D=0,80m CA-2 PB</t>
  </si>
  <si>
    <t>Tubo de concreto armado D=1,00m CA-1 MF</t>
  </si>
  <si>
    <t>Tubo de concreto armado D=1,00m CA-1 PB</t>
  </si>
  <si>
    <t>Tubo de concreto armado D=1,00m CA-2 MF</t>
  </si>
  <si>
    <t>Tubo de concreto armado D=1,00m CA-2 PB</t>
  </si>
  <si>
    <t>Tubo de concreto armado D=1,00m CA-3 MF</t>
  </si>
  <si>
    <t>Tubo de concreto armado D=1,20m CA-1 MF</t>
  </si>
  <si>
    <t>Tubo de concreto armado D=1,20m CA-1 PB</t>
  </si>
  <si>
    <t>Tubo de concreto armado D=1,20m CA-2 MF</t>
  </si>
  <si>
    <t>Tubo de concreto armado D=1,20m CA-2 PB</t>
  </si>
  <si>
    <t>Tubo de concreto armado D=1,20m CA-3 MF</t>
  </si>
  <si>
    <t>Tubo de concreto armado D=1,50m CA-1 MF</t>
  </si>
  <si>
    <t>Tubo de concreto armado D=1,50m CA-1 PB</t>
  </si>
  <si>
    <t>Tubo de concreto armado D=1,50m CA-2 MF</t>
  </si>
  <si>
    <t>Tubo de concreto armado D=1,50m CA-2 PB</t>
  </si>
  <si>
    <t>Tubo de concreto armado D=1,50m CA-3 MF</t>
  </si>
  <si>
    <t>Tubo de concreto s/ armaçao D=0,20m MF</t>
  </si>
  <si>
    <t>Tubo de concreto s/ armaçao D=0,20m PB</t>
  </si>
  <si>
    <t>Tubo de concreto s/ armaçao D=0,30m MF</t>
  </si>
  <si>
    <t>Tubo de concreto s/ armaçao D=0,30m PB</t>
  </si>
  <si>
    <t>Tubo de concreto s/ armaçao D=0,40m MF</t>
  </si>
  <si>
    <t>Tubo de concreto s/ armaçao D=0,40m PB</t>
  </si>
  <si>
    <t>Tubo de concreto s/ armaçao D=0,60m MF</t>
  </si>
  <si>
    <t>Tubo de concreto s/ armaçao D=0,60m PB</t>
  </si>
  <si>
    <t>Tubo de PVC D= 75 mm (esgoto) - vara 6 m</t>
  </si>
  <si>
    <t>Tubo de PVC de 100mm para esgoto</t>
  </si>
  <si>
    <t>Tubo de PVC PBA CL 15 DN 75mm</t>
  </si>
  <si>
    <t>Tubo de PVC PBA CL 15 DN 100mm</t>
  </si>
  <si>
    <t>Tubo de PVC PBA, JEI (junta elástica) Classe 12 - NBR 5647, diam. 75mm</t>
  </si>
  <si>
    <t>Tubo de PVC PBA, JEI (junta elástica) Classe 12 - NBR 5647 diâm. 50mm</t>
  </si>
  <si>
    <t>Tubo de PVC rígido D= 50mm (dreno) - vara 6m</t>
  </si>
  <si>
    <t>Tubo de PVC rígido D= 75mm (dreno) - vara 6m</t>
  </si>
  <si>
    <t>Tubo de PVC rígido D= 100mm (dreno) - vara 6m</t>
  </si>
  <si>
    <t>Tubo de PVC rígido, PBV, Série R, vara com 3m, diâmetro nominal de 50mm</t>
  </si>
  <si>
    <t>Tubo de PVC rígido, roscável, vara com 6m de 3/4"</t>
  </si>
  <si>
    <t>Tubo de PVC rígido, série R NBR5688, diam.100mm</t>
  </si>
  <si>
    <t>Tubo de PVC soldável DN 20mm</t>
  </si>
  <si>
    <t>Tubo de PVC soldável DN 25mm</t>
  </si>
  <si>
    <t>Tubo de PVC soldável DN 32mm</t>
  </si>
  <si>
    <t>Tubo de PVC soldável DN 50 mm (água)</t>
  </si>
  <si>
    <t>Tubo IRRIFORT agropecuário diâmetro 32</t>
  </si>
  <si>
    <t>Tubo para irrigação linha fixa PN40, diâm. 50mm</t>
  </si>
  <si>
    <t>Tubo para irrigação linha fixa PN40, diam. 75mm</t>
  </si>
  <si>
    <t>Tubo plástico, corrugado, perfurado de PEAD (polietileno de alta densidade), padrão NBR, diâmetro 100mm</t>
  </si>
  <si>
    <t>Tubo plástico, corrugado, perfurado de PEAD (polietileno de alta densidade), padrão NBR, diâmetro 65mm</t>
  </si>
  <si>
    <t>Tubo poroso D=0,20 m (preço médio)</t>
  </si>
  <si>
    <t>TX 10,00% de custos diretos</t>
  </si>
  <si>
    <t>TX 2,00% de custos diretos + remuneraçao</t>
  </si>
  <si>
    <t>TX 25.00% s/ mao obra/equip. projeto</t>
  </si>
  <si>
    <t>TX 80,40 s/ mao obra/equip. projeto</t>
  </si>
  <si>
    <t>Vassoura tipo gari</t>
  </si>
  <si>
    <t>Verniz (para tijolinho a vista)</t>
  </si>
  <si>
    <t>Viga pré-moldada concreto vão 4,00 m, classe 45 (preço médio)</t>
  </si>
  <si>
    <t>Viga pré-moldada concreto vão 5,00 m, classe 45 (preço médio)</t>
  </si>
  <si>
    <t>Viga pré-moldada concreto vão 6,00 m, classe 45 (preço médio)</t>
  </si>
  <si>
    <t>Viga pré-moldada concreto vão 7,00 m, classe 45 (preço médio)</t>
  </si>
  <si>
    <t>Viga pré-moldada concreto vão 8,00 m, classe 45 (preço médio)</t>
  </si>
  <si>
    <t>Viga pré-moldada concreto vão 9,00 m, classe 45 (preço médio)</t>
  </si>
  <si>
    <t>Viga pré-moldada concreto vão 10,00 m, classe 45 (preço médio)</t>
  </si>
  <si>
    <t>Viga pré-moldada concreto vão 11,00 m, classe 45 (preço médio)</t>
  </si>
  <si>
    <t>Viga pré-moldada concreto vão 12,00 m, classe 45 (preço médio)</t>
  </si>
  <si>
    <t>Viga pré-moldada concreto vão 13,00 m, classe 45 (preço médio)</t>
  </si>
  <si>
    <t>Viga pré-moldada concreto vão 14,00 m, classe 45 (preço médio)</t>
  </si>
  <si>
    <t>Viga pré-moldada concreto vão 15,00 m, classe 45 (preço médio)</t>
  </si>
  <si>
    <t>Zarcão, Suvinil ou equivalente</t>
  </si>
  <si>
    <t>0,880XP + 0,972XR + 1,544</t>
  </si>
  <si>
    <t>0,607XP + 0,642XR + 1,365</t>
  </si>
  <si>
    <t>0,789XP + 0,887XR + 1,479</t>
  </si>
  <si>
    <t>0,681XP + 0,757XR + 1,420</t>
  </si>
  <si>
    <t>0,200XP + 0,212XR + 7,678</t>
  </si>
  <si>
    <t>0,436XP + 0,516XR + 46,578</t>
  </si>
  <si>
    <t>1,064XP + 1,419XR + 1,774</t>
  </si>
  <si>
    <t>0,681XP + 0,710XR + 2,841</t>
  </si>
  <si>
    <t>0,681XP + 0,710XR</t>
  </si>
  <si>
    <t>0,676XP + 0,703XR</t>
  </si>
  <si>
    <t>1,126XP + 1,173XR</t>
  </si>
  <si>
    <t>1,025XP + 1,065XR + 7,891</t>
  </si>
  <si>
    <t>Constatado falta de inclusão do transporte do tubo de concreto da fábrica até à obra XP=37,20km e XR= 5,60km e o insumo argamassa, faltou o transporte da areia e cimento confeccionados no local da obra</t>
  </si>
  <si>
    <t>Constatado falta de inclusão do transporte da brita, do filler e do pó de pedra da pedreira até o local da obra (XP=37,20km e XR=5,60km), falta de inclusão do transporte do óleo combustível da usina</t>
  </si>
  <si>
    <t>Constatado falta de inclusão do transporte das britas (XP=37,20km e XR=5,60km)</t>
  </si>
  <si>
    <t>Constatado falta de inclusão do transporte do arame farpado, do mourão quadrangular e triangular da fábrica até o local da obra (XP=37,20km e XR=5,60km)</t>
  </si>
  <si>
    <r>
      <t xml:space="preserve">DEMONSTRATIVO DO ORÇAMENTO </t>
    </r>
    <r>
      <rPr>
        <b/>
        <i/>
        <sz val="14"/>
        <color theme="1"/>
        <rFont val="Times New Roman"/>
        <family val="1"/>
      </rPr>
      <t>(DER-ES 10/2018) S/Desoneração</t>
    </r>
  </si>
  <si>
    <t>Constatado falta de inclusão do transporte de Areia, Cimento, Pedra e Silica até o local da obra (Areia XP=10km e RX= 5,60km; Cimento e pedra XP=37,20km e XR=5,60km)</t>
  </si>
  <si>
    <t>Constatado falta de inclusão do transporte de Areia, Cimento e Pedra Britada até o local da obra (Areia XP=10km e XR= 5,60km; Cimento e pedra XP=37,20km e XR=5,60km)</t>
  </si>
  <si>
    <t>Nivel (planilha jan 2017)</t>
  </si>
  <si>
    <t>pulvimisturadora plan jan 2017</t>
  </si>
  <si>
    <t>,</t>
  </si>
  <si>
    <t>Atualizado em 17/07/2019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</si>
</sst>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[$€-2]* #,##0.00_);_([$€-2]* \(#,##0.00\);_([$€-2]* &quot;-&quot;??_)"/>
    <numFmt numFmtId="166" formatCode="_(&quot;R$&quot;* #,##0.00_);_(&quot;R$&quot;* \(#,##0.00\);_(&quot;R$&quot;* &quot;-&quot;??_);_(@_)"/>
    <numFmt numFmtId="167" formatCode="0.000"/>
    <numFmt numFmtId="168" formatCode="_-* #,##0.000_-;\-* #,##0.000_-;_-* &quot;-&quot;??_-;_-@_-"/>
    <numFmt numFmtId="169" formatCode="_(* #,##0.00_);_(* \(#,##0.00\);_(* \-??_);_(@_)"/>
    <numFmt numFmtId="170" formatCode="_(* #,##0.0000_);_(* \(#,##0.0000\);_(* &quot;-&quot;??_);_(@_)"/>
    <numFmt numFmtId="171" formatCode="_(* #,##0.00000_);_(* \(#,##0.00000\);_(* &quot;-&quot;??_);_(@_)"/>
    <numFmt numFmtId="172" formatCode="_(* #,##0.0_);_(* \(#,##0.0\);_(* \-??_);_(@_)"/>
    <numFmt numFmtId="173" formatCode="0.0000"/>
    <numFmt numFmtId="174" formatCode="_(* #,##0_);_(* \(#,##0\);_(* \-??_);_(@_)"/>
    <numFmt numFmtId="175" formatCode="_-* #,##0.0000_-;\-* #,##0.0000_-;_-* &quot;-&quot;??_-;_-@_-"/>
    <numFmt numFmtId="176" formatCode="_(&quot;R$ &quot;* #,##0.00_);_(&quot;R$ &quot;* \(#,##0.00\);_(&quot;R$ &quot;* &quot;-&quot;??_);_(@_)"/>
    <numFmt numFmtId="177" formatCode="_-&quot;R$&quot;* #,##0.00_-;\-&quot;R$&quot;* #,##0.00_-;_-&quot;R$&quot;* &quot;-&quot;??_-;_-@_-"/>
    <numFmt numFmtId="178" formatCode="0.0"/>
    <numFmt numFmtId="179" formatCode="0;[Red]0"/>
    <numFmt numFmtId="180" formatCode="_-* #,##0.00000_-;\-* #,##0.00000_-;_-* &quot;-&quot;??_-;_-@_-"/>
    <numFmt numFmtId="181" formatCode="#,##0.00_ ;\-#,##0.00\ "/>
    <numFmt numFmtId="182" formatCode="_(* #,##0.000_);_(* \(#,##0.000\);_(* &quot;-&quot;??_);_(@_)"/>
    <numFmt numFmtId="183" formatCode="&quot;R$&quot;\ #,##0.00"/>
    <numFmt numFmtId="184" formatCode="0.000%"/>
    <numFmt numFmtId="185" formatCode="0.00000"/>
    <numFmt numFmtId="186" formatCode="0.000000"/>
    <numFmt numFmtId="187" formatCode="_-* #,##0_-;\-* #,##0_-;_-* &quot;-&quot;??_-;_-@_-"/>
    <numFmt numFmtId="188" formatCode="0.000;[Red]0.000"/>
    <numFmt numFmtId="189" formatCode="###0;###0"/>
  </numFmts>
  <fonts count="111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8"/>
      <name val="Arial Narrow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2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7"/>
      <name val="Arial"/>
      <family val="2"/>
    </font>
    <font>
      <b/>
      <i/>
      <sz val="8"/>
      <color rgb="FF0000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  <scheme val="minor"/>
    </font>
    <font>
      <sz val="8"/>
      <name val="Arial Narrow"/>
      <family val="2"/>
    </font>
    <font>
      <b/>
      <sz val="8"/>
      <color indexed="12"/>
      <name val="Arial Narrow"/>
      <family val="2"/>
    </font>
    <font>
      <sz val="7"/>
      <name val="Arial Narrow"/>
      <family val="2"/>
    </font>
    <font>
      <b/>
      <sz val="8"/>
      <name val="Arial Narrow"/>
      <family val="2"/>
    </font>
    <font>
      <b/>
      <i/>
      <sz val="8"/>
      <color rgb="FF0000FF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10"/>
      <color indexed="8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name val="Times New Roman"/>
      <family val="1"/>
    </font>
    <font>
      <sz val="10"/>
      <name val="Verdana"/>
      <family val="2"/>
    </font>
    <font>
      <sz val="10"/>
      <name val="Arial"/>
      <family val="2"/>
    </font>
    <font>
      <sz val="11"/>
      <name val="Arial"/>
      <family val="2"/>
      <scheme val="minor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rgb="FFFF0000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sz val="10"/>
      <color rgb="FF0000FF"/>
      <name val="Times New Roman"/>
      <family val="1"/>
    </font>
    <font>
      <b/>
      <u/>
      <sz val="10"/>
      <name val="Times New Roman"/>
      <family val="1"/>
    </font>
    <font>
      <b/>
      <u/>
      <sz val="10"/>
      <color rgb="FF0033CC"/>
      <name val="Times New Roman"/>
      <family val="1"/>
    </font>
    <font>
      <b/>
      <sz val="10"/>
      <color rgb="FF0033CC"/>
      <name val="Times New Roman"/>
      <family val="1"/>
    </font>
    <font>
      <sz val="10"/>
      <color rgb="FF0033CC"/>
      <name val="Times New Roman"/>
      <family val="1"/>
    </font>
    <font>
      <u/>
      <sz val="11"/>
      <color theme="10"/>
      <name val="Arial"/>
      <family val="2"/>
      <scheme val="minor"/>
    </font>
    <font>
      <u/>
      <sz val="11"/>
      <color theme="11"/>
      <name val="Arial"/>
      <family val="2"/>
      <scheme val="minor"/>
    </font>
    <font>
      <sz val="11"/>
      <color theme="1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rgb="FF0000FF"/>
      <name val="Times New Roman"/>
      <family val="1"/>
    </font>
    <font>
      <i/>
      <sz val="11"/>
      <color rgb="FF0000FF"/>
      <name val="Times New Roman"/>
      <family val="1"/>
    </font>
    <font>
      <sz val="11"/>
      <color rgb="FF0000FF"/>
      <name val="Times New Roman"/>
      <family val="1"/>
    </font>
    <font>
      <b/>
      <sz val="14"/>
      <color theme="1"/>
      <name val="Times New Roman"/>
      <family val="1"/>
    </font>
    <font>
      <b/>
      <i/>
      <sz val="14"/>
      <color theme="1"/>
      <name val="Times New Roman"/>
      <family val="1"/>
    </font>
    <font>
      <vertAlign val="superscript"/>
      <sz val="8"/>
      <name val="Arial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sz val="11"/>
      <color rgb="FF000000"/>
      <name val="Arial"/>
      <family val="2"/>
      <scheme val="minor"/>
    </font>
    <font>
      <b/>
      <sz val="11"/>
      <color rgb="FF000000"/>
      <name val="Arial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Arial"/>
      <family val="2"/>
      <scheme val="minor"/>
    </font>
    <font>
      <sz val="10"/>
      <color theme="1"/>
      <name val="Arial"/>
      <family val="2"/>
      <scheme val="major"/>
    </font>
    <font>
      <sz val="10"/>
      <name val="Arial"/>
      <family val="2"/>
      <scheme val="major"/>
    </font>
    <font>
      <sz val="7"/>
      <color rgb="FF000000"/>
      <name val="Arial"/>
      <family val="2"/>
    </font>
    <font>
      <sz val="10"/>
      <name val="Century Gothic"/>
      <family val="2"/>
    </font>
    <font>
      <sz val="10"/>
      <color rgb="FFFF0000"/>
      <name val="Times New Roman"/>
      <family val="1"/>
    </font>
    <font>
      <b/>
      <u/>
      <sz val="10"/>
      <color rgb="FFFF0000"/>
      <name val="Times New Roman"/>
      <family val="1"/>
    </font>
    <font>
      <vertAlign val="superscript"/>
      <sz val="10"/>
      <name val="Times New Roman"/>
      <family val="1"/>
    </font>
    <font>
      <sz val="10"/>
      <color rgb="FFC00000"/>
      <name val="Times New Roman"/>
      <family val="1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7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5E5E5"/>
      </patternFill>
    </fill>
    <fill>
      <patternFill patternType="solid">
        <fgColor rgb="FF92D050"/>
        <bgColor indexed="64"/>
      </patternFill>
    </fill>
  </fills>
  <borders count="116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theme="0"/>
      </bottom>
      <diagonal/>
    </border>
    <border>
      <left/>
      <right/>
      <top style="thin">
        <color indexed="64"/>
      </top>
      <bottom style="hair">
        <color theme="0"/>
      </bottom>
      <diagonal/>
    </border>
    <border>
      <left/>
      <right style="hair">
        <color indexed="64"/>
      </right>
      <top style="thin">
        <color indexed="64"/>
      </top>
      <bottom style="hair">
        <color theme="0"/>
      </bottom>
      <diagonal/>
    </border>
    <border>
      <left style="hair">
        <color indexed="64"/>
      </left>
      <right/>
      <top style="hair">
        <color theme="0"/>
      </top>
      <bottom/>
      <diagonal/>
    </border>
    <border>
      <left/>
      <right/>
      <top style="hair">
        <color theme="0"/>
      </top>
      <bottom/>
      <diagonal/>
    </border>
    <border>
      <left/>
      <right style="hair">
        <color indexed="64"/>
      </right>
      <top style="hair">
        <color theme="0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hair">
        <color theme="0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theme="0"/>
      </bottom>
      <diagonal/>
    </border>
    <border>
      <left style="thin">
        <color indexed="64"/>
      </left>
      <right style="hair">
        <color theme="1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53323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0" borderId="2" applyNumberFormat="0" applyFont="0" applyAlignment="0">
      <alignment horizontal="left" vertical="top" indent="1"/>
    </xf>
    <xf numFmtId="0" fontId="8" fillId="5" borderId="0" applyNumberFormat="0" applyBorder="0" applyAlignment="0" applyProtection="0"/>
    <xf numFmtId="0" fontId="9" fillId="17" borderId="8" applyNumberFormat="0" applyAlignment="0" applyProtection="0"/>
    <xf numFmtId="0" fontId="10" fillId="18" borderId="9" applyNumberFormat="0" applyAlignment="0" applyProtection="0"/>
    <xf numFmtId="0" fontId="11" fillId="0" borderId="10" applyNumberFormat="0" applyFill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12" fillId="8" borderId="8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3" fillId="4" borderId="0" applyNumberFormat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4" borderId="11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17" borderId="1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6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23" fillId="0" borderId="0"/>
    <xf numFmtId="164" fontId="3" fillId="0" borderId="0" applyFont="0" applyFill="0" applyBorder="0" applyAlignment="0" applyProtection="0"/>
    <xf numFmtId="0" fontId="7" fillId="0" borderId="32" applyNumberFormat="0" applyFont="0" applyAlignment="0">
      <alignment horizontal="left" vertical="top" indent="1"/>
    </xf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7" fillId="0" borderId="32" applyNumberFormat="0" applyFont="0" applyAlignment="0">
      <alignment horizontal="left" vertical="top" inden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5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45" fillId="0" borderId="0"/>
    <xf numFmtId="43" fontId="45" fillId="0" borderId="0" applyFont="0" applyFill="0" applyBorder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" fillId="0" borderId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43" fontId="3" fillId="0" borderId="0" applyFont="0" applyFill="0" applyBorder="0" applyAlignment="0" applyProtection="0"/>
    <xf numFmtId="0" fontId="15" fillId="17" borderId="12" applyNumberFormat="0" applyAlignment="0" applyProtection="0"/>
    <xf numFmtId="164" fontId="3" fillId="0" borderId="0" applyFont="0" applyFill="0" applyBorder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3" fillId="0" borderId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46" fillId="0" borderId="0" applyNumberFormat="0" applyFill="0" applyBorder="0" applyAlignment="0" applyProtection="0"/>
    <xf numFmtId="0" fontId="47" fillId="0" borderId="63" applyNumberFormat="0" applyFill="0" applyAlignment="0" applyProtection="0"/>
    <xf numFmtId="0" fontId="48" fillId="0" borderId="64" applyNumberFormat="0" applyFill="0" applyAlignment="0" applyProtection="0"/>
    <xf numFmtId="0" fontId="49" fillId="0" borderId="65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0" applyNumberFormat="0" applyBorder="0" applyAlignment="0" applyProtection="0"/>
    <xf numFmtId="0" fontId="51" fillId="27" borderId="0" applyNumberFormat="0" applyBorder="0" applyAlignment="0" applyProtection="0"/>
    <xf numFmtId="0" fontId="52" fillId="28" borderId="0" applyNumberFormat="0" applyBorder="0" applyAlignment="0" applyProtection="0"/>
    <xf numFmtId="0" fontId="53" fillId="29" borderId="66" applyNumberFormat="0" applyAlignment="0" applyProtection="0"/>
    <xf numFmtId="0" fontId="54" fillId="30" borderId="67" applyNumberFormat="0" applyAlignment="0" applyProtection="0"/>
    <xf numFmtId="0" fontId="55" fillId="30" borderId="66" applyNumberFormat="0" applyAlignment="0" applyProtection="0"/>
    <xf numFmtId="0" fontId="56" fillId="0" borderId="68" applyNumberFormat="0" applyFill="0" applyAlignment="0" applyProtection="0"/>
    <xf numFmtId="0" fontId="57" fillId="31" borderId="69" applyNumberFormat="0" applyAlignment="0" applyProtection="0"/>
    <xf numFmtId="0" fontId="36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58" fillId="0" borderId="0" applyNumberFormat="0" applyFill="0" applyBorder="0" applyAlignment="0" applyProtection="0"/>
    <xf numFmtId="0" fontId="1" fillId="0" borderId="71" applyNumberFormat="0" applyFill="0" applyAlignment="0" applyProtection="0"/>
    <xf numFmtId="0" fontId="59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59" fillId="56" borderId="0" applyNumberFormat="0" applyBorder="0" applyAlignment="0" applyProtection="0"/>
    <xf numFmtId="0" fontId="21" fillId="0" borderId="15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" fillId="0" borderId="2" applyNumberFormat="0" applyFont="0" applyAlignment="0">
      <alignment horizontal="left" vertical="top" indent="1"/>
    </xf>
    <xf numFmtId="0" fontId="3" fillId="0" borderId="0"/>
    <xf numFmtId="176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ill="0" applyBorder="0" applyAlignment="0" applyProtection="0"/>
    <xf numFmtId="169" fontId="3" fillId="0" borderId="0" applyFill="0" applyBorder="0" applyAlignment="0" applyProtection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1" fillId="0" borderId="15" applyNumberFormat="0" applyFill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2" applyNumberFormat="0" applyFont="0" applyAlignment="0">
      <alignment horizontal="left" vertical="top" indent="1"/>
    </xf>
    <xf numFmtId="0" fontId="21" fillId="0" borderId="15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" fillId="0" borderId="0"/>
    <xf numFmtId="0" fontId="21" fillId="0" borderId="15" applyNumberFormat="0" applyFill="0" applyAlignment="0" applyProtection="0"/>
    <xf numFmtId="0" fontId="21" fillId="0" borderId="15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21" fillId="0" borderId="15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1" fillId="0" borderId="15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5" fillId="32" borderId="70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2" fillId="0" borderId="0"/>
    <xf numFmtId="0" fontId="9" fillId="17" borderId="8" applyNumberFormat="0" applyAlignment="0" applyProtection="0"/>
    <xf numFmtId="0" fontId="12" fillId="8" borderId="8" applyNumberFormat="0" applyAlignment="0" applyProtection="0"/>
    <xf numFmtId="164" fontId="3" fillId="0" borderId="0" applyFont="0" applyFill="0" applyBorder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" fillId="32" borderId="70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" fillId="32" borderId="70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1" fillId="0" borderId="15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1" fillId="0" borderId="15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7" fillId="0" borderId="32" applyNumberFormat="0" applyFont="0" applyAlignment="0">
      <alignment horizontal="left" vertical="top" indent="1"/>
    </xf>
    <xf numFmtId="176" fontId="3" fillId="0" borderId="0" applyFont="0" applyFill="0" applyBorder="0" applyAlignment="0" applyProtection="0"/>
    <xf numFmtId="177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2" fillId="0" borderId="0"/>
    <xf numFmtId="0" fontId="45" fillId="0" borderId="0"/>
    <xf numFmtId="0" fontId="45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32" borderId="70" applyNumberFormat="0" applyFont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32" borderId="70" applyNumberFormat="0" applyFont="0" applyAlignment="0" applyProtection="0"/>
    <xf numFmtId="0" fontId="2" fillId="0" borderId="0"/>
    <xf numFmtId="0" fontId="2" fillId="32" borderId="70" applyNumberFormat="0" applyFont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32" borderId="70" applyNumberFormat="0" applyFont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5" fillId="32" borderId="70" applyNumberFormat="0" applyFont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5" fillId="32" borderId="70" applyNumberFormat="0" applyFont="0" applyAlignment="0" applyProtection="0"/>
    <xf numFmtId="0" fontId="5" fillId="32" borderId="70" applyNumberFormat="0" applyFont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5" fillId="0" borderId="0"/>
    <xf numFmtId="0" fontId="8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13" fillId="4" borderId="0" applyNumberFormat="0" applyBorder="0" applyAlignment="0" applyProtection="0"/>
    <xf numFmtId="0" fontId="9" fillId="17" borderId="8" applyNumberFormat="0" applyAlignment="0" applyProtection="0"/>
    <xf numFmtId="0" fontId="10" fillId="18" borderId="9" applyNumberFormat="0" applyAlignment="0" applyProtection="0"/>
    <xf numFmtId="0" fontId="1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2" fillId="8" borderId="8" applyNumberFormat="0" applyAlignment="0" applyProtection="0"/>
    <xf numFmtId="0" fontId="11" fillId="0" borderId="10" applyNumberFormat="0" applyFill="0" applyAlignment="0" applyProtection="0"/>
    <xf numFmtId="0" fontId="14" fillId="23" borderId="0" applyNumberFormat="0" applyBorder="0" applyAlignment="0" applyProtection="0"/>
    <xf numFmtId="0" fontId="3" fillId="24" borderId="11" applyNumberFormat="0" applyFont="0" applyAlignment="0" applyProtection="0"/>
    <xf numFmtId="0" fontId="15" fillId="17" borderId="12" applyNumberFormat="0" applyAlignment="0" applyProtection="0"/>
    <xf numFmtId="164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24" borderId="11" applyNumberFormat="0" applyFont="0" applyAlignment="0" applyProtection="0"/>
    <xf numFmtId="0" fontId="3" fillId="24" borderId="11" applyNumberFormat="0" applyFont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" fillId="24" borderId="11" applyNumberFormat="0" applyFont="0" applyAlignment="0" applyProtection="0"/>
    <xf numFmtId="0" fontId="84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4" fillId="23" borderId="0" applyNumberFormat="0" applyBorder="0" applyAlignment="0" applyProtection="0"/>
    <xf numFmtId="0" fontId="83" fillId="0" borderId="0" applyNumberFormat="0" applyFill="0" applyBorder="0" applyAlignment="0" applyProtection="0"/>
    <xf numFmtId="0" fontId="3" fillId="24" borderId="11" applyNumberFormat="0" applyFont="0" applyAlignment="0" applyProtection="0"/>
    <xf numFmtId="0" fontId="15" fillId="17" borderId="12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84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4" fillId="0" borderId="0" applyNumberFormat="0" applyFill="0" applyBorder="0" applyAlignment="0" applyProtection="0"/>
    <xf numFmtId="0" fontId="5" fillId="5" borderId="0" applyNumberFormat="0" applyBorder="0" applyAlignment="0" applyProtection="0"/>
    <xf numFmtId="164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8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164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164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5" borderId="0" applyNumberFormat="0" applyBorder="0" applyAlignment="0" applyProtection="0"/>
    <xf numFmtId="164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0" fontId="5" fillId="6" borderId="0" applyNumberFormat="0" applyBorder="0" applyAlignment="0" applyProtection="0"/>
    <xf numFmtId="164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6" borderId="0" applyNumberFormat="0" applyBorder="0" applyAlignment="0" applyProtection="0"/>
    <xf numFmtId="164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4" fillId="0" borderId="0" applyNumberFormat="0" applyFill="0" applyBorder="0" applyAlignment="0" applyProtection="0"/>
    <xf numFmtId="0" fontId="5" fillId="6" borderId="0" applyNumberFormat="0" applyBorder="0" applyAlignment="0" applyProtection="0"/>
    <xf numFmtId="164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0" fontId="5" fillId="6" borderId="0" applyNumberFormat="0" applyBorder="0" applyAlignment="0" applyProtection="0"/>
    <xf numFmtId="164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4" fillId="0" borderId="0" applyNumberFormat="0" applyFill="0" applyBorder="0" applyAlignment="0" applyProtection="0"/>
    <xf numFmtId="0" fontId="5" fillId="6" borderId="0" applyNumberFormat="0" applyBorder="0" applyAlignment="0" applyProtection="0"/>
    <xf numFmtId="164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0" fontId="5" fillId="6" borderId="0" applyNumberFormat="0" applyBorder="0" applyAlignment="0" applyProtection="0"/>
    <xf numFmtId="164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164" fontId="85" fillId="0" borderId="0" applyFont="0" applyFill="0" applyBorder="0" applyAlignment="0" applyProtection="0"/>
    <xf numFmtId="0" fontId="3" fillId="0" borderId="0"/>
    <xf numFmtId="0" fontId="3" fillId="0" borderId="0"/>
    <xf numFmtId="0" fontId="85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5" fillId="0" borderId="0"/>
    <xf numFmtId="0" fontId="3" fillId="0" borderId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3" fillId="0" borderId="0"/>
    <xf numFmtId="0" fontId="3" fillId="0" borderId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3" fillId="0" borderId="0"/>
    <xf numFmtId="0" fontId="22" fillId="0" borderId="16" applyNumberFormat="0" applyFill="0" applyAlignment="0" applyProtection="0"/>
    <xf numFmtId="0" fontId="3" fillId="0" borderId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4" fillId="0" borderId="0" applyNumberForma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22" fillId="0" borderId="16" applyNumberFormat="0" applyFill="0" applyAlignment="0" applyProtection="0"/>
    <xf numFmtId="0" fontId="3" fillId="0" borderId="0"/>
    <xf numFmtId="0" fontId="85" fillId="0" borderId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3" fillId="0" borderId="0"/>
    <xf numFmtId="0" fontId="3" fillId="0" borderId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85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164" fontId="85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85" fillId="0" borderId="0"/>
    <xf numFmtId="0" fontId="85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164" fontId="85" fillId="0" borderId="0" applyFont="0" applyFill="0" applyBorder="0" applyAlignment="0" applyProtection="0"/>
    <xf numFmtId="0" fontId="85" fillId="0" borderId="0"/>
    <xf numFmtId="0" fontId="85" fillId="0" borderId="0"/>
    <xf numFmtId="0" fontId="3" fillId="0" borderId="0"/>
    <xf numFmtId="0" fontId="85" fillId="0" borderId="0"/>
    <xf numFmtId="0" fontId="85" fillId="0" borderId="0"/>
    <xf numFmtId="0" fontId="3" fillId="0" borderId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108" fillId="0" borderId="0"/>
    <xf numFmtId="9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</cellStyleXfs>
  <cellXfs count="1290">
    <xf numFmtId="0" fontId="0" fillId="0" borderId="0" xfId="0"/>
    <xf numFmtId="0" fontId="0" fillId="2" borderId="0" xfId="0" applyFill="1"/>
    <xf numFmtId="2" fontId="25" fillId="2" borderId="27" xfId="1119" applyNumberFormat="1" applyFont="1" applyFill="1" applyBorder="1" applyAlignment="1">
      <alignment horizontal="center" vertical="center" wrapText="1"/>
    </xf>
    <xf numFmtId="2" fontId="25" fillId="2" borderId="27" xfId="1105" applyNumberFormat="1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distributed"/>
    </xf>
    <xf numFmtId="0" fontId="26" fillId="2" borderId="27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5" borderId="0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5" borderId="38" xfId="0" applyFill="1" applyBorder="1" applyAlignment="1">
      <alignment horizontal="center" vertical="center"/>
    </xf>
    <xf numFmtId="0" fontId="0" fillId="25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5" borderId="41" xfId="0" applyFill="1" applyBorder="1" applyAlignment="1">
      <alignment horizontal="center" vertical="center"/>
    </xf>
    <xf numFmtId="0" fontId="28" fillId="2" borderId="0" xfId="0" applyFont="1" applyFill="1"/>
    <xf numFmtId="0" fontId="28" fillId="2" borderId="32" xfId="0" applyFont="1" applyFill="1" applyBorder="1"/>
    <xf numFmtId="0" fontId="29" fillId="2" borderId="42" xfId="0" applyFont="1" applyFill="1" applyBorder="1"/>
    <xf numFmtId="0" fontId="28" fillId="2" borderId="42" xfId="0" applyFont="1" applyFill="1" applyBorder="1"/>
    <xf numFmtId="0" fontId="28" fillId="2" borderId="7" xfId="0" applyFont="1" applyFill="1" applyBorder="1"/>
    <xf numFmtId="0" fontId="28" fillId="2" borderId="0" xfId="0" applyFont="1" applyFill="1" applyBorder="1"/>
    <xf numFmtId="0" fontId="29" fillId="2" borderId="0" xfId="0" applyFont="1" applyFill="1" applyBorder="1"/>
    <xf numFmtId="0" fontId="28" fillId="2" borderId="5" xfId="0" applyFont="1" applyFill="1" applyBorder="1"/>
    <xf numFmtId="0" fontId="29" fillId="2" borderId="30" xfId="0" applyFont="1" applyFill="1" applyBorder="1"/>
    <xf numFmtId="0" fontId="28" fillId="2" borderId="30" xfId="0" applyFont="1" applyFill="1" applyBorder="1"/>
    <xf numFmtId="0" fontId="28" fillId="2" borderId="26" xfId="0" applyFont="1" applyFill="1" applyBorder="1"/>
    <xf numFmtId="0" fontId="28" fillId="2" borderId="27" xfId="0" applyFont="1" applyFill="1" applyBorder="1" applyAlignment="1">
      <alignment horizontal="center"/>
    </xf>
    <xf numFmtId="0" fontId="31" fillId="2" borderId="27" xfId="0" applyFont="1" applyFill="1" applyBorder="1" applyAlignment="1">
      <alignment horizontal="center"/>
    </xf>
    <xf numFmtId="3" fontId="28" fillId="2" borderId="33" xfId="0" applyNumberFormat="1" applyFont="1" applyFill="1" applyBorder="1" applyAlignment="1">
      <alignment horizontal="center"/>
    </xf>
    <xf numFmtId="169" fontId="28" fillId="2" borderId="33" xfId="1" applyNumberFormat="1" applyFont="1" applyFill="1" applyBorder="1"/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3" fontId="28" fillId="2" borderId="6" xfId="0" applyNumberFormat="1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/>
    </xf>
    <xf numFmtId="169" fontId="28" fillId="2" borderId="4" xfId="1" applyNumberFormat="1" applyFont="1" applyFill="1" applyBorder="1"/>
    <xf numFmtId="169" fontId="29" fillId="2" borderId="27" xfId="1" applyNumberFormat="1" applyFont="1" applyFill="1" applyBorder="1"/>
    <xf numFmtId="0" fontId="28" fillId="2" borderId="6" xfId="0" applyFont="1" applyFill="1" applyBorder="1" applyAlignment="1">
      <alignment horizontal="center"/>
    </xf>
    <xf numFmtId="10" fontId="28" fillId="2" borderId="33" xfId="0" applyNumberFormat="1" applyFont="1" applyFill="1" applyBorder="1"/>
    <xf numFmtId="0" fontId="28" fillId="2" borderId="33" xfId="0" applyFont="1" applyFill="1" applyBorder="1"/>
    <xf numFmtId="0" fontId="28" fillId="2" borderId="4" xfId="0" applyFont="1" applyFill="1" applyBorder="1"/>
    <xf numFmtId="169" fontId="28" fillId="2" borderId="27" xfId="1" applyNumberFormat="1" applyFont="1" applyFill="1" applyBorder="1"/>
    <xf numFmtId="0" fontId="28" fillId="2" borderId="32" xfId="0" applyFont="1" applyFill="1" applyBorder="1" applyAlignment="1"/>
    <xf numFmtId="0" fontId="28" fillId="2" borderId="42" xfId="0" applyFont="1" applyFill="1" applyBorder="1" applyAlignment="1"/>
    <xf numFmtId="0" fontId="28" fillId="2" borderId="1" xfId="0" applyFont="1" applyFill="1" applyBorder="1" applyAlignment="1"/>
    <xf numFmtId="49" fontId="28" fillId="2" borderId="6" xfId="0" applyNumberFormat="1" applyFont="1" applyFill="1" applyBorder="1" applyAlignment="1">
      <alignment horizontal="center"/>
    </xf>
    <xf numFmtId="0" fontId="28" fillId="2" borderId="33" xfId="0" applyFont="1" applyFill="1" applyBorder="1" applyAlignment="1">
      <alignment horizontal="center"/>
    </xf>
    <xf numFmtId="169" fontId="28" fillId="2" borderId="33" xfId="1" applyNumberFormat="1" applyFont="1" applyFill="1" applyBorder="1" applyAlignment="1">
      <alignment horizontal="center"/>
    </xf>
    <xf numFmtId="170" fontId="28" fillId="2" borderId="33" xfId="1" applyNumberFormat="1" applyFont="1" applyFill="1" applyBorder="1"/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49" fontId="28" fillId="2" borderId="3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69" fontId="28" fillId="2" borderId="4" xfId="1" applyNumberFormat="1" applyFont="1" applyFill="1" applyBorder="1" applyAlignment="1">
      <alignment horizontal="center"/>
    </xf>
    <xf numFmtId="169" fontId="28" fillId="2" borderId="26" xfId="1" applyNumberFormat="1" applyFont="1" applyFill="1" applyBorder="1"/>
    <xf numFmtId="171" fontId="28" fillId="2" borderId="33" xfId="1" applyNumberFormat="1" applyFont="1" applyFill="1" applyBorder="1"/>
    <xf numFmtId="171" fontId="28" fillId="2" borderId="33" xfId="1" applyNumberFormat="1" applyFont="1" applyFill="1" applyBorder="1" applyAlignment="1">
      <alignment horizontal="center"/>
    </xf>
    <xf numFmtId="164" fontId="29" fillId="2" borderId="26" xfId="0" applyNumberFormat="1" applyFont="1" applyFill="1" applyBorder="1"/>
    <xf numFmtId="0" fontId="28" fillId="2" borderId="42" xfId="0" applyFont="1" applyFill="1" applyBorder="1" applyAlignment="1">
      <alignment horizontal="left"/>
    </xf>
    <xf numFmtId="0" fontId="28" fillId="2" borderId="42" xfId="0" applyFont="1" applyFill="1" applyBorder="1" applyAlignment="1">
      <alignment horizontal="right"/>
    </xf>
    <xf numFmtId="10" fontId="28" fillId="2" borderId="23" xfId="0" applyNumberFormat="1" applyFont="1" applyFill="1" applyBorder="1" applyAlignment="1">
      <alignment horizontal="left"/>
    </xf>
    <xf numFmtId="0" fontId="28" fillId="2" borderId="23" xfId="0" applyFont="1" applyFill="1" applyBorder="1"/>
    <xf numFmtId="0" fontId="28" fillId="2" borderId="23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left"/>
    </xf>
    <xf numFmtId="0" fontId="29" fillId="2" borderId="23" xfId="0" applyFont="1" applyFill="1" applyBorder="1"/>
    <xf numFmtId="0" fontId="29" fillId="2" borderId="23" xfId="0" applyFont="1" applyFill="1" applyBorder="1" applyAlignment="1">
      <alignment horizontal="right"/>
    </xf>
    <xf numFmtId="170" fontId="32" fillId="2" borderId="6" xfId="1" applyNumberFormat="1" applyFont="1" applyFill="1" applyBorder="1"/>
    <xf numFmtId="43" fontId="29" fillId="2" borderId="3" xfId="0" applyNumberFormat="1" applyFont="1" applyFill="1" applyBorder="1"/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0" fontId="29" fillId="2" borderId="23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0" fontId="29" fillId="2" borderId="45" xfId="0" applyFont="1" applyFill="1" applyBorder="1"/>
    <xf numFmtId="0" fontId="28" fillId="2" borderId="45" xfId="0" applyFont="1" applyFill="1" applyBorder="1"/>
    <xf numFmtId="0" fontId="28" fillId="2" borderId="1" xfId="0" applyFont="1" applyFill="1" applyBorder="1"/>
    <xf numFmtId="0" fontId="29" fillId="2" borderId="0" xfId="0" applyFont="1" applyFill="1" applyBorder="1" applyAlignment="1"/>
    <xf numFmtId="0" fontId="28" fillId="2" borderId="6" xfId="0" applyFont="1" applyFill="1" applyBorder="1"/>
    <xf numFmtId="0" fontId="28" fillId="2" borderId="3" xfId="0" applyFont="1" applyFill="1" applyBorder="1"/>
    <xf numFmtId="172" fontId="28" fillId="2" borderId="4" xfId="1" applyNumberFormat="1" applyFont="1" applyFill="1" applyBorder="1"/>
    <xf numFmtId="0" fontId="28" fillId="2" borderId="45" xfId="0" applyFont="1" applyFill="1" applyBorder="1" applyAlignment="1"/>
    <xf numFmtId="164" fontId="28" fillId="2" borderId="33" xfId="1" applyNumberFormat="1" applyFont="1" applyFill="1" applyBorder="1"/>
    <xf numFmtId="0" fontId="28" fillId="2" borderId="45" xfId="0" applyFont="1" applyFill="1" applyBorder="1" applyAlignment="1">
      <alignment horizontal="left"/>
    </xf>
    <xf numFmtId="0" fontId="28" fillId="2" borderId="45" xfId="0" applyFont="1" applyFill="1" applyBorder="1" applyAlignment="1">
      <alignment horizontal="right"/>
    </xf>
    <xf numFmtId="169" fontId="28" fillId="2" borderId="0" xfId="0" applyNumberFormat="1" applyFont="1" applyFill="1"/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0" fontId="29" fillId="2" borderId="23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left"/>
    </xf>
    <xf numFmtId="0" fontId="28" fillId="2" borderId="7" xfId="0" applyFont="1" applyFill="1" applyBorder="1" applyAlignment="1">
      <alignment horizontal="left" wrapText="1"/>
    </xf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0" fontId="28" fillId="2" borderId="42" xfId="0" applyFont="1" applyFill="1" applyBorder="1" applyAlignment="1">
      <alignment horizontal="left"/>
    </xf>
    <xf numFmtId="0" fontId="28" fillId="2" borderId="27" xfId="0" applyFont="1" applyFill="1" applyBorder="1" applyAlignment="1">
      <alignment horizontal="center"/>
    </xf>
    <xf numFmtId="0" fontId="28" fillId="2" borderId="46" xfId="0" applyFont="1" applyFill="1" applyBorder="1" applyAlignment="1"/>
    <xf numFmtId="0" fontId="28" fillId="2" borderId="47" xfId="0" applyFont="1" applyFill="1" applyBorder="1" applyAlignment="1"/>
    <xf numFmtId="174" fontId="28" fillId="2" borderId="26" xfId="1" applyNumberFormat="1" applyFont="1" applyFill="1" applyBorder="1"/>
    <xf numFmtId="0" fontId="28" fillId="2" borderId="7" xfId="0" applyFont="1" applyFill="1" applyBorder="1" applyAlignment="1"/>
    <xf numFmtId="0" fontId="28" fillId="2" borderId="0" xfId="0" applyFont="1" applyFill="1" applyBorder="1" applyAlignment="1"/>
    <xf numFmtId="0" fontId="28" fillId="2" borderId="6" xfId="0" applyFont="1" applyFill="1" applyBorder="1" applyAlignment="1"/>
    <xf numFmtId="9" fontId="28" fillId="2" borderId="33" xfId="677" applyFont="1" applyFill="1" applyBorder="1"/>
    <xf numFmtId="0" fontId="28" fillId="2" borderId="7" xfId="0" applyFont="1" applyFill="1" applyBorder="1" applyAlignment="1">
      <alignment wrapText="1"/>
    </xf>
    <xf numFmtId="0" fontId="28" fillId="2" borderId="0" xfId="0" applyFont="1" applyFill="1" applyBorder="1" applyAlignment="1">
      <alignment wrapText="1"/>
    </xf>
    <xf numFmtId="0" fontId="28" fillId="2" borderId="6" xfId="0" applyFont="1" applyFill="1" applyBorder="1" applyAlignment="1">
      <alignment wrapText="1"/>
    </xf>
    <xf numFmtId="0" fontId="28" fillId="2" borderId="6" xfId="0" applyNumberFormat="1" applyFont="1" applyFill="1" applyBorder="1" applyAlignment="1">
      <alignment horizontal="center"/>
    </xf>
    <xf numFmtId="0" fontId="28" fillId="2" borderId="5" xfId="0" applyFont="1" applyFill="1" applyBorder="1" applyAlignment="1"/>
    <xf numFmtId="0" fontId="28" fillId="2" borderId="30" xfId="0" applyFont="1" applyFill="1" applyBorder="1" applyAlignment="1"/>
    <xf numFmtId="0" fontId="28" fillId="2" borderId="3" xfId="0" applyFont="1" applyFill="1" applyBorder="1" applyAlignment="1"/>
    <xf numFmtId="174" fontId="28" fillId="2" borderId="33" xfId="1" applyNumberFormat="1" applyFont="1" applyFill="1" applyBorder="1" applyAlignment="1">
      <alignment horizontal="center"/>
    </xf>
    <xf numFmtId="174" fontId="28" fillId="2" borderId="33" xfId="1" applyNumberFormat="1" applyFont="1" applyFill="1" applyBorder="1"/>
    <xf numFmtId="0" fontId="37" fillId="2" borderId="27" xfId="0" applyFont="1" applyFill="1" applyBorder="1" applyAlignment="1">
      <alignment horizontal="center"/>
    </xf>
    <xf numFmtId="0" fontId="39" fillId="2" borderId="27" xfId="0" applyFont="1" applyFill="1" applyBorder="1" applyAlignment="1">
      <alignment horizontal="center"/>
    </xf>
    <xf numFmtId="3" fontId="37" fillId="2" borderId="33" xfId="0" applyNumberFormat="1" applyFont="1" applyFill="1" applyBorder="1" applyAlignment="1">
      <alignment horizontal="center"/>
    </xf>
    <xf numFmtId="169" fontId="37" fillId="2" borderId="33" xfId="1" applyNumberFormat="1" applyFont="1" applyFill="1" applyBorder="1"/>
    <xf numFmtId="3" fontId="37" fillId="2" borderId="6" xfId="0" applyNumberFormat="1" applyFont="1" applyFill="1" applyBorder="1" applyAlignment="1">
      <alignment horizontal="center"/>
    </xf>
    <xf numFmtId="0" fontId="37" fillId="2" borderId="7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7" fillId="2" borderId="6" xfId="0" applyFont="1" applyFill="1" applyBorder="1" applyAlignment="1">
      <alignment horizontal="left"/>
    </xf>
    <xf numFmtId="9" fontId="37" fillId="2" borderId="33" xfId="677" applyFont="1" applyFill="1" applyBorder="1"/>
    <xf numFmtId="0" fontId="37" fillId="2" borderId="7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7" fillId="2" borderId="6" xfId="0" applyFont="1" applyFill="1" applyBorder="1" applyAlignment="1">
      <alignment horizontal="left"/>
    </xf>
    <xf numFmtId="0" fontId="37" fillId="2" borderId="5" xfId="0" applyFont="1" applyFill="1" applyBorder="1" applyAlignment="1">
      <alignment horizontal="left"/>
    </xf>
    <xf numFmtId="0" fontId="37" fillId="2" borderId="30" xfId="0" applyFont="1" applyFill="1" applyBorder="1" applyAlignment="1">
      <alignment horizontal="left"/>
    </xf>
    <xf numFmtId="0" fontId="37" fillId="2" borderId="3" xfId="0" applyFont="1" applyFill="1" applyBorder="1" applyAlignment="1">
      <alignment horizontal="center"/>
    </xf>
    <xf numFmtId="169" fontId="37" fillId="2" borderId="4" xfId="1" applyNumberFormat="1" applyFont="1" applyFill="1" applyBorder="1"/>
    <xf numFmtId="169" fontId="40" fillId="2" borderId="27" xfId="1" applyNumberFormat="1" applyFont="1" applyFill="1" applyBorder="1"/>
    <xf numFmtId="0" fontId="37" fillId="2" borderId="6" xfId="0" applyFont="1" applyFill="1" applyBorder="1" applyAlignment="1">
      <alignment horizontal="center"/>
    </xf>
    <xf numFmtId="10" fontId="37" fillId="2" borderId="33" xfId="0" applyNumberFormat="1" applyFont="1" applyFill="1" applyBorder="1"/>
    <xf numFmtId="0" fontId="37" fillId="2" borderId="7" xfId="0" applyFont="1" applyFill="1" applyBorder="1" applyAlignment="1"/>
    <xf numFmtId="0" fontId="37" fillId="2" borderId="0" xfId="0" applyFont="1" applyFill="1" applyBorder="1" applyAlignment="1"/>
    <xf numFmtId="0" fontId="37" fillId="2" borderId="6" xfId="0" applyFont="1" applyFill="1" applyBorder="1" applyAlignment="1"/>
    <xf numFmtId="0" fontId="37" fillId="2" borderId="33" xfId="0" applyFont="1" applyFill="1" applyBorder="1"/>
    <xf numFmtId="0" fontId="37" fillId="2" borderId="4" xfId="0" applyFont="1" applyFill="1" applyBorder="1"/>
    <xf numFmtId="169" fontId="37" fillId="2" borderId="27" xfId="1" applyNumberFormat="1" applyFont="1" applyFill="1" applyBorder="1"/>
    <xf numFmtId="169" fontId="37" fillId="2" borderId="33" xfId="1" applyNumberFormat="1" applyFont="1" applyFill="1" applyBorder="1" applyAlignment="1">
      <alignment horizontal="center"/>
    </xf>
    <xf numFmtId="170" fontId="37" fillId="2" borderId="33" xfId="1" applyNumberFormat="1" applyFont="1" applyFill="1" applyBorder="1"/>
    <xf numFmtId="0" fontId="37" fillId="2" borderId="6" xfId="0" applyNumberFormat="1" applyFont="1" applyFill="1" applyBorder="1" applyAlignment="1">
      <alignment horizontal="center"/>
    </xf>
    <xf numFmtId="49" fontId="37" fillId="2" borderId="6" xfId="0" applyNumberFormat="1" applyFont="1" applyFill="1" applyBorder="1" applyAlignment="1">
      <alignment horizontal="center"/>
    </xf>
    <xf numFmtId="0" fontId="37" fillId="2" borderId="7" xfId="0" applyFont="1" applyFill="1" applyBorder="1" applyAlignment="1">
      <alignment wrapText="1"/>
    </xf>
    <xf numFmtId="0" fontId="37" fillId="2" borderId="0" xfId="0" applyFont="1" applyFill="1" applyBorder="1" applyAlignment="1">
      <alignment wrapText="1"/>
    </xf>
    <xf numFmtId="0" fontId="37" fillId="2" borderId="6" xfId="0" applyFont="1" applyFill="1" applyBorder="1" applyAlignment="1">
      <alignment wrapText="1"/>
    </xf>
    <xf numFmtId="0" fontId="37" fillId="2" borderId="3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left" wrapText="1"/>
    </xf>
    <xf numFmtId="0" fontId="37" fillId="2" borderId="6" xfId="0" applyFont="1" applyFill="1" applyBorder="1" applyAlignment="1">
      <alignment horizontal="left" wrapText="1"/>
    </xf>
    <xf numFmtId="49" fontId="37" fillId="2" borderId="3" xfId="0" applyNumberFormat="1" applyFont="1" applyFill="1" applyBorder="1" applyAlignment="1">
      <alignment horizontal="center"/>
    </xf>
    <xf numFmtId="0" fontId="37" fillId="2" borderId="4" xfId="0" applyFont="1" applyFill="1" applyBorder="1" applyAlignment="1">
      <alignment horizontal="center"/>
    </xf>
    <xf numFmtId="169" fontId="37" fillId="2" borderId="4" xfId="1" applyNumberFormat="1" applyFont="1" applyFill="1" applyBorder="1" applyAlignment="1">
      <alignment horizontal="center"/>
    </xf>
    <xf numFmtId="0" fontId="37" fillId="2" borderId="32" xfId="0" applyFont="1" applyFill="1" applyBorder="1" applyAlignment="1"/>
    <xf numFmtId="0" fontId="37" fillId="2" borderId="46" xfId="0" applyFont="1" applyFill="1" applyBorder="1" applyAlignment="1"/>
    <xf numFmtId="0" fontId="37" fillId="2" borderId="47" xfId="0" applyFont="1" applyFill="1" applyBorder="1" applyAlignment="1"/>
    <xf numFmtId="174" fontId="37" fillId="2" borderId="26" xfId="1" applyNumberFormat="1" applyFont="1" applyFill="1" applyBorder="1"/>
    <xf numFmtId="169" fontId="37" fillId="2" borderId="26" xfId="1" applyNumberFormat="1" applyFont="1" applyFill="1" applyBorder="1"/>
    <xf numFmtId="171" fontId="37" fillId="2" borderId="33" xfId="1" applyNumberFormat="1" applyFont="1" applyFill="1" applyBorder="1"/>
    <xf numFmtId="174" fontId="37" fillId="2" borderId="33" xfId="1" applyNumberFormat="1" applyFont="1" applyFill="1" applyBorder="1" applyAlignment="1">
      <alignment horizontal="center"/>
    </xf>
    <xf numFmtId="171" fontId="37" fillId="2" borderId="33" xfId="1" applyNumberFormat="1" applyFont="1" applyFill="1" applyBorder="1" applyAlignment="1">
      <alignment horizontal="center"/>
    </xf>
    <xf numFmtId="174" fontId="37" fillId="2" borderId="33" xfId="1" applyNumberFormat="1" applyFont="1" applyFill="1" applyBorder="1"/>
    <xf numFmtId="0" fontId="37" fillId="2" borderId="5" xfId="0" applyFont="1" applyFill="1" applyBorder="1" applyAlignment="1"/>
    <xf numFmtId="0" fontId="37" fillId="2" borderId="30" xfId="0" applyFont="1" applyFill="1" applyBorder="1" applyAlignment="1"/>
    <xf numFmtId="0" fontId="37" fillId="2" borderId="3" xfId="0" applyFont="1" applyFill="1" applyBorder="1" applyAlignment="1"/>
    <xf numFmtId="164" fontId="40" fillId="2" borderId="26" xfId="0" applyNumberFormat="1" applyFont="1" applyFill="1" applyBorder="1"/>
    <xf numFmtId="0" fontId="37" fillId="2" borderId="42" xfId="0" applyFont="1" applyFill="1" applyBorder="1" applyAlignment="1">
      <alignment horizontal="left"/>
    </xf>
    <xf numFmtId="0" fontId="37" fillId="2" borderId="42" xfId="0" applyFont="1" applyFill="1" applyBorder="1"/>
    <xf numFmtId="0" fontId="37" fillId="2" borderId="42" xfId="0" applyFont="1" applyFill="1" applyBorder="1" applyAlignment="1">
      <alignment horizontal="right"/>
    </xf>
    <xf numFmtId="10" fontId="37" fillId="2" borderId="23" xfId="0" applyNumberFormat="1" applyFont="1" applyFill="1" applyBorder="1" applyAlignment="1">
      <alignment horizontal="left"/>
    </xf>
    <xf numFmtId="0" fontId="37" fillId="2" borderId="23" xfId="0" applyFont="1" applyFill="1" applyBorder="1"/>
    <xf numFmtId="0" fontId="37" fillId="2" borderId="23" xfId="0" applyFont="1" applyFill="1" applyBorder="1" applyAlignment="1">
      <alignment horizontal="right"/>
    </xf>
    <xf numFmtId="0" fontId="40" fillId="2" borderId="23" xfId="0" applyFont="1" applyFill="1" applyBorder="1" applyAlignment="1">
      <alignment horizontal="left"/>
    </xf>
    <xf numFmtId="0" fontId="40" fillId="2" borderId="23" xfId="0" applyFont="1" applyFill="1" applyBorder="1"/>
    <xf numFmtId="0" fontId="40" fillId="2" borderId="23" xfId="0" applyFont="1" applyFill="1" applyBorder="1" applyAlignment="1">
      <alignment horizontal="right"/>
    </xf>
    <xf numFmtId="0" fontId="37" fillId="2" borderId="32" xfId="0" applyFont="1" applyFill="1" applyBorder="1"/>
    <xf numFmtId="0" fontId="40" fillId="2" borderId="42" xfId="0" applyFont="1" applyFill="1" applyBorder="1"/>
    <xf numFmtId="170" fontId="41" fillId="2" borderId="6" xfId="1" applyNumberFormat="1" applyFont="1" applyFill="1" applyBorder="1"/>
    <xf numFmtId="0" fontId="37" fillId="2" borderId="26" xfId="0" applyFont="1" applyFill="1" applyBorder="1"/>
    <xf numFmtId="0" fontId="37" fillId="2" borderId="0" xfId="0" applyFont="1" applyFill="1"/>
    <xf numFmtId="0" fontId="37" fillId="2" borderId="48" xfId="0" applyFont="1" applyFill="1" applyBorder="1" applyAlignment="1"/>
    <xf numFmtId="0" fontId="37" fillId="2" borderId="1" xfId="0" applyFont="1" applyFill="1" applyBorder="1" applyAlignment="1"/>
    <xf numFmtId="0" fontId="37" fillId="2" borderId="30" xfId="0" applyFont="1" applyFill="1" applyBorder="1" applyAlignment="1">
      <alignment horizontal="center"/>
    </xf>
    <xf numFmtId="0" fontId="37" fillId="2" borderId="30" xfId="0" applyFont="1" applyFill="1" applyBorder="1"/>
    <xf numFmtId="169" fontId="37" fillId="2" borderId="30" xfId="1" applyNumberFormat="1" applyFont="1" applyFill="1" applyBorder="1"/>
    <xf numFmtId="169" fontId="37" fillId="2" borderId="3" xfId="1" applyNumberFormat="1" applyFont="1" applyFill="1" applyBorder="1"/>
    <xf numFmtId="0" fontId="37" fillId="2" borderId="42" xfId="0" applyFont="1" applyFill="1" applyBorder="1" applyAlignment="1"/>
    <xf numFmtId="0" fontId="37" fillId="2" borderId="7" xfId="0" applyFont="1" applyFill="1" applyBorder="1"/>
    <xf numFmtId="0" fontId="37" fillId="2" borderId="0" xfId="0" applyFont="1" applyFill="1" applyBorder="1"/>
    <xf numFmtId="0" fontId="40" fillId="2" borderId="0" xfId="0" applyFont="1" applyFill="1" applyBorder="1"/>
    <xf numFmtId="0" fontId="37" fillId="2" borderId="5" xfId="0" applyFont="1" applyFill="1" applyBorder="1"/>
    <xf numFmtId="0" fontId="40" fillId="2" borderId="30" xfId="0" applyFont="1" applyFill="1" applyBorder="1"/>
    <xf numFmtId="43" fontId="40" fillId="2" borderId="3" xfId="0" applyNumberFormat="1" applyFont="1" applyFill="1" applyBorder="1"/>
    <xf numFmtId="0" fontId="0" fillId="0" borderId="0" xfId="0" applyFill="1"/>
    <xf numFmtId="0" fontId="28" fillId="2" borderId="0" xfId="0" applyFont="1" applyFill="1" applyBorder="1" applyAlignment="1">
      <alignment horizontal="left" vertical="center"/>
    </xf>
    <xf numFmtId="43" fontId="28" fillId="2" borderId="0" xfId="1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left" vertical="center"/>
    </xf>
    <xf numFmtId="43" fontId="42" fillId="2" borderId="0" xfId="1" applyFont="1" applyFill="1" applyBorder="1" applyAlignment="1">
      <alignment horizontal="left" vertical="center"/>
    </xf>
    <xf numFmtId="43" fontId="0" fillId="0" borderId="0" xfId="1" applyFont="1" applyFill="1"/>
    <xf numFmtId="43" fontId="1" fillId="0" borderId="0" xfId="1" applyFont="1" applyFill="1"/>
    <xf numFmtId="173" fontId="28" fillId="2" borderId="57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right"/>
    </xf>
    <xf numFmtId="0" fontId="64" fillId="0" borderId="0" xfId="0" applyFont="1" applyAlignment="1">
      <alignment horizontal="center" vertical="center" wrapText="1"/>
    </xf>
    <xf numFmtId="0" fontId="69" fillId="0" borderId="0" xfId="0" applyFont="1" applyAlignment="1"/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top" wrapText="1"/>
    </xf>
    <xf numFmtId="0" fontId="69" fillId="0" borderId="0" xfId="0" applyFont="1" applyAlignment="1">
      <alignment horizontal="left" vertical="top" wrapText="1"/>
    </xf>
    <xf numFmtId="0" fontId="69" fillId="0" borderId="0" xfId="0" applyFont="1" applyAlignment="1">
      <alignment horizontal="right" vertical="center" wrapText="1"/>
    </xf>
    <xf numFmtId="0" fontId="69" fillId="0" borderId="0" xfId="0" applyFont="1" applyAlignment="1">
      <alignment horizontal="left" vertical="center" wrapText="1"/>
    </xf>
    <xf numFmtId="0" fontId="60" fillId="0" borderId="0" xfId="0" applyFont="1" applyAlignment="1"/>
    <xf numFmtId="0" fontId="60" fillId="2" borderId="0" xfId="48463" applyFont="1" applyFill="1" applyBorder="1" applyAlignment="1"/>
    <xf numFmtId="0" fontId="68" fillId="2" borderId="0" xfId="48463" applyFont="1" applyFill="1" applyBorder="1" applyAlignment="1"/>
    <xf numFmtId="0" fontId="64" fillId="2" borderId="0" xfId="48463" applyFont="1" applyFill="1" applyBorder="1" applyAlignment="1"/>
    <xf numFmtId="0" fontId="64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64" fillId="0" borderId="0" xfId="0" applyFont="1" applyAlignment="1">
      <alignment vertical="center" wrapText="1"/>
    </xf>
    <xf numFmtId="0" fontId="69" fillId="0" borderId="0" xfId="0" applyFont="1" applyAlignment="1">
      <alignment horizontal="center" vertical="center"/>
    </xf>
    <xf numFmtId="0" fontId="72" fillId="2" borderId="27" xfId="48463" applyFont="1" applyFill="1" applyBorder="1" applyAlignment="1">
      <alignment horizontal="center" vertical="center"/>
    </xf>
    <xf numFmtId="0" fontId="72" fillId="2" borderId="27" xfId="48463" applyFont="1" applyFill="1" applyBorder="1" applyAlignment="1">
      <alignment horizontal="right" vertical="center"/>
    </xf>
    <xf numFmtId="0" fontId="73" fillId="2" borderId="26" xfId="48463" applyFont="1" applyFill="1" applyBorder="1" applyAlignment="1">
      <alignment horizontal="center" vertical="center" wrapText="1"/>
    </xf>
    <xf numFmtId="0" fontId="73" fillId="2" borderId="26" xfId="48463" applyFont="1" applyFill="1" applyBorder="1" applyAlignment="1">
      <alignment horizontal="right" vertical="center"/>
    </xf>
    <xf numFmtId="0" fontId="73" fillId="2" borderId="33" xfId="48463" applyNumberFormat="1" applyFont="1" applyFill="1" applyBorder="1" applyAlignment="1">
      <alignment horizontal="center" vertical="center" wrapText="1"/>
    </xf>
    <xf numFmtId="0" fontId="73" fillId="2" borderId="33" xfId="48463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right" vertical="center"/>
    </xf>
    <xf numFmtId="0" fontId="29" fillId="2" borderId="49" xfId="0" applyFont="1" applyFill="1" applyBorder="1" applyAlignment="1">
      <alignment horizontal="left" vertical="center" wrapText="1"/>
    </xf>
    <xf numFmtId="0" fontId="29" fillId="2" borderId="49" xfId="0" applyFont="1" applyFill="1" applyBorder="1" applyAlignment="1">
      <alignment horizontal="center" vertical="center" wrapText="1"/>
    </xf>
    <xf numFmtId="0" fontId="28" fillId="2" borderId="51" xfId="0" applyFont="1" applyFill="1" applyBorder="1" applyAlignment="1">
      <alignment horizontal="left" vertical="center" wrapText="1"/>
    </xf>
    <xf numFmtId="0" fontId="28" fillId="2" borderId="57" xfId="0" applyFont="1" applyFill="1" applyBorder="1" applyAlignment="1">
      <alignment horizontal="center" vertical="center"/>
    </xf>
    <xf numFmtId="43" fontId="28" fillId="2" borderId="57" xfId="1" applyFont="1" applyFill="1" applyBorder="1" applyAlignment="1">
      <alignment horizontal="center" vertical="center"/>
    </xf>
    <xf numFmtId="173" fontId="28" fillId="2" borderId="49" xfId="0" applyNumberFormat="1" applyFont="1" applyFill="1" applyBorder="1" applyAlignment="1">
      <alignment horizontal="center" vertical="center"/>
    </xf>
    <xf numFmtId="43" fontId="28" fillId="2" borderId="57" xfId="1" applyFont="1" applyFill="1" applyBorder="1" applyAlignment="1">
      <alignment horizontal="right" vertical="center"/>
    </xf>
    <xf numFmtId="167" fontId="28" fillId="2" borderId="57" xfId="0" applyNumberFormat="1" applyFont="1" applyFill="1" applyBorder="1" applyAlignment="1">
      <alignment horizontal="right" vertical="center"/>
    </xf>
    <xf numFmtId="43" fontId="28" fillId="2" borderId="57" xfId="1" applyFont="1" applyFill="1" applyBorder="1" applyAlignment="1">
      <alignment horizontal="left" vertical="center"/>
    </xf>
    <xf numFmtId="0" fontId="28" fillId="2" borderId="51" xfId="0" applyFont="1" applyFill="1" applyBorder="1" applyAlignment="1">
      <alignment horizontal="left" vertical="center"/>
    </xf>
    <xf numFmtId="0" fontId="28" fillId="2" borderId="52" xfId="0" applyFont="1" applyFill="1" applyBorder="1" applyAlignment="1">
      <alignment horizontal="left" vertical="center"/>
    </xf>
    <xf numFmtId="0" fontId="29" fillId="2" borderId="49" xfId="0" applyFont="1" applyFill="1" applyBorder="1" applyAlignment="1">
      <alignment horizontal="left" vertical="center"/>
    </xf>
    <xf numFmtId="0" fontId="29" fillId="2" borderId="49" xfId="0" applyFont="1" applyFill="1" applyBorder="1" applyAlignment="1">
      <alignment horizontal="center" vertical="center"/>
    </xf>
    <xf numFmtId="0" fontId="28" fillId="2" borderId="57" xfId="0" applyFont="1" applyFill="1" applyBorder="1" applyAlignment="1">
      <alignment horizontal="left" vertical="center" wrapText="1"/>
    </xf>
    <xf numFmtId="169" fontId="28" fillId="2" borderId="53" xfId="1" applyNumberFormat="1" applyFont="1" applyFill="1" applyBorder="1" applyAlignment="1">
      <alignment horizontal="left" vertical="center"/>
    </xf>
    <xf numFmtId="0" fontId="29" fillId="2" borderId="50" xfId="0" applyFont="1" applyFill="1" applyBorder="1" applyAlignment="1">
      <alignment horizontal="left" vertical="center" wrapText="1"/>
    </xf>
    <xf numFmtId="0" fontId="28" fillId="2" borderId="57" xfId="0" applyFont="1" applyFill="1" applyBorder="1" applyAlignment="1">
      <alignment horizontal="left" vertical="center"/>
    </xf>
    <xf numFmtId="0" fontId="28" fillId="2" borderId="59" xfId="0" applyFont="1" applyFill="1" applyBorder="1" applyAlignment="1">
      <alignment horizontal="left" vertical="center" wrapText="1"/>
    </xf>
    <xf numFmtId="0" fontId="28" fillId="2" borderId="60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left" vertical="center"/>
    </xf>
    <xf numFmtId="0" fontId="29" fillId="2" borderId="61" xfId="0" applyFont="1" applyFill="1" applyBorder="1" applyAlignment="1">
      <alignment horizontal="right" vertical="center"/>
    </xf>
    <xf numFmtId="0" fontId="28" fillId="2" borderId="50" xfId="0" applyFont="1" applyFill="1" applyBorder="1" applyAlignment="1">
      <alignment horizontal="left" vertical="center" wrapText="1"/>
    </xf>
    <xf numFmtId="0" fontId="28" fillId="2" borderId="58" xfId="0" applyFont="1" applyFill="1" applyBorder="1" applyAlignment="1">
      <alignment horizontal="center" vertical="center"/>
    </xf>
    <xf numFmtId="0" fontId="28" fillId="2" borderId="58" xfId="0" applyFont="1" applyFill="1" applyBorder="1" applyAlignment="1">
      <alignment horizontal="left" vertical="center"/>
    </xf>
    <xf numFmtId="0" fontId="29" fillId="2" borderId="56" xfId="0" applyFont="1" applyFill="1" applyBorder="1" applyAlignment="1">
      <alignment horizontal="right" vertical="center"/>
    </xf>
    <xf numFmtId="0" fontId="28" fillId="2" borderId="50" xfId="0" applyFont="1" applyFill="1" applyBorder="1" applyAlignment="1">
      <alignment horizontal="left" vertical="center"/>
    </xf>
    <xf numFmtId="0" fontId="28" fillId="2" borderId="52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right" vertical="center"/>
    </xf>
    <xf numFmtId="43" fontId="28" fillId="2" borderId="0" xfId="0" applyNumberFormat="1" applyFont="1" applyFill="1" applyBorder="1" applyAlignment="1">
      <alignment horizontal="center" vertical="center"/>
    </xf>
    <xf numFmtId="0" fontId="28" fillId="2" borderId="49" xfId="0" applyFont="1" applyFill="1" applyBorder="1" applyAlignment="1">
      <alignment horizontal="left" vertical="center" wrapText="1"/>
    </xf>
    <xf numFmtId="0" fontId="28" fillId="2" borderId="49" xfId="0" applyFont="1" applyFill="1" applyBorder="1" applyAlignment="1">
      <alignment horizontal="center" vertical="center"/>
    </xf>
    <xf numFmtId="43" fontId="28" fillId="2" borderId="49" xfId="1" applyFont="1" applyFill="1" applyBorder="1" applyAlignment="1">
      <alignment horizontal="left" vertical="center"/>
    </xf>
    <xf numFmtId="169" fontId="28" fillId="2" borderId="56" xfId="1" applyNumberFormat="1" applyFont="1" applyFill="1" applyBorder="1" applyAlignment="1">
      <alignment horizontal="left" vertical="center"/>
    </xf>
    <xf numFmtId="169" fontId="28" fillId="2" borderId="0" xfId="0" applyNumberFormat="1" applyFont="1" applyFill="1" applyBorder="1" applyAlignment="1">
      <alignment horizontal="left" vertical="center"/>
    </xf>
    <xf numFmtId="0" fontId="29" fillId="2" borderId="50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right" vertical="center"/>
    </xf>
    <xf numFmtId="0" fontId="42" fillId="2" borderId="58" xfId="0" applyFont="1" applyFill="1" applyBorder="1" applyAlignment="1">
      <alignment horizontal="left" vertical="center"/>
    </xf>
    <xf numFmtId="0" fontId="43" fillId="2" borderId="49" xfId="0" applyFont="1" applyFill="1" applyBorder="1" applyAlignment="1">
      <alignment horizontal="left" vertical="center" wrapText="1"/>
    </xf>
    <xf numFmtId="0" fontId="43" fillId="2" borderId="49" xfId="0" applyFont="1" applyFill="1" applyBorder="1" applyAlignment="1">
      <alignment horizontal="center" vertical="center"/>
    </xf>
    <xf numFmtId="0" fontId="28" fillId="2" borderId="57" xfId="0" applyFont="1" applyFill="1" applyBorder="1" applyAlignment="1">
      <alignment horizontal="center" vertical="center" wrapText="1"/>
    </xf>
    <xf numFmtId="168" fontId="28" fillId="2" borderId="57" xfId="1" applyNumberFormat="1" applyFont="1" applyFill="1" applyBorder="1" applyAlignment="1">
      <alignment horizontal="left" vertical="center"/>
    </xf>
    <xf numFmtId="175" fontId="28" fillId="2" borderId="57" xfId="1" applyNumberFormat="1" applyFont="1" applyFill="1" applyBorder="1" applyAlignment="1">
      <alignment horizontal="left" vertical="center"/>
    </xf>
    <xf numFmtId="0" fontId="42" fillId="2" borderId="52" xfId="0" applyFont="1" applyFill="1" applyBorder="1" applyAlignment="1">
      <alignment horizontal="left" vertical="center"/>
    </xf>
    <xf numFmtId="0" fontId="42" fillId="2" borderId="59" xfId="0" applyFont="1" applyFill="1" applyBorder="1" applyAlignment="1">
      <alignment horizontal="left" vertical="center"/>
    </xf>
    <xf numFmtId="0" fontId="42" fillId="2" borderId="60" xfId="0" applyFont="1" applyFill="1" applyBorder="1" applyAlignment="1">
      <alignment horizontal="center" vertical="center"/>
    </xf>
    <xf numFmtId="0" fontId="42" fillId="2" borderId="60" xfId="0" applyFont="1" applyFill="1" applyBorder="1" applyAlignment="1">
      <alignment horizontal="left" vertical="center"/>
    </xf>
    <xf numFmtId="0" fontId="43" fillId="2" borderId="60" xfId="0" applyFont="1" applyFill="1" applyBorder="1" applyAlignment="1">
      <alignment horizontal="right" vertical="center"/>
    </xf>
    <xf numFmtId="43" fontId="44" fillId="2" borderId="58" xfId="0" applyNumberFormat="1" applyFont="1" applyFill="1" applyBorder="1" applyAlignment="1">
      <alignment horizontal="center" vertical="center"/>
    </xf>
    <xf numFmtId="0" fontId="43" fillId="2" borderId="58" xfId="0" applyFont="1" applyFill="1" applyBorder="1" applyAlignment="1">
      <alignment horizontal="right" vertical="center"/>
    </xf>
    <xf numFmtId="43" fontId="44" fillId="2" borderId="52" xfId="0" applyNumberFormat="1" applyFont="1" applyFill="1" applyBorder="1" applyAlignment="1">
      <alignment horizontal="center" vertical="center"/>
    </xf>
    <xf numFmtId="0" fontId="43" fillId="2" borderId="52" xfId="0" applyFont="1" applyFill="1" applyBorder="1" applyAlignment="1">
      <alignment horizontal="right" vertical="center"/>
    </xf>
    <xf numFmtId="0" fontId="74" fillId="2" borderId="0" xfId="0" applyFont="1" applyFill="1" applyAlignment="1">
      <alignment vertical="center"/>
    </xf>
    <xf numFmtId="0" fontId="75" fillId="2" borderId="0" xfId="0" applyFont="1" applyFill="1" applyAlignment="1">
      <alignment vertical="center"/>
    </xf>
    <xf numFmtId="0" fontId="74" fillId="2" borderId="17" xfId="0" applyFont="1" applyFill="1" applyBorder="1" applyAlignment="1">
      <alignment vertical="center"/>
    </xf>
    <xf numFmtId="0" fontId="74" fillId="2" borderId="0" xfId="0" applyFont="1" applyFill="1" applyBorder="1" applyAlignment="1">
      <alignment horizontal="center" vertical="center"/>
    </xf>
    <xf numFmtId="2" fontId="74" fillId="2" borderId="0" xfId="0" applyNumberFormat="1" applyFont="1" applyFill="1" applyBorder="1" applyAlignment="1">
      <alignment horizontal="left" vertical="center"/>
    </xf>
    <xf numFmtId="0" fontId="74" fillId="2" borderId="18" xfId="0" applyFont="1" applyFill="1" applyBorder="1" applyAlignment="1">
      <alignment horizontal="center" vertical="center"/>
    </xf>
    <xf numFmtId="0" fontId="74" fillId="2" borderId="7" xfId="0" applyFont="1" applyFill="1" applyBorder="1" applyAlignment="1">
      <alignment horizontal="center" vertical="center"/>
    </xf>
    <xf numFmtId="0" fontId="74" fillId="2" borderId="18" xfId="0" applyFont="1" applyFill="1" applyBorder="1" applyAlignment="1">
      <alignment vertical="center"/>
    </xf>
    <xf numFmtId="0" fontId="74" fillId="2" borderId="0" xfId="0" applyFont="1" applyFill="1" applyBorder="1" applyAlignment="1">
      <alignment vertical="center"/>
    </xf>
    <xf numFmtId="43" fontId="74" fillId="2" borderId="0" xfId="1" applyFont="1" applyFill="1" applyBorder="1" applyAlignment="1">
      <alignment vertical="center" wrapText="1"/>
    </xf>
    <xf numFmtId="43" fontId="74" fillId="2" borderId="18" xfId="1" applyFont="1" applyFill="1" applyBorder="1" applyAlignment="1">
      <alignment vertical="center" wrapText="1"/>
    </xf>
    <xf numFmtId="43" fontId="74" fillId="2" borderId="19" xfId="1" applyFont="1" applyFill="1" applyBorder="1" applyAlignment="1">
      <alignment vertical="center" wrapText="1"/>
    </xf>
    <xf numFmtId="173" fontId="28" fillId="2" borderId="56" xfId="0" applyNumberFormat="1" applyFont="1" applyFill="1" applyBorder="1" applyAlignment="1">
      <alignment horizontal="center" vertical="center"/>
    </xf>
    <xf numFmtId="43" fontId="74" fillId="2" borderId="0" xfId="1" applyFont="1" applyFill="1" applyBorder="1" applyAlignment="1">
      <alignment vertical="center"/>
    </xf>
    <xf numFmtId="0" fontId="0" fillId="2" borderId="0" xfId="0" applyFill="1"/>
    <xf numFmtId="0" fontId="29" fillId="2" borderId="52" xfId="0" applyFont="1" applyFill="1" applyBorder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90" fillId="2" borderId="0" xfId="0" applyFont="1" applyFill="1" applyAlignment="1">
      <alignment horizontal="center" vertical="center"/>
    </xf>
    <xf numFmtId="43" fontId="69" fillId="2" borderId="0" xfId="1" applyFont="1" applyFill="1" applyAlignment="1">
      <alignment horizontal="center" vertical="center"/>
    </xf>
    <xf numFmtId="0" fontId="89" fillId="2" borderId="0" xfId="0" applyFont="1" applyFill="1" applyAlignment="1">
      <alignment horizontal="center" vertical="center"/>
    </xf>
    <xf numFmtId="0" fontId="88" fillId="2" borderId="43" xfId="0" applyFont="1" applyFill="1" applyBorder="1" applyAlignment="1">
      <alignment horizontal="center" vertical="center" wrapText="1"/>
    </xf>
    <xf numFmtId="0" fontId="75" fillId="2" borderId="18" xfId="0" applyFont="1" applyFill="1" applyBorder="1" applyAlignment="1">
      <alignment vertical="center"/>
    </xf>
    <xf numFmtId="43" fontId="75" fillId="2" borderId="18" xfId="1" applyFont="1" applyFill="1" applyBorder="1" applyAlignment="1">
      <alignment horizontal="center" vertical="center" wrapText="1"/>
    </xf>
    <xf numFmtId="43" fontId="75" fillId="2" borderId="0" xfId="1" applyFont="1" applyFill="1" applyBorder="1" applyAlignment="1">
      <alignment vertical="center"/>
    </xf>
    <xf numFmtId="0" fontId="75" fillId="2" borderId="0" xfId="0" applyFont="1" applyFill="1" applyBorder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75" fillId="2" borderId="0" xfId="0" applyFont="1" applyFill="1" applyBorder="1" applyAlignment="1">
      <alignment vertical="center"/>
    </xf>
    <xf numFmtId="0" fontId="79" fillId="2" borderId="0" xfId="0" applyFont="1" applyFill="1" applyBorder="1" applyAlignment="1">
      <alignment vertical="center"/>
    </xf>
    <xf numFmtId="0" fontId="86" fillId="2" borderId="27" xfId="0" applyFont="1" applyFill="1" applyBorder="1" applyAlignment="1">
      <alignment vertical="center"/>
    </xf>
    <xf numFmtId="0" fontId="88" fillId="2" borderId="43" xfId="0" applyFont="1" applyFill="1" applyBorder="1" applyAlignment="1">
      <alignment horizontal="center" vertical="center"/>
    </xf>
    <xf numFmtId="0" fontId="88" fillId="2" borderId="43" xfId="0" applyFont="1" applyFill="1" applyBorder="1" applyAlignment="1">
      <alignment horizontal="left" vertical="center" wrapText="1"/>
    </xf>
    <xf numFmtId="43" fontId="88" fillId="2" borderId="43" xfId="1" applyFont="1" applyFill="1" applyBorder="1" applyAlignment="1">
      <alignment horizontal="right" vertical="center"/>
    </xf>
    <xf numFmtId="0" fontId="89" fillId="2" borderId="44" xfId="0" applyFont="1" applyFill="1" applyBorder="1" applyAlignment="1">
      <alignment horizontal="center" vertical="center"/>
    </xf>
    <xf numFmtId="0" fontId="89" fillId="2" borderId="44" xfId="0" applyFont="1" applyFill="1" applyBorder="1" applyAlignment="1">
      <alignment horizontal="left" vertical="center" wrapText="1"/>
    </xf>
    <xf numFmtId="0" fontId="89" fillId="2" borderId="44" xfId="0" applyFont="1" applyFill="1" applyBorder="1" applyAlignment="1">
      <alignment horizontal="center" vertical="center" wrapText="1"/>
    </xf>
    <xf numFmtId="43" fontId="89" fillId="2" borderId="44" xfId="1" applyFont="1" applyFill="1" applyBorder="1" applyAlignment="1">
      <alignment horizontal="right" vertical="center" wrapText="1"/>
    </xf>
    <xf numFmtId="0" fontId="67" fillId="2" borderId="44" xfId="0" applyFont="1" applyFill="1" applyBorder="1" applyAlignment="1">
      <alignment horizontal="center" vertical="center"/>
    </xf>
    <xf numFmtId="0" fontId="67" fillId="2" borderId="44" xfId="0" applyFont="1" applyFill="1" applyBorder="1" applyAlignment="1">
      <alignment horizontal="left" vertical="center" wrapText="1"/>
    </xf>
    <xf numFmtId="0" fontId="67" fillId="2" borderId="44" xfId="0" applyFont="1" applyFill="1" applyBorder="1" applyAlignment="1">
      <alignment horizontal="center" vertical="center" wrapText="1"/>
    </xf>
    <xf numFmtId="43" fontId="67" fillId="2" borderId="44" xfId="1" applyFont="1" applyFill="1" applyBorder="1" applyAlignment="1">
      <alignment horizontal="right" vertical="center" wrapText="1"/>
    </xf>
    <xf numFmtId="0" fontId="69" fillId="2" borderId="0" xfId="0" applyFont="1" applyFill="1" applyAlignment="1">
      <alignment horizontal="left" vertical="center"/>
    </xf>
    <xf numFmtId="0" fontId="76" fillId="2" borderId="20" xfId="2" applyFont="1" applyFill="1" applyBorder="1" applyAlignment="1">
      <alignment horizontal="center" vertical="center"/>
    </xf>
    <xf numFmtId="0" fontId="76" fillId="2" borderId="17" xfId="2" applyFont="1" applyFill="1" applyBorder="1" applyAlignment="1">
      <alignment horizontal="left" vertical="center"/>
    </xf>
    <xf numFmtId="0" fontId="77" fillId="2" borderId="17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2" fontId="77" fillId="2" borderId="0" xfId="2" applyNumberFormat="1" applyFont="1" applyFill="1" applyBorder="1" applyAlignment="1">
      <alignment horizontal="left" vertical="center"/>
    </xf>
    <xf numFmtId="0" fontId="77" fillId="2" borderId="18" xfId="2" applyFont="1" applyFill="1" applyBorder="1" applyAlignment="1">
      <alignment horizontal="center" vertical="center"/>
    </xf>
    <xf numFmtId="43" fontId="77" fillId="2" borderId="0" xfId="1" applyFont="1" applyFill="1" applyBorder="1" applyAlignment="1">
      <alignment horizontal="center" vertical="center" wrapText="1"/>
    </xf>
    <xf numFmtId="43" fontId="77" fillId="2" borderId="18" xfId="1" applyFont="1" applyFill="1" applyBorder="1" applyAlignment="1">
      <alignment horizontal="center" vertical="center" wrapText="1"/>
    </xf>
    <xf numFmtId="43" fontId="77" fillId="2" borderId="19" xfId="1" applyFont="1" applyFill="1" applyBorder="1" applyAlignment="1">
      <alignment horizontal="center" vertical="center" wrapText="1"/>
    </xf>
    <xf numFmtId="0" fontId="78" fillId="2" borderId="0" xfId="0" applyFont="1" applyFill="1" applyAlignment="1">
      <alignment vertical="center"/>
    </xf>
    <xf numFmtId="0" fontId="75" fillId="2" borderId="17" xfId="0" applyFont="1" applyFill="1" applyBorder="1" applyAlignment="1">
      <alignment horizontal="center" vertical="center"/>
    </xf>
    <xf numFmtId="2" fontId="75" fillId="2" borderId="18" xfId="0" applyNumberFormat="1" applyFont="1" applyFill="1" applyBorder="1" applyAlignment="1">
      <alignment vertical="center"/>
    </xf>
    <xf numFmtId="0" fontId="75" fillId="2" borderId="0" xfId="2" applyFont="1" applyFill="1" applyBorder="1" applyAlignment="1">
      <alignment horizontal="center" vertical="center"/>
    </xf>
    <xf numFmtId="0" fontId="75" fillId="2" borderId="18" xfId="2" applyFont="1" applyFill="1" applyBorder="1" applyAlignment="1">
      <alignment horizontal="center" vertical="center"/>
    </xf>
    <xf numFmtId="0" fontId="75" fillId="2" borderId="17" xfId="2" applyFont="1" applyFill="1" applyBorder="1" applyAlignment="1">
      <alignment vertical="center" wrapText="1"/>
    </xf>
    <xf numFmtId="0" fontId="74" fillId="2" borderId="17" xfId="2" applyFont="1" applyFill="1" applyBorder="1" applyAlignment="1">
      <alignment horizontal="left" vertical="center"/>
    </xf>
    <xf numFmtId="0" fontId="74" fillId="2" borderId="18" xfId="2" applyFont="1" applyFill="1" applyBorder="1" applyAlignment="1">
      <alignment horizontal="center" vertical="center"/>
    </xf>
    <xf numFmtId="43" fontId="74" fillId="2" borderId="0" xfId="1" applyFont="1" applyFill="1" applyBorder="1" applyAlignment="1">
      <alignment horizontal="right" vertical="center" wrapText="1"/>
    </xf>
    <xf numFmtId="2" fontId="74" fillId="2" borderId="18" xfId="2" applyNumberFormat="1" applyFont="1" applyFill="1" applyBorder="1" applyAlignment="1">
      <alignment horizontal="center" vertical="center"/>
    </xf>
    <xf numFmtId="0" fontId="74" fillId="2" borderId="23" xfId="0" applyFont="1" applyFill="1" applyBorder="1" applyAlignment="1">
      <alignment horizontal="center" vertical="center"/>
    </xf>
    <xf numFmtId="0" fontId="74" fillId="2" borderId="21" xfId="0" applyFont="1" applyFill="1" applyBorder="1" applyAlignment="1">
      <alignment horizontal="center" vertical="center"/>
    </xf>
    <xf numFmtId="0" fontId="75" fillId="2" borderId="22" xfId="0" applyFont="1" applyFill="1" applyBorder="1" applyAlignment="1">
      <alignment horizontal="center" vertical="center"/>
    </xf>
    <xf numFmtId="0" fontId="74" fillId="2" borderId="22" xfId="0" applyFont="1" applyFill="1" applyBorder="1" applyAlignment="1">
      <alignment vertical="center"/>
    </xf>
    <xf numFmtId="2" fontId="74" fillId="2" borderId="23" xfId="0" applyNumberFormat="1" applyFont="1" applyFill="1" applyBorder="1" applyAlignment="1">
      <alignment horizontal="left" vertical="center"/>
    </xf>
    <xf numFmtId="43" fontId="74" fillId="2" borderId="23" xfId="1" applyFont="1" applyFill="1" applyBorder="1" applyAlignment="1">
      <alignment vertical="center" wrapText="1"/>
    </xf>
    <xf numFmtId="43" fontId="74" fillId="2" borderId="21" xfId="1" applyFont="1" applyFill="1" applyBorder="1" applyAlignment="1">
      <alignment vertical="center" wrapText="1"/>
    </xf>
    <xf numFmtId="43" fontId="74" fillId="2" borderId="24" xfId="1" applyFont="1" applyFill="1" applyBorder="1" applyAlignment="1">
      <alignment vertical="center" wrapText="1"/>
    </xf>
    <xf numFmtId="43" fontId="75" fillId="2" borderId="21" xfId="1" applyFont="1" applyFill="1" applyBorder="1" applyAlignment="1">
      <alignment horizontal="center" vertical="center" wrapText="1"/>
    </xf>
    <xf numFmtId="2" fontId="75" fillId="2" borderId="21" xfId="0" applyNumberFormat="1" applyFont="1" applyFill="1" applyBorder="1" applyAlignment="1">
      <alignment vertical="center"/>
    </xf>
    <xf numFmtId="43" fontId="75" fillId="2" borderId="23" xfId="1" applyFont="1" applyFill="1" applyBorder="1" applyAlignment="1">
      <alignment vertical="center"/>
    </xf>
    <xf numFmtId="43" fontId="75" fillId="2" borderId="0" xfId="1" applyFont="1" applyFill="1" applyBorder="1" applyAlignment="1">
      <alignment horizontal="center" vertical="center"/>
    </xf>
    <xf numFmtId="167" fontId="74" fillId="2" borderId="18" xfId="2" applyNumberFormat="1" applyFont="1" applyFill="1" applyBorder="1" applyAlignment="1">
      <alignment horizontal="center" vertical="center"/>
    </xf>
    <xf numFmtId="0" fontId="75" fillId="2" borderId="23" xfId="0" applyFont="1" applyFill="1" applyBorder="1" applyAlignment="1">
      <alignment horizontal="center" vertical="center"/>
    </xf>
    <xf numFmtId="0" fontId="75" fillId="2" borderId="21" xfId="0" applyFont="1" applyFill="1" applyBorder="1" applyAlignment="1">
      <alignment horizontal="center" vertical="center"/>
    </xf>
    <xf numFmtId="0" fontId="75" fillId="2" borderId="22" xfId="0" applyFont="1" applyFill="1" applyBorder="1" applyAlignment="1">
      <alignment vertical="center"/>
    </xf>
    <xf numFmtId="2" fontId="75" fillId="2" borderId="23" xfId="0" applyNumberFormat="1" applyFont="1" applyFill="1" applyBorder="1" applyAlignment="1">
      <alignment horizontal="left" vertical="center"/>
    </xf>
    <xf numFmtId="43" fontId="75" fillId="2" borderId="23" xfId="1" applyFont="1" applyFill="1" applyBorder="1" applyAlignment="1">
      <alignment vertical="center" wrapText="1"/>
    </xf>
    <xf numFmtId="168" fontId="75" fillId="2" borderId="21" xfId="1" applyNumberFormat="1" applyFont="1" applyFill="1" applyBorder="1" applyAlignment="1">
      <alignment vertical="center" wrapText="1"/>
    </xf>
    <xf numFmtId="168" fontId="75" fillId="2" borderId="24" xfId="1" applyNumberFormat="1" applyFont="1" applyFill="1" applyBorder="1" applyAlignment="1">
      <alignment vertical="center" wrapText="1"/>
    </xf>
    <xf numFmtId="0" fontId="63" fillId="2" borderId="0" xfId="0" applyFont="1" applyFill="1"/>
    <xf numFmtId="0" fontId="29" fillId="2" borderId="0" xfId="0" applyFont="1" applyFill="1"/>
    <xf numFmtId="0" fontId="63" fillId="2" borderId="0" xfId="0" applyFont="1" applyFill="1" applyAlignment="1">
      <alignment horizontal="left"/>
    </xf>
    <xf numFmtId="173" fontId="28" fillId="2" borderId="0" xfId="0" applyNumberFormat="1" applyFont="1" applyFill="1"/>
    <xf numFmtId="178" fontId="63" fillId="2" borderId="0" xfId="0" applyNumberFormat="1" applyFont="1" applyFill="1"/>
    <xf numFmtId="0" fontId="29" fillId="2" borderId="0" xfId="0" applyFont="1" applyFill="1" applyAlignment="1">
      <alignment horizontal="right"/>
    </xf>
    <xf numFmtId="0" fontId="29" fillId="2" borderId="0" xfId="0" applyFont="1" applyFill="1" applyAlignment="1">
      <alignment horizontal="left"/>
    </xf>
    <xf numFmtId="43" fontId="28" fillId="2" borderId="0" xfId="0" applyNumberFormat="1" applyFont="1" applyFill="1"/>
    <xf numFmtId="0" fontId="74" fillId="2" borderId="18" xfId="0" applyFont="1" applyFill="1" applyBorder="1" applyAlignment="1">
      <alignment horizontal="left" vertical="center" wrapText="1"/>
    </xf>
    <xf numFmtId="0" fontId="74" fillId="2" borderId="0" xfId="0" applyNumberFormat="1" applyFont="1" applyFill="1" applyBorder="1" applyAlignment="1">
      <alignment horizontal="right" vertical="center"/>
    </xf>
    <xf numFmtId="0" fontId="74" fillId="2" borderId="17" xfId="0" applyNumberFormat="1" applyFont="1" applyFill="1" applyBorder="1" applyAlignment="1">
      <alignment horizontal="right" vertical="center"/>
    </xf>
    <xf numFmtId="179" fontId="74" fillId="2" borderId="18" xfId="1" applyNumberFormat="1" applyFont="1" applyFill="1" applyBorder="1" applyAlignment="1">
      <alignment horizontal="center" vertical="center"/>
    </xf>
    <xf numFmtId="0" fontId="74" fillId="2" borderId="17" xfId="0" applyFont="1" applyFill="1" applyBorder="1" applyAlignment="1">
      <alignment horizontal="left" vertical="center" wrapText="1"/>
    </xf>
    <xf numFmtId="43" fontId="75" fillId="2" borderId="0" xfId="1" applyFont="1" applyFill="1" applyBorder="1" applyAlignment="1">
      <alignment vertical="center" wrapText="1"/>
    </xf>
    <xf numFmtId="168" fontId="75" fillId="2" borderId="18" xfId="1" applyNumberFormat="1" applyFont="1" applyFill="1" applyBorder="1" applyAlignment="1">
      <alignment vertical="center" wrapText="1"/>
    </xf>
    <xf numFmtId="168" fontId="75" fillId="2" borderId="19" xfId="1" applyNumberFormat="1" applyFont="1" applyFill="1" applyBorder="1" applyAlignment="1">
      <alignment vertical="center" wrapText="1"/>
    </xf>
    <xf numFmtId="0" fontId="79" fillId="2" borderId="18" xfId="2" applyFont="1" applyFill="1" applyBorder="1" applyAlignment="1">
      <alignment horizontal="center" vertical="center"/>
    </xf>
    <xf numFmtId="0" fontId="79" fillId="2" borderId="17" xfId="2" applyFont="1" applyFill="1" applyBorder="1" applyAlignment="1">
      <alignment horizontal="left" vertical="center"/>
    </xf>
    <xf numFmtId="0" fontId="75" fillId="2" borderId="17" xfId="2" applyFont="1" applyFill="1" applyBorder="1" applyAlignment="1">
      <alignment horizontal="center" vertical="center"/>
    </xf>
    <xf numFmtId="2" fontId="75" fillId="2" borderId="0" xfId="2" applyNumberFormat="1" applyFont="1" applyFill="1" applyBorder="1" applyAlignment="1">
      <alignment horizontal="left" vertical="center"/>
    </xf>
    <xf numFmtId="43" fontId="75" fillId="2" borderId="0" xfId="1" applyFont="1" applyFill="1" applyBorder="1" applyAlignment="1">
      <alignment horizontal="center" vertical="center" wrapText="1"/>
    </xf>
    <xf numFmtId="43" fontId="75" fillId="2" borderId="19" xfId="1" applyFont="1" applyFill="1" applyBorder="1" applyAlignment="1">
      <alignment horizontal="center" vertical="center" wrapText="1"/>
    </xf>
    <xf numFmtId="0" fontId="80" fillId="2" borderId="18" xfId="2" applyFont="1" applyFill="1" applyBorder="1" applyAlignment="1">
      <alignment horizontal="center" vertical="center"/>
    </xf>
    <xf numFmtId="0" fontId="80" fillId="2" borderId="17" xfId="2" applyFont="1" applyFill="1" applyBorder="1" applyAlignment="1">
      <alignment horizontal="left" vertical="center"/>
    </xf>
    <xf numFmtId="0" fontId="81" fillId="2" borderId="17" xfId="2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horizontal="center" vertical="center"/>
    </xf>
    <xf numFmtId="2" fontId="81" fillId="2" borderId="0" xfId="2" applyNumberFormat="1" applyFont="1" applyFill="1" applyBorder="1" applyAlignment="1">
      <alignment horizontal="left" vertical="center"/>
    </xf>
    <xf numFmtId="0" fontId="81" fillId="2" borderId="18" xfId="2" applyFont="1" applyFill="1" applyBorder="1" applyAlignment="1">
      <alignment horizontal="center" vertical="center"/>
    </xf>
    <xf numFmtId="43" fontId="81" fillId="2" borderId="0" xfId="1" applyFont="1" applyFill="1" applyBorder="1" applyAlignment="1">
      <alignment horizontal="center" vertical="center" wrapText="1"/>
    </xf>
    <xf numFmtId="43" fontId="81" fillId="2" borderId="18" xfId="1" applyFont="1" applyFill="1" applyBorder="1" applyAlignment="1">
      <alignment horizontal="center" vertical="center" wrapText="1"/>
    </xf>
    <xf numFmtId="43" fontId="81" fillId="2" borderId="19" xfId="1" applyFont="1" applyFill="1" applyBorder="1" applyAlignment="1">
      <alignment horizontal="center" vertical="center" wrapText="1"/>
    </xf>
    <xf numFmtId="43" fontId="81" fillId="2" borderId="0" xfId="1" applyFont="1" applyFill="1" applyBorder="1" applyAlignment="1">
      <alignment horizontal="center" vertical="center"/>
    </xf>
    <xf numFmtId="43" fontId="75" fillId="2" borderId="17" xfId="1" quotePrefix="1" applyFont="1" applyFill="1" applyBorder="1" applyAlignment="1">
      <alignment horizontal="center" vertical="center" wrapText="1"/>
    </xf>
    <xf numFmtId="0" fontId="74" fillId="2" borderId="17" xfId="2" applyFont="1" applyFill="1" applyBorder="1" applyAlignment="1">
      <alignment horizontal="right" vertical="center"/>
    </xf>
    <xf numFmtId="2" fontId="74" fillId="2" borderId="0" xfId="2" applyNumberFormat="1" applyFont="1" applyFill="1" applyBorder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6" fillId="2" borderId="26" xfId="0" applyFont="1" applyFill="1" applyBorder="1" applyAlignment="1">
      <alignment vertical="center"/>
    </xf>
    <xf numFmtId="43" fontId="26" fillId="2" borderId="26" xfId="1" applyFont="1" applyFill="1" applyBorder="1" applyAlignment="1">
      <alignment vertical="center"/>
    </xf>
    <xf numFmtId="0" fontId="26" fillId="2" borderId="33" xfId="0" applyFont="1" applyFill="1" applyBorder="1" applyAlignment="1">
      <alignment vertical="center"/>
    </xf>
    <xf numFmtId="43" fontId="26" fillId="2" borderId="33" xfId="1" applyFont="1" applyFill="1" applyBorder="1" applyAlignment="1">
      <alignment vertical="center"/>
    </xf>
    <xf numFmtId="0" fontId="26" fillId="2" borderId="33" xfId="0" quotePrefix="1" applyFont="1" applyFill="1" applyBorder="1" applyAlignment="1">
      <alignment vertical="center"/>
    </xf>
    <xf numFmtId="4" fontId="26" fillId="2" borderId="0" xfId="0" applyNumberFormat="1" applyFont="1" applyFill="1" applyAlignment="1">
      <alignment vertical="center"/>
    </xf>
    <xf numFmtId="43" fontId="26" fillId="2" borderId="0" xfId="0" applyNumberFormat="1" applyFont="1" applyFill="1" applyAlignment="1">
      <alignment vertical="center"/>
    </xf>
    <xf numFmtId="0" fontId="0" fillId="0" borderId="0" xfId="0"/>
    <xf numFmtId="0" fontId="26" fillId="2" borderId="0" xfId="0" applyFont="1" applyFill="1"/>
    <xf numFmtId="43" fontId="26" fillId="2" borderId="0" xfId="1" applyFont="1" applyFill="1"/>
    <xf numFmtId="43" fontId="26" fillId="2" borderId="0" xfId="1" applyFont="1" applyFill="1" applyAlignment="1">
      <alignment horizontal="center"/>
    </xf>
    <xf numFmtId="49" fontId="29" fillId="2" borderId="0" xfId="0" applyNumberFormat="1" applyFont="1" applyFill="1" applyBorder="1" applyAlignment="1">
      <alignment horizontal="left"/>
    </xf>
    <xf numFmtId="43" fontId="74" fillId="2" borderId="19" xfId="1" applyNumberFormat="1" applyFont="1" applyFill="1" applyBorder="1" applyAlignment="1">
      <alignment horizontal="center" vertical="center" wrapText="1"/>
    </xf>
    <xf numFmtId="43" fontId="88" fillId="2" borderId="0" xfId="0" applyNumberFormat="1" applyFont="1" applyFill="1" applyAlignment="1">
      <alignment horizontal="center" vertical="center"/>
    </xf>
    <xf numFmtId="10" fontId="26" fillId="2" borderId="26" xfId="677" applyNumberFormat="1" applyFont="1" applyFill="1" applyBorder="1" applyAlignment="1">
      <alignment vertical="center"/>
    </xf>
    <xf numFmtId="10" fontId="26" fillId="2" borderId="33" xfId="677" applyNumberFormat="1" applyFont="1" applyFill="1" applyBorder="1" applyAlignment="1">
      <alignment vertical="center"/>
    </xf>
    <xf numFmtId="2" fontId="74" fillId="2" borderId="19" xfId="2" applyNumberFormat="1" applyFont="1" applyFill="1" applyBorder="1" applyAlignment="1">
      <alignment horizontal="left" vertical="center"/>
    </xf>
    <xf numFmtId="0" fontId="74" fillId="2" borderId="0" xfId="2" applyFont="1" applyFill="1" applyBorder="1" applyAlignment="1">
      <alignment horizontal="right" vertical="center"/>
    </xf>
    <xf numFmtId="43" fontId="74" fillId="2" borderId="19" xfId="1" applyFont="1" applyFill="1" applyBorder="1" applyAlignment="1">
      <alignment horizontal="right" vertical="center" wrapText="1"/>
    </xf>
    <xf numFmtId="0" fontId="74" fillId="2" borderId="17" xfId="2" applyFont="1" applyFill="1" applyBorder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34" fillId="2" borderId="26" xfId="0" applyFont="1" applyFill="1" applyBorder="1" applyAlignment="1">
      <alignment vertical="center"/>
    </xf>
    <xf numFmtId="0" fontId="34" fillId="2" borderId="33" xfId="0" applyFont="1" applyFill="1" applyBorder="1" applyAlignment="1">
      <alignment vertical="center"/>
    </xf>
    <xf numFmtId="0" fontId="34" fillId="2" borderId="4" xfId="0" applyFont="1" applyFill="1" applyBorder="1" applyAlignment="1">
      <alignment vertical="center"/>
    </xf>
    <xf numFmtId="0" fontId="34" fillId="59" borderId="33" xfId="0" applyFont="1" applyFill="1" applyBorder="1" applyAlignment="1">
      <alignment vertical="center"/>
    </xf>
    <xf numFmtId="0" fontId="42" fillId="2" borderId="0" xfId="0" applyFont="1" applyFill="1"/>
    <xf numFmtId="43" fontId="28" fillId="2" borderId="53" xfId="1" applyFont="1" applyFill="1" applyBorder="1" applyAlignment="1">
      <alignment horizontal="left" vertical="center"/>
    </xf>
    <xf numFmtId="0" fontId="28" fillId="2" borderId="59" xfId="0" applyFont="1" applyFill="1" applyBorder="1" applyAlignment="1">
      <alignment horizontal="left" vertical="center"/>
    </xf>
    <xf numFmtId="43" fontId="42" fillId="2" borderId="56" xfId="1" applyFont="1" applyFill="1" applyBorder="1" applyAlignment="1">
      <alignment horizontal="left" vertical="center"/>
    </xf>
    <xf numFmtId="0" fontId="28" fillId="2" borderId="57" xfId="0" applyFont="1" applyFill="1" applyBorder="1" applyAlignment="1">
      <alignment horizontal="justify" vertical="justify" wrapText="1"/>
    </xf>
    <xf numFmtId="43" fontId="42" fillId="2" borderId="53" xfId="1" applyFont="1" applyFill="1" applyBorder="1" applyAlignment="1">
      <alignment horizontal="left" vertical="center"/>
    </xf>
    <xf numFmtId="0" fontId="42" fillId="2" borderId="50" xfId="0" applyFont="1" applyFill="1" applyBorder="1" applyAlignment="1">
      <alignment horizontal="left" vertical="center"/>
    </xf>
    <xf numFmtId="0" fontId="42" fillId="2" borderId="51" xfId="0" applyFont="1" applyFill="1" applyBorder="1" applyAlignment="1">
      <alignment horizontal="left" vertical="center"/>
    </xf>
    <xf numFmtId="173" fontId="28" fillId="2" borderId="53" xfId="0" applyNumberFormat="1" applyFont="1" applyFill="1" applyBorder="1" applyAlignment="1">
      <alignment horizontal="center" vertical="center"/>
    </xf>
    <xf numFmtId="0" fontId="43" fillId="2" borderId="49" xfId="0" applyFont="1" applyFill="1" applyBorder="1" applyAlignment="1">
      <alignment horizontal="left" vertical="center"/>
    </xf>
    <xf numFmtId="0" fontId="28" fillId="2" borderId="49" xfId="0" applyFont="1" applyFill="1" applyBorder="1" applyAlignment="1">
      <alignment horizontal="left" vertical="center"/>
    </xf>
    <xf numFmtId="175" fontId="28" fillId="2" borderId="58" xfId="1" applyNumberFormat="1" applyFont="1" applyFill="1" applyBorder="1" applyAlignment="1">
      <alignment horizontal="left" vertical="center"/>
    </xf>
    <xf numFmtId="175" fontId="28" fillId="2" borderId="53" xfId="1" applyNumberFormat="1" applyFont="1" applyFill="1" applyBorder="1" applyAlignment="1">
      <alignment horizontal="left" vertical="center"/>
    </xf>
    <xf numFmtId="43" fontId="42" fillId="2" borderId="0" xfId="0" applyNumberFormat="1" applyFont="1" applyFill="1"/>
    <xf numFmtId="0" fontId="29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 vertical="center"/>
    </xf>
    <xf numFmtId="0" fontId="42" fillId="0" borderId="0" xfId="0" applyFont="1" applyFill="1"/>
    <xf numFmtId="0" fontId="28" fillId="0" borderId="57" xfId="0" applyFont="1" applyFill="1" applyBorder="1" applyAlignment="1">
      <alignment horizontal="left" vertical="center" wrapText="1"/>
    </xf>
    <xf numFmtId="0" fontId="28" fillId="0" borderId="57" xfId="0" applyFont="1" applyFill="1" applyBorder="1" applyAlignment="1">
      <alignment horizontal="center" vertical="center"/>
    </xf>
    <xf numFmtId="43" fontId="28" fillId="0" borderId="57" xfId="1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left" vertical="center"/>
    </xf>
    <xf numFmtId="0" fontId="28" fillId="0" borderId="58" xfId="0" applyFont="1" applyFill="1" applyBorder="1" applyAlignment="1">
      <alignment horizontal="left" vertical="center"/>
    </xf>
    <xf numFmtId="173" fontId="28" fillId="0" borderId="56" xfId="0" applyNumberFormat="1" applyFont="1" applyFill="1" applyBorder="1" applyAlignment="1">
      <alignment horizontal="center" vertical="center"/>
    </xf>
    <xf numFmtId="0" fontId="28" fillId="0" borderId="51" xfId="0" applyFont="1" applyFill="1" applyBorder="1" applyAlignment="1">
      <alignment horizontal="left" vertical="center"/>
    </xf>
    <xf numFmtId="169" fontId="28" fillId="0" borderId="56" xfId="1" applyNumberFormat="1" applyFont="1" applyFill="1" applyBorder="1" applyAlignment="1">
      <alignment horizontal="left" vertical="center"/>
    </xf>
    <xf numFmtId="43" fontId="28" fillId="0" borderId="57" xfId="1" applyFont="1" applyFill="1" applyBorder="1" applyAlignment="1">
      <alignment horizontal="center" vertical="center"/>
    </xf>
    <xf numFmtId="0" fontId="28" fillId="0" borderId="57" xfId="0" applyFont="1" applyFill="1" applyBorder="1" applyAlignment="1">
      <alignment horizontal="left" vertical="center"/>
    </xf>
    <xf numFmtId="0" fontId="28" fillId="0" borderId="52" xfId="0" applyFont="1" applyFill="1" applyBorder="1" applyAlignment="1">
      <alignment horizontal="left" vertical="center"/>
    </xf>
    <xf numFmtId="169" fontId="28" fillId="0" borderId="53" xfId="1" applyNumberFormat="1" applyFont="1" applyFill="1" applyBorder="1" applyAlignment="1">
      <alignment horizontal="left" vertical="center"/>
    </xf>
    <xf numFmtId="0" fontId="28" fillId="0" borderId="49" xfId="0" applyFont="1" applyFill="1" applyBorder="1" applyAlignment="1">
      <alignment horizontal="left" vertical="center" wrapText="1"/>
    </xf>
    <xf numFmtId="0" fontId="28" fillId="0" borderId="49" xfId="0" applyFont="1" applyFill="1" applyBorder="1" applyAlignment="1">
      <alignment horizontal="center" vertical="center"/>
    </xf>
    <xf numFmtId="43" fontId="28" fillId="0" borderId="49" xfId="1" applyFont="1" applyFill="1" applyBorder="1" applyAlignment="1">
      <alignment horizontal="left" vertical="center"/>
    </xf>
    <xf numFmtId="0" fontId="29" fillId="0" borderId="50" xfId="0" applyFont="1" applyFill="1" applyBorder="1" applyAlignment="1">
      <alignment horizontal="left" vertical="center"/>
    </xf>
    <xf numFmtId="0" fontId="29" fillId="0" borderId="49" xfId="0" applyFont="1" applyFill="1" applyBorder="1" applyAlignment="1">
      <alignment horizontal="center" vertical="center"/>
    </xf>
    <xf numFmtId="0" fontId="29" fillId="0" borderId="49" xfId="0" applyFont="1" applyFill="1" applyBorder="1" applyAlignment="1">
      <alignment horizontal="left" vertical="center" wrapText="1"/>
    </xf>
    <xf numFmtId="0" fontId="29" fillId="0" borderId="49" xfId="0" applyFont="1" applyFill="1" applyBorder="1" applyAlignment="1">
      <alignment horizontal="center" vertical="center" wrapText="1"/>
    </xf>
    <xf numFmtId="0" fontId="44" fillId="2" borderId="0" xfId="0" applyFont="1" applyFill="1"/>
    <xf numFmtId="0" fontId="36" fillId="2" borderId="0" xfId="0" applyFont="1" applyFill="1"/>
    <xf numFmtId="43" fontId="35" fillId="58" borderId="27" xfId="1" applyFont="1" applyFill="1" applyBorder="1" applyAlignment="1">
      <alignment vertical="center"/>
    </xf>
    <xf numFmtId="10" fontId="35" fillId="58" borderId="27" xfId="677" applyNumberFormat="1" applyFont="1" applyFill="1" applyBorder="1" applyAlignment="1">
      <alignment vertical="center"/>
    </xf>
    <xf numFmtId="43" fontId="28" fillId="0" borderId="53" xfId="1" applyFont="1" applyFill="1" applyBorder="1" applyAlignment="1">
      <alignment horizontal="left" vertical="center"/>
    </xf>
    <xf numFmtId="169" fontId="28" fillId="0" borderId="0" xfId="0" applyNumberFormat="1" applyFont="1" applyFill="1" applyBorder="1" applyAlignment="1">
      <alignment horizontal="left" vertical="center"/>
    </xf>
    <xf numFmtId="43" fontId="28" fillId="0" borderId="0" xfId="1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right" vertical="center"/>
    </xf>
    <xf numFmtId="0" fontId="42" fillId="0" borderId="58" xfId="0" applyFont="1" applyFill="1" applyBorder="1" applyAlignment="1">
      <alignment horizontal="left" vertical="center"/>
    </xf>
    <xf numFmtId="43" fontId="42" fillId="0" borderId="56" xfId="1" applyFont="1" applyFill="1" applyBorder="1" applyAlignment="1">
      <alignment horizontal="left" vertical="center"/>
    </xf>
    <xf numFmtId="0" fontId="43" fillId="0" borderId="49" xfId="0" applyFont="1" applyFill="1" applyBorder="1" applyAlignment="1">
      <alignment horizontal="left" vertical="center" wrapText="1"/>
    </xf>
    <xf numFmtId="0" fontId="43" fillId="0" borderId="49" xfId="0" applyFont="1" applyFill="1" applyBorder="1" applyAlignment="1">
      <alignment horizontal="center" vertical="center"/>
    </xf>
    <xf numFmtId="0" fontId="42" fillId="0" borderId="52" xfId="0" applyFont="1" applyFill="1" applyBorder="1" applyAlignment="1">
      <alignment horizontal="left" vertical="center"/>
    </xf>
    <xf numFmtId="43" fontId="42" fillId="0" borderId="53" xfId="1" applyFont="1" applyFill="1" applyBorder="1" applyAlignment="1">
      <alignment horizontal="left" vertical="center"/>
    </xf>
    <xf numFmtId="43" fontId="42" fillId="0" borderId="0" xfId="1" applyFont="1" applyFill="1" applyBorder="1" applyAlignment="1">
      <alignment horizontal="left" vertical="center"/>
    </xf>
    <xf numFmtId="0" fontId="42" fillId="0" borderId="59" xfId="0" applyFont="1" applyFill="1" applyBorder="1" applyAlignment="1">
      <alignment horizontal="left" vertical="center"/>
    </xf>
    <xf numFmtId="0" fontId="42" fillId="0" borderId="60" xfId="0" applyFont="1" applyFill="1" applyBorder="1" applyAlignment="1">
      <alignment horizontal="center" vertical="center"/>
    </xf>
    <xf numFmtId="0" fontId="42" fillId="0" borderId="60" xfId="0" applyFont="1" applyFill="1" applyBorder="1" applyAlignment="1">
      <alignment horizontal="left" vertical="center"/>
    </xf>
    <xf numFmtId="0" fontId="43" fillId="0" borderId="60" xfId="0" applyFont="1" applyFill="1" applyBorder="1" applyAlignment="1">
      <alignment horizontal="right" vertical="center"/>
    </xf>
    <xf numFmtId="0" fontId="28" fillId="0" borderId="60" xfId="0" applyFont="1" applyFill="1" applyBorder="1" applyAlignment="1">
      <alignment horizontal="left" vertical="center"/>
    </xf>
    <xf numFmtId="43" fontId="29" fillId="0" borderId="61" xfId="1" applyFont="1" applyFill="1" applyBorder="1" applyAlignment="1">
      <alignment horizontal="center" vertical="center"/>
    </xf>
    <xf numFmtId="43" fontId="44" fillId="0" borderId="58" xfId="0" applyNumberFormat="1" applyFont="1" applyFill="1" applyBorder="1" applyAlignment="1">
      <alignment horizontal="center" vertical="center"/>
    </xf>
    <xf numFmtId="43" fontId="29" fillId="0" borderId="56" xfId="1" applyFont="1" applyFill="1" applyBorder="1" applyAlignment="1">
      <alignment horizontal="center" vertical="center"/>
    </xf>
    <xf numFmtId="43" fontId="44" fillId="0" borderId="52" xfId="0" applyNumberFormat="1" applyFont="1" applyFill="1" applyBorder="1" applyAlignment="1">
      <alignment horizontal="center" vertical="center"/>
    </xf>
    <xf numFmtId="0" fontId="43" fillId="0" borderId="52" xfId="0" applyFont="1" applyFill="1" applyBorder="1" applyAlignment="1">
      <alignment horizontal="right" vertical="center"/>
    </xf>
    <xf numFmtId="0" fontId="42" fillId="0" borderId="51" xfId="0" applyFont="1" applyFill="1" applyBorder="1" applyAlignment="1">
      <alignment horizontal="left" vertical="center"/>
    </xf>
    <xf numFmtId="43" fontId="29" fillId="0" borderId="53" xfId="1" applyFont="1" applyFill="1" applyBorder="1" applyAlignment="1">
      <alignment horizontal="center" vertical="center"/>
    </xf>
    <xf numFmtId="0" fontId="29" fillId="0" borderId="49" xfId="0" applyFont="1" applyFill="1" applyBorder="1" applyAlignment="1">
      <alignment horizontal="left" vertical="center"/>
    </xf>
    <xf numFmtId="0" fontId="29" fillId="0" borderId="50" xfId="0" applyFont="1" applyFill="1" applyBorder="1" applyAlignment="1">
      <alignment horizontal="left" vertical="center" wrapText="1"/>
    </xf>
    <xf numFmtId="0" fontId="28" fillId="0" borderId="59" xfId="0" applyFont="1" applyFill="1" applyBorder="1" applyAlignment="1">
      <alignment horizontal="left" vertical="center" wrapText="1"/>
    </xf>
    <xf numFmtId="0" fontId="28" fillId="0" borderId="60" xfId="0" applyFont="1" applyFill="1" applyBorder="1" applyAlignment="1">
      <alignment horizontal="center" vertical="center"/>
    </xf>
    <xf numFmtId="0" fontId="29" fillId="0" borderId="61" xfId="0" applyFont="1" applyFill="1" applyBorder="1" applyAlignment="1">
      <alignment horizontal="right" vertical="center"/>
    </xf>
    <xf numFmtId="0" fontId="28" fillId="0" borderId="59" xfId="0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right" vertical="center"/>
    </xf>
    <xf numFmtId="0" fontId="28" fillId="0" borderId="51" xfId="0" applyFont="1" applyFill="1" applyBorder="1" applyAlignment="1">
      <alignment horizontal="left" vertical="center" wrapText="1"/>
    </xf>
    <xf numFmtId="0" fontId="28" fillId="0" borderId="52" xfId="0" applyFont="1" applyFill="1" applyBorder="1" applyAlignment="1">
      <alignment horizontal="center" vertical="center"/>
    </xf>
    <xf numFmtId="0" fontId="29" fillId="0" borderId="53" xfId="0" applyFont="1" applyFill="1" applyBorder="1" applyAlignment="1">
      <alignment horizontal="right" vertical="center"/>
    </xf>
    <xf numFmtId="0" fontId="28" fillId="0" borderId="0" xfId="0" applyFont="1" applyFill="1" applyBorder="1" applyAlignment="1">
      <alignment horizontal="right" vertical="center"/>
    </xf>
    <xf numFmtId="43" fontId="28" fillId="0" borderId="0" xfId="0" applyNumberFormat="1" applyFont="1" applyFill="1" applyBorder="1" applyAlignment="1">
      <alignment horizontal="center" vertical="center"/>
    </xf>
    <xf numFmtId="173" fontId="28" fillId="0" borderId="49" xfId="0" applyNumberFormat="1" applyFont="1" applyFill="1" applyBorder="1" applyAlignment="1">
      <alignment horizontal="center" vertical="center"/>
    </xf>
    <xf numFmtId="173" fontId="28" fillId="0" borderId="57" xfId="0" applyNumberFormat="1" applyFont="1" applyFill="1" applyBorder="1" applyAlignment="1">
      <alignment horizontal="center" vertical="center"/>
    </xf>
    <xf numFmtId="43" fontId="28" fillId="0" borderId="57" xfId="1" applyFont="1" applyFill="1" applyBorder="1" applyAlignment="1">
      <alignment horizontal="right" vertical="center"/>
    </xf>
    <xf numFmtId="167" fontId="28" fillId="0" borderId="57" xfId="0" applyNumberFormat="1" applyFont="1" applyFill="1" applyBorder="1" applyAlignment="1">
      <alignment horizontal="right" vertical="center"/>
    </xf>
    <xf numFmtId="0" fontId="28" fillId="0" borderId="57" xfId="0" applyFont="1" applyFill="1" applyBorder="1" applyAlignment="1">
      <alignment horizontal="justify" vertical="justify" wrapText="1"/>
    </xf>
    <xf numFmtId="168" fontId="28" fillId="0" borderId="57" xfId="1" applyNumberFormat="1" applyFont="1" applyFill="1" applyBorder="1" applyAlignment="1">
      <alignment horizontal="left" vertical="center"/>
    </xf>
    <xf numFmtId="175" fontId="28" fillId="0" borderId="57" xfId="1" applyNumberFormat="1" applyFont="1" applyFill="1" applyBorder="1" applyAlignment="1">
      <alignment horizontal="left" vertical="center"/>
    </xf>
    <xf numFmtId="13" fontId="74" fillId="2" borderId="0" xfId="1" applyNumberFormat="1" applyFont="1" applyFill="1" applyBorder="1" applyAlignment="1">
      <alignment horizontal="center" vertical="center"/>
    </xf>
    <xf numFmtId="43" fontId="33" fillId="2" borderId="27" xfId="1" applyFont="1" applyFill="1" applyBorder="1" applyAlignment="1">
      <alignment horizontal="center" vertical="center"/>
    </xf>
    <xf numFmtId="0" fontId="26" fillId="0" borderId="0" xfId="0" applyFont="1" applyFill="1"/>
    <xf numFmtId="179" fontId="74" fillId="2" borderId="0" xfId="1" applyNumberFormat="1" applyFont="1" applyFill="1" applyBorder="1" applyAlignment="1">
      <alignment horizontal="center" vertical="center"/>
    </xf>
    <xf numFmtId="0" fontId="34" fillId="0" borderId="74" xfId="0" applyFont="1" applyFill="1" applyBorder="1"/>
    <xf numFmtId="0" fontId="34" fillId="0" borderId="44" xfId="0" applyFont="1" applyFill="1" applyBorder="1"/>
    <xf numFmtId="181" fontId="34" fillId="0" borderId="74" xfId="1" applyNumberFormat="1" applyFont="1" applyFill="1" applyBorder="1"/>
    <xf numFmtId="0" fontId="34" fillId="0" borderId="74" xfId="1" applyNumberFormat="1" applyFont="1" applyFill="1" applyBorder="1" applyAlignment="1">
      <alignment horizontal="center"/>
    </xf>
    <xf numFmtId="181" fontId="34" fillId="0" borderId="44" xfId="1" applyNumberFormat="1" applyFont="1" applyFill="1" applyBorder="1"/>
    <xf numFmtId="0" fontId="34" fillId="0" borderId="44" xfId="1" applyNumberFormat="1" applyFont="1" applyFill="1" applyBorder="1" applyAlignment="1">
      <alignment horizontal="center"/>
    </xf>
    <xf numFmtId="0" fontId="67" fillId="0" borderId="75" xfId="0" applyFont="1" applyFill="1" applyBorder="1" applyAlignment="1">
      <alignment vertical="center"/>
    </xf>
    <xf numFmtId="0" fontId="34" fillId="0" borderId="62" xfId="0" applyFont="1" applyFill="1" applyBorder="1"/>
    <xf numFmtId="0" fontId="34" fillId="0" borderId="62" xfId="1" applyNumberFormat="1" applyFont="1" applyFill="1" applyBorder="1" applyAlignment="1">
      <alignment horizontal="center"/>
    </xf>
    <xf numFmtId="43" fontId="42" fillId="0" borderId="0" xfId="0" applyNumberFormat="1" applyFont="1" applyFill="1"/>
    <xf numFmtId="0" fontId="43" fillId="2" borderId="59" xfId="0" applyFont="1" applyFill="1" applyBorder="1" applyAlignment="1">
      <alignment horizontal="left" vertical="center"/>
    </xf>
    <xf numFmtId="0" fontId="94" fillId="60" borderId="41" xfId="0" applyFont="1" applyFill="1" applyBorder="1" applyAlignment="1">
      <alignment horizontal="center" vertical="center" wrapText="1"/>
    </xf>
    <xf numFmtId="0" fontId="94" fillId="0" borderId="41" xfId="0" applyFont="1" applyBorder="1" applyAlignment="1">
      <alignment horizontal="center" vertical="center" wrapText="1"/>
    </xf>
    <xf numFmtId="2" fontId="94" fillId="0" borderId="41" xfId="0" applyNumberFormat="1" applyFont="1" applyBorder="1" applyAlignment="1">
      <alignment horizontal="center" vertical="center" wrapText="1"/>
    </xf>
    <xf numFmtId="2" fontId="94" fillId="0" borderId="41" xfId="0" applyNumberFormat="1" applyFont="1" applyFill="1" applyBorder="1" applyAlignment="1">
      <alignment horizontal="center" vertical="center" wrapText="1"/>
    </xf>
    <xf numFmtId="0" fontId="94" fillId="0" borderId="38" xfId="0" applyFont="1" applyBorder="1" applyAlignment="1">
      <alignment horizontal="center" vertical="center" wrapText="1"/>
    </xf>
    <xf numFmtId="0" fontId="94" fillId="0" borderId="86" xfId="0" applyFont="1" applyBorder="1" applyAlignment="1">
      <alignment horizontal="center" vertical="center" wrapText="1"/>
    </xf>
    <xf numFmtId="185" fontId="26" fillId="2" borderId="0" xfId="0" applyNumberFormat="1" applyFont="1" applyFill="1" applyAlignment="1">
      <alignment vertical="center"/>
    </xf>
    <xf numFmtId="186" fontId="26" fillId="2" borderId="0" xfId="0" applyNumberFormat="1" applyFont="1" applyFill="1" applyAlignment="1">
      <alignment vertical="center"/>
    </xf>
    <xf numFmtId="0" fontId="64" fillId="0" borderId="0" xfId="0" applyFont="1" applyFill="1" applyAlignment="1">
      <alignment horizontal="left"/>
    </xf>
    <xf numFmtId="0" fontId="64" fillId="0" borderId="0" xfId="0" applyFont="1" applyFill="1" applyAlignment="1">
      <alignment horizontal="right"/>
    </xf>
    <xf numFmtId="0" fontId="64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horizontal="center" vertical="center" wrapText="1"/>
    </xf>
    <xf numFmtId="0" fontId="36" fillId="0" borderId="0" xfId="0" applyFont="1" applyFill="1"/>
    <xf numFmtId="0" fontId="63" fillId="0" borderId="0" xfId="0" applyFont="1" applyFill="1"/>
    <xf numFmtId="0" fontId="69" fillId="0" borderId="0" xfId="0" applyFont="1" applyFill="1" applyAlignment="1"/>
    <xf numFmtId="0" fontId="69" fillId="0" borderId="0" xfId="0" applyFont="1" applyFill="1" applyAlignment="1">
      <alignment horizontal="center"/>
    </xf>
    <xf numFmtId="0" fontId="69" fillId="0" borderId="0" xfId="0" applyFont="1" applyFill="1"/>
    <xf numFmtId="0" fontId="69" fillId="0" borderId="0" xfId="0" applyFont="1" applyFill="1" applyAlignment="1">
      <alignment horizontal="left" vertical="center"/>
    </xf>
    <xf numFmtId="0" fontId="68" fillId="0" borderId="0" xfId="0" applyFont="1" applyFill="1" applyAlignment="1">
      <alignment horizontal="center"/>
    </xf>
    <xf numFmtId="0" fontId="70" fillId="0" borderId="0" xfId="0" applyFont="1" applyFill="1" applyAlignment="1">
      <alignment horizontal="center" vertical="center" wrapText="1"/>
    </xf>
    <xf numFmtId="0" fontId="73" fillId="2" borderId="27" xfId="48463" applyFont="1" applyFill="1" applyBorder="1" applyAlignment="1">
      <alignment horizontal="center" vertical="center" wrapText="1"/>
    </xf>
    <xf numFmtId="0" fontId="73" fillId="2" borderId="33" xfId="48463" applyFont="1" applyFill="1" applyBorder="1" applyAlignment="1">
      <alignment horizontal="left" vertical="center" wrapText="1"/>
    </xf>
    <xf numFmtId="164" fontId="60" fillId="0" borderId="0" xfId="45287" applyFont="1" applyFill="1" applyAlignment="1">
      <alignment horizontal="center"/>
    </xf>
    <xf numFmtId="164" fontId="60" fillId="0" borderId="0" xfId="45287" applyFont="1" applyAlignment="1">
      <alignment horizontal="center"/>
    </xf>
    <xf numFmtId="0" fontId="0" fillId="0" borderId="0" xfId="0" applyAlignment="1">
      <alignment horizontal="center"/>
    </xf>
    <xf numFmtId="164" fontId="69" fillId="0" borderId="0" xfId="45287" applyFont="1" applyFill="1" applyAlignment="1">
      <alignment horizontal="center"/>
    </xf>
    <xf numFmtId="164" fontId="69" fillId="0" borderId="0" xfId="45287" applyFont="1" applyAlignment="1">
      <alignment horizontal="center"/>
    </xf>
    <xf numFmtId="164" fontId="69" fillId="0" borderId="0" xfId="45287" applyFont="1" applyFill="1" applyAlignment="1">
      <alignment horizontal="center" vertical="center" wrapText="1"/>
    </xf>
    <xf numFmtId="164" fontId="69" fillId="0" borderId="0" xfId="45287" applyFont="1" applyAlignment="1">
      <alignment horizontal="center" vertical="center" wrapText="1"/>
    </xf>
    <xf numFmtId="10" fontId="64" fillId="63" borderId="0" xfId="0" applyNumberFormat="1" applyFont="1" applyFill="1" applyAlignment="1">
      <alignment horizontal="left" vertical="center" wrapText="1"/>
    </xf>
    <xf numFmtId="49" fontId="29" fillId="2" borderId="0" xfId="0" applyNumberFormat="1" applyFont="1" applyFill="1" applyBorder="1" applyAlignment="1">
      <alignment horizontal="right" vertical="center"/>
    </xf>
    <xf numFmtId="10" fontId="29" fillId="2" borderId="0" xfId="677" applyNumberFormat="1" applyFont="1" applyFill="1" applyBorder="1" applyAlignment="1">
      <alignment horizontal="right" vertical="center"/>
    </xf>
    <xf numFmtId="0" fontId="26" fillId="2" borderId="33" xfId="0" applyFont="1" applyFill="1" applyBorder="1" applyAlignment="1">
      <alignment vertical="center" wrapText="1"/>
    </xf>
    <xf numFmtId="0" fontId="26" fillId="2" borderId="33" xfId="0" quotePrefix="1" applyFont="1" applyFill="1" applyBorder="1" applyAlignment="1">
      <alignment vertical="center" wrapText="1"/>
    </xf>
    <xf numFmtId="4" fontId="69" fillId="0" borderId="0" xfId="45287" applyNumberFormat="1" applyFont="1" applyFill="1" applyAlignment="1">
      <alignment horizontal="center"/>
    </xf>
    <xf numFmtId="4" fontId="69" fillId="0" borderId="0" xfId="45287" applyNumberFormat="1" applyFont="1" applyAlignment="1">
      <alignment horizontal="center"/>
    </xf>
    <xf numFmtId="0" fontId="69" fillId="0" borderId="0" xfId="0" applyFont="1" applyFill="1" applyAlignment="1">
      <alignment horizontal="center" vertical="center"/>
    </xf>
    <xf numFmtId="0" fontId="67" fillId="0" borderId="44" xfId="0" applyFont="1" applyFill="1" applyBorder="1" applyAlignment="1">
      <alignment horizontal="left" vertical="center" wrapText="1"/>
    </xf>
    <xf numFmtId="0" fontId="42" fillId="0" borderId="0" xfId="0" applyNumberFormat="1" applyFont="1" applyFill="1"/>
    <xf numFmtId="0" fontId="99" fillId="0" borderId="0" xfId="0" applyFont="1" applyFill="1"/>
    <xf numFmtId="0" fontId="100" fillId="0" borderId="44" xfId="0" applyFont="1" applyFill="1" applyBorder="1"/>
    <xf numFmtId="0" fontId="101" fillId="0" borderId="44" xfId="0" applyFont="1" applyFill="1" applyBorder="1" applyAlignment="1">
      <alignment vertical="center"/>
    </xf>
    <xf numFmtId="0" fontId="74" fillId="2" borderId="18" xfId="2" applyFont="1" applyFill="1" applyBorder="1" applyAlignment="1">
      <alignment vertical="center" wrapText="1"/>
    </xf>
    <xf numFmtId="0" fontId="98" fillId="2" borderId="17" xfId="2" applyFont="1" applyFill="1" applyBorder="1" applyAlignment="1">
      <alignment horizontal="center" vertical="center"/>
    </xf>
    <xf numFmtId="0" fontId="74" fillId="2" borderId="17" xfId="2" applyFont="1" applyFill="1" applyBorder="1" applyAlignment="1">
      <alignment vertical="center" wrapText="1"/>
    </xf>
    <xf numFmtId="0" fontId="88" fillId="0" borderId="72" xfId="0" applyFont="1" applyFill="1" applyBorder="1" applyAlignment="1">
      <alignment horizontal="center" vertical="center"/>
    </xf>
    <xf numFmtId="0" fontId="89" fillId="0" borderId="73" xfId="0" applyFont="1" applyFill="1" applyBorder="1" applyAlignment="1">
      <alignment horizontal="center" vertical="center"/>
    </xf>
    <xf numFmtId="0" fontId="67" fillId="0" borderId="73" xfId="0" applyFont="1" applyFill="1" applyBorder="1" applyAlignment="1">
      <alignment horizontal="center" vertical="center"/>
    </xf>
    <xf numFmtId="0" fontId="67" fillId="0" borderId="73" xfId="0" applyNumberFormat="1" applyFont="1" applyFill="1" applyBorder="1" applyAlignment="1">
      <alignment horizontal="center" vertical="center"/>
    </xf>
    <xf numFmtId="0" fontId="69" fillId="0" borderId="73" xfId="0" applyFont="1" applyFill="1" applyBorder="1" applyAlignment="1">
      <alignment horizontal="center" vertical="center"/>
    </xf>
    <xf numFmtId="0" fontId="69" fillId="0" borderId="73" xfId="0" applyNumberFormat="1" applyFont="1" applyFill="1" applyBorder="1" applyAlignment="1">
      <alignment horizontal="center" vertical="center"/>
    </xf>
    <xf numFmtId="0" fontId="87" fillId="0" borderId="0" xfId="0" applyFont="1" applyFill="1" applyAlignment="1">
      <alignment horizontal="center" vertical="center"/>
    </xf>
    <xf numFmtId="0" fontId="86" fillId="0" borderId="27" xfId="0" applyFont="1" applyFill="1" applyBorder="1" applyAlignment="1">
      <alignment vertical="center"/>
    </xf>
    <xf numFmtId="0" fontId="88" fillId="0" borderId="43" xfId="0" applyFont="1" applyFill="1" applyBorder="1" applyAlignment="1">
      <alignment horizontal="center" vertical="center"/>
    </xf>
    <xf numFmtId="0" fontId="88" fillId="0" borderId="43" xfId="0" applyFont="1" applyFill="1" applyBorder="1" applyAlignment="1">
      <alignment horizontal="left" vertical="center" wrapText="1"/>
    </xf>
    <xf numFmtId="0" fontId="88" fillId="0" borderId="43" xfId="0" applyFont="1" applyFill="1" applyBorder="1" applyAlignment="1">
      <alignment horizontal="center" vertical="center" wrapText="1"/>
    </xf>
    <xf numFmtId="43" fontId="88" fillId="0" borderId="43" xfId="1" applyFont="1" applyFill="1" applyBorder="1" applyAlignment="1">
      <alignment horizontal="right" vertical="center"/>
    </xf>
    <xf numFmtId="43" fontId="88" fillId="0" borderId="43" xfId="1" applyFont="1" applyFill="1" applyBorder="1" applyAlignment="1">
      <alignment horizontal="right" vertical="center" wrapText="1"/>
    </xf>
    <xf numFmtId="0" fontId="88" fillId="0" borderId="0" xfId="0" applyFont="1" applyFill="1" applyAlignment="1">
      <alignment horizontal="center" vertical="center"/>
    </xf>
    <xf numFmtId="0" fontId="89" fillId="0" borderId="44" xfId="0" applyFont="1" applyFill="1" applyBorder="1" applyAlignment="1">
      <alignment horizontal="center" vertical="center"/>
    </xf>
    <xf numFmtId="0" fontId="89" fillId="0" borderId="44" xfId="0" applyFont="1" applyFill="1" applyBorder="1" applyAlignment="1">
      <alignment horizontal="left" vertical="center" wrapText="1"/>
    </xf>
    <xf numFmtId="0" fontId="89" fillId="0" borderId="44" xfId="0" applyFont="1" applyFill="1" applyBorder="1" applyAlignment="1">
      <alignment horizontal="center" vertical="center" wrapText="1"/>
    </xf>
    <xf numFmtId="43" fontId="89" fillId="0" borderId="44" xfId="1" applyFont="1" applyFill="1" applyBorder="1" applyAlignment="1">
      <alignment horizontal="right" vertical="center" wrapText="1"/>
    </xf>
    <xf numFmtId="0" fontId="89" fillId="0" borderId="0" xfId="0" applyFont="1" applyFill="1" applyAlignment="1">
      <alignment horizontal="center" vertical="center"/>
    </xf>
    <xf numFmtId="0" fontId="67" fillId="0" borderId="44" xfId="0" applyFont="1" applyFill="1" applyBorder="1" applyAlignment="1">
      <alignment horizontal="center" vertical="center"/>
    </xf>
    <xf numFmtId="0" fontId="67" fillId="0" borderId="44" xfId="0" applyFont="1" applyFill="1" applyBorder="1" applyAlignment="1">
      <alignment horizontal="center" vertical="center" wrapText="1"/>
    </xf>
    <xf numFmtId="43" fontId="67" fillId="0" borderId="44" xfId="1" applyFont="1" applyFill="1" applyBorder="1" applyAlignment="1">
      <alignment horizontal="right" vertical="center" wrapText="1"/>
    </xf>
    <xf numFmtId="0" fontId="67" fillId="0" borderId="0" xfId="0" applyFont="1" applyFill="1" applyAlignment="1">
      <alignment horizontal="center" vertical="center"/>
    </xf>
    <xf numFmtId="0" fontId="67" fillId="0" borderId="28" xfId="0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left" vertical="center" wrapText="1"/>
    </xf>
    <xf numFmtId="0" fontId="60" fillId="0" borderId="23" xfId="0" applyFont="1" applyFill="1" applyBorder="1" applyAlignment="1">
      <alignment horizontal="center" vertical="center" wrapText="1"/>
    </xf>
    <xf numFmtId="43" fontId="60" fillId="0" borderId="23" xfId="1" applyFont="1" applyFill="1" applyBorder="1" applyAlignment="1">
      <alignment horizontal="center" vertical="center"/>
    </xf>
    <xf numFmtId="43" fontId="67" fillId="0" borderId="23" xfId="1" applyFont="1" applyFill="1" applyBorder="1" applyAlignment="1">
      <alignment horizontal="center" vertical="center" wrapText="1"/>
    </xf>
    <xf numFmtId="43" fontId="88" fillId="0" borderId="43" xfId="1" applyFont="1" applyFill="1" applyBorder="1" applyAlignment="1">
      <alignment horizontal="center" vertical="center"/>
    </xf>
    <xf numFmtId="43" fontId="67" fillId="0" borderId="43" xfId="1" applyFont="1" applyFill="1" applyBorder="1" applyAlignment="1">
      <alignment horizontal="center" vertical="center" wrapText="1"/>
    </xf>
    <xf numFmtId="0" fontId="71" fillId="0" borderId="0" xfId="0" applyFont="1" applyFill="1" applyAlignment="1">
      <alignment horizontal="center" vertical="center"/>
    </xf>
    <xf numFmtId="43" fontId="88" fillId="0" borderId="43" xfId="1" applyFont="1" applyFill="1" applyBorder="1" applyAlignment="1">
      <alignment vertical="center"/>
    </xf>
    <xf numFmtId="43" fontId="67" fillId="0" borderId="43" xfId="1" applyFont="1" applyFill="1" applyBorder="1" applyAlignment="1">
      <alignment vertical="center" wrapText="1"/>
    </xf>
    <xf numFmtId="0" fontId="89" fillId="0" borderId="73" xfId="0" applyNumberFormat="1" applyFont="1" applyFill="1" applyBorder="1" applyAlignment="1">
      <alignment horizontal="center" vertical="center"/>
    </xf>
    <xf numFmtId="43" fontId="64" fillId="0" borderId="27" xfId="1" applyFont="1" applyFill="1" applyBorder="1" applyAlignment="1">
      <alignment horizontal="center" vertical="center"/>
    </xf>
    <xf numFmtId="43" fontId="69" fillId="0" borderId="0" xfId="1" applyFont="1" applyFill="1" applyAlignment="1">
      <alignment horizontal="center" vertical="center"/>
    </xf>
    <xf numFmtId="43" fontId="44" fillId="2" borderId="0" xfId="0" applyNumberFormat="1" applyFont="1" applyFill="1" applyBorder="1" applyAlignment="1">
      <alignment horizontal="center" vertical="center"/>
    </xf>
    <xf numFmtId="0" fontId="28" fillId="2" borderId="17" xfId="0" applyFont="1" applyFill="1" applyBorder="1" applyAlignment="1">
      <alignment horizontal="left" vertical="center"/>
    </xf>
    <xf numFmtId="0" fontId="42" fillId="2" borderId="17" xfId="0" applyFont="1" applyFill="1" applyBorder="1" applyAlignment="1">
      <alignment horizontal="left" vertical="center"/>
    </xf>
    <xf numFmtId="43" fontId="29" fillId="2" borderId="0" xfId="1" applyFont="1" applyFill="1" applyBorder="1" applyAlignment="1">
      <alignment horizontal="center" vertical="center"/>
    </xf>
    <xf numFmtId="43" fontId="26" fillId="2" borderId="48" xfId="1" applyFont="1" applyFill="1" applyBorder="1"/>
    <xf numFmtId="0" fontId="3" fillId="0" borderId="43" xfId="0" applyFont="1" applyFill="1" applyBorder="1"/>
    <xf numFmtId="181" fontId="3" fillId="0" borderId="43" xfId="1" applyNumberFormat="1" applyFont="1" applyFill="1" applyBorder="1"/>
    <xf numFmtId="0" fontId="3" fillId="0" borderId="43" xfId="1" applyNumberFormat="1" applyFont="1" applyFill="1" applyBorder="1" applyAlignment="1">
      <alignment horizontal="center"/>
    </xf>
    <xf numFmtId="0" fontId="25" fillId="0" borderId="0" xfId="0" applyFont="1" applyFill="1"/>
    <xf numFmtId="2" fontId="103" fillId="0" borderId="41" xfId="0" applyNumberFormat="1" applyFont="1" applyFill="1" applyBorder="1" applyAlignment="1">
      <alignment horizontal="center" vertical="center" wrapText="1"/>
    </xf>
    <xf numFmtId="43" fontId="43" fillId="2" borderId="56" xfId="1" applyFont="1" applyFill="1" applyBorder="1" applyAlignment="1">
      <alignment horizontal="left" vertical="center"/>
    </xf>
    <xf numFmtId="0" fontId="67" fillId="2" borderId="87" xfId="0" applyFont="1" applyFill="1" applyBorder="1" applyAlignment="1">
      <alignment horizontal="center" vertical="center" wrapText="1"/>
    </xf>
    <xf numFmtId="0" fontId="67" fillId="2" borderId="43" xfId="0" applyFont="1" applyFill="1" applyBorder="1" applyAlignment="1">
      <alignment horizontal="center" vertical="center" wrapText="1"/>
    </xf>
    <xf numFmtId="0" fontId="67" fillId="2" borderId="87" xfId="0" applyFont="1" applyFill="1" applyBorder="1" applyAlignment="1">
      <alignment horizontal="center" vertical="center"/>
    </xf>
    <xf numFmtId="0" fontId="67" fillId="2" borderId="43" xfId="0" applyFont="1" applyFill="1" applyBorder="1" applyAlignment="1">
      <alignment horizontal="center" vertical="center"/>
    </xf>
    <xf numFmtId="0" fontId="67" fillId="2" borderId="87" xfId="0" applyFont="1" applyFill="1" applyBorder="1" applyAlignment="1">
      <alignment horizontal="left" vertical="center" wrapText="1"/>
    </xf>
    <xf numFmtId="43" fontId="29" fillId="2" borderId="53" xfId="1" applyFont="1" applyFill="1" applyBorder="1" applyAlignment="1">
      <alignment horizontal="center" vertical="center"/>
    </xf>
    <xf numFmtId="43" fontId="29" fillId="2" borderId="61" xfId="1" applyFont="1" applyFill="1" applyBorder="1" applyAlignment="1">
      <alignment horizontal="center" vertical="center"/>
    </xf>
    <xf numFmtId="43" fontId="29" fillId="2" borderId="56" xfId="1" applyFont="1" applyFill="1" applyBorder="1" applyAlignment="1">
      <alignment horizontal="center" vertical="center"/>
    </xf>
    <xf numFmtId="43" fontId="29" fillId="2" borderId="60" xfId="1" applyFont="1" applyFill="1" applyBorder="1" applyAlignment="1">
      <alignment vertical="center"/>
    </xf>
    <xf numFmtId="43" fontId="29" fillId="2" borderId="61" xfId="1" applyFont="1" applyFill="1" applyBorder="1" applyAlignment="1">
      <alignment vertical="center"/>
    </xf>
    <xf numFmtId="43" fontId="29" fillId="2" borderId="52" xfId="1" applyFont="1" applyFill="1" applyBorder="1" applyAlignment="1">
      <alignment vertical="center"/>
    </xf>
    <xf numFmtId="43" fontId="29" fillId="2" borderId="58" xfId="1" applyFont="1" applyFill="1" applyBorder="1" applyAlignment="1">
      <alignment vertical="center"/>
    </xf>
    <xf numFmtId="43" fontId="74" fillId="2" borderId="18" xfId="1" applyFont="1" applyFill="1" applyBorder="1" applyAlignment="1">
      <alignment horizontal="center" vertical="center" wrapText="1"/>
    </xf>
    <xf numFmtId="2" fontId="81" fillId="2" borderId="19" xfId="2" applyNumberFormat="1" applyFont="1" applyFill="1" applyBorder="1" applyAlignment="1">
      <alignment horizontal="left" vertical="center"/>
    </xf>
    <xf numFmtId="2" fontId="81" fillId="2" borderId="76" xfId="2" applyNumberFormat="1" applyFont="1" applyFill="1" applyBorder="1" applyAlignment="1">
      <alignment horizontal="left" vertical="center"/>
    </xf>
    <xf numFmtId="0" fontId="105" fillId="2" borderId="18" xfId="2" applyFont="1" applyFill="1" applyBorder="1" applyAlignment="1">
      <alignment horizontal="center" vertical="center"/>
    </xf>
    <xf numFmtId="0" fontId="98" fillId="2" borderId="0" xfId="2" applyFont="1" applyFill="1" applyBorder="1" applyAlignment="1">
      <alignment horizontal="center" vertical="center"/>
    </xf>
    <xf numFmtId="2" fontId="98" fillId="2" borderId="0" xfId="2" applyNumberFormat="1" applyFont="1" applyFill="1" applyBorder="1" applyAlignment="1">
      <alignment horizontal="left" vertical="center"/>
    </xf>
    <xf numFmtId="0" fontId="98" fillId="2" borderId="18" xfId="2" applyFont="1" applyFill="1" applyBorder="1" applyAlignment="1">
      <alignment horizontal="center" vertical="center"/>
    </xf>
    <xf numFmtId="43" fontId="98" fillId="2" borderId="0" xfId="1" applyFont="1" applyFill="1" applyBorder="1" applyAlignment="1">
      <alignment horizontal="center" vertical="center" wrapText="1"/>
    </xf>
    <xf numFmtId="43" fontId="98" fillId="2" borderId="18" xfId="1" applyFont="1" applyFill="1" applyBorder="1" applyAlignment="1">
      <alignment horizontal="center" vertical="center" wrapText="1"/>
    </xf>
    <xf numFmtId="43" fontId="98" fillId="2" borderId="19" xfId="1" applyFont="1" applyFill="1" applyBorder="1" applyAlignment="1">
      <alignment horizontal="center" vertical="center" wrapText="1"/>
    </xf>
    <xf numFmtId="43" fontId="98" fillId="2" borderId="0" xfId="1" applyFont="1" applyFill="1" applyBorder="1" applyAlignment="1">
      <alignment horizontal="center" vertical="center"/>
    </xf>
    <xf numFmtId="0" fontId="104" fillId="2" borderId="0" xfId="0" applyFont="1" applyFill="1" applyAlignment="1">
      <alignment vertical="center"/>
    </xf>
    <xf numFmtId="2" fontId="104" fillId="2" borderId="0" xfId="0" applyNumberFormat="1" applyFont="1" applyFill="1" applyBorder="1" applyAlignment="1">
      <alignment horizontal="left" vertical="center"/>
    </xf>
    <xf numFmtId="43" fontId="104" fillId="2" borderId="18" xfId="1" applyFont="1" applyFill="1" applyBorder="1" applyAlignment="1">
      <alignment vertical="center" wrapText="1"/>
    </xf>
    <xf numFmtId="0" fontId="104" fillId="2" borderId="0" xfId="0" applyFont="1" applyFill="1" applyBorder="1" applyAlignment="1">
      <alignment horizontal="center" vertical="center"/>
    </xf>
    <xf numFmtId="0" fontId="104" fillId="2" borderId="18" xfId="0" applyFont="1" applyFill="1" applyBorder="1" applyAlignment="1">
      <alignment horizontal="center" vertical="center"/>
    </xf>
    <xf numFmtId="0" fontId="98" fillId="2" borderId="17" xfId="0" applyFont="1" applyFill="1" applyBorder="1" applyAlignment="1">
      <alignment horizontal="center" vertical="center"/>
    </xf>
    <xf numFmtId="0" fontId="104" fillId="2" borderId="17" xfId="0" applyFont="1" applyFill="1" applyBorder="1" applyAlignment="1">
      <alignment vertical="center"/>
    </xf>
    <xf numFmtId="43" fontId="104" fillId="2" borderId="0" xfId="1" applyFont="1" applyFill="1" applyBorder="1" applyAlignment="1">
      <alignment vertical="center" wrapText="1"/>
    </xf>
    <xf numFmtId="43" fontId="104" fillId="2" borderId="19" xfId="1" applyFont="1" applyFill="1" applyBorder="1" applyAlignment="1">
      <alignment vertical="center" wrapText="1"/>
    </xf>
    <xf numFmtId="2" fontId="98" fillId="2" borderId="18" xfId="0" applyNumberFormat="1" applyFont="1" applyFill="1" applyBorder="1" applyAlignment="1">
      <alignment vertical="center"/>
    </xf>
    <xf numFmtId="43" fontId="98" fillId="2" borderId="0" xfId="1" applyFont="1" applyFill="1" applyBorder="1" applyAlignment="1">
      <alignment vertical="center"/>
    </xf>
    <xf numFmtId="0" fontId="98" fillId="2" borderId="0" xfId="0" applyFont="1" applyFill="1" applyBorder="1" applyAlignment="1">
      <alignment vertical="center"/>
    </xf>
    <xf numFmtId="2" fontId="104" fillId="2" borderId="19" xfId="0" applyNumberFormat="1" applyFont="1" applyFill="1" applyBorder="1" applyAlignment="1">
      <alignment horizontal="left" vertical="center"/>
    </xf>
    <xf numFmtId="0" fontId="104" fillId="2" borderId="0" xfId="0" applyFont="1" applyFill="1" applyBorder="1" applyAlignment="1">
      <alignment vertical="center"/>
    </xf>
    <xf numFmtId="0" fontId="80" fillId="2" borderId="0" xfId="2" applyFont="1" applyFill="1" applyBorder="1" applyAlignment="1">
      <alignment horizontal="left" vertical="center"/>
    </xf>
    <xf numFmtId="0" fontId="75" fillId="2" borderId="18" xfId="0" applyFont="1" applyFill="1" applyBorder="1" applyAlignment="1">
      <alignment horizontal="center" vertical="center"/>
    </xf>
    <xf numFmtId="2" fontId="74" fillId="2" borderId="19" xfId="2" applyNumberFormat="1" applyFont="1" applyFill="1" applyBorder="1" applyAlignment="1">
      <alignment horizontal="center" vertical="center"/>
    </xf>
    <xf numFmtId="2" fontId="74" fillId="2" borderId="0" xfId="2" applyNumberFormat="1" applyFont="1" applyFill="1" applyBorder="1" applyAlignment="1">
      <alignment horizontal="center" vertical="center"/>
    </xf>
    <xf numFmtId="43" fontId="74" fillId="2" borderId="17" xfId="1" applyFont="1" applyFill="1" applyBorder="1" applyAlignment="1">
      <alignment vertical="center" wrapText="1"/>
    </xf>
    <xf numFmtId="180" fontId="74" fillId="2" borderId="19" xfId="1" applyNumberFormat="1" applyFont="1" applyFill="1" applyBorder="1" applyAlignment="1">
      <alignment horizontal="right" vertical="center" wrapText="1"/>
    </xf>
    <xf numFmtId="184" fontId="74" fillId="2" borderId="19" xfId="677" applyNumberFormat="1" applyFont="1" applyFill="1" applyBorder="1" applyAlignment="1">
      <alignment horizontal="right" vertical="center" wrapText="1"/>
    </xf>
    <xf numFmtId="10" fontId="74" fillId="2" borderId="19" xfId="677" applyNumberFormat="1" applyFont="1" applyFill="1" applyBorder="1" applyAlignment="1">
      <alignment horizontal="right" vertical="center" wrapText="1"/>
    </xf>
    <xf numFmtId="0" fontId="74" fillId="2" borderId="17" xfId="0" applyFont="1" applyFill="1" applyBorder="1" applyAlignment="1">
      <alignment horizontal="left" vertical="center"/>
    </xf>
    <xf numFmtId="2" fontId="74" fillId="2" borderId="18" xfId="0" applyNumberFormat="1" applyFont="1" applyFill="1" applyBorder="1" applyAlignment="1">
      <alignment vertical="center"/>
    </xf>
    <xf numFmtId="2" fontId="74" fillId="2" borderId="19" xfId="0" applyNumberFormat="1" applyFont="1" applyFill="1" applyBorder="1" applyAlignment="1">
      <alignment horizontal="left" vertical="center"/>
    </xf>
    <xf numFmtId="2" fontId="74" fillId="2" borderId="88" xfId="0" applyNumberFormat="1" applyFont="1" applyFill="1" applyBorder="1" applyAlignment="1">
      <alignment horizontal="left" vertical="center"/>
    </xf>
    <xf numFmtId="2" fontId="74" fillId="2" borderId="24" xfId="0" applyNumberFormat="1" applyFont="1" applyFill="1" applyBorder="1" applyAlignment="1">
      <alignment horizontal="left" vertical="center"/>
    </xf>
    <xf numFmtId="0" fontId="74" fillId="2" borderId="23" xfId="0" applyFont="1" applyFill="1" applyBorder="1" applyAlignment="1">
      <alignment vertical="center"/>
    </xf>
    <xf numFmtId="2" fontId="98" fillId="2" borderId="19" xfId="2" applyNumberFormat="1" applyFont="1" applyFill="1" applyBorder="1" applyAlignment="1">
      <alignment horizontal="left" vertical="center"/>
    </xf>
    <xf numFmtId="0" fontId="74" fillId="2" borderId="17" xfId="0" applyFont="1" applyFill="1" applyBorder="1" applyAlignment="1">
      <alignment horizontal="right" vertical="center"/>
    </xf>
    <xf numFmtId="0" fontId="26" fillId="0" borderId="0" xfId="0" applyFont="1" applyFill="1" applyAlignment="1"/>
    <xf numFmtId="0" fontId="74" fillId="2" borderId="89" xfId="0" applyFont="1" applyFill="1" applyBorder="1" applyAlignment="1">
      <alignment vertical="center"/>
    </xf>
    <xf numFmtId="0" fontId="74" fillId="2" borderId="90" xfId="0" applyFont="1" applyFill="1" applyBorder="1" applyAlignment="1">
      <alignment horizontal="center" vertical="center"/>
    </xf>
    <xf numFmtId="2" fontId="74" fillId="2" borderId="91" xfId="0" applyNumberFormat="1" applyFont="1" applyFill="1" applyBorder="1" applyAlignment="1">
      <alignment horizontal="left" vertical="center"/>
    </xf>
    <xf numFmtId="0" fontId="69" fillId="0" borderId="95" xfId="0" applyFont="1" applyFill="1" applyBorder="1" applyAlignment="1">
      <alignment horizontal="center" vertical="center"/>
    </xf>
    <xf numFmtId="0" fontId="67" fillId="2" borderId="74" xfId="0" applyFont="1" applyFill="1" applyBorder="1" applyAlignment="1">
      <alignment horizontal="center" vertical="center" wrapText="1"/>
    </xf>
    <xf numFmtId="0" fontId="75" fillId="2" borderId="19" xfId="2" applyFont="1" applyFill="1" applyBorder="1" applyAlignment="1">
      <alignment horizontal="center" vertical="center"/>
    </xf>
    <xf numFmtId="0" fontId="74" fillId="2" borderId="24" xfId="0" applyFont="1" applyFill="1" applyBorder="1" applyAlignment="1">
      <alignment horizontal="center" vertical="center"/>
    </xf>
    <xf numFmtId="0" fontId="74" fillId="2" borderId="19" xfId="0" applyFont="1" applyFill="1" applyBorder="1" applyAlignment="1">
      <alignment horizontal="center" vertical="center"/>
    </xf>
    <xf numFmtId="168" fontId="75" fillId="2" borderId="21" xfId="1" applyNumberFormat="1" applyFont="1" applyFill="1" applyBorder="1" applyAlignment="1">
      <alignment vertical="center"/>
    </xf>
    <xf numFmtId="0" fontId="74" fillId="2" borderId="18" xfId="677" applyNumberFormat="1" applyFont="1" applyFill="1" applyBorder="1" applyAlignment="1">
      <alignment horizontal="center" vertical="center"/>
    </xf>
    <xf numFmtId="2" fontId="75" fillId="2" borderId="17" xfId="0" applyNumberFormat="1" applyFont="1" applyFill="1" applyBorder="1" applyAlignment="1">
      <alignment vertical="center"/>
    </xf>
    <xf numFmtId="43" fontId="75" fillId="2" borderId="25" xfId="1" applyFont="1" applyFill="1" applyBorder="1" applyAlignment="1">
      <alignment vertical="center"/>
    </xf>
    <xf numFmtId="0" fontId="74" fillId="2" borderId="18" xfId="0" applyFont="1" applyFill="1" applyBorder="1" applyAlignment="1">
      <alignment horizontal="left" vertical="center"/>
    </xf>
    <xf numFmtId="0" fontId="75" fillId="2" borderId="19" xfId="0" applyFont="1" applyFill="1" applyBorder="1" applyAlignment="1">
      <alignment vertical="center"/>
    </xf>
    <xf numFmtId="43" fontId="75" fillId="2" borderId="20" xfId="1" applyFont="1" applyFill="1" applyBorder="1" applyAlignment="1">
      <alignment vertical="center"/>
    </xf>
    <xf numFmtId="43" fontId="74" fillId="2" borderId="18" xfId="1" applyFont="1" applyFill="1" applyBorder="1" applyAlignment="1">
      <alignment vertical="center"/>
    </xf>
    <xf numFmtId="2" fontId="74" fillId="2" borderId="0" xfId="0" applyNumberFormat="1" applyFont="1" applyFill="1" applyAlignment="1">
      <alignment vertical="center"/>
    </xf>
    <xf numFmtId="43" fontId="74" fillId="2" borderId="18" xfId="1" applyNumberFormat="1" applyFont="1" applyFill="1" applyBorder="1" applyAlignment="1">
      <alignment vertical="center" wrapText="1"/>
    </xf>
    <xf numFmtId="168" fontId="74" fillId="2" borderId="18" xfId="1" applyNumberFormat="1" applyFont="1" applyFill="1" applyBorder="1" applyAlignment="1">
      <alignment vertical="center" wrapText="1"/>
    </xf>
    <xf numFmtId="43" fontId="75" fillId="2" borderId="22" xfId="1" applyFont="1" applyFill="1" applyBorder="1" applyAlignment="1">
      <alignment horizontal="center" vertical="center" wrapText="1"/>
    </xf>
    <xf numFmtId="0" fontId="67" fillId="0" borderId="87" xfId="0" applyFont="1" applyFill="1" applyBorder="1" applyAlignment="1">
      <alignment horizontal="center" vertical="center" wrapText="1"/>
    </xf>
    <xf numFmtId="43" fontId="67" fillId="0" borderId="87" xfId="1" applyFont="1" applyFill="1" applyBorder="1" applyAlignment="1">
      <alignment horizontal="right" vertical="center" wrapText="1"/>
    </xf>
    <xf numFmtId="0" fontId="67" fillId="0" borderId="74" xfId="0" applyFont="1" applyFill="1" applyBorder="1" applyAlignment="1">
      <alignment horizontal="center" vertical="center" wrapText="1"/>
    </xf>
    <xf numFmtId="43" fontId="67" fillId="0" borderId="74" xfId="1" applyFont="1" applyFill="1" applyBorder="1" applyAlignment="1">
      <alignment horizontal="right" vertical="center" wrapText="1"/>
    </xf>
    <xf numFmtId="0" fontId="67" fillId="0" borderId="74" xfId="0" applyFont="1" applyFill="1" applyBorder="1" applyAlignment="1">
      <alignment horizontal="left" vertical="center" wrapText="1"/>
    </xf>
    <xf numFmtId="0" fontId="67" fillId="0" borderId="87" xfId="0" applyFont="1" applyFill="1" applyBorder="1" applyAlignment="1">
      <alignment horizontal="left" vertical="center" wrapText="1"/>
    </xf>
    <xf numFmtId="0" fontId="67" fillId="0" borderId="58" xfId="0" applyFont="1" applyFill="1" applyBorder="1" applyAlignment="1">
      <alignment horizontal="center" vertical="center" wrapText="1"/>
    </xf>
    <xf numFmtId="43" fontId="67" fillId="0" borderId="58" xfId="1" applyFont="1" applyFill="1" applyBorder="1" applyAlignment="1">
      <alignment horizontal="right" vertical="center"/>
    </xf>
    <xf numFmtId="0" fontId="74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82" fillId="2" borderId="0" xfId="0" applyFont="1" applyFill="1" applyAlignment="1">
      <alignment horizontal="center" vertical="center"/>
    </xf>
    <xf numFmtId="0" fontId="104" fillId="2" borderId="0" xfId="0" applyFont="1" applyFill="1" applyAlignment="1">
      <alignment horizontal="center" vertical="center"/>
    </xf>
    <xf numFmtId="0" fontId="98" fillId="2" borderId="0" xfId="0" applyFont="1" applyFill="1" applyBorder="1" applyAlignment="1">
      <alignment horizontal="center" vertical="center"/>
    </xf>
    <xf numFmtId="0" fontId="107" fillId="2" borderId="0" xfId="0" applyFont="1" applyFill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2" fontId="74" fillId="2" borderId="0" xfId="0" applyNumberFormat="1" applyFont="1" applyFill="1" applyAlignment="1">
      <alignment horizontal="center" vertical="center"/>
    </xf>
    <xf numFmtId="181" fontId="34" fillId="0" borderId="62" xfId="1" applyNumberFormat="1" applyFont="1" applyFill="1" applyBorder="1"/>
    <xf numFmtId="43" fontId="75" fillId="2" borderId="21" xfId="1" applyFont="1" applyFill="1" applyBorder="1" applyAlignment="1">
      <alignment vertical="center" wrapText="1"/>
    </xf>
    <xf numFmtId="43" fontId="75" fillId="2" borderId="22" xfId="1" quotePrefix="1" applyFont="1" applyFill="1" applyBorder="1" applyAlignment="1">
      <alignment horizontal="center" vertical="center" wrapText="1"/>
    </xf>
    <xf numFmtId="164" fontId="75" fillId="2" borderId="0" xfId="0" applyNumberFormat="1" applyFont="1" applyFill="1" applyAlignment="1">
      <alignment horizontal="center" vertical="center"/>
    </xf>
    <xf numFmtId="0" fontId="74" fillId="2" borderId="25" xfId="0" applyFont="1" applyFill="1" applyBorder="1" applyAlignment="1">
      <alignment vertical="center"/>
    </xf>
    <xf numFmtId="43" fontId="75" fillId="2" borderId="21" xfId="1" applyNumberFormat="1" applyFont="1" applyFill="1" applyBorder="1" applyAlignment="1">
      <alignment vertical="center"/>
    </xf>
    <xf numFmtId="2" fontId="74" fillId="2" borderId="18" xfId="1" applyNumberFormat="1" applyFont="1" applyFill="1" applyBorder="1" applyAlignment="1">
      <alignment horizontal="center" vertical="center" wrapText="1"/>
    </xf>
    <xf numFmtId="2" fontId="75" fillId="2" borderId="21" xfId="1" applyNumberFormat="1" applyFont="1" applyFill="1" applyBorder="1" applyAlignment="1">
      <alignment horizontal="center" vertical="center" wrapText="1"/>
    </xf>
    <xf numFmtId="43" fontId="77" fillId="2" borderId="96" xfId="1" applyFont="1" applyFill="1" applyBorder="1" applyAlignment="1">
      <alignment horizontal="center" vertical="center"/>
    </xf>
    <xf numFmtId="43" fontId="77" fillId="2" borderId="97" xfId="1" applyFont="1" applyFill="1" applyBorder="1" applyAlignment="1">
      <alignment horizontal="center" vertical="center"/>
    </xf>
    <xf numFmtId="4" fontId="96" fillId="2" borderId="0" xfId="0" applyNumberFormat="1" applyFont="1" applyFill="1"/>
    <xf numFmtId="4" fontId="97" fillId="2" borderId="0" xfId="0" applyNumberFormat="1" applyFont="1" applyFill="1"/>
    <xf numFmtId="0" fontId="35" fillId="58" borderId="27" xfId="0" applyFont="1" applyFill="1" applyBorder="1" applyAlignment="1">
      <alignment horizontal="center" vertical="center"/>
    </xf>
    <xf numFmtId="0" fontId="86" fillId="0" borderId="27" xfId="0" applyFont="1" applyFill="1" applyBorder="1" applyAlignment="1">
      <alignment horizontal="center" vertical="center"/>
    </xf>
    <xf numFmtId="49" fontId="29" fillId="2" borderId="0" xfId="677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/>
    </xf>
    <xf numFmtId="43" fontId="86" fillId="0" borderId="4" xfId="1" applyFont="1" applyFill="1" applyBorder="1" applyAlignment="1">
      <alignment horizontal="center" vertical="center"/>
    </xf>
    <xf numFmtId="0" fontId="86" fillId="0" borderId="27" xfId="0" applyFont="1" applyFill="1" applyBorder="1" applyAlignment="1">
      <alignment horizontal="center" vertical="center"/>
    </xf>
    <xf numFmtId="0" fontId="75" fillId="2" borderId="31" xfId="2" applyFont="1" applyFill="1" applyBorder="1" applyAlignment="1">
      <alignment horizontal="center" vertical="center" wrapText="1"/>
    </xf>
    <xf numFmtId="164" fontId="75" fillId="2" borderId="0" xfId="45287" applyFont="1" applyFill="1" applyBorder="1" applyAlignment="1">
      <alignment vertical="center"/>
    </xf>
    <xf numFmtId="0" fontId="81" fillId="2" borderId="17" xfId="2" applyFont="1" applyFill="1" applyBorder="1" applyAlignment="1">
      <alignment horizontal="left" vertical="center"/>
    </xf>
    <xf numFmtId="0" fontId="74" fillId="2" borderId="18" xfId="0" applyFont="1" applyFill="1" applyBorder="1" applyAlignment="1">
      <alignment horizontal="center" vertical="center" wrapText="1"/>
    </xf>
    <xf numFmtId="183" fontId="75" fillId="2" borderId="0" xfId="0" applyNumberFormat="1" applyFont="1" applyFill="1" applyBorder="1" applyAlignment="1">
      <alignment vertical="center"/>
    </xf>
    <xf numFmtId="167" fontId="74" fillId="2" borderId="0" xfId="0" applyNumberFormat="1" applyFont="1" applyFill="1" applyBorder="1" applyAlignment="1">
      <alignment horizontal="center" vertical="center"/>
    </xf>
    <xf numFmtId="164" fontId="75" fillId="2" borderId="0" xfId="45287" applyFont="1" applyFill="1" applyBorder="1" applyAlignment="1">
      <alignment horizontal="center" vertical="center"/>
    </xf>
    <xf numFmtId="0" fontId="75" fillId="2" borderId="17" xfId="0" applyFont="1" applyFill="1" applyBorder="1" applyAlignment="1">
      <alignment horizontal="left" vertical="center" wrapText="1"/>
    </xf>
    <xf numFmtId="182" fontId="74" fillId="2" borderId="0" xfId="0" applyNumberFormat="1" applyFont="1" applyFill="1" applyBorder="1" applyAlignment="1">
      <alignment horizontal="center" vertical="center"/>
    </xf>
    <xf numFmtId="182" fontId="74" fillId="2" borderId="0" xfId="0" applyNumberFormat="1" applyFont="1" applyFill="1" applyBorder="1" applyAlignment="1">
      <alignment vertical="center"/>
    </xf>
    <xf numFmtId="43" fontId="75" fillId="2" borderId="21" xfId="1" applyFont="1" applyFill="1" applyBorder="1" applyAlignment="1">
      <alignment horizontal="right" vertical="center"/>
    </xf>
    <xf numFmtId="164" fontId="74" fillId="2" borderId="0" xfId="45287" applyFont="1" applyFill="1" applyBorder="1" applyAlignment="1">
      <alignment vertical="center"/>
    </xf>
    <xf numFmtId="164" fontId="98" fillId="2" borderId="0" xfId="45287" applyFont="1" applyFill="1" applyBorder="1" applyAlignment="1">
      <alignment vertical="center"/>
    </xf>
    <xf numFmtId="0" fontId="74" fillId="2" borderId="18" xfId="2" applyFont="1" applyFill="1" applyBorder="1" applyAlignment="1">
      <alignment vertical="center"/>
    </xf>
    <xf numFmtId="0" fontId="75" fillId="2" borderId="17" xfId="0" applyFont="1" applyFill="1" applyBorder="1" applyAlignment="1">
      <alignment vertical="center"/>
    </xf>
    <xf numFmtId="2" fontId="75" fillId="2" borderId="0" xfId="0" applyNumberFormat="1" applyFont="1" applyFill="1" applyBorder="1" applyAlignment="1">
      <alignment horizontal="left" vertical="center"/>
    </xf>
    <xf numFmtId="0" fontId="74" fillId="2" borderId="17" xfId="2" applyFont="1" applyFill="1" applyBorder="1" applyAlignment="1">
      <alignment vertical="center"/>
    </xf>
    <xf numFmtId="0" fontId="74" fillId="2" borderId="0" xfId="2" applyFont="1" applyFill="1" applyBorder="1" applyAlignment="1">
      <alignment vertical="center"/>
    </xf>
    <xf numFmtId="0" fontId="74" fillId="2" borderId="19" xfId="2" applyFont="1" applyFill="1" applyBorder="1" applyAlignment="1">
      <alignment vertical="center"/>
    </xf>
    <xf numFmtId="0" fontId="74" fillId="2" borderId="31" xfId="2" applyFont="1" applyFill="1" applyBorder="1" applyAlignment="1">
      <alignment vertical="center"/>
    </xf>
    <xf numFmtId="0" fontId="74" fillId="2" borderId="30" xfId="2" applyFont="1" applyFill="1" applyBorder="1" applyAlignment="1">
      <alignment vertical="center"/>
    </xf>
    <xf numFmtId="0" fontId="74" fillId="2" borderId="88" xfId="2" applyFont="1" applyFill="1" applyBorder="1" applyAlignment="1">
      <alignment vertical="center"/>
    </xf>
    <xf numFmtId="0" fontId="74" fillId="64" borderId="18" xfId="0" applyFont="1" applyFill="1" applyBorder="1" applyAlignment="1">
      <alignment horizontal="center"/>
    </xf>
    <xf numFmtId="43" fontId="74" fillId="2" borderId="18" xfId="1" applyFont="1" applyFill="1" applyBorder="1" applyAlignment="1">
      <alignment horizontal="center" vertical="center"/>
    </xf>
    <xf numFmtId="167" fontId="74" fillId="2" borderId="0" xfId="0" applyNumberFormat="1" applyFont="1" applyFill="1" applyBorder="1" applyAlignment="1">
      <alignment vertical="center"/>
    </xf>
    <xf numFmtId="168" fontId="74" fillId="2" borderId="19" xfId="1" applyNumberFormat="1" applyFont="1" applyFill="1" applyBorder="1" applyAlignment="1">
      <alignment vertical="center" wrapText="1"/>
    </xf>
    <xf numFmtId="43" fontId="74" fillId="2" borderId="18" xfId="1" applyFont="1" applyFill="1" applyBorder="1" applyAlignment="1">
      <alignment horizontal="right" vertical="center"/>
    </xf>
    <xf numFmtId="2" fontId="74" fillId="2" borderId="18" xfId="2" applyNumberFormat="1" applyFont="1" applyFill="1" applyBorder="1" applyAlignment="1">
      <alignment horizontal="center" vertical="center" wrapText="1"/>
    </xf>
    <xf numFmtId="188" fontId="74" fillId="2" borderId="18" xfId="1" applyNumberFormat="1" applyFont="1" applyFill="1" applyBorder="1" applyAlignment="1">
      <alignment horizontal="center" vertical="center"/>
    </xf>
    <xf numFmtId="180" fontId="74" fillId="2" borderId="0" xfId="1" applyNumberFormat="1" applyFont="1" applyFill="1" applyBorder="1" applyAlignment="1">
      <alignment horizontal="center" vertical="center" wrapText="1"/>
    </xf>
    <xf numFmtId="167" fontId="74" fillId="2" borderId="18" xfId="0" applyNumberFormat="1" applyFont="1" applyFill="1" applyBorder="1" applyAlignment="1">
      <alignment vertical="center"/>
    </xf>
    <xf numFmtId="49" fontId="74" fillId="2" borderId="19" xfId="1" applyNumberFormat="1" applyFont="1" applyFill="1" applyBorder="1" applyAlignment="1">
      <alignment horizontal="right" vertical="center" wrapText="1"/>
    </xf>
    <xf numFmtId="0" fontId="74" fillId="2" borderId="17" xfId="0" applyFont="1" applyFill="1" applyBorder="1" applyAlignment="1">
      <alignment horizontal="center" vertical="center"/>
    </xf>
    <xf numFmtId="2" fontId="74" fillId="2" borderId="18" xfId="0" applyNumberFormat="1" applyFont="1" applyFill="1" applyBorder="1" applyAlignment="1">
      <alignment horizontal="left" vertical="center"/>
    </xf>
    <xf numFmtId="164" fontId="75" fillId="57" borderId="0" xfId="45287" applyFont="1" applyFill="1" applyBorder="1" applyAlignment="1">
      <alignment vertical="center"/>
    </xf>
    <xf numFmtId="0" fontId="74" fillId="57" borderId="0" xfId="0" applyFont="1" applyFill="1" applyAlignment="1">
      <alignment vertical="center"/>
    </xf>
    <xf numFmtId="0" fontId="79" fillId="57" borderId="0" xfId="0" applyFont="1" applyFill="1" applyBorder="1" applyAlignment="1">
      <alignment vertical="center"/>
    </xf>
    <xf numFmtId="43" fontId="74" fillId="2" borderId="18" xfId="1" applyFont="1" applyFill="1" applyBorder="1" applyAlignment="1">
      <alignment horizontal="left" vertical="center"/>
    </xf>
    <xf numFmtId="49" fontId="74" fillId="2" borderId="19" xfId="1" applyNumberFormat="1" applyFont="1" applyFill="1" applyBorder="1" applyAlignment="1">
      <alignment horizontal="center" vertical="center" wrapText="1"/>
    </xf>
    <xf numFmtId="0" fontId="75" fillId="2" borderId="17" xfId="0" applyFont="1" applyFill="1" applyBorder="1" applyAlignment="1">
      <alignment horizontal="left" vertical="center"/>
    </xf>
    <xf numFmtId="0" fontId="75" fillId="57" borderId="0" xfId="0" applyFont="1" applyFill="1" applyAlignment="1">
      <alignment vertical="center"/>
    </xf>
    <xf numFmtId="2" fontId="74" fillId="2" borderId="17" xfId="2" applyNumberFormat="1" applyFont="1" applyFill="1" applyBorder="1" applyAlignment="1">
      <alignment horizontal="center" vertical="center"/>
    </xf>
    <xf numFmtId="43" fontId="74" fillId="2" borderId="18" xfId="1" applyNumberFormat="1" applyFont="1" applyFill="1" applyBorder="1" applyAlignment="1">
      <alignment horizontal="center" vertical="center" wrapText="1"/>
    </xf>
    <xf numFmtId="2" fontId="74" fillId="2" borderId="0" xfId="2" applyNumberFormat="1" applyFont="1" applyFill="1" applyBorder="1" applyAlignment="1">
      <alignment vertical="center"/>
    </xf>
    <xf numFmtId="164" fontId="75" fillId="2" borderId="0" xfId="45287" applyNumberFormat="1" applyFont="1" applyFill="1" applyBorder="1" applyAlignment="1">
      <alignment horizontal="center" vertical="center"/>
    </xf>
    <xf numFmtId="0" fontId="74" fillId="2" borderId="98" xfId="2" applyFont="1" applyFill="1" applyBorder="1" applyAlignment="1">
      <alignment horizontal="center" vertical="center"/>
    </xf>
    <xf numFmtId="187" fontId="74" fillId="2" borderId="0" xfId="1" applyNumberFormat="1" applyFont="1" applyFill="1" applyBorder="1" applyAlignment="1">
      <alignment horizontal="center" vertical="center" wrapText="1"/>
    </xf>
    <xf numFmtId="0" fontId="74" fillId="2" borderId="18" xfId="2" applyFont="1" applyFill="1" applyBorder="1" applyAlignment="1">
      <alignment horizontal="center" vertical="center" wrapText="1"/>
    </xf>
    <xf numFmtId="2" fontId="74" fillId="2" borderId="17" xfId="2" applyNumberFormat="1" applyFont="1" applyFill="1" applyBorder="1" applyAlignment="1">
      <alignment horizontal="right" vertical="center" wrapText="1"/>
    </xf>
    <xf numFmtId="187" fontId="74" fillId="2" borderId="18" xfId="1" applyNumberFormat="1" applyFont="1" applyFill="1" applyBorder="1" applyAlignment="1">
      <alignment horizontal="center" vertical="center" wrapText="1"/>
    </xf>
    <xf numFmtId="2" fontId="74" fillId="2" borderId="99" xfId="2" applyNumberFormat="1" applyFont="1" applyFill="1" applyBorder="1" applyAlignment="1">
      <alignment horizontal="center" vertical="center"/>
    </xf>
    <xf numFmtId="43" fontId="74" fillId="2" borderId="31" xfId="1" applyFont="1" applyFill="1" applyBorder="1" applyAlignment="1">
      <alignment horizontal="center" vertical="center"/>
    </xf>
    <xf numFmtId="43" fontId="74" fillId="2" borderId="30" xfId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/>
    </xf>
    <xf numFmtId="0" fontId="29" fillId="2" borderId="50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/>
    </xf>
    <xf numFmtId="0" fontId="42" fillId="57" borderId="0" xfId="0" applyFont="1" applyFill="1"/>
    <xf numFmtId="0" fontId="0" fillId="57" borderId="0" xfId="0" applyFill="1"/>
    <xf numFmtId="0" fontId="29" fillId="2" borderId="51" xfId="0" applyFont="1" applyFill="1" applyBorder="1" applyAlignment="1">
      <alignment horizontal="left" vertical="center" wrapText="1"/>
    </xf>
    <xf numFmtId="0" fontId="29" fillId="2" borderId="57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/>
    </xf>
    <xf numFmtId="0" fontId="43" fillId="2" borderId="50" xfId="0" applyFont="1" applyFill="1" applyBorder="1" applyAlignment="1">
      <alignment horizontal="left" vertical="center"/>
    </xf>
    <xf numFmtId="0" fontId="42" fillId="2" borderId="58" xfId="0" applyFont="1" applyFill="1" applyBorder="1" applyAlignment="1">
      <alignment horizontal="center" vertical="center"/>
    </xf>
    <xf numFmtId="0" fontId="42" fillId="2" borderId="56" xfId="0" applyFont="1" applyFill="1" applyBorder="1" applyAlignment="1">
      <alignment horizontal="left" vertical="center"/>
    </xf>
    <xf numFmtId="0" fontId="28" fillId="2" borderId="57" xfId="0" applyFont="1" applyFill="1" applyBorder="1" applyAlignment="1">
      <alignment horizontal="left" vertical="justify" wrapText="1"/>
    </xf>
    <xf numFmtId="0" fontId="44" fillId="0" borderId="57" xfId="0" applyFont="1" applyFill="1" applyBorder="1" applyAlignment="1">
      <alignment horizontal="center" vertical="center"/>
    </xf>
    <xf numFmtId="1" fontId="109" fillId="0" borderId="100" xfId="0" applyNumberFormat="1" applyFont="1" applyFill="1" applyBorder="1" applyAlignment="1">
      <alignment horizontal="right" vertical="top" shrinkToFit="1"/>
    </xf>
    <xf numFmtId="2" fontId="109" fillId="0" borderId="100" xfId="0" applyNumberFormat="1" applyFont="1" applyFill="1" applyBorder="1" applyAlignment="1">
      <alignment horizontal="right" vertical="top" shrinkToFit="1"/>
    </xf>
    <xf numFmtId="4" fontId="109" fillId="0" borderId="100" xfId="0" applyNumberFormat="1" applyFont="1" applyFill="1" applyBorder="1" applyAlignment="1">
      <alignment horizontal="right" vertical="top" shrinkToFit="1"/>
    </xf>
    <xf numFmtId="0" fontId="69" fillId="0" borderId="0" xfId="0" applyFont="1" applyAlignment="1">
      <alignment horizontal="left"/>
    </xf>
    <xf numFmtId="0" fontId="64" fillId="0" borderId="0" xfId="0" applyFont="1" applyAlignment="1">
      <alignment horizontal="left" vertical="center"/>
    </xf>
    <xf numFmtId="0" fontId="67" fillId="0" borderId="0" xfId="0" applyFont="1" applyFill="1" applyBorder="1" applyAlignment="1">
      <alignment horizontal="left" vertical="top"/>
    </xf>
    <xf numFmtId="1" fontId="102" fillId="0" borderId="101" xfId="0" applyNumberFormat="1" applyFont="1" applyFill="1" applyBorder="1" applyAlignment="1">
      <alignment horizontal="left" vertical="top" shrinkToFit="1"/>
    </xf>
    <xf numFmtId="0" fontId="31" fillId="0" borderId="100" xfId="0" applyFont="1" applyFill="1" applyBorder="1" applyAlignment="1">
      <alignment horizontal="left" vertical="top" wrapText="1" indent="1"/>
    </xf>
    <xf numFmtId="0" fontId="31" fillId="0" borderId="100" xfId="0" applyFont="1" applyFill="1" applyBorder="1" applyAlignment="1">
      <alignment horizontal="center" vertical="top" wrapText="1"/>
    </xf>
    <xf numFmtId="2" fontId="102" fillId="0" borderId="100" xfId="0" applyNumberFormat="1" applyFont="1" applyFill="1" applyBorder="1" applyAlignment="1">
      <alignment horizontal="right" vertical="top" shrinkToFit="1"/>
    </xf>
    <xf numFmtId="4" fontId="102" fillId="0" borderId="100" xfId="0" applyNumberFormat="1" applyFont="1" applyFill="1" applyBorder="1" applyAlignment="1">
      <alignment horizontal="right" vertical="top" shrinkToFit="1"/>
    </xf>
    <xf numFmtId="0" fontId="0" fillId="0" borderId="0" xfId="0" applyBorder="1"/>
    <xf numFmtId="0" fontId="31" fillId="0" borderId="10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0" fillId="0" borderId="100" xfId="0" applyFill="1" applyBorder="1" applyAlignment="1">
      <alignment horizontal="left" vertical="top" wrapText="1"/>
    </xf>
    <xf numFmtId="0" fontId="69" fillId="2" borderId="0" xfId="0" applyFont="1" applyFill="1" applyAlignment="1">
      <alignment vertical="center"/>
    </xf>
    <xf numFmtId="1" fontId="73" fillId="0" borderId="100" xfId="0" applyNumberFormat="1" applyFont="1" applyFill="1" applyBorder="1" applyAlignment="1">
      <alignment horizontal="right" vertical="top" shrinkToFit="1"/>
    </xf>
    <xf numFmtId="0" fontId="67" fillId="0" borderId="100" xfId="0" applyFont="1" applyFill="1" applyBorder="1" applyAlignment="1">
      <alignment horizontal="left" vertical="top" wrapText="1"/>
    </xf>
    <xf numFmtId="167" fontId="71" fillId="2" borderId="0" xfId="0" applyNumberFormat="1" applyFont="1" applyFill="1" applyAlignment="1">
      <alignment vertical="center"/>
    </xf>
    <xf numFmtId="0" fontId="71" fillId="2" borderId="0" xfId="0" applyFont="1" applyFill="1" applyAlignment="1">
      <alignment vertical="center"/>
    </xf>
    <xf numFmtId="167" fontId="71" fillId="2" borderId="0" xfId="0" applyNumberFormat="1" applyFont="1" applyFill="1" applyBorder="1" applyAlignment="1">
      <alignment vertical="center"/>
    </xf>
    <xf numFmtId="0" fontId="71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/>
    </xf>
    <xf numFmtId="0" fontId="68" fillId="0" borderId="0" xfId="0" applyFont="1" applyAlignment="1">
      <alignment horizontal="left" vertical="center"/>
    </xf>
    <xf numFmtId="0" fontId="86" fillId="0" borderId="0" xfId="0" applyFont="1" applyFill="1" applyBorder="1" applyAlignment="1">
      <alignment horizontal="left"/>
    </xf>
    <xf numFmtId="0" fontId="86" fillId="0" borderId="0" xfId="0" applyFont="1" applyFill="1" applyBorder="1" applyAlignment="1"/>
    <xf numFmtId="0" fontId="86" fillId="0" borderId="0" xfId="0" applyFont="1" applyFill="1" applyBorder="1" applyAlignment="1">
      <alignment horizontal="center"/>
    </xf>
    <xf numFmtId="2" fontId="86" fillId="0" borderId="0" xfId="45287" applyNumberFormat="1" applyFont="1" applyFill="1" applyBorder="1" applyAlignment="1"/>
    <xf numFmtId="0" fontId="86" fillId="0" borderId="0" xfId="0" applyFont="1" applyFill="1" applyBorder="1" applyAlignment="1">
      <alignment horizontal="right"/>
    </xf>
    <xf numFmtId="0" fontId="86" fillId="0" borderId="0" xfId="0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center" vertical="center"/>
    </xf>
    <xf numFmtId="2" fontId="86" fillId="0" borderId="0" xfId="45287" applyNumberFormat="1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left"/>
    </xf>
    <xf numFmtId="0" fontId="74" fillId="0" borderId="100" xfId="0" applyFont="1" applyFill="1" applyBorder="1" applyAlignment="1">
      <alignment horizontal="left" vertical="top" wrapText="1"/>
    </xf>
    <xf numFmtId="0" fontId="74" fillId="0" borderId="100" xfId="0" applyFont="1" applyFill="1" applyBorder="1" applyAlignment="1">
      <alignment horizontal="center" vertical="top" wrapText="1"/>
    </xf>
    <xf numFmtId="0" fontId="87" fillId="0" borderId="100" xfId="0" applyFont="1" applyFill="1" applyBorder="1" applyAlignment="1">
      <alignment horizontal="left" wrapText="1"/>
    </xf>
    <xf numFmtId="0" fontId="87" fillId="0" borderId="100" xfId="0" applyFont="1" applyFill="1" applyBorder="1" applyAlignment="1">
      <alignment horizontal="left" vertical="top" wrapText="1"/>
    </xf>
    <xf numFmtId="0" fontId="87" fillId="0" borderId="10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/>
    </xf>
    <xf numFmtId="0" fontId="74" fillId="0" borderId="0" xfId="0" applyFont="1" applyFill="1" applyBorder="1" applyAlignment="1">
      <alignment horizontal="center" vertical="top"/>
    </xf>
    <xf numFmtId="2" fontId="74" fillId="0" borderId="0" xfId="45287" applyNumberFormat="1" applyFont="1" applyFill="1" applyBorder="1" applyAlignment="1">
      <alignment horizontal="right" vertical="top"/>
    </xf>
    <xf numFmtId="0" fontId="98" fillId="0" borderId="0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center" vertical="center"/>
    </xf>
    <xf numFmtId="2" fontId="87" fillId="0" borderId="0" xfId="45287" applyNumberFormat="1" applyFont="1" applyFill="1" applyBorder="1" applyAlignment="1"/>
    <xf numFmtId="189" fontId="0" fillId="0" borderId="0" xfId="0" applyNumberFormat="1" applyFill="1" applyBorder="1" applyAlignment="1">
      <alignment horizontal="left" vertical="top"/>
    </xf>
    <xf numFmtId="0" fontId="98" fillId="0" borderId="0" xfId="0" applyFont="1" applyFill="1" applyBorder="1" applyAlignment="1">
      <alignment vertical="top"/>
    </xf>
    <xf numFmtId="2" fontId="74" fillId="0" borderId="0" xfId="45287" applyNumberFormat="1" applyFont="1" applyFill="1" applyBorder="1" applyAlignment="1">
      <alignment horizontal="right" vertical="center"/>
    </xf>
    <xf numFmtId="0" fontId="98" fillId="0" borderId="0" xfId="0" applyFont="1" applyFill="1" applyBorder="1" applyAlignment="1">
      <alignment horizontal="left" vertical="top"/>
    </xf>
    <xf numFmtId="2" fontId="87" fillId="0" borderId="0" xfId="0" applyNumberFormat="1" applyFont="1" applyFill="1" applyBorder="1" applyAlignment="1"/>
    <xf numFmtId="0" fontId="87" fillId="0" borderId="0" xfId="0" applyFont="1" applyFill="1" applyBorder="1" applyAlignment="1">
      <alignment horizontal="left"/>
    </xf>
    <xf numFmtId="0" fontId="87" fillId="0" borderId="0" xfId="0" applyFont="1" applyFill="1" applyBorder="1" applyAlignment="1"/>
    <xf numFmtId="0" fontId="87" fillId="0" borderId="0" xfId="0" applyFont="1" applyFill="1" applyBorder="1" applyAlignment="1">
      <alignment horizontal="center"/>
    </xf>
    <xf numFmtId="1" fontId="102" fillId="0" borderId="101" xfId="0" applyNumberFormat="1" applyFont="1" applyFill="1" applyBorder="1" applyAlignment="1">
      <alignment horizontal="right" vertical="top" shrinkToFit="1"/>
    </xf>
    <xf numFmtId="0" fontId="0" fillId="0" borderId="100" xfId="0" applyFill="1" applyBorder="1" applyAlignment="1">
      <alignment horizontal="left" wrapText="1"/>
    </xf>
    <xf numFmtId="1" fontId="102" fillId="0" borderId="100" xfId="0" applyNumberFormat="1" applyFont="1" applyFill="1" applyBorder="1" applyAlignment="1">
      <alignment horizontal="right" vertical="top" shrinkToFit="1"/>
    </xf>
    <xf numFmtId="0" fontId="0" fillId="0" borderId="101" xfId="0" applyFill="1" applyBorder="1" applyAlignment="1">
      <alignment horizontal="left" wrapText="1"/>
    </xf>
    <xf numFmtId="0" fontId="64" fillId="0" borderId="0" xfId="0" applyFont="1" applyAlignment="1">
      <alignment horizontal="center" vertical="center"/>
    </xf>
    <xf numFmtId="167" fontId="69" fillId="2" borderId="0" xfId="0" applyNumberFormat="1" applyFont="1" applyFill="1" applyAlignment="1">
      <alignment vertical="center"/>
    </xf>
    <xf numFmtId="167" fontId="69" fillId="2" borderId="0" xfId="0" applyNumberFormat="1" applyFont="1" applyFill="1" applyBorder="1" applyAlignment="1">
      <alignment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/>
    </xf>
    <xf numFmtId="0" fontId="74" fillId="2" borderId="17" xfId="2" applyFont="1" applyFill="1" applyBorder="1" applyAlignment="1">
      <alignment horizontal="center" vertical="center"/>
    </xf>
    <xf numFmtId="0" fontId="74" fillId="2" borderId="0" xfId="2" applyFont="1" applyFill="1" applyBorder="1" applyAlignment="1">
      <alignment horizontal="center" vertical="center"/>
    </xf>
    <xf numFmtId="0" fontId="74" fillId="2" borderId="19" xfId="2" applyFont="1" applyFill="1" applyBorder="1" applyAlignment="1">
      <alignment horizontal="center" vertical="center"/>
    </xf>
    <xf numFmtId="0" fontId="74" fillId="2" borderId="0" xfId="2" applyFont="1" applyFill="1" applyBorder="1" applyAlignment="1">
      <alignment horizontal="center" vertical="center" wrapText="1"/>
    </xf>
    <xf numFmtId="0" fontId="74" fillId="2" borderId="19" xfId="2" applyFont="1" applyFill="1" applyBorder="1" applyAlignment="1">
      <alignment horizontal="center" vertical="center" wrapText="1"/>
    </xf>
    <xf numFmtId="43" fontId="74" fillId="2" borderId="18" xfId="1" applyFont="1" applyFill="1" applyBorder="1" applyAlignment="1">
      <alignment horizontal="right" vertical="center" wrapText="1"/>
    </xf>
    <xf numFmtId="43" fontId="74" fillId="2" borderId="18" xfId="1" applyFont="1" applyFill="1" applyBorder="1" applyAlignment="1">
      <alignment horizontal="center" vertical="center" wrapText="1"/>
    </xf>
    <xf numFmtId="43" fontId="74" fillId="2" borderId="17" xfId="1" applyFont="1" applyFill="1" applyBorder="1" applyAlignment="1">
      <alignment horizontal="left" vertical="center" wrapText="1"/>
    </xf>
    <xf numFmtId="43" fontId="74" fillId="2" borderId="0" xfId="1" applyFont="1" applyFill="1" applyBorder="1" applyAlignment="1">
      <alignment horizontal="left" vertical="center" wrapText="1"/>
    </xf>
    <xf numFmtId="43" fontId="74" fillId="2" borderId="17" xfId="1" applyFont="1" applyFill="1" applyBorder="1" applyAlignment="1">
      <alignment horizontal="center" vertical="center"/>
    </xf>
    <xf numFmtId="43" fontId="74" fillId="2" borderId="0" xfId="1" applyFont="1" applyFill="1" applyBorder="1" applyAlignment="1">
      <alignment horizontal="center" vertical="center"/>
    </xf>
    <xf numFmtId="43" fontId="74" fillId="2" borderId="17" xfId="1" applyFont="1" applyFill="1" applyBorder="1" applyAlignment="1">
      <alignment horizontal="left" vertical="center"/>
    </xf>
    <xf numFmtId="43" fontId="74" fillId="2" borderId="0" xfId="1" applyFont="1" applyFill="1" applyBorder="1" applyAlignment="1">
      <alignment horizontal="left" vertical="center"/>
    </xf>
    <xf numFmtId="43" fontId="74" fillId="2" borderId="17" xfId="1" applyFont="1" applyFill="1" applyBorder="1" applyAlignment="1">
      <alignment horizontal="center" vertical="center" wrapText="1"/>
    </xf>
    <xf numFmtId="43" fontId="74" fillId="2" borderId="0" xfId="1" applyFont="1" applyFill="1" applyBorder="1" applyAlignment="1">
      <alignment horizontal="center" vertical="center" wrapText="1"/>
    </xf>
    <xf numFmtId="43" fontId="74" fillId="2" borderId="19" xfId="1" applyFont="1" applyFill="1" applyBorder="1" applyAlignment="1">
      <alignment horizontal="center" vertical="center" wrapText="1"/>
    </xf>
    <xf numFmtId="175" fontId="74" fillId="2" borderId="18" xfId="1" applyNumberFormat="1" applyFont="1" applyFill="1" applyBorder="1" applyAlignment="1">
      <alignment horizontal="center" vertical="center" wrapText="1"/>
    </xf>
    <xf numFmtId="175" fontId="75" fillId="2" borderId="21" xfId="1" applyNumberFormat="1" applyFont="1" applyFill="1" applyBorder="1" applyAlignment="1">
      <alignment horizontal="center" vertical="center" wrapText="1"/>
    </xf>
    <xf numFmtId="170" fontId="75" fillId="2" borderId="0" xfId="45287" applyNumberFormat="1" applyFont="1" applyFill="1" applyBorder="1" applyAlignment="1">
      <alignment vertical="center"/>
    </xf>
    <xf numFmtId="10" fontId="67" fillId="0" borderId="44" xfId="677" applyNumberFormat="1" applyFont="1" applyFill="1" applyBorder="1" applyAlignment="1">
      <alignment horizontal="right" vertical="center" wrapText="1"/>
    </xf>
    <xf numFmtId="0" fontId="75" fillId="2" borderId="17" xfId="2" applyFont="1" applyFill="1" applyBorder="1" applyAlignment="1">
      <alignment horizontal="left" vertical="center"/>
    </xf>
    <xf numFmtId="0" fontId="75" fillId="2" borderId="104" xfId="0" applyFont="1" applyFill="1" applyBorder="1" applyAlignment="1">
      <alignment horizontal="center" vertical="center"/>
    </xf>
    <xf numFmtId="0" fontId="76" fillId="2" borderId="7" xfId="2" applyFont="1" applyFill="1" applyBorder="1" applyAlignment="1">
      <alignment horizontal="center" vertical="center"/>
    </xf>
    <xf numFmtId="0" fontId="77" fillId="2" borderId="7" xfId="2" applyFont="1" applyFill="1" applyBorder="1" applyAlignment="1">
      <alignment horizontal="center" vertical="center"/>
    </xf>
    <xf numFmtId="0" fontId="77" fillId="2" borderId="106" xfId="2" applyFont="1" applyFill="1" applyBorder="1" applyAlignment="1">
      <alignment horizontal="center" vertical="center"/>
    </xf>
    <xf numFmtId="0" fontId="75" fillId="2" borderId="7" xfId="2" applyFont="1" applyFill="1" applyBorder="1" applyAlignment="1">
      <alignment horizontal="center" vertical="center"/>
    </xf>
    <xf numFmtId="43" fontId="74" fillId="2" borderId="6" xfId="1" applyFont="1" applyFill="1" applyBorder="1" applyAlignment="1">
      <alignment horizontal="center" vertical="center"/>
    </xf>
    <xf numFmtId="0" fontId="74" fillId="2" borderId="7" xfId="2" applyFont="1" applyFill="1" applyBorder="1" applyAlignment="1">
      <alignment horizontal="center" vertical="center"/>
    </xf>
    <xf numFmtId="0" fontId="74" fillId="2" borderId="6" xfId="2" applyFont="1" applyFill="1" applyBorder="1" applyAlignment="1">
      <alignment horizontal="center" vertical="center"/>
    </xf>
    <xf numFmtId="0" fontId="74" fillId="2" borderId="28" xfId="0" applyFont="1" applyFill="1" applyBorder="1" applyAlignment="1">
      <alignment horizontal="center" vertical="center"/>
    </xf>
    <xf numFmtId="2" fontId="74" fillId="2" borderId="29" xfId="0" applyNumberFormat="1" applyFont="1" applyFill="1" applyBorder="1" applyAlignment="1">
      <alignment vertical="center"/>
    </xf>
    <xf numFmtId="0" fontId="79" fillId="2" borderId="7" xfId="2" applyFont="1" applyFill="1" applyBorder="1" applyAlignment="1">
      <alignment horizontal="center" vertical="center"/>
    </xf>
    <xf numFmtId="0" fontId="75" fillId="2" borderId="6" xfId="2" applyFont="1" applyFill="1" applyBorder="1" applyAlignment="1">
      <alignment horizontal="center" vertical="center"/>
    </xf>
    <xf numFmtId="2" fontId="74" fillId="2" borderId="6" xfId="0" applyNumberFormat="1" applyFont="1" applyFill="1" applyBorder="1" applyAlignment="1">
      <alignment vertical="center"/>
    </xf>
    <xf numFmtId="0" fontId="75" fillId="2" borderId="28" xfId="0" applyFont="1" applyFill="1" applyBorder="1" applyAlignment="1">
      <alignment horizontal="center" vertical="center"/>
    </xf>
    <xf numFmtId="2" fontId="75" fillId="2" borderId="29" xfId="0" applyNumberFormat="1" applyFont="1" applyFill="1" applyBorder="1" applyAlignment="1">
      <alignment vertical="center"/>
    </xf>
    <xf numFmtId="0" fontId="80" fillId="2" borderId="7" xfId="2" applyFont="1" applyFill="1" applyBorder="1" applyAlignment="1">
      <alignment horizontal="center" vertical="center"/>
    </xf>
    <xf numFmtId="0" fontId="81" fillId="2" borderId="6" xfId="2" applyFont="1" applyFill="1" applyBorder="1" applyAlignment="1">
      <alignment horizontal="center" vertical="center"/>
    </xf>
    <xf numFmtId="0" fontId="75" fillId="2" borderId="7" xfId="0" applyNumberFormat="1" applyFont="1" applyFill="1" applyBorder="1" applyAlignment="1">
      <alignment horizontal="center" vertical="center"/>
    </xf>
    <xf numFmtId="0" fontId="75" fillId="2" borderId="6" xfId="0" applyFont="1" applyFill="1" applyBorder="1" applyAlignment="1">
      <alignment vertical="center"/>
    </xf>
    <xf numFmtId="0" fontId="104" fillId="2" borderId="7" xfId="0" applyFont="1" applyFill="1" applyBorder="1" applyAlignment="1">
      <alignment horizontal="center" vertical="center"/>
    </xf>
    <xf numFmtId="2" fontId="104" fillId="2" borderId="6" xfId="0" applyNumberFormat="1" applyFont="1" applyFill="1" applyBorder="1" applyAlignment="1">
      <alignment vertical="center"/>
    </xf>
    <xf numFmtId="0" fontId="74" fillId="2" borderId="6" xfId="0" applyFont="1" applyFill="1" applyBorder="1" applyAlignment="1">
      <alignment vertical="center"/>
    </xf>
    <xf numFmtId="0" fontId="75" fillId="2" borderId="7" xfId="0" applyFont="1" applyFill="1" applyBorder="1" applyAlignment="1">
      <alignment horizontal="center" vertical="center"/>
    </xf>
    <xf numFmtId="3" fontId="75" fillId="2" borderId="7" xfId="0" applyNumberFormat="1" applyFont="1" applyFill="1" applyBorder="1" applyAlignment="1">
      <alignment horizontal="center" vertical="center"/>
    </xf>
    <xf numFmtId="0" fontId="98" fillId="2" borderId="6" xfId="2" applyFont="1" applyFill="1" applyBorder="1" applyAlignment="1">
      <alignment horizontal="center" vertical="center"/>
    </xf>
    <xf numFmtId="0" fontId="74" fillId="2" borderId="105" xfId="0" applyFont="1" applyFill="1" applyBorder="1" applyAlignment="1">
      <alignment horizontal="center" vertical="center"/>
    </xf>
    <xf numFmtId="2" fontId="74" fillId="2" borderId="105" xfId="0" applyNumberFormat="1" applyFont="1" applyFill="1" applyBorder="1" applyAlignment="1">
      <alignment horizontal="left" vertical="center"/>
    </xf>
    <xf numFmtId="2" fontId="74" fillId="2" borderId="107" xfId="0" applyNumberFormat="1" applyFont="1" applyFill="1" applyBorder="1" applyAlignment="1">
      <alignment vertical="center"/>
    </xf>
    <xf numFmtId="43" fontId="75" fillId="2" borderId="105" xfId="1" applyFont="1" applyFill="1" applyBorder="1" applyAlignment="1">
      <alignment vertical="center"/>
    </xf>
    <xf numFmtId="43" fontId="74" fillId="2" borderId="6" xfId="1" applyFont="1" applyFill="1" applyBorder="1" applyAlignment="1">
      <alignment horizontal="left" vertical="center" wrapText="1"/>
    </xf>
    <xf numFmtId="43" fontId="74" fillId="2" borderId="6" xfId="1" applyFont="1" applyFill="1" applyBorder="1" applyAlignment="1">
      <alignment horizontal="left" vertical="center"/>
    </xf>
    <xf numFmtId="0" fontId="75" fillId="2" borderId="7" xfId="2" applyNumberFormat="1" applyFont="1" applyFill="1" applyBorder="1" applyAlignment="1">
      <alignment horizontal="center" vertical="center"/>
    </xf>
    <xf numFmtId="0" fontId="75" fillId="2" borderId="108" xfId="2" applyFont="1" applyFill="1" applyBorder="1" applyAlignment="1">
      <alignment horizontal="center" vertical="center"/>
    </xf>
    <xf numFmtId="0" fontId="74" fillId="2" borderId="109" xfId="0" applyFont="1" applyFill="1" applyBorder="1" applyAlignment="1">
      <alignment horizontal="center" vertical="center"/>
    </xf>
    <xf numFmtId="0" fontId="74" fillId="2" borderId="110" xfId="0" applyFont="1" applyFill="1" applyBorder="1" applyAlignment="1">
      <alignment horizontal="center" vertical="center"/>
    </xf>
    <xf numFmtId="0" fontId="74" fillId="2" borderId="108" xfId="0" applyFont="1" applyFill="1" applyBorder="1" applyAlignment="1">
      <alignment horizontal="center" vertical="center"/>
    </xf>
    <xf numFmtId="0" fontId="74" fillId="2" borderId="104" xfId="0" applyFont="1" applyFill="1" applyBorder="1" applyAlignment="1">
      <alignment horizontal="center" vertical="center"/>
    </xf>
    <xf numFmtId="0" fontId="77" fillId="2" borderId="108" xfId="2" applyFont="1" applyFill="1" applyBorder="1" applyAlignment="1">
      <alignment horizontal="center" vertical="center"/>
    </xf>
    <xf numFmtId="0" fontId="74" fillId="2" borderId="111" xfId="2" applyFont="1" applyFill="1" applyBorder="1" applyAlignment="1">
      <alignment horizontal="center" vertical="center"/>
    </xf>
    <xf numFmtId="0" fontId="77" fillId="2" borderId="7" xfId="2" applyNumberFormat="1" applyFont="1" applyFill="1" applyBorder="1" applyAlignment="1">
      <alignment horizontal="center" vertical="center"/>
    </xf>
    <xf numFmtId="0" fontId="75" fillId="2" borderId="3" xfId="2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10" fontId="60" fillId="0" borderId="0" xfId="677" applyNumberFormat="1" applyFont="1" applyFill="1" applyAlignment="1">
      <alignment horizontal="center" vertical="center"/>
    </xf>
    <xf numFmtId="0" fontId="91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43" fontId="86" fillId="0" borderId="0" xfId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horizontal="center" vertical="center"/>
    </xf>
    <xf numFmtId="0" fontId="60" fillId="0" borderId="43" xfId="0" applyFont="1" applyFill="1" applyBorder="1" applyAlignment="1">
      <alignment horizontal="center" vertical="center"/>
    </xf>
    <xf numFmtId="0" fontId="60" fillId="0" borderId="43" xfId="0" applyFont="1" applyFill="1" applyBorder="1" applyAlignment="1">
      <alignment horizontal="left" vertical="center" wrapText="1"/>
    </xf>
    <xf numFmtId="43" fontId="86" fillId="0" borderId="5" xfId="1" applyFont="1" applyFill="1" applyBorder="1" applyAlignment="1">
      <alignment horizontal="center" vertical="center"/>
    </xf>
    <xf numFmtId="43" fontId="88" fillId="0" borderId="72" xfId="1" applyFont="1" applyFill="1" applyBorder="1" applyAlignment="1">
      <alignment horizontal="right" vertical="center"/>
    </xf>
    <xf numFmtId="43" fontId="89" fillId="0" borderId="73" xfId="1" applyFont="1" applyFill="1" applyBorder="1" applyAlignment="1">
      <alignment horizontal="right" vertical="center"/>
    </xf>
    <xf numFmtId="43" fontId="67" fillId="0" borderId="73" xfId="1" applyFont="1" applyFill="1" applyBorder="1" applyAlignment="1">
      <alignment horizontal="right" vertical="center"/>
    </xf>
    <xf numFmtId="43" fontId="88" fillId="0" borderId="72" xfId="1" applyFont="1" applyFill="1" applyBorder="1" applyAlignment="1">
      <alignment horizontal="center" vertical="center"/>
    </xf>
    <xf numFmtId="43" fontId="88" fillId="0" borderId="72" xfId="1" applyFont="1" applyFill="1" applyBorder="1" applyAlignment="1">
      <alignment vertical="center"/>
    </xf>
    <xf numFmtId="43" fontId="60" fillId="0" borderId="23" xfId="1" applyFont="1" applyFill="1" applyBorder="1" applyAlignment="1">
      <alignment horizontal="right" vertical="center"/>
    </xf>
    <xf numFmtId="43" fontId="67" fillId="0" borderId="112" xfId="1" applyFont="1" applyFill="1" applyBorder="1" applyAlignment="1">
      <alignment horizontal="right" vertical="center"/>
    </xf>
    <xf numFmtId="43" fontId="67" fillId="0" borderId="95" xfId="1" applyFont="1" applyFill="1" applyBorder="1" applyAlignment="1">
      <alignment horizontal="right" vertical="center"/>
    </xf>
    <xf numFmtId="43" fontId="68" fillId="0" borderId="23" xfId="1" applyFont="1" applyFill="1" applyBorder="1" applyAlignment="1">
      <alignment horizontal="center" vertical="center"/>
    </xf>
    <xf numFmtId="43" fontId="64" fillId="0" borderId="28" xfId="1" applyFont="1" applyFill="1" applyBorder="1" applyAlignment="1">
      <alignment horizontal="center" vertical="center"/>
    </xf>
    <xf numFmtId="43" fontId="67" fillId="0" borderId="27" xfId="0" applyNumberFormat="1" applyFont="1" applyFill="1" applyBorder="1" applyAlignment="1">
      <alignment horizontal="center" vertical="center"/>
    </xf>
    <xf numFmtId="43" fontId="60" fillId="0" borderId="27" xfId="1" applyFont="1" applyFill="1" applyBorder="1" applyAlignment="1">
      <alignment horizontal="center" vertical="center"/>
    </xf>
    <xf numFmtId="43" fontId="60" fillId="0" borderId="27" xfId="1" applyFont="1" applyFill="1" applyBorder="1" applyAlignment="1">
      <alignment horizontal="right" vertical="center"/>
    </xf>
    <xf numFmtId="0" fontId="69" fillId="0" borderId="2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10" fontId="60" fillId="0" borderId="27" xfId="677" applyNumberFormat="1" applyFont="1" applyFill="1" applyBorder="1" applyAlignment="1">
      <alignment horizontal="center" vertical="center"/>
    </xf>
    <xf numFmtId="43" fontId="68" fillId="0" borderId="27" xfId="1" applyFont="1" applyFill="1" applyBorder="1" applyAlignment="1">
      <alignment horizontal="center" vertical="center"/>
    </xf>
    <xf numFmtId="10" fontId="60" fillId="0" borderId="27" xfId="0" applyNumberFormat="1" applyFont="1" applyFill="1" applyBorder="1" applyAlignment="1">
      <alignment horizontal="center" vertical="center"/>
    </xf>
    <xf numFmtId="43" fontId="60" fillId="0" borderId="4" xfId="1" applyFont="1" applyFill="1" applyBorder="1" applyAlignment="1">
      <alignment horizontal="center" vertical="center"/>
    </xf>
    <xf numFmtId="43" fontId="69" fillId="0" borderId="4" xfId="0" applyNumberFormat="1" applyFont="1" applyFill="1" applyBorder="1" applyAlignment="1">
      <alignment horizontal="center" vertical="center"/>
    </xf>
    <xf numFmtId="10" fontId="60" fillId="0" borderId="4" xfId="677" applyNumberFormat="1" applyFont="1" applyFill="1" applyBorder="1" applyAlignment="1">
      <alignment horizontal="center" vertical="center"/>
    </xf>
    <xf numFmtId="43" fontId="67" fillId="0" borderId="43" xfId="1" applyFont="1" applyFill="1" applyBorder="1" applyAlignment="1">
      <alignment horizontal="right" vertical="center"/>
    </xf>
    <xf numFmtId="43" fontId="67" fillId="0" borderId="43" xfId="0" applyNumberFormat="1" applyFont="1" applyFill="1" applyBorder="1" applyAlignment="1">
      <alignment horizontal="center" vertical="center"/>
    </xf>
    <xf numFmtId="0" fontId="67" fillId="0" borderId="43" xfId="0" applyFont="1" applyFill="1" applyBorder="1" applyAlignment="1">
      <alignment horizontal="center" vertical="center" wrapText="1"/>
    </xf>
    <xf numFmtId="43" fontId="67" fillId="0" borderId="44" xfId="1" applyFont="1" applyFill="1" applyBorder="1" applyAlignment="1">
      <alignment horizontal="right" vertical="center"/>
    </xf>
    <xf numFmtId="43" fontId="67" fillId="0" borderId="44" xfId="0" applyNumberFormat="1" applyFont="1" applyFill="1" applyBorder="1" applyAlignment="1">
      <alignment horizontal="center" vertical="center"/>
    </xf>
    <xf numFmtId="0" fontId="88" fillId="0" borderId="44" xfId="0" applyFont="1" applyFill="1" applyBorder="1" applyAlignment="1">
      <alignment horizontal="center" vertical="center"/>
    </xf>
    <xf numFmtId="43" fontId="88" fillId="0" borderId="44" xfId="0" applyNumberFormat="1" applyFont="1" applyFill="1" applyBorder="1" applyAlignment="1">
      <alignment horizontal="center" vertical="center"/>
    </xf>
    <xf numFmtId="0" fontId="69" fillId="0" borderId="44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10" fontId="67" fillId="0" borderId="44" xfId="1" applyNumberFormat="1" applyFont="1" applyFill="1" applyBorder="1" applyAlignment="1">
      <alignment horizontal="right" vertical="center"/>
    </xf>
    <xf numFmtId="0" fontId="67" fillId="59" borderId="44" xfId="0" applyFont="1" applyFill="1" applyBorder="1" applyAlignment="1">
      <alignment horizontal="center" vertical="center" wrapText="1"/>
    </xf>
    <xf numFmtId="43" fontId="89" fillId="0" borderId="44" xfId="1" applyFont="1" applyFill="1" applyBorder="1" applyAlignment="1">
      <alignment horizontal="right" vertical="center"/>
    </xf>
    <xf numFmtId="43" fontId="69" fillId="0" borderId="44" xfId="0" applyNumberFormat="1" applyFont="1" applyFill="1" applyBorder="1" applyAlignment="1">
      <alignment horizontal="center" vertical="center"/>
    </xf>
    <xf numFmtId="43" fontId="69" fillId="0" borderId="44" xfId="0" quotePrefix="1" applyNumberFormat="1" applyFont="1" applyFill="1" applyBorder="1" applyAlignment="1">
      <alignment horizontal="center" vertical="center"/>
    </xf>
    <xf numFmtId="43" fontId="67" fillId="0" borderId="62" xfId="1" applyFont="1" applyFill="1" applyBorder="1" applyAlignment="1">
      <alignment horizontal="right" vertical="center"/>
    </xf>
    <xf numFmtId="43" fontId="69" fillId="0" borderId="62" xfId="0" applyNumberFormat="1" applyFont="1" applyFill="1" applyBorder="1" applyAlignment="1">
      <alignment horizontal="center" vertical="center"/>
    </xf>
    <xf numFmtId="43" fontId="69" fillId="0" borderId="62" xfId="0" quotePrefix="1" applyNumberFormat="1" applyFont="1" applyFill="1" applyBorder="1" applyAlignment="1">
      <alignment horizontal="center" vertical="center"/>
    </xf>
    <xf numFmtId="0" fontId="67" fillId="0" borderId="62" xfId="0" applyFont="1" applyFill="1" applyBorder="1" applyAlignment="1">
      <alignment horizontal="center" vertical="center" wrapText="1"/>
    </xf>
    <xf numFmtId="43" fontId="67" fillId="0" borderId="87" xfId="1" applyFont="1" applyFill="1" applyBorder="1" applyAlignment="1">
      <alignment horizontal="right" vertical="center"/>
    </xf>
    <xf numFmtId="43" fontId="67" fillId="0" borderId="87" xfId="0" applyNumberFormat="1" applyFont="1" applyFill="1" applyBorder="1" applyAlignment="1">
      <alignment horizontal="center" vertical="center"/>
    </xf>
    <xf numFmtId="0" fontId="88" fillId="0" borderId="87" xfId="0" applyFont="1" applyFill="1" applyBorder="1" applyAlignment="1">
      <alignment horizontal="center" vertical="center"/>
    </xf>
    <xf numFmtId="43" fontId="88" fillId="0" borderId="74" xfId="1" applyFont="1" applyFill="1" applyBorder="1" applyAlignment="1">
      <alignment horizontal="center" vertical="center"/>
    </xf>
    <xf numFmtId="43" fontId="67" fillId="0" borderId="74" xfId="0" applyNumberFormat="1" applyFont="1" applyFill="1" applyBorder="1" applyAlignment="1">
      <alignment horizontal="center" vertical="center"/>
    </xf>
    <xf numFmtId="43" fontId="88" fillId="0" borderId="74" xfId="0" applyNumberFormat="1" applyFont="1" applyFill="1" applyBorder="1" applyAlignment="1">
      <alignment horizontal="center" vertical="center"/>
    </xf>
    <xf numFmtId="43" fontId="88" fillId="0" borderId="27" xfId="0" applyNumberFormat="1" applyFont="1" applyFill="1" applyBorder="1" applyAlignment="1">
      <alignment horizontal="center" vertical="center"/>
    </xf>
    <xf numFmtId="43" fontId="88" fillId="0" borderId="74" xfId="1" applyFont="1" applyFill="1" applyBorder="1" applyAlignment="1">
      <alignment vertical="center"/>
    </xf>
    <xf numFmtId="0" fontId="67" fillId="0" borderId="74" xfId="0" applyFont="1" applyFill="1" applyBorder="1" applyAlignment="1">
      <alignment horizontal="center" vertical="center"/>
    </xf>
    <xf numFmtId="0" fontId="67" fillId="0" borderId="27" xfId="0" applyFont="1" applyFill="1" applyBorder="1" applyAlignment="1">
      <alignment horizontal="center" vertical="center"/>
    </xf>
    <xf numFmtId="0" fontId="69" fillId="0" borderId="87" xfId="0" applyFont="1" applyFill="1" applyBorder="1" applyAlignment="1">
      <alignment horizontal="center" vertical="center"/>
    </xf>
    <xf numFmtId="0" fontId="69" fillId="0" borderId="74" xfId="0" applyFont="1" applyFill="1" applyBorder="1" applyAlignment="1">
      <alignment horizontal="center" vertical="center"/>
    </xf>
    <xf numFmtId="0" fontId="88" fillId="0" borderId="74" xfId="0" applyFont="1" applyFill="1" applyBorder="1" applyAlignment="1">
      <alignment horizontal="center" vertical="center"/>
    </xf>
    <xf numFmtId="43" fontId="60" fillId="0" borderId="27" xfId="0" applyNumberFormat="1" applyFont="1" applyFill="1" applyBorder="1" applyAlignment="1">
      <alignment horizontal="center" vertical="center"/>
    </xf>
    <xf numFmtId="43" fontId="86" fillId="0" borderId="27" xfId="1" applyFont="1" applyFill="1" applyBorder="1" applyAlignment="1">
      <alignment vertical="center" wrapText="1"/>
    </xf>
    <xf numFmtId="43" fontId="86" fillId="0" borderId="26" xfId="1" applyFont="1" applyFill="1" applyBorder="1" applyAlignment="1">
      <alignment vertical="center" wrapText="1"/>
    </xf>
    <xf numFmtId="43" fontId="86" fillId="0" borderId="0" xfId="1" applyFont="1" applyFill="1" applyBorder="1" applyAlignment="1">
      <alignment vertical="center" wrapText="1"/>
    </xf>
    <xf numFmtId="1" fontId="109" fillId="0" borderId="113" xfId="0" applyNumberFormat="1" applyFont="1" applyFill="1" applyBorder="1" applyAlignment="1">
      <alignment horizontal="right" vertical="top" shrinkToFit="1"/>
    </xf>
    <xf numFmtId="0" fontId="74" fillId="0" borderId="113" xfId="0" applyFont="1" applyFill="1" applyBorder="1" applyAlignment="1">
      <alignment horizontal="left" vertical="top" wrapText="1"/>
    </xf>
    <xf numFmtId="0" fontId="74" fillId="0" borderId="113" xfId="0" applyFont="1" applyFill="1" applyBorder="1" applyAlignment="1">
      <alignment horizontal="center" vertical="top" wrapText="1"/>
    </xf>
    <xf numFmtId="2" fontId="109" fillId="0" borderId="113" xfId="0" applyNumberFormat="1" applyFont="1" applyFill="1" applyBorder="1" applyAlignment="1">
      <alignment horizontal="right" vertical="top" shrinkToFit="1"/>
    </xf>
    <xf numFmtId="0" fontId="87" fillId="0" borderId="113" xfId="0" applyFont="1" applyFill="1" applyBorder="1" applyAlignment="1">
      <alignment horizontal="left" wrapText="1"/>
    </xf>
    <xf numFmtId="1" fontId="109" fillId="0" borderId="27" xfId="0" applyNumberFormat="1" applyFont="1" applyFill="1" applyBorder="1" applyAlignment="1">
      <alignment horizontal="right" vertical="top" shrinkToFit="1"/>
    </xf>
    <xf numFmtId="0" fontId="74" fillId="0" borderId="27" xfId="0" applyFont="1" applyFill="1" applyBorder="1" applyAlignment="1">
      <alignment horizontal="left" vertical="top" wrapText="1"/>
    </xf>
    <xf numFmtId="0" fontId="74" fillId="0" borderId="27" xfId="0" applyFont="1" applyFill="1" applyBorder="1" applyAlignment="1">
      <alignment horizontal="center" vertical="top" wrapText="1"/>
    </xf>
    <xf numFmtId="2" fontId="109" fillId="0" borderId="27" xfId="0" applyNumberFormat="1" applyFont="1" applyFill="1" applyBorder="1" applyAlignment="1">
      <alignment horizontal="right" vertical="top" shrinkToFit="1"/>
    </xf>
    <xf numFmtId="0" fontId="87" fillId="0" borderId="27" xfId="0" applyFont="1" applyFill="1" applyBorder="1" applyAlignment="1">
      <alignment horizontal="left" wrapText="1"/>
    </xf>
    <xf numFmtId="0" fontId="74" fillId="0" borderId="27" xfId="0" applyFont="1" applyFill="1" applyBorder="1" applyAlignment="1">
      <alignment horizontal="left" vertical="top"/>
    </xf>
    <xf numFmtId="0" fontId="74" fillId="0" borderId="27" xfId="0" applyFont="1" applyFill="1" applyBorder="1" applyAlignment="1">
      <alignment horizontal="center" vertical="top"/>
    </xf>
    <xf numFmtId="2" fontId="74" fillId="0" borderId="27" xfId="45287" applyNumberFormat="1" applyFont="1" applyFill="1" applyBorder="1" applyAlignment="1">
      <alignment horizontal="right" vertical="top"/>
    </xf>
    <xf numFmtId="0" fontId="74" fillId="0" borderId="27" xfId="0" applyFont="1" applyFill="1" applyBorder="1" applyAlignment="1">
      <alignment horizontal="right" vertical="top"/>
    </xf>
    <xf numFmtId="0" fontId="74" fillId="0" borderId="27" xfId="0" applyFont="1" applyFill="1" applyBorder="1" applyAlignment="1">
      <alignment horizontal="right" vertical="center"/>
    </xf>
    <xf numFmtId="0" fontId="74" fillId="0" borderId="27" xfId="0" applyFont="1" applyFill="1" applyBorder="1" applyAlignment="1">
      <alignment horizontal="left" vertical="center"/>
    </xf>
    <xf numFmtId="0" fontId="74" fillId="0" borderId="27" xfId="0" applyFont="1" applyFill="1" applyBorder="1" applyAlignment="1">
      <alignment horizontal="center" vertical="center"/>
    </xf>
    <xf numFmtId="2" fontId="74" fillId="0" borderId="27" xfId="45287" applyNumberFormat="1" applyFont="1" applyFill="1" applyBorder="1" applyAlignment="1">
      <alignment horizontal="right" vertical="center"/>
    </xf>
    <xf numFmtId="0" fontId="60" fillId="65" borderId="100" xfId="0" applyFont="1" applyFill="1" applyBorder="1" applyAlignment="1">
      <alignment horizontal="left" vertical="top" wrapText="1"/>
    </xf>
    <xf numFmtId="181" fontId="29" fillId="2" borderId="56" xfId="1" applyNumberFormat="1" applyFont="1" applyFill="1" applyBorder="1" applyAlignment="1">
      <alignment horizontal="right" vertical="center"/>
    </xf>
    <xf numFmtId="43" fontId="29" fillId="66" borderId="53" xfId="1" applyFont="1" applyFill="1" applyBorder="1" applyAlignment="1">
      <alignment horizontal="center" vertical="center"/>
    </xf>
    <xf numFmtId="181" fontId="29" fillId="66" borderId="53" xfId="1" applyNumberFormat="1" applyFont="1" applyFill="1" applyBorder="1" applyAlignment="1">
      <alignment horizontal="right" vertical="center"/>
    </xf>
    <xf numFmtId="43" fontId="29" fillId="66" borderId="19" xfId="1" applyFont="1" applyFill="1" applyBorder="1" applyAlignment="1">
      <alignment horizontal="center" vertical="center"/>
    </xf>
    <xf numFmtId="43" fontId="29" fillId="66" borderId="56" xfId="1" applyFont="1" applyFill="1" applyBorder="1" applyAlignment="1">
      <alignment horizontal="center" vertical="center"/>
    </xf>
    <xf numFmtId="43" fontId="29" fillId="66" borderId="53" xfId="1" applyFont="1" applyFill="1" applyBorder="1" applyAlignment="1">
      <alignment vertical="center"/>
    </xf>
    <xf numFmtId="0" fontId="33" fillId="58" borderId="27" xfId="0" applyFont="1" applyFill="1" applyBorder="1" applyAlignment="1">
      <alignment horizontal="center" vertical="center"/>
    </xf>
    <xf numFmtId="43" fontId="29" fillId="66" borderId="56" xfId="1" applyFont="1" applyFill="1" applyBorder="1" applyAlignment="1">
      <alignment vertical="center"/>
    </xf>
    <xf numFmtId="0" fontId="0" fillId="0" borderId="0" xfId="0" quotePrefix="1" applyFill="1" applyBorder="1" applyAlignment="1">
      <alignment horizontal="left" vertical="top"/>
    </xf>
    <xf numFmtId="0" fontId="91" fillId="2" borderId="27" xfId="0" applyFont="1" applyFill="1" applyBorder="1" applyAlignment="1">
      <alignment horizontal="center" vertical="center"/>
    </xf>
    <xf numFmtId="0" fontId="66" fillId="2" borderId="27" xfId="0" applyFont="1" applyFill="1" applyBorder="1" applyAlignment="1">
      <alignment horizontal="center" vertical="center"/>
    </xf>
    <xf numFmtId="0" fontId="65" fillId="2" borderId="27" xfId="0" applyFont="1" applyFill="1" applyBorder="1" applyAlignment="1">
      <alignment horizontal="center" vertical="center"/>
    </xf>
    <xf numFmtId="0" fontId="86" fillId="2" borderId="27" xfId="0" applyFont="1" applyFill="1" applyBorder="1" applyAlignment="1">
      <alignment horizontal="center" vertical="center"/>
    </xf>
    <xf numFmtId="0" fontId="86" fillId="2" borderId="26" xfId="0" applyFont="1" applyFill="1" applyBorder="1" applyAlignment="1">
      <alignment horizontal="center" vertical="center"/>
    </xf>
    <xf numFmtId="0" fontId="86" fillId="2" borderId="4" xfId="0" applyFont="1" applyFill="1" applyBorder="1" applyAlignment="1">
      <alignment horizontal="center" vertical="center"/>
    </xf>
    <xf numFmtId="43" fontId="86" fillId="2" borderId="26" xfId="1" applyFont="1" applyFill="1" applyBorder="1" applyAlignment="1">
      <alignment horizontal="center" vertical="center"/>
    </xf>
    <xf numFmtId="43" fontId="86" fillId="2" borderId="4" xfId="1" applyFont="1" applyFill="1" applyBorder="1" applyAlignment="1">
      <alignment horizontal="center" vertical="center"/>
    </xf>
    <xf numFmtId="0" fontId="33" fillId="58" borderId="28" xfId="0" applyFont="1" applyFill="1" applyBorder="1" applyAlignment="1">
      <alignment horizontal="center" vertical="center"/>
    </xf>
    <xf numFmtId="0" fontId="33" fillId="58" borderId="23" xfId="0" applyFont="1" applyFill="1" applyBorder="1" applyAlignment="1">
      <alignment horizontal="center" vertical="center"/>
    </xf>
    <xf numFmtId="0" fontId="33" fillId="58" borderId="29" xfId="0" applyFont="1" applyFill="1" applyBorder="1" applyAlignment="1">
      <alignment horizontal="center" vertical="center"/>
    </xf>
    <xf numFmtId="0" fontId="34" fillId="2" borderId="27" xfId="0" quotePrefix="1" applyFont="1" applyFill="1" applyBorder="1" applyAlignment="1">
      <alignment vertical="center" wrapText="1"/>
    </xf>
    <xf numFmtId="0" fontId="34" fillId="2" borderId="27" xfId="0" applyFont="1" applyFill="1" applyBorder="1" applyAlignment="1">
      <alignment vertical="center" wrapText="1"/>
    </xf>
    <xf numFmtId="0" fontId="33" fillId="58" borderId="26" xfId="0" applyFont="1" applyFill="1" applyBorder="1" applyAlignment="1">
      <alignment horizontal="center" vertical="center"/>
    </xf>
    <xf numFmtId="0" fontId="33" fillId="58" borderId="4" xfId="0" applyFont="1" applyFill="1" applyBorder="1" applyAlignment="1">
      <alignment horizontal="center" vertical="center"/>
    </xf>
    <xf numFmtId="0" fontId="35" fillId="58" borderId="26" xfId="0" applyFont="1" applyFill="1" applyBorder="1" applyAlignment="1">
      <alignment horizontal="center" vertical="center"/>
    </xf>
    <xf numFmtId="0" fontId="35" fillId="58" borderId="4" xfId="0" applyFont="1" applyFill="1" applyBorder="1" applyAlignment="1">
      <alignment horizontal="center" vertical="center"/>
    </xf>
    <xf numFmtId="0" fontId="35" fillId="58" borderId="27" xfId="0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/>
    </xf>
    <xf numFmtId="0" fontId="86" fillId="0" borderId="26" xfId="0" applyFont="1" applyFill="1" applyBorder="1" applyAlignment="1">
      <alignment horizontal="center" vertical="center"/>
    </xf>
    <xf numFmtId="0" fontId="86" fillId="0" borderId="4" xfId="0" applyFont="1" applyFill="1" applyBorder="1" applyAlignment="1">
      <alignment horizontal="center" vertical="center"/>
    </xf>
    <xf numFmtId="43" fontId="86" fillId="0" borderId="26" xfId="1" applyFont="1" applyFill="1" applyBorder="1" applyAlignment="1">
      <alignment horizontal="center" vertical="center"/>
    </xf>
    <xf numFmtId="43" fontId="86" fillId="0" borderId="4" xfId="1" applyFont="1" applyFill="1" applyBorder="1" applyAlignment="1">
      <alignment horizontal="center" vertical="center"/>
    </xf>
    <xf numFmtId="0" fontId="91" fillId="0" borderId="27" xfId="0" applyFont="1" applyFill="1" applyBorder="1" applyAlignment="1">
      <alignment horizontal="center" vertical="center"/>
    </xf>
    <xf numFmtId="0" fontId="86" fillId="0" borderId="27" xfId="0" applyFont="1" applyFill="1" applyBorder="1" applyAlignment="1">
      <alignment horizontal="center" vertical="center"/>
    </xf>
    <xf numFmtId="43" fontId="86" fillId="0" borderId="27" xfId="1" applyFont="1" applyFill="1" applyBorder="1" applyAlignment="1">
      <alignment horizontal="center" vertical="center"/>
    </xf>
    <xf numFmtId="0" fontId="66" fillId="0" borderId="27" xfId="0" applyFont="1" applyFill="1" applyBorder="1" applyAlignment="1">
      <alignment horizontal="center" vertical="center"/>
    </xf>
    <xf numFmtId="0" fontId="65" fillId="0" borderId="27" xfId="0" applyFont="1" applyFill="1" applyBorder="1" applyAlignment="1">
      <alignment horizontal="center" vertical="center"/>
    </xf>
    <xf numFmtId="0" fontId="68" fillId="0" borderId="23" xfId="0" applyFont="1" applyFill="1" applyBorder="1" applyAlignment="1">
      <alignment horizontal="center" vertical="center"/>
    </xf>
    <xf numFmtId="0" fontId="68" fillId="0" borderId="29" xfId="0" applyFont="1" applyFill="1" applyBorder="1" applyAlignment="1">
      <alignment horizontal="center" vertical="center"/>
    </xf>
    <xf numFmtId="43" fontId="74" fillId="2" borderId="17" xfId="1" applyFont="1" applyFill="1" applyBorder="1" applyAlignment="1">
      <alignment horizontal="left" vertical="center" wrapText="1"/>
    </xf>
    <xf numFmtId="43" fontId="74" fillId="2" borderId="0" xfId="1" applyFont="1" applyFill="1" applyBorder="1" applyAlignment="1">
      <alignment horizontal="left" vertical="center" wrapText="1"/>
    </xf>
    <xf numFmtId="43" fontId="74" fillId="2" borderId="6" xfId="1" applyFont="1" applyFill="1" applyBorder="1" applyAlignment="1">
      <alignment horizontal="left" vertical="center" wrapText="1"/>
    </xf>
    <xf numFmtId="0" fontId="74" fillId="2" borderId="17" xfId="2" applyFont="1" applyFill="1" applyBorder="1" applyAlignment="1">
      <alignment horizontal="center" vertical="center"/>
    </xf>
    <xf numFmtId="0" fontId="74" fillId="2" borderId="0" xfId="2" applyFont="1" applyFill="1" applyBorder="1" applyAlignment="1">
      <alignment horizontal="center" vertical="center"/>
    </xf>
    <xf numFmtId="0" fontId="74" fillId="2" borderId="19" xfId="2" applyFont="1" applyFill="1" applyBorder="1" applyAlignment="1">
      <alignment horizontal="center" vertical="center"/>
    </xf>
    <xf numFmtId="43" fontId="74" fillId="2" borderId="17" xfId="1" applyFont="1" applyFill="1" applyBorder="1" applyAlignment="1">
      <alignment horizontal="center" vertical="center"/>
    </xf>
    <xf numFmtId="43" fontId="74" fillId="2" borderId="0" xfId="1" applyFont="1" applyFill="1" applyBorder="1" applyAlignment="1">
      <alignment horizontal="center" vertical="center"/>
    </xf>
    <xf numFmtId="2" fontId="74" fillId="2" borderId="17" xfId="0" applyNumberFormat="1" applyFont="1" applyFill="1" applyBorder="1" applyAlignment="1">
      <alignment horizontal="center" vertical="center"/>
    </xf>
    <xf numFmtId="2" fontId="74" fillId="2" borderId="0" xfId="0" applyNumberFormat="1" applyFont="1" applyFill="1" applyBorder="1" applyAlignment="1">
      <alignment horizontal="center" vertical="center"/>
    </xf>
    <xf numFmtId="2" fontId="74" fillId="2" borderId="19" xfId="0" applyNumberFormat="1" applyFont="1" applyFill="1" applyBorder="1" applyAlignment="1">
      <alignment horizontal="center" vertical="center"/>
    </xf>
    <xf numFmtId="43" fontId="74" fillId="2" borderId="0" xfId="1" applyFont="1" applyFill="1" applyBorder="1" applyAlignment="1">
      <alignment horizontal="center" vertical="center" wrapText="1"/>
    </xf>
    <xf numFmtId="43" fontId="74" fillId="2" borderId="19" xfId="1" applyFont="1" applyFill="1" applyBorder="1" applyAlignment="1">
      <alignment horizontal="center" vertical="center" wrapText="1"/>
    </xf>
    <xf numFmtId="0" fontId="86" fillId="2" borderId="28" xfId="0" applyFont="1" applyFill="1" applyBorder="1" applyAlignment="1">
      <alignment horizontal="center" vertical="center"/>
    </xf>
    <xf numFmtId="0" fontId="86" fillId="2" borderId="23" xfId="0" applyFont="1" applyFill="1" applyBorder="1" applyAlignment="1">
      <alignment horizontal="center" vertical="center"/>
    </xf>
    <xf numFmtId="0" fontId="86" fillId="2" borderId="29" xfId="0" applyFont="1" applyFill="1" applyBorder="1" applyAlignment="1">
      <alignment horizontal="center" vertical="center"/>
    </xf>
    <xf numFmtId="0" fontId="98" fillId="2" borderId="5" xfId="0" applyFont="1" applyFill="1" applyBorder="1" applyAlignment="1">
      <alignment horizontal="center" vertical="center"/>
    </xf>
    <xf numFmtId="0" fontId="98" fillId="2" borderId="30" xfId="0" applyFont="1" applyFill="1" applyBorder="1" applyAlignment="1">
      <alignment horizontal="center" vertical="center"/>
    </xf>
    <xf numFmtId="0" fontId="98" fillId="2" borderId="3" xfId="0" applyFont="1" applyFill="1" applyBorder="1" applyAlignment="1">
      <alignment horizontal="center" vertical="center"/>
    </xf>
    <xf numFmtId="0" fontId="75" fillId="2" borderId="25" xfId="2" applyFont="1" applyFill="1" applyBorder="1" applyAlignment="1">
      <alignment horizontal="center" vertical="center"/>
    </xf>
    <xf numFmtId="0" fontId="75" fillId="2" borderId="105" xfId="2" applyFont="1" applyFill="1" applyBorder="1" applyAlignment="1">
      <alignment horizontal="center" vertical="center"/>
    </xf>
    <xf numFmtId="0" fontId="75" fillId="2" borderId="1" xfId="2" applyFont="1" applyFill="1" applyBorder="1" applyAlignment="1">
      <alignment horizontal="center" vertical="center"/>
    </xf>
    <xf numFmtId="0" fontId="75" fillId="2" borderId="31" xfId="2" applyFont="1" applyFill="1" applyBorder="1" applyAlignment="1">
      <alignment horizontal="center" vertical="center"/>
    </xf>
    <xf numFmtId="0" fontId="75" fillId="2" borderId="30" xfId="2" applyFont="1" applyFill="1" applyBorder="1" applyAlignment="1">
      <alignment horizontal="center" vertical="center"/>
    </xf>
    <xf numFmtId="0" fontId="75" fillId="2" borderId="3" xfId="2" applyFont="1" applyFill="1" applyBorder="1" applyAlignment="1">
      <alignment horizontal="center" vertical="center"/>
    </xf>
    <xf numFmtId="0" fontId="75" fillId="2" borderId="104" xfId="2" applyFont="1" applyFill="1" applyBorder="1" applyAlignment="1">
      <alignment horizontal="center" vertical="center"/>
    </xf>
    <xf numFmtId="0" fontId="75" fillId="2" borderId="22" xfId="2" applyFont="1" applyFill="1" applyBorder="1" applyAlignment="1">
      <alignment horizontal="center" vertical="center"/>
    </xf>
    <xf numFmtId="43" fontId="74" fillId="2" borderId="25" xfId="1" applyFont="1" applyFill="1" applyBorder="1" applyAlignment="1">
      <alignment horizontal="center" vertical="center"/>
    </xf>
    <xf numFmtId="43" fontId="74" fillId="2" borderId="105" xfId="1" applyFont="1" applyFill="1" applyBorder="1" applyAlignment="1">
      <alignment horizontal="center" vertical="center"/>
    </xf>
    <xf numFmtId="43" fontId="74" fillId="2" borderId="1" xfId="1" applyFont="1" applyFill="1" applyBorder="1" applyAlignment="1">
      <alignment horizontal="center" vertical="center"/>
    </xf>
    <xf numFmtId="43" fontId="74" fillId="2" borderId="6" xfId="1" applyFont="1" applyFill="1" applyBorder="1" applyAlignment="1">
      <alignment horizontal="center" vertical="center"/>
    </xf>
    <xf numFmtId="43" fontId="74" fillId="2" borderId="17" xfId="1" applyFont="1" applyFill="1" applyBorder="1" applyAlignment="1">
      <alignment horizontal="center" vertical="center" wrapText="1"/>
    </xf>
    <xf numFmtId="43" fontId="74" fillId="2" borderId="31" xfId="1" applyFont="1" applyFill="1" applyBorder="1" applyAlignment="1">
      <alignment horizontal="center" vertical="center" wrapText="1"/>
    </xf>
    <xf numFmtId="43" fontId="74" fillId="2" borderId="88" xfId="1" applyFont="1" applyFill="1" applyBorder="1" applyAlignment="1">
      <alignment horizontal="center" vertical="center" wrapText="1"/>
    </xf>
    <xf numFmtId="0" fontId="74" fillId="2" borderId="25" xfId="2" applyFont="1" applyFill="1" applyBorder="1" applyAlignment="1">
      <alignment horizontal="center" vertical="center"/>
    </xf>
    <xf numFmtId="0" fontId="74" fillId="2" borderId="105" xfId="2" applyFont="1" applyFill="1" applyBorder="1" applyAlignment="1">
      <alignment horizontal="center" vertical="center"/>
    </xf>
    <xf numFmtId="0" fontId="74" fillId="2" borderId="76" xfId="2" applyFont="1" applyFill="1" applyBorder="1" applyAlignment="1">
      <alignment horizontal="center" vertical="center"/>
    </xf>
    <xf numFmtId="0" fontId="74" fillId="2" borderId="92" xfId="2" applyFont="1" applyFill="1" applyBorder="1" applyAlignment="1">
      <alignment horizontal="center" vertical="center"/>
    </xf>
    <xf numFmtId="0" fontId="74" fillId="2" borderId="93" xfId="2" applyFont="1" applyFill="1" applyBorder="1" applyAlignment="1">
      <alignment horizontal="center" vertical="center"/>
    </xf>
    <xf numFmtId="0" fontId="74" fillId="2" borderId="94" xfId="2" applyFont="1" applyFill="1" applyBorder="1" applyAlignment="1">
      <alignment horizontal="center" vertical="center"/>
    </xf>
    <xf numFmtId="43" fontId="74" fillId="2" borderId="17" xfId="1" applyFont="1" applyFill="1" applyBorder="1" applyAlignment="1">
      <alignment horizontal="left" vertical="center"/>
    </xf>
    <xf numFmtId="43" fontId="74" fillId="2" borderId="0" xfId="1" applyFont="1" applyFill="1" applyBorder="1" applyAlignment="1">
      <alignment horizontal="left" vertical="center"/>
    </xf>
    <xf numFmtId="43" fontId="74" fillId="2" borderId="6" xfId="1" applyFont="1" applyFill="1" applyBorder="1" applyAlignment="1">
      <alignment horizontal="left" vertical="center"/>
    </xf>
    <xf numFmtId="0" fontId="74" fillId="2" borderId="17" xfId="2" applyFont="1" applyFill="1" applyBorder="1" applyAlignment="1">
      <alignment horizontal="center" vertical="center" wrapText="1"/>
    </xf>
    <xf numFmtId="0" fontId="74" fillId="2" borderId="0" xfId="2" applyFont="1" applyFill="1" applyBorder="1" applyAlignment="1">
      <alignment horizontal="center" vertical="center" wrapText="1"/>
    </xf>
    <xf numFmtId="0" fontId="74" fillId="2" borderId="19" xfId="2" applyFont="1" applyFill="1" applyBorder="1" applyAlignment="1">
      <alignment horizontal="center" vertical="center" wrapText="1"/>
    </xf>
    <xf numFmtId="43" fontId="74" fillId="2" borderId="18" xfId="1" applyFont="1" applyFill="1" applyBorder="1" applyAlignment="1">
      <alignment horizontal="right" vertical="center" wrapText="1"/>
    </xf>
    <xf numFmtId="43" fontId="74" fillId="2" borderId="18" xfId="1" applyFont="1" applyFill="1" applyBorder="1" applyAlignment="1">
      <alignment horizontal="center" vertical="center" wrapText="1"/>
    </xf>
    <xf numFmtId="0" fontId="74" fillId="2" borderId="31" xfId="2" applyFont="1" applyFill="1" applyBorder="1" applyAlignment="1">
      <alignment horizontal="center" vertical="center"/>
    </xf>
    <xf numFmtId="0" fontId="74" fillId="2" borderId="30" xfId="2" applyFont="1" applyFill="1" applyBorder="1" applyAlignment="1">
      <alignment horizontal="center" vertical="center"/>
    </xf>
    <xf numFmtId="0" fontId="74" fillId="2" borderId="88" xfId="2" applyFont="1" applyFill="1" applyBorder="1" applyAlignment="1">
      <alignment horizontal="center" vertical="center"/>
    </xf>
    <xf numFmtId="0" fontId="74" fillId="0" borderId="114" xfId="0" applyFont="1" applyFill="1" applyBorder="1" applyAlignment="1">
      <alignment horizontal="left" vertical="top" wrapText="1"/>
    </xf>
    <xf numFmtId="0" fontId="74" fillId="0" borderId="115" xfId="0" applyFont="1" applyFill="1" applyBorder="1" applyAlignment="1">
      <alignment horizontal="left" vertical="top" wrapText="1"/>
    </xf>
    <xf numFmtId="0" fontId="110" fillId="0" borderId="101" xfId="0" applyFont="1" applyFill="1" applyBorder="1" applyAlignment="1">
      <alignment horizontal="left" vertical="top" wrapText="1"/>
    </xf>
    <xf numFmtId="0" fontId="110" fillId="0" borderId="102" xfId="0" applyFont="1" applyFill="1" applyBorder="1" applyAlignment="1">
      <alignment horizontal="left" vertical="top" wrapText="1"/>
    </xf>
    <xf numFmtId="0" fontId="110" fillId="0" borderId="103" xfId="0" applyFont="1" applyFill="1" applyBorder="1" applyAlignment="1">
      <alignment horizontal="left" vertical="top" wrapText="1"/>
    </xf>
    <xf numFmtId="0" fontId="64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43" fontId="33" fillId="2" borderId="27" xfId="1" applyFont="1" applyFill="1" applyBorder="1" applyAlignment="1">
      <alignment horizontal="center" vertical="center"/>
    </xf>
    <xf numFmtId="0" fontId="37" fillId="2" borderId="32" xfId="0" applyFont="1" applyFill="1" applyBorder="1" applyAlignment="1">
      <alignment horizontal="left"/>
    </xf>
    <xf numFmtId="0" fontId="37" fillId="2" borderId="42" xfId="0" applyFont="1" applyFill="1" applyBorder="1" applyAlignment="1">
      <alignment horizontal="left"/>
    </xf>
    <xf numFmtId="0" fontId="37" fillId="2" borderId="28" xfId="0" applyFont="1" applyFill="1" applyBorder="1" applyAlignment="1">
      <alignment horizontal="left"/>
    </xf>
    <xf numFmtId="0" fontId="37" fillId="2" borderId="23" xfId="0" applyFont="1" applyFill="1" applyBorder="1" applyAlignment="1">
      <alignment horizontal="left"/>
    </xf>
    <xf numFmtId="0" fontId="40" fillId="2" borderId="28" xfId="0" applyFont="1" applyFill="1" applyBorder="1" applyAlignment="1">
      <alignment horizontal="left"/>
    </xf>
    <xf numFmtId="0" fontId="40" fillId="2" borderId="23" xfId="0" applyFont="1" applyFill="1" applyBorder="1" applyAlignment="1">
      <alignment horizontal="left"/>
    </xf>
    <xf numFmtId="0" fontId="37" fillId="2" borderId="7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7" fillId="2" borderId="6" xfId="0" applyFont="1" applyFill="1" applyBorder="1" applyAlignment="1">
      <alignment horizontal="left"/>
    </xf>
    <xf numFmtId="0" fontId="37" fillId="2" borderId="5" xfId="0" applyFont="1" applyFill="1" applyBorder="1" applyAlignment="1">
      <alignment horizontal="left"/>
    </xf>
    <xf numFmtId="0" fontId="37" fillId="2" borderId="30" xfId="0" applyFont="1" applyFill="1" applyBorder="1" applyAlignment="1">
      <alignment horizontal="left"/>
    </xf>
    <xf numFmtId="0" fontId="37" fillId="2" borderId="3" xfId="0" applyFont="1" applyFill="1" applyBorder="1" applyAlignment="1">
      <alignment horizontal="left"/>
    </xf>
    <xf numFmtId="0" fontId="40" fillId="2" borderId="28" xfId="0" applyFont="1" applyFill="1" applyBorder="1" applyAlignment="1">
      <alignment horizontal="right"/>
    </xf>
    <xf numFmtId="0" fontId="40" fillId="2" borderId="23" xfId="0" applyFont="1" applyFill="1" applyBorder="1" applyAlignment="1">
      <alignment horizontal="right"/>
    </xf>
    <xf numFmtId="0" fontId="40" fillId="2" borderId="29" xfId="0" applyFont="1" applyFill="1" applyBorder="1" applyAlignment="1">
      <alignment horizontal="right"/>
    </xf>
    <xf numFmtId="0" fontId="37" fillId="2" borderId="7" xfId="0" applyFont="1" applyFill="1" applyBorder="1" applyAlignment="1">
      <alignment horizontal="left" wrapText="1"/>
    </xf>
    <xf numFmtId="0" fontId="37" fillId="2" borderId="0" xfId="0" applyFont="1" applyFill="1" applyBorder="1" applyAlignment="1">
      <alignment horizontal="left" wrapText="1"/>
    </xf>
    <xf numFmtId="0" fontId="37" fillId="2" borderId="6" xfId="0" applyFont="1" applyFill="1" applyBorder="1" applyAlignment="1">
      <alignment horizontal="left" wrapText="1"/>
    </xf>
    <xf numFmtId="0" fontId="38" fillId="2" borderId="32" xfId="0" applyFont="1" applyFill="1" applyBorder="1" applyAlignment="1">
      <alignment horizontal="left" vertical="center"/>
    </xf>
    <xf numFmtId="0" fontId="38" fillId="2" borderId="42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0" fontId="38" fillId="2" borderId="5" xfId="0" applyFont="1" applyFill="1" applyBorder="1" applyAlignment="1">
      <alignment horizontal="left" vertical="center"/>
    </xf>
    <xf numFmtId="0" fontId="38" fillId="2" borderId="30" xfId="0" applyFont="1" applyFill="1" applyBorder="1" applyAlignment="1">
      <alignment horizontal="left" vertical="center"/>
    </xf>
    <xf numFmtId="0" fontId="38" fillId="2" borderId="3" xfId="0" applyFont="1" applyFill="1" applyBorder="1" applyAlignment="1">
      <alignment horizontal="left" vertical="center"/>
    </xf>
    <xf numFmtId="0" fontId="37" fillId="2" borderId="26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40" fillId="2" borderId="32" xfId="0" applyFont="1" applyFill="1" applyBorder="1" applyAlignment="1">
      <alignment horizontal="right"/>
    </xf>
    <xf numFmtId="0" fontId="40" fillId="2" borderId="42" xfId="0" applyFont="1" applyFill="1" applyBorder="1" applyAlignment="1">
      <alignment horizontal="right"/>
    </xf>
    <xf numFmtId="0" fontId="40" fillId="2" borderId="1" xfId="0" applyFont="1" applyFill="1" applyBorder="1" applyAlignment="1">
      <alignment horizontal="right"/>
    </xf>
    <xf numFmtId="0" fontId="38" fillId="2" borderId="32" xfId="0" applyFont="1" applyFill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38" fillId="2" borderId="30" xfId="0" applyFont="1" applyFill="1" applyBorder="1" applyAlignment="1">
      <alignment horizontal="center" vertical="center"/>
    </xf>
    <xf numFmtId="0" fontId="37" fillId="2" borderId="26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37" fillId="2" borderId="28" xfId="0" applyFont="1" applyFill="1" applyBorder="1" applyAlignment="1">
      <alignment horizontal="center"/>
    </xf>
    <xf numFmtId="0" fontId="37" fillId="2" borderId="29" xfId="0" applyFont="1" applyFill="1" applyBorder="1" applyAlignment="1">
      <alignment horizontal="center"/>
    </xf>
    <xf numFmtId="0" fontId="37" fillId="2" borderId="27" xfId="0" applyFont="1" applyFill="1" applyBorder="1" applyAlignment="1">
      <alignment horizontal="center" vertical="center" wrapText="1"/>
    </xf>
    <xf numFmtId="0" fontId="37" fillId="2" borderId="27" xfId="0" applyFont="1" applyFill="1" applyBorder="1" applyAlignment="1">
      <alignment horizontal="center" wrapText="1"/>
    </xf>
    <xf numFmtId="0" fontId="40" fillId="2" borderId="5" xfId="0" applyFont="1" applyFill="1" applyBorder="1" applyAlignment="1">
      <alignment horizontal="left"/>
    </xf>
    <xf numFmtId="0" fontId="40" fillId="2" borderId="30" xfId="0" applyFont="1" applyFill="1" applyBorder="1" applyAlignment="1">
      <alignment horizontal="left"/>
    </xf>
    <xf numFmtId="0" fontId="40" fillId="2" borderId="29" xfId="0" applyFont="1" applyFill="1" applyBorder="1" applyAlignment="1">
      <alignment horizontal="left"/>
    </xf>
    <xf numFmtId="0" fontId="38" fillId="2" borderId="1" xfId="0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horizontal="center" vertical="center"/>
    </xf>
    <xf numFmtId="1" fontId="40" fillId="2" borderId="33" xfId="0" applyNumberFormat="1" applyFont="1" applyFill="1" applyBorder="1" applyAlignment="1">
      <alignment horizontal="center" vertical="center"/>
    </xf>
    <xf numFmtId="0" fontId="40" fillId="2" borderId="4" xfId="0" applyFont="1" applyFill="1" applyBorder="1" applyAlignment="1">
      <alignment horizontal="center" vertical="center"/>
    </xf>
    <xf numFmtId="0" fontId="40" fillId="2" borderId="7" xfId="0" applyFont="1" applyFill="1" applyBorder="1" applyAlignment="1">
      <alignment horizontal="left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40" fillId="2" borderId="6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40" fillId="2" borderId="30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33" xfId="0" applyFont="1" applyFill="1" applyBorder="1" applyAlignment="1">
      <alignment horizontal="center" vertical="center"/>
    </xf>
    <xf numFmtId="49" fontId="40" fillId="2" borderId="33" xfId="0" applyNumberFormat="1" applyFont="1" applyFill="1" applyBorder="1" applyAlignment="1">
      <alignment horizontal="center" vertical="center"/>
    </xf>
    <xf numFmtId="49" fontId="40" fillId="2" borderId="4" xfId="0" applyNumberFormat="1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left"/>
    </xf>
    <xf numFmtId="0" fontId="28" fillId="2" borderId="23" xfId="0" applyFont="1" applyFill="1" applyBorder="1" applyAlignment="1">
      <alignment horizontal="left"/>
    </xf>
    <xf numFmtId="0" fontId="29" fillId="2" borderId="28" xfId="0" applyFont="1" applyFill="1" applyBorder="1" applyAlignment="1">
      <alignment horizontal="left"/>
    </xf>
    <xf numFmtId="0" fontId="29" fillId="2" borderId="23" xfId="0" applyFont="1" applyFill="1" applyBorder="1" applyAlignment="1">
      <alignment horizontal="left"/>
    </xf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0" fontId="28" fillId="2" borderId="26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9" fillId="2" borderId="32" xfId="0" applyFont="1" applyFill="1" applyBorder="1" applyAlignment="1">
      <alignment horizontal="right"/>
    </xf>
    <xf numFmtId="0" fontId="29" fillId="2" borderId="42" xfId="0" applyFont="1" applyFill="1" applyBorder="1" applyAlignment="1">
      <alignment horizontal="right"/>
    </xf>
    <xf numFmtId="0" fontId="29" fillId="2" borderId="1" xfId="0" applyFont="1" applyFill="1" applyBorder="1" applyAlignment="1">
      <alignment horizontal="right"/>
    </xf>
    <xf numFmtId="0" fontId="28" fillId="2" borderId="32" xfId="0" applyFont="1" applyFill="1" applyBorder="1" applyAlignment="1">
      <alignment horizontal="left"/>
    </xf>
    <xf numFmtId="0" fontId="28" fillId="2" borderId="42" xfId="0" applyFont="1" applyFill="1" applyBorder="1" applyAlignment="1">
      <alignment horizontal="left"/>
    </xf>
    <xf numFmtId="0" fontId="28" fillId="2" borderId="5" xfId="0" applyFont="1" applyFill="1" applyBorder="1" applyAlignment="1">
      <alignment horizontal="left"/>
    </xf>
    <xf numFmtId="0" fontId="28" fillId="2" borderId="30" xfId="0" applyFont="1" applyFill="1" applyBorder="1" applyAlignment="1">
      <alignment horizontal="left"/>
    </xf>
    <xf numFmtId="0" fontId="28" fillId="2" borderId="3" xfId="0" applyFont="1" applyFill="1" applyBorder="1" applyAlignment="1">
      <alignment horizontal="left"/>
    </xf>
    <xf numFmtId="0" fontId="29" fillId="2" borderId="28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right"/>
    </xf>
    <xf numFmtId="0" fontId="29" fillId="2" borderId="29" xfId="0" applyFont="1" applyFill="1" applyBorder="1" applyAlignment="1">
      <alignment horizontal="right"/>
    </xf>
    <xf numFmtId="0" fontId="30" fillId="2" borderId="32" xfId="0" applyFont="1" applyFill="1" applyBorder="1" applyAlignment="1">
      <alignment horizontal="center" vertical="center"/>
    </xf>
    <xf numFmtId="0" fontId="30" fillId="2" borderId="42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30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/>
    </xf>
    <xf numFmtId="0" fontId="28" fillId="2" borderId="29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30" fillId="2" borderId="32" xfId="0" applyFont="1" applyFill="1" applyBorder="1" applyAlignment="1">
      <alignment horizontal="left" vertical="center"/>
    </xf>
    <xf numFmtId="0" fontId="30" fillId="2" borderId="42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30" fillId="2" borderId="5" xfId="0" applyFont="1" applyFill="1" applyBorder="1" applyAlignment="1">
      <alignment horizontal="left" vertical="center"/>
    </xf>
    <xf numFmtId="0" fontId="30" fillId="2" borderId="30" xfId="0" applyFont="1" applyFill="1" applyBorder="1" applyAlignment="1">
      <alignment horizontal="left" vertical="center"/>
    </xf>
    <xf numFmtId="0" fontId="30" fillId="2" borderId="3" xfId="0" applyFont="1" applyFill="1" applyBorder="1" applyAlignment="1">
      <alignment horizontal="left" vertical="center"/>
    </xf>
    <xf numFmtId="0" fontId="28" fillId="2" borderId="27" xfId="0" applyFont="1" applyFill="1" applyBorder="1" applyAlignment="1">
      <alignment horizont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27" fillId="2" borderId="28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1" fontId="29" fillId="2" borderId="33" xfId="0" applyNumberFormat="1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left" vertical="center" wrapText="1"/>
    </xf>
    <xf numFmtId="0" fontId="29" fillId="2" borderId="0" xfId="0" applyFont="1" applyFill="1" applyBorder="1" applyAlignment="1">
      <alignment horizontal="left" vertical="center" wrapText="1"/>
    </xf>
    <xf numFmtId="0" fontId="29" fillId="2" borderId="6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center" wrapText="1"/>
    </xf>
    <xf numFmtId="0" fontId="29" fillId="2" borderId="30" xfId="0" applyFont="1" applyFill="1" applyBorder="1" applyAlignment="1">
      <alignment horizontal="left" vertical="center" wrapText="1"/>
    </xf>
    <xf numFmtId="0" fontId="29" fillId="2" borderId="3" xfId="0" applyFont="1" applyFill="1" applyBorder="1" applyAlignment="1">
      <alignment horizontal="left" vertical="center" wrapText="1"/>
    </xf>
    <xf numFmtId="0" fontId="29" fillId="2" borderId="33" xfId="0" applyFont="1" applyFill="1" applyBorder="1" applyAlignment="1">
      <alignment horizontal="center" vertical="center"/>
    </xf>
    <xf numFmtId="49" fontId="29" fillId="2" borderId="33" xfId="0" applyNumberFormat="1" applyFont="1" applyFill="1" applyBorder="1" applyAlignment="1">
      <alignment horizontal="center" vertical="center"/>
    </xf>
    <xf numFmtId="49" fontId="29" fillId="2" borderId="4" xfId="0" applyNumberFormat="1" applyFont="1" applyFill="1" applyBorder="1" applyAlignment="1">
      <alignment horizontal="center" vertical="center"/>
    </xf>
    <xf numFmtId="0" fontId="30" fillId="2" borderId="27" xfId="0" applyFont="1" applyFill="1" applyBorder="1" applyAlignment="1">
      <alignment horizontal="center" vertical="center"/>
    </xf>
    <xf numFmtId="0" fontId="28" fillId="2" borderId="32" xfId="0" applyFont="1" applyFill="1" applyBorder="1" applyAlignment="1">
      <alignment horizontal="left" vertical="top" wrapText="1"/>
    </xf>
    <xf numFmtId="0" fontId="28" fillId="2" borderId="46" xfId="0" applyFont="1" applyFill="1" applyBorder="1" applyAlignment="1">
      <alignment horizontal="left" vertical="top" wrapText="1"/>
    </xf>
    <xf numFmtId="0" fontId="28" fillId="2" borderId="47" xfId="0" applyFont="1" applyFill="1" applyBorder="1" applyAlignment="1">
      <alignment horizontal="left" vertical="top" wrapText="1"/>
    </xf>
    <xf numFmtId="0" fontId="28" fillId="2" borderId="7" xfId="0" applyFont="1" applyFill="1" applyBorder="1" applyAlignment="1">
      <alignment horizontal="left" vertical="top" wrapText="1"/>
    </xf>
    <xf numFmtId="0" fontId="28" fillId="2" borderId="0" xfId="0" applyFont="1" applyFill="1" applyBorder="1" applyAlignment="1">
      <alignment horizontal="left" vertical="top" wrapText="1"/>
    </xf>
    <xf numFmtId="0" fontId="28" fillId="2" borderId="6" xfId="0" applyFont="1" applyFill="1" applyBorder="1" applyAlignment="1">
      <alignment horizontal="left" vertical="top" wrapText="1"/>
    </xf>
    <xf numFmtId="0" fontId="28" fillId="2" borderId="7" xfId="0" applyFont="1" applyFill="1" applyBorder="1" applyAlignment="1">
      <alignment horizontal="left" wrapText="1"/>
    </xf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0" fontId="28" fillId="2" borderId="32" xfId="0" applyFont="1" applyFill="1" applyBorder="1" applyAlignment="1">
      <alignment horizontal="left" wrapText="1"/>
    </xf>
    <xf numFmtId="0" fontId="28" fillId="2" borderId="46" xfId="0" applyFont="1" applyFill="1" applyBorder="1" applyAlignment="1">
      <alignment horizontal="left" wrapText="1"/>
    </xf>
    <xf numFmtId="0" fontId="28" fillId="2" borderId="47" xfId="0" applyFont="1" applyFill="1" applyBorder="1" applyAlignment="1">
      <alignment horizontal="left" wrapText="1"/>
    </xf>
    <xf numFmtId="0" fontId="37" fillId="2" borderId="32" xfId="0" applyFont="1" applyFill="1" applyBorder="1" applyAlignment="1">
      <alignment horizontal="left" wrapText="1"/>
    </xf>
    <xf numFmtId="0" fontId="37" fillId="2" borderId="46" xfId="0" applyFont="1" applyFill="1" applyBorder="1" applyAlignment="1">
      <alignment horizontal="left" wrapText="1"/>
    </xf>
    <xf numFmtId="0" fontId="37" fillId="2" borderId="47" xfId="0" applyFont="1" applyFill="1" applyBorder="1" applyAlignment="1">
      <alignment horizontal="left" wrapText="1"/>
    </xf>
    <xf numFmtId="0" fontId="28" fillId="2" borderId="45" xfId="0" applyFont="1" applyFill="1" applyBorder="1" applyAlignment="1">
      <alignment horizontal="left"/>
    </xf>
    <xf numFmtId="0" fontId="29" fillId="2" borderId="45" xfId="0" applyFont="1" applyFill="1" applyBorder="1" applyAlignment="1">
      <alignment horizontal="right"/>
    </xf>
    <xf numFmtId="0" fontId="30" fillId="2" borderId="45" xfId="0" applyFont="1" applyFill="1" applyBorder="1" applyAlignment="1">
      <alignment horizontal="center" vertical="center"/>
    </xf>
    <xf numFmtId="0" fontId="28" fillId="2" borderId="27" xfId="0" applyFont="1" applyFill="1" applyBorder="1" applyAlignment="1">
      <alignment horizontal="center"/>
    </xf>
    <xf numFmtId="0" fontId="30" fillId="2" borderId="45" xfId="0" applyFont="1" applyFill="1" applyBorder="1" applyAlignment="1">
      <alignment horizontal="left" vertical="center"/>
    </xf>
    <xf numFmtId="0" fontId="26" fillId="2" borderId="27" xfId="0" applyFont="1" applyFill="1" applyBorder="1" applyAlignment="1">
      <alignment horizontal="center" vertical="center"/>
    </xf>
    <xf numFmtId="0" fontId="0" fillId="2" borderId="34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26" fillId="57" borderId="0" xfId="0" applyFont="1" applyFill="1" applyAlignment="1">
      <alignment horizontal="center"/>
    </xf>
    <xf numFmtId="0" fontId="95" fillId="61" borderId="37" xfId="0" applyFont="1" applyFill="1" applyBorder="1" applyAlignment="1">
      <alignment horizontal="center" vertical="center" wrapText="1"/>
    </xf>
    <xf numFmtId="0" fontId="95" fillId="61" borderId="0" xfId="0" applyFont="1" applyFill="1" applyBorder="1" applyAlignment="1">
      <alignment horizontal="center" vertical="center" wrapText="1"/>
    </xf>
    <xf numFmtId="0" fontId="95" fillId="61" borderId="82" xfId="0" applyFont="1" applyFill="1" applyBorder="1" applyAlignment="1">
      <alignment horizontal="center" vertical="center" wrapText="1"/>
    </xf>
    <xf numFmtId="0" fontId="94" fillId="60" borderId="77" xfId="0" applyFont="1" applyFill="1" applyBorder="1" applyAlignment="1">
      <alignment horizontal="center" vertical="center" wrapText="1"/>
    </xf>
    <xf numFmtId="0" fontId="94" fillId="60" borderId="81" xfId="0" applyFont="1" applyFill="1" applyBorder="1" applyAlignment="1">
      <alignment horizontal="center" vertical="center" wrapText="1"/>
    </xf>
    <xf numFmtId="0" fontId="94" fillId="60" borderId="78" xfId="0" applyFont="1" applyFill="1" applyBorder="1" applyAlignment="1">
      <alignment horizontal="center" vertical="center" wrapText="1"/>
    </xf>
    <xf numFmtId="0" fontId="94" fillId="60" borderId="79" xfId="0" applyFont="1" applyFill="1" applyBorder="1" applyAlignment="1">
      <alignment horizontal="center" vertical="center" wrapText="1"/>
    </xf>
    <xf numFmtId="0" fontId="94" fillId="60" borderId="80" xfId="0" applyFont="1" applyFill="1" applyBorder="1" applyAlignment="1">
      <alignment horizontal="center" vertical="center" wrapText="1"/>
    </xf>
    <xf numFmtId="0" fontId="94" fillId="62" borderId="77" xfId="0" applyFont="1" applyFill="1" applyBorder="1" applyAlignment="1">
      <alignment horizontal="center" vertical="center" textRotation="90" wrapText="1"/>
    </xf>
    <xf numFmtId="0" fontId="94" fillId="62" borderId="83" xfId="0" applyFont="1" applyFill="1" applyBorder="1" applyAlignment="1">
      <alignment horizontal="center" vertical="center" textRotation="90" wrapText="1"/>
    </xf>
    <xf numFmtId="0" fontId="94" fillId="62" borderId="81" xfId="0" applyFont="1" applyFill="1" applyBorder="1" applyAlignment="1">
      <alignment horizontal="center" vertical="center" textRotation="90" wrapText="1"/>
    </xf>
    <xf numFmtId="0" fontId="94" fillId="0" borderId="77" xfId="0" applyFont="1" applyBorder="1" applyAlignment="1">
      <alignment horizontal="center" vertical="center" wrapText="1"/>
    </xf>
    <xf numFmtId="0" fontId="94" fillId="0" borderId="83" xfId="0" applyFont="1" applyBorder="1" applyAlignment="1">
      <alignment horizontal="center" vertical="center" wrapText="1"/>
    </xf>
    <xf numFmtId="0" fontId="94" fillId="0" borderId="84" xfId="0" applyFont="1" applyBorder="1" applyAlignment="1">
      <alignment horizontal="center" vertical="center" wrapText="1"/>
    </xf>
    <xf numFmtId="0" fontId="94" fillId="0" borderId="81" xfId="0" applyFont="1" applyBorder="1" applyAlignment="1">
      <alignment horizontal="center" vertical="center" wrapText="1"/>
    </xf>
    <xf numFmtId="0" fontId="94" fillId="62" borderId="85" xfId="0" applyFont="1" applyFill="1" applyBorder="1" applyAlignment="1">
      <alignment horizontal="center" vertical="center" textRotation="90" wrapText="1"/>
    </xf>
    <xf numFmtId="0" fontId="94" fillId="62" borderId="84" xfId="0" applyFont="1" applyFill="1" applyBorder="1" applyAlignment="1">
      <alignment horizontal="center" vertical="center" textRotation="90" wrapText="1"/>
    </xf>
    <xf numFmtId="0" fontId="94" fillId="0" borderId="85" xfId="0" applyFont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44" xfId="0" applyFont="1" applyFill="1" applyBorder="1" applyAlignment="1">
      <alignment horizontal="center" vertical="center"/>
    </xf>
    <xf numFmtId="0" fontId="29" fillId="2" borderId="55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9" fillId="2" borderId="5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8" fillId="2" borderId="52" xfId="0" applyFont="1" applyFill="1" applyBorder="1" applyAlignment="1">
      <alignment horizontal="left" vertical="center" wrapText="1"/>
    </xf>
    <xf numFmtId="0" fontId="29" fillId="2" borderId="60" xfId="0" applyFont="1" applyFill="1" applyBorder="1" applyAlignment="1">
      <alignment horizontal="center" vertical="center"/>
    </xf>
    <xf numFmtId="0" fontId="29" fillId="0" borderId="54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/>
    </xf>
    <xf numFmtId="0" fontId="29" fillId="0" borderId="55" xfId="0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28" fillId="0" borderId="52" xfId="0" applyFont="1" applyFill="1" applyBorder="1" applyAlignment="1">
      <alignment horizontal="left" vertical="center" wrapText="1"/>
    </xf>
    <xf numFmtId="0" fontId="29" fillId="0" borderId="50" xfId="0" applyFont="1" applyFill="1" applyBorder="1" applyAlignment="1">
      <alignment horizontal="center" vertical="center"/>
    </xf>
  </cellXfs>
  <cellStyles count="53323">
    <cellStyle name="20% - Accent1" xfId="51527"/>
    <cellStyle name="20% - Accent2" xfId="51528"/>
    <cellStyle name="20% - Accent3" xfId="51529"/>
    <cellStyle name="20% - Accent4" xfId="51530"/>
    <cellStyle name="20% - Accent5" xfId="51531"/>
    <cellStyle name="20% - Accent6" xfId="51532"/>
    <cellStyle name="20% - Ênfase1" xfId="43960" builtinId="30" customBuiltin="1"/>
    <cellStyle name="20% - Ênfase1 10" xfId="51979"/>
    <cellStyle name="20% - Ênfase1 11" xfId="52021"/>
    <cellStyle name="20% - Ênfase1 12" xfId="52064"/>
    <cellStyle name="20% - Ênfase1 13" xfId="52107"/>
    <cellStyle name="20% - Ênfase1 14" xfId="52150"/>
    <cellStyle name="20% - Ênfase1 2" xfId="3"/>
    <cellStyle name="20% - Ênfase1 2 2" xfId="47953"/>
    <cellStyle name="20% - Ênfase1 2 2 2" xfId="47954"/>
    <cellStyle name="20% - Ênfase1 2 2 2 2" xfId="51298"/>
    <cellStyle name="20% - Ênfase1 2 2 3" xfId="50839"/>
    <cellStyle name="20% - Ênfase1 2 3" xfId="47955"/>
    <cellStyle name="20% - Ênfase1 2 3 2" xfId="51255"/>
    <cellStyle name="20% - Ênfase1 2 4" xfId="47956"/>
    <cellStyle name="20% - Ênfase1 2_Mem." xfId="47957"/>
    <cellStyle name="20% - Ênfase1 3" xfId="47958"/>
    <cellStyle name="20% - Ênfase1 3 2" xfId="47959"/>
    <cellStyle name="20% - Ênfase1 3 2 2" xfId="51284"/>
    <cellStyle name="20% - Ênfase1 3 3" xfId="50502"/>
    <cellStyle name="20% - Ênfase1 3 4" xfId="51672"/>
    <cellStyle name="20% - Ênfase1 4" xfId="47960"/>
    <cellStyle name="20% - Ênfase1 4 2" xfId="51313"/>
    <cellStyle name="20% - Ênfase1 4 3" xfId="51721"/>
    <cellStyle name="20% - Ênfase1 5" xfId="47961"/>
    <cellStyle name="20% - Ênfase1 5 2" xfId="51328"/>
    <cellStyle name="20% - Ênfase1 5 3" xfId="51764"/>
    <cellStyle name="20% - Ênfase1 6" xfId="47962"/>
    <cellStyle name="20% - Ênfase1 6 2" xfId="51240"/>
    <cellStyle name="20% - Ênfase1 6 3" xfId="51806"/>
    <cellStyle name="20% - Ênfase1 7" xfId="49848"/>
    <cellStyle name="20% - Ênfase1 7 2" xfId="51359"/>
    <cellStyle name="20% - Ênfase1 7 3" xfId="51848"/>
    <cellStyle name="20% - Ênfase1 8" xfId="49876"/>
    <cellStyle name="20% - Ênfase1 8 2" xfId="51890"/>
    <cellStyle name="20% - Ênfase1 9" xfId="51936"/>
    <cellStyle name="20% - Ênfase2" xfId="43964" builtinId="34" customBuiltin="1"/>
    <cellStyle name="20% - Ênfase2 10" xfId="51978"/>
    <cellStyle name="20% - Ênfase2 11" xfId="52020"/>
    <cellStyle name="20% - Ênfase2 12" xfId="52063"/>
    <cellStyle name="20% - Ênfase2 13" xfId="52106"/>
    <cellStyle name="20% - Ênfase2 14" xfId="52149"/>
    <cellStyle name="20% - Ênfase2 2" xfId="4"/>
    <cellStyle name="20% - Ênfase2 2 2" xfId="47963"/>
    <cellStyle name="20% - Ênfase2 2 2 2" xfId="47964"/>
    <cellStyle name="20% - Ênfase2 2 2 2 2" xfId="51299"/>
    <cellStyle name="20% - Ênfase2 2 2 3" xfId="50841"/>
    <cellStyle name="20% - Ênfase2 2 3" xfId="47965"/>
    <cellStyle name="20% - Ênfase2 2 3 2" xfId="51256"/>
    <cellStyle name="20% - Ênfase2 2 4" xfId="47966"/>
    <cellStyle name="20% - Ênfase2 2_Mem." xfId="47967"/>
    <cellStyle name="20% - Ênfase2 3" xfId="47968"/>
    <cellStyle name="20% - Ênfase2 3 2" xfId="47969"/>
    <cellStyle name="20% - Ênfase2 3 2 2" xfId="51286"/>
    <cellStyle name="20% - Ênfase2 3 3" xfId="50504"/>
    <cellStyle name="20% - Ênfase2 3 4" xfId="51671"/>
    <cellStyle name="20% - Ênfase2 4" xfId="47970"/>
    <cellStyle name="20% - Ênfase2 4 2" xfId="51314"/>
    <cellStyle name="20% - Ênfase2 4 3" xfId="51720"/>
    <cellStyle name="20% - Ênfase2 5" xfId="47971"/>
    <cellStyle name="20% - Ênfase2 5 2" xfId="51329"/>
    <cellStyle name="20% - Ênfase2 5 3" xfId="51763"/>
    <cellStyle name="20% - Ênfase2 6" xfId="47972"/>
    <cellStyle name="20% - Ênfase2 6 2" xfId="51242"/>
    <cellStyle name="20% - Ênfase2 6 3" xfId="51805"/>
    <cellStyle name="20% - Ênfase2 7" xfId="49850"/>
    <cellStyle name="20% - Ênfase2 7 2" xfId="51361"/>
    <cellStyle name="20% - Ênfase2 7 3" xfId="51847"/>
    <cellStyle name="20% - Ênfase2 8" xfId="49878"/>
    <cellStyle name="20% - Ênfase2 8 2" xfId="51889"/>
    <cellStyle name="20% - Ênfase2 9" xfId="51935"/>
    <cellStyle name="20% - Ênfase3" xfId="43968" builtinId="38" customBuiltin="1"/>
    <cellStyle name="20% - Ênfase3 10" xfId="51977"/>
    <cellStyle name="20% - Ênfase3 11" xfId="52019"/>
    <cellStyle name="20% - Ênfase3 12" xfId="52062"/>
    <cellStyle name="20% - Ênfase3 13" xfId="52105"/>
    <cellStyle name="20% - Ênfase3 14" xfId="52148"/>
    <cellStyle name="20% - Ênfase3 2" xfId="5"/>
    <cellStyle name="20% - Ênfase3 2 2" xfId="47973"/>
    <cellStyle name="20% - Ênfase3 2 2 2" xfId="47974"/>
    <cellStyle name="20% - Ênfase3 2 2 2 2" xfId="51300"/>
    <cellStyle name="20% - Ênfase3 2 2 3" xfId="50843"/>
    <cellStyle name="20% - Ênfase3 2 3" xfId="47975"/>
    <cellStyle name="20% - Ênfase3 2 3 2" xfId="51257"/>
    <cellStyle name="20% - Ênfase3 2 4" xfId="47976"/>
    <cellStyle name="20% - Ênfase3 2_Mem." xfId="47977"/>
    <cellStyle name="20% - Ênfase3 3" xfId="47978"/>
    <cellStyle name="20% - Ênfase3 3 2" xfId="47979"/>
    <cellStyle name="20% - Ênfase3 3 2 2" xfId="51288"/>
    <cellStyle name="20% - Ênfase3 3 3" xfId="50506"/>
    <cellStyle name="20% - Ênfase3 3 4" xfId="51670"/>
    <cellStyle name="20% - Ênfase3 4" xfId="47980"/>
    <cellStyle name="20% - Ênfase3 4 2" xfId="51315"/>
    <cellStyle name="20% - Ênfase3 4 3" xfId="51723"/>
    <cellStyle name="20% - Ênfase3 5" xfId="47981"/>
    <cellStyle name="20% - Ênfase3 5 2" xfId="51330"/>
    <cellStyle name="20% - Ênfase3 5 3" xfId="51765"/>
    <cellStyle name="20% - Ênfase3 6" xfId="47982"/>
    <cellStyle name="20% - Ênfase3 6 2" xfId="51244"/>
    <cellStyle name="20% - Ênfase3 6 3" xfId="51807"/>
    <cellStyle name="20% - Ênfase3 7" xfId="49852"/>
    <cellStyle name="20% - Ênfase3 7 2" xfId="51363"/>
    <cellStyle name="20% - Ênfase3 7 3" xfId="51851"/>
    <cellStyle name="20% - Ênfase3 8" xfId="49880"/>
    <cellStyle name="20% - Ênfase3 8 2" xfId="51888"/>
    <cellStyle name="20% - Ênfase3 9" xfId="51934"/>
    <cellStyle name="20% - Ênfase4" xfId="43972" builtinId="42" customBuiltin="1"/>
    <cellStyle name="20% - Ênfase4 10" xfId="51980"/>
    <cellStyle name="20% - Ênfase4 11" xfId="52023"/>
    <cellStyle name="20% - Ênfase4 12" xfId="52066"/>
    <cellStyle name="20% - Ênfase4 13" xfId="52109"/>
    <cellStyle name="20% - Ênfase4 14" xfId="52152"/>
    <cellStyle name="20% - Ênfase4 2" xfId="6"/>
    <cellStyle name="20% - Ênfase4 2 2" xfId="47983"/>
    <cellStyle name="20% - Ênfase4 2 2 2" xfId="47984"/>
    <cellStyle name="20% - Ênfase4 2 2 2 2" xfId="51301"/>
    <cellStyle name="20% - Ênfase4 2 2 3" xfId="50845"/>
    <cellStyle name="20% - Ênfase4 2 3" xfId="47985"/>
    <cellStyle name="20% - Ênfase4 2 3 2" xfId="51258"/>
    <cellStyle name="20% - Ênfase4 2 4" xfId="47986"/>
    <cellStyle name="20% - Ênfase4 2_Mem." xfId="47987"/>
    <cellStyle name="20% - Ênfase4 3" xfId="47988"/>
    <cellStyle name="20% - Ênfase4 3 2" xfId="47989"/>
    <cellStyle name="20% - Ênfase4 3 2 2" xfId="51290"/>
    <cellStyle name="20% - Ênfase4 3 3" xfId="50508"/>
    <cellStyle name="20% - Ênfase4 3 4" xfId="51669"/>
    <cellStyle name="20% - Ênfase4 4" xfId="47990"/>
    <cellStyle name="20% - Ênfase4 4 2" xfId="51316"/>
    <cellStyle name="20% - Ênfase4 4 3" xfId="51719"/>
    <cellStyle name="20% - Ênfase4 5" xfId="47991"/>
    <cellStyle name="20% - Ênfase4 5 2" xfId="51331"/>
    <cellStyle name="20% - Ênfase4 5 3" xfId="51762"/>
    <cellStyle name="20% - Ênfase4 6" xfId="47992"/>
    <cellStyle name="20% - Ênfase4 6 2" xfId="51246"/>
    <cellStyle name="20% - Ênfase4 6 3" xfId="51804"/>
    <cellStyle name="20% - Ênfase4 7" xfId="49854"/>
    <cellStyle name="20% - Ênfase4 7 2" xfId="51365"/>
    <cellStyle name="20% - Ênfase4 7 3" xfId="51846"/>
    <cellStyle name="20% - Ênfase4 8" xfId="49882"/>
    <cellStyle name="20% - Ênfase4 8 2" xfId="51887"/>
    <cellStyle name="20% - Ênfase4 9" xfId="51938"/>
    <cellStyle name="20% - Ênfase5" xfId="43976" builtinId="46" customBuiltin="1"/>
    <cellStyle name="20% - Ênfase5 10" xfId="51976"/>
    <cellStyle name="20% - Ênfase5 11" xfId="52018"/>
    <cellStyle name="20% - Ênfase5 12" xfId="52061"/>
    <cellStyle name="20% - Ênfase5 13" xfId="52104"/>
    <cellStyle name="20% - Ênfase5 14" xfId="52147"/>
    <cellStyle name="20% - Ênfase5 2" xfId="7"/>
    <cellStyle name="20% - Ênfase5 2 2" xfId="47993"/>
    <cellStyle name="20% - Ênfase5 2 2 2" xfId="47994"/>
    <cellStyle name="20% - Ênfase5 2 2 2 2" xfId="51302"/>
    <cellStyle name="20% - Ênfase5 2 2 3" xfId="50847"/>
    <cellStyle name="20% - Ênfase5 2 3" xfId="47995"/>
    <cellStyle name="20% - Ênfase5 2 3 2" xfId="51259"/>
    <cellStyle name="20% - Ênfase5 2 4" xfId="47996"/>
    <cellStyle name="20% - Ênfase5 2_Mem." xfId="47997"/>
    <cellStyle name="20% - Ênfase5 3" xfId="47998"/>
    <cellStyle name="20% - Ênfase5 3 2" xfId="47999"/>
    <cellStyle name="20% - Ênfase5 3 2 2" xfId="51292"/>
    <cellStyle name="20% - Ênfase5 3 3" xfId="50510"/>
    <cellStyle name="20% - Ênfase5 3 4" xfId="51668"/>
    <cellStyle name="20% - Ênfase5 4" xfId="48000"/>
    <cellStyle name="20% - Ênfase5 4 2" xfId="51317"/>
    <cellStyle name="20% - Ênfase5 4 3" xfId="51718"/>
    <cellStyle name="20% - Ênfase5 5" xfId="48001"/>
    <cellStyle name="20% - Ênfase5 5 2" xfId="51332"/>
    <cellStyle name="20% - Ênfase5 5 3" xfId="51761"/>
    <cellStyle name="20% - Ênfase5 6" xfId="48002"/>
    <cellStyle name="20% - Ênfase5 6 2" xfId="51248"/>
    <cellStyle name="20% - Ênfase5 6 3" xfId="51803"/>
    <cellStyle name="20% - Ênfase5 7" xfId="49856"/>
    <cellStyle name="20% - Ênfase5 7 2" xfId="51367"/>
    <cellStyle name="20% - Ênfase5 7 3" xfId="51845"/>
    <cellStyle name="20% - Ênfase5 8" xfId="49884"/>
    <cellStyle name="20% - Ênfase5 8 2" xfId="51886"/>
    <cellStyle name="20% - Ênfase5 9" xfId="51933"/>
    <cellStyle name="20% - Ênfase6" xfId="43980" builtinId="50" customBuiltin="1"/>
    <cellStyle name="20% - Ênfase6 10" xfId="51975"/>
    <cellStyle name="20% - Ênfase6 11" xfId="52017"/>
    <cellStyle name="20% - Ênfase6 12" xfId="52060"/>
    <cellStyle name="20% - Ênfase6 13" xfId="52103"/>
    <cellStyle name="20% - Ênfase6 14" xfId="52146"/>
    <cellStyle name="20% - Ênfase6 2" xfId="8"/>
    <cellStyle name="20% - Ênfase6 2 2" xfId="48003"/>
    <cellStyle name="20% - Ênfase6 2 2 2" xfId="48004"/>
    <cellStyle name="20% - Ênfase6 2 2 2 2" xfId="51303"/>
    <cellStyle name="20% - Ênfase6 2 2 3" xfId="50849"/>
    <cellStyle name="20% - Ênfase6 2 3" xfId="48005"/>
    <cellStyle name="20% - Ênfase6 2 3 2" xfId="51260"/>
    <cellStyle name="20% - Ênfase6 2 4" xfId="48006"/>
    <cellStyle name="20% - Ênfase6 2_Mem." xfId="48007"/>
    <cellStyle name="20% - Ênfase6 3" xfId="48008"/>
    <cellStyle name="20% - Ênfase6 3 2" xfId="48009"/>
    <cellStyle name="20% - Ênfase6 3 2 2" xfId="51294"/>
    <cellStyle name="20% - Ênfase6 3 3" xfId="50512"/>
    <cellStyle name="20% - Ênfase6 3 4" xfId="51667"/>
    <cellStyle name="20% - Ênfase6 4" xfId="48010"/>
    <cellStyle name="20% - Ênfase6 4 2" xfId="51318"/>
    <cellStyle name="20% - Ênfase6 4 3" xfId="51717"/>
    <cellStyle name="20% - Ênfase6 5" xfId="48011"/>
    <cellStyle name="20% - Ênfase6 5 2" xfId="51333"/>
    <cellStyle name="20% - Ênfase6 5 3" xfId="51760"/>
    <cellStyle name="20% - Ênfase6 6" xfId="48012"/>
    <cellStyle name="20% - Ênfase6 6 2" xfId="51250"/>
    <cellStyle name="20% - Ênfase6 6 3" xfId="51802"/>
    <cellStyle name="20% - Ênfase6 7" xfId="49858"/>
    <cellStyle name="20% - Ênfase6 7 2" xfId="51369"/>
    <cellStyle name="20% - Ênfase6 7 3" xfId="51844"/>
    <cellStyle name="20% - Ênfase6 8" xfId="49886"/>
    <cellStyle name="20% - Ênfase6 8 2" xfId="51885"/>
    <cellStyle name="20% - Ênfase6 9" xfId="51932"/>
    <cellStyle name="40% - Accent1" xfId="51533"/>
    <cellStyle name="40% - Accent2" xfId="51534"/>
    <cellStyle name="40% - Accent3" xfId="51535"/>
    <cellStyle name="40% - Accent4" xfId="51536"/>
    <cellStyle name="40% - Accent5" xfId="51537"/>
    <cellStyle name="40% - Accent6" xfId="51538"/>
    <cellStyle name="40% - Ênfase1" xfId="43961" builtinId="31" customBuiltin="1"/>
    <cellStyle name="40% - Ênfase1 10" xfId="51974"/>
    <cellStyle name="40% - Ênfase1 11" xfId="52016"/>
    <cellStyle name="40% - Ênfase1 12" xfId="52059"/>
    <cellStyle name="40% - Ênfase1 13" xfId="52102"/>
    <cellStyle name="40% - Ênfase1 14" xfId="52145"/>
    <cellStyle name="40% - Ênfase1 2" xfId="9"/>
    <cellStyle name="40% - Ênfase1 2 2" xfId="48013"/>
    <cellStyle name="40% - Ênfase1 2 2 2" xfId="48014"/>
    <cellStyle name="40% - Ênfase1 2 2 2 2" xfId="51304"/>
    <cellStyle name="40% - Ênfase1 2 2 3" xfId="50840"/>
    <cellStyle name="40% - Ênfase1 2 3" xfId="48015"/>
    <cellStyle name="40% - Ênfase1 2 3 2" xfId="51261"/>
    <cellStyle name="40% - Ênfase1 2 4" xfId="48016"/>
    <cellStyle name="40% - Ênfase1 2_Mem." xfId="48017"/>
    <cellStyle name="40% - Ênfase1 3" xfId="48018"/>
    <cellStyle name="40% - Ênfase1 3 2" xfId="48019"/>
    <cellStyle name="40% - Ênfase1 3 2 2" xfId="51285"/>
    <cellStyle name="40% - Ênfase1 3 3" xfId="50503"/>
    <cellStyle name="40% - Ênfase1 3 4" xfId="51666"/>
    <cellStyle name="40% - Ênfase1 4" xfId="48020"/>
    <cellStyle name="40% - Ênfase1 4 2" xfId="51319"/>
    <cellStyle name="40% - Ênfase1 4 3" xfId="51716"/>
    <cellStyle name="40% - Ênfase1 5" xfId="48021"/>
    <cellStyle name="40% - Ênfase1 5 2" xfId="51334"/>
    <cellStyle name="40% - Ênfase1 5 3" xfId="51759"/>
    <cellStyle name="40% - Ênfase1 6" xfId="48022"/>
    <cellStyle name="40% - Ênfase1 6 2" xfId="51241"/>
    <cellStyle name="40% - Ênfase1 6 3" xfId="51801"/>
    <cellStyle name="40% - Ênfase1 7" xfId="49849"/>
    <cellStyle name="40% - Ênfase1 7 2" xfId="51360"/>
    <cellStyle name="40% - Ênfase1 7 3" xfId="51843"/>
    <cellStyle name="40% - Ênfase1 8" xfId="49877"/>
    <cellStyle name="40% - Ênfase1 8 2" xfId="51884"/>
    <cellStyle name="40% - Ênfase1 9" xfId="51931"/>
    <cellStyle name="40% - Ênfase2" xfId="43965" builtinId="35" customBuiltin="1"/>
    <cellStyle name="40% - Ênfase2 10" xfId="51973"/>
    <cellStyle name="40% - Ênfase2 11" xfId="52015"/>
    <cellStyle name="40% - Ênfase2 12" xfId="52058"/>
    <cellStyle name="40% - Ênfase2 13" xfId="52101"/>
    <cellStyle name="40% - Ênfase2 14" xfId="52144"/>
    <cellStyle name="40% - Ênfase2 2" xfId="10"/>
    <cellStyle name="40% - Ênfase2 2 2" xfId="48023"/>
    <cellStyle name="40% - Ênfase2 2 2 2" xfId="48024"/>
    <cellStyle name="40% - Ênfase2 2 2 2 2" xfId="51305"/>
    <cellStyle name="40% - Ênfase2 2 2 3" xfId="50842"/>
    <cellStyle name="40% - Ênfase2 2 3" xfId="48025"/>
    <cellStyle name="40% - Ênfase2 2 3 2" xfId="51262"/>
    <cellStyle name="40% - Ênfase2 2 4" xfId="48026"/>
    <cellStyle name="40% - Ênfase2 2_Mem." xfId="48027"/>
    <cellStyle name="40% - Ênfase2 3" xfId="48028"/>
    <cellStyle name="40% - Ênfase2 3 2" xfId="48029"/>
    <cellStyle name="40% - Ênfase2 3 2 2" xfId="51287"/>
    <cellStyle name="40% - Ênfase2 3 3" xfId="50505"/>
    <cellStyle name="40% - Ênfase2 3 4" xfId="51665"/>
    <cellStyle name="40% - Ênfase2 4" xfId="48030"/>
    <cellStyle name="40% - Ênfase2 4 2" xfId="51320"/>
    <cellStyle name="40% - Ênfase2 4 3" xfId="51715"/>
    <cellStyle name="40% - Ênfase2 5" xfId="48031"/>
    <cellStyle name="40% - Ênfase2 5 2" xfId="51335"/>
    <cellStyle name="40% - Ênfase2 5 3" xfId="51758"/>
    <cellStyle name="40% - Ênfase2 6" xfId="48032"/>
    <cellStyle name="40% - Ênfase2 6 2" xfId="51243"/>
    <cellStyle name="40% - Ênfase2 6 3" xfId="51800"/>
    <cellStyle name="40% - Ênfase2 7" xfId="49851"/>
    <cellStyle name="40% - Ênfase2 7 2" xfId="51362"/>
    <cellStyle name="40% - Ênfase2 7 3" xfId="51842"/>
    <cellStyle name="40% - Ênfase2 8" xfId="49879"/>
    <cellStyle name="40% - Ênfase2 8 2" xfId="51883"/>
    <cellStyle name="40% - Ênfase2 9" xfId="51930"/>
    <cellStyle name="40% - Ênfase3" xfId="43969" builtinId="39" customBuiltin="1"/>
    <cellStyle name="40% - Ênfase3 10" xfId="51972"/>
    <cellStyle name="40% - Ênfase3 11" xfId="52014"/>
    <cellStyle name="40% - Ênfase3 12" xfId="52057"/>
    <cellStyle name="40% - Ênfase3 13" xfId="52100"/>
    <cellStyle name="40% - Ênfase3 14" xfId="52143"/>
    <cellStyle name="40% - Ênfase3 2" xfId="11"/>
    <cellStyle name="40% - Ênfase3 2 2" xfId="48033"/>
    <cellStyle name="40% - Ênfase3 2 2 2" xfId="48034"/>
    <cellStyle name="40% - Ênfase3 2 2 2 2" xfId="51306"/>
    <cellStyle name="40% - Ênfase3 2 2 3" xfId="50844"/>
    <cellStyle name="40% - Ênfase3 2 3" xfId="48035"/>
    <cellStyle name="40% - Ênfase3 2 3 2" xfId="51263"/>
    <cellStyle name="40% - Ênfase3 2 4" xfId="48036"/>
    <cellStyle name="40% - Ênfase3 2_Mem." xfId="48037"/>
    <cellStyle name="40% - Ênfase3 3" xfId="48038"/>
    <cellStyle name="40% - Ênfase3 3 2" xfId="48039"/>
    <cellStyle name="40% - Ênfase3 3 2 2" xfId="51289"/>
    <cellStyle name="40% - Ênfase3 3 3" xfId="50507"/>
    <cellStyle name="40% - Ênfase3 3 4" xfId="51664"/>
    <cellStyle name="40% - Ênfase3 4" xfId="48040"/>
    <cellStyle name="40% - Ênfase3 4 2" xfId="51321"/>
    <cellStyle name="40% - Ênfase3 4 3" xfId="51714"/>
    <cellStyle name="40% - Ênfase3 5" xfId="48041"/>
    <cellStyle name="40% - Ênfase3 5 2" xfId="51336"/>
    <cellStyle name="40% - Ênfase3 5 3" xfId="51757"/>
    <cellStyle name="40% - Ênfase3 6" xfId="48042"/>
    <cellStyle name="40% - Ênfase3 6 2" xfId="51245"/>
    <cellStyle name="40% - Ênfase3 6 3" xfId="51799"/>
    <cellStyle name="40% - Ênfase3 7" xfId="49853"/>
    <cellStyle name="40% - Ênfase3 7 2" xfId="51364"/>
    <cellStyle name="40% - Ênfase3 7 3" xfId="51841"/>
    <cellStyle name="40% - Ênfase3 8" xfId="49881"/>
    <cellStyle name="40% - Ênfase3 8 2" xfId="51882"/>
    <cellStyle name="40% - Ênfase3 9" xfId="51929"/>
    <cellStyle name="40% - Ênfase4" xfId="43973" builtinId="43" customBuiltin="1"/>
    <cellStyle name="40% - Ênfase4 10" xfId="51971"/>
    <cellStyle name="40% - Ênfase4 11" xfId="52013"/>
    <cellStyle name="40% - Ênfase4 12" xfId="52056"/>
    <cellStyle name="40% - Ênfase4 13" xfId="52099"/>
    <cellStyle name="40% - Ênfase4 14" xfId="52142"/>
    <cellStyle name="40% - Ênfase4 2" xfId="12"/>
    <cellStyle name="40% - Ênfase4 2 2" xfId="48043"/>
    <cellStyle name="40% - Ênfase4 2 2 2" xfId="48044"/>
    <cellStyle name="40% - Ênfase4 2 2 2 2" xfId="51307"/>
    <cellStyle name="40% - Ênfase4 2 2 3" xfId="50846"/>
    <cellStyle name="40% - Ênfase4 2 3" xfId="48045"/>
    <cellStyle name="40% - Ênfase4 2 3 2" xfId="51264"/>
    <cellStyle name="40% - Ênfase4 2 4" xfId="48046"/>
    <cellStyle name="40% - Ênfase4 2_Mem." xfId="48047"/>
    <cellStyle name="40% - Ênfase4 3" xfId="48048"/>
    <cellStyle name="40% - Ênfase4 3 2" xfId="48049"/>
    <cellStyle name="40% - Ênfase4 3 2 2" xfId="51291"/>
    <cellStyle name="40% - Ênfase4 3 3" xfId="50509"/>
    <cellStyle name="40% - Ênfase4 3 4" xfId="51663"/>
    <cellStyle name="40% - Ênfase4 4" xfId="48050"/>
    <cellStyle name="40% - Ênfase4 4 2" xfId="51322"/>
    <cellStyle name="40% - Ênfase4 4 3" xfId="51713"/>
    <cellStyle name="40% - Ênfase4 5" xfId="48051"/>
    <cellStyle name="40% - Ênfase4 5 2" xfId="51337"/>
    <cellStyle name="40% - Ênfase4 5 3" xfId="51756"/>
    <cellStyle name="40% - Ênfase4 6" xfId="48052"/>
    <cellStyle name="40% - Ênfase4 6 2" xfId="51247"/>
    <cellStyle name="40% - Ênfase4 6 3" xfId="51798"/>
    <cellStyle name="40% - Ênfase4 7" xfId="49855"/>
    <cellStyle name="40% - Ênfase4 7 2" xfId="51366"/>
    <cellStyle name="40% - Ênfase4 7 3" xfId="51840"/>
    <cellStyle name="40% - Ênfase4 8" xfId="49883"/>
    <cellStyle name="40% - Ênfase4 8 2" xfId="51881"/>
    <cellStyle name="40% - Ênfase4 9" xfId="51928"/>
    <cellStyle name="40% - Ênfase5" xfId="43977" builtinId="47" customBuiltin="1"/>
    <cellStyle name="40% - Ênfase5 10" xfId="51970"/>
    <cellStyle name="40% - Ênfase5 11" xfId="52012"/>
    <cellStyle name="40% - Ênfase5 12" xfId="52055"/>
    <cellStyle name="40% - Ênfase5 13" xfId="52098"/>
    <cellStyle name="40% - Ênfase5 14" xfId="52141"/>
    <cellStyle name="40% - Ênfase5 2" xfId="13"/>
    <cellStyle name="40% - Ênfase5 2 2" xfId="48053"/>
    <cellStyle name="40% - Ênfase5 2 2 2" xfId="48054"/>
    <cellStyle name="40% - Ênfase5 2 2 2 2" xfId="51308"/>
    <cellStyle name="40% - Ênfase5 2 2 3" xfId="50848"/>
    <cellStyle name="40% - Ênfase5 2 3" xfId="48055"/>
    <cellStyle name="40% - Ênfase5 2 3 2" xfId="51265"/>
    <cellStyle name="40% - Ênfase5 2 4" xfId="48056"/>
    <cellStyle name="40% - Ênfase5 2_Mem." xfId="48057"/>
    <cellStyle name="40% - Ênfase5 3" xfId="48058"/>
    <cellStyle name="40% - Ênfase5 3 2" xfId="48059"/>
    <cellStyle name="40% - Ênfase5 3 2 2" xfId="51293"/>
    <cellStyle name="40% - Ênfase5 3 3" xfId="50511"/>
    <cellStyle name="40% - Ênfase5 3 4" xfId="51662"/>
    <cellStyle name="40% - Ênfase5 4" xfId="48060"/>
    <cellStyle name="40% - Ênfase5 4 2" xfId="51323"/>
    <cellStyle name="40% - Ênfase5 4 3" xfId="51712"/>
    <cellStyle name="40% - Ênfase5 5" xfId="48061"/>
    <cellStyle name="40% - Ênfase5 5 2" xfId="51338"/>
    <cellStyle name="40% - Ênfase5 5 3" xfId="51755"/>
    <cellStyle name="40% - Ênfase5 6" xfId="48062"/>
    <cellStyle name="40% - Ênfase5 6 2" xfId="51249"/>
    <cellStyle name="40% - Ênfase5 6 3" xfId="51797"/>
    <cellStyle name="40% - Ênfase5 7" xfId="49857"/>
    <cellStyle name="40% - Ênfase5 7 2" xfId="51368"/>
    <cellStyle name="40% - Ênfase5 7 3" xfId="51839"/>
    <cellStyle name="40% - Ênfase5 8" xfId="49885"/>
    <cellStyle name="40% - Ênfase5 8 2" xfId="51880"/>
    <cellStyle name="40% - Ênfase5 9" xfId="51927"/>
    <cellStyle name="40% - Ênfase6" xfId="43981" builtinId="51" customBuiltin="1"/>
    <cellStyle name="40% - Ênfase6 10" xfId="51969"/>
    <cellStyle name="40% - Ênfase6 11" xfId="52011"/>
    <cellStyle name="40% - Ênfase6 12" xfId="52054"/>
    <cellStyle name="40% - Ênfase6 13" xfId="52097"/>
    <cellStyle name="40% - Ênfase6 14" xfId="52140"/>
    <cellStyle name="40% - Ênfase6 2" xfId="14"/>
    <cellStyle name="40% - Ênfase6 2 2" xfId="48063"/>
    <cellStyle name="40% - Ênfase6 2 2 2" xfId="48064"/>
    <cellStyle name="40% - Ênfase6 2 2 2 2" xfId="51309"/>
    <cellStyle name="40% - Ênfase6 2 2 3" xfId="50850"/>
    <cellStyle name="40% - Ênfase6 2 3" xfId="48065"/>
    <cellStyle name="40% - Ênfase6 2 3 2" xfId="51266"/>
    <cellStyle name="40% - Ênfase6 2 4" xfId="48066"/>
    <cellStyle name="40% - Ênfase6 2_Mem." xfId="48067"/>
    <cellStyle name="40% - Ênfase6 3" xfId="48068"/>
    <cellStyle name="40% - Ênfase6 3 2" xfId="48069"/>
    <cellStyle name="40% - Ênfase6 3 2 2" xfId="51295"/>
    <cellStyle name="40% - Ênfase6 3 3" xfId="50513"/>
    <cellStyle name="40% - Ênfase6 3 4" xfId="51661"/>
    <cellStyle name="40% - Ênfase6 4" xfId="48070"/>
    <cellStyle name="40% - Ênfase6 4 2" xfId="51324"/>
    <cellStyle name="40% - Ênfase6 4 3" xfId="51711"/>
    <cellStyle name="40% - Ênfase6 5" xfId="48071"/>
    <cellStyle name="40% - Ênfase6 5 2" xfId="51339"/>
    <cellStyle name="40% - Ênfase6 5 3" xfId="51754"/>
    <cellStyle name="40% - Ênfase6 6" xfId="48072"/>
    <cellStyle name="40% - Ênfase6 6 2" xfId="51251"/>
    <cellStyle name="40% - Ênfase6 6 3" xfId="51796"/>
    <cellStyle name="40% - Ênfase6 7" xfId="49859"/>
    <cellStyle name="40% - Ênfase6 7 2" xfId="51370"/>
    <cellStyle name="40% - Ênfase6 7 3" xfId="51838"/>
    <cellStyle name="40% - Ênfase6 8" xfId="49887"/>
    <cellStyle name="40% - Ênfase6 8 2" xfId="51879"/>
    <cellStyle name="40% - Ênfase6 9" xfId="51926"/>
    <cellStyle name="60% - Accent1" xfId="51539"/>
    <cellStyle name="60% - Accent2" xfId="51540"/>
    <cellStyle name="60% - Accent3" xfId="51541"/>
    <cellStyle name="60% - Accent4" xfId="51542"/>
    <cellStyle name="60% - Accent5" xfId="51543"/>
    <cellStyle name="60% - Accent6" xfId="51544"/>
    <cellStyle name="60% - Ênfase1" xfId="43962" builtinId="32" customBuiltin="1"/>
    <cellStyle name="60% - Ênfase1 10" xfId="51968"/>
    <cellStyle name="60% - Ênfase1 11" xfId="52010"/>
    <cellStyle name="60% - Ênfase1 12" xfId="52053"/>
    <cellStyle name="60% - Ênfase1 13" xfId="52096"/>
    <cellStyle name="60% - Ênfase1 14" xfId="52139"/>
    <cellStyle name="60% - Ênfase1 2" xfId="15"/>
    <cellStyle name="60% - Ênfase1 3" xfId="51660"/>
    <cellStyle name="60% - Ênfase1 4" xfId="51710"/>
    <cellStyle name="60% - Ênfase1 5" xfId="51753"/>
    <cellStyle name="60% - Ênfase1 6" xfId="51795"/>
    <cellStyle name="60% - Ênfase1 7" xfId="51837"/>
    <cellStyle name="60% - Ênfase1 8" xfId="51878"/>
    <cellStyle name="60% - Ênfase1 9" xfId="51925"/>
    <cellStyle name="60% - Ênfase2" xfId="43966" builtinId="36" customBuiltin="1"/>
    <cellStyle name="60% - Ênfase2 10" xfId="51967"/>
    <cellStyle name="60% - Ênfase2 11" xfId="52009"/>
    <cellStyle name="60% - Ênfase2 12" xfId="52052"/>
    <cellStyle name="60% - Ênfase2 13" xfId="52095"/>
    <cellStyle name="60% - Ênfase2 14" xfId="52138"/>
    <cellStyle name="60% - Ênfase2 2" xfId="16"/>
    <cellStyle name="60% - Ênfase2 3" xfId="51659"/>
    <cellStyle name="60% - Ênfase2 4" xfId="51709"/>
    <cellStyle name="60% - Ênfase2 5" xfId="51752"/>
    <cellStyle name="60% - Ênfase2 6" xfId="51794"/>
    <cellStyle name="60% - Ênfase2 7" xfId="51836"/>
    <cellStyle name="60% - Ênfase2 8" xfId="51877"/>
    <cellStyle name="60% - Ênfase2 9" xfId="51924"/>
    <cellStyle name="60% - Ênfase3" xfId="43970" builtinId="40" customBuiltin="1"/>
    <cellStyle name="60% - Ênfase3 10" xfId="51966"/>
    <cellStyle name="60% - Ênfase3 11" xfId="52008"/>
    <cellStyle name="60% - Ênfase3 12" xfId="52051"/>
    <cellStyle name="60% - Ênfase3 13" xfId="52094"/>
    <cellStyle name="60% - Ênfase3 14" xfId="52137"/>
    <cellStyle name="60% - Ênfase3 2" xfId="17"/>
    <cellStyle name="60% - Ênfase3 3" xfId="51658"/>
    <cellStyle name="60% - Ênfase3 4" xfId="51708"/>
    <cellStyle name="60% - Ênfase3 5" xfId="51751"/>
    <cellStyle name="60% - Ênfase3 6" xfId="51793"/>
    <cellStyle name="60% - Ênfase3 7" xfId="51835"/>
    <cellStyle name="60% - Ênfase3 8" xfId="51876"/>
    <cellStyle name="60% - Ênfase3 9" xfId="51923"/>
    <cellStyle name="60% - Ênfase4" xfId="43974" builtinId="44" customBuiltin="1"/>
    <cellStyle name="60% - Ênfase4 10" xfId="51965"/>
    <cellStyle name="60% - Ênfase4 11" xfId="52007"/>
    <cellStyle name="60% - Ênfase4 12" xfId="52050"/>
    <cellStyle name="60% - Ênfase4 13" xfId="52093"/>
    <cellStyle name="60% - Ênfase4 14" xfId="52136"/>
    <cellStyle name="60% - Ênfase4 2" xfId="18"/>
    <cellStyle name="60% - Ênfase4 3" xfId="51657"/>
    <cellStyle name="60% - Ênfase4 4" xfId="51707"/>
    <cellStyle name="60% - Ênfase4 5" xfId="51750"/>
    <cellStyle name="60% - Ênfase4 6" xfId="51792"/>
    <cellStyle name="60% - Ênfase4 7" xfId="51834"/>
    <cellStyle name="60% - Ênfase4 8" xfId="51875"/>
    <cellStyle name="60% - Ênfase4 9" xfId="51922"/>
    <cellStyle name="60% - Ênfase5" xfId="43978" builtinId="48" customBuiltin="1"/>
    <cellStyle name="60% - Ênfase5 10" xfId="51964"/>
    <cellStyle name="60% - Ênfase5 11" xfId="52006"/>
    <cellStyle name="60% - Ênfase5 12" xfId="52049"/>
    <cellStyle name="60% - Ênfase5 13" xfId="52092"/>
    <cellStyle name="60% - Ênfase5 14" xfId="52135"/>
    <cellStyle name="60% - Ênfase5 2" xfId="19"/>
    <cellStyle name="60% - Ênfase5 3" xfId="51656"/>
    <cellStyle name="60% - Ênfase5 4" xfId="51706"/>
    <cellStyle name="60% - Ênfase5 5" xfId="51749"/>
    <cellStyle name="60% - Ênfase5 6" xfId="51791"/>
    <cellStyle name="60% - Ênfase5 7" xfId="51833"/>
    <cellStyle name="60% - Ênfase5 8" xfId="51874"/>
    <cellStyle name="60% - Ênfase5 9" xfId="51921"/>
    <cellStyle name="60% - Ênfase6" xfId="43982" builtinId="52" customBuiltin="1"/>
    <cellStyle name="60% - Ênfase6 10" xfId="51963"/>
    <cellStyle name="60% - Ênfase6 11" xfId="52005"/>
    <cellStyle name="60% - Ênfase6 12" xfId="52048"/>
    <cellStyle name="60% - Ênfase6 13" xfId="52091"/>
    <cellStyle name="60% - Ênfase6 14" xfId="52134"/>
    <cellStyle name="60% - Ênfase6 2" xfId="20"/>
    <cellStyle name="60% - Ênfase6 3" xfId="51655"/>
    <cellStyle name="60% - Ênfase6 4" xfId="51705"/>
    <cellStyle name="60% - Ênfase6 5" xfId="51748"/>
    <cellStyle name="60% - Ênfase6 6" xfId="51790"/>
    <cellStyle name="60% - Ênfase6 7" xfId="51832"/>
    <cellStyle name="60% - Ênfase6 8" xfId="51873"/>
    <cellStyle name="60% - Ênfase6 9" xfId="51920"/>
    <cellStyle name="Accent1" xfId="51545"/>
    <cellStyle name="Accent2" xfId="51546"/>
    <cellStyle name="Accent3" xfId="51547"/>
    <cellStyle name="Accent4" xfId="51548"/>
    <cellStyle name="Accent5" xfId="51549"/>
    <cellStyle name="Accent6" xfId="51550"/>
    <cellStyle name="asd" xfId="21"/>
    <cellStyle name="asd 10" xfId="747"/>
    <cellStyle name="asd 10 10" xfId="3708"/>
    <cellStyle name="asd 10 11" xfId="3008"/>
    <cellStyle name="asd 10 12" xfId="3167"/>
    <cellStyle name="asd 10 13" xfId="2742"/>
    <cellStyle name="asd 10 14" xfId="2859"/>
    <cellStyle name="asd 10 15" xfId="8983"/>
    <cellStyle name="asd 10 16" xfId="14327"/>
    <cellStyle name="asd 10 17" xfId="2067"/>
    <cellStyle name="asd 10 18" xfId="4357"/>
    <cellStyle name="asd 10 19" xfId="4351"/>
    <cellStyle name="asd 10 2" xfId="3466"/>
    <cellStyle name="asd 10 2 10" xfId="12861"/>
    <cellStyle name="asd 10 2 11" xfId="14766"/>
    <cellStyle name="asd 10 2 12" xfId="16879"/>
    <cellStyle name="asd 10 2 13" xfId="18786"/>
    <cellStyle name="asd 10 2 14" xfId="20698"/>
    <cellStyle name="asd 10 2 15" xfId="22394"/>
    <cellStyle name="asd 10 2 16" xfId="24500"/>
    <cellStyle name="asd 10 2 17" xfId="26672"/>
    <cellStyle name="asd 10 2 18" xfId="28254"/>
    <cellStyle name="asd 10 2 19" xfId="30272"/>
    <cellStyle name="asd 10 2 2" xfId="3646"/>
    <cellStyle name="asd 10 2 2 10" xfId="17537"/>
    <cellStyle name="asd 10 2 2 11" xfId="19443"/>
    <cellStyle name="asd 10 2 2 12" xfId="21355"/>
    <cellStyle name="asd 10 2 2 13" xfId="23201"/>
    <cellStyle name="asd 10 2 2 14" xfId="25157"/>
    <cellStyle name="asd 10 2 2 15" xfId="26242"/>
    <cellStyle name="asd 10 2 2 16" xfId="1829"/>
    <cellStyle name="asd 10 2 2 17" xfId="29852"/>
    <cellStyle name="asd 10 2 2 18" xfId="32564"/>
    <cellStyle name="asd 10 2 2 19" xfId="33398"/>
    <cellStyle name="asd 10 2 2 2" xfId="4412"/>
    <cellStyle name="asd 10 2 2 2 10" xfId="20656"/>
    <cellStyle name="asd 10 2 2 2 11" xfId="22723"/>
    <cellStyle name="asd 10 2 2 2 12" xfId="24458"/>
    <cellStyle name="asd 10 2 2 2 13" xfId="26365"/>
    <cellStyle name="asd 10 2 2 2 14" xfId="28404"/>
    <cellStyle name="asd 10 2 2 2 15" xfId="29973"/>
    <cellStyle name="asd 10 2 2 2 16" xfId="32549"/>
    <cellStyle name="asd 10 2 2 2 17" xfId="33452"/>
    <cellStyle name="asd 10 2 2 2 18" xfId="35286"/>
    <cellStyle name="asd 10 2 2 2 19" xfId="37164"/>
    <cellStyle name="asd 10 2 2 2 2" xfId="2886"/>
    <cellStyle name="asd 10 2 2 2 20" xfId="39762"/>
    <cellStyle name="asd 10 2 2 2 21" xfId="41434"/>
    <cellStyle name="asd 10 2 2 2 22" xfId="42521"/>
    <cellStyle name="asd 10 2 2 2 3" xfId="4474"/>
    <cellStyle name="asd 10 2 2 2 4" xfId="9218"/>
    <cellStyle name="asd 10 2 2 2 5" xfId="11659"/>
    <cellStyle name="asd 10 2 2 2 6" xfId="13192"/>
    <cellStyle name="asd 10 2 2 2 7" xfId="15095"/>
    <cellStyle name="asd 10 2 2 2 8" xfId="16837"/>
    <cellStyle name="asd 10 2 2 2 9" xfId="18744"/>
    <cellStyle name="asd 10 2 2 20" xfId="35984"/>
    <cellStyle name="asd 10 2 2 21" xfId="37863"/>
    <cellStyle name="asd 10 2 2 22" xfId="39776"/>
    <cellStyle name="asd 10 2 2 23" xfId="41446"/>
    <cellStyle name="asd 10 2 2 24" xfId="42979"/>
    <cellStyle name="asd 10 2 2 3" xfId="5107"/>
    <cellStyle name="asd 10 2 2 4" xfId="6557"/>
    <cellStyle name="asd 10 2 2 5" xfId="8008"/>
    <cellStyle name="asd 10 2 2 6" xfId="9918"/>
    <cellStyle name="asd 10 2 2 7" xfId="11067"/>
    <cellStyle name="asd 10 2 2 8" xfId="13673"/>
    <cellStyle name="asd 10 2 2 9" xfId="15575"/>
    <cellStyle name="asd 10 2 20" xfId="33033"/>
    <cellStyle name="asd 10 2 21" xfId="34509"/>
    <cellStyle name="asd 10 2 22" xfId="35328"/>
    <cellStyle name="asd 10 2 23" xfId="37206"/>
    <cellStyle name="asd 10 2 24" xfId="40232"/>
    <cellStyle name="asd 10 2 25" xfId="41891"/>
    <cellStyle name="asd 10 2 26" xfId="42205"/>
    <cellStyle name="asd 10 2 3" xfId="3918"/>
    <cellStyle name="asd 10 2 3 10" xfId="19614"/>
    <cellStyle name="asd 10 2 3 11" xfId="21526"/>
    <cellStyle name="asd 10 2 3 12" xfId="24000"/>
    <cellStyle name="asd 10 2 3 13" xfId="25328"/>
    <cellStyle name="asd 10 2 3 14" xfId="26241"/>
    <cellStyle name="asd 10 2 3 15" xfId="29282"/>
    <cellStyle name="asd 10 2 3 16" xfId="29851"/>
    <cellStyle name="asd 10 2 3 17" xfId="33126"/>
    <cellStyle name="asd 10 2 3 18" xfId="34341"/>
    <cellStyle name="asd 10 2 3 19" xfId="36155"/>
    <cellStyle name="asd 10 2 3 2" xfId="5884"/>
    <cellStyle name="asd 10 2 3 2 10" xfId="22134"/>
    <cellStyle name="asd 10 2 3 2 11" xfId="23569"/>
    <cellStyle name="asd 10 2 3 2 12" xfId="25936"/>
    <cellStyle name="asd 10 2 3 2 13" xfId="26677"/>
    <cellStyle name="asd 10 2 3 2 14" xfId="28284"/>
    <cellStyle name="asd 10 2 3 2 15" xfId="30277"/>
    <cellStyle name="asd 10 2 3 2 16" xfId="33096"/>
    <cellStyle name="asd 10 2 3 2 17" xfId="33716"/>
    <cellStyle name="asd 10 2 3 2 18" xfId="36763"/>
    <cellStyle name="asd 10 2 3 2 19" xfId="38642"/>
    <cellStyle name="asd 10 2 3 2 2" xfId="7333"/>
    <cellStyle name="asd 10 2 3 2 20" xfId="40292"/>
    <cellStyle name="asd 10 2 3 2 21" xfId="41948"/>
    <cellStyle name="asd 10 2 3 2 22" xfId="43333"/>
    <cellStyle name="asd 10 2 3 2 3" xfId="8787"/>
    <cellStyle name="asd 10 2 3 2 4" xfId="10697"/>
    <cellStyle name="asd 10 2 3 2 5" xfId="12562"/>
    <cellStyle name="asd 10 2 3 2 6" xfId="14041"/>
    <cellStyle name="asd 10 2 3 2 7" xfId="15942"/>
    <cellStyle name="asd 10 2 3 2 8" xfId="18316"/>
    <cellStyle name="asd 10 2 3 2 9" xfId="20222"/>
    <cellStyle name="asd 10 2 3 20" xfId="38034"/>
    <cellStyle name="asd 10 2 3 21" xfId="40320"/>
    <cellStyle name="asd 10 2 3 22" xfId="41976"/>
    <cellStyle name="asd 10 2 3 23" xfId="43744"/>
    <cellStyle name="asd 10 2 3 3" xfId="5278"/>
    <cellStyle name="asd 10 2 3 4" xfId="8179"/>
    <cellStyle name="asd 10 2 3 5" xfId="10089"/>
    <cellStyle name="asd 10 2 3 6" xfId="11959"/>
    <cellStyle name="asd 10 2 3 7" xfId="14470"/>
    <cellStyle name="asd 10 2 3 8" xfId="16376"/>
    <cellStyle name="asd 10 2 3 9" xfId="17708"/>
    <cellStyle name="asd 10 2 4" xfId="4098"/>
    <cellStyle name="asd 10 2 4 10" xfId="19733"/>
    <cellStyle name="asd 10 2 4 11" xfId="21645"/>
    <cellStyle name="asd 10 2 4 12" xfId="23861"/>
    <cellStyle name="asd 10 2 4 13" xfId="25447"/>
    <cellStyle name="asd 10 2 4 14" xfId="26705"/>
    <cellStyle name="asd 10 2 4 15" xfId="28557"/>
    <cellStyle name="asd 10 2 4 16" xfId="30305"/>
    <cellStyle name="asd 10 2 4 17" xfId="31667"/>
    <cellStyle name="asd 10 2 4 18" xfId="33948"/>
    <cellStyle name="asd 10 2 4 19" xfId="36274"/>
    <cellStyle name="asd 10 2 4 2" xfId="6003"/>
    <cellStyle name="asd 10 2 4 2 10" xfId="22253"/>
    <cellStyle name="asd 10 2 4 2 11" xfId="23323"/>
    <cellStyle name="asd 10 2 4 2 12" xfId="26055"/>
    <cellStyle name="asd 10 2 4 2 13" xfId="27456"/>
    <cellStyle name="asd 10 2 4 2 14" xfId="29476"/>
    <cellStyle name="asd 10 2 4 2 15" xfId="31043"/>
    <cellStyle name="asd 10 2 4 2 16" xfId="32513"/>
    <cellStyle name="asd 10 2 4 2 17" xfId="34407"/>
    <cellStyle name="asd 10 2 4 2 18" xfId="36882"/>
    <cellStyle name="asd 10 2 4 2 19" xfId="38761"/>
    <cellStyle name="asd 10 2 4 2 2" xfId="7452"/>
    <cellStyle name="asd 10 2 4 2 20" xfId="39728"/>
    <cellStyle name="asd 10 2 4 2 21" xfId="41400"/>
    <cellStyle name="asd 10 2 4 2 22" xfId="43094"/>
    <cellStyle name="asd 10 2 4 2 3" xfId="8906"/>
    <cellStyle name="asd 10 2 4 2 4" xfId="10816"/>
    <cellStyle name="asd 10 2 4 2 5" xfId="12223"/>
    <cellStyle name="asd 10 2 4 2 6" xfId="13795"/>
    <cellStyle name="asd 10 2 4 2 7" xfId="15697"/>
    <cellStyle name="asd 10 2 4 2 8" xfId="18435"/>
    <cellStyle name="asd 10 2 4 2 9" xfId="20341"/>
    <cellStyle name="asd 10 2 4 20" xfId="38153"/>
    <cellStyle name="asd 10 2 4 21" xfId="38911"/>
    <cellStyle name="asd 10 2 4 22" xfId="40595"/>
    <cellStyle name="asd 10 2 4 23" xfId="43611"/>
    <cellStyle name="asd 10 2 4 3" xfId="6844"/>
    <cellStyle name="asd 10 2 4 4" xfId="8298"/>
    <cellStyle name="asd 10 2 4 5" xfId="10208"/>
    <cellStyle name="asd 10 2 4 6" xfId="11706"/>
    <cellStyle name="asd 10 2 4 7" xfId="14331"/>
    <cellStyle name="asd 10 2 4 8" xfId="16235"/>
    <cellStyle name="asd 10 2 4 9" xfId="17827"/>
    <cellStyle name="asd 10 2 5" xfId="4951"/>
    <cellStyle name="asd 10 2 5 10" xfId="21199"/>
    <cellStyle name="asd 10 2 5 11" xfId="23174"/>
    <cellStyle name="asd 10 2 5 12" xfId="25001"/>
    <cellStyle name="asd 10 2 5 13" xfId="26755"/>
    <cellStyle name="asd 10 2 5 14" xfId="28614"/>
    <cellStyle name="asd 10 2 5 15" xfId="30354"/>
    <cellStyle name="asd 10 2 5 16" xfId="32498"/>
    <cellStyle name="asd 10 2 5 17" xfId="34435"/>
    <cellStyle name="asd 10 2 5 18" xfId="35828"/>
    <cellStyle name="asd 10 2 5 19" xfId="37707"/>
    <cellStyle name="asd 10 2 5 2" xfId="6401"/>
    <cellStyle name="asd 10 2 5 20" xfId="39713"/>
    <cellStyle name="asd 10 2 5 21" xfId="41385"/>
    <cellStyle name="asd 10 2 5 22" xfId="42952"/>
    <cellStyle name="asd 10 2 5 3" xfId="7852"/>
    <cellStyle name="asd 10 2 5 4" xfId="9762"/>
    <cellStyle name="asd 10 2 5 5" xfId="10995"/>
    <cellStyle name="asd 10 2 5 6" xfId="13645"/>
    <cellStyle name="asd 10 2 5 7" xfId="15548"/>
    <cellStyle name="asd 10 2 5 8" xfId="17381"/>
    <cellStyle name="asd 10 2 5 9" xfId="19287"/>
    <cellStyle name="asd 10 2 6" xfId="3073"/>
    <cellStyle name="asd 10 2 6 10" xfId="20605"/>
    <cellStyle name="asd 10 2 6 11" xfId="23910"/>
    <cellStyle name="asd 10 2 6 12" xfId="24407"/>
    <cellStyle name="asd 10 2 6 13" xfId="27791"/>
    <cellStyle name="asd 10 2 6 14" xfId="29627"/>
    <cellStyle name="asd 10 2 6 15" xfId="31368"/>
    <cellStyle name="asd 10 2 6 16" xfId="32291"/>
    <cellStyle name="asd 10 2 6 17" xfId="34485"/>
    <cellStyle name="asd 10 2 6 18" xfId="35235"/>
    <cellStyle name="asd 10 2 6 19" xfId="37113"/>
    <cellStyle name="asd 10 2 6 2" xfId="2016"/>
    <cellStyle name="asd 10 2 6 20" xfId="39511"/>
    <cellStyle name="asd 10 2 6 21" xfId="41185"/>
    <cellStyle name="asd 10 2 6 22" xfId="43656"/>
    <cellStyle name="asd 10 2 6 3" xfId="4178"/>
    <cellStyle name="asd 10 2 6 4" xfId="9167"/>
    <cellStyle name="asd 10 2 6 5" xfId="11869"/>
    <cellStyle name="asd 10 2 6 6" xfId="14378"/>
    <cellStyle name="asd 10 2 6 7" xfId="16284"/>
    <cellStyle name="asd 10 2 6 8" xfId="16786"/>
    <cellStyle name="asd 10 2 6 9" xfId="18693"/>
    <cellStyle name="asd 10 2 7" xfId="5369"/>
    <cellStyle name="asd 10 2 8" xfId="9260"/>
    <cellStyle name="asd 10 2 9" xfId="11673"/>
    <cellStyle name="asd 10 20" xfId="2453"/>
    <cellStyle name="asd 10 21" xfId="2887"/>
    <cellStyle name="asd 10 22" xfId="32554"/>
    <cellStyle name="asd 10 23" xfId="31140"/>
    <cellStyle name="asd 10 24" xfId="33508"/>
    <cellStyle name="asd 10 25" xfId="2219"/>
    <cellStyle name="asd 10 26" xfId="28269"/>
    <cellStyle name="asd 10 27" xfId="33299"/>
    <cellStyle name="asd 10 3" xfId="3481"/>
    <cellStyle name="asd 10 3 10" xfId="14474"/>
    <cellStyle name="asd 10 3 11" xfId="16380"/>
    <cellStyle name="asd 10 3 12" xfId="16916"/>
    <cellStyle name="asd 10 3 13" xfId="18823"/>
    <cellStyle name="asd 10 3 14" xfId="20735"/>
    <cellStyle name="asd 10 3 15" xfId="24004"/>
    <cellStyle name="asd 10 3 16" xfId="24537"/>
    <cellStyle name="asd 10 3 17" xfId="26869"/>
    <cellStyle name="asd 10 3 18" xfId="29536"/>
    <cellStyle name="asd 10 3 19" xfId="30465"/>
    <cellStyle name="asd 10 3 2" xfId="3661"/>
    <cellStyle name="asd 10 3 2 10" xfId="17552"/>
    <cellStyle name="asd 10 3 2 11" xfId="19458"/>
    <cellStyle name="asd 10 3 2 12" xfId="21370"/>
    <cellStyle name="asd 10 3 2 13" xfId="23315"/>
    <cellStyle name="asd 10 3 2 14" xfId="25172"/>
    <cellStyle name="asd 10 3 2 15" xfId="26820"/>
    <cellStyle name="asd 10 3 2 16" xfId="28479"/>
    <cellStyle name="asd 10 3 2 17" xfId="30419"/>
    <cellStyle name="asd 10 3 2 18" xfId="32394"/>
    <cellStyle name="asd 10 3 2 19" xfId="34906"/>
    <cellStyle name="asd 10 3 2 2" xfId="5646"/>
    <cellStyle name="asd 10 3 2 2 10" xfId="21896"/>
    <cellStyle name="asd 10 3 2 2 11" xfId="22990"/>
    <cellStyle name="asd 10 3 2 2 12" xfId="25698"/>
    <cellStyle name="asd 10 3 2 2 13" xfId="27338"/>
    <cellStyle name="asd 10 3 2 2 14" xfId="28049"/>
    <cellStyle name="asd 10 3 2 2 15" xfId="30927"/>
    <cellStyle name="asd 10 3 2 2 16" xfId="33060"/>
    <cellStyle name="asd 10 3 2 2 17" xfId="34122"/>
    <cellStyle name="asd 10 3 2 2 18" xfId="36525"/>
    <cellStyle name="asd 10 3 2 2 19" xfId="38404"/>
    <cellStyle name="asd 10 3 2 2 2" xfId="7095"/>
    <cellStyle name="asd 10 3 2 2 20" xfId="40256"/>
    <cellStyle name="asd 10 3 2 2 21" xfId="41914"/>
    <cellStyle name="asd 10 3 2 2 22" xfId="42776"/>
    <cellStyle name="asd 10 3 2 2 3" xfId="8549"/>
    <cellStyle name="asd 10 3 2 2 4" xfId="10459"/>
    <cellStyle name="asd 10 3 2 2 5" xfId="11311"/>
    <cellStyle name="asd 10 3 2 2 6" xfId="13459"/>
    <cellStyle name="asd 10 3 2 2 7" xfId="15364"/>
    <cellStyle name="asd 10 3 2 2 8" xfId="18078"/>
    <cellStyle name="asd 10 3 2 2 9" xfId="19984"/>
    <cellStyle name="asd 10 3 2 20" xfId="35999"/>
    <cellStyle name="asd 10 3 2 21" xfId="37878"/>
    <cellStyle name="asd 10 3 2 22" xfId="39611"/>
    <cellStyle name="asd 10 3 2 23" xfId="41285"/>
    <cellStyle name="asd 10 3 2 24" xfId="43087"/>
    <cellStyle name="asd 10 3 2 3" xfId="5122"/>
    <cellStyle name="asd 10 3 2 4" xfId="6572"/>
    <cellStyle name="asd 10 3 2 5" xfId="8023"/>
    <cellStyle name="asd 10 3 2 6" xfId="9933"/>
    <cellStyle name="asd 10 3 2 7" xfId="10964"/>
    <cellStyle name="asd 10 3 2 8" xfId="13787"/>
    <cellStyle name="asd 10 3 2 9" xfId="15689"/>
    <cellStyle name="asd 10 3 20" xfId="31877"/>
    <cellStyle name="asd 10 3 21" xfId="33710"/>
    <cellStyle name="asd 10 3 22" xfId="35365"/>
    <cellStyle name="asd 10 3 23" xfId="37243"/>
    <cellStyle name="asd 10 3 24" xfId="39112"/>
    <cellStyle name="asd 10 3 25" xfId="40793"/>
    <cellStyle name="asd 10 3 26" xfId="43748"/>
    <cellStyle name="asd 10 3 3" xfId="3840"/>
    <cellStyle name="asd 10 3 3 10" xfId="19563"/>
    <cellStyle name="asd 10 3 3 11" xfId="21475"/>
    <cellStyle name="asd 10 3 3 12" xfId="23688"/>
    <cellStyle name="asd 10 3 3 13" xfId="25277"/>
    <cellStyle name="asd 10 3 3 14" xfId="27319"/>
    <cellStyle name="asd 10 3 3 15" xfId="29659"/>
    <cellStyle name="asd 10 3 3 16" xfId="30909"/>
    <cellStyle name="asd 10 3 3 17" xfId="32081"/>
    <cellStyle name="asd 10 3 3 18" xfId="34830"/>
    <cellStyle name="asd 10 3 3 19" xfId="36104"/>
    <cellStyle name="asd 10 3 3 2" xfId="5833"/>
    <cellStyle name="asd 10 3 3 2 10" xfId="22083"/>
    <cellStyle name="asd 10 3 3 2 11" xfId="23702"/>
    <cellStyle name="asd 10 3 3 2 12" xfId="25885"/>
    <cellStyle name="asd 10 3 3 2 13" xfId="27874"/>
    <cellStyle name="asd 10 3 3 2 14" xfId="18527"/>
    <cellStyle name="asd 10 3 3 2 15" xfId="31455"/>
    <cellStyle name="asd 10 3 3 2 16" xfId="32460"/>
    <cellStyle name="asd 10 3 3 2 17" xfId="26404"/>
    <cellStyle name="asd 10 3 3 2 18" xfId="36712"/>
    <cellStyle name="asd 10 3 3 2 19" xfId="38591"/>
    <cellStyle name="asd 10 3 3 2 2" xfId="7282"/>
    <cellStyle name="asd 10 3 3 2 20" xfId="39678"/>
    <cellStyle name="asd 10 3 3 2 21" xfId="41351"/>
    <cellStyle name="asd 10 3 3 2 22" xfId="43459"/>
    <cellStyle name="asd 10 3 3 2 3" xfId="8736"/>
    <cellStyle name="asd 10 3 3 2 4" xfId="10646"/>
    <cellStyle name="asd 10 3 3 2 5" xfId="11681"/>
    <cellStyle name="asd 10 3 3 2 6" xfId="14172"/>
    <cellStyle name="asd 10 3 3 2 7" xfId="16076"/>
    <cellStyle name="asd 10 3 3 2 8" xfId="18265"/>
    <cellStyle name="asd 10 3 3 2 9" xfId="20171"/>
    <cellStyle name="asd 10 3 3 20" xfId="37983"/>
    <cellStyle name="asd 10 3 3 21" xfId="39305"/>
    <cellStyle name="asd 10 3 3 22" xfId="40981"/>
    <cellStyle name="asd 10 3 3 23" xfId="43445"/>
    <cellStyle name="asd 10 3 3 3" xfId="5227"/>
    <cellStyle name="asd 10 3 3 4" xfId="8128"/>
    <cellStyle name="asd 10 3 3 5" xfId="10038"/>
    <cellStyle name="asd 10 3 3 6" xfId="11414"/>
    <cellStyle name="asd 10 3 3 7" xfId="14158"/>
    <cellStyle name="asd 10 3 3 8" xfId="16062"/>
    <cellStyle name="asd 10 3 3 9" xfId="17657"/>
    <cellStyle name="asd 10 3 4" xfId="4113"/>
    <cellStyle name="asd 10 3 4 10" xfId="19748"/>
    <cellStyle name="asd 10 3 4 11" xfId="21660"/>
    <cellStyle name="asd 10 3 4 12" xfId="23659"/>
    <cellStyle name="asd 10 3 4 13" xfId="25462"/>
    <cellStyle name="asd 10 3 4 14" xfId="27678"/>
    <cellStyle name="asd 10 3 4 15" xfId="28878"/>
    <cellStyle name="asd 10 3 4 16" xfId="31253"/>
    <cellStyle name="asd 10 3 4 17" xfId="32151"/>
    <cellStyle name="asd 10 3 4 18" xfId="34681"/>
    <cellStyle name="asd 10 3 4 19" xfId="36289"/>
    <cellStyle name="asd 10 3 4 2" xfId="6018"/>
    <cellStyle name="asd 10 3 4 2 10" xfId="22268"/>
    <cellStyle name="asd 10 3 4 2 11" xfId="23424"/>
    <cellStyle name="asd 10 3 4 2 12" xfId="26070"/>
    <cellStyle name="asd 10 3 4 2 13" xfId="27866"/>
    <cellStyle name="asd 10 3 4 2 14" xfId="29370"/>
    <cellStyle name="asd 10 3 4 2 15" xfId="31447"/>
    <cellStyle name="asd 10 3 4 2 16" xfId="32814"/>
    <cellStyle name="asd 10 3 4 2 17" xfId="33431"/>
    <cellStyle name="asd 10 3 4 2 18" xfId="36897"/>
    <cellStyle name="asd 10 3 4 2 19" xfId="38776"/>
    <cellStyle name="asd 10 3 4 2 2" xfId="7467"/>
    <cellStyle name="asd 10 3 4 2 20" xfId="40023"/>
    <cellStyle name="asd 10 3 4 2 21" xfId="41687"/>
    <cellStyle name="asd 10 3 4 2 22" xfId="43191"/>
    <cellStyle name="asd 10 3 4 2 3" xfId="8921"/>
    <cellStyle name="asd 10 3 4 2 4" xfId="10831"/>
    <cellStyle name="asd 10 3 4 2 5" xfId="12265"/>
    <cellStyle name="asd 10 3 4 2 6" xfId="13896"/>
    <cellStyle name="asd 10 3 4 2 7" xfId="15797"/>
    <cellStyle name="asd 10 3 4 2 8" xfId="18450"/>
    <cellStyle name="asd 10 3 4 2 9" xfId="20356"/>
    <cellStyle name="asd 10 3 4 20" xfId="38168"/>
    <cellStyle name="asd 10 3 4 21" xfId="39374"/>
    <cellStyle name="asd 10 3 4 22" xfId="41050"/>
    <cellStyle name="asd 10 3 4 23" xfId="43417"/>
    <cellStyle name="asd 10 3 4 3" xfId="6859"/>
    <cellStyle name="asd 10 3 4 4" xfId="8313"/>
    <cellStyle name="asd 10 3 4 5" xfId="10223"/>
    <cellStyle name="asd 10 3 4 6" xfId="11847"/>
    <cellStyle name="asd 10 3 4 7" xfId="14129"/>
    <cellStyle name="asd 10 3 4 8" xfId="16032"/>
    <cellStyle name="asd 10 3 4 9" xfId="17842"/>
    <cellStyle name="asd 10 3 5" xfId="4963"/>
    <cellStyle name="asd 10 3 5 10" xfId="21211"/>
    <cellStyle name="asd 10 3 5 11" xfId="23958"/>
    <cellStyle name="asd 10 3 5 12" xfId="25013"/>
    <cellStyle name="asd 10 3 5 13" xfId="27607"/>
    <cellStyle name="asd 10 3 5 14" xfId="28071"/>
    <cellStyle name="asd 10 3 5 15" xfId="31185"/>
    <cellStyle name="asd 10 3 5 16" xfId="32465"/>
    <cellStyle name="asd 10 3 5 17" xfId="33933"/>
    <cellStyle name="asd 10 3 5 18" xfId="35840"/>
    <cellStyle name="asd 10 3 5 19" xfId="37719"/>
    <cellStyle name="asd 10 3 5 2" xfId="6413"/>
    <cellStyle name="asd 10 3 5 20" xfId="39683"/>
    <cellStyle name="asd 10 3 5 21" xfId="41356"/>
    <cellStyle name="asd 10 3 5 22" xfId="43704"/>
    <cellStyle name="asd 10 3 5 3" xfId="7864"/>
    <cellStyle name="asd 10 3 5 4" xfId="9774"/>
    <cellStyle name="asd 10 3 5 5" xfId="11918"/>
    <cellStyle name="asd 10 3 5 6" xfId="14428"/>
    <cellStyle name="asd 10 3 5 7" xfId="16334"/>
    <cellStyle name="asd 10 3 5 8" xfId="17393"/>
    <cellStyle name="asd 10 3 5 9" xfId="19299"/>
    <cellStyle name="asd 10 3 6" xfId="5650"/>
    <cellStyle name="asd 10 3 6 10" xfId="21900"/>
    <cellStyle name="asd 10 3 6 11" xfId="22822"/>
    <cellStyle name="asd 10 3 6 12" xfId="25702"/>
    <cellStyle name="asd 10 3 6 13" xfId="20435"/>
    <cellStyle name="asd 10 3 6 14" xfId="2412"/>
    <cellStyle name="asd 10 3 6 15" xfId="10888"/>
    <cellStyle name="asd 10 3 6 16" xfId="5426"/>
    <cellStyle name="asd 10 3 6 17" xfId="33295"/>
    <cellStyle name="asd 10 3 6 18" xfId="36529"/>
    <cellStyle name="asd 10 3 6 19" xfId="38408"/>
    <cellStyle name="asd 10 3 6 2" xfId="7099"/>
    <cellStyle name="asd 10 3 6 20" xfId="29640"/>
    <cellStyle name="asd 10 3 6 21" xfId="1807"/>
    <cellStyle name="asd 10 3 6 22" xfId="42615"/>
    <cellStyle name="asd 10 3 6 3" xfId="8553"/>
    <cellStyle name="asd 10 3 6 4" xfId="10463"/>
    <cellStyle name="asd 10 3 6 5" xfId="12275"/>
    <cellStyle name="asd 10 3 6 6" xfId="13292"/>
    <cellStyle name="asd 10 3 6 7" xfId="15196"/>
    <cellStyle name="asd 10 3 6 8" xfId="18082"/>
    <cellStyle name="asd 10 3 6 9" xfId="19988"/>
    <cellStyle name="asd 10 3 7" xfId="6162"/>
    <cellStyle name="asd 10 3 8" xfId="9297"/>
    <cellStyle name="asd 10 3 9" xfId="11963"/>
    <cellStyle name="asd 10 4" xfId="3422"/>
    <cellStyle name="asd 10 4 10" xfId="15275"/>
    <cellStyle name="asd 10 4 11" xfId="16793"/>
    <cellStyle name="asd 10 4 12" xfId="18700"/>
    <cellStyle name="asd 10 4 13" xfId="20612"/>
    <cellStyle name="asd 10 4 14" xfId="22902"/>
    <cellStyle name="asd 10 4 15" xfId="24414"/>
    <cellStyle name="asd 10 4 16" xfId="27454"/>
    <cellStyle name="asd 10 4 17" xfId="28114"/>
    <cellStyle name="asd 10 4 18" xfId="31041"/>
    <cellStyle name="asd 10 4 19" xfId="33196"/>
    <cellStyle name="asd 10 4 2" xfId="3602"/>
    <cellStyle name="asd 10 4 2 10" xfId="17493"/>
    <cellStyle name="asd 10 4 2 11" xfId="19399"/>
    <cellStyle name="asd 10 4 2 12" xfId="21311"/>
    <cellStyle name="asd 10 4 2 13" xfId="22947"/>
    <cellStyle name="asd 10 4 2 14" xfId="25113"/>
    <cellStyle name="asd 10 4 2 15" xfId="27549"/>
    <cellStyle name="asd 10 4 2 16" xfId="28139"/>
    <cellStyle name="asd 10 4 2 17" xfId="31130"/>
    <cellStyle name="asd 10 4 2 18" xfId="32114"/>
    <cellStyle name="asd 10 4 2 19" xfId="33820"/>
    <cellStyle name="asd 10 4 2 2" xfId="5554"/>
    <cellStyle name="asd 10 4 2 2 10" xfId="21804"/>
    <cellStyle name="asd 10 4 2 2 11" xfId="23496"/>
    <cellStyle name="asd 10 4 2 2 12" xfId="25606"/>
    <cellStyle name="asd 10 4 2 2 13" xfId="26342"/>
    <cellStyle name="asd 10 4 2 2 14" xfId="29004"/>
    <cellStyle name="asd 10 4 2 2 15" xfId="29950"/>
    <cellStyle name="asd 10 4 2 2 16" xfId="32925"/>
    <cellStyle name="asd 10 4 2 2 17" xfId="34635"/>
    <cellStyle name="asd 10 4 2 2 18" xfId="36433"/>
    <cellStyle name="asd 10 4 2 2 19" xfId="38312"/>
    <cellStyle name="asd 10 4 2 2 2" xfId="7003"/>
    <cellStyle name="asd 10 4 2 2 20" xfId="40129"/>
    <cellStyle name="asd 10 4 2 2 21" xfId="41788"/>
    <cellStyle name="asd 10 4 2 2 22" xfId="43262"/>
    <cellStyle name="asd 10 4 2 2 3" xfId="8457"/>
    <cellStyle name="asd 10 4 2 2 4" xfId="10367"/>
    <cellStyle name="asd 10 4 2 2 5" xfId="12557"/>
    <cellStyle name="asd 10 4 2 2 6" xfId="13968"/>
    <cellStyle name="asd 10 4 2 2 7" xfId="15869"/>
    <cellStyle name="asd 10 4 2 2 8" xfId="17986"/>
    <cellStyle name="asd 10 4 2 2 9" xfId="19892"/>
    <cellStyle name="asd 10 4 2 20" xfId="35940"/>
    <cellStyle name="asd 10 4 2 21" xfId="37819"/>
    <cellStyle name="asd 10 4 2 22" xfId="39338"/>
    <cellStyle name="asd 10 4 2 23" xfId="41014"/>
    <cellStyle name="asd 10 4 2 24" xfId="42733"/>
    <cellStyle name="asd 10 4 2 3" xfId="5063"/>
    <cellStyle name="asd 10 4 2 4" xfId="6513"/>
    <cellStyle name="asd 10 4 2 5" xfId="7964"/>
    <cellStyle name="asd 10 4 2 6" xfId="9874"/>
    <cellStyle name="asd 10 4 2 7" xfId="11179"/>
    <cellStyle name="asd 10 4 2 8" xfId="13415"/>
    <cellStyle name="asd 10 4 2 9" xfId="15320"/>
    <cellStyle name="asd 10 4 20" xfId="34585"/>
    <cellStyle name="asd 10 4 21" xfId="35242"/>
    <cellStyle name="asd 10 4 22" xfId="37120"/>
    <cellStyle name="asd 10 4 23" xfId="40386"/>
    <cellStyle name="asd 10 4 24" xfId="42042"/>
    <cellStyle name="asd 10 4 25" xfId="42688"/>
    <cellStyle name="asd 10 4 3" xfId="3916"/>
    <cellStyle name="asd 10 4 3 10" xfId="19612"/>
    <cellStyle name="asd 10 4 3 11" xfId="21524"/>
    <cellStyle name="asd 10 4 3 12" xfId="24092"/>
    <cellStyle name="asd 10 4 3 13" xfId="25326"/>
    <cellStyle name="asd 10 4 3 14" xfId="27437"/>
    <cellStyle name="asd 10 4 3 15" xfId="29177"/>
    <cellStyle name="asd 10 4 3 16" xfId="31023"/>
    <cellStyle name="asd 10 4 3 17" xfId="31650"/>
    <cellStyle name="asd 10 4 3 18" xfId="33855"/>
    <cellStyle name="asd 10 4 3 19" xfId="36153"/>
    <cellStyle name="asd 10 4 3 2" xfId="5882"/>
    <cellStyle name="asd 10 4 3 2 10" xfId="22132"/>
    <cellStyle name="asd 10 4 3 2 11" xfId="22561"/>
    <cellStyle name="asd 10 4 3 2 12" xfId="25934"/>
    <cellStyle name="asd 10 4 3 2 13" xfId="26967"/>
    <cellStyle name="asd 10 4 3 2 14" xfId="28448"/>
    <cellStyle name="asd 10 4 3 2 15" xfId="30561"/>
    <cellStyle name="asd 10 4 3 2 16" xfId="31941"/>
    <cellStyle name="asd 10 4 3 2 17" xfId="34881"/>
    <cellStyle name="asd 10 4 3 2 18" xfId="36761"/>
    <cellStyle name="asd 10 4 3 2 19" xfId="38640"/>
    <cellStyle name="asd 10 4 3 2 2" xfId="7331"/>
    <cellStyle name="asd 10 4 3 2 20" xfId="39171"/>
    <cellStyle name="asd 10 4 3 2 21" xfId="40852"/>
    <cellStyle name="asd 10 4 3 2 22" xfId="42370"/>
    <cellStyle name="asd 10 4 3 2 3" xfId="8785"/>
    <cellStyle name="asd 10 4 3 2 4" xfId="10695"/>
    <cellStyle name="asd 10 4 3 2 5" xfId="12736"/>
    <cellStyle name="asd 10 4 3 2 6" xfId="13029"/>
    <cellStyle name="asd 10 4 3 2 7" xfId="14933"/>
    <cellStyle name="asd 10 4 3 2 8" xfId="18314"/>
    <cellStyle name="asd 10 4 3 2 9" xfId="20220"/>
    <cellStyle name="asd 10 4 3 20" xfId="38032"/>
    <cellStyle name="asd 10 4 3 21" xfId="38895"/>
    <cellStyle name="asd 10 4 3 22" xfId="40580"/>
    <cellStyle name="asd 10 4 3 23" xfId="43835"/>
    <cellStyle name="asd 10 4 3 3" xfId="5276"/>
    <cellStyle name="asd 10 4 3 4" xfId="8177"/>
    <cellStyle name="asd 10 4 3 5" xfId="10087"/>
    <cellStyle name="asd 10 4 3 6" xfId="12051"/>
    <cellStyle name="asd 10 4 3 7" xfId="14562"/>
    <cellStyle name="asd 10 4 3 8" xfId="16468"/>
    <cellStyle name="asd 10 4 3 9" xfId="17706"/>
    <cellStyle name="asd 10 4 4" xfId="4054"/>
    <cellStyle name="asd 10 4 4 10" xfId="19689"/>
    <cellStyle name="asd 10 4 4 11" xfId="21601"/>
    <cellStyle name="asd 10 4 4 12" xfId="22852"/>
    <cellStyle name="asd 10 4 4 13" xfId="25403"/>
    <cellStyle name="asd 10 4 4 14" xfId="27198"/>
    <cellStyle name="asd 10 4 4 15" xfId="28646"/>
    <cellStyle name="asd 10 4 4 16" xfId="30789"/>
    <cellStyle name="asd 10 4 4 17" xfId="31905"/>
    <cellStyle name="asd 10 4 4 18" xfId="33947"/>
    <cellStyle name="asd 10 4 4 19" xfId="36230"/>
    <cellStyle name="asd 10 4 4 2" xfId="5959"/>
    <cellStyle name="asd 10 4 4 2 10" xfId="22209"/>
    <cellStyle name="asd 10 4 4 2 11" xfId="23482"/>
    <cellStyle name="asd 10 4 4 2 12" xfId="26011"/>
    <cellStyle name="asd 10 4 4 2 13" xfId="27324"/>
    <cellStyle name="asd 10 4 4 2 14" xfId="28199"/>
    <cellStyle name="asd 10 4 4 2 15" xfId="30914"/>
    <cellStyle name="asd 10 4 4 2 16" xfId="33020"/>
    <cellStyle name="asd 10 4 4 2 17" xfId="34184"/>
    <cellStyle name="asd 10 4 4 2 18" xfId="36838"/>
    <cellStyle name="asd 10 4 4 2 19" xfId="38717"/>
    <cellStyle name="asd 10 4 4 2 2" xfId="7408"/>
    <cellStyle name="asd 10 4 4 2 20" xfId="40220"/>
    <cellStyle name="asd 10 4 4 2 21" xfId="41879"/>
    <cellStyle name="asd 10 4 4 2 22" xfId="43248"/>
    <cellStyle name="asd 10 4 4 2 3" xfId="8862"/>
    <cellStyle name="asd 10 4 4 2 4" xfId="10772"/>
    <cellStyle name="asd 10 4 4 2 5" xfId="11064"/>
    <cellStyle name="asd 10 4 4 2 6" xfId="13954"/>
    <cellStyle name="asd 10 4 4 2 7" xfId="15855"/>
    <cellStyle name="asd 10 4 4 2 8" xfId="18391"/>
    <cellStyle name="asd 10 4 4 2 9" xfId="20297"/>
    <cellStyle name="asd 10 4 4 20" xfId="38109"/>
    <cellStyle name="asd 10 4 4 21" xfId="39137"/>
    <cellStyle name="asd 10 4 4 22" xfId="40818"/>
    <cellStyle name="asd 10 4 4 23" xfId="42643"/>
    <cellStyle name="asd 10 4 4 3" xfId="6800"/>
    <cellStyle name="asd 10 4 4 4" xfId="8254"/>
    <cellStyle name="asd 10 4 4 5" xfId="10164"/>
    <cellStyle name="asd 10 4 4 6" xfId="12272"/>
    <cellStyle name="asd 10 4 4 7" xfId="13321"/>
    <cellStyle name="asd 10 4 4 8" xfId="15225"/>
    <cellStyle name="asd 10 4 4 9" xfId="17783"/>
    <cellStyle name="asd 10 4 5" xfId="5674"/>
    <cellStyle name="asd 10 4 5 10" xfId="21924"/>
    <cellStyle name="asd 10 4 5 11" xfId="22489"/>
    <cellStyle name="asd 10 4 5 12" xfId="25726"/>
    <cellStyle name="asd 10 4 5 13" xfId="26281"/>
    <cellStyle name="asd 10 4 5 14" xfId="29175"/>
    <cellStyle name="asd 10 4 5 15" xfId="29890"/>
    <cellStyle name="asd 10 4 5 16" xfId="32155"/>
    <cellStyle name="asd 10 4 5 17" xfId="33451"/>
    <cellStyle name="asd 10 4 5 18" xfId="36553"/>
    <cellStyle name="asd 10 4 5 19" xfId="38432"/>
    <cellStyle name="asd 10 4 5 2" xfId="7123"/>
    <cellStyle name="asd 10 4 5 20" xfId="39378"/>
    <cellStyle name="asd 10 4 5 21" xfId="41054"/>
    <cellStyle name="asd 10 4 5 22" xfId="42299"/>
    <cellStyle name="asd 10 4 5 3" xfId="8577"/>
    <cellStyle name="asd 10 4 5 4" xfId="10487"/>
    <cellStyle name="asd 10 4 5 5" xfId="11839"/>
    <cellStyle name="asd 10 4 5 6" xfId="12957"/>
    <cellStyle name="asd 10 4 5 7" xfId="14861"/>
    <cellStyle name="asd 10 4 5 8" xfId="18106"/>
    <cellStyle name="asd 10 4 5 9" xfId="20012"/>
    <cellStyle name="asd 10 4 6" xfId="5325"/>
    <cellStyle name="asd 10 4 7" xfId="9174"/>
    <cellStyle name="asd 10 4 8" xfId="11336"/>
    <cellStyle name="asd 10 4 9" xfId="13370"/>
    <cellStyle name="asd 10 5" xfId="2142"/>
    <cellStyle name="asd 10 5 10" xfId="17118"/>
    <cellStyle name="asd 10 5 11" xfId="19024"/>
    <cellStyle name="asd 10 5 12" xfId="20936"/>
    <cellStyle name="asd 10 5 13" xfId="22539"/>
    <cellStyle name="asd 10 5 14" xfId="24738"/>
    <cellStyle name="asd 10 5 15" xfId="26533"/>
    <cellStyle name="asd 10 5 16" xfId="18493"/>
    <cellStyle name="asd 10 5 17" xfId="30139"/>
    <cellStyle name="asd 10 5 18" xfId="33105"/>
    <cellStyle name="asd 10 5 19" xfId="33856"/>
    <cellStyle name="asd 10 5 2" xfId="5664"/>
    <cellStyle name="asd 10 5 2 10" xfId="21914"/>
    <cellStyle name="asd 10 5 2 11" xfId="23342"/>
    <cellStyle name="asd 10 5 2 12" xfId="25716"/>
    <cellStyle name="asd 10 5 2 13" xfId="27788"/>
    <cellStyle name="asd 10 5 2 14" xfId="28576"/>
    <cellStyle name="asd 10 5 2 15" xfId="31365"/>
    <cellStyle name="asd 10 5 2 16" xfId="32423"/>
    <cellStyle name="asd 10 5 2 17" xfId="33997"/>
    <cellStyle name="asd 10 5 2 18" xfId="36543"/>
    <cellStyle name="asd 10 5 2 19" xfId="38422"/>
    <cellStyle name="asd 10 5 2 2" xfId="7113"/>
    <cellStyle name="asd 10 5 2 20" xfId="39640"/>
    <cellStyle name="asd 10 5 2 21" xfId="41314"/>
    <cellStyle name="asd 10 5 2 22" xfId="43112"/>
    <cellStyle name="asd 10 5 2 3" xfId="8567"/>
    <cellStyle name="asd 10 5 2 4" xfId="10477"/>
    <cellStyle name="asd 10 5 2 5" xfId="11141"/>
    <cellStyle name="asd 10 5 2 6" xfId="13814"/>
    <cellStyle name="asd 10 5 2 7" xfId="15716"/>
    <cellStyle name="asd 10 5 2 8" xfId="18096"/>
    <cellStyle name="asd 10 5 2 9" xfId="20002"/>
    <cellStyle name="asd 10 5 20" xfId="35565"/>
    <cellStyle name="asd 10 5 21" xfId="37444"/>
    <cellStyle name="asd 10 5 22" xfId="40300"/>
    <cellStyle name="asd 10 5 23" xfId="41956"/>
    <cellStyle name="asd 10 5 24" xfId="42348"/>
    <cellStyle name="asd 10 5 3" xfId="4690"/>
    <cellStyle name="asd 10 5 4" xfId="6138"/>
    <cellStyle name="asd 10 5 5" xfId="7589"/>
    <cellStyle name="asd 10 5 6" xfId="9499"/>
    <cellStyle name="asd 10 5 7" xfId="4166"/>
    <cellStyle name="asd 10 5 8" xfId="13007"/>
    <cellStyle name="asd 10 5 9" xfId="14911"/>
    <cellStyle name="asd 10 6" xfId="2264"/>
    <cellStyle name="asd 10 6 10" xfId="19044"/>
    <cellStyle name="asd 10 6 11" xfId="20956"/>
    <cellStyle name="asd 10 6 12" xfId="23942"/>
    <cellStyle name="asd 10 6 13" xfId="24758"/>
    <cellStyle name="asd 10 6 14" xfId="26597"/>
    <cellStyle name="asd 10 6 15" xfId="28240"/>
    <cellStyle name="asd 10 6 16" xfId="30199"/>
    <cellStyle name="asd 10 6 17" xfId="32627"/>
    <cellStyle name="asd 10 6 18" xfId="33696"/>
    <cellStyle name="asd 10 6 19" xfId="35585"/>
    <cellStyle name="asd 10 6 2" xfId="5714"/>
    <cellStyle name="asd 10 6 2 10" xfId="21964"/>
    <cellStyle name="asd 10 6 2 11" xfId="23005"/>
    <cellStyle name="asd 10 6 2 12" xfId="25766"/>
    <cellStyle name="asd 10 6 2 13" xfId="26339"/>
    <cellStyle name="asd 10 6 2 14" xfId="29010"/>
    <cellStyle name="asd 10 6 2 15" xfId="29947"/>
    <cellStyle name="asd 10 6 2 16" xfId="32621"/>
    <cellStyle name="asd 10 6 2 17" xfId="34400"/>
    <cellStyle name="asd 10 6 2 18" xfId="36593"/>
    <cellStyle name="asd 10 6 2 19" xfId="38472"/>
    <cellStyle name="asd 10 6 2 2" xfId="7163"/>
    <cellStyle name="asd 10 6 2 20" xfId="39831"/>
    <cellStyle name="asd 10 6 2 21" xfId="41500"/>
    <cellStyle name="asd 10 6 2 22" xfId="42789"/>
    <cellStyle name="asd 10 6 2 3" xfId="8617"/>
    <cellStyle name="asd 10 6 2 4" xfId="10527"/>
    <cellStyle name="asd 10 6 2 5" xfId="12319"/>
    <cellStyle name="asd 10 6 2 6" xfId="13475"/>
    <cellStyle name="asd 10 6 2 7" xfId="15380"/>
    <cellStyle name="asd 10 6 2 8" xfId="18146"/>
    <cellStyle name="asd 10 6 2 9" xfId="20052"/>
    <cellStyle name="asd 10 6 20" xfId="37464"/>
    <cellStyle name="asd 10 6 21" xfId="39837"/>
    <cellStyle name="asd 10 6 22" xfId="41506"/>
    <cellStyle name="asd 10 6 23" xfId="43688"/>
    <cellStyle name="asd 10 6 3" xfId="4710"/>
    <cellStyle name="asd 10 6 4" xfId="7609"/>
    <cellStyle name="asd 10 6 5" xfId="9519"/>
    <cellStyle name="asd 10 6 6" xfId="11902"/>
    <cellStyle name="asd 10 6 7" xfId="14412"/>
    <cellStyle name="asd 10 6 8" xfId="16318"/>
    <cellStyle name="asd 10 6 9" xfId="17138"/>
    <cellStyle name="asd 10 7" xfId="3096"/>
    <cellStyle name="asd 10 7 10" xfId="19154"/>
    <cellStyle name="asd 10 7 11" xfId="21066"/>
    <cellStyle name="asd 10 7 12" xfId="22615"/>
    <cellStyle name="asd 10 7 13" xfId="24868"/>
    <cellStyle name="asd 10 7 14" xfId="26189"/>
    <cellStyle name="asd 10 7 15" xfId="29688"/>
    <cellStyle name="asd 10 7 16" xfId="29802"/>
    <cellStyle name="asd 10 7 17" xfId="32884"/>
    <cellStyle name="asd 10 7 18" xfId="34558"/>
    <cellStyle name="asd 10 7 19" xfId="35695"/>
    <cellStyle name="asd 10 7 2" xfId="4240"/>
    <cellStyle name="asd 10 7 2 10" xfId="20587"/>
    <cellStyle name="asd 10 7 2 11" xfId="23687"/>
    <cellStyle name="asd 10 7 2 12" xfId="24389"/>
    <cellStyle name="asd 10 7 2 13" xfId="27909"/>
    <cellStyle name="asd 10 7 2 14" xfId="29025"/>
    <cellStyle name="asd 10 7 2 15" xfId="31491"/>
    <cellStyle name="asd 10 7 2 16" xfId="32252"/>
    <cellStyle name="asd 10 7 2 17" xfId="34568"/>
    <cellStyle name="asd 10 7 2 18" xfId="35217"/>
    <cellStyle name="asd 10 7 2 19" xfId="37095"/>
    <cellStyle name="asd 10 7 2 2" xfId="5379"/>
    <cellStyle name="asd 10 7 2 20" xfId="39470"/>
    <cellStyle name="asd 10 7 2 21" xfId="41145"/>
    <cellStyle name="asd 10 7 2 22" xfId="43444"/>
    <cellStyle name="asd 10 7 2 3" xfId="6639"/>
    <cellStyle name="asd 10 7 2 4" xfId="9149"/>
    <cellStyle name="asd 10 7 2 5" xfId="11798"/>
    <cellStyle name="asd 10 7 2 6" xfId="14157"/>
    <cellStyle name="asd 10 7 2 7" xfId="16061"/>
    <cellStyle name="asd 10 7 2 8" xfId="16768"/>
    <cellStyle name="asd 10 7 2 9" xfId="18675"/>
    <cellStyle name="asd 10 7 20" xfId="37574"/>
    <cellStyle name="asd 10 7 21" xfId="40089"/>
    <cellStyle name="asd 10 7 22" xfId="41752"/>
    <cellStyle name="asd 10 7 23" xfId="42421"/>
    <cellStyle name="asd 10 7 3" xfId="6268"/>
    <cellStyle name="asd 10 7 4" xfId="7719"/>
    <cellStyle name="asd 10 7 5" xfId="9629"/>
    <cellStyle name="asd 10 7 6" xfId="11806"/>
    <cellStyle name="asd 10 7 7" xfId="13082"/>
    <cellStyle name="asd 10 7 8" xfId="14987"/>
    <cellStyle name="asd 10 7 9" xfId="17248"/>
    <cellStyle name="asd 10 8" xfId="2433"/>
    <cellStyle name="asd 10 9" xfId="2381"/>
    <cellStyle name="asd 11" xfId="753"/>
    <cellStyle name="asd 11 10" xfId="2960"/>
    <cellStyle name="asd 11 11" xfId="2659"/>
    <cellStyle name="asd 11 12" xfId="2178"/>
    <cellStyle name="asd 11 13" xfId="2660"/>
    <cellStyle name="asd 11 14" xfId="4188"/>
    <cellStyle name="asd 11 15" xfId="4206"/>
    <cellStyle name="asd 11 16" xfId="2903"/>
    <cellStyle name="asd 11 17" xfId="2103"/>
    <cellStyle name="asd 11 18" xfId="2254"/>
    <cellStyle name="asd 11 19" xfId="15950"/>
    <cellStyle name="asd 11 2" xfId="3352"/>
    <cellStyle name="asd 11 2 10" xfId="2712"/>
    <cellStyle name="asd 11 2 11" xfId="2074"/>
    <cellStyle name="asd 11 2 12" xfId="16632"/>
    <cellStyle name="asd 11 2 13" xfId="18539"/>
    <cellStyle name="asd 11 2 14" xfId="20451"/>
    <cellStyle name="asd 11 2 15" xfId="4278"/>
    <cellStyle name="asd 11 2 16" xfId="24253"/>
    <cellStyle name="asd 11 2 17" xfId="14701"/>
    <cellStyle name="asd 11 2 18" xfId="27326"/>
    <cellStyle name="asd 11 2 19" xfId="23722"/>
    <cellStyle name="asd 11 2 2" xfId="3532"/>
    <cellStyle name="asd 11 2 2 10" xfId="17423"/>
    <cellStyle name="asd 11 2 2 11" xfId="19329"/>
    <cellStyle name="asd 11 2 2 12" xfId="21241"/>
    <cellStyle name="asd 11 2 2 13" xfId="23790"/>
    <cellStyle name="asd 11 2 2 14" xfId="25043"/>
    <cellStyle name="asd 11 2 2 15" xfId="26824"/>
    <cellStyle name="asd 11 2 2 16" xfId="29224"/>
    <cellStyle name="asd 11 2 2 17" xfId="30422"/>
    <cellStyle name="asd 11 2 2 18" xfId="33280"/>
    <cellStyle name="asd 11 2 2 19" xfId="34911"/>
    <cellStyle name="asd 11 2 2 2" xfId="5512"/>
    <cellStyle name="asd 11 2 2 2 10" xfId="21762"/>
    <cellStyle name="asd 11 2 2 2 11" xfId="2524"/>
    <cellStyle name="asd 11 2 2 2 12" xfId="25564"/>
    <cellStyle name="asd 11 2 2 2 13" xfId="22326"/>
    <cellStyle name="asd 11 2 2 2 14" xfId="24223"/>
    <cellStyle name="asd 11 2 2 2 15" xfId="2007"/>
    <cellStyle name="asd 11 2 2 2 16" xfId="29314"/>
    <cellStyle name="asd 11 2 2 2 17" xfId="23981"/>
    <cellStyle name="asd 11 2 2 2 18" xfId="36391"/>
    <cellStyle name="asd 11 2 2 2 19" xfId="38270"/>
    <cellStyle name="asd 11 2 2 2 2" xfId="6961"/>
    <cellStyle name="asd 11 2 2 2 20" xfId="2271"/>
    <cellStyle name="asd 11 2 2 2 21" xfId="3224"/>
    <cellStyle name="asd 11 2 2 2 22" xfId="30242"/>
    <cellStyle name="asd 11 2 2 2 3" xfId="8415"/>
    <cellStyle name="asd 11 2 2 2 4" xfId="10325"/>
    <cellStyle name="asd 11 2 2 2 5" xfId="12339"/>
    <cellStyle name="asd 11 2 2 2 6" xfId="2664"/>
    <cellStyle name="asd 11 2 2 2 7" xfId="3297"/>
    <cellStyle name="asd 11 2 2 2 8" xfId="17944"/>
    <cellStyle name="asd 11 2 2 2 9" xfId="19850"/>
    <cellStyle name="asd 11 2 2 20" xfId="35870"/>
    <cellStyle name="asd 11 2 2 21" xfId="37749"/>
    <cellStyle name="asd 11 2 2 22" xfId="40465"/>
    <cellStyle name="asd 11 2 2 23" xfId="42120"/>
    <cellStyle name="asd 11 2 2 24" xfId="43543"/>
    <cellStyle name="asd 11 2 2 3" xfId="4993"/>
    <cellStyle name="asd 11 2 2 4" xfId="6443"/>
    <cellStyle name="asd 11 2 2 5" xfId="7894"/>
    <cellStyle name="asd 11 2 2 6" xfId="9804"/>
    <cellStyle name="asd 11 2 2 7" xfId="12617"/>
    <cellStyle name="asd 11 2 2 8" xfId="14260"/>
    <cellStyle name="asd 11 2 2 9" xfId="16164"/>
    <cellStyle name="asd 11 2 20" xfId="26148"/>
    <cellStyle name="asd 11 2 21" xfId="28988"/>
    <cellStyle name="asd 11 2 22" xfId="35081"/>
    <cellStyle name="asd 11 2 23" xfId="36959"/>
    <cellStyle name="asd 11 2 24" xfId="18505"/>
    <cellStyle name="asd 11 2 25" xfId="2429"/>
    <cellStyle name="asd 11 2 26" xfId="39765"/>
    <cellStyle name="asd 11 2 3" xfId="3768"/>
    <cellStyle name="asd 11 2 3 10" xfId="19511"/>
    <cellStyle name="asd 11 2 3 11" xfId="21423"/>
    <cellStyle name="asd 11 2 3 12" xfId="23672"/>
    <cellStyle name="asd 11 2 3 13" xfId="25225"/>
    <cellStyle name="asd 11 2 3 14" xfId="27119"/>
    <cellStyle name="asd 11 2 3 15" xfId="28186"/>
    <cellStyle name="asd 11 2 3 16" xfId="30710"/>
    <cellStyle name="asd 11 2 3 17" xfId="32658"/>
    <cellStyle name="asd 11 2 3 18" xfId="34046"/>
    <cellStyle name="asd 11 2 3 19" xfId="36052"/>
    <cellStyle name="asd 11 2 3 2" xfId="5781"/>
    <cellStyle name="asd 11 2 3 2 10" xfId="22031"/>
    <cellStyle name="asd 11 2 3 2 11" xfId="22430"/>
    <cellStyle name="asd 11 2 3 2 12" xfId="25833"/>
    <cellStyle name="asd 11 2 3 2 13" xfId="26366"/>
    <cellStyle name="asd 11 2 3 2 14" xfId="28189"/>
    <cellStyle name="asd 11 2 3 2 15" xfId="29974"/>
    <cellStyle name="asd 11 2 3 2 16" xfId="33013"/>
    <cellStyle name="asd 11 2 3 2 17" xfId="33872"/>
    <cellStyle name="asd 11 2 3 2 18" xfId="36660"/>
    <cellStyle name="asd 11 2 3 2 19" xfId="38539"/>
    <cellStyle name="asd 11 2 3 2 2" xfId="7230"/>
    <cellStyle name="asd 11 2 3 2 20" xfId="40213"/>
    <cellStyle name="asd 11 2 3 2 21" xfId="41872"/>
    <cellStyle name="asd 11 2 3 2 22" xfId="42241"/>
    <cellStyle name="asd 11 2 3 2 3" xfId="8684"/>
    <cellStyle name="asd 11 2 3 2 4" xfId="10594"/>
    <cellStyle name="asd 11 2 3 2 5" xfId="11537"/>
    <cellStyle name="asd 11 2 3 2 6" xfId="12898"/>
    <cellStyle name="asd 11 2 3 2 7" xfId="14803"/>
    <cellStyle name="asd 11 2 3 2 8" xfId="18213"/>
    <cellStyle name="asd 11 2 3 2 9" xfId="20119"/>
    <cellStyle name="asd 11 2 3 20" xfId="37931"/>
    <cellStyle name="asd 11 2 3 21" xfId="39865"/>
    <cellStyle name="asd 11 2 3 22" xfId="41534"/>
    <cellStyle name="asd 11 2 3 23" xfId="43430"/>
    <cellStyle name="asd 11 2 3 3" xfId="5175"/>
    <cellStyle name="asd 11 2 3 4" xfId="8076"/>
    <cellStyle name="asd 11 2 3 5" xfId="9986"/>
    <cellStyle name="asd 11 2 3 6" xfId="11615"/>
    <cellStyle name="asd 11 2 3 7" xfId="14143"/>
    <cellStyle name="asd 11 2 3 8" xfId="16046"/>
    <cellStyle name="asd 11 2 3 9" xfId="17605"/>
    <cellStyle name="asd 11 2 4" xfId="3984"/>
    <cellStyle name="asd 11 2 4 10" xfId="19619"/>
    <cellStyle name="asd 11 2 4 11" xfId="21531"/>
    <cellStyle name="asd 11 2 4 12" xfId="20448"/>
    <cellStyle name="asd 11 2 4 13" xfId="25333"/>
    <cellStyle name="asd 11 2 4 14" xfId="20425"/>
    <cellStyle name="asd 11 2 4 15" xfId="28855"/>
    <cellStyle name="asd 11 2 4 16" xfId="29189"/>
    <cellStyle name="asd 11 2 4 17" xfId="2564"/>
    <cellStyle name="asd 11 2 4 18" xfId="2054"/>
    <cellStyle name="asd 11 2 4 19" xfId="36160"/>
    <cellStyle name="asd 11 2 4 2" xfId="5889"/>
    <cellStyle name="asd 11 2 4 2 10" xfId="22139"/>
    <cellStyle name="asd 11 2 4 2 11" xfId="22659"/>
    <cellStyle name="asd 11 2 4 2 12" xfId="25941"/>
    <cellStyle name="asd 11 2 4 2 13" xfId="27524"/>
    <cellStyle name="asd 11 2 4 2 14" xfId="28239"/>
    <cellStyle name="asd 11 2 4 2 15" xfId="31106"/>
    <cellStyle name="asd 11 2 4 2 16" xfId="31978"/>
    <cellStyle name="asd 11 2 4 2 17" xfId="34017"/>
    <cellStyle name="asd 11 2 4 2 18" xfId="36768"/>
    <cellStyle name="asd 11 2 4 2 19" xfId="38647"/>
    <cellStyle name="asd 11 2 4 2 2" xfId="7338"/>
    <cellStyle name="asd 11 2 4 2 20" xfId="39208"/>
    <cellStyle name="asd 11 2 4 2 21" xfId="40889"/>
    <cellStyle name="asd 11 2 4 2 22" xfId="42465"/>
    <cellStyle name="asd 11 2 4 2 3" xfId="8792"/>
    <cellStyle name="asd 11 2 4 2 4" xfId="10702"/>
    <cellStyle name="asd 11 2 4 2 5" xfId="12289"/>
    <cellStyle name="asd 11 2 4 2 6" xfId="13126"/>
    <cellStyle name="asd 11 2 4 2 7" xfId="15031"/>
    <cellStyle name="asd 11 2 4 2 8" xfId="18321"/>
    <cellStyle name="asd 11 2 4 2 9" xfId="20227"/>
    <cellStyle name="asd 11 2 4 20" xfId="38039"/>
    <cellStyle name="asd 11 2 4 21" xfId="28533"/>
    <cellStyle name="asd 11 2 4 22" xfId="36941"/>
    <cellStyle name="asd 11 2 4 23" xfId="35066"/>
    <cellStyle name="asd 11 2 4 3" xfId="6730"/>
    <cellStyle name="asd 11 2 4 4" xfId="8184"/>
    <cellStyle name="asd 11 2 4 5" xfId="10094"/>
    <cellStyle name="asd 11 2 4 6" xfId="12409"/>
    <cellStyle name="asd 11 2 4 7" xfId="2558"/>
    <cellStyle name="asd 11 2 4 8" xfId="5395"/>
    <cellStyle name="asd 11 2 4 9" xfId="17713"/>
    <cellStyle name="asd 11 2 5" xfId="4867"/>
    <cellStyle name="asd 11 2 5 10" xfId="21115"/>
    <cellStyle name="asd 11 2 5 11" xfId="23196"/>
    <cellStyle name="asd 11 2 5 12" xfId="24917"/>
    <cellStyle name="asd 11 2 5 13" xfId="27213"/>
    <cellStyle name="asd 11 2 5 14" xfId="22321"/>
    <cellStyle name="asd 11 2 5 15" xfId="30804"/>
    <cellStyle name="asd 11 2 5 16" xfId="32666"/>
    <cellStyle name="asd 11 2 5 17" xfId="34700"/>
    <cellStyle name="asd 11 2 5 18" xfId="35744"/>
    <cellStyle name="asd 11 2 5 19" xfId="37623"/>
    <cellStyle name="asd 11 2 5 2" xfId="6317"/>
    <cellStyle name="asd 11 2 5 20" xfId="39873"/>
    <cellStyle name="asd 11 2 5 21" xfId="41542"/>
    <cellStyle name="asd 11 2 5 22" xfId="42974"/>
    <cellStyle name="asd 11 2 5 3" xfId="7768"/>
    <cellStyle name="asd 11 2 5 4" xfId="9678"/>
    <cellStyle name="asd 11 2 5 5" xfId="11051"/>
    <cellStyle name="asd 11 2 5 6" xfId="13668"/>
    <cellStyle name="asd 11 2 5 7" xfId="15570"/>
    <cellStyle name="asd 11 2 5 8" xfId="17297"/>
    <cellStyle name="asd 11 2 5 9" xfId="19203"/>
    <cellStyle name="asd 11 2 6" xfId="5474"/>
    <cellStyle name="asd 11 2 6 10" xfId="21724"/>
    <cellStyle name="asd 11 2 6 11" xfId="24033"/>
    <cellStyle name="asd 11 2 6 12" xfId="25526"/>
    <cellStyle name="asd 11 2 6 13" xfId="26526"/>
    <cellStyle name="asd 11 2 6 14" xfId="29117"/>
    <cellStyle name="asd 11 2 6 15" xfId="30132"/>
    <cellStyle name="asd 11 2 6 16" xfId="31788"/>
    <cellStyle name="asd 11 2 6 17" xfId="33443"/>
    <cellStyle name="asd 11 2 6 18" xfId="36353"/>
    <cellStyle name="asd 11 2 6 19" xfId="38232"/>
    <cellStyle name="asd 11 2 6 2" xfId="6923"/>
    <cellStyle name="asd 11 2 6 20" xfId="39027"/>
    <cellStyle name="asd 11 2 6 21" xfId="40709"/>
    <cellStyle name="asd 11 2 6 22" xfId="43777"/>
    <cellStyle name="asd 11 2 6 3" xfId="8377"/>
    <cellStyle name="asd 11 2 6 4" xfId="10287"/>
    <cellStyle name="asd 11 2 6 5" xfId="11992"/>
    <cellStyle name="asd 11 2 6 6" xfId="14503"/>
    <cellStyle name="asd 11 2 6 7" xfId="16409"/>
    <cellStyle name="asd 11 2 6 8" xfId="17906"/>
    <cellStyle name="asd 11 2 6 9" xfId="19812"/>
    <cellStyle name="asd 11 2 7" xfId="6720"/>
    <cellStyle name="asd 11 2 8" xfId="9013"/>
    <cellStyle name="asd 11 2 9" xfId="2472"/>
    <cellStyle name="asd 11 20" xfId="12786"/>
    <cellStyle name="asd 11 21" xfId="31086"/>
    <cellStyle name="asd 11 22" xfId="24228"/>
    <cellStyle name="asd 11 23" xfId="9009"/>
    <cellStyle name="asd 11 24" xfId="28327"/>
    <cellStyle name="asd 11 25" xfId="34900"/>
    <cellStyle name="asd 11 26" xfId="39209"/>
    <cellStyle name="asd 11 27" xfId="41268"/>
    <cellStyle name="asd 11 3" xfId="3395"/>
    <cellStyle name="asd 11 3 10" xfId="14670"/>
    <cellStyle name="asd 11 3 11" xfId="16576"/>
    <cellStyle name="asd 11 3 12" xfId="16731"/>
    <cellStyle name="asd 11 3 13" xfId="18638"/>
    <cellStyle name="asd 11 3 14" xfId="20550"/>
    <cellStyle name="asd 11 3 15" xfId="24198"/>
    <cellStyle name="asd 11 3 16" xfId="24352"/>
    <cellStyle name="asd 11 3 17" xfId="16618"/>
    <cellStyle name="asd 11 3 18" xfId="28623"/>
    <cellStyle name="asd 11 3 19" xfId="28724"/>
    <cellStyle name="asd 11 3 2" xfId="3575"/>
    <cellStyle name="asd 11 3 2 10" xfId="17466"/>
    <cellStyle name="asd 11 3 2 11" xfId="19372"/>
    <cellStyle name="asd 11 3 2 12" xfId="21284"/>
    <cellStyle name="asd 11 3 2 13" xfId="24168"/>
    <cellStyle name="asd 11 3 2 14" xfId="25086"/>
    <cellStyle name="asd 11 3 2 15" xfId="26906"/>
    <cellStyle name="asd 11 3 2 16" xfId="14681"/>
    <cellStyle name="asd 11 3 2 17" xfId="30502"/>
    <cellStyle name="asd 11 3 2 18" xfId="33102"/>
    <cellStyle name="asd 11 3 2 19" xfId="34717"/>
    <cellStyle name="asd 11 3 2 2" xfId="5624"/>
    <cellStyle name="asd 11 3 2 2 10" xfId="21874"/>
    <cellStyle name="asd 11 3 2 2 11" xfId="23200"/>
    <cellStyle name="asd 11 3 2 2 12" xfId="25676"/>
    <cellStyle name="asd 11 3 2 2 13" xfId="13759"/>
    <cellStyle name="asd 11 3 2 2 14" xfId="2911"/>
    <cellStyle name="asd 11 3 2 2 15" xfId="4155"/>
    <cellStyle name="asd 11 3 2 2 16" xfId="2724"/>
    <cellStyle name="asd 11 3 2 2 17" xfId="29816"/>
    <cellStyle name="asd 11 3 2 2 18" xfId="36503"/>
    <cellStyle name="asd 11 3 2 2 19" xfId="38382"/>
    <cellStyle name="asd 11 3 2 2 2" xfId="7073"/>
    <cellStyle name="asd 11 3 2 2 20" xfId="28489"/>
    <cellStyle name="asd 11 3 2 2 21" xfId="27051"/>
    <cellStyle name="asd 11 3 2 2 22" xfId="42978"/>
    <cellStyle name="asd 11 3 2 2 3" xfId="8527"/>
    <cellStyle name="asd 11 3 2 2 4" xfId="10437"/>
    <cellStyle name="asd 11 3 2 2 5" xfId="11065"/>
    <cellStyle name="asd 11 3 2 2 6" xfId="13672"/>
    <cellStyle name="asd 11 3 2 2 7" xfId="15574"/>
    <cellStyle name="asd 11 3 2 2 8" xfId="18056"/>
    <cellStyle name="asd 11 3 2 2 9" xfId="19962"/>
    <cellStyle name="asd 11 3 2 20" xfId="35913"/>
    <cellStyle name="asd 11 3 2 21" xfId="37792"/>
    <cellStyle name="asd 11 3 2 22" xfId="40298"/>
    <cellStyle name="asd 11 3 2 23" xfId="41954"/>
    <cellStyle name="asd 11 3 2 24" xfId="43910"/>
    <cellStyle name="asd 11 3 2 3" xfId="5036"/>
    <cellStyle name="asd 11 3 2 4" xfId="6486"/>
    <cellStyle name="asd 11 3 2 5" xfId="7937"/>
    <cellStyle name="asd 11 3 2 6" xfId="9847"/>
    <cellStyle name="asd 11 3 2 7" xfId="12128"/>
    <cellStyle name="asd 11 3 2 8" xfId="14639"/>
    <cellStyle name="asd 11 3 2 9" xfId="16545"/>
    <cellStyle name="asd 11 3 20" xfId="29635"/>
    <cellStyle name="asd 11 3 21" xfId="2680"/>
    <cellStyle name="asd 11 3 22" xfId="35180"/>
    <cellStyle name="asd 11 3 23" xfId="37058"/>
    <cellStyle name="asd 11 3 24" xfId="3336"/>
    <cellStyle name="asd 11 3 25" xfId="29137"/>
    <cellStyle name="asd 11 3 26" xfId="43936"/>
    <cellStyle name="asd 11 3 3" xfId="3118"/>
    <cellStyle name="asd 11 3 3 10" xfId="19159"/>
    <cellStyle name="asd 11 3 3 11" xfId="21071"/>
    <cellStyle name="asd 11 3 3 12" xfId="22855"/>
    <cellStyle name="asd 11 3 3 13" xfId="24873"/>
    <cellStyle name="asd 11 3 3 14" xfId="26193"/>
    <cellStyle name="asd 11 3 3 15" xfId="28579"/>
    <cellStyle name="asd 11 3 3 16" xfId="29806"/>
    <cellStyle name="asd 11 3 3 17" xfId="31599"/>
    <cellStyle name="asd 11 3 3 18" xfId="34577"/>
    <cellStyle name="asd 11 3 3 19" xfId="35700"/>
    <cellStyle name="asd 11 3 3 2" xfId="5461"/>
    <cellStyle name="asd 11 3 3 2 10" xfId="21711"/>
    <cellStyle name="asd 11 3 3 2 11" xfId="22588"/>
    <cellStyle name="asd 11 3 3 2 12" xfId="25513"/>
    <cellStyle name="asd 11 3 3 2 13" xfId="27600"/>
    <cellStyle name="asd 11 3 3 2 14" xfId="28828"/>
    <cellStyle name="asd 11 3 3 2 15" xfId="31178"/>
    <cellStyle name="asd 11 3 3 2 16" xfId="32770"/>
    <cellStyle name="asd 11 3 3 2 17" xfId="33804"/>
    <cellStyle name="asd 11 3 3 2 18" xfId="36340"/>
    <cellStyle name="asd 11 3 3 2 19" xfId="38219"/>
    <cellStyle name="asd 11 3 3 2 2" xfId="6910"/>
    <cellStyle name="asd 11 3 3 2 20" xfId="39979"/>
    <cellStyle name="asd 11 3 3 2 21" xfId="41643"/>
    <cellStyle name="asd 11 3 3 2 22" xfId="42397"/>
    <cellStyle name="asd 11 3 3 2 3" xfId="8364"/>
    <cellStyle name="asd 11 3 3 2 4" xfId="10274"/>
    <cellStyle name="asd 11 3 3 2 5" xfId="11619"/>
    <cellStyle name="asd 11 3 3 2 6" xfId="13056"/>
    <cellStyle name="asd 11 3 3 2 7" xfId="14960"/>
    <cellStyle name="asd 11 3 3 2 8" xfId="17893"/>
    <cellStyle name="asd 11 3 3 2 9" xfId="19799"/>
    <cellStyle name="asd 11 3 3 20" xfId="37579"/>
    <cellStyle name="asd 11 3 3 21" xfId="38846"/>
    <cellStyle name="asd 11 3 3 22" xfId="40532"/>
    <cellStyle name="asd 11 3 3 23" xfId="42645"/>
    <cellStyle name="asd 11 3 3 3" xfId="4823"/>
    <cellStyle name="asd 11 3 3 4" xfId="7724"/>
    <cellStyle name="asd 11 3 3 5" xfId="9634"/>
    <cellStyle name="asd 11 3 3 6" xfId="12295"/>
    <cellStyle name="asd 11 3 3 7" xfId="13324"/>
    <cellStyle name="asd 11 3 3 8" xfId="15228"/>
    <cellStyle name="asd 11 3 3 9" xfId="17253"/>
    <cellStyle name="asd 11 3 4" xfId="4027"/>
    <cellStyle name="asd 11 3 4 10" xfId="19662"/>
    <cellStyle name="asd 11 3 4 11" xfId="21574"/>
    <cellStyle name="asd 11 3 4 12" xfId="24026"/>
    <cellStyle name="asd 11 3 4 13" xfId="25376"/>
    <cellStyle name="asd 11 3 4 14" xfId="27550"/>
    <cellStyle name="asd 11 3 4 15" xfId="28409"/>
    <cellStyle name="asd 11 3 4 16" xfId="31131"/>
    <cellStyle name="asd 11 3 4 17" xfId="31713"/>
    <cellStyle name="asd 11 3 4 18" xfId="34634"/>
    <cellStyle name="asd 11 3 4 19" xfId="36203"/>
    <cellStyle name="asd 11 3 4 2" xfId="5932"/>
    <cellStyle name="asd 11 3 4 2 10" xfId="22182"/>
    <cellStyle name="asd 11 3 4 2 11" xfId="23862"/>
    <cellStyle name="asd 11 3 4 2 12" xfId="25984"/>
    <cellStyle name="asd 11 3 4 2 13" xfId="26465"/>
    <cellStyle name="asd 11 3 4 2 14" xfId="29105"/>
    <cellStyle name="asd 11 3 4 2 15" xfId="30070"/>
    <cellStyle name="asd 11 3 4 2 16" xfId="31783"/>
    <cellStyle name="asd 11 3 4 2 17" xfId="34390"/>
    <cellStyle name="asd 11 3 4 2 18" xfId="36811"/>
    <cellStyle name="asd 11 3 4 2 19" xfId="38690"/>
    <cellStyle name="asd 11 3 4 2 2" xfId="7381"/>
    <cellStyle name="asd 11 3 4 2 20" xfId="39022"/>
    <cellStyle name="asd 11 3 4 2 21" xfId="40704"/>
    <cellStyle name="asd 11 3 4 2 22" xfId="43612"/>
    <cellStyle name="asd 11 3 4 2 3" xfId="8835"/>
    <cellStyle name="asd 11 3 4 2 4" xfId="10745"/>
    <cellStyle name="asd 11 3 4 2 5" xfId="11669"/>
    <cellStyle name="asd 11 3 4 2 6" xfId="14332"/>
    <cellStyle name="asd 11 3 4 2 7" xfId="16236"/>
    <cellStyle name="asd 11 3 4 2 8" xfId="18364"/>
    <cellStyle name="asd 11 3 4 2 9" xfId="20270"/>
    <cellStyle name="asd 11 3 4 20" xfId="38082"/>
    <cellStyle name="asd 11 3 4 21" xfId="38954"/>
    <cellStyle name="asd 11 3 4 22" xfId="40637"/>
    <cellStyle name="asd 11 3 4 23" xfId="43770"/>
    <cellStyle name="asd 11 3 4 3" xfId="6773"/>
    <cellStyle name="asd 11 3 4 4" xfId="8227"/>
    <cellStyle name="asd 11 3 4 5" xfId="10137"/>
    <cellStyle name="asd 11 3 4 6" xfId="11985"/>
    <cellStyle name="asd 11 3 4 7" xfId="14496"/>
    <cellStyle name="asd 11 3 4 8" xfId="16402"/>
    <cellStyle name="asd 11 3 4 9" xfId="17756"/>
    <cellStyle name="asd 11 3 5" xfId="4894"/>
    <cellStyle name="asd 11 3 5 10" xfId="21142"/>
    <cellStyle name="asd 11 3 5 11" xfId="23654"/>
    <cellStyle name="asd 11 3 5 12" xfId="24944"/>
    <cellStyle name="asd 11 3 5 13" xfId="26919"/>
    <cellStyle name="asd 11 3 5 14" xfId="29597"/>
    <cellStyle name="asd 11 3 5 15" xfId="30514"/>
    <cellStyle name="asd 11 3 5 16" xfId="31896"/>
    <cellStyle name="asd 11 3 5 17" xfId="34925"/>
    <cellStyle name="asd 11 3 5 18" xfId="35771"/>
    <cellStyle name="asd 11 3 5 19" xfId="37650"/>
    <cellStyle name="asd 11 3 5 2" xfId="6344"/>
    <cellStyle name="asd 11 3 5 20" xfId="39129"/>
    <cellStyle name="asd 11 3 5 21" xfId="40810"/>
    <cellStyle name="asd 11 3 5 22" xfId="43412"/>
    <cellStyle name="asd 11 3 5 3" xfId="7795"/>
    <cellStyle name="asd 11 3 5 4" xfId="9705"/>
    <cellStyle name="asd 11 3 5 5" xfId="12748"/>
    <cellStyle name="asd 11 3 5 6" xfId="14124"/>
    <cellStyle name="asd 11 3 5 7" xfId="16027"/>
    <cellStyle name="asd 11 3 5 8" xfId="17324"/>
    <cellStyle name="asd 11 3 5 9" xfId="19230"/>
    <cellStyle name="asd 11 3 6" xfId="4369"/>
    <cellStyle name="asd 11 3 6 10" xfId="20521"/>
    <cellStyle name="asd 11 3 6 11" xfId="23661"/>
    <cellStyle name="asd 11 3 6 12" xfId="24323"/>
    <cellStyle name="asd 11 3 6 13" xfId="26476"/>
    <cellStyle name="asd 11 3 6 14" xfId="28253"/>
    <cellStyle name="asd 11 3 6 15" xfId="30081"/>
    <cellStyle name="asd 11 3 6 16" xfId="31983"/>
    <cellStyle name="asd 11 3 6 17" xfId="33522"/>
    <cellStyle name="asd 11 3 6 18" xfId="35151"/>
    <cellStyle name="asd 11 3 6 19" xfId="37029"/>
    <cellStyle name="asd 11 3 6 2" xfId="5315"/>
    <cellStyle name="asd 11 3 6 20" xfId="39214"/>
    <cellStyle name="asd 11 3 6 21" xfId="40893"/>
    <cellStyle name="asd 11 3 6 22" xfId="43419"/>
    <cellStyle name="asd 11 3 6 3" xfId="6620"/>
    <cellStyle name="asd 11 3 6 4" xfId="9083"/>
    <cellStyle name="asd 11 3 6 5" xfId="11807"/>
    <cellStyle name="asd 11 3 6 6" xfId="14131"/>
    <cellStyle name="asd 11 3 6 7" xfId="16034"/>
    <cellStyle name="asd 11 3 6 8" xfId="16702"/>
    <cellStyle name="asd 11 3 6 9" xfId="18609"/>
    <cellStyle name="asd 11 3 7" xfId="6237"/>
    <cellStyle name="asd 11 3 8" xfId="9112"/>
    <cellStyle name="asd 11 3 9" xfId="12158"/>
    <cellStyle name="asd 11 4" xfId="3444"/>
    <cellStyle name="asd 11 4 10" xfId="15248"/>
    <cellStyle name="asd 11 4 11" xfId="16828"/>
    <cellStyle name="asd 11 4 12" xfId="18735"/>
    <cellStyle name="asd 11 4 13" xfId="20647"/>
    <cellStyle name="asd 11 4 14" xfId="22875"/>
    <cellStyle name="asd 11 4 15" xfId="24449"/>
    <cellStyle name="asd 11 4 16" xfId="26188"/>
    <cellStyle name="asd 11 4 17" xfId="16459"/>
    <cellStyle name="asd 11 4 18" xfId="29800"/>
    <cellStyle name="asd 11 4 19" xfId="2770"/>
    <cellStyle name="asd 11 4 2" xfId="3624"/>
    <cellStyle name="asd 11 4 2 10" xfId="17515"/>
    <cellStyle name="asd 11 4 2 11" xfId="19421"/>
    <cellStyle name="asd 11 4 2 12" xfId="21333"/>
    <cellStyle name="asd 11 4 2 13" xfId="13150"/>
    <cellStyle name="asd 11 4 2 14" xfId="25135"/>
    <cellStyle name="asd 11 4 2 15" xfId="13072"/>
    <cellStyle name="asd 11 4 2 16" xfId="16598"/>
    <cellStyle name="asd 11 4 2 17" xfId="14281"/>
    <cellStyle name="asd 11 4 2 18" xfId="27739"/>
    <cellStyle name="asd 11 4 2 19" xfId="28014"/>
    <cellStyle name="asd 11 4 2 2" xfId="5465"/>
    <cellStyle name="asd 11 4 2 2 10" xfId="21715"/>
    <cellStyle name="asd 11 4 2 2 11" xfId="23976"/>
    <cellStyle name="asd 11 4 2 2 12" xfId="25517"/>
    <cellStyle name="asd 11 4 2 2 13" xfId="26496"/>
    <cellStyle name="asd 11 4 2 2 14" xfId="29091"/>
    <cellStyle name="asd 11 4 2 2 15" xfId="30101"/>
    <cellStyle name="asd 11 4 2 2 16" xfId="32446"/>
    <cellStyle name="asd 11 4 2 2 17" xfId="34581"/>
    <cellStyle name="asd 11 4 2 2 18" xfId="36344"/>
    <cellStyle name="asd 11 4 2 2 19" xfId="38223"/>
    <cellStyle name="asd 11 4 2 2 2" xfId="6914"/>
    <cellStyle name="asd 11 4 2 2 20" xfId="39663"/>
    <cellStyle name="asd 11 4 2 2 21" xfId="41337"/>
    <cellStyle name="asd 11 4 2 2 22" xfId="43721"/>
    <cellStyle name="asd 11 4 2 2 3" xfId="8368"/>
    <cellStyle name="asd 11 4 2 2 4" xfId="10278"/>
    <cellStyle name="asd 11 4 2 2 5" xfId="11936"/>
    <cellStyle name="asd 11 4 2 2 6" xfId="14446"/>
    <cellStyle name="asd 11 4 2 2 7" xfId="16352"/>
    <cellStyle name="asd 11 4 2 2 8" xfId="17897"/>
    <cellStyle name="asd 11 4 2 2 9" xfId="19803"/>
    <cellStyle name="asd 11 4 2 20" xfId="35962"/>
    <cellStyle name="asd 11 4 2 21" xfId="37841"/>
    <cellStyle name="asd 11 4 2 22" xfId="34958"/>
    <cellStyle name="asd 11 4 2 23" xfId="28288"/>
    <cellStyle name="asd 11 4 2 24" xfId="4287"/>
    <cellStyle name="asd 11 4 2 3" xfId="5085"/>
    <cellStyle name="asd 11 4 2 4" xfId="6535"/>
    <cellStyle name="asd 11 4 2 5" xfId="7986"/>
    <cellStyle name="asd 11 4 2 6" xfId="9896"/>
    <cellStyle name="asd 11 4 2 7" xfId="11607"/>
    <cellStyle name="asd 11 4 2 8" xfId="3946"/>
    <cellStyle name="asd 11 4 2 9" xfId="3152"/>
    <cellStyle name="asd 11 4 20" xfId="32895"/>
    <cellStyle name="asd 11 4 21" xfId="35277"/>
    <cellStyle name="asd 11 4 22" xfId="37155"/>
    <cellStyle name="asd 11 4 23" xfId="15701"/>
    <cellStyle name="asd 11 4 24" xfId="34022"/>
    <cellStyle name="asd 11 4 25" xfId="42662"/>
    <cellStyle name="asd 11 4 3" xfId="3821"/>
    <cellStyle name="asd 11 4 3 10" xfId="19550"/>
    <cellStyle name="asd 11 4 3 11" xfId="21462"/>
    <cellStyle name="asd 11 4 3 12" xfId="23876"/>
    <cellStyle name="asd 11 4 3 13" xfId="25264"/>
    <cellStyle name="asd 11 4 3 14" xfId="27894"/>
    <cellStyle name="asd 11 4 3 15" xfId="28047"/>
    <cellStyle name="asd 11 4 3 16" xfId="31476"/>
    <cellStyle name="asd 11 4 3 17" xfId="31723"/>
    <cellStyle name="asd 11 4 3 18" xfId="34183"/>
    <cellStyle name="asd 11 4 3 19" xfId="36091"/>
    <cellStyle name="asd 11 4 3 2" xfId="5820"/>
    <cellStyle name="asd 11 4 3 2 10" xfId="22070"/>
    <cellStyle name="asd 11 4 3 2 11" xfId="23336"/>
    <cellStyle name="asd 11 4 3 2 12" xfId="25872"/>
    <cellStyle name="asd 11 4 3 2 13" xfId="26715"/>
    <cellStyle name="asd 11 4 3 2 14" xfId="28445"/>
    <cellStyle name="asd 11 4 3 2 15" xfId="30315"/>
    <cellStyle name="asd 11 4 3 2 16" xfId="32819"/>
    <cellStyle name="asd 11 4 3 2 17" xfId="34852"/>
    <cellStyle name="asd 11 4 3 2 18" xfId="36699"/>
    <cellStyle name="asd 11 4 3 2 19" xfId="38578"/>
    <cellStyle name="asd 11 4 3 2 2" xfId="7269"/>
    <cellStyle name="asd 11 4 3 2 20" xfId="40028"/>
    <cellStyle name="asd 11 4 3 2 21" xfId="41692"/>
    <cellStyle name="asd 11 4 3 2 22" xfId="43106"/>
    <cellStyle name="asd 11 4 3 2 3" xfId="8723"/>
    <cellStyle name="asd 11 4 3 2 4" xfId="10633"/>
    <cellStyle name="asd 11 4 3 2 5" xfId="11146"/>
    <cellStyle name="asd 11 4 3 2 6" xfId="13808"/>
    <cellStyle name="asd 11 4 3 2 7" xfId="15710"/>
    <cellStyle name="asd 11 4 3 2 8" xfId="18252"/>
    <cellStyle name="asd 11 4 3 2 9" xfId="20158"/>
    <cellStyle name="asd 11 4 3 20" xfId="37970"/>
    <cellStyle name="asd 11 4 3 21" xfId="38964"/>
    <cellStyle name="asd 11 4 3 22" xfId="40647"/>
    <cellStyle name="asd 11 4 3 23" xfId="43626"/>
    <cellStyle name="asd 11 4 3 3" xfId="5214"/>
    <cellStyle name="asd 11 4 3 4" xfId="8115"/>
    <cellStyle name="asd 11 4 3 5" xfId="10025"/>
    <cellStyle name="asd 11 4 3 6" xfId="11743"/>
    <cellStyle name="asd 11 4 3 7" xfId="14346"/>
    <cellStyle name="asd 11 4 3 8" xfId="16250"/>
    <cellStyle name="asd 11 4 3 9" xfId="17644"/>
    <cellStyle name="asd 11 4 4" xfId="4076"/>
    <cellStyle name="asd 11 4 4 10" xfId="19711"/>
    <cellStyle name="asd 11 4 4 11" xfId="21623"/>
    <cellStyle name="asd 11 4 4 12" xfId="24194"/>
    <cellStyle name="asd 11 4 4 13" xfId="25425"/>
    <cellStyle name="asd 11 4 4 14" xfId="4181"/>
    <cellStyle name="asd 11 4 4 15" xfId="29518"/>
    <cellStyle name="asd 11 4 4 16" xfId="29459"/>
    <cellStyle name="asd 11 4 4 17" xfId="18531"/>
    <cellStyle name="asd 11 4 4 18" xfId="33342"/>
    <cellStyle name="asd 11 4 4 19" xfId="36252"/>
    <cellStyle name="asd 11 4 4 2" xfId="5981"/>
    <cellStyle name="asd 11 4 4 2 10" xfId="22231"/>
    <cellStyle name="asd 11 4 4 2 11" xfId="23809"/>
    <cellStyle name="asd 11 4 4 2 12" xfId="26033"/>
    <cellStyle name="asd 11 4 4 2 13" xfId="26857"/>
    <cellStyle name="asd 11 4 4 2 14" xfId="29242"/>
    <cellStyle name="asd 11 4 4 2 15" xfId="30454"/>
    <cellStyle name="asd 11 4 4 2 16" xfId="33290"/>
    <cellStyle name="asd 11 4 4 2 17" xfId="33826"/>
    <cellStyle name="asd 11 4 4 2 18" xfId="36860"/>
    <cellStyle name="asd 11 4 4 2 19" xfId="38739"/>
    <cellStyle name="asd 11 4 4 2 2" xfId="7430"/>
    <cellStyle name="asd 11 4 4 2 20" xfId="40474"/>
    <cellStyle name="asd 11 4 4 2 21" xfId="42129"/>
    <cellStyle name="asd 11 4 4 2 22" xfId="43561"/>
    <cellStyle name="asd 11 4 4 2 3" xfId="8884"/>
    <cellStyle name="asd 11 4 4 2 4" xfId="10794"/>
    <cellStyle name="asd 11 4 4 2 5" xfId="12690"/>
    <cellStyle name="asd 11 4 4 2 6" xfId="14279"/>
    <cellStyle name="asd 11 4 4 2 7" xfId="16183"/>
    <cellStyle name="asd 11 4 4 2 8" xfId="18413"/>
    <cellStyle name="asd 11 4 4 2 9" xfId="20319"/>
    <cellStyle name="asd 11 4 4 20" xfId="38131"/>
    <cellStyle name="asd 11 4 4 21" xfId="28701"/>
    <cellStyle name="asd 11 4 4 22" xfId="34051"/>
    <cellStyle name="asd 11 4 4 23" xfId="43932"/>
    <cellStyle name="asd 11 4 4 3" xfId="6822"/>
    <cellStyle name="asd 11 4 4 4" xfId="8276"/>
    <cellStyle name="asd 11 4 4 5" xfId="10186"/>
    <cellStyle name="asd 11 4 4 6" xfId="12154"/>
    <cellStyle name="asd 11 4 4 7" xfId="14666"/>
    <cellStyle name="asd 11 4 4 8" xfId="16572"/>
    <cellStyle name="asd 11 4 4 9" xfId="17805"/>
    <cellStyle name="asd 11 4 5" xfId="5660"/>
    <cellStyle name="asd 11 4 5 10" xfId="21910"/>
    <cellStyle name="asd 11 4 5 11" xfId="23062"/>
    <cellStyle name="asd 11 4 5 12" xfId="25712"/>
    <cellStyle name="asd 11 4 5 13" xfId="27930"/>
    <cellStyle name="asd 11 4 5 14" xfId="28723"/>
    <cellStyle name="asd 11 4 5 15" xfId="31511"/>
    <cellStyle name="asd 11 4 5 16" xfId="32072"/>
    <cellStyle name="asd 11 4 5 17" xfId="34827"/>
    <cellStyle name="asd 11 4 5 18" xfId="36539"/>
    <cellStyle name="asd 11 4 5 19" xfId="38418"/>
    <cellStyle name="asd 11 4 5 2" xfId="7109"/>
    <cellStyle name="asd 11 4 5 20" xfId="39297"/>
    <cellStyle name="asd 11 4 5 21" xfId="40973"/>
    <cellStyle name="asd 11 4 5 22" xfId="42845"/>
    <cellStyle name="asd 11 4 5 3" xfId="8563"/>
    <cellStyle name="asd 11 4 5 4" xfId="10473"/>
    <cellStyle name="asd 11 4 5 5" xfId="12666"/>
    <cellStyle name="asd 11 4 5 6" xfId="13533"/>
    <cellStyle name="asd 11 4 5 7" xfId="15436"/>
    <cellStyle name="asd 11 4 5 8" xfId="18092"/>
    <cellStyle name="asd 11 4 5 9" xfId="19998"/>
    <cellStyle name="asd 11 4 6" xfId="6165"/>
    <cellStyle name="asd 11 4 7" xfId="9209"/>
    <cellStyle name="asd 11 4 8" xfId="12435"/>
    <cellStyle name="asd 11 4 9" xfId="13343"/>
    <cellStyle name="asd 11 5" xfId="2009"/>
    <cellStyle name="asd 11 5 10" xfId="17092"/>
    <cellStyle name="asd 11 5 11" xfId="18998"/>
    <cellStyle name="asd 11 5 12" xfId="20910"/>
    <cellStyle name="asd 11 5 13" xfId="22828"/>
    <cellStyle name="asd 11 5 14" xfId="24712"/>
    <cellStyle name="asd 11 5 15" xfId="27193"/>
    <cellStyle name="asd 11 5 16" xfId="28648"/>
    <cellStyle name="asd 11 5 17" xfId="30784"/>
    <cellStyle name="asd 11 5 18" xfId="32845"/>
    <cellStyle name="asd 11 5 19" xfId="33571"/>
    <cellStyle name="asd 11 5 2" xfId="4448"/>
    <cellStyle name="asd 11 5 2 10" xfId="20693"/>
    <cellStyle name="asd 11 5 2 11" xfId="23956"/>
    <cellStyle name="asd 11 5 2 12" xfId="24495"/>
    <cellStyle name="asd 11 5 2 13" xfId="26296"/>
    <cellStyle name="asd 11 5 2 14" xfId="28287"/>
    <cellStyle name="asd 11 5 2 15" xfId="29905"/>
    <cellStyle name="asd 11 5 2 16" xfId="31907"/>
    <cellStyle name="asd 11 5 2 17" xfId="34645"/>
    <cellStyle name="asd 11 5 2 18" xfId="35323"/>
    <cellStyle name="asd 11 5 2 19" xfId="37201"/>
    <cellStyle name="asd 11 5 2 2" xfId="1924"/>
    <cellStyle name="asd 11 5 2 20" xfId="39139"/>
    <cellStyle name="asd 11 5 2 21" xfId="40820"/>
    <cellStyle name="asd 11 5 2 22" xfId="43702"/>
    <cellStyle name="asd 11 5 2 3" xfId="1970"/>
    <cellStyle name="asd 11 5 2 4" xfId="9255"/>
    <cellStyle name="asd 11 5 2 5" xfId="11916"/>
    <cellStyle name="asd 11 5 2 6" xfId="14426"/>
    <cellStyle name="asd 11 5 2 7" xfId="16332"/>
    <cellStyle name="asd 11 5 2 8" xfId="16874"/>
    <cellStyle name="asd 11 5 2 9" xfId="18781"/>
    <cellStyle name="asd 11 5 20" xfId="35539"/>
    <cellStyle name="asd 11 5 21" xfId="37418"/>
    <cellStyle name="asd 11 5 22" xfId="40052"/>
    <cellStyle name="asd 11 5 23" xfId="41716"/>
    <cellStyle name="asd 11 5 24" xfId="42620"/>
    <cellStyle name="asd 11 5 3" xfId="4665"/>
    <cellStyle name="asd 11 5 4" xfId="6112"/>
    <cellStyle name="asd 11 5 5" xfId="7563"/>
    <cellStyle name="asd 11 5 6" xfId="9473"/>
    <cellStyle name="asd 11 5 7" xfId="11038"/>
    <cellStyle name="asd 11 5 8" xfId="13297"/>
    <cellStyle name="asd 11 5 9" xfId="15202"/>
    <cellStyle name="asd 11 6" xfId="3141"/>
    <cellStyle name="asd 11 6 10" xfId="19163"/>
    <cellStyle name="asd 11 6 11" xfId="21075"/>
    <cellStyle name="asd 11 6 12" xfId="22927"/>
    <cellStyle name="asd 11 6 13" xfId="24877"/>
    <cellStyle name="asd 11 6 14" xfId="26682"/>
    <cellStyle name="asd 11 6 15" xfId="28403"/>
    <cellStyle name="asd 11 6 16" xfId="30282"/>
    <cellStyle name="asd 11 6 17" xfId="33017"/>
    <cellStyle name="asd 11 6 18" xfId="34696"/>
    <cellStyle name="asd 11 6 19" xfId="35704"/>
    <cellStyle name="asd 11 6 2" xfId="4425"/>
    <cellStyle name="asd 11 6 2 10" xfId="20669"/>
    <cellStyle name="asd 11 6 2 11" xfId="23972"/>
    <cellStyle name="asd 11 6 2 12" xfId="24471"/>
    <cellStyle name="asd 11 6 2 13" xfId="27834"/>
    <cellStyle name="asd 11 6 2 14" xfId="28680"/>
    <cellStyle name="asd 11 6 2 15" xfId="31412"/>
    <cellStyle name="asd 11 6 2 16" xfId="32988"/>
    <cellStyle name="asd 11 6 2 17" xfId="33706"/>
    <cellStyle name="asd 11 6 2 18" xfId="35299"/>
    <cellStyle name="asd 11 6 2 19" xfId="37177"/>
    <cellStyle name="asd 11 6 2 2" xfId="2393"/>
    <cellStyle name="asd 11 6 2 20" xfId="40189"/>
    <cellStyle name="asd 11 6 2 21" xfId="41848"/>
    <cellStyle name="asd 11 6 2 22" xfId="43717"/>
    <cellStyle name="asd 11 6 2 3" xfId="2563"/>
    <cellStyle name="asd 11 6 2 4" xfId="9231"/>
    <cellStyle name="asd 11 6 2 5" xfId="11932"/>
    <cellStyle name="asd 11 6 2 6" xfId="14442"/>
    <cellStyle name="asd 11 6 2 7" xfId="16348"/>
    <cellStyle name="asd 11 6 2 8" xfId="16850"/>
    <cellStyle name="asd 11 6 2 9" xfId="18757"/>
    <cellStyle name="asd 11 6 20" xfId="37583"/>
    <cellStyle name="asd 11 6 21" xfId="40217"/>
    <cellStyle name="asd 11 6 22" xfId="41876"/>
    <cellStyle name="asd 11 6 23" xfId="42713"/>
    <cellStyle name="asd 11 6 3" xfId="4827"/>
    <cellStyle name="asd 11 6 4" xfId="7728"/>
    <cellStyle name="asd 11 6 5" xfId="9638"/>
    <cellStyle name="asd 11 6 6" xfId="12167"/>
    <cellStyle name="asd 11 6 7" xfId="13395"/>
    <cellStyle name="asd 11 6 8" xfId="15300"/>
    <cellStyle name="asd 11 6 9" xfId="17257"/>
    <cellStyle name="asd 11 7" xfId="1934"/>
    <cellStyle name="asd 11 7 10" xfId="18988"/>
    <cellStyle name="asd 11 7 11" xfId="20900"/>
    <cellStyle name="asd 11 7 12" xfId="22794"/>
    <cellStyle name="asd 11 7 13" xfId="24702"/>
    <cellStyle name="asd 11 7 14" xfId="27281"/>
    <cellStyle name="asd 11 7 15" xfId="16611"/>
    <cellStyle name="asd 11 7 16" xfId="30873"/>
    <cellStyle name="asd 11 7 17" xfId="32873"/>
    <cellStyle name="asd 11 7 18" xfId="33582"/>
    <cellStyle name="asd 11 7 19" xfId="35529"/>
    <cellStyle name="asd 11 7 2" xfId="4304"/>
    <cellStyle name="asd 11 7 2 10" xfId="20588"/>
    <cellStyle name="asd 11 7 2 11" xfId="23231"/>
    <cellStyle name="asd 11 7 2 12" xfId="24390"/>
    <cellStyle name="asd 11 7 2 13" xfId="26978"/>
    <cellStyle name="asd 11 7 2 14" xfId="28188"/>
    <cellStyle name="asd 11 7 2 15" xfId="30572"/>
    <cellStyle name="asd 11 7 2 16" xfId="32316"/>
    <cellStyle name="asd 11 7 2 17" xfId="34102"/>
    <cellStyle name="asd 11 7 2 18" xfId="35218"/>
    <cellStyle name="asd 11 7 2 19" xfId="37096"/>
    <cellStyle name="asd 11 7 2 2" xfId="4413"/>
    <cellStyle name="asd 11 7 2 20" xfId="39535"/>
    <cellStyle name="asd 11 7 2 21" xfId="41209"/>
    <cellStyle name="asd 11 7 2 22" xfId="43008"/>
    <cellStyle name="asd 11 7 2 3" xfId="5405"/>
    <cellStyle name="asd 11 7 2 4" xfId="9150"/>
    <cellStyle name="asd 11 7 2 5" xfId="11115"/>
    <cellStyle name="asd 11 7 2 6" xfId="13703"/>
    <cellStyle name="asd 11 7 2 7" xfId="15605"/>
    <cellStyle name="asd 11 7 2 8" xfId="16769"/>
    <cellStyle name="asd 11 7 2 9" xfId="18676"/>
    <cellStyle name="asd 11 7 20" xfId="37408"/>
    <cellStyle name="asd 11 7 21" xfId="40079"/>
    <cellStyle name="asd 11 7 22" xfId="41743"/>
    <cellStyle name="asd 11 7 23" xfId="42587"/>
    <cellStyle name="asd 11 7 3" xfId="6103"/>
    <cellStyle name="asd 11 7 4" xfId="7553"/>
    <cellStyle name="asd 11 7 5" xfId="9463"/>
    <cellStyle name="asd 11 7 6" xfId="11289"/>
    <cellStyle name="asd 11 7 7" xfId="13263"/>
    <cellStyle name="asd 11 7 8" xfId="15167"/>
    <cellStyle name="asd 11 7 9" xfId="17082"/>
    <cellStyle name="asd 11 8" xfId="2465"/>
    <cellStyle name="asd 11 9" xfId="2427"/>
    <cellStyle name="asd 12" xfId="761"/>
    <cellStyle name="asd 12 10" xfId="6140"/>
    <cellStyle name="asd 12 11" xfId="2804"/>
    <cellStyle name="asd 12 12" xfId="2713"/>
    <cellStyle name="asd 12 13" xfId="12789"/>
    <cellStyle name="asd 12 14" xfId="2537"/>
    <cellStyle name="asd 12 15" xfId="12796"/>
    <cellStyle name="asd 12 16" xfId="1811"/>
    <cellStyle name="asd 12 17" xfId="2086"/>
    <cellStyle name="asd 12 18" xfId="10873"/>
    <cellStyle name="asd 12 19" xfId="2872"/>
    <cellStyle name="asd 12 2" xfId="3426"/>
    <cellStyle name="asd 12 2 10" xfId="13908"/>
    <cellStyle name="asd 12 2 11" xfId="15809"/>
    <cellStyle name="asd 12 2 12" xfId="16798"/>
    <cellStyle name="asd 12 2 13" xfId="18705"/>
    <cellStyle name="asd 12 2 14" xfId="20617"/>
    <cellStyle name="asd 12 2 15" xfId="23436"/>
    <cellStyle name="asd 12 2 16" xfId="24419"/>
    <cellStyle name="asd 12 2 17" xfId="26357"/>
    <cellStyle name="asd 12 2 18" xfId="29101"/>
    <cellStyle name="asd 12 2 19" xfId="29965"/>
    <cellStyle name="asd 12 2 2" xfId="3606"/>
    <cellStyle name="asd 12 2 2 10" xfId="17497"/>
    <cellStyle name="asd 12 2 2 11" xfId="19403"/>
    <cellStyle name="asd 12 2 2 12" xfId="21315"/>
    <cellStyle name="asd 12 2 2 13" xfId="23604"/>
    <cellStyle name="asd 12 2 2 14" xfId="25117"/>
    <cellStyle name="asd 12 2 2 15" xfId="27823"/>
    <cellStyle name="asd 12 2 2 16" xfId="28339"/>
    <cellStyle name="asd 12 2 2 17" xfId="31401"/>
    <cellStyle name="asd 12 2 2 18" xfId="32310"/>
    <cellStyle name="asd 12 2 2 19" xfId="33392"/>
    <cellStyle name="asd 12 2 2 2" xfId="5659"/>
    <cellStyle name="asd 12 2 2 2 10" xfId="21909"/>
    <cellStyle name="asd 12 2 2 2 11" xfId="23696"/>
    <cellStyle name="asd 12 2 2 2 12" xfId="25711"/>
    <cellStyle name="asd 12 2 2 2 13" xfId="26628"/>
    <cellStyle name="asd 12 2 2 2 14" xfId="29309"/>
    <cellStyle name="asd 12 2 2 2 15" xfId="30231"/>
    <cellStyle name="asd 12 2 2 2 16" xfId="32688"/>
    <cellStyle name="asd 12 2 2 2 17" xfId="34985"/>
    <cellStyle name="asd 12 2 2 2 18" xfId="36538"/>
    <cellStyle name="asd 12 2 2 2 19" xfId="38417"/>
    <cellStyle name="asd 12 2 2 2 2" xfId="7108"/>
    <cellStyle name="asd 12 2 2 2 20" xfId="39896"/>
    <cellStyle name="asd 12 2 2 2 21" xfId="41565"/>
    <cellStyle name="asd 12 2 2 2 22" xfId="43453"/>
    <cellStyle name="asd 12 2 2 2 3" xfId="8562"/>
    <cellStyle name="asd 12 2 2 2 4" xfId="10472"/>
    <cellStyle name="asd 12 2 2 2 5" xfId="11629"/>
    <cellStyle name="asd 12 2 2 2 6" xfId="14166"/>
    <cellStyle name="asd 12 2 2 2 7" xfId="16070"/>
    <cellStyle name="asd 12 2 2 2 8" xfId="18091"/>
    <cellStyle name="asd 12 2 2 2 9" xfId="19997"/>
    <cellStyle name="asd 12 2 2 20" xfId="35944"/>
    <cellStyle name="asd 12 2 2 21" xfId="37823"/>
    <cellStyle name="asd 12 2 2 22" xfId="39529"/>
    <cellStyle name="asd 12 2 2 23" xfId="41203"/>
    <cellStyle name="asd 12 2 2 24" xfId="43362"/>
    <cellStyle name="asd 12 2 2 3" xfId="5067"/>
    <cellStyle name="asd 12 2 2 4" xfId="6517"/>
    <cellStyle name="asd 12 2 2 5" xfId="7968"/>
    <cellStyle name="asd 12 2 2 6" xfId="9878"/>
    <cellStyle name="asd 12 2 2 7" xfId="11584"/>
    <cellStyle name="asd 12 2 2 8" xfId="14074"/>
    <cellStyle name="asd 12 2 2 9" xfId="15977"/>
    <cellStyle name="asd 12 2 20" xfId="31853"/>
    <cellStyle name="asd 12 2 21" xfId="34143"/>
    <cellStyle name="asd 12 2 22" xfId="35247"/>
    <cellStyle name="asd 12 2 23" xfId="37125"/>
    <cellStyle name="asd 12 2 24" xfId="39088"/>
    <cellStyle name="asd 12 2 25" xfId="40769"/>
    <cellStyle name="asd 12 2 26" xfId="43203"/>
    <cellStyle name="asd 12 2 3" xfId="3894"/>
    <cellStyle name="asd 12 2 3 10" xfId="19601"/>
    <cellStyle name="asd 12 2 3 11" xfId="21513"/>
    <cellStyle name="asd 12 2 3 12" xfId="23792"/>
    <cellStyle name="asd 12 2 3 13" xfId="25315"/>
    <cellStyle name="asd 12 2 3 14" xfId="26308"/>
    <cellStyle name="asd 12 2 3 15" xfId="29561"/>
    <cellStyle name="asd 12 2 3 16" xfId="29917"/>
    <cellStyle name="asd 12 2 3 17" xfId="32163"/>
    <cellStyle name="asd 12 2 3 18" xfId="34106"/>
    <cellStyle name="asd 12 2 3 19" xfId="36142"/>
    <cellStyle name="asd 12 2 3 2" xfId="5871"/>
    <cellStyle name="asd 12 2 3 2 10" xfId="22121"/>
    <cellStyle name="asd 12 2 3 2 11" xfId="23358"/>
    <cellStyle name="asd 12 2 3 2 12" xfId="25923"/>
    <cellStyle name="asd 12 2 3 2 13" xfId="27845"/>
    <cellStyle name="asd 12 2 3 2 14" xfId="29279"/>
    <cellStyle name="asd 12 2 3 2 15" xfId="31424"/>
    <cellStyle name="asd 12 2 3 2 16" xfId="32970"/>
    <cellStyle name="asd 12 2 3 2 17" xfId="34481"/>
    <cellStyle name="asd 12 2 3 2 18" xfId="36750"/>
    <cellStyle name="asd 12 2 3 2 19" xfId="38629"/>
    <cellStyle name="asd 12 2 3 2 2" xfId="7320"/>
    <cellStyle name="asd 12 2 3 2 20" xfId="40171"/>
    <cellStyle name="asd 12 2 3 2 21" xfId="41830"/>
    <cellStyle name="asd 12 2 3 2 22" xfId="43128"/>
    <cellStyle name="asd 12 2 3 2 3" xfId="8774"/>
    <cellStyle name="asd 12 2 3 2 4" xfId="10684"/>
    <cellStyle name="asd 12 2 3 2 5" xfId="11272"/>
    <cellStyle name="asd 12 2 3 2 6" xfId="13830"/>
    <cellStyle name="asd 12 2 3 2 7" xfId="15732"/>
    <cellStyle name="asd 12 2 3 2 8" xfId="18303"/>
    <cellStyle name="asd 12 2 3 2 9" xfId="20209"/>
    <cellStyle name="asd 12 2 3 20" xfId="38021"/>
    <cellStyle name="asd 12 2 3 21" xfId="39385"/>
    <cellStyle name="asd 12 2 3 22" xfId="41061"/>
    <cellStyle name="asd 12 2 3 23" xfId="43545"/>
    <cellStyle name="asd 12 2 3 3" xfId="5265"/>
    <cellStyle name="asd 12 2 3 4" xfId="8166"/>
    <cellStyle name="asd 12 2 3 5" xfId="10076"/>
    <cellStyle name="asd 12 2 3 6" xfId="11670"/>
    <cellStyle name="asd 12 2 3 7" xfId="14262"/>
    <cellStyle name="asd 12 2 3 8" xfId="16166"/>
    <cellStyle name="asd 12 2 3 9" xfId="17695"/>
    <cellStyle name="asd 12 2 4" xfId="4058"/>
    <cellStyle name="asd 12 2 4 10" xfId="19693"/>
    <cellStyle name="asd 12 2 4 11" xfId="21605"/>
    <cellStyle name="asd 12 2 4 12" xfId="24074"/>
    <cellStyle name="asd 12 2 4 13" xfId="25407"/>
    <cellStyle name="asd 12 2 4 14" xfId="26693"/>
    <cellStyle name="asd 12 2 4 15" xfId="23287"/>
    <cellStyle name="asd 12 2 4 16" xfId="30293"/>
    <cellStyle name="asd 12 2 4 17" xfId="33320"/>
    <cellStyle name="asd 12 2 4 18" xfId="6683"/>
    <cellStyle name="asd 12 2 4 19" xfId="36234"/>
    <cellStyle name="asd 12 2 4 2" xfId="5963"/>
    <cellStyle name="asd 12 2 4 2 10" xfId="22213"/>
    <cellStyle name="asd 12 2 4 2 11" xfId="23192"/>
    <cellStyle name="asd 12 2 4 2 12" xfId="26015"/>
    <cellStyle name="asd 12 2 4 2 13" xfId="26834"/>
    <cellStyle name="asd 12 2 4 2 14" xfId="22335"/>
    <cellStyle name="asd 12 2 4 2 15" xfId="30432"/>
    <cellStyle name="asd 12 2 4 2 16" xfId="32811"/>
    <cellStyle name="asd 12 2 4 2 17" xfId="33870"/>
    <cellStyle name="asd 12 2 4 2 18" xfId="36842"/>
    <cellStyle name="asd 12 2 4 2 19" xfId="38721"/>
    <cellStyle name="asd 12 2 4 2 2" xfId="7412"/>
    <cellStyle name="asd 12 2 4 2 20" xfId="40020"/>
    <cellStyle name="asd 12 2 4 2 21" xfId="41684"/>
    <cellStyle name="asd 12 2 4 2 22" xfId="42970"/>
    <cellStyle name="asd 12 2 4 2 3" xfId="8866"/>
    <cellStyle name="asd 12 2 4 2 4" xfId="10776"/>
    <cellStyle name="asd 12 2 4 2 5" xfId="11040"/>
    <cellStyle name="asd 12 2 4 2 6" xfId="13664"/>
    <cellStyle name="asd 12 2 4 2 7" xfId="15566"/>
    <cellStyle name="asd 12 2 4 2 8" xfId="18395"/>
    <cellStyle name="asd 12 2 4 2 9" xfId="20301"/>
    <cellStyle name="asd 12 2 4 20" xfId="38113"/>
    <cellStyle name="asd 12 2 4 21" xfId="40500"/>
    <cellStyle name="asd 12 2 4 22" xfId="42152"/>
    <cellStyle name="asd 12 2 4 23" xfId="43818"/>
    <cellStyle name="asd 12 2 4 3" xfId="6804"/>
    <cellStyle name="asd 12 2 4 4" xfId="8258"/>
    <cellStyle name="asd 12 2 4 5" xfId="10168"/>
    <cellStyle name="asd 12 2 4 6" xfId="12033"/>
    <cellStyle name="asd 12 2 4 7" xfId="14544"/>
    <cellStyle name="asd 12 2 4 8" xfId="16450"/>
    <cellStyle name="asd 12 2 4 9" xfId="17787"/>
    <cellStyle name="asd 12 2 5" xfId="4917"/>
    <cellStyle name="asd 12 2 5 10" xfId="21165"/>
    <cellStyle name="asd 12 2 5 11" xfId="23783"/>
    <cellStyle name="asd 12 2 5 12" xfId="24967"/>
    <cellStyle name="asd 12 2 5 13" xfId="26451"/>
    <cellStyle name="asd 12 2 5 14" xfId="29587"/>
    <cellStyle name="asd 12 2 5 15" xfId="30057"/>
    <cellStyle name="asd 12 2 5 16" xfId="32614"/>
    <cellStyle name="asd 12 2 5 17" xfId="33972"/>
    <cellStyle name="asd 12 2 5 18" xfId="35794"/>
    <cellStyle name="asd 12 2 5 19" xfId="37673"/>
    <cellStyle name="asd 12 2 5 2" xfId="6367"/>
    <cellStyle name="asd 12 2 5 20" xfId="39824"/>
    <cellStyle name="asd 12 2 5 21" xfId="41493"/>
    <cellStyle name="asd 12 2 5 22" xfId="43536"/>
    <cellStyle name="asd 12 2 5 3" xfId="7818"/>
    <cellStyle name="asd 12 2 5 4" xfId="9728"/>
    <cellStyle name="asd 12 2 5 5" xfId="11830"/>
    <cellStyle name="asd 12 2 5 6" xfId="14253"/>
    <cellStyle name="asd 12 2 5 7" xfId="16157"/>
    <cellStyle name="asd 12 2 5 8" xfId="17347"/>
    <cellStyle name="asd 12 2 5 9" xfId="19253"/>
    <cellStyle name="asd 12 2 6" xfId="4256"/>
    <cellStyle name="asd 12 2 6 10" xfId="20596"/>
    <cellStyle name="asd 12 2 6 11" xfId="22540"/>
    <cellStyle name="asd 12 2 6 12" xfId="24398"/>
    <cellStyle name="asd 12 2 6 13" xfId="26815"/>
    <cellStyle name="asd 12 2 6 14" xfId="29169"/>
    <cellStyle name="asd 12 2 6 15" xfId="30414"/>
    <cellStyle name="asd 12 2 6 16" xfId="33225"/>
    <cellStyle name="asd 12 2 6 17" xfId="33891"/>
    <cellStyle name="asd 12 2 6 18" xfId="35226"/>
    <cellStyle name="asd 12 2 6 19" xfId="37104"/>
    <cellStyle name="asd 12 2 6 2" xfId="4310"/>
    <cellStyle name="asd 12 2 6 20" xfId="40415"/>
    <cellStyle name="asd 12 2 6 21" xfId="42071"/>
    <cellStyle name="asd 12 2 6 22" xfId="42349"/>
    <cellStyle name="asd 12 2 6 3" xfId="3085"/>
    <cellStyle name="asd 12 2 6 4" xfId="9158"/>
    <cellStyle name="asd 12 2 6 5" xfId="11390"/>
    <cellStyle name="asd 12 2 6 6" xfId="13008"/>
    <cellStyle name="asd 12 2 6 7" xfId="14912"/>
    <cellStyle name="asd 12 2 6 8" xfId="16777"/>
    <cellStyle name="asd 12 2 6 9" xfId="18684"/>
    <cellStyle name="asd 12 2 7" xfId="6700"/>
    <cellStyle name="asd 12 2 8" xfId="9179"/>
    <cellStyle name="asd 12 2 9" xfId="12565"/>
    <cellStyle name="asd 12 20" xfId="22351"/>
    <cellStyle name="asd 12 21" xfId="12798"/>
    <cellStyle name="asd 12 22" xfId="33031"/>
    <cellStyle name="asd 12 23" xfId="31852"/>
    <cellStyle name="asd 12 24" xfId="27980"/>
    <cellStyle name="asd 12 25" xfId="34133"/>
    <cellStyle name="asd 12 26" xfId="27752"/>
    <cellStyle name="asd 12 27" xfId="32729"/>
    <cellStyle name="asd 12 3" xfId="3403"/>
    <cellStyle name="asd 12 3 10" xfId="14458"/>
    <cellStyle name="asd 12 3 11" xfId="16364"/>
    <cellStyle name="asd 12 3 12" xfId="16751"/>
    <cellStyle name="asd 12 3 13" xfId="18658"/>
    <cellStyle name="asd 12 3 14" xfId="20570"/>
    <cellStyle name="asd 12 3 15" xfId="23988"/>
    <cellStyle name="asd 12 3 16" xfId="24372"/>
    <cellStyle name="asd 12 3 17" xfId="3004"/>
    <cellStyle name="asd 12 3 18" xfId="27918"/>
    <cellStyle name="asd 12 3 19" xfId="5389"/>
    <cellStyle name="asd 12 3 2" xfId="3583"/>
    <cellStyle name="asd 12 3 2 10" xfId="17474"/>
    <cellStyle name="asd 12 3 2 11" xfId="19380"/>
    <cellStyle name="asd 12 3 2 12" xfId="21292"/>
    <cellStyle name="asd 12 3 2 13" xfId="23040"/>
    <cellStyle name="asd 12 3 2 14" xfId="25094"/>
    <cellStyle name="asd 12 3 2 15" xfId="27434"/>
    <cellStyle name="asd 12 3 2 16" xfId="2555"/>
    <cellStyle name="asd 12 3 2 17" xfId="31020"/>
    <cellStyle name="asd 12 3 2 18" xfId="32118"/>
    <cellStyle name="asd 12 3 2 19" xfId="28921"/>
    <cellStyle name="asd 12 3 2 2" xfId="4625"/>
    <cellStyle name="asd 12 3 2 2 10" xfId="20870"/>
    <cellStyle name="asd 12 3 2 2 11" xfId="23223"/>
    <cellStyle name="asd 12 3 2 2 12" xfId="24672"/>
    <cellStyle name="asd 12 3 2 2 13" xfId="26158"/>
    <cellStyle name="asd 12 3 2 2 14" xfId="1969"/>
    <cellStyle name="asd 12 3 2 2 15" xfId="29772"/>
    <cellStyle name="asd 12 3 2 2 16" xfId="1795"/>
    <cellStyle name="asd 12 3 2 2 17" xfId="2851"/>
    <cellStyle name="asd 12 3 2 2 18" xfId="35500"/>
    <cellStyle name="asd 12 3 2 2 19" xfId="37378"/>
    <cellStyle name="asd 12 3 2 2 2" xfId="6073"/>
    <cellStyle name="asd 12 3 2 2 20" xfId="22324"/>
    <cellStyle name="asd 12 3 2 2 21" xfId="34961"/>
    <cellStyle name="asd 12 3 2 2 22" xfId="43000"/>
    <cellStyle name="asd 12 3 2 2 3" xfId="7522"/>
    <cellStyle name="asd 12 3 2 2 4" xfId="9432"/>
    <cellStyle name="asd 12 3 2 2 5" xfId="11100"/>
    <cellStyle name="asd 12 3 2 2 6" xfId="13695"/>
    <cellStyle name="asd 12 3 2 2 7" xfId="15597"/>
    <cellStyle name="asd 12 3 2 2 8" xfId="17051"/>
    <cellStyle name="asd 12 3 2 2 9" xfId="18958"/>
    <cellStyle name="asd 12 3 2 20" xfId="35921"/>
    <cellStyle name="asd 12 3 2 21" xfId="37800"/>
    <cellStyle name="asd 12 3 2 22" xfId="39342"/>
    <cellStyle name="asd 12 3 2 23" xfId="41018"/>
    <cellStyle name="asd 12 3 2 24" xfId="42823"/>
    <cellStyle name="asd 12 3 2 3" xfId="5044"/>
    <cellStyle name="asd 12 3 2 4" xfId="6494"/>
    <cellStyle name="asd 12 3 2 5" xfId="7945"/>
    <cellStyle name="asd 12 3 2 6" xfId="9855"/>
    <cellStyle name="asd 12 3 2 7" xfId="12636"/>
    <cellStyle name="asd 12 3 2 8" xfId="13510"/>
    <cellStyle name="asd 12 3 2 9" xfId="15414"/>
    <cellStyle name="asd 12 3 20" xfId="20403"/>
    <cellStyle name="asd 12 3 21" xfId="4308"/>
    <cellStyle name="asd 12 3 22" xfId="35200"/>
    <cellStyle name="asd 12 3 23" xfId="37078"/>
    <cellStyle name="asd 12 3 24" xfId="31559"/>
    <cellStyle name="asd 12 3 25" xfId="28418"/>
    <cellStyle name="asd 12 3 26" xfId="43732"/>
    <cellStyle name="asd 12 3 3" xfId="2031"/>
    <cellStyle name="asd 12 3 3 10" xfId="19001"/>
    <cellStyle name="asd 12 3 3 11" xfId="20913"/>
    <cellStyle name="asd 12 3 3 12" xfId="22948"/>
    <cellStyle name="asd 12 3 3 13" xfId="24715"/>
    <cellStyle name="asd 12 3 3 14" xfId="27824"/>
    <cellStyle name="asd 12 3 3 15" xfId="29686"/>
    <cellStyle name="asd 12 3 3 16" xfId="31402"/>
    <cellStyle name="asd 12 3 3 17" xfId="33294"/>
    <cellStyle name="asd 12 3 3 18" xfId="34978"/>
    <cellStyle name="asd 12 3 3 19" xfId="35542"/>
    <cellStyle name="asd 12 3 3 2" xfId="3970"/>
    <cellStyle name="asd 12 3 3 2 10" xfId="20594"/>
    <cellStyle name="asd 12 3 3 2 11" xfId="23080"/>
    <cellStyle name="asd 12 3 3 2 12" xfId="24396"/>
    <cellStyle name="asd 12 3 3 2 13" xfId="26805"/>
    <cellStyle name="asd 12 3 3 2 14" xfId="29036"/>
    <cellStyle name="asd 12 3 3 2 15" xfId="30403"/>
    <cellStyle name="asd 12 3 3 2 16" xfId="32165"/>
    <cellStyle name="asd 12 3 3 2 17" xfId="33492"/>
    <cellStyle name="asd 12 3 3 2 18" xfId="35224"/>
    <cellStyle name="asd 12 3 3 2 19" xfId="37102"/>
    <cellStyle name="asd 12 3 3 2 2" xfId="4498"/>
    <cellStyle name="asd 12 3 3 2 20" xfId="39387"/>
    <cellStyle name="asd 12 3 3 2 21" xfId="41063"/>
    <cellStyle name="asd 12 3 3 2 22" xfId="42862"/>
    <cellStyle name="asd 12 3 3 2 3" xfId="5340"/>
    <cellStyle name="asd 12 3 3 2 4" xfId="9156"/>
    <cellStyle name="asd 12 3 3 2 5" xfId="11406"/>
    <cellStyle name="asd 12 3 3 2 6" xfId="13551"/>
    <cellStyle name="asd 12 3 3 2 7" xfId="15454"/>
    <cellStyle name="asd 12 3 3 2 8" xfId="16775"/>
    <cellStyle name="asd 12 3 3 2 9" xfId="18682"/>
    <cellStyle name="asd 12 3 3 20" xfId="37421"/>
    <cellStyle name="asd 12 3 3 21" xfId="40478"/>
    <cellStyle name="asd 12 3 3 22" xfId="42133"/>
    <cellStyle name="asd 12 3 3 23" xfId="42734"/>
    <cellStyle name="asd 12 3 3 3" xfId="4668"/>
    <cellStyle name="asd 12 3 3 4" xfId="7566"/>
    <cellStyle name="asd 12 3 3 5" xfId="9476"/>
    <cellStyle name="asd 12 3 3 6" xfId="11039"/>
    <cellStyle name="asd 12 3 3 7" xfId="13416"/>
    <cellStyle name="asd 12 3 3 8" xfId="15321"/>
    <cellStyle name="asd 12 3 3 9" xfId="17095"/>
    <cellStyle name="asd 12 3 4" xfId="4035"/>
    <cellStyle name="asd 12 3 4 10" xfId="19670"/>
    <cellStyle name="asd 12 3 4 11" xfId="21582"/>
    <cellStyle name="asd 12 3 4 12" xfId="23537"/>
    <cellStyle name="asd 12 3 4 13" xfId="25384"/>
    <cellStyle name="asd 12 3 4 14" xfId="27655"/>
    <cellStyle name="asd 12 3 4 15" xfId="29539"/>
    <cellStyle name="asd 12 3 4 16" xfId="31232"/>
    <cellStyle name="asd 12 3 4 17" xfId="32430"/>
    <cellStyle name="asd 12 3 4 18" xfId="33466"/>
    <cellStyle name="asd 12 3 4 19" xfId="36211"/>
    <cellStyle name="asd 12 3 4 2" xfId="5940"/>
    <cellStyle name="asd 12 3 4 2 10" xfId="22190"/>
    <cellStyle name="asd 12 3 4 2 11" xfId="22613"/>
    <cellStyle name="asd 12 3 4 2 12" xfId="25992"/>
    <cellStyle name="asd 12 3 4 2 13" xfId="26427"/>
    <cellStyle name="asd 12 3 4 2 14" xfId="29638"/>
    <cellStyle name="asd 12 3 4 2 15" xfId="30033"/>
    <cellStyle name="asd 12 3 4 2 16" xfId="32707"/>
    <cellStyle name="asd 12 3 4 2 17" xfId="34660"/>
    <cellStyle name="asd 12 3 4 2 18" xfId="36819"/>
    <cellStyle name="asd 12 3 4 2 19" xfId="38698"/>
    <cellStyle name="asd 12 3 4 2 2" xfId="7389"/>
    <cellStyle name="asd 12 3 4 2 20" xfId="39915"/>
    <cellStyle name="asd 12 3 4 2 21" xfId="41584"/>
    <cellStyle name="asd 12 3 4 2 22" xfId="42420"/>
    <cellStyle name="asd 12 3 4 2 3" xfId="8843"/>
    <cellStyle name="asd 12 3 4 2 4" xfId="10753"/>
    <cellStyle name="asd 12 3 4 2 5" xfId="2463"/>
    <cellStyle name="asd 12 3 4 2 6" xfId="13080"/>
    <cellStyle name="asd 12 3 4 2 7" xfId="14985"/>
    <cellStyle name="asd 12 3 4 2 8" xfId="18372"/>
    <cellStyle name="asd 12 3 4 2 9" xfId="20278"/>
    <cellStyle name="asd 12 3 4 20" xfId="38090"/>
    <cellStyle name="asd 12 3 4 21" xfId="39647"/>
    <cellStyle name="asd 12 3 4 22" xfId="41321"/>
    <cellStyle name="asd 12 3 4 23" xfId="43302"/>
    <cellStyle name="asd 12 3 4 3" xfId="6781"/>
    <cellStyle name="asd 12 3 4 4" xfId="8235"/>
    <cellStyle name="asd 12 3 4 5" xfId="10145"/>
    <cellStyle name="asd 12 3 4 6" xfId="12574"/>
    <cellStyle name="asd 12 3 4 7" xfId="14009"/>
    <cellStyle name="asd 12 3 4 8" xfId="15910"/>
    <cellStyle name="asd 12 3 4 9" xfId="17764"/>
    <cellStyle name="asd 12 3 5" xfId="4900"/>
    <cellStyle name="asd 12 3 5 10" xfId="21148"/>
    <cellStyle name="asd 12 3 5 11" xfId="23291"/>
    <cellStyle name="asd 12 3 5 12" xfId="24950"/>
    <cellStyle name="asd 12 3 5 13" xfId="26904"/>
    <cellStyle name="asd 12 3 5 14" xfId="29557"/>
    <cellStyle name="asd 12 3 5 15" xfId="30500"/>
    <cellStyle name="asd 12 3 5 16" xfId="33181"/>
    <cellStyle name="asd 12 3 5 17" xfId="34210"/>
    <cellStyle name="asd 12 3 5 18" xfId="35777"/>
    <cellStyle name="asd 12 3 5 19" xfId="37656"/>
    <cellStyle name="asd 12 3 5 2" xfId="6350"/>
    <cellStyle name="asd 12 3 5 20" xfId="40372"/>
    <cellStyle name="asd 12 3 5 21" xfId="42028"/>
    <cellStyle name="asd 12 3 5 22" xfId="43066"/>
    <cellStyle name="asd 12 3 5 3" xfId="7801"/>
    <cellStyle name="asd 12 3 5 4" xfId="9711"/>
    <cellStyle name="asd 12 3 5 5" xfId="11254"/>
    <cellStyle name="asd 12 3 5 6" xfId="13763"/>
    <cellStyle name="asd 12 3 5 7" xfId="15665"/>
    <cellStyle name="asd 12 3 5 8" xfId="17330"/>
    <cellStyle name="asd 12 3 5 9" xfId="19236"/>
    <cellStyle name="asd 12 3 6" xfId="5524"/>
    <cellStyle name="asd 12 3 6 10" xfId="21774"/>
    <cellStyle name="asd 12 3 6 11" xfId="22651"/>
    <cellStyle name="asd 12 3 6 12" xfId="25576"/>
    <cellStyle name="asd 12 3 6 13" xfId="26581"/>
    <cellStyle name="asd 12 3 6 14" xfId="28058"/>
    <cellStyle name="asd 12 3 6 15" xfId="30184"/>
    <cellStyle name="asd 12 3 6 16" xfId="32110"/>
    <cellStyle name="asd 12 3 6 17" xfId="34083"/>
    <cellStyle name="asd 12 3 6 18" xfId="36403"/>
    <cellStyle name="asd 12 3 6 19" xfId="38282"/>
    <cellStyle name="asd 12 3 6 2" xfId="6973"/>
    <cellStyle name="asd 12 3 6 20" xfId="39334"/>
    <cellStyle name="asd 12 3 6 21" xfId="41010"/>
    <cellStyle name="asd 12 3 6 22" xfId="42457"/>
    <cellStyle name="asd 12 3 6 3" xfId="8427"/>
    <cellStyle name="asd 12 3 6 4" xfId="10337"/>
    <cellStyle name="asd 12 3 6 5" xfId="11733"/>
    <cellStyle name="asd 12 3 6 6" xfId="13118"/>
    <cellStyle name="asd 12 3 6 7" xfId="15023"/>
    <cellStyle name="asd 12 3 6 8" xfId="17956"/>
    <cellStyle name="asd 12 3 6 9" xfId="19862"/>
    <cellStyle name="asd 12 3 7" xfId="4492"/>
    <cellStyle name="asd 12 3 8" xfId="9132"/>
    <cellStyle name="asd 12 3 9" xfId="11947"/>
    <cellStyle name="asd 12 4" xfId="3477"/>
    <cellStyle name="asd 12 4 10" xfId="14772"/>
    <cellStyle name="asd 12 4 11" xfId="16912"/>
    <cellStyle name="asd 12 4 12" xfId="18819"/>
    <cellStyle name="asd 12 4 13" xfId="20731"/>
    <cellStyle name="asd 12 4 14" xfId="22400"/>
    <cellStyle name="asd 12 4 15" xfId="24533"/>
    <cellStyle name="asd 12 4 16" xfId="27952"/>
    <cellStyle name="asd 12 4 17" xfId="29442"/>
    <cellStyle name="asd 12 4 18" xfId="31532"/>
    <cellStyle name="asd 12 4 19" xfId="32716"/>
    <cellStyle name="asd 12 4 2" xfId="3657"/>
    <cellStyle name="asd 12 4 2 10" xfId="17548"/>
    <cellStyle name="asd 12 4 2 11" xfId="19454"/>
    <cellStyle name="asd 12 4 2 12" xfId="21366"/>
    <cellStyle name="asd 12 4 2 13" xfId="9437"/>
    <cellStyle name="asd 12 4 2 14" xfId="25168"/>
    <cellStyle name="asd 12 4 2 15" xfId="4242"/>
    <cellStyle name="asd 12 4 2 16" xfId="28354"/>
    <cellStyle name="asd 12 4 2 17" xfId="24239"/>
    <cellStyle name="asd 12 4 2 18" xfId="26113"/>
    <cellStyle name="asd 12 4 2 19" xfId="28259"/>
    <cellStyle name="asd 12 4 2 2" xfId="4249"/>
    <cellStyle name="asd 12 4 2 2 10" xfId="20548"/>
    <cellStyle name="asd 12 4 2 2 11" xfId="22823"/>
    <cellStyle name="asd 12 4 2 2 12" xfId="24350"/>
    <cellStyle name="asd 12 4 2 2 13" xfId="26255"/>
    <cellStyle name="asd 12 4 2 2 14" xfId="16108"/>
    <cellStyle name="asd 12 4 2 2 15" xfId="29865"/>
    <cellStyle name="asd 12 4 2 2 16" xfId="32760"/>
    <cellStyle name="asd 12 4 2 2 17" xfId="3041"/>
    <cellStyle name="asd 12 4 2 2 18" xfId="35178"/>
    <cellStyle name="asd 12 4 2 2 19" xfId="37056"/>
    <cellStyle name="asd 12 4 2 2 2" xfId="4400"/>
    <cellStyle name="asd 12 4 2 2 20" xfId="39969"/>
    <cellStyle name="asd 12 4 2 2 21" xfId="41633"/>
    <cellStyle name="asd 12 4 2 2 22" xfId="42616"/>
    <cellStyle name="asd 12 4 2 2 3" xfId="4489"/>
    <cellStyle name="asd 12 4 2 2 4" xfId="9110"/>
    <cellStyle name="asd 12 4 2 2 5" xfId="12442"/>
    <cellStyle name="asd 12 4 2 2 6" xfId="13293"/>
    <cellStyle name="asd 12 4 2 2 7" xfId="15197"/>
    <cellStyle name="asd 12 4 2 2 8" xfId="16729"/>
    <cellStyle name="asd 12 4 2 2 9" xfId="18636"/>
    <cellStyle name="asd 12 4 2 20" xfId="35995"/>
    <cellStyle name="asd 12 4 2 21" xfId="37874"/>
    <cellStyle name="asd 12 4 2 22" xfId="29769"/>
    <cellStyle name="asd 12 4 2 23" xfId="2231"/>
    <cellStyle name="asd 12 4 2 24" xfId="29461"/>
    <cellStyle name="asd 12 4 2 3" xfId="5118"/>
    <cellStyle name="asd 12 4 2 4" xfId="6568"/>
    <cellStyle name="asd 12 4 2 5" xfId="8019"/>
    <cellStyle name="asd 12 4 2 6" xfId="9929"/>
    <cellStyle name="asd 12 4 2 7" xfId="12199"/>
    <cellStyle name="asd 12 4 2 8" xfId="2420"/>
    <cellStyle name="asd 12 4 2 9" xfId="2698"/>
    <cellStyle name="asd 12 4 20" xfId="34754"/>
    <cellStyle name="asd 12 4 21" xfId="35361"/>
    <cellStyle name="asd 12 4 22" xfId="37239"/>
    <cellStyle name="asd 12 4 23" xfId="39926"/>
    <cellStyle name="asd 12 4 24" xfId="41592"/>
    <cellStyle name="asd 12 4 25" xfId="42211"/>
    <cellStyle name="asd 12 4 3" xfId="3778"/>
    <cellStyle name="asd 12 4 3 10" xfId="19517"/>
    <cellStyle name="asd 12 4 3 11" xfId="21429"/>
    <cellStyle name="asd 12 4 3 12" xfId="22646"/>
    <cellStyle name="asd 12 4 3 13" xfId="25231"/>
    <cellStyle name="asd 12 4 3 14" xfId="26304"/>
    <cellStyle name="asd 12 4 3 15" xfId="28296"/>
    <cellStyle name="asd 12 4 3 16" xfId="29913"/>
    <cellStyle name="asd 12 4 3 17" xfId="32336"/>
    <cellStyle name="asd 12 4 3 18" xfId="33877"/>
    <cellStyle name="asd 12 4 3 19" xfId="36058"/>
    <cellStyle name="asd 12 4 3 2" xfId="5787"/>
    <cellStyle name="asd 12 4 3 2 10" xfId="22037"/>
    <cellStyle name="asd 12 4 3 2 11" xfId="23351"/>
    <cellStyle name="asd 12 4 3 2 12" xfId="25839"/>
    <cellStyle name="asd 12 4 3 2 13" xfId="27764"/>
    <cellStyle name="asd 12 4 3 2 14" xfId="29032"/>
    <cellStyle name="asd 12 4 3 2 15" xfId="31342"/>
    <cellStyle name="asd 12 4 3 2 16" xfId="31850"/>
    <cellStyle name="asd 12 4 3 2 17" xfId="34826"/>
    <cellStyle name="asd 12 4 3 2 18" xfId="36666"/>
    <cellStyle name="asd 12 4 3 2 19" xfId="38545"/>
    <cellStyle name="asd 12 4 3 2 2" xfId="7236"/>
    <cellStyle name="asd 12 4 3 2 20" xfId="39087"/>
    <cellStyle name="asd 12 4 3 2 21" xfId="40768"/>
    <cellStyle name="asd 12 4 3 2 22" xfId="43121"/>
    <cellStyle name="asd 12 4 3 2 3" xfId="8690"/>
    <cellStyle name="asd 12 4 3 2 4" xfId="10600"/>
    <cellStyle name="asd 12 4 3 2 5" xfId="10951"/>
    <cellStyle name="asd 12 4 3 2 6" xfId="13823"/>
    <cellStyle name="asd 12 4 3 2 7" xfId="15725"/>
    <cellStyle name="asd 12 4 3 2 8" xfId="18219"/>
    <cellStyle name="asd 12 4 3 2 9" xfId="20125"/>
    <cellStyle name="asd 12 4 3 20" xfId="37937"/>
    <cellStyle name="asd 12 4 3 21" xfId="39555"/>
    <cellStyle name="asd 12 4 3 22" xfId="41229"/>
    <cellStyle name="asd 12 4 3 23" xfId="42452"/>
    <cellStyle name="asd 12 4 3 3" xfId="5181"/>
    <cellStyle name="asd 12 4 3 4" xfId="8082"/>
    <cellStyle name="asd 12 4 3 5" xfId="9992"/>
    <cellStyle name="asd 12 4 3 6" xfId="11757"/>
    <cellStyle name="asd 12 4 3 7" xfId="13113"/>
    <cellStyle name="asd 12 4 3 8" xfId="15018"/>
    <cellStyle name="asd 12 4 3 9" xfId="17611"/>
    <cellStyle name="asd 12 4 4" xfId="4109"/>
    <cellStyle name="asd 12 4 4 10" xfId="19744"/>
    <cellStyle name="asd 12 4 4 11" xfId="21656"/>
    <cellStyle name="asd 12 4 4 12" xfId="24173"/>
    <cellStyle name="asd 12 4 4 13" xfId="25458"/>
    <cellStyle name="asd 12 4 4 14" xfId="27578"/>
    <cellStyle name="asd 12 4 4 15" xfId="28556"/>
    <cellStyle name="asd 12 4 4 16" xfId="31157"/>
    <cellStyle name="asd 12 4 4 17" xfId="32200"/>
    <cellStyle name="asd 12 4 4 18" xfId="34473"/>
    <cellStyle name="asd 12 4 4 19" xfId="36285"/>
    <cellStyle name="asd 12 4 4 2" xfId="6014"/>
    <cellStyle name="asd 12 4 4 2 10" xfId="22264"/>
    <cellStyle name="asd 12 4 4 2 11" xfId="23823"/>
    <cellStyle name="asd 12 4 4 2 12" xfId="26066"/>
    <cellStyle name="asd 12 4 4 2 13" xfId="26286"/>
    <cellStyle name="asd 12 4 4 2 14" xfId="28850"/>
    <cellStyle name="asd 12 4 4 2 15" xfId="29895"/>
    <cellStyle name="asd 12 4 4 2 16" xfId="31712"/>
    <cellStyle name="asd 12 4 4 2 17" xfId="33908"/>
    <cellStyle name="asd 12 4 4 2 18" xfId="36893"/>
    <cellStyle name="asd 12 4 4 2 19" xfId="38772"/>
    <cellStyle name="asd 12 4 4 2 2" xfId="7463"/>
    <cellStyle name="asd 12 4 4 2 20" xfId="38953"/>
    <cellStyle name="asd 12 4 4 2 21" xfId="40636"/>
    <cellStyle name="asd 12 4 4 2 22" xfId="43574"/>
    <cellStyle name="asd 12 4 4 2 3" xfId="8917"/>
    <cellStyle name="asd 12 4 4 2 4" xfId="10827"/>
    <cellStyle name="asd 12 4 4 2 5" xfId="12668"/>
    <cellStyle name="asd 12 4 4 2 6" xfId="14293"/>
    <cellStyle name="asd 12 4 4 2 7" xfId="16197"/>
    <cellStyle name="asd 12 4 4 2 8" xfId="18446"/>
    <cellStyle name="asd 12 4 4 2 9" xfId="20352"/>
    <cellStyle name="asd 12 4 4 20" xfId="38164"/>
    <cellStyle name="asd 12 4 4 21" xfId="39422"/>
    <cellStyle name="asd 12 4 4 22" xfId="41098"/>
    <cellStyle name="asd 12 4 4 23" xfId="43915"/>
    <cellStyle name="asd 12 4 4 3" xfId="6855"/>
    <cellStyle name="asd 12 4 4 4" xfId="8309"/>
    <cellStyle name="asd 12 4 4 5" xfId="10219"/>
    <cellStyle name="asd 12 4 4 6" xfId="12133"/>
    <cellStyle name="asd 12 4 4 7" xfId="14644"/>
    <cellStyle name="asd 12 4 4 8" xfId="16550"/>
    <cellStyle name="asd 12 4 4 9" xfId="17838"/>
    <cellStyle name="asd 12 4 5" xfId="5596"/>
    <cellStyle name="asd 12 4 5 10" xfId="21846"/>
    <cellStyle name="asd 12 4 5 11" xfId="23467"/>
    <cellStyle name="asd 12 4 5 12" xfId="25648"/>
    <cellStyle name="asd 12 4 5 13" xfId="26269"/>
    <cellStyle name="asd 12 4 5 14" xfId="28248"/>
    <cellStyle name="asd 12 4 5 15" xfId="29878"/>
    <cellStyle name="asd 12 4 5 16" xfId="31838"/>
    <cellStyle name="asd 12 4 5 17" xfId="34212"/>
    <cellStyle name="asd 12 4 5 18" xfId="36475"/>
    <cellStyle name="asd 12 4 5 19" xfId="38354"/>
    <cellStyle name="asd 12 4 5 2" xfId="7045"/>
    <cellStyle name="asd 12 4 5 20" xfId="39075"/>
    <cellStyle name="asd 12 4 5 21" xfId="40757"/>
    <cellStyle name="asd 12 4 5 22" xfId="43234"/>
    <cellStyle name="asd 12 4 5 3" xfId="8499"/>
    <cellStyle name="asd 12 4 5 4" xfId="10409"/>
    <cellStyle name="asd 12 4 5 5" xfId="12585"/>
    <cellStyle name="asd 12 4 5 6" xfId="13939"/>
    <cellStyle name="asd 12 4 5 7" xfId="15840"/>
    <cellStyle name="asd 12 4 5 8" xfId="18028"/>
    <cellStyle name="asd 12 4 5 9" xfId="19934"/>
    <cellStyle name="asd 12 4 6" xfId="6670"/>
    <cellStyle name="asd 12 4 7" xfId="9293"/>
    <cellStyle name="asd 12 4 8" xfId="11623"/>
    <cellStyle name="asd 12 4 9" xfId="12867"/>
    <cellStyle name="asd 12 5" xfId="3229"/>
    <cellStyle name="asd 12 5 10" xfId="17278"/>
    <cellStyle name="asd 12 5 11" xfId="19184"/>
    <cellStyle name="asd 12 5 12" xfId="21096"/>
    <cellStyle name="asd 12 5 13" xfId="23520"/>
    <cellStyle name="asd 12 5 14" xfId="24898"/>
    <cellStyle name="asd 12 5 15" xfId="26329"/>
    <cellStyle name="asd 12 5 16" xfId="18530"/>
    <cellStyle name="asd 12 5 17" xfId="29937"/>
    <cellStyle name="asd 12 5 18" xfId="33244"/>
    <cellStyle name="asd 12 5 19" xfId="33484"/>
    <cellStyle name="asd 12 5 2" xfId="5502"/>
    <cellStyle name="asd 12 5 2 10" xfId="21752"/>
    <cellStyle name="asd 12 5 2 11" xfId="22419"/>
    <cellStyle name="asd 12 5 2 12" xfId="25554"/>
    <cellStyle name="asd 12 5 2 13" xfId="26684"/>
    <cellStyle name="asd 12 5 2 14" xfId="1774"/>
    <cellStyle name="asd 12 5 2 15" xfId="30284"/>
    <cellStyle name="asd 12 5 2 16" xfId="33205"/>
    <cellStyle name="asd 12 5 2 17" xfId="33429"/>
    <cellStyle name="asd 12 5 2 18" xfId="36381"/>
    <cellStyle name="asd 12 5 2 19" xfId="38260"/>
    <cellStyle name="asd 12 5 2 2" xfId="6951"/>
    <cellStyle name="asd 12 5 2 20" xfId="40394"/>
    <cellStyle name="asd 12 5 2 21" xfId="42050"/>
    <cellStyle name="asd 12 5 2 22" xfId="42230"/>
    <cellStyle name="asd 12 5 2 3" xfId="8405"/>
    <cellStyle name="asd 12 5 2 4" xfId="10315"/>
    <cellStyle name="asd 12 5 2 5" xfId="11340"/>
    <cellStyle name="asd 12 5 2 6" xfId="12886"/>
    <cellStyle name="asd 12 5 2 7" xfId="14791"/>
    <cellStyle name="asd 12 5 2 8" xfId="17934"/>
    <cellStyle name="asd 12 5 2 9" xfId="19840"/>
    <cellStyle name="asd 12 5 20" xfId="35725"/>
    <cellStyle name="asd 12 5 21" xfId="37604"/>
    <cellStyle name="asd 12 5 22" xfId="40433"/>
    <cellStyle name="asd 12 5 23" xfId="42088"/>
    <cellStyle name="asd 12 5 24" xfId="43285"/>
    <cellStyle name="asd 12 5 3" xfId="4848"/>
    <cellStyle name="asd 12 5 4" xfId="6298"/>
    <cellStyle name="asd 12 5 5" xfId="7749"/>
    <cellStyle name="asd 12 5 6" xfId="9659"/>
    <cellStyle name="asd 12 5 7" xfId="12552"/>
    <cellStyle name="asd 12 5 8" xfId="13992"/>
    <cellStyle name="asd 12 5 9" xfId="15893"/>
    <cellStyle name="asd 12 6" xfId="2251"/>
    <cellStyle name="asd 12 6 10" xfId="19040"/>
    <cellStyle name="asd 12 6 11" xfId="20952"/>
    <cellStyle name="asd 12 6 12" xfId="23759"/>
    <cellStyle name="asd 12 6 13" xfId="24754"/>
    <cellStyle name="asd 12 6 14" xfId="26257"/>
    <cellStyle name="asd 12 6 15" xfId="29292"/>
    <cellStyle name="asd 12 6 16" xfId="29867"/>
    <cellStyle name="asd 12 6 17" xfId="32160"/>
    <cellStyle name="asd 12 6 18" xfId="34901"/>
    <cellStyle name="asd 12 6 19" xfId="35581"/>
    <cellStyle name="asd 12 6 2" xfId="5485"/>
    <cellStyle name="asd 12 6 2 10" xfId="21735"/>
    <cellStyle name="asd 12 6 2 11" xfId="22881"/>
    <cellStyle name="asd 12 6 2 12" xfId="25537"/>
    <cellStyle name="asd 12 6 2 13" xfId="27551"/>
    <cellStyle name="asd 12 6 2 14" xfId="28400"/>
    <cellStyle name="asd 12 6 2 15" xfId="31132"/>
    <cellStyle name="asd 12 6 2 16" xfId="33230"/>
    <cellStyle name="asd 12 6 2 17" xfId="34643"/>
    <cellStyle name="asd 12 6 2 18" xfId="36364"/>
    <cellStyle name="asd 12 6 2 19" xfId="38243"/>
    <cellStyle name="asd 12 6 2 2" xfId="6934"/>
    <cellStyle name="asd 12 6 2 20" xfId="40419"/>
    <cellStyle name="asd 12 6 2 21" xfId="42075"/>
    <cellStyle name="asd 12 6 2 22" xfId="42668"/>
    <cellStyle name="asd 12 6 2 3" xfId="8388"/>
    <cellStyle name="asd 12 6 2 4" xfId="10298"/>
    <cellStyle name="asd 12 6 2 5" xfId="12390"/>
    <cellStyle name="asd 12 6 2 6" xfId="13349"/>
    <cellStyle name="asd 12 6 2 7" xfId="15254"/>
    <cellStyle name="asd 12 6 2 8" xfId="17917"/>
    <cellStyle name="asd 12 6 2 9" xfId="19823"/>
    <cellStyle name="asd 12 6 20" xfId="37460"/>
    <cellStyle name="asd 12 6 21" xfId="39383"/>
    <cellStyle name="asd 12 6 22" xfId="41059"/>
    <cellStyle name="asd 12 6 23" xfId="43512"/>
    <cellStyle name="asd 12 6 3" xfId="4706"/>
    <cellStyle name="asd 12 6 4" xfId="7605"/>
    <cellStyle name="asd 12 6 5" xfId="9515"/>
    <cellStyle name="asd 12 6 6" xfId="11663"/>
    <cellStyle name="asd 12 6 7" xfId="14229"/>
    <cellStyle name="asd 12 6 8" xfId="16133"/>
    <cellStyle name="asd 12 6 9" xfId="17134"/>
    <cellStyle name="asd 12 7" xfId="2814"/>
    <cellStyle name="asd 12 7 10" xfId="19112"/>
    <cellStyle name="asd 12 7 11" xfId="21024"/>
    <cellStyle name="asd 12 7 12" xfId="23907"/>
    <cellStyle name="asd 12 7 13" xfId="24826"/>
    <cellStyle name="asd 12 7 14" xfId="26827"/>
    <cellStyle name="asd 12 7 15" xfId="28526"/>
    <cellStyle name="asd 12 7 16" xfId="30425"/>
    <cellStyle name="asd 12 7 17" xfId="32006"/>
    <cellStyle name="asd 12 7 18" xfId="34012"/>
    <cellStyle name="asd 12 7 19" xfId="35653"/>
    <cellStyle name="asd 12 7 2" xfId="4286"/>
    <cellStyle name="asd 12 7 2 10" xfId="20593"/>
    <cellStyle name="asd 12 7 2 11" xfId="22851"/>
    <cellStyle name="asd 12 7 2 12" xfId="24395"/>
    <cellStyle name="asd 12 7 2 13" xfId="27792"/>
    <cellStyle name="asd 12 7 2 14" xfId="28608"/>
    <cellStyle name="asd 12 7 2 15" xfId="31369"/>
    <cellStyle name="asd 12 7 2 16" xfId="33269"/>
    <cellStyle name="asd 12 7 2 17" xfId="33441"/>
    <cellStyle name="asd 12 7 2 18" xfId="35223"/>
    <cellStyle name="asd 12 7 2 19" xfId="37101"/>
    <cellStyle name="asd 12 7 2 2" xfId="5416"/>
    <cellStyle name="asd 12 7 2 20" xfId="40455"/>
    <cellStyle name="asd 12 7 2 21" xfId="42110"/>
    <cellStyle name="asd 12 7 2 22" xfId="42642"/>
    <cellStyle name="asd 12 7 2 3" xfId="6701"/>
    <cellStyle name="asd 12 7 2 4" xfId="9155"/>
    <cellStyle name="asd 12 7 2 5" xfId="11647"/>
    <cellStyle name="asd 12 7 2 6" xfId="13320"/>
    <cellStyle name="asd 12 7 2 7" xfId="15224"/>
    <cellStyle name="asd 12 7 2 8" xfId="16774"/>
    <cellStyle name="asd 12 7 2 9" xfId="18681"/>
    <cellStyle name="asd 12 7 20" xfId="37532"/>
    <cellStyle name="asd 12 7 21" xfId="39237"/>
    <cellStyle name="asd 12 7 22" xfId="40914"/>
    <cellStyle name="asd 12 7 23" xfId="43653"/>
    <cellStyle name="asd 12 7 3" xfId="6226"/>
    <cellStyle name="asd 12 7 4" xfId="7677"/>
    <cellStyle name="asd 12 7 5" xfId="9587"/>
    <cellStyle name="asd 12 7 6" xfId="11866"/>
    <cellStyle name="asd 12 7 7" xfId="14375"/>
    <cellStyle name="asd 12 7 8" xfId="16281"/>
    <cellStyle name="asd 12 7 9" xfId="17206"/>
    <cellStyle name="asd 12 8" xfId="3726"/>
    <cellStyle name="asd 12 9" xfId="3036"/>
    <cellStyle name="asd 13" xfId="769"/>
    <cellStyle name="asd 13 10" xfId="2060"/>
    <cellStyle name="asd 13 11" xfId="6130"/>
    <cellStyle name="asd 13 12" xfId="5372"/>
    <cellStyle name="asd 13 13" xfId="4167"/>
    <cellStyle name="asd 13 14" xfId="3733"/>
    <cellStyle name="asd 13 15" xfId="2846"/>
    <cellStyle name="asd 13 16" xfId="1782"/>
    <cellStyle name="asd 13 17" xfId="3771"/>
    <cellStyle name="asd 13 18" xfId="24225"/>
    <cellStyle name="asd 13 19" xfId="26789"/>
    <cellStyle name="asd 13 2" xfId="3469"/>
    <cellStyle name="asd 13 2 10" xfId="13099"/>
    <cellStyle name="asd 13 2 11" xfId="15004"/>
    <cellStyle name="asd 13 2 12" xfId="16887"/>
    <cellStyle name="asd 13 2 13" xfId="18794"/>
    <cellStyle name="asd 13 2 14" xfId="20706"/>
    <cellStyle name="asd 13 2 15" xfId="22632"/>
    <cellStyle name="asd 13 2 16" xfId="24508"/>
    <cellStyle name="asd 13 2 17" xfId="27320"/>
    <cellStyle name="asd 13 2 18" xfId="28123"/>
    <cellStyle name="asd 13 2 19" xfId="30910"/>
    <cellStyle name="asd 13 2 2" xfId="3649"/>
    <cellStyle name="asd 13 2 2 10" xfId="17540"/>
    <cellStyle name="asd 13 2 2 11" xfId="19446"/>
    <cellStyle name="asd 13 2 2 12" xfId="21358"/>
    <cellStyle name="asd 13 2 2 13" xfId="23136"/>
    <cellStyle name="asd 13 2 2 14" xfId="25160"/>
    <cellStyle name="asd 13 2 2 15" xfId="27452"/>
    <cellStyle name="asd 13 2 2 16" xfId="29473"/>
    <cellStyle name="asd 13 2 2 17" xfId="31039"/>
    <cellStyle name="asd 13 2 2 18" xfId="32096"/>
    <cellStyle name="asd 13 2 2 19" xfId="34285"/>
    <cellStyle name="asd 13 2 2 2" xfId="4915"/>
    <cellStyle name="asd 13 2 2 2 10" xfId="21163"/>
    <cellStyle name="asd 13 2 2 2 11" xfId="23967"/>
    <cellStyle name="asd 13 2 2 2 12" xfId="24965"/>
    <cellStyle name="asd 13 2 2 2 13" xfId="26380"/>
    <cellStyle name="asd 13 2 2 2 14" xfId="28904"/>
    <cellStyle name="asd 13 2 2 2 15" xfId="29988"/>
    <cellStyle name="asd 13 2 2 2 16" xfId="32025"/>
    <cellStyle name="asd 13 2 2 2 17" xfId="33457"/>
    <cellStyle name="asd 13 2 2 2 18" xfId="35792"/>
    <cellStyle name="asd 13 2 2 2 19" xfId="37671"/>
    <cellStyle name="asd 13 2 2 2 2" xfId="6365"/>
    <cellStyle name="asd 13 2 2 2 20" xfId="39255"/>
    <cellStyle name="asd 13 2 2 2 21" xfId="40932"/>
    <cellStyle name="asd 13 2 2 2 22" xfId="43713"/>
    <cellStyle name="asd 13 2 2 2 3" xfId="7816"/>
    <cellStyle name="asd 13 2 2 2 4" xfId="9726"/>
    <cellStyle name="asd 13 2 2 2 5" xfId="11927"/>
    <cellStyle name="asd 13 2 2 2 6" xfId="14437"/>
    <cellStyle name="asd 13 2 2 2 7" xfId="16343"/>
    <cellStyle name="asd 13 2 2 2 8" xfId="17345"/>
    <cellStyle name="asd 13 2 2 2 9" xfId="19251"/>
    <cellStyle name="asd 13 2 2 20" xfId="35987"/>
    <cellStyle name="asd 13 2 2 21" xfId="37866"/>
    <cellStyle name="asd 13 2 2 22" xfId="39320"/>
    <cellStyle name="asd 13 2 2 23" xfId="40996"/>
    <cellStyle name="asd 13 2 2 24" xfId="42914"/>
    <cellStyle name="asd 13 2 2 3" xfId="5110"/>
    <cellStyle name="asd 13 2 2 4" xfId="6560"/>
    <cellStyle name="asd 13 2 2 5" xfId="8011"/>
    <cellStyle name="asd 13 2 2 6" xfId="9921"/>
    <cellStyle name="asd 13 2 2 7" xfId="12760"/>
    <cellStyle name="asd 13 2 2 8" xfId="13607"/>
    <cellStyle name="asd 13 2 2 9" xfId="15510"/>
    <cellStyle name="asd 13 2 20" xfId="32916"/>
    <cellStyle name="asd 13 2 21" xfId="33472"/>
    <cellStyle name="asd 13 2 22" xfId="35336"/>
    <cellStyle name="asd 13 2 23" xfId="37214"/>
    <cellStyle name="asd 13 2 24" xfId="40120"/>
    <cellStyle name="asd 13 2 25" xfId="41780"/>
    <cellStyle name="asd 13 2 26" xfId="42438"/>
    <cellStyle name="asd 13 2 3" xfId="3785"/>
    <cellStyle name="asd 13 2 3 10" xfId="19523"/>
    <cellStyle name="asd 13 2 3 11" xfId="21435"/>
    <cellStyle name="asd 13 2 3 12" xfId="23742"/>
    <cellStyle name="asd 13 2 3 13" xfId="25237"/>
    <cellStyle name="asd 13 2 3 14" xfId="27445"/>
    <cellStyle name="asd 13 2 3 15" xfId="29160"/>
    <cellStyle name="asd 13 2 3 16" xfId="31031"/>
    <cellStyle name="asd 13 2 3 17" xfId="32480"/>
    <cellStyle name="asd 13 2 3 18" xfId="33658"/>
    <cellStyle name="asd 13 2 3 19" xfId="36064"/>
    <cellStyle name="asd 13 2 3 2" xfId="5793"/>
    <cellStyle name="asd 13 2 3 2 10" xfId="22043"/>
    <cellStyle name="asd 13 2 3 2 11" xfId="24186"/>
    <cellStyle name="asd 13 2 3 2 12" xfId="25845"/>
    <cellStyle name="asd 13 2 3 2 13" xfId="3770"/>
    <cellStyle name="asd 13 2 3 2 14" xfId="1784"/>
    <cellStyle name="asd 13 2 3 2 15" xfId="27388"/>
    <cellStyle name="asd 13 2 3 2 16" xfId="2560"/>
    <cellStyle name="asd 13 2 3 2 17" xfId="2613"/>
    <cellStyle name="asd 13 2 3 2 18" xfId="36672"/>
    <cellStyle name="asd 13 2 3 2 19" xfId="38551"/>
    <cellStyle name="asd 13 2 3 2 2" xfId="7242"/>
    <cellStyle name="asd 13 2 3 2 20" xfId="3728"/>
    <cellStyle name="asd 13 2 3 2 21" xfId="30939"/>
    <cellStyle name="asd 13 2 3 2 22" xfId="43925"/>
    <cellStyle name="asd 13 2 3 2 3" xfId="8696"/>
    <cellStyle name="asd 13 2 3 2 4" xfId="10606"/>
    <cellStyle name="asd 13 2 3 2 5" xfId="12146"/>
    <cellStyle name="asd 13 2 3 2 6" xfId="14658"/>
    <cellStyle name="asd 13 2 3 2 7" xfId="16564"/>
    <cellStyle name="asd 13 2 3 2 8" xfId="18225"/>
    <cellStyle name="asd 13 2 3 2 9" xfId="20131"/>
    <cellStyle name="asd 13 2 3 20" xfId="37943"/>
    <cellStyle name="asd 13 2 3 21" xfId="39698"/>
    <cellStyle name="asd 13 2 3 22" xfId="41371"/>
    <cellStyle name="asd 13 2 3 23" xfId="43495"/>
    <cellStyle name="asd 13 2 3 3" xfId="5187"/>
    <cellStyle name="asd 13 2 3 4" xfId="8088"/>
    <cellStyle name="asd 13 2 3 5" xfId="9998"/>
    <cellStyle name="asd 13 2 3 6" xfId="11486"/>
    <cellStyle name="asd 13 2 3 7" xfId="14212"/>
    <cellStyle name="asd 13 2 3 8" xfId="16116"/>
    <cellStyle name="asd 13 2 3 9" xfId="17617"/>
    <cellStyle name="asd 13 2 4" xfId="4101"/>
    <cellStyle name="asd 13 2 4 10" xfId="19736"/>
    <cellStyle name="asd 13 2 4 11" xfId="21648"/>
    <cellStyle name="asd 13 2 4 12" xfId="23597"/>
    <cellStyle name="asd 13 2 4 13" xfId="25450"/>
    <cellStyle name="asd 13 2 4 14" xfId="27405"/>
    <cellStyle name="asd 13 2 4 15" xfId="29276"/>
    <cellStyle name="asd 13 2 4 16" xfId="30991"/>
    <cellStyle name="asd 13 2 4 17" xfId="32977"/>
    <cellStyle name="asd 13 2 4 18" xfId="34561"/>
    <cellStyle name="asd 13 2 4 19" xfId="36277"/>
    <cellStyle name="asd 13 2 4 2" xfId="6006"/>
    <cellStyle name="asd 13 2 4 2 10" xfId="22256"/>
    <cellStyle name="asd 13 2 4 2 11" xfId="22359"/>
    <cellStyle name="asd 13 2 4 2 12" xfId="26058"/>
    <cellStyle name="asd 13 2 4 2 13" xfId="14045"/>
    <cellStyle name="asd 13 2 4 2 14" xfId="16563"/>
    <cellStyle name="asd 13 2 4 2 15" xfId="3723"/>
    <cellStyle name="asd 13 2 4 2 16" xfId="14711"/>
    <cellStyle name="asd 13 2 4 2 17" xfId="10900"/>
    <cellStyle name="asd 13 2 4 2 18" xfId="36885"/>
    <cellStyle name="asd 13 2 4 2 19" xfId="38764"/>
    <cellStyle name="asd 13 2 4 2 2" xfId="7455"/>
    <cellStyle name="asd 13 2 4 2 20" xfId="29289"/>
    <cellStyle name="asd 13 2 4 2 21" xfId="31639"/>
    <cellStyle name="asd 13 2 4 2 22" xfId="42171"/>
    <cellStyle name="asd 13 2 4 2 3" xfId="8909"/>
    <cellStyle name="asd 13 2 4 2 4" xfId="10819"/>
    <cellStyle name="asd 13 2 4 2 5" xfId="2314"/>
    <cellStyle name="asd 13 2 4 2 6" xfId="12826"/>
    <cellStyle name="asd 13 2 4 2 7" xfId="14731"/>
    <cellStyle name="asd 13 2 4 2 8" xfId="18438"/>
    <cellStyle name="asd 13 2 4 2 9" xfId="20344"/>
    <cellStyle name="asd 13 2 4 20" xfId="38156"/>
    <cellStyle name="asd 13 2 4 21" xfId="40178"/>
    <cellStyle name="asd 13 2 4 22" xfId="41837"/>
    <cellStyle name="asd 13 2 4 23" xfId="43356"/>
    <cellStyle name="asd 13 2 4 3" xfId="6847"/>
    <cellStyle name="asd 13 2 4 4" xfId="8301"/>
    <cellStyle name="asd 13 2 4 5" xfId="10211"/>
    <cellStyle name="asd 13 2 4 6" xfId="12201"/>
    <cellStyle name="asd 13 2 4 7" xfId="14067"/>
    <cellStyle name="asd 13 2 4 8" xfId="15970"/>
    <cellStyle name="asd 13 2 4 9" xfId="17830"/>
    <cellStyle name="asd 13 2 5" xfId="4953"/>
    <cellStyle name="asd 13 2 5 10" xfId="21201"/>
    <cellStyle name="asd 13 2 5 11" xfId="3131"/>
    <cellStyle name="asd 13 2 5 12" xfId="25003"/>
    <cellStyle name="asd 13 2 5 13" xfId="2281"/>
    <cellStyle name="asd 13 2 5 14" xfId="22832"/>
    <cellStyle name="asd 13 2 5 15" xfId="27998"/>
    <cellStyle name="asd 13 2 5 16" xfId="24251"/>
    <cellStyle name="asd 13 2 5 17" xfId="23811"/>
    <cellStyle name="asd 13 2 5 18" xfId="35830"/>
    <cellStyle name="asd 13 2 5 19" xfId="37709"/>
    <cellStyle name="asd 13 2 5 2" xfId="6403"/>
    <cellStyle name="asd 13 2 5 20" xfId="33353"/>
    <cellStyle name="asd 13 2 5 21" xfId="29062"/>
    <cellStyle name="asd 13 2 5 22" xfId="28001"/>
    <cellStyle name="asd 13 2 5 3" xfId="7854"/>
    <cellStyle name="asd 13 2 5 4" xfId="9764"/>
    <cellStyle name="asd 13 2 5 5" xfId="12315"/>
    <cellStyle name="asd 13 2 5 6" xfId="1860"/>
    <cellStyle name="asd 13 2 5 7" xfId="2957"/>
    <cellStyle name="asd 13 2 5 8" xfId="17383"/>
    <cellStyle name="asd 13 2 5 9" xfId="19289"/>
    <cellStyle name="asd 13 2 6" xfId="5713"/>
    <cellStyle name="asd 13 2 6 10" xfId="21963"/>
    <cellStyle name="asd 13 2 6 11" xfId="22670"/>
    <cellStyle name="asd 13 2 6 12" xfId="25765"/>
    <cellStyle name="asd 13 2 6 13" xfId="26354"/>
    <cellStyle name="asd 13 2 6 14" xfId="29051"/>
    <cellStyle name="asd 13 2 6 15" xfId="29962"/>
    <cellStyle name="asd 13 2 6 16" xfId="32642"/>
    <cellStyle name="asd 13 2 6 17" xfId="34155"/>
    <cellStyle name="asd 13 2 6 18" xfId="36592"/>
    <cellStyle name="asd 13 2 6 19" xfId="38471"/>
    <cellStyle name="asd 13 2 6 2" xfId="7162"/>
    <cellStyle name="asd 13 2 6 20" xfId="39849"/>
    <cellStyle name="asd 13 2 6 21" xfId="41518"/>
    <cellStyle name="asd 13 2 6 22" xfId="42475"/>
    <cellStyle name="asd 13 2 6 3" xfId="8616"/>
    <cellStyle name="asd 13 2 6 4" xfId="10526"/>
    <cellStyle name="asd 13 2 6 5" xfId="11571"/>
    <cellStyle name="asd 13 2 6 6" xfId="13137"/>
    <cellStyle name="asd 13 2 6 7" xfId="15042"/>
    <cellStyle name="asd 13 2 6 8" xfId="18145"/>
    <cellStyle name="asd 13 2 6 9" xfId="20051"/>
    <cellStyle name="asd 13 2 7" xfId="5300"/>
    <cellStyle name="asd 13 2 8" xfId="9268"/>
    <cellStyle name="asd 13 2 9" xfId="2028"/>
    <cellStyle name="asd 13 20" xfId="2025"/>
    <cellStyle name="asd 13 21" xfId="28000"/>
    <cellStyle name="asd 13 22" xfId="2496"/>
    <cellStyle name="asd 13 23" xfId="4197"/>
    <cellStyle name="asd 13 24" xfId="31587"/>
    <cellStyle name="asd 13 25" xfId="28391"/>
    <cellStyle name="asd 13 26" xfId="34323"/>
    <cellStyle name="asd 13 27" xfId="29220"/>
    <cellStyle name="asd 13 3" xfId="3447"/>
    <cellStyle name="asd 13 3 10" xfId="14321"/>
    <cellStyle name="asd 13 3 11" xfId="16225"/>
    <cellStyle name="asd 13 3 12" xfId="16832"/>
    <cellStyle name="asd 13 3 13" xfId="18739"/>
    <cellStyle name="asd 13 3 14" xfId="20651"/>
    <cellStyle name="asd 13 3 15" xfId="23851"/>
    <cellStyle name="asd 13 3 16" xfId="24453"/>
    <cellStyle name="asd 13 3 17" xfId="26832"/>
    <cellStyle name="asd 13 3 18" xfId="2940"/>
    <cellStyle name="asd 13 3 19" xfId="30430"/>
    <cellStyle name="asd 13 3 2" xfId="3627"/>
    <cellStyle name="asd 13 3 2 10" xfId="17518"/>
    <cellStyle name="asd 13 3 2 11" xfId="19424"/>
    <cellStyle name="asd 13 3 2 12" xfId="21336"/>
    <cellStyle name="asd 13 3 2 13" xfId="22596"/>
    <cellStyle name="asd 13 3 2 14" xfId="25138"/>
    <cellStyle name="asd 13 3 2 15" xfId="27480"/>
    <cellStyle name="asd 13 3 2 16" xfId="28725"/>
    <cellStyle name="asd 13 3 2 17" xfId="31067"/>
    <cellStyle name="asd 13 3 2 18" xfId="32841"/>
    <cellStyle name="asd 13 3 2 19" xfId="34359"/>
    <cellStyle name="asd 13 3 2 2" xfId="5738"/>
    <cellStyle name="asd 13 3 2 2 10" xfId="21988"/>
    <cellStyle name="asd 13 3 2 2 11" xfId="22663"/>
    <cellStyle name="asd 13 3 2 2 12" xfId="25790"/>
    <cellStyle name="asd 13 3 2 2 13" xfId="26876"/>
    <cellStyle name="asd 13 3 2 2 14" xfId="4418"/>
    <cellStyle name="asd 13 3 2 2 15" xfId="30473"/>
    <cellStyle name="asd 13 3 2 2 16" xfId="31999"/>
    <cellStyle name="asd 13 3 2 2 17" xfId="35061"/>
    <cellStyle name="asd 13 3 2 2 18" xfId="36617"/>
    <cellStyle name="asd 13 3 2 2 19" xfId="38496"/>
    <cellStyle name="asd 13 3 2 2 2" xfId="7187"/>
    <cellStyle name="asd 13 3 2 2 20" xfId="39230"/>
    <cellStyle name="asd 13 3 2 2 21" xfId="40907"/>
    <cellStyle name="asd 13 3 2 2 22" xfId="42469"/>
    <cellStyle name="asd 13 3 2 2 3" xfId="8641"/>
    <cellStyle name="asd 13 3 2 2 4" xfId="10551"/>
    <cellStyle name="asd 13 3 2 2 5" xfId="11510"/>
    <cellStyle name="asd 13 3 2 2 6" xfId="13130"/>
    <cellStyle name="asd 13 3 2 2 7" xfId="15035"/>
    <cellStyle name="asd 13 3 2 2 8" xfId="18170"/>
    <cellStyle name="asd 13 3 2 2 9" xfId="20076"/>
    <cellStyle name="asd 13 3 2 20" xfId="35965"/>
    <cellStyle name="asd 13 3 2 21" xfId="37844"/>
    <cellStyle name="asd 13 3 2 22" xfId="40048"/>
    <cellStyle name="asd 13 3 2 23" xfId="41712"/>
    <cellStyle name="asd 13 3 2 24" xfId="42405"/>
    <cellStyle name="asd 13 3 2 3" xfId="5088"/>
    <cellStyle name="asd 13 3 2 4" xfId="6538"/>
    <cellStyle name="asd 13 3 2 5" xfId="7989"/>
    <cellStyle name="asd 13 3 2 6" xfId="9899"/>
    <cellStyle name="asd 13 3 2 7" xfId="11484"/>
    <cellStyle name="asd 13 3 2 8" xfId="13064"/>
    <cellStyle name="asd 13 3 2 9" xfId="14968"/>
    <cellStyle name="asd 13 3 20" xfId="33008"/>
    <cellStyle name="asd 13 3 21" xfId="16347"/>
    <cellStyle name="asd 13 3 22" xfId="35281"/>
    <cellStyle name="asd 13 3 23" xfId="37159"/>
    <cellStyle name="asd 13 3 24" xfId="40208"/>
    <cellStyle name="asd 13 3 25" xfId="41867"/>
    <cellStyle name="asd 13 3 26" xfId="43602"/>
    <cellStyle name="asd 13 3 3" xfId="2569"/>
    <cellStyle name="asd 13 3 3 10" xfId="19084"/>
    <cellStyle name="asd 13 3 3 11" xfId="20996"/>
    <cellStyle name="asd 13 3 3 12" xfId="24190"/>
    <cellStyle name="asd 13 3 3 13" xfId="24798"/>
    <cellStyle name="asd 13 3 3 14" xfId="4229"/>
    <cellStyle name="asd 13 3 3 15" xfId="23577"/>
    <cellStyle name="asd 13 3 3 16" xfId="2423"/>
    <cellStyle name="asd 13 3 3 17" xfId="2531"/>
    <cellStyle name="asd 13 3 3 18" xfId="31585"/>
    <cellStyle name="asd 13 3 3 19" xfId="35625"/>
    <cellStyle name="asd 13 3 3 2" xfId="4285"/>
    <cellStyle name="asd 13 3 3 2 10" xfId="20455"/>
    <cellStyle name="asd 13 3 3 2 11" xfId="23711"/>
    <cellStyle name="asd 13 3 3 2 12" xfId="24257"/>
    <cellStyle name="asd 13 3 3 2 13" xfId="27851"/>
    <cellStyle name="asd 13 3 3 2 14" xfId="29166"/>
    <cellStyle name="asd 13 3 3 2 15" xfId="31430"/>
    <cellStyle name="asd 13 3 3 2 16" xfId="33034"/>
    <cellStyle name="asd 13 3 3 2 17" xfId="33657"/>
    <cellStyle name="asd 13 3 3 2 18" xfId="35085"/>
    <cellStyle name="asd 13 3 3 2 19" xfId="36963"/>
    <cellStyle name="asd 13 3 3 2 2" xfId="5332"/>
    <cellStyle name="asd 13 3 3 2 20" xfId="40233"/>
    <cellStyle name="asd 13 3 3 2 21" xfId="41892"/>
    <cellStyle name="asd 13 3 3 2 22" xfId="43468"/>
    <cellStyle name="asd 13 3 3 2 3" xfId="6637"/>
    <cellStyle name="asd 13 3 3 2 4" xfId="9017"/>
    <cellStyle name="asd 13 3 3 2 5" xfId="11482"/>
    <cellStyle name="asd 13 3 3 2 6" xfId="14181"/>
    <cellStyle name="asd 13 3 3 2 7" xfId="16085"/>
    <cellStyle name="asd 13 3 3 2 8" xfId="16636"/>
    <cellStyle name="asd 13 3 3 2 9" xfId="18543"/>
    <cellStyle name="asd 13 3 3 20" xfId="37504"/>
    <cellStyle name="asd 13 3 3 21" xfId="2333"/>
    <cellStyle name="asd 13 3 3 22" xfId="28147"/>
    <cellStyle name="asd 13 3 3 23" xfId="43928"/>
    <cellStyle name="asd 13 3 3 3" xfId="4749"/>
    <cellStyle name="asd 13 3 3 4" xfId="7649"/>
    <cellStyle name="asd 13 3 3 5" xfId="9559"/>
    <cellStyle name="asd 13 3 3 6" xfId="12150"/>
    <cellStyle name="asd 13 3 3 7" xfId="14662"/>
    <cellStyle name="asd 13 3 3 8" xfId="16568"/>
    <cellStyle name="asd 13 3 3 9" xfId="17178"/>
    <cellStyle name="asd 13 3 4" xfId="4079"/>
    <cellStyle name="asd 13 3 4 10" xfId="19714"/>
    <cellStyle name="asd 13 3 4 11" xfId="21626"/>
    <cellStyle name="asd 13 3 4 12" xfId="22888"/>
    <cellStyle name="asd 13 3 4 13" xfId="25428"/>
    <cellStyle name="asd 13 3 4 14" xfId="26394"/>
    <cellStyle name="asd 13 3 4 15" xfId="28407"/>
    <cellStyle name="asd 13 3 4 16" xfId="30002"/>
    <cellStyle name="asd 13 3 4 17" xfId="32232"/>
    <cellStyle name="asd 13 3 4 18" xfId="34888"/>
    <cellStyle name="asd 13 3 4 19" xfId="36255"/>
    <cellStyle name="asd 13 3 4 2" xfId="5984"/>
    <cellStyle name="asd 13 3 4 2 10" xfId="22234"/>
    <cellStyle name="asd 13 3 4 2 11" xfId="23966"/>
    <cellStyle name="asd 13 3 4 2 12" xfId="26036"/>
    <cellStyle name="asd 13 3 4 2 13" xfId="27128"/>
    <cellStyle name="asd 13 3 4 2 14" xfId="28886"/>
    <cellStyle name="asd 13 3 4 2 15" xfId="30719"/>
    <cellStyle name="asd 13 3 4 2 16" xfId="32132"/>
    <cellStyle name="asd 13 3 4 2 17" xfId="34571"/>
    <cellStyle name="asd 13 3 4 2 18" xfId="36863"/>
    <cellStyle name="asd 13 3 4 2 19" xfId="38742"/>
    <cellStyle name="asd 13 3 4 2 2" xfId="7433"/>
    <cellStyle name="asd 13 3 4 2 20" xfId="39355"/>
    <cellStyle name="asd 13 3 4 2 21" xfId="41031"/>
    <cellStyle name="asd 13 3 4 2 22" xfId="43712"/>
    <cellStyle name="asd 13 3 4 2 3" xfId="8887"/>
    <cellStyle name="asd 13 3 4 2 4" xfId="10797"/>
    <cellStyle name="asd 13 3 4 2 5" xfId="11926"/>
    <cellStyle name="asd 13 3 4 2 6" xfId="14436"/>
    <cellStyle name="asd 13 3 4 2 7" xfId="16342"/>
    <cellStyle name="asd 13 3 4 2 8" xfId="18416"/>
    <cellStyle name="asd 13 3 4 2 9" xfId="20322"/>
    <cellStyle name="asd 13 3 4 20" xfId="38134"/>
    <cellStyle name="asd 13 3 4 21" xfId="39451"/>
    <cellStyle name="asd 13 3 4 22" xfId="41126"/>
    <cellStyle name="asd 13 3 4 23" xfId="42674"/>
    <cellStyle name="asd 13 3 4 3" xfId="6825"/>
    <cellStyle name="asd 13 3 4 4" xfId="8279"/>
    <cellStyle name="asd 13 3 4 5" xfId="10189"/>
    <cellStyle name="asd 13 3 4 6" xfId="12469"/>
    <cellStyle name="asd 13 3 4 7" xfId="13356"/>
    <cellStyle name="asd 13 3 4 8" xfId="15261"/>
    <cellStyle name="asd 13 3 4 9" xfId="17808"/>
    <cellStyle name="asd 13 3 5" xfId="4934"/>
    <cellStyle name="asd 13 3 5 10" xfId="21182"/>
    <cellStyle name="asd 13 3 5 11" xfId="2515"/>
    <cellStyle name="asd 13 3 5 12" xfId="24984"/>
    <cellStyle name="asd 13 3 5 13" xfId="16619"/>
    <cellStyle name="asd 13 3 5 14" xfId="27978"/>
    <cellStyle name="asd 13 3 5 15" xfId="14724"/>
    <cellStyle name="asd 13 3 5 16" xfId="31578"/>
    <cellStyle name="asd 13 3 5 17" xfId="33050"/>
    <cellStyle name="asd 13 3 5 18" xfId="35811"/>
    <cellStyle name="asd 13 3 5 19" xfId="37690"/>
    <cellStyle name="asd 13 3 5 2" xfId="6384"/>
    <cellStyle name="asd 13 3 5 20" xfId="38833"/>
    <cellStyle name="asd 13 3 5 21" xfId="40521"/>
    <cellStyle name="asd 13 3 5 22" xfId="33346"/>
    <cellStyle name="asd 13 3 5 3" xfId="7835"/>
    <cellStyle name="asd 13 3 5 4" xfId="9745"/>
    <cellStyle name="asd 13 3 5 5" xfId="12349"/>
    <cellStyle name="asd 13 3 5 6" xfId="4163"/>
    <cellStyle name="asd 13 3 5 7" xfId="2956"/>
    <cellStyle name="asd 13 3 5 8" xfId="17364"/>
    <cellStyle name="asd 13 3 5 9" xfId="19270"/>
    <cellStyle name="asd 13 3 6" xfId="5671"/>
    <cellStyle name="asd 13 3 6 10" xfId="21921"/>
    <cellStyle name="asd 13 3 6 11" xfId="23562"/>
    <cellStyle name="asd 13 3 6 12" xfId="25723"/>
    <cellStyle name="asd 13 3 6 13" xfId="26455"/>
    <cellStyle name="asd 13 3 6 14" xfId="28753"/>
    <cellStyle name="asd 13 3 6 15" xfId="30061"/>
    <cellStyle name="asd 13 3 6 16" xfId="32343"/>
    <cellStyle name="asd 13 3 6 17" xfId="34379"/>
    <cellStyle name="asd 13 3 6 18" xfId="36550"/>
    <cellStyle name="asd 13 3 6 19" xfId="38429"/>
    <cellStyle name="asd 13 3 6 2" xfId="7120"/>
    <cellStyle name="asd 13 3 6 20" xfId="39562"/>
    <cellStyle name="asd 13 3 6 21" xfId="41236"/>
    <cellStyle name="asd 13 3 6 22" xfId="43326"/>
    <cellStyle name="asd 13 3 6 3" xfId="8574"/>
    <cellStyle name="asd 13 3 6 4" xfId="10484"/>
    <cellStyle name="asd 13 3 6 5" xfId="11252"/>
    <cellStyle name="asd 13 3 6 6" xfId="14034"/>
    <cellStyle name="asd 13 3 6 7" xfId="15935"/>
    <cellStyle name="asd 13 3 6 8" xfId="18103"/>
    <cellStyle name="asd 13 3 6 9" xfId="20009"/>
    <cellStyle name="asd 13 3 7" xfId="6695"/>
    <cellStyle name="asd 13 3 8" xfId="9213"/>
    <cellStyle name="asd 13 3 9" xfId="11552"/>
    <cellStyle name="asd 13 4" xfId="3377"/>
    <cellStyle name="asd 13 4 10" xfId="2606"/>
    <cellStyle name="asd 13 4 11" xfId="16690"/>
    <cellStyle name="asd 13 4 12" xfId="18597"/>
    <cellStyle name="asd 13 4 13" xfId="20509"/>
    <cellStyle name="asd 13 4 14" xfId="12776"/>
    <cellStyle name="asd 13 4 15" xfId="24311"/>
    <cellStyle name="asd 13 4 16" xfId="20416"/>
    <cellStyle name="asd 13 4 17" xfId="2350"/>
    <cellStyle name="asd 13 4 18" xfId="12808"/>
    <cellStyle name="asd 13 4 19" xfId="8975"/>
    <cellStyle name="asd 13 4 2" xfId="3557"/>
    <cellStyle name="asd 13 4 2 10" xfId="17448"/>
    <cellStyle name="asd 13 4 2 11" xfId="19354"/>
    <cellStyle name="asd 13 4 2 12" xfId="21266"/>
    <cellStyle name="asd 13 4 2 13" xfId="22564"/>
    <cellStyle name="asd 13 4 2 14" xfId="25068"/>
    <cellStyle name="asd 13 4 2 15" xfId="26886"/>
    <cellStyle name="asd 13 4 2 16" xfId="29111"/>
    <cellStyle name="asd 13 4 2 17" xfId="30483"/>
    <cellStyle name="asd 13 4 2 18" xfId="31878"/>
    <cellStyle name="asd 13 4 2 19" xfId="34913"/>
    <cellStyle name="asd 13 4 2 2" xfId="5625"/>
    <cellStyle name="asd 13 4 2 2 10" xfId="21875"/>
    <cellStyle name="asd 13 4 2 2 11" xfId="22502"/>
    <cellStyle name="asd 13 4 2 2 12" xfId="25677"/>
    <cellStyle name="asd 13 4 2 2 13" xfId="26635"/>
    <cellStyle name="asd 13 4 2 2 14" xfId="2482"/>
    <cellStyle name="asd 13 4 2 2 15" xfId="30238"/>
    <cellStyle name="asd 13 4 2 2 16" xfId="33002"/>
    <cellStyle name="asd 13 4 2 2 17" xfId="34945"/>
    <cellStyle name="asd 13 4 2 2 18" xfId="36504"/>
    <cellStyle name="asd 13 4 2 2 19" xfId="38383"/>
    <cellStyle name="asd 13 4 2 2 2" xfId="7074"/>
    <cellStyle name="asd 13 4 2 2 20" xfId="40202"/>
    <cellStyle name="asd 13 4 2 2 21" xfId="41861"/>
    <cellStyle name="asd 13 4 2 2 22" xfId="42312"/>
    <cellStyle name="asd 13 4 2 2 3" xfId="8528"/>
    <cellStyle name="asd 13 4 2 2 4" xfId="10438"/>
    <cellStyle name="asd 13 4 2 2 5" xfId="11323"/>
    <cellStyle name="asd 13 4 2 2 6" xfId="12970"/>
    <cellStyle name="asd 13 4 2 2 7" xfId="14874"/>
    <cellStyle name="asd 13 4 2 2 8" xfId="18057"/>
    <cellStyle name="asd 13 4 2 2 9" xfId="19963"/>
    <cellStyle name="asd 13 4 2 20" xfId="35895"/>
    <cellStyle name="asd 13 4 2 21" xfId="37774"/>
    <cellStyle name="asd 13 4 2 22" xfId="39113"/>
    <cellStyle name="asd 13 4 2 23" xfId="40794"/>
    <cellStyle name="asd 13 4 2 24" xfId="42373"/>
    <cellStyle name="asd 13 4 2 3" xfId="5018"/>
    <cellStyle name="asd 13 4 2 4" xfId="6468"/>
    <cellStyle name="asd 13 4 2 5" xfId="7919"/>
    <cellStyle name="asd 13 4 2 6" xfId="9829"/>
    <cellStyle name="asd 13 4 2 7" xfId="2068"/>
    <cellStyle name="asd 13 4 2 8" xfId="13032"/>
    <cellStyle name="asd 13 4 2 9" xfId="14936"/>
    <cellStyle name="asd 13 4 20" xfId="3730"/>
    <cellStyle name="asd 13 4 21" xfId="35139"/>
    <cellStyle name="asd 13 4 22" xfId="37017"/>
    <cellStyle name="asd 13 4 23" xfId="34225"/>
    <cellStyle name="asd 13 4 24" xfId="34264"/>
    <cellStyle name="asd 13 4 25" xfId="31293"/>
    <cellStyle name="asd 13 4 3" xfId="3843"/>
    <cellStyle name="asd 13 4 3 10" xfId="19566"/>
    <cellStyle name="asd 13 4 3 11" xfId="21478"/>
    <cellStyle name="asd 13 4 3 12" xfId="23145"/>
    <cellStyle name="asd 13 4 3 13" xfId="25280"/>
    <cellStyle name="asd 13 4 3 14" xfId="27502"/>
    <cellStyle name="asd 13 4 3 15" xfId="28815"/>
    <cellStyle name="asd 13 4 3 16" xfId="31087"/>
    <cellStyle name="asd 13 4 3 17" xfId="32284"/>
    <cellStyle name="asd 13 4 3 18" xfId="33930"/>
    <cellStyle name="asd 13 4 3 19" xfId="36107"/>
    <cellStyle name="asd 13 4 3 2" xfId="5836"/>
    <cellStyle name="asd 13 4 3 2 10" xfId="22086"/>
    <cellStyle name="asd 13 4 3 2 11" xfId="23563"/>
    <cellStyle name="asd 13 4 3 2 12" xfId="25888"/>
    <cellStyle name="asd 13 4 3 2 13" xfId="3871"/>
    <cellStyle name="asd 13 4 3 2 14" xfId="27325"/>
    <cellStyle name="asd 13 4 3 2 15" xfId="2812"/>
    <cellStyle name="asd 13 4 3 2 16" xfId="24210"/>
    <cellStyle name="asd 13 4 3 2 17" xfId="31581"/>
    <cellStyle name="asd 13 4 3 2 18" xfId="36715"/>
    <cellStyle name="asd 13 4 3 2 19" xfId="38594"/>
    <cellStyle name="asd 13 4 3 2 2" xfId="7285"/>
    <cellStyle name="asd 13 4 3 2 20" xfId="29753"/>
    <cellStyle name="asd 13 4 3 2 21" xfId="26623"/>
    <cellStyle name="asd 13 4 3 2 22" xfId="43327"/>
    <cellStyle name="asd 13 4 3 2 3" xfId="8739"/>
    <cellStyle name="asd 13 4 3 2 4" xfId="10649"/>
    <cellStyle name="asd 13 4 3 2 5" xfId="12579"/>
    <cellStyle name="asd 13 4 3 2 6" xfId="14035"/>
    <cellStyle name="asd 13 4 3 2 7" xfId="15936"/>
    <cellStyle name="asd 13 4 3 2 8" xfId="18268"/>
    <cellStyle name="asd 13 4 3 2 9" xfId="20174"/>
    <cellStyle name="asd 13 4 3 20" xfId="37986"/>
    <cellStyle name="asd 13 4 3 21" xfId="39503"/>
    <cellStyle name="asd 13 4 3 22" xfId="41178"/>
    <cellStyle name="asd 13 4 3 23" xfId="42923"/>
    <cellStyle name="asd 13 4 3 3" xfId="5230"/>
    <cellStyle name="asd 13 4 3 4" xfId="8131"/>
    <cellStyle name="asd 13 4 3 5" xfId="10041"/>
    <cellStyle name="asd 13 4 3 6" xfId="10925"/>
    <cellStyle name="asd 13 4 3 7" xfId="13616"/>
    <cellStyle name="asd 13 4 3 8" xfId="15519"/>
    <cellStyle name="asd 13 4 3 9" xfId="17660"/>
    <cellStyle name="asd 13 4 4" xfId="4009"/>
    <cellStyle name="asd 13 4 4 10" xfId="19644"/>
    <cellStyle name="asd 13 4 4 11" xfId="21556"/>
    <cellStyle name="asd 13 4 4 12" xfId="23057"/>
    <cellStyle name="asd 13 4 4 13" xfId="25358"/>
    <cellStyle name="asd 13 4 4 14" xfId="27491"/>
    <cellStyle name="asd 13 4 4 15" xfId="28586"/>
    <cellStyle name="asd 13 4 4 16" xfId="31077"/>
    <cellStyle name="asd 13 4 4 17" xfId="31739"/>
    <cellStyle name="asd 13 4 4 18" xfId="34243"/>
    <cellStyle name="asd 13 4 4 19" xfId="36185"/>
    <cellStyle name="asd 13 4 4 2" xfId="5914"/>
    <cellStyle name="asd 13 4 4 2 10" xfId="22164"/>
    <cellStyle name="asd 13 4 4 2 11" xfId="22839"/>
    <cellStyle name="asd 13 4 4 2 12" xfId="25966"/>
    <cellStyle name="asd 13 4 4 2 13" xfId="27019"/>
    <cellStyle name="asd 13 4 4 2 14" xfId="28874"/>
    <cellStyle name="asd 13 4 4 2 15" xfId="30612"/>
    <cellStyle name="asd 13 4 4 2 16" xfId="32817"/>
    <cellStyle name="asd 13 4 4 2 17" xfId="35044"/>
    <cellStyle name="asd 13 4 4 2 18" xfId="36793"/>
    <cellStyle name="asd 13 4 4 2 19" xfId="38672"/>
    <cellStyle name="asd 13 4 4 2 2" xfId="7363"/>
    <cellStyle name="asd 13 4 4 2 20" xfId="40026"/>
    <cellStyle name="asd 13 4 4 2 21" xfId="41690"/>
    <cellStyle name="asd 13 4 4 2 22" xfId="42630"/>
    <cellStyle name="asd 13 4 4 2 3" xfId="8817"/>
    <cellStyle name="asd 13 4 4 2 4" xfId="10727"/>
    <cellStyle name="asd 13 4 4 2 5" xfId="12353"/>
    <cellStyle name="asd 13 4 4 2 6" xfId="13308"/>
    <cellStyle name="asd 13 4 4 2 7" xfId="15212"/>
    <cellStyle name="asd 13 4 4 2 8" xfId="18346"/>
    <cellStyle name="asd 13 4 4 2 9" xfId="20252"/>
    <cellStyle name="asd 13 4 4 20" xfId="38064"/>
    <cellStyle name="asd 13 4 4 21" xfId="38980"/>
    <cellStyle name="asd 13 4 4 22" xfId="40663"/>
    <cellStyle name="asd 13 4 4 23" xfId="42840"/>
    <cellStyle name="asd 13 4 4 3" xfId="6755"/>
    <cellStyle name="asd 13 4 4 4" xfId="8209"/>
    <cellStyle name="asd 13 4 4 5" xfId="10119"/>
    <cellStyle name="asd 13 4 4 6" xfId="12660"/>
    <cellStyle name="asd 13 4 4 7" xfId="13528"/>
    <cellStyle name="asd 13 4 4 8" xfId="15431"/>
    <cellStyle name="asd 13 4 4 9" xfId="17738"/>
    <cellStyle name="asd 13 4 5" xfId="5642"/>
    <cellStyle name="asd 13 4 5 10" xfId="21892"/>
    <cellStyle name="asd 13 4 5 11" xfId="23205"/>
    <cellStyle name="asd 13 4 5 12" xfId="25694"/>
    <cellStyle name="asd 13 4 5 13" xfId="27412"/>
    <cellStyle name="asd 13 4 5 14" xfId="29345"/>
    <cellStyle name="asd 13 4 5 15" xfId="30998"/>
    <cellStyle name="asd 13 4 5 16" xfId="32369"/>
    <cellStyle name="asd 13 4 5 17" xfId="33921"/>
    <cellStyle name="asd 13 4 5 18" xfId="36521"/>
    <cellStyle name="asd 13 4 5 19" xfId="38400"/>
    <cellStyle name="asd 13 4 5 2" xfId="7091"/>
    <cellStyle name="asd 13 4 5 20" xfId="39587"/>
    <cellStyle name="asd 13 4 5 21" xfId="41261"/>
    <cellStyle name="asd 13 4 5 22" xfId="42983"/>
    <cellStyle name="asd 13 4 5 3" xfId="8545"/>
    <cellStyle name="asd 13 4 5 4" xfId="10455"/>
    <cellStyle name="asd 13 4 5 5" xfId="11074"/>
    <cellStyle name="asd 13 4 5 6" xfId="13677"/>
    <cellStyle name="asd 13 4 5 7" xfId="15579"/>
    <cellStyle name="asd 13 4 5 8" xfId="18074"/>
    <cellStyle name="asd 13 4 5 9" xfId="19980"/>
    <cellStyle name="asd 13 4 6" xfId="3193"/>
    <cellStyle name="asd 13 4 7" xfId="9071"/>
    <cellStyle name="asd 13 4 8" xfId="12171"/>
    <cellStyle name="asd 13 4 9" xfId="1867"/>
    <cellStyle name="asd 13 5" xfId="2141"/>
    <cellStyle name="asd 13 5 10" xfId="17117"/>
    <cellStyle name="asd 13 5 11" xfId="19023"/>
    <cellStyle name="asd 13 5 12" xfId="20935"/>
    <cellStyle name="asd 13 5 13" xfId="23224"/>
    <cellStyle name="asd 13 5 14" xfId="24737"/>
    <cellStyle name="asd 13 5 15" xfId="27440"/>
    <cellStyle name="asd 13 5 16" xfId="29409"/>
    <cellStyle name="asd 13 5 17" xfId="31026"/>
    <cellStyle name="asd 13 5 18" xfId="33312"/>
    <cellStyle name="asd 13 5 19" xfId="33564"/>
    <cellStyle name="asd 13 5 2" xfId="5527"/>
    <cellStyle name="asd 13 5 2 10" xfId="21777"/>
    <cellStyle name="asd 13 5 2 11" xfId="22599"/>
    <cellStyle name="asd 13 5 2 12" xfId="25579"/>
    <cellStyle name="asd 13 5 2 13" xfId="27232"/>
    <cellStyle name="asd 13 5 2 14" xfId="29186"/>
    <cellStyle name="asd 13 5 2 15" xfId="30823"/>
    <cellStyle name="asd 13 5 2 16" xfId="32381"/>
    <cellStyle name="asd 13 5 2 17" xfId="33668"/>
    <cellStyle name="asd 13 5 2 18" xfId="36406"/>
    <cellStyle name="asd 13 5 2 19" xfId="38285"/>
    <cellStyle name="asd 13 5 2 2" xfId="6976"/>
    <cellStyle name="asd 13 5 2 20" xfId="39599"/>
    <cellStyle name="asd 13 5 2 21" xfId="41273"/>
    <cellStyle name="asd 13 5 2 22" xfId="42408"/>
    <cellStyle name="asd 13 5 2 3" xfId="8430"/>
    <cellStyle name="asd 13 5 2 4" xfId="10340"/>
    <cellStyle name="asd 13 5 2 5" xfId="11651"/>
    <cellStyle name="asd 13 5 2 6" xfId="13067"/>
    <cellStyle name="asd 13 5 2 7" xfId="14971"/>
    <cellStyle name="asd 13 5 2 8" xfId="17959"/>
    <cellStyle name="asd 13 5 2 9" xfId="19865"/>
    <cellStyle name="asd 13 5 20" xfId="35564"/>
    <cellStyle name="asd 13 5 21" xfId="37443"/>
    <cellStyle name="asd 13 5 22" xfId="40494"/>
    <cellStyle name="asd 13 5 23" xfId="42147"/>
    <cellStyle name="asd 13 5 24" xfId="43001"/>
    <cellStyle name="asd 13 5 3" xfId="4689"/>
    <cellStyle name="asd 13 5 4" xfId="6137"/>
    <cellStyle name="asd 13 5 5" xfId="7588"/>
    <cellStyle name="asd 13 5 6" xfId="9498"/>
    <cellStyle name="asd 13 5 7" xfId="11102"/>
    <cellStyle name="asd 13 5 8" xfId="13696"/>
    <cellStyle name="asd 13 5 9" xfId="15598"/>
    <cellStyle name="asd 13 6" xfId="3200"/>
    <cellStyle name="asd 13 6 10" xfId="19177"/>
    <cellStyle name="asd 13 6 11" xfId="21089"/>
    <cellStyle name="asd 13 6 12" xfId="23415"/>
    <cellStyle name="asd 13 6 13" xfId="24891"/>
    <cellStyle name="asd 13 6 14" xfId="27926"/>
    <cellStyle name="asd 13 6 15" xfId="1809"/>
    <cellStyle name="asd 13 6 16" xfId="31508"/>
    <cellStyle name="asd 13 6 17" xfId="26646"/>
    <cellStyle name="asd 13 6 18" xfId="3124"/>
    <cellStyle name="asd 13 6 19" xfId="35718"/>
    <cellStyle name="asd 13 6 2" xfId="5689"/>
    <cellStyle name="asd 13 6 2 10" xfId="21939"/>
    <cellStyle name="asd 13 6 2 11" xfId="22717"/>
    <cellStyle name="asd 13 6 2 12" xfId="25741"/>
    <cellStyle name="asd 13 6 2 13" xfId="27558"/>
    <cellStyle name="asd 13 6 2 14" xfId="29336"/>
    <cellStyle name="asd 13 6 2 15" xfId="31138"/>
    <cellStyle name="asd 13 6 2 16" xfId="31977"/>
    <cellStyle name="asd 13 6 2 17" xfId="33521"/>
    <cellStyle name="asd 13 6 2 18" xfId="36568"/>
    <cellStyle name="asd 13 6 2 19" xfId="38447"/>
    <cellStyle name="asd 13 6 2 2" xfId="7138"/>
    <cellStyle name="asd 13 6 2 20" xfId="39207"/>
    <cellStyle name="asd 13 6 2 21" xfId="40888"/>
    <cellStyle name="asd 13 6 2 22" xfId="42516"/>
    <cellStyle name="asd 13 6 2 3" xfId="8592"/>
    <cellStyle name="asd 13 6 2 4" xfId="10502"/>
    <cellStyle name="asd 13 6 2 5" xfId="11754"/>
    <cellStyle name="asd 13 6 2 6" xfId="13185"/>
    <cellStyle name="asd 13 6 2 7" xfId="15089"/>
    <cellStyle name="asd 13 6 2 8" xfId="18121"/>
    <cellStyle name="asd 13 6 2 9" xfId="20027"/>
    <cellStyle name="asd 13 6 20" xfId="37597"/>
    <cellStyle name="asd 13 6 21" xfId="3105"/>
    <cellStyle name="asd 13 6 22" xfId="34876"/>
    <cellStyle name="asd 13 6 23" xfId="43182"/>
    <cellStyle name="asd 13 6 3" xfId="4841"/>
    <cellStyle name="asd 13 6 4" xfId="7742"/>
    <cellStyle name="asd 13 6 5" xfId="9652"/>
    <cellStyle name="asd 13 6 6" xfId="12285"/>
    <cellStyle name="asd 13 6 7" xfId="13887"/>
    <cellStyle name="asd 13 6 8" xfId="15788"/>
    <cellStyle name="asd 13 6 9" xfId="17271"/>
    <cellStyle name="asd 13 7" xfId="2543"/>
    <cellStyle name="asd 13 7 10" xfId="19079"/>
    <cellStyle name="asd 13 7 11" xfId="20991"/>
    <cellStyle name="asd 13 7 12" xfId="22606"/>
    <cellStyle name="asd 13 7 13" xfId="24793"/>
    <cellStyle name="asd 13 7 14" xfId="26900"/>
    <cellStyle name="asd 13 7 15" xfId="28015"/>
    <cellStyle name="asd 13 7 16" xfId="30496"/>
    <cellStyle name="asd 13 7 17" xfId="32164"/>
    <cellStyle name="asd 13 7 18" xfId="33401"/>
    <cellStyle name="asd 13 7 19" xfId="35620"/>
    <cellStyle name="asd 13 7 2" xfId="5684"/>
    <cellStyle name="asd 13 7 2 10" xfId="21934"/>
    <cellStyle name="asd 13 7 2 11" xfId="22755"/>
    <cellStyle name="asd 13 7 2 12" xfId="25736"/>
    <cellStyle name="asd 13 7 2 13" xfId="27175"/>
    <cellStyle name="asd 13 7 2 14" xfId="27992"/>
    <cellStyle name="asd 13 7 2 15" xfId="30766"/>
    <cellStyle name="asd 13 7 2 16" xfId="33053"/>
    <cellStyle name="asd 13 7 2 17" xfId="34657"/>
    <cellStyle name="asd 13 7 2 18" xfId="36563"/>
    <cellStyle name="asd 13 7 2 19" xfId="38442"/>
    <cellStyle name="asd 13 7 2 2" xfId="7133"/>
    <cellStyle name="asd 13 7 2 20" xfId="40250"/>
    <cellStyle name="asd 13 7 2 21" xfId="41908"/>
    <cellStyle name="asd 13 7 2 22" xfId="42552"/>
    <cellStyle name="asd 13 7 2 3" xfId="8587"/>
    <cellStyle name="asd 13 7 2 4" xfId="10497"/>
    <cellStyle name="asd 13 7 2 5" xfId="12643"/>
    <cellStyle name="asd 13 7 2 6" xfId="13224"/>
    <cellStyle name="asd 13 7 2 7" xfId="15127"/>
    <cellStyle name="asd 13 7 2 8" xfId="18116"/>
    <cellStyle name="asd 13 7 2 9" xfId="20022"/>
    <cellStyle name="asd 13 7 20" xfId="37499"/>
    <cellStyle name="asd 13 7 21" xfId="39386"/>
    <cellStyle name="asd 13 7 22" xfId="41062"/>
    <cellStyle name="asd 13 7 23" xfId="42414"/>
    <cellStyle name="asd 13 7 3" xfId="6193"/>
    <cellStyle name="asd 13 7 4" xfId="7644"/>
    <cellStyle name="asd 13 7 5" xfId="9554"/>
    <cellStyle name="asd 13 7 6" xfId="11742"/>
    <cellStyle name="asd 13 7 7" xfId="13074"/>
    <cellStyle name="asd 13 7 8" xfId="14978"/>
    <cellStyle name="asd 13 7 9" xfId="17173"/>
    <cellStyle name="asd 13 8" xfId="2536"/>
    <cellStyle name="asd 13 9" xfId="1875"/>
    <cellStyle name="asd 14" xfId="777"/>
    <cellStyle name="asd 14 10" xfId="2283"/>
    <cellStyle name="asd 14 11" xfId="3063"/>
    <cellStyle name="asd 14 12" xfId="3721"/>
    <cellStyle name="asd 14 13" xfId="8964"/>
    <cellStyle name="asd 14 14" xfId="3711"/>
    <cellStyle name="asd 14 15" xfId="16583"/>
    <cellStyle name="asd 14 16" xfId="20409"/>
    <cellStyle name="asd 14 17" xfId="3961"/>
    <cellStyle name="asd 14 18" xfId="2808"/>
    <cellStyle name="asd 14 19" xfId="4211"/>
    <cellStyle name="asd 14 2" xfId="3478"/>
    <cellStyle name="asd 14 2 10" xfId="13527"/>
    <cellStyle name="asd 14 2 11" xfId="15430"/>
    <cellStyle name="asd 14 2 12" xfId="16913"/>
    <cellStyle name="asd 14 2 13" xfId="18820"/>
    <cellStyle name="asd 14 2 14" xfId="20732"/>
    <cellStyle name="asd 14 2 15" xfId="23056"/>
    <cellStyle name="asd 14 2 16" xfId="24534"/>
    <cellStyle name="asd 14 2 17" xfId="27112"/>
    <cellStyle name="asd 14 2 18" xfId="13799"/>
    <cellStyle name="asd 14 2 19" xfId="30703"/>
    <cellStyle name="asd 14 2 2" xfId="3658"/>
    <cellStyle name="asd 14 2 2 10" xfId="17549"/>
    <cellStyle name="asd 14 2 2 11" xfId="19455"/>
    <cellStyle name="asd 14 2 2 12" xfId="21367"/>
    <cellStyle name="asd 14 2 2 13" xfId="23638"/>
    <cellStyle name="asd 14 2 2 14" xfId="25169"/>
    <cellStyle name="asd 14 2 2 15" xfId="27256"/>
    <cellStyle name="asd 14 2 2 16" xfId="29464"/>
    <cellStyle name="asd 14 2 2 17" xfId="30847"/>
    <cellStyle name="asd 14 2 2 18" xfId="32146"/>
    <cellStyle name="asd 14 2 2 19" xfId="33912"/>
    <cellStyle name="asd 14 2 2 2" xfId="4294"/>
    <cellStyle name="asd 14 2 2 2 10" xfId="20580"/>
    <cellStyle name="asd 14 2 2 2 11" xfId="22464"/>
    <cellStyle name="asd 14 2 2 2 12" xfId="24382"/>
    <cellStyle name="asd 14 2 2 2 13" xfId="27421"/>
    <cellStyle name="asd 14 2 2 2 14" xfId="29196"/>
    <cellStyle name="asd 14 2 2 2 15" xfId="31007"/>
    <cellStyle name="asd 14 2 2 2 16" xfId="32978"/>
    <cellStyle name="asd 14 2 2 2 17" xfId="33898"/>
    <cellStyle name="asd 14 2 2 2 18" xfId="35210"/>
    <cellStyle name="asd 14 2 2 2 19" xfId="37088"/>
    <cellStyle name="asd 14 2 2 2 2" xfId="4386"/>
    <cellStyle name="asd 14 2 2 2 20" xfId="40179"/>
    <cellStyle name="asd 14 2 2 2 21" xfId="41838"/>
    <cellStyle name="asd 14 2 2 2 22" xfId="42275"/>
    <cellStyle name="asd 14 2 2 2 3" xfId="2378"/>
    <cellStyle name="asd 14 2 2 2 4" xfId="9142"/>
    <cellStyle name="asd 14 2 2 2 5" xfId="11429"/>
    <cellStyle name="asd 14 2 2 2 6" xfId="12932"/>
    <cellStyle name="asd 14 2 2 2 7" xfId="14837"/>
    <cellStyle name="asd 14 2 2 2 8" xfId="16761"/>
    <cellStyle name="asd 14 2 2 2 9" xfId="18668"/>
    <cellStyle name="asd 14 2 2 20" xfId="35996"/>
    <cellStyle name="asd 14 2 2 21" xfId="37875"/>
    <cellStyle name="asd 14 2 2 22" xfId="39369"/>
    <cellStyle name="asd 14 2 2 23" xfId="41045"/>
    <cellStyle name="asd 14 2 2 24" xfId="43396"/>
    <cellStyle name="asd 14 2 2 3" xfId="5119"/>
    <cellStyle name="asd 14 2 2 4" xfId="6569"/>
    <cellStyle name="asd 14 2 2 5" xfId="8020"/>
    <cellStyle name="asd 14 2 2 6" xfId="9930"/>
    <cellStyle name="asd 14 2 2 7" xfId="11531"/>
    <cellStyle name="asd 14 2 2 8" xfId="14108"/>
    <cellStyle name="asd 14 2 2 9" xfId="16011"/>
    <cellStyle name="asd 14 2 20" xfId="32206"/>
    <cellStyle name="asd 14 2 21" xfId="33529"/>
    <cellStyle name="asd 14 2 22" xfId="35362"/>
    <cellStyle name="asd 14 2 23" xfId="37240"/>
    <cellStyle name="asd 14 2 24" xfId="39426"/>
    <cellStyle name="asd 14 2 25" xfId="41102"/>
    <cellStyle name="asd 14 2 26" xfId="42839"/>
    <cellStyle name="asd 14 2 3" xfId="3887"/>
    <cellStyle name="asd 14 2 3 10" xfId="19596"/>
    <cellStyle name="asd 14 2 3 11" xfId="21508"/>
    <cellStyle name="asd 14 2 3 12" xfId="23842"/>
    <cellStyle name="asd 14 2 3 13" xfId="25310"/>
    <cellStyle name="asd 14 2 3 14" xfId="26926"/>
    <cellStyle name="asd 14 2 3 15" xfId="29541"/>
    <cellStyle name="asd 14 2 3 16" xfId="30520"/>
    <cellStyle name="asd 14 2 3 17" xfId="32865"/>
    <cellStyle name="asd 14 2 3 18" xfId="34158"/>
    <cellStyle name="asd 14 2 3 19" xfId="36137"/>
    <cellStyle name="asd 14 2 3 2" xfId="5866"/>
    <cellStyle name="asd 14 2 3 2 10" xfId="22116"/>
    <cellStyle name="asd 14 2 3 2 11" xfId="23743"/>
    <cellStyle name="asd 14 2 3 2 12" xfId="25918"/>
    <cellStyle name="asd 14 2 3 2 13" xfId="26833"/>
    <cellStyle name="asd 14 2 3 2 14" xfId="28136"/>
    <cellStyle name="asd 14 2 3 2 15" xfId="30431"/>
    <cellStyle name="asd 14 2 3 2 16" xfId="32027"/>
    <cellStyle name="asd 14 2 3 2 17" xfId="34759"/>
    <cellStyle name="asd 14 2 3 2 18" xfId="36745"/>
    <cellStyle name="asd 14 2 3 2 19" xfId="38624"/>
    <cellStyle name="asd 14 2 3 2 2" xfId="7315"/>
    <cellStyle name="asd 14 2 3 2 20" xfId="39257"/>
    <cellStyle name="asd 14 2 3 2 21" xfId="40934"/>
    <cellStyle name="asd 14 2 3 2 22" xfId="43496"/>
    <cellStyle name="asd 14 2 3 2 3" xfId="8769"/>
    <cellStyle name="asd 14 2 3 2 4" xfId="10679"/>
    <cellStyle name="asd 14 2 3 2 5" xfId="11654"/>
    <cellStyle name="asd 14 2 3 2 6" xfId="14213"/>
    <cellStyle name="asd 14 2 3 2 7" xfId="16117"/>
    <cellStyle name="asd 14 2 3 2 8" xfId="18298"/>
    <cellStyle name="asd 14 2 3 2 9" xfId="20204"/>
    <cellStyle name="asd 14 2 3 20" xfId="38016"/>
    <cellStyle name="asd 14 2 3 21" xfId="40071"/>
    <cellStyle name="asd 14 2 3 22" xfId="41735"/>
    <cellStyle name="asd 14 2 3 23" xfId="43593"/>
    <cellStyle name="asd 14 2 3 3" xfId="5260"/>
    <cellStyle name="asd 14 2 3 4" xfId="8161"/>
    <cellStyle name="asd 14 2 3 5" xfId="10071"/>
    <cellStyle name="asd 14 2 3 6" xfId="11431"/>
    <cellStyle name="asd 14 2 3 7" xfId="14312"/>
    <cellStyle name="asd 14 2 3 8" xfId="16216"/>
    <cellStyle name="asd 14 2 3 9" xfId="17690"/>
    <cellStyle name="asd 14 2 4" xfId="4110"/>
    <cellStyle name="asd 14 2 4 10" xfId="19745"/>
    <cellStyle name="asd 14 2 4 11" xfId="21657"/>
    <cellStyle name="asd 14 2 4 12" xfId="23570"/>
    <cellStyle name="asd 14 2 4 13" xfId="25459"/>
    <cellStyle name="asd 14 2 4 14" xfId="27593"/>
    <cellStyle name="asd 14 2 4 15" xfId="29020"/>
    <cellStyle name="asd 14 2 4 16" xfId="31172"/>
    <cellStyle name="asd 14 2 4 17" xfId="33237"/>
    <cellStyle name="asd 14 2 4 18" xfId="34003"/>
    <cellStyle name="asd 14 2 4 19" xfId="36286"/>
    <cellStyle name="asd 14 2 4 2" xfId="6015"/>
    <cellStyle name="asd 14 2 4 2 10" xfId="22265"/>
    <cellStyle name="asd 14 2 4 2 11" xfId="24105"/>
    <cellStyle name="asd 14 2 4 2 12" xfId="26067"/>
    <cellStyle name="asd 14 2 4 2 13" xfId="27269"/>
    <cellStyle name="asd 14 2 4 2 14" xfId="29720"/>
    <cellStyle name="asd 14 2 4 2 15" xfId="30861"/>
    <cellStyle name="asd 14 2 4 2 16" xfId="32711"/>
    <cellStyle name="asd 14 2 4 2 17" xfId="34764"/>
    <cellStyle name="asd 14 2 4 2 18" xfId="36894"/>
    <cellStyle name="asd 14 2 4 2 19" xfId="38773"/>
    <cellStyle name="asd 14 2 4 2 2" xfId="7464"/>
    <cellStyle name="asd 14 2 4 2 20" xfId="39919"/>
    <cellStyle name="asd 14 2 4 2 21" xfId="41588"/>
    <cellStyle name="asd 14 2 4 2 22" xfId="43848"/>
    <cellStyle name="asd 14 2 4 2 3" xfId="8918"/>
    <cellStyle name="asd 14 2 4 2 4" xfId="10828"/>
    <cellStyle name="asd 14 2 4 2 5" xfId="12064"/>
    <cellStyle name="asd 14 2 4 2 6" xfId="14575"/>
    <cellStyle name="asd 14 2 4 2 7" xfId="16481"/>
    <cellStyle name="asd 14 2 4 2 8" xfId="18447"/>
    <cellStyle name="asd 14 2 4 2 9" xfId="20353"/>
    <cellStyle name="asd 14 2 4 20" xfId="38165"/>
    <cellStyle name="asd 14 2 4 21" xfId="40427"/>
    <cellStyle name="asd 14 2 4 22" xfId="42082"/>
    <cellStyle name="asd 14 2 4 23" xfId="43334"/>
    <cellStyle name="asd 14 2 4 3" xfId="6856"/>
    <cellStyle name="asd 14 2 4 4" xfId="8310"/>
    <cellStyle name="asd 14 2 4 5" xfId="10220"/>
    <cellStyle name="asd 14 2 4 6" xfId="11612"/>
    <cellStyle name="asd 14 2 4 7" xfId="14042"/>
    <cellStyle name="asd 14 2 4 8" xfId="15943"/>
    <cellStyle name="asd 14 2 4 9" xfId="17839"/>
    <cellStyle name="asd 14 2 5" xfId="4960"/>
    <cellStyle name="asd 14 2 5 10" xfId="21208"/>
    <cellStyle name="asd 14 2 5 11" xfId="22378"/>
    <cellStyle name="asd 14 2 5 12" xfId="25010"/>
    <cellStyle name="asd 14 2 5 13" xfId="27371"/>
    <cellStyle name="asd 14 2 5 14" xfId="29243"/>
    <cellStyle name="asd 14 2 5 15" xfId="30958"/>
    <cellStyle name="asd 14 2 5 16" xfId="31615"/>
    <cellStyle name="asd 14 2 5 17" xfId="34237"/>
    <cellStyle name="asd 14 2 5 18" xfId="35837"/>
    <cellStyle name="asd 14 2 5 19" xfId="37716"/>
    <cellStyle name="asd 14 2 5 2" xfId="6410"/>
    <cellStyle name="asd 14 2 5 20" xfId="38862"/>
    <cellStyle name="asd 14 2 5 21" xfId="40548"/>
    <cellStyle name="asd 14 2 5 22" xfId="42189"/>
    <cellStyle name="asd 14 2 5 3" xfId="7861"/>
    <cellStyle name="asd 14 2 5 4" xfId="9771"/>
    <cellStyle name="asd 14 2 5 5" xfId="12606"/>
    <cellStyle name="asd 14 2 5 6" xfId="12845"/>
    <cellStyle name="asd 14 2 5 7" xfId="14750"/>
    <cellStyle name="asd 14 2 5 8" xfId="17390"/>
    <cellStyle name="asd 14 2 5 9" xfId="19296"/>
    <cellStyle name="asd 14 2 6" xfId="4237"/>
    <cellStyle name="asd 14 2 6 10" xfId="20576"/>
    <cellStyle name="asd 14 2 6 11" xfId="23630"/>
    <cellStyle name="asd 14 2 6 12" xfId="24378"/>
    <cellStyle name="asd 14 2 6 13" xfId="27407"/>
    <cellStyle name="asd 14 2 6 14" xfId="28151"/>
    <cellStyle name="asd 14 2 6 15" xfId="30993"/>
    <cellStyle name="asd 14 2 6 16" xfId="33200"/>
    <cellStyle name="asd 14 2 6 17" xfId="34384"/>
    <cellStyle name="asd 14 2 6 18" xfId="35206"/>
    <cellStyle name="asd 14 2 6 19" xfId="37084"/>
    <cellStyle name="asd 14 2 6 2" xfId="4353"/>
    <cellStyle name="asd 14 2 6 20" xfId="40390"/>
    <cellStyle name="asd 14 2 6 21" xfId="42046"/>
    <cellStyle name="asd 14 2 6 22" xfId="43388"/>
    <cellStyle name="asd 14 2 6 3" xfId="4459"/>
    <cellStyle name="asd 14 2 6 4" xfId="9138"/>
    <cellStyle name="asd 14 2 6 5" xfId="11509"/>
    <cellStyle name="asd 14 2 6 6" xfId="14100"/>
    <cellStyle name="asd 14 2 6 7" xfId="16003"/>
    <cellStyle name="asd 14 2 6 8" xfId="16757"/>
    <cellStyle name="asd 14 2 6 9" xfId="18664"/>
    <cellStyle name="asd 14 2 7" xfId="5336"/>
    <cellStyle name="asd 14 2 8" xfId="9294"/>
    <cellStyle name="asd 14 2 9" xfId="12659"/>
    <cellStyle name="asd 14 20" xfId="18509"/>
    <cellStyle name="asd 14 21" xfId="29762"/>
    <cellStyle name="asd 14 22" xfId="3020"/>
    <cellStyle name="asd 14 23" xfId="28265"/>
    <cellStyle name="asd 14 24" xfId="28132"/>
    <cellStyle name="asd 14 25" xfId="31591"/>
    <cellStyle name="asd 14 26" xfId="27514"/>
    <cellStyle name="asd 14 27" xfId="18533"/>
    <cellStyle name="asd 14 3" xfId="3471"/>
    <cellStyle name="asd 14 3 10" xfId="14555"/>
    <cellStyle name="asd 14 3 11" xfId="16461"/>
    <cellStyle name="asd 14 3 12" xfId="16896"/>
    <cellStyle name="asd 14 3 13" xfId="18803"/>
    <cellStyle name="asd 14 3 14" xfId="20715"/>
    <cellStyle name="asd 14 3 15" xfId="24085"/>
    <cellStyle name="asd 14 3 16" xfId="24517"/>
    <cellStyle name="asd 14 3 17" xfId="27053"/>
    <cellStyle name="asd 14 3 18" xfId="29669"/>
    <cellStyle name="asd 14 3 19" xfId="30645"/>
    <cellStyle name="asd 14 3 2" xfId="3651"/>
    <cellStyle name="asd 14 3 2 10" xfId="17542"/>
    <cellStyle name="asd 14 3 2 11" xfId="19448"/>
    <cellStyle name="asd 14 3 2 12" xfId="21360"/>
    <cellStyle name="asd 14 3 2 13" xfId="23593"/>
    <cellStyle name="asd 14 3 2 14" xfId="25162"/>
    <cellStyle name="asd 14 3 2 15" xfId="26387"/>
    <cellStyle name="asd 14 3 2 16" xfId="28388"/>
    <cellStyle name="asd 14 3 2 17" xfId="29995"/>
    <cellStyle name="asd 14 3 2 18" xfId="32662"/>
    <cellStyle name="asd 14 3 2 19" xfId="34336"/>
    <cellStyle name="asd 14 3 2 2" xfId="4554"/>
    <cellStyle name="asd 14 3 2 2 10" xfId="20799"/>
    <cellStyle name="asd 14 3 2 2 11" xfId="24127"/>
    <cellStyle name="asd 14 3 2 2 12" xfId="24601"/>
    <cellStyle name="asd 14 3 2 2 13" xfId="27900"/>
    <cellStyle name="asd 14 3 2 2 14" xfId="28931"/>
    <cellStyle name="asd 14 3 2 2 15" xfId="31482"/>
    <cellStyle name="asd 14 3 2 2 16" xfId="32961"/>
    <cellStyle name="asd 14 3 2 2 17" xfId="34016"/>
    <cellStyle name="asd 14 3 2 2 18" xfId="35429"/>
    <cellStyle name="asd 14 3 2 2 19" xfId="37307"/>
    <cellStyle name="asd 14 3 2 2 2" xfId="5420"/>
    <cellStyle name="asd 14 3 2 2 20" xfId="40162"/>
    <cellStyle name="asd 14 3 2 2 21" xfId="41821"/>
    <cellStyle name="asd 14 3 2 2 22" xfId="43870"/>
    <cellStyle name="asd 14 3 2 2 3" xfId="6694"/>
    <cellStyle name="asd 14 3 2 2 4" xfId="9361"/>
    <cellStyle name="asd 14 3 2 2 5" xfId="12087"/>
    <cellStyle name="asd 14 3 2 2 6" xfId="14598"/>
    <cellStyle name="asd 14 3 2 2 7" xfId="16504"/>
    <cellStyle name="asd 14 3 2 2 8" xfId="16980"/>
    <cellStyle name="asd 14 3 2 2 9" xfId="18887"/>
    <cellStyle name="asd 14 3 2 20" xfId="35989"/>
    <cellStyle name="asd 14 3 2 21" xfId="37868"/>
    <cellStyle name="asd 14 3 2 22" xfId="39869"/>
    <cellStyle name="asd 14 3 2 23" xfId="41538"/>
    <cellStyle name="asd 14 3 2 24" xfId="43352"/>
    <cellStyle name="asd 14 3 2 3" xfId="5112"/>
    <cellStyle name="asd 14 3 2 4" xfId="6562"/>
    <cellStyle name="asd 14 3 2 5" xfId="8013"/>
    <cellStyle name="asd 14 3 2 6" xfId="9923"/>
    <cellStyle name="asd 14 3 2 7" xfId="11183"/>
    <cellStyle name="asd 14 3 2 8" xfId="14063"/>
    <cellStyle name="asd 14 3 2 9" xfId="15966"/>
    <cellStyle name="asd 14 3 20" xfId="32335"/>
    <cellStyle name="asd 14 3 21" xfId="34578"/>
    <cellStyle name="asd 14 3 22" xfId="35345"/>
    <cellStyle name="asd 14 3 23" xfId="37223"/>
    <cellStyle name="asd 14 3 24" xfId="39554"/>
    <cellStyle name="asd 14 3 25" xfId="41228"/>
    <cellStyle name="asd 14 3 26" xfId="43828"/>
    <cellStyle name="asd 14 3 3" xfId="2844"/>
    <cellStyle name="asd 14 3 3 10" xfId="19116"/>
    <cellStyle name="asd 14 3 3 11" xfId="21028"/>
    <cellStyle name="asd 14 3 3 12" xfId="23090"/>
    <cellStyle name="asd 14 3 3 13" xfId="24830"/>
    <cellStyle name="asd 14 3 3 14" xfId="27537"/>
    <cellStyle name="asd 14 3 3 15" xfId="28333"/>
    <cellStyle name="asd 14 3 3 16" xfId="31118"/>
    <cellStyle name="asd 14 3 3 17" xfId="32655"/>
    <cellStyle name="asd 14 3 3 18" xfId="34351"/>
    <cellStyle name="asd 14 3 3 19" xfId="35657"/>
    <cellStyle name="asd 14 3 3 2" xfId="4623"/>
    <cellStyle name="asd 14 3 3 2 10" xfId="20868"/>
    <cellStyle name="asd 14 3 3 2 11" xfId="23334"/>
    <cellStyle name="asd 14 3 3 2 12" xfId="24670"/>
    <cellStyle name="asd 14 3 3 2 13" xfId="26806"/>
    <cellStyle name="asd 14 3 3 2 14" xfId="28309"/>
    <cellStyle name="asd 14 3 3 2 15" xfId="30404"/>
    <cellStyle name="asd 14 3 3 2 16" xfId="31860"/>
    <cellStyle name="asd 14 3 3 2 17" xfId="34296"/>
    <cellStyle name="asd 14 3 3 2 18" xfId="35498"/>
    <cellStyle name="asd 14 3 3 2 19" xfId="37376"/>
    <cellStyle name="asd 14 3 3 2 2" xfId="6071"/>
    <cellStyle name="asd 14 3 3 2 20" xfId="39095"/>
    <cellStyle name="asd 14 3 3 2 21" xfId="40776"/>
    <cellStyle name="asd 14 3 3 2 22" xfId="43104"/>
    <cellStyle name="asd 14 3 3 2 3" xfId="7520"/>
    <cellStyle name="asd 14 3 3 2 4" xfId="9430"/>
    <cellStyle name="asd 14 3 3 2 5" xfId="11317"/>
    <cellStyle name="asd 14 3 3 2 6" xfId="13806"/>
    <cellStyle name="asd 14 3 3 2 7" xfId="15708"/>
    <cellStyle name="asd 14 3 3 2 8" xfId="17049"/>
    <cellStyle name="asd 14 3 3 2 9" xfId="18956"/>
    <cellStyle name="asd 14 3 3 20" xfId="37536"/>
    <cellStyle name="asd 14 3 3 21" xfId="39862"/>
    <cellStyle name="asd 14 3 3 22" xfId="41531"/>
    <cellStyle name="asd 14 3 3 23" xfId="42872"/>
    <cellStyle name="asd 14 3 3 3" xfId="4781"/>
    <cellStyle name="asd 14 3 3 4" xfId="7681"/>
    <cellStyle name="asd 14 3 3 5" xfId="9591"/>
    <cellStyle name="asd 14 3 3 6" xfId="12701"/>
    <cellStyle name="asd 14 3 3 7" xfId="13561"/>
    <cellStyle name="asd 14 3 3 8" xfId="15464"/>
    <cellStyle name="asd 14 3 3 9" xfId="17210"/>
    <cellStyle name="asd 14 3 4" xfId="4103"/>
    <cellStyle name="asd 14 3 4 10" xfId="19738"/>
    <cellStyle name="asd 14 3 4 11" xfId="21650"/>
    <cellStyle name="asd 14 3 4 12" xfId="22857"/>
    <cellStyle name="asd 14 3 4 13" xfId="25452"/>
    <cellStyle name="asd 14 3 4 14" xfId="26890"/>
    <cellStyle name="asd 14 3 4 15" xfId="15742"/>
    <cellStyle name="asd 14 3 4 16" xfId="30486"/>
    <cellStyle name="asd 14 3 4 17" xfId="32643"/>
    <cellStyle name="asd 14 3 4 18" xfId="33512"/>
    <cellStyle name="asd 14 3 4 19" xfId="36279"/>
    <cellStyle name="asd 14 3 4 2" xfId="6008"/>
    <cellStyle name="asd 14 3 4 2 10" xfId="22258"/>
    <cellStyle name="asd 14 3 4 2 11" xfId="22494"/>
    <cellStyle name="asd 14 3 4 2 12" xfId="26060"/>
    <cellStyle name="asd 14 3 4 2 13" xfId="27470"/>
    <cellStyle name="asd 14 3 4 2 14" xfId="29410"/>
    <cellStyle name="asd 14 3 4 2 15" xfId="31057"/>
    <cellStyle name="asd 14 3 4 2 16" xfId="33270"/>
    <cellStyle name="asd 14 3 4 2 17" xfId="33998"/>
    <cellStyle name="asd 14 3 4 2 18" xfId="36887"/>
    <cellStyle name="asd 14 3 4 2 19" xfId="38766"/>
    <cellStyle name="asd 14 3 4 2 2" xfId="7457"/>
    <cellStyle name="asd 14 3 4 2 20" xfId="40456"/>
    <cellStyle name="asd 14 3 4 2 21" xfId="42111"/>
    <cellStyle name="asd 14 3 4 2 22" xfId="42304"/>
    <cellStyle name="asd 14 3 4 2 3" xfId="8911"/>
    <cellStyle name="asd 14 3 4 2 4" xfId="10821"/>
    <cellStyle name="asd 14 3 4 2 5" xfId="11534"/>
    <cellStyle name="asd 14 3 4 2 6" xfId="12962"/>
    <cellStyle name="asd 14 3 4 2 7" xfId="14866"/>
    <cellStyle name="asd 14 3 4 2 8" xfId="18440"/>
    <cellStyle name="asd 14 3 4 2 9" xfId="20346"/>
    <cellStyle name="asd 14 3 4 20" xfId="38158"/>
    <cellStyle name="asd 14 3 4 21" xfId="39850"/>
    <cellStyle name="asd 14 3 4 22" xfId="41519"/>
    <cellStyle name="asd 14 3 4 23" xfId="42647"/>
    <cellStyle name="asd 14 3 4 3" xfId="6849"/>
    <cellStyle name="asd 14 3 4 4" xfId="8303"/>
    <cellStyle name="asd 14 3 4 5" xfId="10213"/>
    <cellStyle name="asd 14 3 4 6" xfId="12474"/>
    <cellStyle name="asd 14 3 4 7" xfId="13326"/>
    <cellStyle name="asd 14 3 4 8" xfId="15230"/>
    <cellStyle name="asd 14 3 4 9" xfId="17832"/>
    <cellStyle name="asd 14 3 5" xfId="4955"/>
    <cellStyle name="asd 14 3 5 10" xfId="21203"/>
    <cellStyle name="asd 14 3 5 11" xfId="22882"/>
    <cellStyle name="asd 14 3 5 12" xfId="25005"/>
    <cellStyle name="asd 14 3 5 13" xfId="27916"/>
    <cellStyle name="asd 14 3 5 14" xfId="18499"/>
    <cellStyle name="asd 14 3 5 15" xfId="31498"/>
    <cellStyle name="asd 14 3 5 16" xfId="31688"/>
    <cellStyle name="asd 14 3 5 17" xfId="35058"/>
    <cellStyle name="asd 14 3 5 18" xfId="35832"/>
    <cellStyle name="asd 14 3 5 19" xfId="37711"/>
    <cellStyle name="asd 14 3 5 2" xfId="6405"/>
    <cellStyle name="asd 14 3 5 20" xfId="38930"/>
    <cellStyle name="asd 14 3 5 21" xfId="40614"/>
    <cellStyle name="asd 14 3 5 22" xfId="42669"/>
    <cellStyle name="asd 14 3 5 3" xfId="7856"/>
    <cellStyle name="asd 14 3 5 4" xfId="9766"/>
    <cellStyle name="asd 14 3 5 5" xfId="11250"/>
    <cellStyle name="asd 14 3 5 6" xfId="13350"/>
    <cellStyle name="asd 14 3 5 7" xfId="15255"/>
    <cellStyle name="asd 14 3 5 8" xfId="17385"/>
    <cellStyle name="asd 14 3 5 9" xfId="19291"/>
    <cellStyle name="asd 14 3 6" xfId="5578"/>
    <cellStyle name="asd 14 3 6 10" xfId="21828"/>
    <cellStyle name="asd 14 3 6 11" xfId="3879"/>
    <cellStyle name="asd 14 3 6 12" xfId="25630"/>
    <cellStyle name="asd 14 3 6 13" xfId="1993"/>
    <cellStyle name="asd 14 3 6 14" xfId="28854"/>
    <cellStyle name="asd 14 3 6 15" xfId="2130"/>
    <cellStyle name="asd 14 3 6 16" xfId="32045"/>
    <cellStyle name="asd 14 3 6 17" xfId="33469"/>
    <cellStyle name="asd 14 3 6 18" xfId="36457"/>
    <cellStyle name="asd 14 3 6 19" xfId="38336"/>
    <cellStyle name="asd 14 3 6 2" xfId="7027"/>
    <cellStyle name="asd 14 3 6 20" xfId="39274"/>
    <cellStyle name="asd 14 3 6 21" xfId="40950"/>
    <cellStyle name="asd 14 3 6 22" xfId="2745"/>
    <cellStyle name="asd 14 3 6 3" xfId="8481"/>
    <cellStyle name="asd 14 3 6 4" xfId="10391"/>
    <cellStyle name="asd 14 3 6 5" xfId="12205"/>
    <cellStyle name="asd 14 3 6 6" xfId="2195"/>
    <cellStyle name="asd 14 3 6 7" xfId="2005"/>
    <cellStyle name="asd 14 3 6 8" xfId="18010"/>
    <cellStyle name="asd 14 3 6 9" xfId="19916"/>
    <cellStyle name="asd 14 3 7" xfId="6710"/>
    <cellStyle name="asd 14 3 8" xfId="9277"/>
    <cellStyle name="asd 14 3 9" xfId="12044"/>
    <cellStyle name="asd 14 4" xfId="3490"/>
    <cellStyle name="asd 14 4 10" xfId="16115"/>
    <cellStyle name="asd 14 4 11" xfId="16933"/>
    <cellStyle name="asd 14 4 12" xfId="18840"/>
    <cellStyle name="asd 14 4 13" xfId="20752"/>
    <cellStyle name="asd 14 4 14" xfId="23741"/>
    <cellStyle name="asd 14 4 15" xfId="24554"/>
    <cellStyle name="asd 14 4 16" xfId="26554"/>
    <cellStyle name="asd 14 4 17" xfId="28120"/>
    <cellStyle name="asd 14 4 18" xfId="30159"/>
    <cellStyle name="asd 14 4 19" xfId="32270"/>
    <cellStyle name="asd 14 4 2" xfId="3670"/>
    <cellStyle name="asd 14 4 2 10" xfId="17561"/>
    <cellStyle name="asd 14 4 2 11" xfId="19467"/>
    <cellStyle name="asd 14 4 2 12" xfId="21379"/>
    <cellStyle name="asd 14 4 2 13" xfId="23189"/>
    <cellStyle name="asd 14 4 2 14" xfId="25181"/>
    <cellStyle name="asd 14 4 2 15" xfId="27521"/>
    <cellStyle name="asd 14 4 2 16" xfId="28893"/>
    <cellStyle name="asd 14 4 2 17" xfId="31104"/>
    <cellStyle name="asd 14 4 2 18" xfId="32001"/>
    <cellStyle name="asd 14 4 2 19" xfId="34728"/>
    <cellStyle name="asd 14 4 2 2" xfId="4582"/>
    <cellStyle name="asd 14 4 2 2 10" xfId="20827"/>
    <cellStyle name="asd 14 4 2 2 11" xfId="22562"/>
    <cellStyle name="asd 14 4 2 2 12" xfId="24629"/>
    <cellStyle name="asd 14 4 2 2 13" xfId="26228"/>
    <cellStyle name="asd 14 4 2 2 14" xfId="28670"/>
    <cellStyle name="asd 14 4 2 2 15" xfId="29838"/>
    <cellStyle name="asd 14 4 2 2 16" xfId="32320"/>
    <cellStyle name="asd 14 4 2 2 17" xfId="35041"/>
    <cellStyle name="asd 14 4 2 2 18" xfId="35457"/>
    <cellStyle name="asd 14 4 2 2 19" xfId="37335"/>
    <cellStyle name="asd 14 4 2 2 2" xfId="5283"/>
    <cellStyle name="asd 14 4 2 2 20" xfId="39539"/>
    <cellStyle name="asd 14 4 2 2 21" xfId="41213"/>
    <cellStyle name="asd 14 4 2 2 22" xfId="42371"/>
    <cellStyle name="asd 14 4 2 2 3" xfId="6625"/>
    <cellStyle name="asd 14 4 2 2 4" xfId="9389"/>
    <cellStyle name="asd 14 4 2 2 5" xfId="11755"/>
    <cellStyle name="asd 14 4 2 2 6" xfId="13030"/>
    <cellStyle name="asd 14 4 2 2 7" xfId="14934"/>
    <cellStyle name="asd 14 4 2 2 8" xfId="17008"/>
    <cellStyle name="asd 14 4 2 2 9" xfId="18915"/>
    <cellStyle name="asd 14 4 2 20" xfId="36008"/>
    <cellStyle name="asd 14 4 2 21" xfId="37887"/>
    <cellStyle name="asd 14 4 2 22" xfId="39232"/>
    <cellStyle name="asd 14 4 2 23" xfId="40909"/>
    <cellStyle name="asd 14 4 2 24" xfId="42967"/>
    <cellStyle name="asd 14 4 2 3" xfId="5131"/>
    <cellStyle name="asd 14 4 2 4" xfId="6581"/>
    <cellStyle name="asd 14 4 2 5" xfId="8032"/>
    <cellStyle name="asd 14 4 2 6" xfId="9942"/>
    <cellStyle name="asd 14 4 2 7" xfId="11029"/>
    <cellStyle name="asd 14 4 2 8" xfId="13660"/>
    <cellStyle name="asd 14 4 2 9" xfId="15563"/>
    <cellStyle name="asd 14 4 20" xfId="34475"/>
    <cellStyle name="asd 14 4 21" xfId="35382"/>
    <cellStyle name="asd 14 4 22" xfId="37260"/>
    <cellStyle name="asd 14 4 23" xfId="39488"/>
    <cellStyle name="asd 14 4 24" xfId="41163"/>
    <cellStyle name="asd 14 4 25" xfId="43494"/>
    <cellStyle name="asd 14 4 3" xfId="3872"/>
    <cellStyle name="asd 14 4 3 10" xfId="19583"/>
    <cellStyle name="asd 14 4 3 11" xfId="21495"/>
    <cellStyle name="asd 14 4 3 12" xfId="23770"/>
    <cellStyle name="asd 14 4 3 13" xfId="25297"/>
    <cellStyle name="asd 14 4 3 14" xfId="26340"/>
    <cellStyle name="asd 14 4 3 15" xfId="28110"/>
    <cellStyle name="asd 14 4 3 16" xfId="29948"/>
    <cellStyle name="asd 14 4 3 17" xfId="33101"/>
    <cellStyle name="asd 14 4 3 18" xfId="33893"/>
    <cellStyle name="asd 14 4 3 19" xfId="36124"/>
    <cellStyle name="asd 14 4 3 2" xfId="5853"/>
    <cellStyle name="asd 14 4 3 2 10" xfId="22103"/>
    <cellStyle name="asd 14 4 3 2 11" xfId="22975"/>
    <cellStyle name="asd 14 4 3 2 12" xfId="25905"/>
    <cellStyle name="asd 14 4 3 2 13" xfId="27516"/>
    <cellStyle name="asd 14 4 3 2 14" xfId="12792"/>
    <cellStyle name="asd 14 4 3 2 15" xfId="31100"/>
    <cellStyle name="asd 14 4 3 2 16" xfId="32109"/>
    <cellStyle name="asd 14 4 3 2 17" xfId="34676"/>
    <cellStyle name="asd 14 4 3 2 18" xfId="36732"/>
    <cellStyle name="asd 14 4 3 2 19" xfId="38611"/>
    <cellStyle name="asd 14 4 3 2 2" xfId="7302"/>
    <cellStyle name="asd 14 4 3 2 20" xfId="39333"/>
    <cellStyle name="asd 14 4 3 2 21" xfId="41009"/>
    <cellStyle name="asd 14 4 3 2 22" xfId="42761"/>
    <cellStyle name="asd 14 4 3 2 3" xfId="8756"/>
    <cellStyle name="asd 14 4 3 2 4" xfId="10666"/>
    <cellStyle name="asd 14 4 3 2 5" xfId="11007"/>
    <cellStyle name="asd 14 4 3 2 6" xfId="13444"/>
    <cellStyle name="asd 14 4 3 2 7" xfId="15349"/>
    <cellStyle name="asd 14 4 3 2 8" xfId="18285"/>
    <cellStyle name="asd 14 4 3 2 9" xfId="20191"/>
    <cellStyle name="asd 14 4 3 20" xfId="38003"/>
    <cellStyle name="asd 14 4 3 21" xfId="40297"/>
    <cellStyle name="asd 14 4 3 22" xfId="41953"/>
    <cellStyle name="asd 14 4 3 23" xfId="43523"/>
    <cellStyle name="asd 14 4 3 3" xfId="5247"/>
    <cellStyle name="asd 14 4 3 4" xfId="8148"/>
    <cellStyle name="asd 14 4 3 5" xfId="10058"/>
    <cellStyle name="asd 14 4 3 6" xfId="11836"/>
    <cellStyle name="asd 14 4 3 7" xfId="14240"/>
    <cellStyle name="asd 14 4 3 8" xfId="16144"/>
    <cellStyle name="asd 14 4 3 9" xfId="17677"/>
    <cellStyle name="asd 14 4 4" xfId="4122"/>
    <cellStyle name="asd 14 4 4 10" xfId="19757"/>
    <cellStyle name="asd 14 4 4 11" xfId="21669"/>
    <cellStyle name="asd 14 4 4 12" xfId="22884"/>
    <cellStyle name="asd 14 4 4 13" xfId="25471"/>
    <cellStyle name="asd 14 4 4 14" xfId="27732"/>
    <cellStyle name="asd 14 4 4 15" xfId="28594"/>
    <cellStyle name="asd 14 4 4 16" xfId="31310"/>
    <cellStyle name="asd 14 4 4 17" xfId="31951"/>
    <cellStyle name="asd 14 4 4 18" xfId="34287"/>
    <cellStyle name="asd 14 4 4 19" xfId="36298"/>
    <cellStyle name="asd 14 4 4 2" xfId="6027"/>
    <cellStyle name="asd 14 4 4 2 10" xfId="22277"/>
    <cellStyle name="asd 14 4 4 2 11" xfId="23375"/>
    <cellStyle name="asd 14 4 4 2 12" xfId="26079"/>
    <cellStyle name="asd 14 4 4 2 13" xfId="27471"/>
    <cellStyle name="asd 14 4 4 2 14" xfId="28583"/>
    <cellStyle name="asd 14 4 4 2 15" xfId="31058"/>
    <cellStyle name="asd 14 4 4 2 16" xfId="32706"/>
    <cellStyle name="asd 14 4 4 2 17" xfId="33835"/>
    <cellStyle name="asd 14 4 4 2 18" xfId="36906"/>
    <cellStyle name="asd 14 4 4 2 19" xfId="38785"/>
    <cellStyle name="asd 14 4 4 2 2" xfId="7476"/>
    <cellStyle name="asd 14 4 4 2 20" xfId="39914"/>
    <cellStyle name="asd 14 4 4 2 21" xfId="41583"/>
    <cellStyle name="asd 14 4 4 2 22" xfId="43143"/>
    <cellStyle name="asd 14 4 4 2 3" xfId="8930"/>
    <cellStyle name="asd 14 4 4 2 4" xfId="10840"/>
    <cellStyle name="asd 14 4 4 2 5" xfId="12357"/>
    <cellStyle name="asd 14 4 4 2 6" xfId="13847"/>
    <cellStyle name="asd 14 4 4 2 7" xfId="15748"/>
    <cellStyle name="asd 14 4 4 2 8" xfId="18459"/>
    <cellStyle name="asd 14 4 4 2 9" xfId="20365"/>
    <cellStyle name="asd 14 4 4 20" xfId="38177"/>
    <cellStyle name="asd 14 4 4 21" xfId="39180"/>
    <cellStyle name="asd 14 4 4 22" xfId="40861"/>
    <cellStyle name="asd 14 4 4 23" xfId="42670"/>
    <cellStyle name="asd 14 4 4 3" xfId="6868"/>
    <cellStyle name="asd 14 4 4 4" xfId="8322"/>
    <cellStyle name="asd 14 4 4 5" xfId="10232"/>
    <cellStyle name="asd 14 4 4 6" xfId="12372"/>
    <cellStyle name="asd 14 4 4 7" xfId="13352"/>
    <cellStyle name="asd 14 4 4 8" xfId="15257"/>
    <cellStyle name="asd 14 4 4 9" xfId="17851"/>
    <cellStyle name="asd 14 4 5" xfId="4410"/>
    <cellStyle name="asd 14 4 5 10" xfId="20654"/>
    <cellStyle name="asd 14 4 5 11" xfId="23173"/>
    <cellStyle name="asd 14 4 5 12" xfId="24456"/>
    <cellStyle name="asd 14 4 5 13" xfId="26515"/>
    <cellStyle name="asd 14 4 5 14" xfId="29514"/>
    <cellStyle name="asd 14 4 5 15" xfId="30121"/>
    <cellStyle name="asd 14 4 5 16" xfId="33141"/>
    <cellStyle name="asd 14 4 5 17" xfId="34117"/>
    <cellStyle name="asd 14 4 5 18" xfId="35284"/>
    <cellStyle name="asd 14 4 5 19" xfId="37162"/>
    <cellStyle name="asd 14 4 5 2" xfId="4864"/>
    <cellStyle name="asd 14 4 5 20" xfId="40334"/>
    <cellStyle name="asd 14 4 5 21" xfId="41990"/>
    <cellStyle name="asd 14 4 5 22" xfId="42951"/>
    <cellStyle name="asd 14 4 5 3" xfId="6145"/>
    <cellStyle name="asd 14 4 5 4" xfId="9216"/>
    <cellStyle name="asd 14 4 5 5" xfId="10994"/>
    <cellStyle name="asd 14 4 5 6" xfId="13644"/>
    <cellStyle name="asd 14 4 5 7" xfId="15547"/>
    <cellStyle name="asd 14 4 5 8" xfId="16835"/>
    <cellStyle name="asd 14 4 5 9" xfId="18742"/>
    <cellStyle name="asd 14 4 6" xfId="2783"/>
    <cellStyle name="asd 14 4 7" xfId="9314"/>
    <cellStyle name="asd 14 4 8" xfId="11711"/>
    <cellStyle name="asd 14 4 9" xfId="14211"/>
    <cellStyle name="asd 14 5" xfId="1955"/>
    <cellStyle name="asd 14 5 10" xfId="17087"/>
    <cellStyle name="asd 14 5 11" xfId="18993"/>
    <cellStyle name="asd 14 5 12" xfId="20905"/>
    <cellStyle name="asd 14 5 13" xfId="23732"/>
    <cellStyle name="asd 14 5 14" xfId="24707"/>
    <cellStyle name="asd 14 5 15" xfId="26217"/>
    <cellStyle name="asd 14 5 16" xfId="28321"/>
    <cellStyle name="asd 14 5 17" xfId="29828"/>
    <cellStyle name="asd 14 5 18" xfId="32120"/>
    <cellStyle name="asd 14 5 19" xfId="33700"/>
    <cellStyle name="asd 14 5 2" xfId="5618"/>
    <cellStyle name="asd 14 5 2 10" xfId="21868"/>
    <cellStyle name="asd 14 5 2 11" xfId="22485"/>
    <cellStyle name="asd 14 5 2 12" xfId="25670"/>
    <cellStyle name="asd 14 5 2 13" xfId="27519"/>
    <cellStyle name="asd 14 5 2 14" xfId="28884"/>
    <cellStyle name="asd 14 5 2 15" xfId="31102"/>
    <cellStyle name="asd 14 5 2 16" xfId="32764"/>
    <cellStyle name="asd 14 5 2 17" xfId="33513"/>
    <cellStyle name="asd 14 5 2 18" xfId="36497"/>
    <cellStyle name="asd 14 5 2 19" xfId="38376"/>
    <cellStyle name="asd 14 5 2 2" xfId="7067"/>
    <cellStyle name="asd 14 5 2 20" xfId="39973"/>
    <cellStyle name="asd 14 5 2 21" xfId="41637"/>
    <cellStyle name="asd 14 5 2 22" xfId="42295"/>
    <cellStyle name="asd 14 5 2 3" xfId="8521"/>
    <cellStyle name="asd 14 5 2 4" xfId="10431"/>
    <cellStyle name="asd 14 5 2 5" xfId="12657"/>
    <cellStyle name="asd 14 5 2 6" xfId="12953"/>
    <cellStyle name="asd 14 5 2 7" xfId="14857"/>
    <cellStyle name="asd 14 5 2 8" xfId="18050"/>
    <cellStyle name="asd 14 5 2 9" xfId="19956"/>
    <cellStyle name="asd 14 5 20" xfId="35534"/>
    <cellStyle name="asd 14 5 21" xfId="37413"/>
    <cellStyle name="asd 14 5 22" xfId="39344"/>
    <cellStyle name="asd 14 5 23" xfId="41020"/>
    <cellStyle name="asd 14 5 24" xfId="43486"/>
    <cellStyle name="asd 14 5 3" xfId="4661"/>
    <cellStyle name="asd 14 5 4" xfId="6107"/>
    <cellStyle name="asd 14 5 5" xfId="7558"/>
    <cellStyle name="asd 14 5 6" xfId="9468"/>
    <cellStyle name="asd 14 5 7" xfId="11360"/>
    <cellStyle name="asd 14 5 8" xfId="14202"/>
    <cellStyle name="asd 14 5 9" xfId="16106"/>
    <cellStyle name="asd 14 6" xfId="3134"/>
    <cellStyle name="asd 14 6 10" xfId="19162"/>
    <cellStyle name="asd 14 6 11" xfId="21074"/>
    <cellStyle name="asd 14 6 12" xfId="23890"/>
    <cellStyle name="asd 14 6 13" xfId="24876"/>
    <cellStyle name="asd 14 6 14" xfId="26538"/>
    <cellStyle name="asd 14 6 15" xfId="28010"/>
    <cellStyle name="asd 14 6 16" xfId="30144"/>
    <cellStyle name="asd 14 6 17" xfId="2020"/>
    <cellStyle name="asd 14 6 18" xfId="2383"/>
    <cellStyle name="asd 14 6 19" xfId="35703"/>
    <cellStyle name="asd 14 6 2" xfId="5669"/>
    <cellStyle name="asd 14 6 2 10" xfId="21919"/>
    <cellStyle name="asd 14 6 2 11" xfId="23113"/>
    <cellStyle name="asd 14 6 2 12" xfId="25721"/>
    <cellStyle name="asd 14 6 2 13" xfId="27146"/>
    <cellStyle name="asd 14 6 2 14" xfId="24219"/>
    <cellStyle name="asd 14 6 2 15" xfId="30737"/>
    <cellStyle name="asd 14 6 2 16" xfId="32451"/>
    <cellStyle name="asd 14 6 2 17" xfId="34281"/>
    <cellStyle name="asd 14 6 2 18" xfId="36548"/>
    <cellStyle name="asd 14 6 2 19" xfId="38427"/>
    <cellStyle name="asd 14 6 2 2" xfId="7118"/>
    <cellStyle name="asd 14 6 2 20" xfId="39668"/>
    <cellStyle name="asd 14 6 2 21" xfId="41342"/>
    <cellStyle name="asd 14 6 2 22" xfId="42893"/>
    <cellStyle name="asd 14 6 2 3" xfId="8572"/>
    <cellStyle name="asd 14 6 2 4" xfId="10482"/>
    <cellStyle name="asd 14 6 2 5" xfId="12729"/>
    <cellStyle name="asd 14 6 2 6" xfId="13584"/>
    <cellStyle name="asd 14 6 2 7" xfId="15487"/>
    <cellStyle name="asd 14 6 2 8" xfId="18101"/>
    <cellStyle name="asd 14 6 2 9" xfId="20007"/>
    <cellStyle name="asd 14 6 20" xfId="37582"/>
    <cellStyle name="asd 14 6 21" xfId="2318"/>
    <cellStyle name="asd 14 6 22" xfId="33552"/>
    <cellStyle name="asd 14 6 23" xfId="43640"/>
    <cellStyle name="asd 14 6 3" xfId="4826"/>
    <cellStyle name="asd 14 6 4" xfId="7727"/>
    <cellStyle name="asd 14 6 5" xfId="9637"/>
    <cellStyle name="asd 14 6 6" xfId="11491"/>
    <cellStyle name="asd 14 6 7" xfId="14360"/>
    <cellStyle name="asd 14 6 8" xfId="16265"/>
    <cellStyle name="asd 14 6 9" xfId="17256"/>
    <cellStyle name="asd 14 7" xfId="2118"/>
    <cellStyle name="asd 14 7 10" xfId="19021"/>
    <cellStyle name="asd 14 7 11" xfId="20933"/>
    <cellStyle name="asd 14 7 12" xfId="22824"/>
    <cellStyle name="asd 14 7 13" xfId="24735"/>
    <cellStyle name="asd 14 7 14" xfId="26920"/>
    <cellStyle name="asd 14 7 15" xfId="28202"/>
    <cellStyle name="asd 14 7 16" xfId="30515"/>
    <cellStyle name="asd 14 7 17" xfId="33014"/>
    <cellStyle name="asd 14 7 18" xfId="33530"/>
    <cellStyle name="asd 14 7 19" xfId="35562"/>
    <cellStyle name="asd 14 7 2" xfId="4477"/>
    <cellStyle name="asd 14 7 2 10" xfId="20722"/>
    <cellStyle name="asd 14 7 2 11" xfId="23874"/>
    <cellStyle name="asd 14 7 2 12" xfId="24524"/>
    <cellStyle name="asd 14 7 2 13" xfId="27608"/>
    <cellStyle name="asd 14 7 2 14" xfId="29434"/>
    <cellStyle name="asd 14 7 2 15" xfId="31186"/>
    <cellStyle name="asd 14 7 2 16" xfId="31868"/>
    <cellStyle name="asd 14 7 2 17" xfId="33684"/>
    <cellStyle name="asd 14 7 2 18" xfId="35352"/>
    <cellStyle name="asd 14 7 2 19" xfId="37230"/>
    <cellStyle name="asd 14 7 2 2" xfId="4298"/>
    <cellStyle name="asd 14 7 2 20" xfId="39103"/>
    <cellStyle name="asd 14 7 2 21" xfId="40784"/>
    <cellStyle name="asd 14 7 2 22" xfId="43624"/>
    <cellStyle name="asd 14 7 2 3" xfId="5402"/>
    <cellStyle name="asd 14 7 2 4" xfId="9284"/>
    <cellStyle name="asd 14 7 2 5" xfId="11656"/>
    <cellStyle name="asd 14 7 2 6" xfId="14344"/>
    <cellStyle name="asd 14 7 2 7" xfId="16248"/>
    <cellStyle name="asd 14 7 2 8" xfId="16903"/>
    <cellStyle name="asd 14 7 2 9" xfId="18810"/>
    <cellStyle name="asd 14 7 20" xfId="37441"/>
    <cellStyle name="asd 14 7 21" xfId="40214"/>
    <cellStyle name="asd 14 7 22" xfId="41873"/>
    <cellStyle name="asd 14 7 23" xfId="42617"/>
    <cellStyle name="asd 14 7 3" xfId="6135"/>
    <cellStyle name="asd 14 7 4" xfId="7586"/>
    <cellStyle name="asd 14 7 5" xfId="9496"/>
    <cellStyle name="asd 14 7 6" xfId="12381"/>
    <cellStyle name="asd 14 7 7" xfId="13294"/>
    <cellStyle name="asd 14 7 8" xfId="15198"/>
    <cellStyle name="asd 14 7 9" xfId="17115"/>
    <cellStyle name="asd 14 8" xfId="2015"/>
    <cellStyle name="asd 14 9" xfId="1777"/>
    <cellStyle name="asd 15" xfId="785"/>
    <cellStyle name="asd 15 10" xfId="2885"/>
    <cellStyle name="asd 15 11" xfId="5368"/>
    <cellStyle name="asd 15 12" xfId="10887"/>
    <cellStyle name="asd 15 13" xfId="3956"/>
    <cellStyle name="asd 15 14" xfId="2848"/>
    <cellStyle name="asd 15 15" xfId="16553"/>
    <cellStyle name="asd 15 16" xfId="5432"/>
    <cellStyle name="asd 15 17" xfId="1861"/>
    <cellStyle name="asd 15 18" xfId="2237"/>
    <cellStyle name="asd 15 19" xfId="3173"/>
    <cellStyle name="asd 15 2" xfId="3452"/>
    <cellStyle name="asd 15 2 10" xfId="13718"/>
    <cellStyle name="asd 15 2 11" xfId="15620"/>
    <cellStyle name="asd 15 2 12" xfId="16844"/>
    <cellStyle name="asd 15 2 13" xfId="18751"/>
    <cellStyle name="asd 15 2 14" xfId="20663"/>
    <cellStyle name="asd 15 2 15" xfId="23246"/>
    <cellStyle name="asd 15 2 16" xfId="24465"/>
    <cellStyle name="asd 15 2 17" xfId="27082"/>
    <cellStyle name="asd 15 2 18" xfId="29029"/>
    <cellStyle name="asd 15 2 19" xfId="30673"/>
    <cellStyle name="asd 15 2 2" xfId="3632"/>
    <cellStyle name="asd 15 2 2 10" xfId="17523"/>
    <cellStyle name="asd 15 2 2 11" xfId="19429"/>
    <cellStyle name="asd 15 2 2 12" xfId="21341"/>
    <cellStyle name="asd 15 2 2 13" xfId="24181"/>
    <cellStyle name="asd 15 2 2 14" xfId="25143"/>
    <cellStyle name="asd 15 2 2 15" xfId="27214"/>
    <cellStyle name="asd 15 2 2 16" xfId="29347"/>
    <cellStyle name="asd 15 2 2 17" xfId="30805"/>
    <cellStyle name="asd 15 2 2 18" xfId="33140"/>
    <cellStyle name="asd 15 2 2 19" xfId="33455"/>
    <cellStyle name="asd 15 2 2 2" xfId="4557"/>
    <cellStyle name="asd 15 2 2 2 10" xfId="20802"/>
    <cellStyle name="asd 15 2 2 2 11" xfId="23343"/>
    <cellStyle name="asd 15 2 2 2 12" xfId="24604"/>
    <cellStyle name="asd 15 2 2 2 13" xfId="27194"/>
    <cellStyle name="asd 15 2 2 2 14" xfId="29156"/>
    <cellStyle name="asd 15 2 2 2 15" xfId="30785"/>
    <cellStyle name="asd 15 2 2 2 16" xfId="33248"/>
    <cellStyle name="asd 15 2 2 2 17" xfId="34431"/>
    <cellStyle name="asd 15 2 2 2 18" xfId="35432"/>
    <cellStyle name="asd 15 2 2 2 19" xfId="37310"/>
    <cellStyle name="asd 15 2 2 2 2" xfId="4470"/>
    <cellStyle name="asd 15 2 2 2 20" xfId="40436"/>
    <cellStyle name="asd 15 2 2 2 21" xfId="42091"/>
    <cellStyle name="asd 15 2 2 2 22" xfId="43113"/>
    <cellStyle name="asd 15 2 2 2 3" xfId="5383"/>
    <cellStyle name="asd 15 2 2 2 4" xfId="9364"/>
    <cellStyle name="asd 15 2 2 2 5" xfId="10961"/>
    <cellStyle name="asd 15 2 2 2 6" xfId="13815"/>
    <cellStyle name="asd 15 2 2 2 7" xfId="15717"/>
    <cellStyle name="asd 15 2 2 2 8" xfId="16983"/>
    <cellStyle name="asd 15 2 2 2 9" xfId="18890"/>
    <cellStyle name="asd 15 2 2 20" xfId="35970"/>
    <cellStyle name="asd 15 2 2 21" xfId="37849"/>
    <cellStyle name="asd 15 2 2 22" xfId="40333"/>
    <cellStyle name="asd 15 2 2 23" xfId="41989"/>
    <cellStyle name="asd 15 2 2 24" xfId="43921"/>
    <cellStyle name="asd 15 2 2 3" xfId="5093"/>
    <cellStyle name="asd 15 2 2 4" xfId="6543"/>
    <cellStyle name="asd 15 2 2 5" xfId="7994"/>
    <cellStyle name="asd 15 2 2 6" xfId="9904"/>
    <cellStyle name="asd 15 2 2 7" xfId="12140"/>
    <cellStyle name="asd 15 2 2 8" xfId="14652"/>
    <cellStyle name="asd 15 2 2 9" xfId="16558"/>
    <cellStyle name="asd 15 2 20" xfId="32474"/>
    <cellStyle name="asd 15 2 21" xfId="34575"/>
    <cellStyle name="asd 15 2 22" xfId="35293"/>
    <cellStyle name="asd 15 2 23" xfId="37171"/>
    <cellStyle name="asd 15 2 24" xfId="39692"/>
    <cellStyle name="asd 15 2 25" xfId="41365"/>
    <cellStyle name="asd 15 2 26" xfId="43023"/>
    <cellStyle name="asd 15 2 3" xfId="3815"/>
    <cellStyle name="asd 15 2 3 10" xfId="19546"/>
    <cellStyle name="asd 15 2 3 11" xfId="21458"/>
    <cellStyle name="asd 15 2 3 12" xfId="24069"/>
    <cellStyle name="asd 15 2 3 13" xfId="25260"/>
    <cellStyle name="asd 15 2 3 14" xfId="27603"/>
    <cellStyle name="asd 15 2 3 15" xfId="28440"/>
    <cellStyle name="asd 15 2 3 16" xfId="31181"/>
    <cellStyle name="asd 15 2 3 17" xfId="32732"/>
    <cellStyle name="asd 15 2 3 18" xfId="33654"/>
    <cellStyle name="asd 15 2 3 19" xfId="36087"/>
    <cellStyle name="asd 15 2 3 2" xfId="5816"/>
    <cellStyle name="asd 15 2 3 2 10" xfId="22066"/>
    <cellStyle name="asd 15 2 3 2 11" xfId="22718"/>
    <cellStyle name="asd 15 2 3 2 12" xfId="25868"/>
    <cellStyle name="asd 15 2 3 2 13" xfId="26659"/>
    <cellStyle name="asd 15 2 3 2 14" xfId="28793"/>
    <cellStyle name="asd 15 2 3 2 15" xfId="30259"/>
    <cellStyle name="asd 15 2 3 2 16" xfId="32242"/>
    <cellStyle name="asd 15 2 3 2 17" xfId="34516"/>
    <cellStyle name="asd 15 2 3 2 18" xfId="36695"/>
    <cellStyle name="asd 15 2 3 2 19" xfId="38574"/>
    <cellStyle name="asd 15 2 3 2 2" xfId="7265"/>
    <cellStyle name="asd 15 2 3 2 20" xfId="39460"/>
    <cellStyle name="asd 15 2 3 2 21" xfId="41135"/>
    <cellStyle name="asd 15 2 3 2 22" xfId="42517"/>
    <cellStyle name="asd 15 2 3 2 3" xfId="8719"/>
    <cellStyle name="asd 15 2 3 2 4" xfId="10629"/>
    <cellStyle name="asd 15 2 3 2 5" xfId="12616"/>
    <cellStyle name="asd 15 2 3 2 6" xfId="13186"/>
    <cellStyle name="asd 15 2 3 2 7" xfId="15090"/>
    <cellStyle name="asd 15 2 3 2 8" xfId="18248"/>
    <cellStyle name="asd 15 2 3 2 9" xfId="20154"/>
    <cellStyle name="asd 15 2 3 20" xfId="37966"/>
    <cellStyle name="asd 15 2 3 21" xfId="39941"/>
    <cellStyle name="asd 15 2 3 22" xfId="41607"/>
    <cellStyle name="asd 15 2 3 23" xfId="43813"/>
    <cellStyle name="asd 15 2 3 3" xfId="5210"/>
    <cellStyle name="asd 15 2 3 4" xfId="8111"/>
    <cellStyle name="asd 15 2 3 5" xfId="10021"/>
    <cellStyle name="asd 15 2 3 6" xfId="12028"/>
    <cellStyle name="asd 15 2 3 7" xfId="14539"/>
    <cellStyle name="asd 15 2 3 8" xfId="16445"/>
    <cellStyle name="asd 15 2 3 9" xfId="17640"/>
    <cellStyle name="asd 15 2 4" xfId="4084"/>
    <cellStyle name="asd 15 2 4 10" xfId="19719"/>
    <cellStyle name="asd 15 2 4 11" xfId="21631"/>
    <cellStyle name="asd 15 2 4 12" xfId="22372"/>
    <cellStyle name="asd 15 2 4 13" xfId="25433"/>
    <cellStyle name="asd 15 2 4 14" xfId="27665"/>
    <cellStyle name="asd 15 2 4 15" xfId="29303"/>
    <cellStyle name="asd 15 2 4 16" xfId="31241"/>
    <cellStyle name="asd 15 2 4 17" xfId="31772"/>
    <cellStyle name="asd 15 2 4 18" xfId="34103"/>
    <cellStyle name="asd 15 2 4 19" xfId="36260"/>
    <cellStyle name="asd 15 2 4 2" xfId="5989"/>
    <cellStyle name="asd 15 2 4 2 10" xfId="22239"/>
    <cellStyle name="asd 15 2 4 2 11" xfId="22428"/>
    <cellStyle name="asd 15 2 4 2 12" xfId="26041"/>
    <cellStyle name="asd 15 2 4 2 13" xfId="27446"/>
    <cellStyle name="asd 15 2 4 2 14" xfId="28529"/>
    <cellStyle name="asd 15 2 4 2 15" xfId="31032"/>
    <cellStyle name="asd 15 2 4 2 16" xfId="31904"/>
    <cellStyle name="asd 15 2 4 2 17" xfId="33748"/>
    <cellStyle name="asd 15 2 4 2 18" xfId="36868"/>
    <cellStyle name="asd 15 2 4 2 19" xfId="38747"/>
    <cellStyle name="asd 15 2 4 2 2" xfId="7438"/>
    <cellStyle name="asd 15 2 4 2 20" xfId="39136"/>
    <cellStyle name="asd 15 2 4 2 21" xfId="40817"/>
    <cellStyle name="asd 15 2 4 2 22" xfId="42239"/>
    <cellStyle name="asd 15 2 4 2 3" xfId="8892"/>
    <cellStyle name="asd 15 2 4 2 4" xfId="10802"/>
    <cellStyle name="asd 15 2 4 2 5" xfId="11610"/>
    <cellStyle name="asd 15 2 4 2 6" xfId="12896"/>
    <cellStyle name="asd 15 2 4 2 7" xfId="14801"/>
    <cellStyle name="asd 15 2 4 2 8" xfId="18421"/>
    <cellStyle name="asd 15 2 4 2 9" xfId="20327"/>
    <cellStyle name="asd 15 2 4 20" xfId="38139"/>
    <cellStyle name="asd 15 2 4 21" xfId="39011"/>
    <cellStyle name="asd 15 2 4 22" xfId="40693"/>
    <cellStyle name="asd 15 2 4 23" xfId="42184"/>
    <cellStyle name="asd 15 2 4 3" xfId="6830"/>
    <cellStyle name="asd 15 2 4 4" xfId="8284"/>
    <cellStyle name="asd 15 2 4 5" xfId="10194"/>
    <cellStyle name="asd 15 2 4 6" xfId="11433"/>
    <cellStyle name="asd 15 2 4 7" xfId="12839"/>
    <cellStyle name="asd 15 2 4 8" xfId="14744"/>
    <cellStyle name="asd 15 2 4 9" xfId="17813"/>
    <cellStyle name="asd 15 2 5" xfId="4938"/>
    <cellStyle name="asd 15 2 5 10" xfId="21186"/>
    <cellStyle name="asd 15 2 5 11" xfId="23566"/>
    <cellStyle name="asd 15 2 5 12" xfId="24988"/>
    <cellStyle name="asd 15 2 5 13" xfId="26501"/>
    <cellStyle name="asd 15 2 5 14" xfId="28765"/>
    <cellStyle name="asd 15 2 5 15" xfId="30107"/>
    <cellStyle name="asd 15 2 5 16" xfId="33091"/>
    <cellStyle name="asd 15 2 5 17" xfId="34015"/>
    <cellStyle name="asd 15 2 5 18" xfId="35815"/>
    <cellStyle name="asd 15 2 5 19" xfId="37694"/>
    <cellStyle name="asd 15 2 5 2" xfId="6388"/>
    <cellStyle name="asd 15 2 5 20" xfId="40287"/>
    <cellStyle name="asd 15 2 5 21" xfId="41943"/>
    <cellStyle name="asd 15 2 5 22" xfId="43330"/>
    <cellStyle name="asd 15 2 5 3" xfId="7839"/>
    <cellStyle name="asd 15 2 5 4" xfId="9749"/>
    <cellStyle name="asd 15 2 5 5" xfId="11308"/>
    <cellStyle name="asd 15 2 5 6" xfId="14038"/>
    <cellStyle name="asd 15 2 5 7" xfId="15939"/>
    <cellStyle name="asd 15 2 5 8" xfId="17368"/>
    <cellStyle name="asd 15 2 5 9" xfId="19274"/>
    <cellStyle name="asd 15 2 6" xfId="5594"/>
    <cellStyle name="asd 15 2 6 10" xfId="21844"/>
    <cellStyle name="asd 15 2 6 11" xfId="23039"/>
    <cellStyle name="asd 15 2 6 12" xfId="25646"/>
    <cellStyle name="asd 15 2 6 13" xfId="26608"/>
    <cellStyle name="asd 15 2 6 14" xfId="29439"/>
    <cellStyle name="asd 15 2 6 15" xfId="30210"/>
    <cellStyle name="asd 15 2 6 16" xfId="33015"/>
    <cellStyle name="asd 15 2 6 17" xfId="34998"/>
    <cellStyle name="asd 15 2 6 18" xfId="36473"/>
    <cellStyle name="asd 15 2 6 19" xfId="38352"/>
    <cellStyle name="asd 15 2 6 2" xfId="7043"/>
    <cellStyle name="asd 15 2 6 20" xfId="40215"/>
    <cellStyle name="asd 15 2 6 21" xfId="41874"/>
    <cellStyle name="asd 15 2 6 22" xfId="42822"/>
    <cellStyle name="asd 15 2 6 3" xfId="8497"/>
    <cellStyle name="asd 15 2 6 4" xfId="10407"/>
    <cellStyle name="asd 15 2 6 5" xfId="12634"/>
    <cellStyle name="asd 15 2 6 6" xfId="13509"/>
    <cellStyle name="asd 15 2 6 7" xfId="15413"/>
    <cellStyle name="asd 15 2 6 8" xfId="18026"/>
    <cellStyle name="asd 15 2 6 9" xfId="19932"/>
    <cellStyle name="asd 15 2 7" xfId="6721"/>
    <cellStyle name="asd 15 2 8" xfId="9225"/>
    <cellStyle name="asd 15 2 9" xfId="11148"/>
    <cellStyle name="asd 15 20" xfId="29711"/>
    <cellStyle name="asd 15 21" xfId="29765"/>
    <cellStyle name="asd 15 22" xfId="2097"/>
    <cellStyle name="asd 15 23" xfId="10911"/>
    <cellStyle name="asd 15 24" xfId="15138"/>
    <cellStyle name="asd 15 25" xfId="20423"/>
    <cellStyle name="asd 15 26" xfId="16620"/>
    <cellStyle name="asd 15 27" xfId="29701"/>
    <cellStyle name="asd 15 3" xfId="3436"/>
    <cellStyle name="asd 15 3 10" xfId="14514"/>
    <cellStyle name="asd 15 3 11" xfId="16420"/>
    <cellStyle name="asd 15 3 12" xfId="16815"/>
    <cellStyle name="asd 15 3 13" xfId="18722"/>
    <cellStyle name="asd 15 3 14" xfId="20634"/>
    <cellStyle name="asd 15 3 15" xfId="24044"/>
    <cellStyle name="asd 15 3 16" xfId="24436"/>
    <cellStyle name="asd 15 3 17" xfId="26418"/>
    <cellStyle name="asd 15 3 18" xfId="29338"/>
    <cellStyle name="asd 15 3 19" xfId="30025"/>
    <cellStyle name="asd 15 3 2" xfId="3616"/>
    <cellStyle name="asd 15 3 2 10" xfId="17507"/>
    <cellStyle name="asd 15 3 2 11" xfId="19413"/>
    <cellStyle name="asd 15 3 2 12" xfId="21325"/>
    <cellStyle name="asd 15 3 2 13" xfId="23043"/>
    <cellStyle name="asd 15 3 2 14" xfId="25127"/>
    <cellStyle name="asd 15 3 2 15" xfId="26782"/>
    <cellStyle name="asd 15 3 2 16" xfId="28179"/>
    <cellStyle name="asd 15 3 2 17" xfId="30381"/>
    <cellStyle name="asd 15 3 2 18" xfId="32307"/>
    <cellStyle name="asd 15 3 2 19" xfId="33679"/>
    <cellStyle name="asd 15 3 2 2" xfId="5487"/>
    <cellStyle name="asd 15 3 2 2 10" xfId="21737"/>
    <cellStyle name="asd 15 3 2 2 11" xfId="24072"/>
    <cellStyle name="asd 15 3 2 2 12" xfId="25539"/>
    <cellStyle name="asd 15 3 2 2 13" xfId="27313"/>
    <cellStyle name="asd 15 3 2 2 14" xfId="29201"/>
    <cellStyle name="asd 15 3 2 2 15" xfId="30903"/>
    <cellStyle name="asd 15 3 2 2 16" xfId="32099"/>
    <cellStyle name="asd 15 3 2 2 17" xfId="33597"/>
    <cellStyle name="asd 15 3 2 2 18" xfId="36366"/>
    <cellStyle name="asd 15 3 2 2 19" xfId="38245"/>
    <cellStyle name="asd 15 3 2 2 2" xfId="6936"/>
    <cellStyle name="asd 15 3 2 2 20" xfId="39323"/>
    <cellStyle name="asd 15 3 2 2 21" xfId="40999"/>
    <cellStyle name="asd 15 3 2 2 22" xfId="43816"/>
    <cellStyle name="asd 15 3 2 2 3" xfId="8390"/>
    <cellStyle name="asd 15 3 2 2 4" xfId="10300"/>
    <cellStyle name="asd 15 3 2 2 5" xfId="12031"/>
    <cellStyle name="asd 15 3 2 2 6" xfId="14542"/>
    <cellStyle name="asd 15 3 2 2 7" xfId="16448"/>
    <cellStyle name="asd 15 3 2 2 8" xfId="17919"/>
    <cellStyle name="asd 15 3 2 2 9" xfId="19825"/>
    <cellStyle name="asd 15 3 2 20" xfId="35954"/>
    <cellStyle name="asd 15 3 2 21" xfId="37833"/>
    <cellStyle name="asd 15 3 2 22" xfId="39526"/>
    <cellStyle name="asd 15 3 2 23" xfId="41200"/>
    <cellStyle name="asd 15 3 2 24" xfId="42826"/>
    <cellStyle name="asd 15 3 2 3" xfId="5077"/>
    <cellStyle name="asd 15 3 2 4" xfId="6527"/>
    <cellStyle name="asd 15 3 2 5" xfId="7978"/>
    <cellStyle name="asd 15 3 2 6" xfId="9888"/>
    <cellStyle name="asd 15 3 2 7" xfId="12640"/>
    <cellStyle name="asd 15 3 2 8" xfId="13513"/>
    <cellStyle name="asd 15 3 2 9" xfId="15417"/>
    <cellStyle name="asd 15 3 20" xfId="33221"/>
    <cellStyle name="asd 15 3 21" xfId="34208"/>
    <cellStyle name="asd 15 3 22" xfId="35264"/>
    <cellStyle name="asd 15 3 23" xfId="37142"/>
    <cellStyle name="asd 15 3 24" xfId="40411"/>
    <cellStyle name="asd 15 3 25" xfId="42067"/>
    <cellStyle name="asd 15 3 26" xfId="43788"/>
    <cellStyle name="asd 15 3 3" xfId="3793"/>
    <cellStyle name="asd 15 3 3 10" xfId="19528"/>
    <cellStyle name="asd 15 3 3 11" xfId="21440"/>
    <cellStyle name="asd 15 3 3 12" xfId="24107"/>
    <cellStyle name="asd 15 3 3 13" xfId="25242"/>
    <cellStyle name="asd 15 3 3 14" xfId="26611"/>
    <cellStyle name="asd 15 3 3 15" xfId="28160"/>
    <cellStyle name="asd 15 3 3 16" xfId="30214"/>
    <cellStyle name="asd 15 3 3 17" xfId="32158"/>
    <cellStyle name="asd 15 3 3 18" xfId="34923"/>
    <cellStyle name="asd 15 3 3 19" xfId="36069"/>
    <cellStyle name="asd 15 3 3 2" xfId="5798"/>
    <cellStyle name="asd 15 3 3 2 10" xfId="22048"/>
    <cellStyle name="asd 15 3 3 2 11" xfId="23294"/>
    <cellStyle name="asd 15 3 3 2 12" xfId="25850"/>
    <cellStyle name="asd 15 3 3 2 13" xfId="26302"/>
    <cellStyle name="asd 15 3 3 2 14" xfId="2517"/>
    <cellStyle name="asd 15 3 3 2 15" xfId="29911"/>
    <cellStyle name="asd 15 3 3 2 16" xfId="29680"/>
    <cellStyle name="asd 15 3 3 2 17" xfId="32488"/>
    <cellStyle name="asd 15 3 3 2 18" xfId="36677"/>
    <cellStyle name="asd 15 3 3 2 19" xfId="38556"/>
    <cellStyle name="asd 15 3 3 2 2" xfId="7247"/>
    <cellStyle name="asd 15 3 3 2 20" xfId="28317"/>
    <cellStyle name="asd 15 3 3 2 21" xfId="34035"/>
    <cellStyle name="asd 15 3 3 2 22" xfId="43067"/>
    <cellStyle name="asd 15 3 3 2 3" xfId="8701"/>
    <cellStyle name="asd 15 3 3 2 4" xfId="10611"/>
    <cellStyle name="asd 15 3 3 2 5" xfId="11262"/>
    <cellStyle name="asd 15 3 3 2 6" xfId="13766"/>
    <cellStyle name="asd 15 3 3 2 7" xfId="15668"/>
    <cellStyle name="asd 15 3 3 2 8" xfId="18230"/>
    <cellStyle name="asd 15 3 3 2 9" xfId="20136"/>
    <cellStyle name="asd 15 3 3 20" xfId="37948"/>
    <cellStyle name="asd 15 3 3 21" xfId="39381"/>
    <cellStyle name="asd 15 3 3 22" xfId="41057"/>
    <cellStyle name="asd 15 3 3 23" xfId="43850"/>
    <cellStyle name="asd 15 3 3 3" xfId="5192"/>
    <cellStyle name="asd 15 3 3 4" xfId="8093"/>
    <cellStyle name="asd 15 3 3 5" xfId="10003"/>
    <cellStyle name="asd 15 3 3 6" xfId="12066"/>
    <cellStyle name="asd 15 3 3 7" xfId="14577"/>
    <cellStyle name="asd 15 3 3 8" xfId="16483"/>
    <cellStyle name="asd 15 3 3 9" xfId="17622"/>
    <cellStyle name="asd 15 3 4" xfId="4068"/>
    <cellStyle name="asd 15 3 4 10" xfId="19703"/>
    <cellStyle name="asd 15 3 4 11" xfId="21615"/>
    <cellStyle name="asd 15 3 4 12" xfId="23508"/>
    <cellStyle name="asd 15 3 4 13" xfId="25417"/>
    <cellStyle name="asd 15 3 4 14" xfId="26671"/>
    <cellStyle name="asd 15 3 4 15" xfId="29251"/>
    <cellStyle name="asd 15 3 4 16" xfId="30271"/>
    <cellStyle name="asd 15 3 4 17" xfId="32061"/>
    <cellStyle name="asd 15 3 4 18" xfId="34729"/>
    <cellStyle name="asd 15 3 4 19" xfId="36244"/>
    <cellStyle name="asd 15 3 4 2" xfId="5973"/>
    <cellStyle name="asd 15 3 4 2 10" xfId="22223"/>
    <cellStyle name="asd 15 3 4 2 11" xfId="22524"/>
    <cellStyle name="asd 15 3 4 2 12" xfId="26025"/>
    <cellStyle name="asd 15 3 4 2 13" xfId="27224"/>
    <cellStyle name="asd 15 3 4 2 14" xfId="29275"/>
    <cellStyle name="asd 15 3 4 2 15" xfId="30815"/>
    <cellStyle name="asd 15 3 4 2 16" xfId="31786"/>
    <cellStyle name="asd 15 3 4 2 17" xfId="33624"/>
    <cellStyle name="asd 15 3 4 2 18" xfId="36852"/>
    <cellStyle name="asd 15 3 4 2 19" xfId="38731"/>
    <cellStyle name="asd 15 3 4 2 2" xfId="7422"/>
    <cellStyle name="asd 15 3 4 2 20" xfId="39025"/>
    <cellStyle name="asd 15 3 4 2 21" xfId="40707"/>
    <cellStyle name="asd 15 3 4 2 22" xfId="42334"/>
    <cellStyle name="asd 15 3 4 2 3" xfId="8876"/>
    <cellStyle name="asd 15 3 4 2 4" xfId="10786"/>
    <cellStyle name="asd 15 3 4 2 5" xfId="2832"/>
    <cellStyle name="asd 15 3 4 2 6" xfId="12992"/>
    <cellStyle name="asd 15 3 4 2 7" xfId="14896"/>
    <cellStyle name="asd 15 3 4 2 8" xfId="18405"/>
    <cellStyle name="asd 15 3 4 2 9" xfId="20311"/>
    <cellStyle name="asd 15 3 4 20" xfId="38123"/>
    <cellStyle name="asd 15 3 4 21" xfId="39287"/>
    <cellStyle name="asd 15 3 4 22" xfId="40963"/>
    <cellStyle name="asd 15 3 4 23" xfId="43273"/>
    <cellStyle name="asd 15 3 4 3" xfId="6814"/>
    <cellStyle name="asd 15 3 4 4" xfId="8268"/>
    <cellStyle name="asd 15 3 4 5" xfId="10178"/>
    <cellStyle name="asd 15 3 4 6" xfId="12488"/>
    <cellStyle name="asd 15 3 4 7" xfId="13980"/>
    <cellStyle name="asd 15 3 4 8" xfId="15881"/>
    <cellStyle name="asd 15 3 4 9" xfId="17797"/>
    <cellStyle name="asd 15 3 5" xfId="4925"/>
    <cellStyle name="asd 15 3 5 10" xfId="21173"/>
    <cellStyle name="asd 15 3 5 11" xfId="22654"/>
    <cellStyle name="asd 15 3 5 12" xfId="24975"/>
    <cellStyle name="asd 15 3 5 13" xfId="26516"/>
    <cellStyle name="asd 15 3 5 14" xfId="28739"/>
    <cellStyle name="asd 15 3 5 15" xfId="30122"/>
    <cellStyle name="asd 15 3 5 16" xfId="32579"/>
    <cellStyle name="asd 15 3 5 17" xfId="33636"/>
    <cellStyle name="asd 15 3 5 18" xfId="35802"/>
    <cellStyle name="asd 15 3 5 19" xfId="37681"/>
    <cellStyle name="asd 15 3 5 2" xfId="6375"/>
    <cellStyle name="asd 15 3 5 20" xfId="39789"/>
    <cellStyle name="asd 15 3 5 21" xfId="41459"/>
    <cellStyle name="asd 15 3 5 22" xfId="42460"/>
    <cellStyle name="asd 15 3 5 3" xfId="7826"/>
    <cellStyle name="asd 15 3 5 4" xfId="9736"/>
    <cellStyle name="asd 15 3 5 5" xfId="11440"/>
    <cellStyle name="asd 15 3 5 6" xfId="13121"/>
    <cellStyle name="asd 15 3 5 7" xfId="15026"/>
    <cellStyle name="asd 15 3 5 8" xfId="17355"/>
    <cellStyle name="asd 15 3 5 9" xfId="19261"/>
    <cellStyle name="asd 15 3 6" xfId="5482"/>
    <cellStyle name="asd 15 3 6 10" xfId="21732"/>
    <cellStyle name="asd 15 3 6 11" xfId="23643"/>
    <cellStyle name="asd 15 3 6 12" xfId="25534"/>
    <cellStyle name="asd 15 3 6 13" xfId="26244"/>
    <cellStyle name="asd 15 3 6 14" xfId="28962"/>
    <cellStyle name="asd 15 3 6 15" xfId="29854"/>
    <cellStyle name="asd 15 3 6 16" xfId="32347"/>
    <cellStyle name="asd 15 3 6 17" xfId="34113"/>
    <cellStyle name="asd 15 3 6 18" xfId="36361"/>
    <cellStyle name="asd 15 3 6 19" xfId="38240"/>
    <cellStyle name="asd 15 3 6 2" xfId="6931"/>
    <cellStyle name="asd 15 3 6 20" xfId="39566"/>
    <cellStyle name="asd 15 3 6 21" xfId="41240"/>
    <cellStyle name="asd 15 3 6 22" xfId="43401"/>
    <cellStyle name="asd 15 3 6 3" xfId="8385"/>
    <cellStyle name="asd 15 3 6 4" xfId="10295"/>
    <cellStyle name="asd 15 3 6 5" xfId="11444"/>
    <cellStyle name="asd 15 3 6 6" xfId="14113"/>
    <cellStyle name="asd 15 3 6 7" xfId="16016"/>
    <cellStyle name="asd 15 3 6 8" xfId="17914"/>
    <cellStyle name="asd 15 3 6 9" xfId="19820"/>
    <cellStyle name="asd 15 3 7" xfId="2392"/>
    <cellStyle name="asd 15 3 8" xfId="9196"/>
    <cellStyle name="asd 15 3 9" xfId="12003"/>
    <cellStyle name="asd 15 4" xfId="3375"/>
    <cellStyle name="asd 15 4 10" xfId="14886"/>
    <cellStyle name="asd 15 4 11" xfId="16688"/>
    <cellStyle name="asd 15 4 12" xfId="18595"/>
    <cellStyle name="asd 15 4 13" xfId="20507"/>
    <cellStyle name="asd 15 4 14" xfId="22514"/>
    <cellStyle name="asd 15 4 15" xfId="24309"/>
    <cellStyle name="asd 15 4 16" xfId="26527"/>
    <cellStyle name="asd 15 4 17" xfId="29396"/>
    <cellStyle name="asd 15 4 18" xfId="30133"/>
    <cellStyle name="asd 15 4 19" xfId="32386"/>
    <cellStyle name="asd 15 4 2" xfId="3555"/>
    <cellStyle name="asd 15 4 2 10" xfId="17446"/>
    <cellStyle name="asd 15 4 2 11" xfId="19352"/>
    <cellStyle name="asd 15 4 2 12" xfId="21264"/>
    <cellStyle name="asd 15 4 2 13" xfId="22586"/>
    <cellStyle name="asd 15 4 2 14" xfId="25066"/>
    <cellStyle name="asd 15 4 2 15" xfId="27399"/>
    <cellStyle name="asd 15 4 2 16" xfId="28430"/>
    <cellStyle name="asd 15 4 2 17" xfId="30985"/>
    <cellStyle name="asd 15 4 2 18" xfId="32665"/>
    <cellStyle name="asd 15 4 2 19" xfId="33594"/>
    <cellStyle name="asd 15 4 2 2" xfId="4356"/>
    <cellStyle name="asd 15 4 2 2 10" xfId="20537"/>
    <cellStyle name="asd 15 4 2 2 11" xfId="23984"/>
    <cellStyle name="asd 15 4 2 2 12" xfId="24339"/>
    <cellStyle name="asd 15 4 2 2 13" xfId="27200"/>
    <cellStyle name="asd 15 4 2 2 14" xfId="28041"/>
    <cellStyle name="asd 15 4 2 2 15" xfId="30791"/>
    <cellStyle name="asd 15 4 2 2 16" xfId="31760"/>
    <cellStyle name="asd 15 4 2 2 17" xfId="34742"/>
    <cellStyle name="asd 15 4 2 2 18" xfId="35167"/>
    <cellStyle name="asd 15 4 2 2 19" xfId="37045"/>
    <cellStyle name="asd 15 4 2 2 2" xfId="5448"/>
    <cellStyle name="asd 15 4 2 2 20" xfId="39000"/>
    <cellStyle name="asd 15 4 2 2 21" xfId="40683"/>
    <cellStyle name="asd 15 4 2 2 22" xfId="43728"/>
    <cellStyle name="asd 15 4 2 2 3" xfId="6214"/>
    <cellStyle name="asd 15 4 2 2 4" xfId="9099"/>
    <cellStyle name="asd 15 4 2 2 5" xfId="11943"/>
    <cellStyle name="asd 15 4 2 2 6" xfId="14454"/>
    <cellStyle name="asd 15 4 2 2 7" xfId="16360"/>
    <cellStyle name="asd 15 4 2 2 8" xfId="16718"/>
    <cellStyle name="asd 15 4 2 2 9" xfId="18625"/>
    <cellStyle name="asd 15 4 2 20" xfId="35893"/>
    <cellStyle name="asd 15 4 2 21" xfId="37772"/>
    <cellStyle name="asd 15 4 2 22" xfId="39872"/>
    <cellStyle name="asd 15 4 2 23" xfId="41541"/>
    <cellStyle name="asd 15 4 2 24" xfId="42395"/>
    <cellStyle name="asd 15 4 2 3" xfId="5016"/>
    <cellStyle name="asd 15 4 2 4" xfId="6466"/>
    <cellStyle name="asd 15 4 2 5" xfId="7917"/>
    <cellStyle name="asd 15 4 2 6" xfId="9827"/>
    <cellStyle name="asd 15 4 2 7" xfId="11805"/>
    <cellStyle name="asd 15 4 2 8" xfId="13054"/>
    <cellStyle name="asd 15 4 2 9" xfId="14958"/>
    <cellStyle name="asd 15 4 20" xfId="34331"/>
    <cellStyle name="asd 15 4 21" xfId="35137"/>
    <cellStyle name="asd 15 4 22" xfId="37015"/>
    <cellStyle name="asd 15 4 23" xfId="39604"/>
    <cellStyle name="asd 15 4 24" xfId="41278"/>
    <cellStyle name="asd 15 4 25" xfId="42324"/>
    <cellStyle name="asd 15 4 3" xfId="3120"/>
    <cellStyle name="asd 15 4 3 10" xfId="19160"/>
    <cellStyle name="asd 15 4 3 11" xfId="21072"/>
    <cellStyle name="asd 15 4 3 12" xfId="23733"/>
    <cellStyle name="asd 15 4 3 13" xfId="24874"/>
    <cellStyle name="asd 15 4 3 14" xfId="26691"/>
    <cellStyle name="asd 15 4 3 15" xfId="13188"/>
    <cellStyle name="asd 15 4 3 16" xfId="30291"/>
    <cellStyle name="asd 15 4 3 17" xfId="32932"/>
    <cellStyle name="asd 15 4 3 18" xfId="34269"/>
    <cellStyle name="asd 15 4 3 19" xfId="35701"/>
    <cellStyle name="asd 15 4 3 2" xfId="5683"/>
    <cellStyle name="asd 15 4 3 2 10" xfId="21933"/>
    <cellStyle name="asd 15 4 3 2 11" xfId="22973"/>
    <cellStyle name="asd 15 4 3 2 12" xfId="25735"/>
    <cellStyle name="asd 15 4 3 2 13" xfId="27472"/>
    <cellStyle name="asd 15 4 3 2 14" xfId="29368"/>
    <cellStyle name="asd 15 4 3 2 15" xfId="31059"/>
    <cellStyle name="asd 15 4 3 2 16" xfId="33155"/>
    <cellStyle name="asd 15 4 3 2 17" xfId="34455"/>
    <cellStyle name="asd 15 4 3 2 18" xfId="36562"/>
    <cellStyle name="asd 15 4 3 2 19" xfId="38441"/>
    <cellStyle name="asd 15 4 3 2 2" xfId="7132"/>
    <cellStyle name="asd 15 4 3 2 20" xfId="40348"/>
    <cellStyle name="asd 15 4 3 2 21" xfId="42004"/>
    <cellStyle name="asd 15 4 3 2 22" xfId="42759"/>
    <cellStyle name="asd 15 4 3 2 3" xfId="8586"/>
    <cellStyle name="asd 15 4 3 2 4" xfId="10496"/>
    <cellStyle name="asd 15 4 3 2 5" xfId="11319"/>
    <cellStyle name="asd 15 4 3 2 6" xfId="13442"/>
    <cellStyle name="asd 15 4 3 2 7" xfId="15347"/>
    <cellStyle name="asd 15 4 3 2 8" xfId="18115"/>
    <cellStyle name="asd 15 4 3 2 9" xfId="20021"/>
    <cellStyle name="asd 15 4 3 20" xfId="37580"/>
    <cellStyle name="asd 15 4 3 21" xfId="40136"/>
    <cellStyle name="asd 15 4 3 22" xfId="41795"/>
    <cellStyle name="asd 15 4 3 23" xfId="43487"/>
    <cellStyle name="asd 15 4 3 3" xfId="4824"/>
    <cellStyle name="asd 15 4 3 4" xfId="7725"/>
    <cellStyle name="asd 15 4 3 5" xfId="9635"/>
    <cellStyle name="asd 15 4 3 6" xfId="11465"/>
    <cellStyle name="asd 15 4 3 7" xfId="14203"/>
    <cellStyle name="asd 15 4 3 8" xfId="16107"/>
    <cellStyle name="asd 15 4 3 9" xfId="17254"/>
    <cellStyle name="asd 15 4 4" xfId="4007"/>
    <cellStyle name="asd 15 4 4 10" xfId="19642"/>
    <cellStyle name="asd 15 4 4 11" xfId="21554"/>
    <cellStyle name="asd 15 4 4 12" xfId="22636"/>
    <cellStyle name="asd 15 4 4 13" xfId="25356"/>
    <cellStyle name="asd 15 4 4 14" xfId="27038"/>
    <cellStyle name="asd 15 4 4 15" xfId="29003"/>
    <cellStyle name="asd 15 4 4 16" xfId="30631"/>
    <cellStyle name="asd 15 4 4 17" xfId="32340"/>
    <cellStyle name="asd 15 4 4 18" xfId="33896"/>
    <cellStyle name="asd 15 4 4 19" xfId="36183"/>
    <cellStyle name="asd 15 4 4 2" xfId="5912"/>
    <cellStyle name="asd 15 4 4 2 10" xfId="22162"/>
    <cellStyle name="asd 15 4 4 2 11" xfId="22992"/>
    <cellStyle name="asd 15 4 4 2 12" xfId="25964"/>
    <cellStyle name="asd 15 4 4 2 13" xfId="27203"/>
    <cellStyle name="asd 15 4 4 2 14" xfId="10894"/>
    <cellStyle name="asd 15 4 4 2 15" xfId="30794"/>
    <cellStyle name="asd 15 4 4 2 16" xfId="33287"/>
    <cellStyle name="asd 15 4 4 2 17" xfId="31589"/>
    <cellStyle name="asd 15 4 4 2 18" xfId="36791"/>
    <cellStyle name="asd 15 4 4 2 19" xfId="38670"/>
    <cellStyle name="asd 15 4 4 2 2" xfId="7361"/>
    <cellStyle name="asd 15 4 4 2 20" xfId="40471"/>
    <cellStyle name="asd 15 4 4 2 21" xfId="42126"/>
    <cellStyle name="asd 15 4 4 2 22" xfId="42778"/>
    <cellStyle name="asd 15 4 4 2 3" xfId="8815"/>
    <cellStyle name="asd 15 4 4 2 4" xfId="10725"/>
    <cellStyle name="asd 15 4 4 2 5" xfId="12238"/>
    <cellStyle name="asd 15 4 4 2 6" xfId="13461"/>
    <cellStyle name="asd 15 4 4 2 7" xfId="15366"/>
    <cellStyle name="asd 15 4 4 2 8" xfId="18344"/>
    <cellStyle name="asd 15 4 4 2 9" xfId="20250"/>
    <cellStyle name="asd 15 4 4 20" xfId="38062"/>
    <cellStyle name="asd 15 4 4 21" xfId="39559"/>
    <cellStyle name="asd 15 4 4 22" xfId="41233"/>
    <cellStyle name="asd 15 4 4 23" xfId="42442"/>
    <cellStyle name="asd 15 4 4 3" xfId="6753"/>
    <cellStyle name="asd 15 4 4 4" xfId="8207"/>
    <cellStyle name="asd 15 4 4 5" xfId="10117"/>
    <cellStyle name="asd 15 4 4 6" xfId="12282"/>
    <cellStyle name="asd 15 4 4 7" xfId="13103"/>
    <cellStyle name="asd 15 4 4 8" xfId="15008"/>
    <cellStyle name="asd 15 4 4 9" xfId="17736"/>
    <cellStyle name="asd 15 4 5" xfId="5495"/>
    <cellStyle name="asd 15 4 5 10" xfId="21745"/>
    <cellStyle name="asd 15 4 5 11" xfId="23031"/>
    <cellStyle name="asd 15 4 5 12" xfId="25547"/>
    <cellStyle name="asd 15 4 5 13" xfId="27329"/>
    <cellStyle name="asd 15 4 5 14" xfId="14710"/>
    <cellStyle name="asd 15 4 5 15" xfId="30918"/>
    <cellStyle name="asd 15 4 5 16" xfId="31946"/>
    <cellStyle name="asd 15 4 5 17" xfId="34743"/>
    <cellStyle name="asd 15 4 5 18" xfId="36374"/>
    <cellStyle name="asd 15 4 5 19" xfId="38253"/>
    <cellStyle name="asd 15 4 5 2" xfId="6944"/>
    <cellStyle name="asd 15 4 5 20" xfId="39176"/>
    <cellStyle name="asd 15 4 5 21" xfId="40857"/>
    <cellStyle name="asd 15 4 5 22" xfId="42814"/>
    <cellStyle name="asd 15 4 5 3" xfId="8398"/>
    <cellStyle name="asd 15 4 5 4" xfId="10308"/>
    <cellStyle name="asd 15 4 5 5" xfId="12625"/>
    <cellStyle name="asd 15 4 5 6" xfId="13501"/>
    <cellStyle name="asd 15 4 5 7" xfId="15405"/>
    <cellStyle name="asd 15 4 5 8" xfId="17927"/>
    <cellStyle name="asd 15 4 5 9" xfId="19833"/>
    <cellStyle name="asd 15 4 6" xfId="6122"/>
    <cellStyle name="asd 15 4 7" xfId="9069"/>
    <cellStyle name="asd 15 4 8" xfId="3287"/>
    <cellStyle name="asd 15 4 9" xfId="12982"/>
    <cellStyle name="asd 15 5" xfId="1824"/>
    <cellStyle name="asd 15 5 10" xfId="17067"/>
    <cellStyle name="asd 15 5 11" xfId="18973"/>
    <cellStyle name="asd 15 5 12" xfId="20885"/>
    <cellStyle name="asd 15 5 13" xfId="22754"/>
    <cellStyle name="asd 15 5 14" xfId="24687"/>
    <cellStyle name="asd 15 5 15" xfId="27769"/>
    <cellStyle name="asd 15 5 16" xfId="28984"/>
    <cellStyle name="asd 15 5 17" xfId="31347"/>
    <cellStyle name="asd 15 5 18" xfId="32133"/>
    <cellStyle name="asd 15 5 19" xfId="34086"/>
    <cellStyle name="asd 15 5 2" xfId="5463"/>
    <cellStyle name="asd 15 5 2 10" xfId="21713"/>
    <cellStyle name="asd 15 5 2 11" xfId="24091"/>
    <cellStyle name="asd 15 5 2 12" xfId="25515"/>
    <cellStyle name="asd 15 5 2 13" xfId="26649"/>
    <cellStyle name="asd 15 5 2 14" xfId="28600"/>
    <cellStyle name="asd 15 5 2 15" xfId="30251"/>
    <cellStyle name="asd 15 5 2 16" xfId="32912"/>
    <cellStyle name="asd 15 5 2 17" xfId="33470"/>
    <cellStyle name="asd 15 5 2 18" xfId="36342"/>
    <cellStyle name="asd 15 5 2 19" xfId="38221"/>
    <cellStyle name="asd 15 5 2 2" xfId="6912"/>
    <cellStyle name="asd 15 5 2 20" xfId="40116"/>
    <cellStyle name="asd 15 5 2 21" xfId="41776"/>
    <cellStyle name="asd 15 5 2 22" xfId="43834"/>
    <cellStyle name="asd 15 5 2 3" xfId="8366"/>
    <cellStyle name="asd 15 5 2 4" xfId="10276"/>
    <cellStyle name="asd 15 5 2 5" xfId="12050"/>
    <cellStyle name="asd 15 5 2 6" xfId="14561"/>
    <cellStyle name="asd 15 5 2 7" xfId="16467"/>
    <cellStyle name="asd 15 5 2 8" xfId="17895"/>
    <cellStyle name="asd 15 5 2 9" xfId="19801"/>
    <cellStyle name="asd 15 5 20" xfId="35514"/>
    <cellStyle name="asd 15 5 21" xfId="37393"/>
    <cellStyle name="asd 15 5 22" xfId="39356"/>
    <cellStyle name="asd 15 5 23" xfId="41032"/>
    <cellStyle name="asd 15 5 24" xfId="42551"/>
    <cellStyle name="asd 15 5 3" xfId="4641"/>
    <cellStyle name="asd 15 5 4" xfId="6088"/>
    <cellStyle name="asd 15 5 5" xfId="7538"/>
    <cellStyle name="asd 15 5 6" xfId="9448"/>
    <cellStyle name="asd 15 5 7" xfId="12177"/>
    <cellStyle name="asd 15 5 8" xfId="13223"/>
    <cellStyle name="asd 15 5 9" xfId="15126"/>
    <cellStyle name="asd 15 6" xfId="3023"/>
    <cellStyle name="asd 15 6 10" xfId="19141"/>
    <cellStyle name="asd 15 6 11" xfId="21053"/>
    <cellStyle name="asd 15 6 12" xfId="24200"/>
    <cellStyle name="asd 15 6 13" xfId="24855"/>
    <cellStyle name="asd 15 6 14" xfId="2461"/>
    <cellStyle name="asd 15 6 15" xfId="28899"/>
    <cellStyle name="asd 15 6 16" xfId="29546"/>
    <cellStyle name="asd 15 6 17" xfId="28708"/>
    <cellStyle name="asd 15 6 18" xfId="33533"/>
    <cellStyle name="asd 15 6 19" xfId="35682"/>
    <cellStyle name="asd 15 6 2" xfId="5731"/>
    <cellStyle name="asd 15 6 2 10" xfId="21981"/>
    <cellStyle name="asd 15 6 2 11" xfId="22478"/>
    <cellStyle name="asd 15 6 2 12" xfId="25783"/>
    <cellStyle name="asd 15 6 2 13" xfId="27173"/>
    <cellStyle name="asd 15 6 2 14" xfId="29235"/>
    <cellStyle name="asd 15 6 2 15" xfId="30765"/>
    <cellStyle name="asd 15 6 2 16" xfId="31654"/>
    <cellStyle name="asd 15 6 2 17" xfId="33971"/>
    <cellStyle name="asd 15 6 2 18" xfId="36610"/>
    <cellStyle name="asd 15 6 2 19" xfId="38489"/>
    <cellStyle name="asd 15 6 2 2" xfId="7180"/>
    <cellStyle name="asd 15 6 2 20" xfId="38899"/>
    <cellStyle name="asd 15 6 2 21" xfId="40584"/>
    <cellStyle name="asd 15 6 2 22" xfId="42288"/>
    <cellStyle name="asd 15 6 2 3" xfId="8634"/>
    <cellStyle name="asd 15 6 2 4" xfId="10544"/>
    <cellStyle name="asd 15 6 2 5" xfId="11794"/>
    <cellStyle name="asd 15 6 2 6" xfId="12946"/>
    <cellStyle name="asd 15 6 2 7" xfId="14850"/>
    <cellStyle name="asd 15 6 2 8" xfId="18163"/>
    <cellStyle name="asd 15 6 2 9" xfId="20069"/>
    <cellStyle name="asd 15 6 20" xfId="37561"/>
    <cellStyle name="asd 15 6 21" xfId="28867"/>
    <cellStyle name="asd 15 6 22" xfId="2875"/>
    <cellStyle name="asd 15 6 23" xfId="43938"/>
    <cellStyle name="asd 15 6 3" xfId="4805"/>
    <cellStyle name="asd 15 6 4" xfId="7706"/>
    <cellStyle name="asd 15 6 5" xfId="9616"/>
    <cellStyle name="asd 15 6 6" xfId="12160"/>
    <cellStyle name="asd 15 6 7" xfId="14672"/>
    <cellStyle name="asd 15 6 8" xfId="16578"/>
    <cellStyle name="asd 15 6 9" xfId="17235"/>
    <cellStyle name="asd 15 7" xfId="2767"/>
    <cellStyle name="asd 15 7 10" xfId="19107"/>
    <cellStyle name="asd 15 7 11" xfId="21019"/>
    <cellStyle name="asd 15 7 12" xfId="23134"/>
    <cellStyle name="asd 15 7 13" xfId="24821"/>
    <cellStyle name="asd 15 7 14" xfId="26333"/>
    <cellStyle name="asd 15 7 15" xfId="28078"/>
    <cellStyle name="asd 15 7 16" xfId="29941"/>
    <cellStyle name="asd 15 7 17" xfId="31898"/>
    <cellStyle name="asd 15 7 18" xfId="34883"/>
    <cellStyle name="asd 15 7 19" xfId="35648"/>
    <cellStyle name="asd 15 7 2" xfId="5609"/>
    <cellStyle name="asd 15 7 2 10" xfId="21859"/>
    <cellStyle name="asd 15 7 2 11" xfId="23186"/>
    <cellStyle name="asd 15 7 2 12" xfId="25661"/>
    <cellStyle name="asd 15 7 2 13" xfId="27351"/>
    <cellStyle name="asd 15 7 2 14" xfId="29538"/>
    <cellStyle name="asd 15 7 2 15" xfId="30940"/>
    <cellStyle name="asd 15 7 2 16" xfId="32210"/>
    <cellStyle name="asd 15 7 2 17" xfId="34870"/>
    <cellStyle name="asd 15 7 2 18" xfId="36488"/>
    <cellStyle name="asd 15 7 2 19" xfId="38367"/>
    <cellStyle name="asd 15 7 2 2" xfId="7058"/>
    <cellStyle name="asd 15 7 2 20" xfId="39430"/>
    <cellStyle name="asd 15 7 2 21" xfId="41106"/>
    <cellStyle name="asd 15 7 2 22" xfId="42964"/>
    <cellStyle name="asd 15 7 2 3" xfId="8512"/>
    <cellStyle name="asd 15 7 2 4" xfId="10422"/>
    <cellStyle name="asd 15 7 2 5" xfId="11023"/>
    <cellStyle name="asd 15 7 2 6" xfId="13657"/>
    <cellStyle name="asd 15 7 2 7" xfId="15560"/>
    <cellStyle name="asd 15 7 2 8" xfId="18041"/>
    <cellStyle name="asd 15 7 2 9" xfId="19947"/>
    <cellStyle name="asd 15 7 20" xfId="37527"/>
    <cellStyle name="asd 15 7 21" xfId="39131"/>
    <cellStyle name="asd 15 7 22" xfId="40812"/>
    <cellStyle name="asd 15 7 23" xfId="42912"/>
    <cellStyle name="asd 15 7 3" xfId="6221"/>
    <cellStyle name="asd 15 7 4" xfId="7672"/>
    <cellStyle name="asd 15 7 5" xfId="9582"/>
    <cellStyle name="asd 15 7 6" xfId="12758"/>
    <cellStyle name="asd 15 7 7" xfId="13605"/>
    <cellStyle name="asd 15 7 8" xfId="15508"/>
    <cellStyle name="asd 15 7 9" xfId="17201"/>
    <cellStyle name="asd 15 8" xfId="4168"/>
    <cellStyle name="asd 15 9" xfId="3915"/>
    <cellStyle name="asd 16" xfId="793"/>
    <cellStyle name="asd 16 10" xfId="3226"/>
    <cellStyle name="asd 16 11" xfId="3223"/>
    <cellStyle name="asd 16 12" xfId="2040"/>
    <cellStyle name="asd 16 13" xfId="14661"/>
    <cellStyle name="asd 16 14" xfId="2774"/>
    <cellStyle name="asd 16 15" xfId="2239"/>
    <cellStyle name="asd 16 16" xfId="2373"/>
    <cellStyle name="asd 16 17" xfId="2360"/>
    <cellStyle name="asd 16 18" xfId="12484"/>
    <cellStyle name="asd 16 19" xfId="5288"/>
    <cellStyle name="asd 16 2" xfId="3484"/>
    <cellStyle name="asd 16 2 10" xfId="13674"/>
    <cellStyle name="asd 16 2 11" xfId="15576"/>
    <cellStyle name="asd 16 2 12" xfId="16919"/>
    <cellStyle name="asd 16 2 13" xfId="18826"/>
    <cellStyle name="asd 16 2 14" xfId="20738"/>
    <cellStyle name="asd 16 2 15" xfId="23202"/>
    <cellStyle name="asd 16 2 16" xfId="24540"/>
    <cellStyle name="asd 16 2 17" xfId="26615"/>
    <cellStyle name="asd 16 2 18" xfId="28438"/>
    <cellStyle name="asd 16 2 19" xfId="30218"/>
    <cellStyle name="asd 16 2 2" xfId="3664"/>
    <cellStyle name="asd 16 2 2 10" xfId="17555"/>
    <cellStyle name="asd 16 2 2 11" xfId="19461"/>
    <cellStyle name="asd 16 2 2 12" xfId="21373"/>
    <cellStyle name="asd 16 2 2 13" xfId="23864"/>
    <cellStyle name="asd 16 2 2 14" xfId="25175"/>
    <cellStyle name="asd 16 2 2 15" xfId="27540"/>
    <cellStyle name="asd 16 2 2 16" xfId="1822"/>
    <cellStyle name="asd 16 2 2 17" xfId="31121"/>
    <cellStyle name="asd 16 2 2 18" xfId="31726"/>
    <cellStyle name="asd 16 2 2 19" xfId="33760"/>
    <cellStyle name="asd 16 2 2 2" xfId="4472"/>
    <cellStyle name="asd 16 2 2 2 10" xfId="20717"/>
    <cellStyle name="asd 16 2 2 2 11" xfId="23941"/>
    <cellStyle name="asd 16 2 2 2 12" xfId="24519"/>
    <cellStyle name="asd 16 2 2 2 13" xfId="27522"/>
    <cellStyle name="asd 16 2 2 2 14" xfId="29678"/>
    <cellStyle name="asd 16 2 2 2 15" xfId="31105"/>
    <cellStyle name="asd 16 2 2 2 16" xfId="33063"/>
    <cellStyle name="asd 16 2 2 2 17" xfId="34931"/>
    <cellStyle name="asd 16 2 2 2 18" xfId="35347"/>
    <cellStyle name="asd 16 2 2 2 19" xfId="37225"/>
    <cellStyle name="asd 16 2 2 2 2" xfId="2877"/>
    <cellStyle name="asd 16 2 2 2 20" xfId="40259"/>
    <cellStyle name="asd 16 2 2 2 21" xfId="41917"/>
    <cellStyle name="asd 16 2 2 2 22" xfId="43687"/>
    <cellStyle name="asd 16 2 2 2 3" xfId="2802"/>
    <cellStyle name="asd 16 2 2 2 4" xfId="9279"/>
    <cellStyle name="asd 16 2 2 2 5" xfId="11901"/>
    <cellStyle name="asd 16 2 2 2 6" xfId="14411"/>
    <cellStyle name="asd 16 2 2 2 7" xfId="16317"/>
    <cellStyle name="asd 16 2 2 2 8" xfId="16898"/>
    <cellStyle name="asd 16 2 2 2 9" xfId="18805"/>
    <cellStyle name="asd 16 2 2 20" xfId="36002"/>
    <cellStyle name="asd 16 2 2 21" xfId="37881"/>
    <cellStyle name="asd 16 2 2 22" xfId="38967"/>
    <cellStyle name="asd 16 2 2 23" xfId="40650"/>
    <cellStyle name="asd 16 2 2 24" xfId="43614"/>
    <cellStyle name="asd 16 2 2 3" xfId="5125"/>
    <cellStyle name="asd 16 2 2 4" xfId="6575"/>
    <cellStyle name="asd 16 2 2 5" xfId="8026"/>
    <cellStyle name="asd 16 2 2 6" xfId="9936"/>
    <cellStyle name="asd 16 2 2 7" xfId="12645"/>
    <cellStyle name="asd 16 2 2 8" xfId="14334"/>
    <cellStyle name="asd 16 2 2 9" xfId="16238"/>
    <cellStyle name="asd 16 2 20" xfId="32117"/>
    <cellStyle name="asd 16 2 21" xfId="33699"/>
    <cellStyle name="asd 16 2 22" xfId="35368"/>
    <cellStyle name="asd 16 2 23" xfId="37246"/>
    <cellStyle name="asd 16 2 24" xfId="39341"/>
    <cellStyle name="asd 16 2 25" xfId="41017"/>
    <cellStyle name="asd 16 2 26" xfId="42980"/>
    <cellStyle name="asd 16 2 3" xfId="3893"/>
    <cellStyle name="asd 16 2 3 10" xfId="19600"/>
    <cellStyle name="asd 16 2 3 11" xfId="21512"/>
    <cellStyle name="asd 16 2 3 12" xfId="22534"/>
    <cellStyle name="asd 16 2 3 13" xfId="25314"/>
    <cellStyle name="asd 16 2 3 14" xfId="27632"/>
    <cellStyle name="asd 16 2 3 15" xfId="29724"/>
    <cellStyle name="asd 16 2 3 16" xfId="31209"/>
    <cellStyle name="asd 16 2 3 17" xfId="31934"/>
    <cellStyle name="asd 16 2 3 18" xfId="34762"/>
    <cellStyle name="asd 16 2 3 19" xfId="36141"/>
    <cellStyle name="asd 16 2 3 2" xfId="5870"/>
    <cellStyle name="asd 16 2 3 2 10" xfId="22120"/>
    <cellStyle name="asd 16 2 3 2 11" xfId="23962"/>
    <cellStyle name="asd 16 2 3 2 12" xfId="25922"/>
    <cellStyle name="asd 16 2 3 2 13" xfId="26512"/>
    <cellStyle name="asd 16 2 3 2 14" xfId="28204"/>
    <cellStyle name="asd 16 2 3 2 15" xfId="30117"/>
    <cellStyle name="asd 16 2 3 2 16" xfId="32078"/>
    <cellStyle name="asd 16 2 3 2 17" xfId="33988"/>
    <cellStyle name="asd 16 2 3 2 18" xfId="36749"/>
    <cellStyle name="asd 16 2 3 2 19" xfId="38628"/>
    <cellStyle name="asd 16 2 3 2 2" xfId="7319"/>
    <cellStyle name="asd 16 2 3 2 20" xfId="39302"/>
    <cellStyle name="asd 16 2 3 2 21" xfId="40978"/>
    <cellStyle name="asd 16 2 3 2 22" xfId="43708"/>
    <cellStyle name="asd 16 2 3 2 3" xfId="8773"/>
    <cellStyle name="asd 16 2 3 2 4" xfId="10683"/>
    <cellStyle name="asd 16 2 3 2 5" xfId="11922"/>
    <cellStyle name="asd 16 2 3 2 6" xfId="14432"/>
    <cellStyle name="asd 16 2 3 2 7" xfId="16338"/>
    <cellStyle name="asd 16 2 3 2 8" xfId="18302"/>
    <cellStyle name="asd 16 2 3 2 9" xfId="20208"/>
    <cellStyle name="asd 16 2 3 20" xfId="38020"/>
    <cellStyle name="asd 16 2 3 21" xfId="39164"/>
    <cellStyle name="asd 16 2 3 22" xfId="40845"/>
    <cellStyle name="asd 16 2 3 23" xfId="42343"/>
    <cellStyle name="asd 16 2 3 3" xfId="5264"/>
    <cellStyle name="asd 16 2 3 4" xfId="8165"/>
    <cellStyle name="asd 16 2 3 5" xfId="10075"/>
    <cellStyle name="asd 16 2 3 6" xfId="12354"/>
    <cellStyle name="asd 16 2 3 7" xfId="13002"/>
    <cellStyle name="asd 16 2 3 8" xfId="14906"/>
    <cellStyle name="asd 16 2 3 9" xfId="17694"/>
    <cellStyle name="asd 16 2 4" xfId="4116"/>
    <cellStyle name="asd 16 2 4 10" xfId="19751"/>
    <cellStyle name="asd 16 2 4 11" xfId="21663"/>
    <cellStyle name="asd 16 2 4 12" xfId="1954"/>
    <cellStyle name="asd 16 2 4 13" xfId="25465"/>
    <cellStyle name="asd 16 2 4 14" xfId="3147"/>
    <cellStyle name="asd 16 2 4 15" xfId="4362"/>
    <cellStyle name="asd 16 2 4 16" xfId="27993"/>
    <cellStyle name="asd 16 2 4 17" xfId="18522"/>
    <cellStyle name="asd 16 2 4 18" xfId="32038"/>
    <cellStyle name="asd 16 2 4 19" xfId="36292"/>
    <cellStyle name="asd 16 2 4 2" xfId="6021"/>
    <cellStyle name="asd 16 2 4 2 10" xfId="22271"/>
    <cellStyle name="asd 16 2 4 2 11" xfId="22519"/>
    <cellStyle name="asd 16 2 4 2 12" xfId="26073"/>
    <cellStyle name="asd 16 2 4 2 13" xfId="26695"/>
    <cellStyle name="asd 16 2 4 2 14" xfId="29494"/>
    <cellStyle name="asd 16 2 4 2 15" xfId="30295"/>
    <cellStyle name="asd 16 2 4 2 16" xfId="32830"/>
    <cellStyle name="asd 16 2 4 2 17" xfId="34934"/>
    <cellStyle name="asd 16 2 4 2 18" xfId="36900"/>
    <cellStyle name="asd 16 2 4 2 19" xfId="38779"/>
    <cellStyle name="asd 16 2 4 2 2" xfId="7470"/>
    <cellStyle name="asd 16 2 4 2 20" xfId="40039"/>
    <cellStyle name="asd 16 2 4 2 21" xfId="41703"/>
    <cellStyle name="asd 16 2 4 2 22" xfId="42329"/>
    <cellStyle name="asd 16 2 4 2 3" xfId="8924"/>
    <cellStyle name="asd 16 2 4 2 4" xfId="10834"/>
    <cellStyle name="asd 16 2 4 2 5" xfId="12361"/>
    <cellStyle name="asd 16 2 4 2 6" xfId="12987"/>
    <cellStyle name="asd 16 2 4 2 7" xfId="14891"/>
    <cellStyle name="asd 16 2 4 2 8" xfId="18453"/>
    <cellStyle name="asd 16 2 4 2 9" xfId="20359"/>
    <cellStyle name="asd 16 2 4 20" xfId="38171"/>
    <cellStyle name="asd 16 2 4 21" xfId="33572"/>
    <cellStyle name="asd 16 2 4 22" xfId="31558"/>
    <cellStyle name="asd 16 2 4 23" xfId="3710"/>
    <cellStyle name="asd 16 2 4 3" xfId="6862"/>
    <cellStyle name="asd 16 2 4 4" xfId="8316"/>
    <cellStyle name="asd 16 2 4 5" xfId="10226"/>
    <cellStyle name="asd 16 2 4 6" xfId="10988"/>
    <cellStyle name="asd 16 2 4 7" xfId="2760"/>
    <cellStyle name="asd 16 2 4 8" xfId="4558"/>
    <cellStyle name="asd 16 2 4 9" xfId="17845"/>
    <cellStyle name="asd 16 2 5" xfId="4965"/>
    <cellStyle name="asd 16 2 5 10" xfId="21213"/>
    <cellStyle name="asd 16 2 5 11" xfId="23735"/>
    <cellStyle name="asd 16 2 5 12" xfId="25015"/>
    <cellStyle name="asd 16 2 5 13" xfId="27975"/>
    <cellStyle name="asd 16 2 5 14" xfId="28682"/>
    <cellStyle name="asd 16 2 5 15" xfId="31555"/>
    <cellStyle name="asd 16 2 5 16" xfId="31466"/>
    <cellStyle name="asd 16 2 5 17" xfId="31576"/>
    <cellStyle name="asd 16 2 5 18" xfId="35842"/>
    <cellStyle name="asd 16 2 5 19" xfId="37721"/>
    <cellStyle name="asd 16 2 5 2" xfId="6415"/>
    <cellStyle name="asd 16 2 5 20" xfId="28731"/>
    <cellStyle name="asd 16 2 5 21" xfId="38972"/>
    <cellStyle name="asd 16 2 5 22" xfId="43488"/>
    <cellStyle name="asd 16 2 5 3" xfId="7866"/>
    <cellStyle name="asd 16 2 5 4" xfId="9776"/>
    <cellStyle name="asd 16 2 5 5" xfId="11717"/>
    <cellStyle name="asd 16 2 5 6" xfId="14205"/>
    <cellStyle name="asd 16 2 5 7" xfId="16109"/>
    <cellStyle name="asd 16 2 5 8" xfId="17395"/>
    <cellStyle name="asd 16 2 5 9" xfId="19301"/>
    <cellStyle name="asd 16 2 6" xfId="5553"/>
    <cellStyle name="asd 16 2 6 10" xfId="21803"/>
    <cellStyle name="asd 16 2 6 11" xfId="24100"/>
    <cellStyle name="asd 16 2 6 12" xfId="25605"/>
    <cellStyle name="asd 16 2 6 13" xfId="27061"/>
    <cellStyle name="asd 16 2 6 14" xfId="2891"/>
    <cellStyle name="asd 16 2 6 15" xfId="30652"/>
    <cellStyle name="asd 16 2 6 16" xfId="26114"/>
    <cellStyle name="asd 16 2 6 17" xfId="32216"/>
    <cellStyle name="asd 16 2 6 18" xfId="36432"/>
    <cellStyle name="asd 16 2 6 19" xfId="38311"/>
    <cellStyle name="asd 16 2 6 2" xfId="7002"/>
    <cellStyle name="asd 16 2 6 20" xfId="33336"/>
    <cellStyle name="asd 16 2 6 21" xfId="16594"/>
    <cellStyle name="asd 16 2 6 22" xfId="43843"/>
    <cellStyle name="asd 16 2 6 3" xfId="8456"/>
    <cellStyle name="asd 16 2 6 4" xfId="10366"/>
    <cellStyle name="asd 16 2 6 5" xfId="12059"/>
    <cellStyle name="asd 16 2 6 6" xfId="14570"/>
    <cellStyle name="asd 16 2 6 7" xfId="16476"/>
    <cellStyle name="asd 16 2 6 8" xfId="17985"/>
    <cellStyle name="asd 16 2 6 9" xfId="19891"/>
    <cellStyle name="asd 16 2 7" xfId="2714"/>
    <cellStyle name="asd 16 2 8" xfId="9300"/>
    <cellStyle name="asd 16 2 9" xfId="11070"/>
    <cellStyle name="asd 16 20" xfId="22614"/>
    <cellStyle name="asd 16 21" xfId="29729"/>
    <cellStyle name="asd 16 22" xfId="3070"/>
    <cellStyle name="asd 16 23" xfId="29225"/>
    <cellStyle name="asd 16 24" xfId="2469"/>
    <cellStyle name="asd 16 25" xfId="23797"/>
    <cellStyle name="asd 16 26" xfId="29730"/>
    <cellStyle name="asd 16 27" xfId="38905"/>
    <cellStyle name="asd 16 3" xfId="3374"/>
    <cellStyle name="asd 16 3 10" xfId="13679"/>
    <cellStyle name="asd 16 3 11" xfId="15581"/>
    <cellStyle name="asd 16 3 12" xfId="16687"/>
    <cellStyle name="asd 16 3 13" xfId="18594"/>
    <cellStyle name="asd 16 3 14" xfId="20506"/>
    <cellStyle name="asd 16 3 15" xfId="23207"/>
    <cellStyle name="asd 16 3 16" xfId="24308"/>
    <cellStyle name="asd 16 3 17" xfId="27651"/>
    <cellStyle name="asd 16 3 18" xfId="13566"/>
    <cellStyle name="asd 16 3 19" xfId="31228"/>
    <cellStyle name="asd 16 3 2" xfId="3554"/>
    <cellStyle name="asd 16 3 2 10" xfId="17445"/>
    <cellStyle name="asd 16 3 2 11" xfId="19351"/>
    <cellStyle name="asd 16 3 2 12" xfId="21263"/>
    <cellStyle name="asd 16 3 2 13" xfId="23339"/>
    <cellStyle name="asd 16 3 2 14" xfId="25065"/>
    <cellStyle name="asd 16 3 2 15" xfId="26362"/>
    <cellStyle name="asd 16 3 2 16" xfId="28574"/>
    <cellStyle name="asd 16 3 2 17" xfId="29970"/>
    <cellStyle name="asd 16 3 2 18" xfId="33274"/>
    <cellStyle name="asd 16 3 2 19" xfId="33936"/>
    <cellStyle name="asd 16 3 2 2" xfId="4550"/>
    <cellStyle name="asd 16 3 2 2 10" xfId="20795"/>
    <cellStyle name="asd 16 3 2 2 11" xfId="23248"/>
    <cellStyle name="asd 16 3 2 2 12" xfId="24597"/>
    <cellStyle name="asd 16 3 2 2 13" xfId="27455"/>
    <cellStyle name="asd 16 3 2 2 14" xfId="28958"/>
    <cellStyle name="asd 16 3 2 2 15" xfId="31042"/>
    <cellStyle name="asd 16 3 2 2 16" xfId="32635"/>
    <cellStyle name="asd 16 3 2 2 17" xfId="34622"/>
    <cellStyle name="asd 16 3 2 2 18" xfId="35425"/>
    <cellStyle name="asd 16 3 2 2 19" xfId="37303"/>
    <cellStyle name="asd 16 3 2 2 2" xfId="5382"/>
    <cellStyle name="asd 16 3 2 2 20" xfId="39842"/>
    <cellStyle name="asd 16 3 2 2 21" xfId="41511"/>
    <cellStyle name="asd 16 3 2 2 22" xfId="43025"/>
    <cellStyle name="asd 16 3 2 2 3" xfId="6658"/>
    <cellStyle name="asd 16 3 2 2 4" xfId="9357"/>
    <cellStyle name="asd 16 3 2 2 5" xfId="11158"/>
    <cellStyle name="asd 16 3 2 2 6" xfId="13720"/>
    <cellStyle name="asd 16 3 2 2 7" xfId="15622"/>
    <cellStyle name="asd 16 3 2 2 8" xfId="16976"/>
    <cellStyle name="asd 16 3 2 2 9" xfId="18883"/>
    <cellStyle name="asd 16 3 2 20" xfId="35892"/>
    <cellStyle name="asd 16 3 2 21" xfId="37771"/>
    <cellStyle name="asd 16 3 2 22" xfId="40460"/>
    <cellStyle name="asd 16 3 2 23" xfId="42115"/>
    <cellStyle name="asd 16 3 2 24" xfId="43109"/>
    <cellStyle name="asd 16 3 2 3" xfId="5015"/>
    <cellStyle name="asd 16 3 2 4" xfId="6465"/>
    <cellStyle name="asd 16 3 2 5" xfId="7916"/>
    <cellStyle name="asd 16 3 2 6" xfId="9826"/>
    <cellStyle name="asd 16 3 2 7" xfId="11149"/>
    <cellStyle name="asd 16 3 2 8" xfId="13811"/>
    <cellStyle name="asd 16 3 2 9" xfId="15713"/>
    <cellStyle name="asd 16 3 20" xfId="32696"/>
    <cellStyle name="asd 16 3 21" xfId="34087"/>
    <cellStyle name="asd 16 3 22" xfId="35136"/>
    <cellStyle name="asd 16 3 23" xfId="37014"/>
    <cellStyle name="asd 16 3 24" xfId="39904"/>
    <cellStyle name="asd 16 3 25" xfId="41573"/>
    <cellStyle name="asd 16 3 26" xfId="42985"/>
    <cellStyle name="asd 16 3 3" xfId="3837"/>
    <cellStyle name="asd 16 3 3 10" xfId="19562"/>
    <cellStyle name="asd 16 3 3 11" xfId="21474"/>
    <cellStyle name="asd 16 3 3 12" xfId="23434"/>
    <cellStyle name="asd 16 3 3 13" xfId="25276"/>
    <cellStyle name="asd 16 3 3 14" xfId="27531"/>
    <cellStyle name="asd 16 3 3 15" xfId="29617"/>
    <cellStyle name="asd 16 3 3 16" xfId="31113"/>
    <cellStyle name="asd 16 3 3 17" xfId="33004"/>
    <cellStyle name="asd 16 3 3 18" xfId="33686"/>
    <cellStyle name="asd 16 3 3 19" xfId="36103"/>
    <cellStyle name="asd 16 3 3 2" xfId="5832"/>
    <cellStyle name="asd 16 3 3 2 10" xfId="22082"/>
    <cellStyle name="asd 16 3 3 2 11" xfId="22414"/>
    <cellStyle name="asd 16 3 3 2 12" xfId="25884"/>
    <cellStyle name="asd 16 3 3 2 13" xfId="27002"/>
    <cellStyle name="asd 16 3 3 2 14" xfId="2985"/>
    <cellStyle name="asd 16 3 3 2 15" xfId="30596"/>
    <cellStyle name="asd 16 3 3 2 16" xfId="33016"/>
    <cellStyle name="asd 16 3 3 2 17" xfId="34448"/>
    <cellStyle name="asd 16 3 3 2 18" xfId="36711"/>
    <cellStyle name="asd 16 3 3 2 19" xfId="38590"/>
    <cellStyle name="asd 16 3 3 2 2" xfId="7281"/>
    <cellStyle name="asd 16 3 3 2 20" xfId="40216"/>
    <cellStyle name="asd 16 3 3 2 21" xfId="41875"/>
    <cellStyle name="asd 16 3 3 2 22" xfId="42225"/>
    <cellStyle name="asd 16 3 3 2 3" xfId="8735"/>
    <cellStyle name="asd 16 3 3 2 4" xfId="10645"/>
    <cellStyle name="asd 16 3 3 2 5" xfId="12264"/>
    <cellStyle name="asd 16 3 3 2 6" xfId="12881"/>
    <cellStyle name="asd 16 3 3 2 7" xfId="14786"/>
    <cellStyle name="asd 16 3 3 2 8" xfId="18264"/>
    <cellStyle name="asd 16 3 3 2 9" xfId="20170"/>
    <cellStyle name="asd 16 3 3 20" xfId="37982"/>
    <cellStyle name="asd 16 3 3 21" xfId="40204"/>
    <cellStyle name="asd 16 3 3 22" xfId="41863"/>
    <cellStyle name="asd 16 3 3 23" xfId="43201"/>
    <cellStyle name="asd 16 3 3 3" xfId="5226"/>
    <cellStyle name="asd 16 3 3 4" xfId="8127"/>
    <cellStyle name="asd 16 3 3 5" xfId="10037"/>
    <cellStyle name="asd 16 3 3 6" xfId="12250"/>
    <cellStyle name="asd 16 3 3 7" xfId="13906"/>
    <cellStyle name="asd 16 3 3 8" xfId="15807"/>
    <cellStyle name="asd 16 3 3 9" xfId="17656"/>
    <cellStyle name="asd 16 3 4" xfId="4006"/>
    <cellStyle name="asd 16 3 4 10" xfId="19641"/>
    <cellStyle name="asd 16 3 4 11" xfId="21553"/>
    <cellStyle name="asd 16 3 4 12" xfId="23264"/>
    <cellStyle name="asd 16 3 4 13" xfId="25355"/>
    <cellStyle name="asd 16 3 4 14" xfId="27097"/>
    <cellStyle name="asd 16 3 4 15" xfId="28910"/>
    <cellStyle name="asd 16 3 4 16" xfId="30688"/>
    <cellStyle name="asd 16 3 4 17" xfId="32193"/>
    <cellStyle name="asd 16 3 4 18" xfId="34356"/>
    <cellStyle name="asd 16 3 4 19" xfId="36182"/>
    <cellStyle name="asd 16 3 4 2" xfId="5911"/>
    <cellStyle name="asd 16 3 4 2 10" xfId="22161"/>
    <cellStyle name="asd 16 3 4 2 11" xfId="23838"/>
    <cellStyle name="asd 16 3 4 2 12" xfId="25963"/>
    <cellStyle name="asd 16 3 4 2 13" xfId="26511"/>
    <cellStyle name="asd 16 3 4 2 14" xfId="28100"/>
    <cellStyle name="asd 16 3 4 2 15" xfId="30116"/>
    <cellStyle name="asd 16 3 4 2 16" xfId="32928"/>
    <cellStyle name="asd 16 3 4 2 17" xfId="33742"/>
    <cellStyle name="asd 16 3 4 2 18" xfId="36790"/>
    <cellStyle name="asd 16 3 4 2 19" xfId="38669"/>
    <cellStyle name="asd 16 3 4 2 2" xfId="7360"/>
    <cellStyle name="asd 16 3 4 2 20" xfId="40132"/>
    <cellStyle name="asd 16 3 4 2 21" xfId="41791"/>
    <cellStyle name="asd 16 3 4 2 22" xfId="43589"/>
    <cellStyle name="asd 16 3 4 2 3" xfId="8814"/>
    <cellStyle name="asd 16 3 4 2 4" xfId="10724"/>
    <cellStyle name="asd 16 3 4 2 5" xfId="11557"/>
    <cellStyle name="asd 16 3 4 2 6" xfId="14308"/>
    <cellStyle name="asd 16 3 4 2 7" xfId="16212"/>
    <cellStyle name="asd 16 3 4 2 8" xfId="18343"/>
    <cellStyle name="asd 16 3 4 2 9" xfId="20249"/>
    <cellStyle name="asd 16 3 4 20" xfId="38061"/>
    <cellStyle name="asd 16 3 4 21" xfId="39415"/>
    <cellStyle name="asd 16 3 4 22" xfId="41091"/>
    <cellStyle name="asd 16 3 4 23" xfId="43040"/>
    <cellStyle name="asd 16 3 4 3" xfId="6752"/>
    <cellStyle name="asd 16 3 4 4" xfId="8206"/>
    <cellStyle name="asd 16 3 4 5" xfId="10116"/>
    <cellStyle name="asd 16 3 4 6" xfId="11199"/>
    <cellStyle name="asd 16 3 4 7" xfId="13736"/>
    <cellStyle name="asd 16 3 4 8" xfId="15638"/>
    <cellStyle name="asd 16 3 4 9" xfId="17735"/>
    <cellStyle name="asd 16 3 5" xfId="4879"/>
    <cellStyle name="asd 16 3 5 10" xfId="21127"/>
    <cellStyle name="asd 16 3 5 11" xfId="23097"/>
    <cellStyle name="asd 16 3 5 12" xfId="24929"/>
    <cellStyle name="asd 16 3 5 13" xfId="27798"/>
    <cellStyle name="asd 16 3 5 14" xfId="28734"/>
    <cellStyle name="asd 16 3 5 15" xfId="31375"/>
    <cellStyle name="asd 16 3 5 16" xfId="31796"/>
    <cellStyle name="asd 16 3 5 17" xfId="34198"/>
    <cellStyle name="asd 16 3 5 18" xfId="35756"/>
    <cellStyle name="asd 16 3 5 19" xfId="37635"/>
    <cellStyle name="asd 16 3 5 2" xfId="6329"/>
    <cellStyle name="asd 16 3 5 20" xfId="39034"/>
    <cellStyle name="asd 16 3 5 21" xfId="40716"/>
    <cellStyle name="asd 16 3 5 22" xfId="42878"/>
    <cellStyle name="asd 16 3 5 3" xfId="7780"/>
    <cellStyle name="asd 16 3 5 4" xfId="9690"/>
    <cellStyle name="asd 16 3 5 5" xfId="12709"/>
    <cellStyle name="asd 16 3 5 6" xfId="13568"/>
    <cellStyle name="asd 16 3 5 7" xfId="15471"/>
    <cellStyle name="asd 16 3 5 8" xfId="17309"/>
    <cellStyle name="asd 16 3 5 9" xfId="19215"/>
    <cellStyle name="asd 16 3 6" xfId="1785"/>
    <cellStyle name="asd 16 3 6 10" xfId="20467"/>
    <cellStyle name="asd 16 3 6 11" xfId="23875"/>
    <cellStyle name="asd 16 3 6 12" xfId="24269"/>
    <cellStyle name="asd 16 3 6 13" xfId="26871"/>
    <cellStyle name="asd 16 3 6 14" xfId="4374"/>
    <cellStyle name="asd 16 3 6 15" xfId="30467"/>
    <cellStyle name="asd 16 3 6 16" xfId="31986"/>
    <cellStyle name="asd 16 3 6 17" xfId="34439"/>
    <cellStyle name="asd 16 3 6 18" xfId="35097"/>
    <cellStyle name="asd 16 3 6 19" xfId="36975"/>
    <cellStyle name="asd 16 3 6 2" xfId="5297"/>
    <cellStyle name="asd 16 3 6 20" xfId="39217"/>
    <cellStyle name="asd 16 3 6 21" xfId="40895"/>
    <cellStyle name="asd 16 3 6 22" xfId="43625"/>
    <cellStyle name="asd 16 3 6 3" xfId="6698"/>
    <cellStyle name="asd 16 3 6 4" xfId="9029"/>
    <cellStyle name="asd 16 3 6 5" xfId="11696"/>
    <cellStyle name="asd 16 3 6 6" xfId="14345"/>
    <cellStyle name="asd 16 3 6 7" xfId="16249"/>
    <cellStyle name="asd 16 3 6 8" xfId="16648"/>
    <cellStyle name="asd 16 3 6 9" xfId="18555"/>
    <cellStyle name="asd 16 3 7" xfId="5349"/>
    <cellStyle name="asd 16 3 8" xfId="9068"/>
    <cellStyle name="asd 16 3 9" xfId="11077"/>
    <cellStyle name="asd 16 4" xfId="3370"/>
    <cellStyle name="asd 16 4 10" xfId="16267"/>
    <cellStyle name="asd 16 4 11" xfId="16677"/>
    <cellStyle name="asd 16 4 12" xfId="18584"/>
    <cellStyle name="asd 16 4 13" xfId="20496"/>
    <cellStyle name="asd 16 4 14" xfId="23892"/>
    <cellStyle name="asd 16 4 15" xfId="24298"/>
    <cellStyle name="asd 16 4 16" xfId="27410"/>
    <cellStyle name="asd 16 4 17" xfId="29582"/>
    <cellStyle name="asd 16 4 18" xfId="30996"/>
    <cellStyle name="asd 16 4 19" xfId="32610"/>
    <cellStyle name="asd 16 4 2" xfId="3550"/>
    <cellStyle name="asd 16 4 2 10" xfId="17441"/>
    <cellStyle name="asd 16 4 2 11" xfId="19347"/>
    <cellStyle name="asd 16 4 2 12" xfId="21259"/>
    <cellStyle name="asd 16 4 2 13" xfId="23085"/>
    <cellStyle name="asd 16 4 2 14" xfId="25061"/>
    <cellStyle name="asd 16 4 2 15" xfId="26910"/>
    <cellStyle name="asd 16 4 2 16" xfId="29135"/>
    <cellStyle name="asd 16 4 2 17" xfId="30506"/>
    <cellStyle name="asd 16 4 2 18" xfId="31613"/>
    <cellStyle name="asd 16 4 2 19" xfId="33812"/>
    <cellStyle name="asd 16 4 2 2" xfId="4432"/>
    <cellStyle name="asd 16 4 2 2 10" xfId="20676"/>
    <cellStyle name="asd 16 4 2 2 11" xfId="22811"/>
    <cellStyle name="asd 16 4 2 2 12" xfId="24478"/>
    <cellStyle name="asd 16 4 2 2 13" xfId="26243"/>
    <cellStyle name="asd 16 4 2 2 14" xfId="29102"/>
    <cellStyle name="asd 16 4 2 2 15" xfId="29853"/>
    <cellStyle name="asd 16 4 2 2 16" xfId="31921"/>
    <cellStyle name="asd 16 4 2 2 17" xfId="33923"/>
    <cellStyle name="asd 16 4 2 2 18" xfId="35306"/>
    <cellStyle name="asd 16 4 2 2 19" xfId="37184"/>
    <cellStyle name="asd 16 4 2 2 2" xfId="4575"/>
    <cellStyle name="asd 16 4 2 2 20" xfId="39152"/>
    <cellStyle name="asd 16 4 2 2 21" xfId="40833"/>
    <cellStyle name="asd 16 4 2 2 22" xfId="42604"/>
    <cellStyle name="asd 16 4 2 2 3" xfId="2361"/>
    <cellStyle name="asd 16 4 2 2 4" xfId="9238"/>
    <cellStyle name="asd 16 4 2 2 5" xfId="12481"/>
    <cellStyle name="asd 16 4 2 2 6" xfId="13281"/>
    <cellStyle name="asd 16 4 2 2 7" xfId="15185"/>
    <cellStyle name="asd 16 4 2 2 8" xfId="16857"/>
    <cellStyle name="asd 16 4 2 2 9" xfId="18764"/>
    <cellStyle name="asd 16 4 2 20" xfId="35888"/>
    <cellStyle name="asd 16 4 2 21" xfId="37767"/>
    <cellStyle name="asd 16 4 2 22" xfId="38860"/>
    <cellStyle name="asd 16 4 2 23" xfId="40546"/>
    <cellStyle name="asd 16 4 2 24" xfId="42867"/>
    <cellStyle name="asd 16 4 2 3" xfId="5011"/>
    <cellStyle name="asd 16 4 2 4" xfId="6461"/>
    <cellStyle name="asd 16 4 2 5" xfId="7912"/>
    <cellStyle name="asd 16 4 2 6" xfId="9822"/>
    <cellStyle name="asd 16 4 2 7" xfId="12695"/>
    <cellStyle name="asd 16 4 2 8" xfId="13556"/>
    <cellStyle name="asd 16 4 2 9" xfId="15459"/>
    <cellStyle name="asd 16 4 20" xfId="34150"/>
    <cellStyle name="asd 16 4 21" xfId="35126"/>
    <cellStyle name="asd 16 4 22" xfId="37004"/>
    <cellStyle name="asd 16 4 23" xfId="39820"/>
    <cellStyle name="asd 16 4 24" xfId="41489"/>
    <cellStyle name="asd 16 4 25" xfId="43642"/>
    <cellStyle name="asd 16 4 3" xfId="3788"/>
    <cellStyle name="asd 16 4 3 10" xfId="19524"/>
    <cellStyle name="asd 16 4 3 11" xfId="21436"/>
    <cellStyle name="asd 16 4 3 12" xfId="22922"/>
    <cellStyle name="asd 16 4 3 13" xfId="25238"/>
    <cellStyle name="asd 16 4 3 14" xfId="27442"/>
    <cellStyle name="asd 16 4 3 15" xfId="29233"/>
    <cellStyle name="asd 16 4 3 16" xfId="31028"/>
    <cellStyle name="asd 16 4 3 17" xfId="33113"/>
    <cellStyle name="asd 16 4 3 18" xfId="33418"/>
    <cellStyle name="asd 16 4 3 19" xfId="36065"/>
    <cellStyle name="asd 16 4 3 2" xfId="5794"/>
    <cellStyle name="asd 16 4 3 2 10" xfId="22044"/>
    <cellStyle name="asd 16 4 3 2 11" xfId="23584"/>
    <cellStyle name="asd 16 4 3 2 12" xfId="25846"/>
    <cellStyle name="asd 16 4 3 2 13" xfId="27404"/>
    <cellStyle name="asd 16 4 3 2 14" xfId="29216"/>
    <cellStyle name="asd 16 4 3 2 15" xfId="30990"/>
    <cellStyle name="asd 16 4 3 2 16" xfId="31720"/>
    <cellStyle name="asd 16 4 3 2 17" xfId="34874"/>
    <cellStyle name="asd 16 4 3 2 18" xfId="36673"/>
    <cellStyle name="asd 16 4 3 2 19" xfId="38552"/>
    <cellStyle name="asd 16 4 3 2 2" xfId="7243"/>
    <cellStyle name="asd 16 4 3 2 20" xfId="38961"/>
    <cellStyle name="asd 16 4 3 2 21" xfId="40644"/>
    <cellStyle name="asd 16 4 3 2 22" xfId="43344"/>
    <cellStyle name="asd 16 4 3 2 3" xfId="8697"/>
    <cellStyle name="asd 16 4 3 2 4" xfId="10607"/>
    <cellStyle name="asd 16 4 3 2 5" xfId="12301"/>
    <cellStyle name="asd 16 4 3 2 6" xfId="14055"/>
    <cellStyle name="asd 16 4 3 2 7" xfId="15957"/>
    <cellStyle name="asd 16 4 3 2 8" xfId="18226"/>
    <cellStyle name="asd 16 4 3 2 9" xfId="20132"/>
    <cellStyle name="asd 16 4 3 20" xfId="37944"/>
    <cellStyle name="asd 16 4 3 21" xfId="40308"/>
    <cellStyle name="asd 16 4 3 22" xfId="41964"/>
    <cellStyle name="asd 16 4 3 23" xfId="42708"/>
    <cellStyle name="asd 16 4 3 3" xfId="5188"/>
    <cellStyle name="asd 16 4 3 4" xfId="8089"/>
    <cellStyle name="asd 16 4 3 5" xfId="9999"/>
    <cellStyle name="asd 16 4 3 6" xfId="12401"/>
    <cellStyle name="asd 16 4 3 7" xfId="13390"/>
    <cellStyle name="asd 16 4 3 8" xfId="15295"/>
    <cellStyle name="asd 16 4 3 9" xfId="17618"/>
    <cellStyle name="asd 16 4 4" xfId="4002"/>
    <cellStyle name="asd 16 4 4 10" xfId="19637"/>
    <cellStyle name="asd 16 4 4 11" xfId="21549"/>
    <cellStyle name="asd 16 4 4 12" xfId="23554"/>
    <cellStyle name="asd 16 4 4 13" xfId="25351"/>
    <cellStyle name="asd 16 4 4 14" xfId="27604"/>
    <cellStyle name="asd 16 4 4 15" xfId="28353"/>
    <cellStyle name="asd 16 4 4 16" xfId="31182"/>
    <cellStyle name="asd 16 4 4 17" xfId="31911"/>
    <cellStyle name="asd 16 4 4 18" xfId="34468"/>
    <cellStyle name="asd 16 4 4 19" xfId="36178"/>
    <cellStyle name="asd 16 4 4 2" xfId="5907"/>
    <cellStyle name="asd 16 4 4 2 10" xfId="22157"/>
    <cellStyle name="asd 16 4 4 2 11" xfId="22639"/>
    <cellStyle name="asd 16 4 4 2 12" xfId="25959"/>
    <cellStyle name="asd 16 4 4 2 13" xfId="26851"/>
    <cellStyle name="asd 16 4 4 2 14" xfId="29193"/>
    <cellStyle name="asd 16 4 4 2 15" xfId="30448"/>
    <cellStyle name="asd 16 4 4 2 16" xfId="32506"/>
    <cellStyle name="asd 16 4 4 2 17" xfId="33956"/>
    <cellStyle name="asd 16 4 4 2 18" xfId="36786"/>
    <cellStyle name="asd 16 4 4 2 19" xfId="38665"/>
    <cellStyle name="asd 16 4 4 2 2" xfId="7356"/>
    <cellStyle name="asd 16 4 4 2 20" xfId="39721"/>
    <cellStyle name="asd 16 4 4 2 21" xfId="41393"/>
    <cellStyle name="asd 16 4 4 2 22" xfId="42445"/>
    <cellStyle name="asd 16 4 4 2 3" xfId="8810"/>
    <cellStyle name="asd 16 4 4 2 4" xfId="10720"/>
    <cellStyle name="asd 16 4 4 2 5" xfId="5348"/>
    <cellStyle name="asd 16 4 4 2 6" xfId="13106"/>
    <cellStyle name="asd 16 4 4 2 7" xfId="15011"/>
    <cellStyle name="asd 16 4 4 2 8" xfId="18339"/>
    <cellStyle name="asd 16 4 4 2 9" xfId="20245"/>
    <cellStyle name="asd 16 4 4 20" xfId="38057"/>
    <cellStyle name="asd 16 4 4 21" xfId="39143"/>
    <cellStyle name="asd 16 4 4 22" xfId="40824"/>
    <cellStyle name="asd 16 4 4 23" xfId="43318"/>
    <cellStyle name="asd 16 4 4 3" xfId="6748"/>
    <cellStyle name="asd 16 4 4 4" xfId="8202"/>
    <cellStyle name="asd 16 4 4 5" xfId="10112"/>
    <cellStyle name="asd 16 4 4 6" xfId="11251"/>
    <cellStyle name="asd 16 4 4 7" xfId="14026"/>
    <cellStyle name="asd 16 4 4 8" xfId="15927"/>
    <cellStyle name="asd 16 4 4 9" xfId="17731"/>
    <cellStyle name="asd 16 4 5" xfId="4567"/>
    <cellStyle name="asd 16 4 5 10" xfId="20812"/>
    <cellStyle name="asd 16 4 5 11" xfId="22866"/>
    <cellStyle name="asd 16 4 5 12" xfId="24614"/>
    <cellStyle name="asd 16 4 5 13" xfId="26828"/>
    <cellStyle name="asd 16 4 5 14" xfId="29436"/>
    <cellStyle name="asd 16 4 5 15" xfId="30426"/>
    <cellStyle name="asd 16 4 5 16" xfId="32765"/>
    <cellStyle name="asd 16 4 5 17" xfId="33962"/>
    <cellStyle name="asd 16 4 5 18" xfId="35442"/>
    <cellStyle name="asd 16 4 5 19" xfId="37320"/>
    <cellStyle name="asd 16 4 5 2" xfId="4461"/>
    <cellStyle name="asd 16 4 5 20" xfId="39974"/>
    <cellStyle name="asd 16 4 5 21" xfId="41638"/>
    <cellStyle name="asd 16 4 5 22" xfId="42653"/>
    <cellStyle name="asd 16 4 5 3" xfId="4254"/>
    <cellStyle name="asd 16 4 5 4" xfId="9374"/>
    <cellStyle name="asd 16 4 5 5" xfId="12203"/>
    <cellStyle name="asd 16 4 5 6" xfId="13334"/>
    <cellStyle name="asd 16 4 5 7" xfId="15239"/>
    <cellStyle name="asd 16 4 5 8" xfId="16993"/>
    <cellStyle name="asd 16 4 5 9" xfId="18900"/>
    <cellStyle name="asd 16 4 6" xfId="2055"/>
    <cellStyle name="asd 16 4 7" xfId="9058"/>
    <cellStyle name="asd 16 4 8" xfId="11852"/>
    <cellStyle name="asd 16 4 9" xfId="14362"/>
    <cellStyle name="asd 16 5" xfId="2529"/>
    <cellStyle name="asd 16 5 10" xfId="17170"/>
    <cellStyle name="asd 16 5 11" xfId="19076"/>
    <cellStyle name="asd 16 5 12" xfId="20988"/>
    <cellStyle name="asd 16 5 13" xfId="23464"/>
    <cellStyle name="asd 16 5 14" xfId="24790"/>
    <cellStyle name="asd 16 5 15" xfId="1846"/>
    <cellStyle name="asd 16 5 16" xfId="26224"/>
    <cellStyle name="asd 16 5 17" xfId="29129"/>
    <cellStyle name="asd 16 5 18" xfId="2315"/>
    <cellStyle name="asd 16 5 19" xfId="33045"/>
    <cellStyle name="asd 16 5 2" xfId="5501"/>
    <cellStyle name="asd 16 5 2 10" xfId="21751"/>
    <cellStyle name="asd 16 5 2 11" xfId="23169"/>
    <cellStyle name="asd 16 5 2 12" xfId="25553"/>
    <cellStyle name="asd 16 5 2 13" xfId="27584"/>
    <cellStyle name="asd 16 5 2 14" xfId="29079"/>
    <cellStyle name="asd 16 5 2 15" xfId="31163"/>
    <cellStyle name="asd 16 5 2 16" xfId="33229"/>
    <cellStyle name="asd 16 5 2 17" xfId="33959"/>
    <cellStyle name="asd 16 5 2 18" xfId="36380"/>
    <cellStyle name="asd 16 5 2 19" xfId="38259"/>
    <cellStyle name="asd 16 5 2 2" xfId="6950"/>
    <cellStyle name="asd 16 5 2 20" xfId="40418"/>
    <cellStyle name="asd 16 5 2 21" xfId="42074"/>
    <cellStyle name="asd 16 5 2 22" xfId="42947"/>
    <cellStyle name="asd 16 5 2 3" xfId="8404"/>
    <cellStyle name="asd 16 5 2 4" xfId="10314"/>
    <cellStyle name="asd 16 5 2 5" xfId="10981"/>
    <cellStyle name="asd 16 5 2 6" xfId="13640"/>
    <cellStyle name="asd 16 5 2 7" xfId="15543"/>
    <cellStyle name="asd 16 5 2 8" xfId="17933"/>
    <cellStyle name="asd 16 5 2 9" xfId="19839"/>
    <cellStyle name="asd 16 5 20" xfId="35617"/>
    <cellStyle name="asd 16 5 21" xfId="37496"/>
    <cellStyle name="asd 16 5 22" xfId="26203"/>
    <cellStyle name="asd 16 5 23" xfId="2710"/>
    <cellStyle name="asd 16 5 24" xfId="43231"/>
    <cellStyle name="asd 16 5 3" xfId="4741"/>
    <cellStyle name="asd 16 5 4" xfId="6190"/>
    <cellStyle name="asd 16 5 5" xfId="7641"/>
    <cellStyle name="asd 16 5 6" xfId="9551"/>
    <cellStyle name="asd 16 5 7" xfId="12485"/>
    <cellStyle name="asd 16 5 8" xfId="13936"/>
    <cellStyle name="asd 16 5 9" xfId="15837"/>
    <cellStyle name="asd 16 6" xfId="2077"/>
    <cellStyle name="asd 16 6 10" xfId="19011"/>
    <cellStyle name="asd 16 6 11" xfId="20923"/>
    <cellStyle name="asd 16 6 12" xfId="24009"/>
    <cellStyle name="asd 16 6 13" xfId="24725"/>
    <cellStyle name="asd 16 6 14" xfId="27422"/>
    <cellStyle name="asd 16 6 15" xfId="29576"/>
    <cellStyle name="asd 16 6 16" xfId="31008"/>
    <cellStyle name="asd 16 6 17" xfId="33209"/>
    <cellStyle name="asd 16 6 18" xfId="34452"/>
    <cellStyle name="asd 16 6 19" xfId="35552"/>
    <cellStyle name="asd 16 6 2" xfId="5675"/>
    <cellStyle name="asd 16 6 2 10" xfId="21925"/>
    <cellStyle name="asd 16 6 2 11" xfId="23272"/>
    <cellStyle name="asd 16 6 2 12" xfId="25727"/>
    <cellStyle name="asd 16 6 2 13" xfId="26765"/>
    <cellStyle name="asd 16 6 2 14" xfId="29691"/>
    <cellStyle name="asd 16 6 2 15" xfId="30364"/>
    <cellStyle name="asd 16 6 2 16" xfId="31793"/>
    <cellStyle name="asd 16 6 2 17" xfId="34851"/>
    <cellStyle name="asd 16 6 2 18" xfId="36554"/>
    <cellStyle name="asd 16 6 2 19" xfId="38433"/>
    <cellStyle name="asd 16 6 2 2" xfId="7124"/>
    <cellStyle name="asd 16 6 2 20" xfId="39031"/>
    <cellStyle name="asd 16 6 2 21" xfId="40713"/>
    <cellStyle name="asd 16 6 2 22" xfId="43048"/>
    <cellStyle name="asd 16 6 2 3" xfId="8578"/>
    <cellStyle name="asd 16 6 2 4" xfId="10488"/>
    <cellStyle name="asd 16 6 2 5" xfId="11207"/>
    <cellStyle name="asd 16 6 2 6" xfId="13744"/>
    <cellStyle name="asd 16 6 2 7" xfId="15646"/>
    <cellStyle name="asd 16 6 2 8" xfId="18107"/>
    <cellStyle name="asd 16 6 2 9" xfId="20013"/>
    <cellStyle name="asd 16 6 20" xfId="37431"/>
    <cellStyle name="asd 16 6 21" xfId="40398"/>
    <cellStyle name="asd 16 6 22" xfId="42054"/>
    <cellStyle name="asd 16 6 23" xfId="43753"/>
    <cellStyle name="asd 16 6 3" xfId="4678"/>
    <cellStyle name="asd 16 6 4" xfId="7576"/>
    <cellStyle name="asd 16 6 5" xfId="9486"/>
    <cellStyle name="asd 16 6 6" xfId="11968"/>
    <cellStyle name="asd 16 6 7" xfId="14479"/>
    <cellStyle name="asd 16 6 8" xfId="16385"/>
    <cellStyle name="asd 16 6 9" xfId="17105"/>
    <cellStyle name="asd 16 7" xfId="2836"/>
    <cellStyle name="asd 16 7 10" xfId="19114"/>
    <cellStyle name="asd 16 7 11" xfId="21026"/>
    <cellStyle name="asd 16 7 12" xfId="22719"/>
    <cellStyle name="asd 16 7 13" xfId="24828"/>
    <cellStyle name="asd 16 7 14" xfId="27427"/>
    <cellStyle name="asd 16 7 15" xfId="29096"/>
    <cellStyle name="asd 16 7 16" xfId="31013"/>
    <cellStyle name="asd 16 7 17" xfId="32378"/>
    <cellStyle name="asd 16 7 18" xfId="33878"/>
    <cellStyle name="asd 16 7 19" xfId="35655"/>
    <cellStyle name="asd 16 7 2" xfId="4264"/>
    <cellStyle name="asd 16 7 2 10" xfId="20592"/>
    <cellStyle name="asd 16 7 2 11" xfId="22685"/>
    <cellStyle name="asd 16 7 2 12" xfId="24394"/>
    <cellStyle name="asd 16 7 2 13" xfId="27530"/>
    <cellStyle name="asd 16 7 2 14" xfId="28882"/>
    <cellStyle name="asd 16 7 2 15" xfId="31112"/>
    <cellStyle name="asd 16 7 2 16" xfId="32599"/>
    <cellStyle name="asd 16 7 2 17" xfId="34265"/>
    <cellStyle name="asd 16 7 2 18" xfId="35222"/>
    <cellStyle name="asd 16 7 2 19" xfId="37100"/>
    <cellStyle name="asd 16 7 2 2" xfId="4606"/>
    <cellStyle name="asd 16 7 2 20" xfId="39810"/>
    <cellStyle name="asd 16 7 2 21" xfId="41479"/>
    <cellStyle name="asd 16 7 2 22" xfId="42488"/>
    <cellStyle name="asd 16 7 2 3" xfId="2535"/>
    <cellStyle name="asd 16 7 2 4" xfId="9154"/>
    <cellStyle name="asd 16 7 2 5" xfId="11415"/>
    <cellStyle name="asd 16 7 2 6" xfId="13152"/>
    <cellStyle name="asd 16 7 2 7" xfId="15057"/>
    <cellStyle name="asd 16 7 2 8" xfId="16773"/>
    <cellStyle name="asd 16 7 2 9" xfId="18680"/>
    <cellStyle name="asd 16 7 20" xfId="37534"/>
    <cellStyle name="asd 16 7 21" xfId="39596"/>
    <cellStyle name="asd 16 7 22" xfId="41270"/>
    <cellStyle name="asd 16 7 23" xfId="42518"/>
    <cellStyle name="asd 16 7 3" xfId="6228"/>
    <cellStyle name="asd 16 7 4" xfId="7679"/>
    <cellStyle name="asd 16 7 5" xfId="9589"/>
    <cellStyle name="asd 16 7 6" xfId="12311"/>
    <cellStyle name="asd 16 7 7" xfId="13187"/>
    <cellStyle name="asd 16 7 8" xfId="15091"/>
    <cellStyle name="asd 16 7 9" xfId="17208"/>
    <cellStyle name="asd 16 8" xfId="2587"/>
    <cellStyle name="asd 16 9" xfId="2098"/>
    <cellStyle name="asd 17" xfId="801"/>
    <cellStyle name="asd 17 10" xfId="2197"/>
    <cellStyle name="asd 17 11" xfId="2840"/>
    <cellStyle name="asd 17 12" xfId="3752"/>
    <cellStyle name="asd 17 13" xfId="6672"/>
    <cellStyle name="asd 17 14" xfId="16567"/>
    <cellStyle name="asd 17 15" xfId="14708"/>
    <cellStyle name="asd 17 16" xfId="2620"/>
    <cellStyle name="asd 17 17" xfId="17056"/>
    <cellStyle name="asd 17 18" xfId="1870"/>
    <cellStyle name="asd 17 19" xfId="23893"/>
    <cellStyle name="asd 17 2" xfId="3419"/>
    <cellStyle name="asd 17 2 10" xfId="2869"/>
    <cellStyle name="asd 17 2 11" xfId="2212"/>
    <cellStyle name="asd 17 2 12" xfId="16789"/>
    <cellStyle name="asd 17 2 13" xfId="18696"/>
    <cellStyle name="asd 17 2 14" xfId="20608"/>
    <cellStyle name="asd 17 2 15" xfId="1936"/>
    <cellStyle name="asd 17 2 16" xfId="24410"/>
    <cellStyle name="asd 17 2 17" xfId="1781"/>
    <cellStyle name="asd 17 2 18" xfId="2917"/>
    <cellStyle name="asd 17 2 19" xfId="3892"/>
    <cellStyle name="asd 17 2 2" xfId="3599"/>
    <cellStyle name="asd 17 2 2 10" xfId="17490"/>
    <cellStyle name="asd 17 2 2 11" xfId="19396"/>
    <cellStyle name="asd 17 2 2 12" xfId="21308"/>
    <cellStyle name="asd 17 2 2 13" xfId="24177"/>
    <cellStyle name="asd 17 2 2 14" xfId="25110"/>
    <cellStyle name="asd 17 2 2 15" xfId="26894"/>
    <cellStyle name="asd 17 2 2 16" xfId="28790"/>
    <cellStyle name="asd 17 2 2 17" xfId="30490"/>
    <cellStyle name="asd 17 2 2 18" xfId="32373"/>
    <cellStyle name="asd 17 2 2 19" xfId="33924"/>
    <cellStyle name="asd 17 2 2 2" xfId="4581"/>
    <cellStyle name="asd 17 2 2 2 10" xfId="20826"/>
    <cellStyle name="asd 17 2 2 2 11" xfId="23350"/>
    <cellStyle name="asd 17 2 2 2 12" xfId="24628"/>
    <cellStyle name="asd 17 2 2 2 13" xfId="27330"/>
    <cellStyle name="asd 17 2 2 2 14" xfId="28377"/>
    <cellStyle name="asd 17 2 2 2 15" xfId="30919"/>
    <cellStyle name="asd 17 2 2 2 16" xfId="32464"/>
    <cellStyle name="asd 17 2 2 2 17" xfId="33416"/>
    <cellStyle name="asd 17 2 2 2 18" xfId="35456"/>
    <cellStyle name="asd 17 2 2 2 19" xfId="37334"/>
    <cellStyle name="asd 17 2 2 2 2" xfId="2327"/>
    <cellStyle name="asd 17 2 2 2 20" xfId="39682"/>
    <cellStyle name="asd 17 2 2 2 21" xfId="41355"/>
    <cellStyle name="asd 17 2 2 2 22" xfId="43120"/>
    <cellStyle name="asd 17 2 2 2 3" xfId="4653"/>
    <cellStyle name="asd 17 2 2 2 4" xfId="9388"/>
    <cellStyle name="asd 17 2 2 2 5" xfId="11125"/>
    <cellStyle name="asd 17 2 2 2 6" xfId="13822"/>
    <cellStyle name="asd 17 2 2 2 7" xfId="15724"/>
    <cellStyle name="asd 17 2 2 2 8" xfId="17007"/>
    <cellStyle name="asd 17 2 2 2 9" xfId="18914"/>
    <cellStyle name="asd 17 2 2 20" xfId="35937"/>
    <cellStyle name="asd 17 2 2 21" xfId="37816"/>
    <cellStyle name="asd 17 2 2 22" xfId="39591"/>
    <cellStyle name="asd 17 2 2 23" xfId="41265"/>
    <cellStyle name="asd 17 2 2 24" xfId="43918"/>
    <cellStyle name="asd 17 2 2 3" xfId="5060"/>
    <cellStyle name="asd 17 2 2 4" xfId="6510"/>
    <cellStyle name="asd 17 2 2 5" xfId="7961"/>
    <cellStyle name="asd 17 2 2 6" xfId="9871"/>
    <cellStyle name="asd 17 2 2 7" xfId="12137"/>
    <cellStyle name="asd 17 2 2 8" xfId="14648"/>
    <cellStyle name="asd 17 2 2 9" xfId="16554"/>
    <cellStyle name="asd 17 2 20" xfId="26130"/>
    <cellStyle name="asd 17 2 21" xfId="27801"/>
    <cellStyle name="asd 17 2 22" xfId="35238"/>
    <cellStyle name="asd 17 2 23" xfId="37116"/>
    <cellStyle name="asd 17 2 24" xfId="32938"/>
    <cellStyle name="asd 17 2 25" xfId="26401"/>
    <cellStyle name="asd 17 2 26" xfId="41639"/>
    <cellStyle name="asd 17 2 3" xfId="2790"/>
    <cellStyle name="asd 17 2 3 10" xfId="19110"/>
    <cellStyle name="asd 17 2 3 11" xfId="21022"/>
    <cellStyle name="asd 17 2 3 12" xfId="22623"/>
    <cellStyle name="asd 17 2 3 13" xfId="24824"/>
    <cellStyle name="asd 17 2 3 14" xfId="27268"/>
    <cellStyle name="asd 17 2 3 15" xfId="12280"/>
    <cellStyle name="asd 17 2 3 16" xfId="30860"/>
    <cellStyle name="asd 17 2 3 17" xfId="33275"/>
    <cellStyle name="asd 17 2 3 18" xfId="34670"/>
    <cellStyle name="asd 17 2 3 19" xfId="35651"/>
    <cellStyle name="asd 17 2 3 2" xfId="5741"/>
    <cellStyle name="asd 17 2 3 2 10" xfId="21991"/>
    <cellStyle name="asd 17 2 3 2 11" xfId="23305"/>
    <cellStyle name="asd 17 2 3 2 12" xfId="25793"/>
    <cellStyle name="asd 17 2 3 2 13" xfId="26670"/>
    <cellStyle name="asd 17 2 3 2 14" xfId="28834"/>
    <cellStyle name="asd 17 2 3 2 15" xfId="30270"/>
    <cellStyle name="asd 17 2 3 2 16" xfId="31890"/>
    <cellStyle name="asd 17 2 3 2 17" xfId="34311"/>
    <cellStyle name="asd 17 2 3 2 18" xfId="36620"/>
    <cellStyle name="asd 17 2 3 2 19" xfId="38499"/>
    <cellStyle name="asd 17 2 3 2 2" xfId="7190"/>
    <cellStyle name="asd 17 2 3 2 20" xfId="39125"/>
    <cellStyle name="asd 17 2 3 2 21" xfId="40806"/>
    <cellStyle name="asd 17 2 3 2 22" xfId="43077"/>
    <cellStyle name="asd 17 2 3 2 3" xfId="8644"/>
    <cellStyle name="asd 17 2 3 2 4" xfId="10554"/>
    <cellStyle name="asd 17 2 3 2 5" xfId="11309"/>
    <cellStyle name="asd 17 2 3 2 6" xfId="13777"/>
    <cellStyle name="asd 17 2 3 2 7" xfId="15679"/>
    <cellStyle name="asd 17 2 3 2 8" xfId="18173"/>
    <cellStyle name="asd 17 2 3 2 9" xfId="20079"/>
    <cellStyle name="asd 17 2 3 20" xfId="37530"/>
    <cellStyle name="asd 17 2 3 21" xfId="40461"/>
    <cellStyle name="asd 17 2 3 22" xfId="42116"/>
    <cellStyle name="asd 17 2 3 23" xfId="42429"/>
    <cellStyle name="asd 17 2 3 3" xfId="4775"/>
    <cellStyle name="asd 17 2 3 4" xfId="7675"/>
    <cellStyle name="asd 17 2 3 5" xfId="9585"/>
    <cellStyle name="asd 17 2 3 6" xfId="11453"/>
    <cellStyle name="asd 17 2 3 7" xfId="13090"/>
    <cellStyle name="asd 17 2 3 8" xfId="14995"/>
    <cellStyle name="asd 17 2 3 9" xfId="17204"/>
    <cellStyle name="asd 17 2 4" xfId="4051"/>
    <cellStyle name="asd 17 2 4 10" xfId="19686"/>
    <cellStyle name="asd 17 2 4 11" xfId="21598"/>
    <cellStyle name="asd 17 2 4 12" xfId="23756"/>
    <cellStyle name="asd 17 2 4 13" xfId="25400"/>
    <cellStyle name="asd 17 2 4 14" xfId="27162"/>
    <cellStyle name="asd 17 2 4 15" xfId="28271"/>
    <cellStyle name="asd 17 2 4 16" xfId="30753"/>
    <cellStyle name="asd 17 2 4 17" xfId="32166"/>
    <cellStyle name="asd 17 2 4 18" xfId="34092"/>
    <cellStyle name="asd 17 2 4 19" xfId="36227"/>
    <cellStyle name="asd 17 2 4 2" xfId="5956"/>
    <cellStyle name="asd 17 2 4 2 10" xfId="22206"/>
    <cellStyle name="asd 17 2 4 2 11" xfId="23673"/>
    <cellStyle name="asd 17 2 4 2 12" xfId="26008"/>
    <cellStyle name="asd 17 2 4 2 13" xfId="26446"/>
    <cellStyle name="asd 17 2 4 2 14" xfId="29301"/>
    <cellStyle name="asd 17 2 4 2 15" xfId="30052"/>
    <cellStyle name="asd 17 2 4 2 16" xfId="32002"/>
    <cellStyle name="asd 17 2 4 2 17" xfId="33863"/>
    <cellStyle name="asd 17 2 4 2 18" xfId="36835"/>
    <cellStyle name="asd 17 2 4 2 19" xfId="38714"/>
    <cellStyle name="asd 17 2 4 2 2" xfId="7405"/>
    <cellStyle name="asd 17 2 4 2 20" xfId="39233"/>
    <cellStyle name="asd 17 2 4 2 21" xfId="40910"/>
    <cellStyle name="asd 17 2 4 2 22" xfId="43431"/>
    <cellStyle name="asd 17 2 4 2 3" xfId="8859"/>
    <cellStyle name="asd 17 2 4 2 4" xfId="10769"/>
    <cellStyle name="asd 17 2 4 2 5" xfId="11616"/>
    <cellStyle name="asd 17 2 4 2 6" xfId="14144"/>
    <cellStyle name="asd 17 2 4 2 7" xfId="16047"/>
    <cellStyle name="asd 17 2 4 2 8" xfId="18388"/>
    <cellStyle name="asd 17 2 4 2 9" xfId="20294"/>
    <cellStyle name="asd 17 2 4 20" xfId="38106"/>
    <cellStyle name="asd 17 2 4 21" xfId="39388"/>
    <cellStyle name="asd 17 2 4 22" xfId="41064"/>
    <cellStyle name="asd 17 2 4 23" xfId="43509"/>
    <cellStyle name="asd 17 2 4 3" xfId="6797"/>
    <cellStyle name="asd 17 2 4 4" xfId="8251"/>
    <cellStyle name="asd 17 2 4 5" xfId="10161"/>
    <cellStyle name="asd 17 2 4 6" xfId="11402"/>
    <cellStyle name="asd 17 2 4 7" xfId="14226"/>
    <cellStyle name="asd 17 2 4 8" xfId="16130"/>
    <cellStyle name="asd 17 2 4 9" xfId="17780"/>
    <cellStyle name="asd 17 2 5" xfId="4912"/>
    <cellStyle name="asd 17 2 5 10" xfId="21160"/>
    <cellStyle name="asd 17 2 5 11" xfId="23107"/>
    <cellStyle name="asd 17 2 5 12" xfId="24962"/>
    <cellStyle name="asd 17 2 5 13" xfId="26472"/>
    <cellStyle name="asd 17 2 5 14" xfId="28581"/>
    <cellStyle name="asd 17 2 5 15" xfId="30077"/>
    <cellStyle name="asd 17 2 5 16" xfId="32955"/>
    <cellStyle name="asd 17 2 5 17" xfId="34843"/>
    <cellStyle name="asd 17 2 5 18" xfId="35789"/>
    <cellStyle name="asd 17 2 5 19" xfId="37668"/>
    <cellStyle name="asd 17 2 5 2" xfId="6362"/>
    <cellStyle name="asd 17 2 5 20" xfId="40157"/>
    <cellStyle name="asd 17 2 5 21" xfId="41816"/>
    <cellStyle name="asd 17 2 5 22" xfId="42887"/>
    <cellStyle name="asd 17 2 5 3" xfId="7813"/>
    <cellStyle name="asd 17 2 5 4" xfId="9723"/>
    <cellStyle name="asd 17 2 5 5" xfId="12720"/>
    <cellStyle name="asd 17 2 5 6" xfId="13578"/>
    <cellStyle name="asd 17 2 5 7" xfId="15481"/>
    <cellStyle name="asd 17 2 5 8" xfId="17342"/>
    <cellStyle name="asd 17 2 5 9" xfId="19248"/>
    <cellStyle name="asd 17 2 6" xfId="4501"/>
    <cellStyle name="asd 17 2 6 10" xfId="20746"/>
    <cellStyle name="asd 17 2 6 11" xfId="22806"/>
    <cellStyle name="asd 17 2 6 12" xfId="24548"/>
    <cellStyle name="asd 17 2 6 13" xfId="26951"/>
    <cellStyle name="asd 17 2 6 14" xfId="28512"/>
    <cellStyle name="asd 17 2 6 15" xfId="30545"/>
    <cellStyle name="asd 17 2 6 16" xfId="32426"/>
    <cellStyle name="asd 17 2 6 17" xfId="34887"/>
    <cellStyle name="asd 17 2 6 18" xfId="35376"/>
    <cellStyle name="asd 17 2 6 19" xfId="37254"/>
    <cellStyle name="asd 17 2 6 2" xfId="2989"/>
    <cellStyle name="asd 17 2 6 20" xfId="39643"/>
    <cellStyle name="asd 17 2 6 21" xfId="41317"/>
    <cellStyle name="asd 17 2 6 22" xfId="42599"/>
    <cellStyle name="asd 17 2 6 3" xfId="5342"/>
    <cellStyle name="asd 17 2 6 4" xfId="9308"/>
    <cellStyle name="asd 17 2 6 5" xfId="11287"/>
    <cellStyle name="asd 17 2 6 6" xfId="13276"/>
    <cellStyle name="asd 17 2 6 7" xfId="15180"/>
    <cellStyle name="asd 17 2 6 8" xfId="16927"/>
    <cellStyle name="asd 17 2 6 9" xfId="18834"/>
    <cellStyle name="asd 17 2 7" xfId="2382"/>
    <cellStyle name="asd 17 2 8" xfId="9170"/>
    <cellStyle name="asd 17 2 9" xfId="11232"/>
    <cellStyle name="asd 17 20" xfId="2282"/>
    <cellStyle name="asd 17 21" xfId="3170"/>
    <cellStyle name="asd 17 22" xfId="28491"/>
    <cellStyle name="asd 17 23" xfId="29465"/>
    <cellStyle name="asd 17 24" xfId="22327"/>
    <cellStyle name="asd 17 25" xfId="2688"/>
    <cellStyle name="asd 17 26" xfId="32366"/>
    <cellStyle name="asd 17 27" xfId="39009"/>
    <cellStyle name="asd 17 3" xfId="3505"/>
    <cellStyle name="asd 17 3 10" xfId="13097"/>
    <cellStyle name="asd 17 3 11" xfId="15002"/>
    <cellStyle name="asd 17 3 12" xfId="16973"/>
    <cellStyle name="asd 17 3 13" xfId="18880"/>
    <cellStyle name="asd 17 3 14" xfId="20792"/>
    <cellStyle name="asd 17 3 15" xfId="22630"/>
    <cellStyle name="asd 17 3 16" xfId="24594"/>
    <cellStyle name="asd 17 3 17" xfId="26883"/>
    <cellStyle name="asd 17 3 18" xfId="28215"/>
    <cellStyle name="asd 17 3 19" xfId="30480"/>
    <cellStyle name="asd 17 3 2" xfId="3685"/>
    <cellStyle name="asd 17 3 2 10" xfId="17576"/>
    <cellStyle name="asd 17 3 2 11" xfId="19482"/>
    <cellStyle name="asd 17 3 2 12" xfId="21394"/>
    <cellStyle name="asd 17 3 2 13" xfId="22505"/>
    <cellStyle name="asd 17 3 2 14" xfId="25196"/>
    <cellStyle name="asd 17 3 2 15" xfId="12237"/>
    <cellStyle name="asd 17 3 2 16" xfId="16630"/>
    <cellStyle name="asd 17 3 2 17" xfId="2591"/>
    <cellStyle name="asd 17 3 2 18" xfId="29380"/>
    <cellStyle name="asd 17 3 2 19" xfId="14656"/>
    <cellStyle name="asd 17 3 2 2" xfId="5752"/>
    <cellStyle name="asd 17 3 2 2 10" xfId="22002"/>
    <cellStyle name="asd 17 3 2 2 11" xfId="23511"/>
    <cellStyle name="asd 17 3 2 2 12" xfId="25804"/>
    <cellStyle name="asd 17 3 2 2 13" xfId="26247"/>
    <cellStyle name="asd 17 3 2 2 14" xfId="29053"/>
    <cellStyle name="asd 17 3 2 2 15" xfId="29857"/>
    <cellStyle name="asd 17 3 2 2 16" xfId="32803"/>
    <cellStyle name="asd 17 3 2 2 17" xfId="34567"/>
    <cellStyle name="asd 17 3 2 2 18" xfId="36631"/>
    <cellStyle name="asd 17 3 2 2 19" xfId="38510"/>
    <cellStyle name="asd 17 3 2 2 2" xfId="7201"/>
    <cellStyle name="asd 17 3 2 2 20" xfId="40012"/>
    <cellStyle name="asd 17 3 2 2 21" xfId="41676"/>
    <cellStyle name="asd 17 3 2 2 22" xfId="43276"/>
    <cellStyle name="asd 17 3 2 2 3" xfId="8655"/>
    <cellStyle name="asd 17 3 2 2 4" xfId="10565"/>
    <cellStyle name="asd 17 3 2 2 5" xfId="12489"/>
    <cellStyle name="asd 17 3 2 2 6" xfId="13983"/>
    <cellStyle name="asd 17 3 2 2 7" xfId="15884"/>
    <cellStyle name="asd 17 3 2 2 8" xfId="18184"/>
    <cellStyle name="asd 17 3 2 2 9" xfId="20090"/>
    <cellStyle name="asd 17 3 2 20" xfId="36023"/>
    <cellStyle name="asd 17 3 2 21" xfId="37902"/>
    <cellStyle name="asd 17 3 2 22" xfId="32161"/>
    <cellStyle name="asd 17 3 2 23" xfId="28006"/>
    <cellStyle name="asd 17 3 2 24" xfId="42315"/>
    <cellStyle name="asd 17 3 2 3" xfId="5146"/>
    <cellStyle name="asd 17 3 2 4" xfId="6596"/>
    <cellStyle name="asd 17 3 2 5" xfId="8047"/>
    <cellStyle name="asd 17 3 2 6" xfId="9957"/>
    <cellStyle name="asd 17 3 2 7" xfId="11450"/>
    <cellStyle name="asd 17 3 2 8" xfId="12973"/>
    <cellStyle name="asd 17 3 2 9" xfId="14877"/>
    <cellStyle name="asd 17 3 20" xfId="32201"/>
    <cellStyle name="asd 17 3 21" xfId="34897"/>
    <cellStyle name="asd 17 3 22" xfId="35422"/>
    <cellStyle name="asd 17 3 23" xfId="37300"/>
    <cellStyle name="asd 17 3 24" xfId="39423"/>
    <cellStyle name="asd 17 3 25" xfId="41099"/>
    <cellStyle name="asd 17 3 26" xfId="42436"/>
    <cellStyle name="asd 17 3 3" xfId="1915"/>
    <cellStyle name="asd 17 3 3 10" xfId="18986"/>
    <cellStyle name="asd 17 3 3 11" xfId="20898"/>
    <cellStyle name="asd 17 3 3 12" xfId="23446"/>
    <cellStyle name="asd 17 3 3 13" xfId="24700"/>
    <cellStyle name="asd 17 3 3 14" xfId="26500"/>
    <cellStyle name="asd 17 3 3 15" xfId="29353"/>
    <cellStyle name="asd 17 3 3 16" xfId="30106"/>
    <cellStyle name="asd 17 3 3 17" xfId="32698"/>
    <cellStyle name="asd 17 3 3 18" xfId="34506"/>
    <cellStyle name="asd 17 3 3 19" xfId="35527"/>
    <cellStyle name="asd 17 3 3 2" xfId="5590"/>
    <cellStyle name="asd 17 3 3 2 10" xfId="21840"/>
    <cellStyle name="asd 17 3 3 2 11" xfId="23917"/>
    <cellStyle name="asd 17 3 3 2 12" xfId="25642"/>
    <cellStyle name="asd 17 3 3 2 13" xfId="27833"/>
    <cellStyle name="asd 17 3 3 2 14" xfId="28146"/>
    <cellStyle name="asd 17 3 3 2 15" xfId="31411"/>
    <cellStyle name="asd 17 3 3 2 16" xfId="32106"/>
    <cellStyle name="asd 17 3 3 2 17" xfId="33605"/>
    <cellStyle name="asd 17 3 3 2 18" xfId="36469"/>
    <cellStyle name="asd 17 3 3 2 19" xfId="38348"/>
    <cellStyle name="asd 17 3 3 2 2" xfId="7039"/>
    <cellStyle name="asd 17 3 3 2 20" xfId="39330"/>
    <cellStyle name="asd 17 3 3 2 21" xfId="41006"/>
    <cellStyle name="asd 17 3 3 2 22" xfId="43663"/>
    <cellStyle name="asd 17 3 3 2 3" xfId="8493"/>
    <cellStyle name="asd 17 3 3 2 4" xfId="10403"/>
    <cellStyle name="asd 17 3 3 2 5" xfId="11876"/>
    <cellStyle name="asd 17 3 3 2 6" xfId="14385"/>
    <cellStyle name="asd 17 3 3 2 7" xfId="16291"/>
    <cellStyle name="asd 17 3 3 2 8" xfId="18022"/>
    <cellStyle name="asd 17 3 3 2 9" xfId="19928"/>
    <cellStyle name="asd 17 3 3 20" xfId="37406"/>
    <cellStyle name="asd 17 3 3 21" xfId="39906"/>
    <cellStyle name="asd 17 3 3 22" xfId="41575"/>
    <cellStyle name="asd 17 3 3 23" xfId="43213"/>
    <cellStyle name="asd 17 3 3 3" xfId="4654"/>
    <cellStyle name="asd 17 3 3 4" xfId="7551"/>
    <cellStyle name="asd 17 3 3 5" xfId="9461"/>
    <cellStyle name="asd 17 3 3 6" xfId="12240"/>
    <cellStyle name="asd 17 3 3 7" xfId="13918"/>
    <cellStyle name="asd 17 3 3 8" xfId="15819"/>
    <cellStyle name="asd 17 3 3 9" xfId="17080"/>
    <cellStyle name="asd 17 3 4" xfId="4137"/>
    <cellStyle name="asd 17 3 4 10" xfId="19772"/>
    <cellStyle name="asd 17 3 4 11" xfId="21684"/>
    <cellStyle name="asd 17 3 4 12" xfId="23619"/>
    <cellStyle name="asd 17 3 4 13" xfId="25486"/>
    <cellStyle name="asd 17 3 4 14" xfId="26289"/>
    <cellStyle name="asd 17 3 4 15" xfId="28711"/>
    <cellStyle name="asd 17 3 4 16" xfId="29898"/>
    <cellStyle name="asd 17 3 4 17" xfId="33135"/>
    <cellStyle name="asd 17 3 4 18" xfId="34527"/>
    <cellStyle name="asd 17 3 4 19" xfId="36313"/>
    <cellStyle name="asd 17 3 4 2" xfId="6042"/>
    <cellStyle name="asd 17 3 4 2 10" xfId="22292"/>
    <cellStyle name="asd 17 3 4 2 11" xfId="1766"/>
    <cellStyle name="asd 17 3 4 2 12" xfId="26094"/>
    <cellStyle name="asd 17 3 4 2 13" xfId="2259"/>
    <cellStyle name="asd 17 3 4 2 14" xfId="4173"/>
    <cellStyle name="asd 17 3 4 2 15" xfId="28019"/>
    <cellStyle name="asd 17 3 4 2 16" xfId="1877"/>
    <cellStyle name="asd 17 3 4 2 17" xfId="32514"/>
    <cellStyle name="asd 17 3 4 2 18" xfId="36921"/>
    <cellStyle name="asd 17 3 4 2 19" xfId="38800"/>
    <cellStyle name="asd 17 3 4 2 2" xfId="7491"/>
    <cellStyle name="asd 17 3 4 2 20" xfId="33871"/>
    <cellStyle name="asd 17 3 4 2 21" xfId="39767"/>
    <cellStyle name="asd 17 3 4 2 22" xfId="33348"/>
    <cellStyle name="asd 17 3 4 2 3" xfId="8945"/>
    <cellStyle name="asd 17 3 4 2 4" xfId="10855"/>
    <cellStyle name="asd 17 3 4 2 5" xfId="3136"/>
    <cellStyle name="asd 17 3 4 2 6" xfId="2651"/>
    <cellStyle name="asd 17 3 4 2 7" xfId="2934"/>
    <cellStyle name="asd 17 3 4 2 8" xfId="18474"/>
    <cellStyle name="asd 17 3 4 2 9" xfId="20380"/>
    <cellStyle name="asd 17 3 4 20" xfId="38192"/>
    <cellStyle name="asd 17 3 4 21" xfId="40329"/>
    <cellStyle name="asd 17 3 4 22" xfId="41985"/>
    <cellStyle name="asd 17 3 4 23" xfId="43377"/>
    <cellStyle name="asd 17 3 4 3" xfId="6883"/>
    <cellStyle name="asd 17 3 4 4" xfId="8337"/>
    <cellStyle name="asd 17 3 4 5" xfId="10247"/>
    <cellStyle name="asd 17 3 4 6" xfId="11719"/>
    <cellStyle name="asd 17 3 4 7" xfId="14089"/>
    <cellStyle name="asd 17 3 4 8" xfId="15992"/>
    <cellStyle name="asd 17 3 4 9" xfId="17866"/>
    <cellStyle name="asd 17 3 5" xfId="4978"/>
    <cellStyle name="asd 17 3 5 10" xfId="21226"/>
    <cellStyle name="asd 17 3 5 11" xfId="23071"/>
    <cellStyle name="asd 17 3 5 12" xfId="25028"/>
    <cellStyle name="asd 17 3 5 13" xfId="27172"/>
    <cellStyle name="asd 17 3 5 14" xfId="28611"/>
    <cellStyle name="asd 17 3 5 15" xfId="30764"/>
    <cellStyle name="asd 17 3 5 16" xfId="32754"/>
    <cellStyle name="asd 17 3 5 17" xfId="34428"/>
    <cellStyle name="asd 17 3 5 18" xfId="35855"/>
    <cellStyle name="asd 17 3 5 19" xfId="37734"/>
    <cellStyle name="asd 17 3 5 2" xfId="6428"/>
    <cellStyle name="asd 17 3 5 20" xfId="39963"/>
    <cellStyle name="asd 17 3 5 21" xfId="41627"/>
    <cellStyle name="asd 17 3 5 22" xfId="42853"/>
    <cellStyle name="asd 17 3 5 3" xfId="7879"/>
    <cellStyle name="asd 17 3 5 4" xfId="9789"/>
    <cellStyle name="asd 17 3 5 5" xfId="12679"/>
    <cellStyle name="asd 17 3 5 6" xfId="13542"/>
    <cellStyle name="asd 17 3 5 7" xfId="15445"/>
    <cellStyle name="asd 17 3 5 8" xfId="17408"/>
    <cellStyle name="asd 17 3 5 9" xfId="19314"/>
    <cellStyle name="asd 17 3 6" xfId="5552"/>
    <cellStyle name="asd 17 3 6 10" xfId="21802"/>
    <cellStyle name="asd 17 3 6 11" xfId="23789"/>
    <cellStyle name="asd 17 3 6 12" xfId="25604"/>
    <cellStyle name="asd 17 3 6 13" xfId="27180"/>
    <cellStyle name="asd 17 3 6 14" xfId="28584"/>
    <cellStyle name="asd 17 3 6 15" xfId="30771"/>
    <cellStyle name="asd 17 3 6 16" xfId="33296"/>
    <cellStyle name="asd 17 3 6 17" xfId="34905"/>
    <cellStyle name="asd 17 3 6 18" xfId="36431"/>
    <cellStyle name="asd 17 3 6 19" xfId="38310"/>
    <cellStyle name="asd 17 3 6 2" xfId="7001"/>
    <cellStyle name="asd 17 3 6 20" xfId="40480"/>
    <cellStyle name="asd 17 3 6 21" xfId="42134"/>
    <cellStyle name="asd 17 3 6 22" xfId="43542"/>
    <cellStyle name="asd 17 3 6 3" xfId="8455"/>
    <cellStyle name="asd 17 3 6 4" xfId="10365"/>
    <cellStyle name="asd 17 3 6 5" xfId="12663"/>
    <cellStyle name="asd 17 3 6 6" xfId="14259"/>
    <cellStyle name="asd 17 3 6 7" xfId="16163"/>
    <cellStyle name="asd 17 3 6 8" xfId="17984"/>
    <cellStyle name="asd 17 3 6 9" xfId="19890"/>
    <cellStyle name="asd 17 3 7" xfId="5365"/>
    <cellStyle name="asd 17 3 8" xfId="9354"/>
    <cellStyle name="asd 17 3 9" xfId="11525"/>
    <cellStyle name="asd 17 4" xfId="3493"/>
    <cellStyle name="asd 17 4 10" xfId="16359"/>
    <cellStyle name="asd 17 4 11" xfId="16940"/>
    <cellStyle name="asd 17 4 12" xfId="18847"/>
    <cellStyle name="asd 17 4 13" xfId="20759"/>
    <cellStyle name="asd 17 4 14" xfId="23983"/>
    <cellStyle name="asd 17 4 15" xfId="24561"/>
    <cellStyle name="asd 17 4 16" xfId="27794"/>
    <cellStyle name="asd 17 4 17" xfId="28853"/>
    <cellStyle name="asd 17 4 18" xfId="31371"/>
    <cellStyle name="asd 17 4 19" xfId="33106"/>
    <cellStyle name="asd 17 4 2" xfId="3673"/>
    <cellStyle name="asd 17 4 2 10" xfId="17564"/>
    <cellStyle name="asd 17 4 2 11" xfId="19470"/>
    <cellStyle name="asd 17 4 2 12" xfId="21382"/>
    <cellStyle name="asd 17 4 2 13" xfId="23121"/>
    <cellStyle name="asd 17 4 2 14" xfId="25184"/>
    <cellStyle name="asd 17 4 2 15" xfId="27765"/>
    <cellStyle name="asd 17 4 2 16" xfId="28322"/>
    <cellStyle name="asd 17 4 2 17" xfId="31343"/>
    <cellStyle name="asd 17 4 2 18" xfId="32466"/>
    <cellStyle name="asd 17 4 2 19" xfId="34756"/>
    <cellStyle name="asd 17 4 2 2" xfId="4251"/>
    <cellStyle name="asd 17 4 2 2 10" xfId="20481"/>
    <cellStyle name="asd 17 4 2 2 11" xfId="16609"/>
    <cellStyle name="asd 17 4 2 2 12" xfId="24283"/>
    <cellStyle name="asd 17 4 2 2 13" xfId="3280"/>
    <cellStyle name="asd 17 4 2 2 14" xfId="28622"/>
    <cellStyle name="asd 17 4 2 2 15" xfId="16185"/>
    <cellStyle name="asd 17 4 2 2 16" xfId="24220"/>
    <cellStyle name="asd 17 4 2 2 17" xfId="2204"/>
    <cellStyle name="asd 17 4 2 2 18" xfId="35111"/>
    <cellStyle name="asd 17 4 2 2 19" xfId="36989"/>
    <cellStyle name="asd 17 4 2 2 2" xfId="5328"/>
    <cellStyle name="asd 17 4 2 2 20" xfId="2669"/>
    <cellStyle name="asd 17 4 2 2 21" xfId="2214"/>
    <cellStyle name="asd 17 4 2 2 22" xfId="40851"/>
    <cellStyle name="asd 17 4 2 2 3" xfId="6650"/>
    <cellStyle name="asd 17 4 2 2 4" xfId="9043"/>
    <cellStyle name="asd 17 4 2 2 5" xfId="1894"/>
    <cellStyle name="asd 17 4 2 2 6" xfId="2227"/>
    <cellStyle name="asd 17 4 2 2 7" xfId="2466"/>
    <cellStyle name="asd 17 4 2 2 8" xfId="16662"/>
    <cellStyle name="asd 17 4 2 2 9" xfId="18569"/>
    <cellStyle name="asd 17 4 2 20" xfId="36011"/>
    <cellStyle name="asd 17 4 2 21" xfId="37890"/>
    <cellStyle name="asd 17 4 2 22" xfId="39684"/>
    <cellStyle name="asd 17 4 2 23" xfId="41357"/>
    <cellStyle name="asd 17 4 2 24" xfId="42901"/>
    <cellStyle name="asd 17 4 2 3" xfId="5134"/>
    <cellStyle name="asd 17 4 2 4" xfId="6584"/>
    <cellStyle name="asd 17 4 2 5" xfId="8035"/>
    <cellStyle name="asd 17 4 2 6" xfId="9945"/>
    <cellStyle name="asd 17 4 2 7" xfId="12738"/>
    <cellStyle name="asd 17 4 2 8" xfId="13592"/>
    <cellStyle name="asd 17 4 2 9" xfId="15495"/>
    <cellStyle name="asd 17 4 20" xfId="33707"/>
    <cellStyle name="asd 17 4 21" xfId="35389"/>
    <cellStyle name="asd 17 4 22" xfId="37267"/>
    <cellStyle name="asd 17 4 23" xfId="40301"/>
    <cellStyle name="asd 17 4 24" xfId="41957"/>
    <cellStyle name="asd 17 4 25" xfId="43727"/>
    <cellStyle name="asd 17 4 3" xfId="3807"/>
    <cellStyle name="asd 17 4 3 10" xfId="19539"/>
    <cellStyle name="asd 17 4 3 11" xfId="21451"/>
    <cellStyle name="asd 17 4 3 12" xfId="23985"/>
    <cellStyle name="asd 17 4 3 13" xfId="25253"/>
    <cellStyle name="asd 17 4 3 14" xfId="26420"/>
    <cellStyle name="asd 17 4 3 15" xfId="29385"/>
    <cellStyle name="asd 17 4 3 16" xfId="30027"/>
    <cellStyle name="asd 17 4 3 17" xfId="33085"/>
    <cellStyle name="asd 17 4 3 18" xfId="34637"/>
    <cellStyle name="asd 17 4 3 19" xfId="36080"/>
    <cellStyle name="asd 17 4 3 2" xfId="5809"/>
    <cellStyle name="asd 17 4 3 2 10" xfId="22059"/>
    <cellStyle name="asd 17 4 3 2 11" xfId="2769"/>
    <cellStyle name="asd 17 4 3 2 12" xfId="25861"/>
    <cellStyle name="asd 17 4 3 2 13" xfId="11857"/>
    <cellStyle name="asd 17 4 3 2 14" xfId="4176"/>
    <cellStyle name="asd 17 4 3 2 15" xfId="3228"/>
    <cellStyle name="asd 17 4 3 2 16" xfId="28738"/>
    <cellStyle name="asd 17 4 3 2 17" xfId="12042"/>
    <cellStyle name="asd 17 4 3 2 18" xfId="36688"/>
    <cellStyle name="asd 17 4 3 2 19" xfId="38567"/>
    <cellStyle name="asd 17 4 3 2 2" xfId="7258"/>
    <cellStyle name="asd 17 4 3 2 20" xfId="28130"/>
    <cellStyle name="asd 17 4 3 2 21" xfId="12455"/>
    <cellStyle name="asd 17 4 3 2 22" xfId="28482"/>
    <cellStyle name="asd 17 4 3 2 3" xfId="8712"/>
    <cellStyle name="asd 17 4 3 2 4" xfId="10622"/>
    <cellStyle name="asd 17 4 3 2 5" xfId="11062"/>
    <cellStyle name="asd 17 4 3 2 6" xfId="1935"/>
    <cellStyle name="asd 17 4 3 2 7" xfId="2291"/>
    <cellStyle name="asd 17 4 3 2 8" xfId="18241"/>
    <cellStyle name="asd 17 4 3 2 9" xfId="20147"/>
    <cellStyle name="asd 17 4 3 20" xfId="37959"/>
    <cellStyle name="asd 17 4 3 21" xfId="40281"/>
    <cellStyle name="asd 17 4 3 22" xfId="41937"/>
    <cellStyle name="asd 17 4 3 23" xfId="43729"/>
    <cellStyle name="asd 17 4 3 3" xfId="5203"/>
    <cellStyle name="asd 17 4 3 4" xfId="8104"/>
    <cellStyle name="asd 17 4 3 5" xfId="10014"/>
    <cellStyle name="asd 17 4 3 6" xfId="11944"/>
    <cellStyle name="asd 17 4 3 7" xfId="14455"/>
    <cellStyle name="asd 17 4 3 8" xfId="16361"/>
    <cellStyle name="asd 17 4 3 9" xfId="17633"/>
    <cellStyle name="asd 17 4 4" xfId="4125"/>
    <cellStyle name="asd 17 4 4 10" xfId="19760"/>
    <cellStyle name="asd 17 4 4 11" xfId="21672"/>
    <cellStyle name="asd 17 4 4 12" xfId="23451"/>
    <cellStyle name="asd 17 4 4 13" xfId="25474"/>
    <cellStyle name="asd 17 4 4 14" xfId="26605"/>
    <cellStyle name="asd 17 4 4 15" xfId="28744"/>
    <cellStyle name="asd 17 4 4 16" xfId="30207"/>
    <cellStyle name="asd 17 4 4 17" xfId="32011"/>
    <cellStyle name="asd 17 4 4 18" xfId="33720"/>
    <cellStyle name="asd 17 4 4 19" xfId="36301"/>
    <cellStyle name="asd 17 4 4 2" xfId="6030"/>
    <cellStyle name="asd 17 4 4 2 10" xfId="22280"/>
    <cellStyle name="asd 17 4 4 2 11" xfId="22642"/>
    <cellStyle name="asd 17 4 4 2 12" xfId="26082"/>
    <cellStyle name="asd 17 4 4 2 13" xfId="27782"/>
    <cellStyle name="asd 17 4 4 2 14" xfId="2805"/>
    <cellStyle name="asd 17 4 4 2 15" xfId="31359"/>
    <cellStyle name="asd 17 4 4 2 16" xfId="32280"/>
    <cellStyle name="asd 17 4 4 2 17" xfId="33648"/>
    <cellStyle name="asd 17 4 4 2 18" xfId="36909"/>
    <cellStyle name="asd 17 4 4 2 19" xfId="38788"/>
    <cellStyle name="asd 17 4 4 2 2" xfId="7479"/>
    <cellStyle name="asd 17 4 4 2 20" xfId="39499"/>
    <cellStyle name="asd 17 4 4 2 21" xfId="41174"/>
    <cellStyle name="asd 17 4 4 2 22" xfId="42448"/>
    <cellStyle name="asd 17 4 4 2 3" xfId="8933"/>
    <cellStyle name="asd 17 4 4 2 4" xfId="10843"/>
    <cellStyle name="asd 17 4 4 2 5" xfId="11075"/>
    <cellStyle name="asd 17 4 4 2 6" xfId="13109"/>
    <cellStyle name="asd 17 4 4 2 7" xfId="15014"/>
    <cellStyle name="asd 17 4 4 2 8" xfId="18462"/>
    <cellStyle name="asd 17 4 4 2 9" xfId="20368"/>
    <cellStyle name="asd 17 4 4 20" xfId="38180"/>
    <cellStyle name="asd 17 4 4 21" xfId="39242"/>
    <cellStyle name="asd 17 4 4 22" xfId="40919"/>
    <cellStyle name="asd 17 4 4 23" xfId="43218"/>
    <cellStyle name="asd 17 4 4 3" xfId="6871"/>
    <cellStyle name="asd 17 4 4 4" xfId="8325"/>
    <cellStyle name="asd 17 4 4 5" xfId="10235"/>
    <cellStyle name="asd 17 4 4 6" xfId="12487"/>
    <cellStyle name="asd 17 4 4 7" xfId="13923"/>
    <cellStyle name="asd 17 4 4 8" xfId="15824"/>
    <cellStyle name="asd 17 4 4 9" xfId="17854"/>
    <cellStyle name="asd 17 4 5" xfId="4435"/>
    <cellStyle name="asd 17 4 5 10" xfId="20680"/>
    <cellStyle name="asd 17 4 5 11" xfId="22818"/>
    <cellStyle name="asd 17 4 5 12" xfId="24482"/>
    <cellStyle name="asd 17 4 5 13" xfId="26273"/>
    <cellStyle name="asd 17 4 5 14" xfId="28474"/>
    <cellStyle name="asd 17 4 5 15" xfId="29882"/>
    <cellStyle name="asd 17 4 5 16" xfId="32737"/>
    <cellStyle name="asd 17 4 5 17" xfId="33703"/>
    <cellStyle name="asd 17 4 5 18" xfId="35310"/>
    <cellStyle name="asd 17 4 5 19" xfId="37188"/>
    <cellStyle name="asd 17 4 5 2" xfId="4491"/>
    <cellStyle name="asd 17 4 5 20" xfId="39946"/>
    <cellStyle name="asd 17 4 5 21" xfId="41612"/>
    <cellStyle name="asd 17 4 5 22" xfId="42611"/>
    <cellStyle name="asd 17 4 5 3" xfId="4302"/>
    <cellStyle name="asd 17 4 5 4" xfId="9242"/>
    <cellStyle name="asd 17 4 5 5" xfId="12379"/>
    <cellStyle name="asd 17 4 5 6" xfId="13288"/>
    <cellStyle name="asd 17 4 5 7" xfId="15192"/>
    <cellStyle name="asd 17 4 5 8" xfId="16861"/>
    <cellStyle name="asd 17 4 5 9" xfId="18768"/>
    <cellStyle name="asd 17 4 6" xfId="6194"/>
    <cellStyle name="asd 17 4 7" xfId="9321"/>
    <cellStyle name="asd 17 4 8" xfId="11942"/>
    <cellStyle name="asd 17 4 9" xfId="14453"/>
    <cellStyle name="asd 17 5" xfId="3107"/>
    <cellStyle name="asd 17 5 10" xfId="17251"/>
    <cellStyle name="asd 17 5 11" xfId="19157"/>
    <cellStyle name="asd 17 5 12" xfId="21069"/>
    <cellStyle name="asd 17 5 13" xfId="1832"/>
    <cellStyle name="asd 17 5 14" xfId="24871"/>
    <cellStyle name="asd 17 5 15" xfId="4485"/>
    <cellStyle name="asd 17 5 16" xfId="26183"/>
    <cellStyle name="asd 17 5 17" xfId="2766"/>
    <cellStyle name="asd 17 5 18" xfId="29528"/>
    <cellStyle name="asd 17 5 19" xfId="3310"/>
    <cellStyle name="asd 17 5 2" xfId="4339"/>
    <cellStyle name="asd 17 5 2 10" xfId="20523"/>
    <cellStyle name="asd 17 5 2 11" xfId="22569"/>
    <cellStyle name="asd 17 5 2 12" xfId="24325"/>
    <cellStyle name="asd 17 5 2 13" xfId="27648"/>
    <cellStyle name="asd 17 5 2 14" xfId="28754"/>
    <cellStyle name="asd 17 5 2 15" xfId="31225"/>
    <cellStyle name="asd 17 5 2 16" xfId="32119"/>
    <cellStyle name="asd 17 5 2 17" xfId="33867"/>
    <cellStyle name="asd 17 5 2 18" xfId="35153"/>
    <cellStyle name="asd 17 5 2 19" xfId="37031"/>
    <cellStyle name="asd 17 5 2 2" xfId="5438"/>
    <cellStyle name="asd 17 5 2 20" xfId="39343"/>
    <cellStyle name="asd 17 5 2 21" xfId="41019"/>
    <cellStyle name="asd 17 5 2 22" xfId="42378"/>
    <cellStyle name="asd 17 5 2 3" xfId="6152"/>
    <cellStyle name="asd 17 5 2 4" xfId="9085"/>
    <cellStyle name="asd 17 5 2 5" xfId="11686"/>
    <cellStyle name="asd 17 5 2 6" xfId="13037"/>
    <cellStyle name="asd 17 5 2 7" xfId="14941"/>
    <cellStyle name="asd 17 5 2 8" xfId="16704"/>
    <cellStyle name="asd 17 5 2 9" xfId="18611"/>
    <cellStyle name="asd 17 5 20" xfId="35698"/>
    <cellStyle name="asd 17 5 21" xfId="37577"/>
    <cellStyle name="asd 17 5 22" xfId="30565"/>
    <cellStyle name="asd 17 5 23" xfId="34498"/>
    <cellStyle name="asd 17 5 24" xfId="26300"/>
    <cellStyle name="asd 17 5 3" xfId="4821"/>
    <cellStyle name="asd 17 5 4" xfId="6271"/>
    <cellStyle name="asd 17 5 5" xfId="7722"/>
    <cellStyle name="asd 17 5 6" xfId="9632"/>
    <cellStyle name="asd 17 5 7" xfId="12251"/>
    <cellStyle name="asd 17 5 8" xfId="4275"/>
    <cellStyle name="asd 17 5 9" xfId="8996"/>
    <cellStyle name="asd 17 6" xfId="1778"/>
    <cellStyle name="asd 17 6 10" xfId="18966"/>
    <cellStyle name="asd 17 6 11" xfId="20878"/>
    <cellStyle name="asd 17 6 12" xfId="22621"/>
    <cellStyle name="asd 17 6 13" xfId="24680"/>
    <cellStyle name="asd 17 6 14" xfId="26521"/>
    <cellStyle name="asd 17 6 15" xfId="28484"/>
    <cellStyle name="asd 17 6 16" xfId="30127"/>
    <cellStyle name="asd 17 6 17" xfId="32254"/>
    <cellStyle name="asd 17 6 18" xfId="34878"/>
    <cellStyle name="asd 17 6 19" xfId="35507"/>
    <cellStyle name="asd 17 6 2" xfId="4629"/>
    <cellStyle name="asd 17 6 2 10" xfId="20874"/>
    <cellStyle name="asd 17 6 2 11" xfId="22834"/>
    <cellStyle name="asd 17 6 2 12" xfId="24676"/>
    <cellStyle name="asd 17 6 2 13" xfId="27891"/>
    <cellStyle name="asd 17 6 2 14" xfId="29571"/>
    <cellStyle name="asd 17 6 2 15" xfId="31473"/>
    <cellStyle name="asd 17 6 2 16" xfId="32413"/>
    <cellStyle name="asd 17 6 2 17" xfId="34518"/>
    <cellStyle name="asd 17 6 2 18" xfId="35504"/>
    <cellStyle name="asd 17 6 2 19" xfId="37382"/>
    <cellStyle name="asd 17 6 2 2" xfId="6077"/>
    <cellStyle name="asd 17 6 2 20" xfId="39630"/>
    <cellStyle name="asd 17 6 2 21" xfId="41304"/>
    <cellStyle name="asd 17 6 2 22" xfId="42625"/>
    <cellStyle name="asd 17 6 2 3" xfId="7526"/>
    <cellStyle name="asd 17 6 2 4" xfId="9436"/>
    <cellStyle name="asd 17 6 2 5" xfId="11246"/>
    <cellStyle name="asd 17 6 2 6" xfId="13303"/>
    <cellStyle name="asd 17 6 2 7" xfId="15207"/>
    <cellStyle name="asd 17 6 2 8" xfId="17055"/>
    <cellStyle name="asd 17 6 2 9" xfId="18962"/>
    <cellStyle name="asd 17 6 20" xfId="37386"/>
    <cellStyle name="asd 17 6 21" xfId="39472"/>
    <cellStyle name="asd 17 6 22" xfId="41147"/>
    <cellStyle name="asd 17 6 23" xfId="42427"/>
    <cellStyle name="asd 17 6 3" xfId="4634"/>
    <cellStyle name="asd 17 6 4" xfId="7531"/>
    <cellStyle name="asd 17 6 5" xfId="9441"/>
    <cellStyle name="asd 17 6 6" xfId="12766"/>
    <cellStyle name="asd 17 6 7" xfId="13088"/>
    <cellStyle name="asd 17 6 8" xfId="14993"/>
    <cellStyle name="asd 17 6 9" xfId="17060"/>
    <cellStyle name="asd 17 7" xfId="1941"/>
    <cellStyle name="asd 17 7 10" xfId="18989"/>
    <cellStyle name="asd 17 7 11" xfId="20901"/>
    <cellStyle name="asd 17 7 12" xfId="22724"/>
    <cellStyle name="asd 17 7 13" xfId="24703"/>
    <cellStyle name="asd 17 7 14" xfId="27069"/>
    <cellStyle name="asd 17 7 15" xfId="26128"/>
    <cellStyle name="asd 17 7 16" xfId="30660"/>
    <cellStyle name="asd 17 7 17" xfId="33219"/>
    <cellStyle name="asd 17 7 18" xfId="34824"/>
    <cellStyle name="asd 17 7 19" xfId="35530"/>
    <cellStyle name="asd 17 7 2" xfId="5483"/>
    <cellStyle name="asd 17 7 2 10" xfId="21733"/>
    <cellStyle name="asd 17 7 2 11" xfId="22880"/>
    <cellStyle name="asd 17 7 2 12" xfId="25535"/>
    <cellStyle name="asd 17 7 2 13" xfId="26804"/>
    <cellStyle name="asd 17 7 2 14" xfId="28094"/>
    <cellStyle name="asd 17 7 2 15" xfId="30402"/>
    <cellStyle name="asd 17 7 2 16" xfId="32812"/>
    <cellStyle name="asd 17 7 2 17" xfId="34691"/>
    <cellStyle name="asd 17 7 2 18" xfId="36362"/>
    <cellStyle name="asd 17 7 2 19" xfId="38241"/>
    <cellStyle name="asd 17 7 2 2" xfId="6932"/>
    <cellStyle name="asd 17 7 2 20" xfId="40021"/>
    <cellStyle name="asd 17 7 2 21" xfId="41685"/>
    <cellStyle name="asd 17 7 2 22" xfId="42667"/>
    <cellStyle name="asd 17 7 2 3" xfId="8386"/>
    <cellStyle name="asd 17 7 2 4" xfId="10296"/>
    <cellStyle name="asd 17 7 2 5" xfId="11276"/>
    <cellStyle name="asd 17 7 2 6" xfId="13348"/>
    <cellStyle name="asd 17 7 2 7" xfId="15253"/>
    <cellStyle name="asd 17 7 2 8" xfId="17915"/>
    <cellStyle name="asd 17 7 2 9" xfId="19821"/>
    <cellStyle name="asd 17 7 20" xfId="37409"/>
    <cellStyle name="asd 17 7 21" xfId="40408"/>
    <cellStyle name="asd 17 7 22" xfId="42064"/>
    <cellStyle name="asd 17 7 23" xfId="42522"/>
    <cellStyle name="asd 17 7 3" xfId="6104"/>
    <cellStyle name="asd 17 7 4" xfId="7554"/>
    <cellStyle name="asd 17 7 5" xfId="9464"/>
    <cellStyle name="asd 17 7 6" xfId="11724"/>
    <cellStyle name="asd 17 7 7" xfId="13193"/>
    <cellStyle name="asd 17 7 8" xfId="15096"/>
    <cellStyle name="asd 17 7 9" xfId="17083"/>
    <cellStyle name="asd 17 8" xfId="2736"/>
    <cellStyle name="asd 17 9" xfId="2980"/>
    <cellStyle name="asd 18" xfId="810"/>
    <cellStyle name="asd 18 10" xfId="2363"/>
    <cellStyle name="asd 18 11" xfId="3727"/>
    <cellStyle name="asd 18 12" xfId="2930"/>
    <cellStyle name="asd 18 13" xfId="2936"/>
    <cellStyle name="asd 18 14" xfId="2242"/>
    <cellStyle name="asd 18 15" xfId="2078"/>
    <cellStyle name="asd 18 16" xfId="5414"/>
    <cellStyle name="asd 18 17" xfId="6646"/>
    <cellStyle name="asd 18 18" xfId="16231"/>
    <cellStyle name="asd 18 19" xfId="12136"/>
    <cellStyle name="asd 18 2" xfId="3373"/>
    <cellStyle name="asd 18 2 10" xfId="14571"/>
    <cellStyle name="asd 18 2 11" xfId="16477"/>
    <cellStyle name="asd 18 2 12" xfId="16682"/>
    <cellStyle name="asd 18 2 13" xfId="18589"/>
    <cellStyle name="asd 18 2 14" xfId="20501"/>
    <cellStyle name="asd 18 2 15" xfId="24101"/>
    <cellStyle name="asd 18 2 16" xfId="24303"/>
    <cellStyle name="asd 18 2 17" xfId="26433"/>
    <cellStyle name="asd 18 2 18" xfId="28308"/>
    <cellStyle name="asd 18 2 19" xfId="30039"/>
    <cellStyle name="asd 18 2 2" xfId="3553"/>
    <cellStyle name="asd 18 2 2 10" xfId="17444"/>
    <cellStyle name="asd 18 2 2 11" xfId="19350"/>
    <cellStyle name="asd 18 2 2 12" xfId="21262"/>
    <cellStyle name="asd 18 2 2 13" xfId="23943"/>
    <cellStyle name="asd 18 2 2 14" xfId="25064"/>
    <cellStyle name="asd 18 2 2 15" xfId="27682"/>
    <cellStyle name="asd 18 2 2 16" xfId="28737"/>
    <cellStyle name="asd 18 2 2 17" xfId="31256"/>
    <cellStyle name="asd 18 2 2 18" xfId="32685"/>
    <cellStyle name="asd 18 2 2 19" xfId="33461"/>
    <cellStyle name="asd 18 2 2 2" xfId="5739"/>
    <cellStyle name="asd 18 2 2 2 10" xfId="21989"/>
    <cellStyle name="asd 18 2 2 2 11" xfId="22946"/>
    <cellStyle name="asd 18 2 2 2 12" xfId="25791"/>
    <cellStyle name="asd 18 2 2 2 13" xfId="26776"/>
    <cellStyle name="asd 18 2 2 2 14" xfId="29435"/>
    <cellStyle name="asd 18 2 2 2 15" xfId="30375"/>
    <cellStyle name="asd 18 2 2 2 16" xfId="33170"/>
    <cellStyle name="asd 18 2 2 2 17" xfId="34879"/>
    <cellStyle name="asd 18 2 2 2 18" xfId="36618"/>
    <cellStyle name="asd 18 2 2 2 19" xfId="38497"/>
    <cellStyle name="asd 18 2 2 2 2" xfId="7188"/>
    <cellStyle name="asd 18 2 2 2 20" xfId="40361"/>
    <cellStyle name="asd 18 2 2 2 21" xfId="42017"/>
    <cellStyle name="asd 18 2 2 2 22" xfId="42732"/>
    <cellStyle name="asd 18 2 2 2 3" xfId="8642"/>
    <cellStyle name="asd 18 2 2 2 4" xfId="10552"/>
    <cellStyle name="asd 18 2 2 2 5" xfId="12472"/>
    <cellStyle name="asd 18 2 2 2 6" xfId="13414"/>
    <cellStyle name="asd 18 2 2 2 7" xfId="15319"/>
    <cellStyle name="asd 18 2 2 2 8" xfId="18171"/>
    <cellStyle name="asd 18 2 2 2 9" xfId="20077"/>
    <cellStyle name="asd 18 2 2 20" xfId="35891"/>
    <cellStyle name="asd 18 2 2 21" xfId="37770"/>
    <cellStyle name="asd 18 2 2 22" xfId="39893"/>
    <cellStyle name="asd 18 2 2 23" xfId="41562"/>
    <cellStyle name="asd 18 2 2 24" xfId="43689"/>
    <cellStyle name="asd 18 2 2 3" xfId="5014"/>
    <cellStyle name="asd 18 2 2 4" xfId="6464"/>
    <cellStyle name="asd 18 2 2 5" xfId="7915"/>
    <cellStyle name="asd 18 2 2 6" xfId="9825"/>
    <cellStyle name="asd 18 2 2 7" xfId="11903"/>
    <cellStyle name="asd 18 2 2 8" xfId="14413"/>
    <cellStyle name="asd 18 2 2 9" xfId="16319"/>
    <cellStyle name="asd 18 2 20" xfId="31632"/>
    <cellStyle name="asd 18 2 21" xfId="35042"/>
    <cellStyle name="asd 18 2 22" xfId="35131"/>
    <cellStyle name="asd 18 2 23" xfId="37009"/>
    <cellStyle name="asd 18 2 24" xfId="38879"/>
    <cellStyle name="asd 18 2 25" xfId="40564"/>
    <cellStyle name="asd 18 2 26" xfId="43844"/>
    <cellStyle name="asd 18 2 3" xfId="3899"/>
    <cellStyle name="asd 18 2 3 10" xfId="19605"/>
    <cellStyle name="asd 18 2 3 11" xfId="21517"/>
    <cellStyle name="asd 18 2 3 12" xfId="23932"/>
    <cellStyle name="asd 18 2 3 13" xfId="25319"/>
    <cellStyle name="asd 18 2 3 14" xfId="27735"/>
    <cellStyle name="asd 18 2 3 15" xfId="12775"/>
    <cellStyle name="asd 18 2 3 16" xfId="31313"/>
    <cellStyle name="asd 18 2 3 17" xfId="3267"/>
    <cellStyle name="asd 18 2 3 18" xfId="20411"/>
    <cellStyle name="asd 18 2 3 19" xfId="36146"/>
    <cellStyle name="asd 18 2 3 2" xfId="5875"/>
    <cellStyle name="asd 18 2 3 2 10" xfId="22125"/>
    <cellStyle name="asd 18 2 3 2 11" xfId="1938"/>
    <cellStyle name="asd 18 2 3 2 12" xfId="25927"/>
    <cellStyle name="asd 18 2 3 2 13" xfId="12790"/>
    <cellStyle name="asd 18 2 3 2 14" xfId="8990"/>
    <cellStyle name="asd 18 2 3 2 15" xfId="28801"/>
    <cellStyle name="asd 18 2 3 2 16" xfId="28823"/>
    <cellStyle name="asd 18 2 3 2 17" xfId="32922"/>
    <cellStyle name="asd 18 2 3 2 18" xfId="36754"/>
    <cellStyle name="asd 18 2 3 2 19" xfId="38633"/>
    <cellStyle name="asd 18 2 3 2 2" xfId="7324"/>
    <cellStyle name="asd 18 2 3 2 20" xfId="33367"/>
    <cellStyle name="asd 18 2 3 2 21" xfId="32601"/>
    <cellStyle name="asd 18 2 3 2 22" xfId="28684"/>
    <cellStyle name="asd 18 2 3 2 3" xfId="8778"/>
    <cellStyle name="asd 18 2 3 2 4" xfId="10688"/>
    <cellStyle name="asd 18 2 3 2 5" xfId="11192"/>
    <cellStyle name="asd 18 2 3 2 6" xfId="2473"/>
    <cellStyle name="asd 18 2 3 2 7" xfId="2904"/>
    <cellStyle name="asd 18 2 3 2 8" xfId="18307"/>
    <cellStyle name="asd 18 2 3 2 9" xfId="20213"/>
    <cellStyle name="asd 18 2 3 20" xfId="38025"/>
    <cellStyle name="asd 18 2 3 21" xfId="16592"/>
    <cellStyle name="asd 18 2 3 22" xfId="32889"/>
    <cellStyle name="asd 18 2 3 23" xfId="43678"/>
    <cellStyle name="asd 18 2 3 3" xfId="5269"/>
    <cellStyle name="asd 18 2 3 4" xfId="8170"/>
    <cellStyle name="asd 18 2 3 5" xfId="10080"/>
    <cellStyle name="asd 18 2 3 6" xfId="11892"/>
    <cellStyle name="asd 18 2 3 7" xfId="14402"/>
    <cellStyle name="asd 18 2 3 8" xfId="16308"/>
    <cellStyle name="asd 18 2 3 9" xfId="17699"/>
    <cellStyle name="asd 18 2 4" xfId="4005"/>
    <cellStyle name="asd 18 2 4 10" xfId="19640"/>
    <cellStyle name="asd 18 2 4 11" xfId="21552"/>
    <cellStyle name="asd 18 2 4 12" xfId="23822"/>
    <cellStyle name="asd 18 2 4 13" xfId="25354"/>
    <cellStyle name="asd 18 2 4 14" xfId="26736"/>
    <cellStyle name="asd 18 2 4 15" xfId="27235"/>
    <cellStyle name="asd 18 2 4 16" xfId="30336"/>
    <cellStyle name="asd 18 2 4 17" xfId="32964"/>
    <cellStyle name="asd 18 2 4 18" xfId="33578"/>
    <cellStyle name="asd 18 2 4 19" xfId="36181"/>
    <cellStyle name="asd 18 2 4 2" xfId="5910"/>
    <cellStyle name="asd 18 2 4 2 10" xfId="22160"/>
    <cellStyle name="asd 18 2 4 2 11" xfId="22895"/>
    <cellStyle name="asd 18 2 4 2 12" xfId="25962"/>
    <cellStyle name="asd 18 2 4 2 13" xfId="26403"/>
    <cellStyle name="asd 18 2 4 2 14" xfId="22530"/>
    <cellStyle name="asd 18 2 4 2 15" xfId="30011"/>
    <cellStyle name="asd 18 2 4 2 16" xfId="32308"/>
    <cellStyle name="asd 18 2 4 2 17" xfId="33916"/>
    <cellStyle name="asd 18 2 4 2 18" xfId="36789"/>
    <cellStyle name="asd 18 2 4 2 19" xfId="38668"/>
    <cellStyle name="asd 18 2 4 2 2" xfId="7359"/>
    <cellStyle name="asd 18 2 4 2 20" xfId="39527"/>
    <cellStyle name="asd 18 2 4 2 21" xfId="41201"/>
    <cellStyle name="asd 18 2 4 2 22" xfId="42681"/>
    <cellStyle name="asd 18 2 4 2 3" xfId="8813"/>
    <cellStyle name="asd 18 2 4 2 4" xfId="10723"/>
    <cellStyle name="asd 18 2 4 2 5" xfId="12400"/>
    <cellStyle name="asd 18 2 4 2 6" xfId="13363"/>
    <cellStyle name="asd 18 2 4 2 7" xfId="15268"/>
    <cellStyle name="asd 18 2 4 2 8" xfId="18342"/>
    <cellStyle name="asd 18 2 4 2 9" xfId="20248"/>
    <cellStyle name="asd 18 2 4 20" xfId="38060"/>
    <cellStyle name="asd 18 2 4 21" xfId="40165"/>
    <cellStyle name="asd 18 2 4 22" xfId="41824"/>
    <cellStyle name="asd 18 2 4 23" xfId="43573"/>
    <cellStyle name="asd 18 2 4 3" xfId="6751"/>
    <cellStyle name="asd 18 2 4 4" xfId="8205"/>
    <cellStyle name="asd 18 2 4 5" xfId="10115"/>
    <cellStyle name="asd 18 2 4 6" xfId="11831"/>
    <cellStyle name="asd 18 2 4 7" xfId="14292"/>
    <cellStyle name="asd 18 2 4 8" xfId="16196"/>
    <cellStyle name="asd 18 2 4 9" xfId="17734"/>
    <cellStyle name="asd 18 2 5" xfId="4878"/>
    <cellStyle name="asd 18 2 5 10" xfId="21126"/>
    <cellStyle name="asd 18 2 5 11" xfId="22757"/>
    <cellStyle name="asd 18 2 5 12" xfId="24928"/>
    <cellStyle name="asd 18 2 5 13" xfId="26962"/>
    <cellStyle name="asd 18 2 5 14" xfId="2323"/>
    <cellStyle name="asd 18 2 5 15" xfId="30556"/>
    <cellStyle name="asd 18 2 5 16" xfId="31516"/>
    <cellStyle name="asd 18 2 5 17" xfId="29475"/>
    <cellStyle name="asd 18 2 5 18" xfId="35755"/>
    <cellStyle name="asd 18 2 5 19" xfId="37634"/>
    <cellStyle name="asd 18 2 5 2" xfId="6328"/>
    <cellStyle name="asd 18 2 5 20" xfId="17057"/>
    <cellStyle name="asd 18 2 5 21" xfId="39884"/>
    <cellStyle name="asd 18 2 5 22" xfId="42554"/>
    <cellStyle name="asd 18 2 5 3" xfId="7779"/>
    <cellStyle name="asd 18 2 5 4" xfId="9689"/>
    <cellStyle name="asd 18 2 5 5" xfId="11664"/>
    <cellStyle name="asd 18 2 5 6" xfId="13226"/>
    <cellStyle name="asd 18 2 5 7" xfId="15129"/>
    <cellStyle name="asd 18 2 5 8" xfId="17308"/>
    <cellStyle name="asd 18 2 5 9" xfId="19214"/>
    <cellStyle name="asd 18 2 6" xfId="5677"/>
    <cellStyle name="asd 18 2 6 10" xfId="21927"/>
    <cellStyle name="asd 18 2 6 11" xfId="3237"/>
    <cellStyle name="asd 18 2 6 12" xfId="25729"/>
    <cellStyle name="asd 18 2 6 13" xfId="1922"/>
    <cellStyle name="asd 18 2 6 14" xfId="4165"/>
    <cellStyle name="asd 18 2 6 15" xfId="20431"/>
    <cellStyle name="asd 18 2 6 16" xfId="3732"/>
    <cellStyle name="asd 18 2 6 17" xfId="26150"/>
    <cellStyle name="asd 18 2 6 18" xfId="36556"/>
    <cellStyle name="asd 18 2 6 19" xfId="38435"/>
    <cellStyle name="asd 18 2 6 2" xfId="7126"/>
    <cellStyle name="asd 18 2 6 20" xfId="14695"/>
    <cellStyle name="asd 18 2 6 21" xfId="18494"/>
    <cellStyle name="asd 18 2 6 22" xfId="40878"/>
    <cellStyle name="asd 18 2 6 3" xfId="8580"/>
    <cellStyle name="asd 18 2 6 4" xfId="10490"/>
    <cellStyle name="asd 18 2 6 5" xfId="12208"/>
    <cellStyle name="asd 18 2 6 6" xfId="2073"/>
    <cellStyle name="asd 18 2 6 7" xfId="3958"/>
    <cellStyle name="asd 18 2 6 8" xfId="18109"/>
    <cellStyle name="asd 18 2 6 9" xfId="20015"/>
    <cellStyle name="asd 18 2 7" xfId="3529"/>
    <cellStyle name="asd 18 2 8" xfId="9063"/>
    <cellStyle name="asd 18 2 9" xfId="12060"/>
    <cellStyle name="asd 18 20" xfId="10908"/>
    <cellStyle name="asd 18 21" xfId="29741"/>
    <cellStyle name="asd 18 22" xfId="29754"/>
    <cellStyle name="asd 18 23" xfId="12799"/>
    <cellStyle name="asd 18 24" xfId="2268"/>
    <cellStyle name="asd 18 25" xfId="28619"/>
    <cellStyle name="asd 18 26" xfId="18536"/>
    <cellStyle name="asd 18 27" xfId="2990"/>
    <cellStyle name="asd 18 3" xfId="3381"/>
    <cellStyle name="asd 18 3 10" xfId="14604"/>
    <cellStyle name="asd 18 3 11" xfId="16510"/>
    <cellStyle name="asd 18 3 12" xfId="16698"/>
    <cellStyle name="asd 18 3 13" xfId="18605"/>
    <cellStyle name="asd 18 3 14" xfId="20517"/>
    <cellStyle name="asd 18 3 15" xfId="24133"/>
    <cellStyle name="asd 18 3 16" xfId="24319"/>
    <cellStyle name="asd 18 3 17" xfId="26351"/>
    <cellStyle name="asd 18 3 18" xfId="2614"/>
    <cellStyle name="asd 18 3 19" xfId="29959"/>
    <cellStyle name="asd 18 3 2" xfId="3561"/>
    <cellStyle name="asd 18 3 2 10" xfId="17452"/>
    <cellStyle name="asd 18 3 2 11" xfId="19358"/>
    <cellStyle name="asd 18 3 2 12" xfId="21270"/>
    <cellStyle name="asd 18 3 2 13" xfId="22434"/>
    <cellStyle name="asd 18 3 2 14" xfId="25072"/>
    <cellStyle name="asd 18 3 2 15" xfId="27370"/>
    <cellStyle name="asd 18 3 2 16" xfId="29308"/>
    <cellStyle name="asd 18 3 2 17" xfId="30957"/>
    <cellStyle name="asd 18 3 2 18" xfId="32351"/>
    <cellStyle name="asd 18 3 2 19" xfId="34994"/>
    <cellStyle name="asd 18 3 2 2" xfId="4545"/>
    <cellStyle name="asd 18 3 2 2 10" xfId="20790"/>
    <cellStyle name="asd 18 3 2 2 11" xfId="24141"/>
    <cellStyle name="asd 18 3 2 2 12" xfId="24592"/>
    <cellStyle name="asd 18 3 2 2 13" xfId="26979"/>
    <cellStyle name="asd 18 3 2 2 14" xfId="28285"/>
    <cellStyle name="asd 18 3 2 2 15" xfId="30573"/>
    <cellStyle name="asd 18 3 2 2 16" xfId="33300"/>
    <cellStyle name="asd 18 3 2 2 17" xfId="34064"/>
    <cellStyle name="asd 18 3 2 2 18" xfId="35420"/>
    <cellStyle name="asd 18 3 2 2 19" xfId="37298"/>
    <cellStyle name="asd 18 3 2 2 2" xfId="4772"/>
    <cellStyle name="asd 18 3 2 2 20" xfId="40483"/>
    <cellStyle name="asd 18 3 2 2 21" xfId="42137"/>
    <cellStyle name="asd 18 3 2 2 22" xfId="43884"/>
    <cellStyle name="asd 18 3 2 2 3" xfId="6255"/>
    <cellStyle name="asd 18 3 2 2 4" xfId="9352"/>
    <cellStyle name="asd 18 3 2 2 5" xfId="12101"/>
    <cellStyle name="asd 18 3 2 2 6" xfId="14612"/>
    <cellStyle name="asd 18 3 2 2 7" xfId="16518"/>
    <cellStyle name="asd 18 3 2 2 8" xfId="16971"/>
    <cellStyle name="asd 18 3 2 2 9" xfId="18878"/>
    <cellStyle name="asd 18 3 2 20" xfId="35899"/>
    <cellStyle name="asd 18 3 2 21" xfId="37778"/>
    <cellStyle name="asd 18 3 2 22" xfId="39570"/>
    <cellStyle name="asd 18 3 2 23" xfId="41244"/>
    <cellStyle name="asd 18 3 2 24" xfId="42245"/>
    <cellStyle name="asd 18 3 2 3" xfId="5022"/>
    <cellStyle name="asd 18 3 2 4" xfId="6472"/>
    <cellStyle name="asd 18 3 2 5" xfId="7923"/>
    <cellStyle name="asd 18 3 2 6" xfId="9833"/>
    <cellStyle name="asd 18 3 2 7" xfId="11495"/>
    <cellStyle name="asd 18 3 2 8" xfId="12902"/>
    <cellStyle name="asd 18 3 2 9" xfId="14807"/>
    <cellStyle name="asd 18 3 20" xfId="32087"/>
    <cellStyle name="asd 18 3 21" xfId="33404"/>
    <cellStyle name="asd 18 3 22" xfId="35147"/>
    <cellStyle name="asd 18 3 23" xfId="37025"/>
    <cellStyle name="asd 18 3 24" xfId="39311"/>
    <cellStyle name="asd 18 3 25" xfId="40987"/>
    <cellStyle name="asd 18 3 26" xfId="43876"/>
    <cellStyle name="asd 18 3 3" xfId="3889"/>
    <cellStyle name="asd 18 3 3 10" xfId="19597"/>
    <cellStyle name="asd 18 3 3 11" xfId="21509"/>
    <cellStyle name="asd 18 3 3 12" xfId="22867"/>
    <cellStyle name="asd 18 3 3 13" xfId="25311"/>
    <cellStyle name="asd 18 3 3 14" xfId="27842"/>
    <cellStyle name="asd 18 3 3 15" xfId="28305"/>
    <cellStyle name="asd 18 3 3 16" xfId="31420"/>
    <cellStyle name="asd 18 3 3 17" xfId="32562"/>
    <cellStyle name="asd 18 3 3 18" xfId="34097"/>
    <cellStyle name="asd 18 3 3 19" xfId="36138"/>
    <cellStyle name="asd 18 3 3 2" xfId="5867"/>
    <cellStyle name="asd 18 3 3 2 10" xfId="22117"/>
    <cellStyle name="asd 18 3 3 2 11" xfId="23087"/>
    <cellStyle name="asd 18 3 3 2 12" xfId="25919"/>
    <cellStyle name="asd 18 3 3 2 13" xfId="27352"/>
    <cellStyle name="asd 18 3 3 2 14" xfId="28422"/>
    <cellStyle name="asd 18 3 3 2 15" xfId="30941"/>
    <cellStyle name="asd 18 3 3 2 16" xfId="31929"/>
    <cellStyle name="asd 18 3 3 2 17" xfId="34831"/>
    <cellStyle name="asd 18 3 3 2 18" xfId="36746"/>
    <cellStyle name="asd 18 3 3 2 19" xfId="38625"/>
    <cellStyle name="asd 18 3 3 2 2" xfId="7316"/>
    <cellStyle name="asd 18 3 3 2 20" xfId="39159"/>
    <cellStyle name="asd 18 3 3 2 21" xfId="40840"/>
    <cellStyle name="asd 18 3 3 2 22" xfId="42869"/>
    <cellStyle name="asd 18 3 3 2 3" xfId="8770"/>
    <cellStyle name="asd 18 3 3 2 4" xfId="10680"/>
    <cellStyle name="asd 18 3 3 2 5" xfId="12698"/>
    <cellStyle name="asd 18 3 3 2 6" xfId="13558"/>
    <cellStyle name="asd 18 3 3 2 7" xfId="15461"/>
    <cellStyle name="asd 18 3 3 2 8" xfId="18299"/>
    <cellStyle name="asd 18 3 3 2 9" xfId="20205"/>
    <cellStyle name="asd 18 3 3 20" xfId="38017"/>
    <cellStyle name="asd 18 3 3 21" xfId="39774"/>
    <cellStyle name="asd 18 3 3 22" xfId="41444"/>
    <cellStyle name="asd 18 3 3 23" xfId="42654"/>
    <cellStyle name="asd 18 3 3 3" xfId="5261"/>
    <cellStyle name="asd 18 3 3 4" xfId="8162"/>
    <cellStyle name="asd 18 3 3 5" xfId="10072"/>
    <cellStyle name="asd 18 3 3 6" xfId="11245"/>
    <cellStyle name="asd 18 3 3 7" xfId="13335"/>
    <cellStyle name="asd 18 3 3 8" xfId="15240"/>
    <cellStyle name="asd 18 3 3 9" xfId="17691"/>
    <cellStyle name="asd 18 3 4" xfId="4013"/>
    <cellStyle name="asd 18 3 4 10" xfId="19648"/>
    <cellStyle name="asd 18 3 4 11" xfId="21560"/>
    <cellStyle name="asd 18 3 4 12" xfId="23360"/>
    <cellStyle name="asd 18 3 4 13" xfId="25362"/>
    <cellStyle name="asd 18 3 4 14" xfId="27729"/>
    <cellStyle name="asd 18 3 4 15" xfId="29722"/>
    <cellStyle name="asd 18 3 4 16" xfId="31307"/>
    <cellStyle name="asd 18 3 4 17" xfId="32675"/>
    <cellStyle name="asd 18 3 4 18" xfId="34653"/>
    <cellStyle name="asd 18 3 4 19" xfId="36189"/>
    <cellStyle name="asd 18 3 4 2" xfId="5918"/>
    <cellStyle name="asd 18 3 4 2 10" xfId="22168"/>
    <cellStyle name="asd 18 3 4 2 11" xfId="23982"/>
    <cellStyle name="asd 18 3 4 2 12" xfId="25970"/>
    <cellStyle name="asd 18 3 4 2 13" xfId="27350"/>
    <cellStyle name="asd 18 3 4 2 14" xfId="3201"/>
    <cellStyle name="asd 18 3 4 2 15" xfId="30938"/>
    <cellStyle name="asd 18 3 4 2 16" xfId="29274"/>
    <cellStyle name="asd 18 3 4 2 17" xfId="2561"/>
    <cellStyle name="asd 18 3 4 2 18" xfId="36797"/>
    <cellStyle name="asd 18 3 4 2 19" xfId="38676"/>
    <cellStyle name="asd 18 3 4 2 2" xfId="7367"/>
    <cellStyle name="asd 18 3 4 2 20" xfId="8982"/>
    <cellStyle name="asd 18 3 4 2 21" xfId="28783"/>
    <cellStyle name="asd 18 3 4 2 22" xfId="43726"/>
    <cellStyle name="asd 18 3 4 2 3" xfId="8821"/>
    <cellStyle name="asd 18 3 4 2 4" xfId="10731"/>
    <cellStyle name="asd 18 3 4 2 5" xfId="11941"/>
    <cellStyle name="asd 18 3 4 2 6" xfId="14452"/>
    <cellStyle name="asd 18 3 4 2 7" xfId="16358"/>
    <cellStyle name="asd 18 3 4 2 8" xfId="18350"/>
    <cellStyle name="asd 18 3 4 2 9" xfId="20256"/>
    <cellStyle name="asd 18 3 4 20" xfId="38068"/>
    <cellStyle name="asd 18 3 4 21" xfId="39882"/>
    <cellStyle name="asd 18 3 4 22" xfId="41551"/>
    <cellStyle name="asd 18 3 4 23" xfId="43130"/>
    <cellStyle name="asd 18 3 4 3" xfId="6759"/>
    <cellStyle name="asd 18 3 4 4" xfId="8213"/>
    <cellStyle name="asd 18 3 4 5" xfId="10123"/>
    <cellStyle name="asd 18 3 4 6" xfId="10967"/>
    <cellStyle name="asd 18 3 4 7" xfId="13832"/>
    <cellStyle name="asd 18 3 4 8" xfId="15734"/>
    <cellStyle name="asd 18 3 4 9" xfId="17742"/>
    <cellStyle name="asd 18 3 5" xfId="4883"/>
    <cellStyle name="asd 18 3 5 10" xfId="21131"/>
    <cellStyle name="asd 18 3 5 11" xfId="22792"/>
    <cellStyle name="asd 18 3 5 12" xfId="24933"/>
    <cellStyle name="asd 18 3 5 13" xfId="26853"/>
    <cellStyle name="asd 18 3 5 14" xfId="29049"/>
    <cellStyle name="asd 18 3 5 15" xfId="30450"/>
    <cellStyle name="asd 18 3 5 16" xfId="32392"/>
    <cellStyle name="asd 18 3 5 17" xfId="34948"/>
    <cellStyle name="asd 18 3 5 18" xfId="35760"/>
    <cellStyle name="asd 18 3 5 19" xfId="37639"/>
    <cellStyle name="asd 18 3 5 2" xfId="6333"/>
    <cellStyle name="asd 18 3 5 20" xfId="39609"/>
    <cellStyle name="asd 18 3 5 21" xfId="41283"/>
    <cellStyle name="asd 18 3 5 22" xfId="42585"/>
    <cellStyle name="asd 18 3 5 3" xfId="7784"/>
    <cellStyle name="asd 18 3 5 4" xfId="9694"/>
    <cellStyle name="asd 18 3 5 5" xfId="12164"/>
    <cellStyle name="asd 18 3 5 6" xfId="13261"/>
    <cellStyle name="asd 18 3 5 7" xfId="15165"/>
    <cellStyle name="asd 18 3 5 8" xfId="17313"/>
    <cellStyle name="asd 18 3 5 9" xfId="19219"/>
    <cellStyle name="asd 18 3 6" xfId="5611"/>
    <cellStyle name="asd 18 3 6 10" xfId="21861"/>
    <cellStyle name="asd 18 3 6 11" xfId="13081"/>
    <cellStyle name="asd 18 3 6 12" xfId="25663"/>
    <cellStyle name="asd 18 3 6 13" xfId="3275"/>
    <cellStyle name="asd 18 3 6 14" xfId="11662"/>
    <cellStyle name="asd 18 3 6 15" xfId="3233"/>
    <cellStyle name="asd 18 3 6 16" xfId="29280"/>
    <cellStyle name="asd 18 3 6 17" xfId="14016"/>
    <cellStyle name="asd 18 3 6 18" xfId="36490"/>
    <cellStyle name="asd 18 3 6 19" xfId="38369"/>
    <cellStyle name="asd 18 3 6 2" xfId="7060"/>
    <cellStyle name="asd 18 3 6 20" xfId="27372"/>
    <cellStyle name="asd 18 3 6 21" xfId="34517"/>
    <cellStyle name="asd 18 3 6 22" xfId="10895"/>
    <cellStyle name="asd 18 3 6 3" xfId="8514"/>
    <cellStyle name="asd 18 3 6 4" xfId="10424"/>
    <cellStyle name="asd 18 3 6 5" xfId="12439"/>
    <cellStyle name="asd 18 3 6 6" xfId="1825"/>
    <cellStyle name="asd 18 3 6 7" xfId="2947"/>
    <cellStyle name="asd 18 3 6 8" xfId="18043"/>
    <cellStyle name="asd 18 3 6 9" xfId="19949"/>
    <cellStyle name="asd 18 3 7" xfId="4311"/>
    <cellStyle name="asd 18 3 8" xfId="9079"/>
    <cellStyle name="asd 18 3 9" xfId="12093"/>
    <cellStyle name="asd 18 4" xfId="3432"/>
    <cellStyle name="asd 18 4 10" xfId="15216"/>
    <cellStyle name="asd 18 4 11" xfId="16809"/>
    <cellStyle name="asd 18 4 12" xfId="18716"/>
    <cellStyle name="asd 18 4 13" xfId="20628"/>
    <cellStyle name="asd 18 4 14" xfId="22843"/>
    <cellStyle name="asd 18 4 15" xfId="24430"/>
    <cellStyle name="asd 18 4 16" xfId="26778"/>
    <cellStyle name="asd 18 4 17" xfId="29553"/>
    <cellStyle name="asd 18 4 18" xfId="30377"/>
    <cellStyle name="asd 18 4 19" xfId="31653"/>
    <cellStyle name="asd 18 4 2" xfId="3612"/>
    <cellStyle name="asd 18 4 2 10" xfId="17503"/>
    <cellStyle name="asd 18 4 2 11" xfId="19409"/>
    <cellStyle name="asd 18 4 2 12" xfId="21321"/>
    <cellStyle name="asd 18 4 2 13" xfId="23805"/>
    <cellStyle name="asd 18 4 2 14" xfId="25123"/>
    <cellStyle name="asd 18 4 2 15" xfId="27627"/>
    <cellStyle name="asd 18 4 2 16" xfId="29364"/>
    <cellStyle name="asd 18 4 2 17" xfId="31205"/>
    <cellStyle name="asd 18 4 2 18" xfId="32753"/>
    <cellStyle name="asd 18 4 2 19" xfId="34979"/>
    <cellStyle name="asd 18 4 2 2" xfId="5591"/>
    <cellStyle name="asd 18 4 2 2 10" xfId="21841"/>
    <cellStyle name="asd 18 4 2 2 11" xfId="23311"/>
    <cellStyle name="asd 18 4 2 2 12" xfId="25643"/>
    <cellStyle name="asd 18 4 2 2 13" xfId="26208"/>
    <cellStyle name="asd 18 4 2 2 14" xfId="28469"/>
    <cellStyle name="asd 18 4 2 2 15" xfId="29820"/>
    <cellStyle name="asd 18 4 2 2 16" xfId="32560"/>
    <cellStyle name="asd 18 4 2 2 17" xfId="33817"/>
    <cellStyle name="asd 18 4 2 2 18" xfId="36470"/>
    <cellStyle name="asd 18 4 2 2 19" xfId="38349"/>
    <cellStyle name="asd 18 4 2 2 2" xfId="7040"/>
    <cellStyle name="asd 18 4 2 2 20" xfId="39773"/>
    <cellStyle name="asd 18 4 2 2 21" xfId="41443"/>
    <cellStyle name="asd 18 4 2 2 22" xfId="43083"/>
    <cellStyle name="asd 18 4 2 2 3" xfId="8494"/>
    <cellStyle name="asd 18 4 2 2 4" xfId="10404"/>
    <cellStyle name="asd 18 4 2 2 5" xfId="11324"/>
    <cellStyle name="asd 18 4 2 2 6" xfId="13783"/>
    <cellStyle name="asd 18 4 2 2 7" xfId="15685"/>
    <cellStyle name="asd 18 4 2 2 8" xfId="18023"/>
    <cellStyle name="asd 18 4 2 2 9" xfId="19929"/>
    <cellStyle name="asd 18 4 2 20" xfId="35950"/>
    <cellStyle name="asd 18 4 2 21" xfId="37829"/>
    <cellStyle name="asd 18 4 2 22" xfId="39962"/>
    <cellStyle name="asd 18 4 2 23" xfId="41626"/>
    <cellStyle name="asd 18 4 2 24" xfId="43557"/>
    <cellStyle name="asd 18 4 2 3" xfId="5073"/>
    <cellStyle name="asd 18 4 2 4" xfId="6523"/>
    <cellStyle name="asd 18 4 2 5" xfId="7974"/>
    <cellStyle name="asd 18 4 2 6" xfId="9884"/>
    <cellStyle name="asd 18 4 2 7" xfId="11710"/>
    <cellStyle name="asd 18 4 2 8" xfId="14275"/>
    <cellStyle name="asd 18 4 2 9" xfId="16179"/>
    <cellStyle name="asd 18 4 20" xfId="33439"/>
    <cellStyle name="asd 18 4 21" xfId="35258"/>
    <cellStyle name="asd 18 4 22" xfId="37136"/>
    <cellStyle name="asd 18 4 23" xfId="38898"/>
    <cellStyle name="asd 18 4 24" xfId="40583"/>
    <cellStyle name="asd 18 4 25" xfId="42634"/>
    <cellStyle name="asd 18 4 3" xfId="3767"/>
    <cellStyle name="asd 18 4 3 10" xfId="19510"/>
    <cellStyle name="asd 18 4 3 11" xfId="21422"/>
    <cellStyle name="asd 18 4 3 12" xfId="22396"/>
    <cellStyle name="asd 18 4 3 13" xfId="25224"/>
    <cellStyle name="asd 18 4 3 14" xfId="26602"/>
    <cellStyle name="asd 18 4 3 15" xfId="28348"/>
    <cellStyle name="asd 18 4 3 16" xfId="30204"/>
    <cellStyle name="asd 18 4 3 17" xfId="31627"/>
    <cellStyle name="asd 18 4 3 18" xfId="33656"/>
    <cellStyle name="asd 18 4 3 19" xfId="36051"/>
    <cellStyle name="asd 18 4 3 2" xfId="5780"/>
    <cellStyle name="asd 18 4 3 2 10" xfId="22030"/>
    <cellStyle name="asd 18 4 3 2 11" xfId="22783"/>
    <cellStyle name="asd 18 4 3 2 12" xfId="25832"/>
    <cellStyle name="asd 18 4 3 2 13" xfId="26417"/>
    <cellStyle name="asd 18 4 3 2 14" xfId="28387"/>
    <cellStyle name="asd 18 4 3 2 15" xfId="30024"/>
    <cellStyle name="asd 18 4 3 2 16" xfId="31947"/>
    <cellStyle name="asd 18 4 3 2 17" xfId="34001"/>
    <cellStyle name="asd 18 4 3 2 18" xfId="36659"/>
    <cellStyle name="asd 18 4 3 2 19" xfId="38538"/>
    <cellStyle name="asd 18 4 3 2 2" xfId="7229"/>
    <cellStyle name="asd 18 4 3 2 20" xfId="39177"/>
    <cellStyle name="asd 18 4 3 2 21" xfId="40858"/>
    <cellStyle name="asd 18 4 3 2 22" xfId="42576"/>
    <cellStyle name="asd 18 4 3 2 3" xfId="8683"/>
    <cellStyle name="asd 18 4 3 2 4" xfId="10593"/>
    <cellStyle name="asd 18 4 3 2 5" xfId="10993"/>
    <cellStyle name="asd 18 4 3 2 6" xfId="13252"/>
    <cellStyle name="asd 18 4 3 2 7" xfId="15156"/>
    <cellStyle name="asd 18 4 3 2 8" xfId="18212"/>
    <cellStyle name="asd 18 4 3 2 9" xfId="20118"/>
    <cellStyle name="asd 18 4 3 20" xfId="37930"/>
    <cellStyle name="asd 18 4 3 21" xfId="38874"/>
    <cellStyle name="asd 18 4 3 22" xfId="40559"/>
    <cellStyle name="asd 18 4 3 23" xfId="42207"/>
    <cellStyle name="asd 18 4 3 3" xfId="5174"/>
    <cellStyle name="asd 18 4 3 4" xfId="8075"/>
    <cellStyle name="asd 18 4 3 5" xfId="9985"/>
    <cellStyle name="asd 18 4 3 6" xfId="12234"/>
    <cellStyle name="asd 18 4 3 7" xfId="12863"/>
    <cellStyle name="asd 18 4 3 8" xfId="14768"/>
    <cellStyle name="asd 18 4 3 9" xfId="17604"/>
    <cellStyle name="asd 18 4 4" xfId="4064"/>
    <cellStyle name="asd 18 4 4 10" xfId="19699"/>
    <cellStyle name="asd 18 4 4 11" xfId="21611"/>
    <cellStyle name="asd 18 4 4 12" xfId="22450"/>
    <cellStyle name="asd 18 4 4 13" xfId="25413"/>
    <cellStyle name="asd 18 4 4 14" xfId="27426"/>
    <cellStyle name="asd 18 4 4 15" xfId="29120"/>
    <cellStyle name="asd 18 4 4 16" xfId="31012"/>
    <cellStyle name="asd 18 4 4 17" xfId="32815"/>
    <cellStyle name="asd 18 4 4 18" xfId="33757"/>
    <cellStyle name="asd 18 4 4 19" xfId="36240"/>
    <cellStyle name="asd 18 4 4 2" xfId="5969"/>
    <cellStyle name="asd 18 4 4 2 10" xfId="22219"/>
    <cellStyle name="asd 18 4 4 2 11" xfId="24017"/>
    <cellStyle name="asd 18 4 4 2 12" xfId="26021"/>
    <cellStyle name="asd 18 4 4 2 13" xfId="27150"/>
    <cellStyle name="asd 18 4 4 2 14" xfId="28028"/>
    <cellStyle name="asd 18 4 4 2 15" xfId="30741"/>
    <cellStyle name="asd 18 4 4 2 16" xfId="33206"/>
    <cellStyle name="asd 18 4 4 2 17" xfId="34713"/>
    <cellStyle name="asd 18 4 4 2 18" xfId="36848"/>
    <cellStyle name="asd 18 4 4 2 19" xfId="38727"/>
    <cellStyle name="asd 18 4 4 2 2" xfId="7418"/>
    <cellStyle name="asd 18 4 4 2 20" xfId="40395"/>
    <cellStyle name="asd 18 4 4 2 21" xfId="42051"/>
    <cellStyle name="asd 18 4 4 2 22" xfId="43761"/>
    <cellStyle name="asd 18 4 4 2 3" xfId="8872"/>
    <cellStyle name="asd 18 4 4 2 4" xfId="10782"/>
    <cellStyle name="asd 18 4 4 2 5" xfId="11976"/>
    <cellStyle name="asd 18 4 4 2 6" xfId="14487"/>
    <cellStyle name="asd 18 4 4 2 7" xfId="16393"/>
    <cellStyle name="asd 18 4 4 2 8" xfId="18401"/>
    <cellStyle name="asd 18 4 4 2 9" xfId="20307"/>
    <cellStyle name="asd 18 4 4 20" xfId="38119"/>
    <cellStyle name="asd 18 4 4 21" xfId="40024"/>
    <cellStyle name="asd 18 4 4 22" xfId="41688"/>
    <cellStyle name="asd 18 4 4 23" xfId="42261"/>
    <cellStyle name="asd 18 4 4 3" xfId="6810"/>
    <cellStyle name="asd 18 4 4 4" xfId="8264"/>
    <cellStyle name="asd 18 4 4 5" xfId="10174"/>
    <cellStyle name="asd 18 4 4 6" xfId="12377"/>
    <cellStyle name="asd 18 4 4 7" xfId="12918"/>
    <cellStyle name="asd 18 4 4 8" xfId="14823"/>
    <cellStyle name="asd 18 4 4 9" xfId="17793"/>
    <cellStyle name="asd 18 4 5" xfId="5568"/>
    <cellStyle name="asd 18 4 5 10" xfId="21818"/>
    <cellStyle name="asd 18 4 5 11" xfId="22452"/>
    <cellStyle name="asd 18 4 5 12" xfId="25620"/>
    <cellStyle name="asd 18 4 5 13" xfId="26523"/>
    <cellStyle name="asd 18 4 5 14" xfId="29630"/>
    <cellStyle name="asd 18 4 5 15" xfId="30129"/>
    <cellStyle name="asd 18 4 5 16" xfId="32657"/>
    <cellStyle name="asd 18 4 5 17" xfId="34202"/>
    <cellStyle name="asd 18 4 5 18" xfId="36447"/>
    <cellStyle name="asd 18 4 5 19" xfId="38326"/>
    <cellStyle name="asd 18 4 5 2" xfId="7017"/>
    <cellStyle name="asd 18 4 5 20" xfId="39864"/>
    <cellStyle name="asd 18 4 5 21" xfId="41533"/>
    <cellStyle name="asd 18 4 5 22" xfId="42263"/>
    <cellStyle name="asd 18 4 5 3" xfId="8471"/>
    <cellStyle name="asd 18 4 5 4" xfId="10381"/>
    <cellStyle name="asd 18 4 5 5" xfId="11325"/>
    <cellStyle name="asd 18 4 5 6" xfId="12920"/>
    <cellStyle name="asd 18 4 5 7" xfId="14825"/>
    <cellStyle name="asd 18 4 5 8" xfId="18000"/>
    <cellStyle name="asd 18 4 5 9" xfId="19906"/>
    <cellStyle name="asd 18 4 6" xfId="4483"/>
    <cellStyle name="asd 18 4 7" xfId="9190"/>
    <cellStyle name="asd 18 4 8" xfId="11238"/>
    <cellStyle name="asd 18 4 9" xfId="13312"/>
    <cellStyle name="asd 18 5" xfId="2085"/>
    <cellStyle name="asd 18 5 10" xfId="17107"/>
    <cellStyle name="asd 18 5 11" xfId="19013"/>
    <cellStyle name="asd 18 5 12" xfId="20925"/>
    <cellStyle name="asd 18 5 13" xfId="23896"/>
    <cellStyle name="asd 18 5 14" xfId="24727"/>
    <cellStyle name="asd 18 5 15" xfId="26552"/>
    <cellStyle name="asd 18 5 16" xfId="1982"/>
    <cellStyle name="asd 18 5 17" xfId="30157"/>
    <cellStyle name="asd 18 5 18" xfId="31649"/>
    <cellStyle name="asd 18 5 19" xfId="34524"/>
    <cellStyle name="asd 18 5 2" xfId="4608"/>
    <cellStyle name="asd 18 5 2 10" xfId="20853"/>
    <cellStyle name="asd 18 5 2 11" xfId="22418"/>
    <cellStyle name="asd 18 5 2 12" xfId="24655"/>
    <cellStyle name="asd 18 5 2 13" xfId="27395"/>
    <cellStyle name="asd 18 5 2 14" xfId="29013"/>
    <cellStyle name="asd 18 5 2 15" xfId="30981"/>
    <cellStyle name="asd 18 5 2 16" xfId="31619"/>
    <cellStyle name="asd 18 5 2 17" xfId="2480"/>
    <cellStyle name="asd 18 5 2 18" xfId="35483"/>
    <cellStyle name="asd 18 5 2 19" xfId="37361"/>
    <cellStyle name="asd 18 5 2 2" xfId="2971"/>
    <cellStyle name="asd 18 5 2 20" xfId="38866"/>
    <cellStyle name="asd 18 5 2 21" xfId="40552"/>
    <cellStyle name="asd 18 5 2 22" xfId="42229"/>
    <cellStyle name="asd 18 5 2 3" xfId="2765"/>
    <cellStyle name="asd 18 5 2 4" xfId="9415"/>
    <cellStyle name="asd 18 5 2 5" xfId="11080"/>
    <cellStyle name="asd 18 5 2 6" xfId="12885"/>
    <cellStyle name="asd 18 5 2 7" xfId="14790"/>
    <cellStyle name="asd 18 5 2 8" xfId="17034"/>
    <cellStyle name="asd 18 5 2 9" xfId="18941"/>
    <cellStyle name="asd 18 5 20" xfId="35554"/>
    <cellStyle name="asd 18 5 21" xfId="37433"/>
    <cellStyle name="asd 18 5 22" xfId="38894"/>
    <cellStyle name="asd 18 5 23" xfId="40579"/>
    <cellStyle name="asd 18 5 24" xfId="43645"/>
    <cellStyle name="asd 18 5 3" xfId="4680"/>
    <cellStyle name="asd 18 5 4" xfId="6127"/>
    <cellStyle name="asd 18 5 5" xfId="7578"/>
    <cellStyle name="asd 18 5 6" xfId="9488"/>
    <cellStyle name="asd 18 5 7" xfId="11855"/>
    <cellStyle name="asd 18 5 8" xfId="14365"/>
    <cellStyle name="asd 18 5 9" xfId="16271"/>
    <cellStyle name="asd 18 6" xfId="2915"/>
    <cellStyle name="asd 18 6 10" xfId="19125"/>
    <cellStyle name="asd 18 6 11" xfId="21037"/>
    <cellStyle name="asd 18 6 12" xfId="23785"/>
    <cellStyle name="asd 18 6 13" xfId="24839"/>
    <cellStyle name="asd 18 6 14" xfId="26854"/>
    <cellStyle name="asd 18 6 15" xfId="29204"/>
    <cellStyle name="asd 18 6 16" xfId="30451"/>
    <cellStyle name="asd 18 6 17" xfId="31708"/>
    <cellStyle name="asd 18 6 18" xfId="33715"/>
    <cellStyle name="asd 18 6 19" xfId="35666"/>
    <cellStyle name="asd 18 6 2" xfId="5496"/>
    <cellStyle name="asd 18 6 2 10" xfId="21746"/>
    <cellStyle name="asd 18 6 2 11" xfId="24062"/>
    <cellStyle name="asd 18 6 2 12" xfId="25548"/>
    <cellStyle name="asd 18 6 2 13" xfId="27837"/>
    <cellStyle name="asd 18 6 2 14" xfId="28856"/>
    <cellStyle name="asd 18 6 2 15" xfId="31415"/>
    <cellStyle name="asd 18 6 2 16" xfId="32052"/>
    <cellStyle name="asd 18 6 2 17" xfId="34176"/>
    <cellStyle name="asd 18 6 2 18" xfId="36375"/>
    <cellStyle name="asd 18 6 2 19" xfId="38254"/>
    <cellStyle name="asd 18 6 2 2" xfId="6945"/>
    <cellStyle name="asd 18 6 2 20" xfId="39279"/>
    <cellStyle name="asd 18 6 2 21" xfId="40955"/>
    <cellStyle name="asd 18 6 2 22" xfId="43806"/>
    <cellStyle name="asd 18 6 2 3" xfId="8399"/>
    <cellStyle name="asd 18 6 2 4" xfId="10309"/>
    <cellStyle name="asd 18 6 2 5" xfId="12021"/>
    <cellStyle name="asd 18 6 2 6" xfId="14532"/>
    <cellStyle name="asd 18 6 2 7" xfId="16438"/>
    <cellStyle name="asd 18 6 2 8" xfId="17928"/>
    <cellStyle name="asd 18 6 2 9" xfId="19834"/>
    <cellStyle name="asd 18 6 20" xfId="37545"/>
    <cellStyle name="asd 18 6 21" xfId="38949"/>
    <cellStyle name="asd 18 6 22" xfId="40632"/>
    <cellStyle name="asd 18 6 23" xfId="43538"/>
    <cellStyle name="asd 18 6 3" xfId="4790"/>
    <cellStyle name="asd 18 6 4" xfId="7690"/>
    <cellStyle name="asd 18 6 5" xfId="9600"/>
    <cellStyle name="asd 18 6 6" xfId="11457"/>
    <cellStyle name="asd 18 6 7" xfId="14255"/>
    <cellStyle name="asd 18 6 8" xfId="16159"/>
    <cellStyle name="asd 18 6 9" xfId="17219"/>
    <cellStyle name="asd 18 7" xfId="2012"/>
    <cellStyle name="asd 18 7 10" xfId="18999"/>
    <cellStyle name="asd 18 7 11" xfId="20911"/>
    <cellStyle name="asd 18 7 12" xfId="22475"/>
    <cellStyle name="asd 18 7 13" xfId="24713"/>
    <cellStyle name="asd 18 7 14" xfId="27944"/>
    <cellStyle name="asd 18 7 15" xfId="29202"/>
    <cellStyle name="asd 18 7 16" xfId="31524"/>
    <cellStyle name="asd 18 7 17" xfId="33122"/>
    <cellStyle name="asd 18 7 18" xfId="34609"/>
    <cellStyle name="asd 18 7 19" xfId="35540"/>
    <cellStyle name="asd 18 7 2" xfId="5475"/>
    <cellStyle name="asd 18 7 2 10" xfId="21725"/>
    <cellStyle name="asd 18 7 2 11" xfId="23429"/>
    <cellStyle name="asd 18 7 2 12" xfId="25527"/>
    <cellStyle name="asd 18 7 2 13" xfId="26993"/>
    <cellStyle name="asd 18 7 2 14" xfId="28084"/>
    <cellStyle name="asd 18 7 2 15" xfId="30587"/>
    <cellStyle name="asd 18 7 2 16" xfId="32379"/>
    <cellStyle name="asd 18 7 2 17" xfId="34801"/>
    <cellStyle name="asd 18 7 2 18" xfId="36354"/>
    <cellStyle name="asd 18 7 2 19" xfId="38233"/>
    <cellStyle name="asd 18 7 2 2" xfId="6924"/>
    <cellStyle name="asd 18 7 2 20" xfId="39597"/>
    <cellStyle name="asd 18 7 2 21" xfId="41271"/>
    <cellStyle name="asd 18 7 2 22" xfId="43196"/>
    <cellStyle name="asd 18 7 2 3" xfId="8378"/>
    <cellStyle name="asd 18 7 2 4" xfId="10288"/>
    <cellStyle name="asd 18 7 2 5" xfId="12230"/>
    <cellStyle name="asd 18 7 2 6" xfId="13901"/>
    <cellStyle name="asd 18 7 2 7" xfId="15802"/>
    <cellStyle name="asd 18 7 2 8" xfId="17907"/>
    <cellStyle name="asd 18 7 2 9" xfId="19813"/>
    <cellStyle name="asd 18 7 20" xfId="37419"/>
    <cellStyle name="asd 18 7 21" xfId="40316"/>
    <cellStyle name="asd 18 7 22" xfId="41972"/>
    <cellStyle name="asd 18 7 23" xfId="42285"/>
    <cellStyle name="asd 18 7 3" xfId="6113"/>
    <cellStyle name="asd 18 7 4" xfId="7564"/>
    <cellStyle name="asd 18 7 5" xfId="9474"/>
    <cellStyle name="asd 18 7 6" xfId="11328"/>
    <cellStyle name="asd 18 7 7" xfId="12943"/>
    <cellStyle name="asd 18 7 8" xfId="14847"/>
    <cellStyle name="asd 18 7 9" xfId="17093"/>
    <cellStyle name="asd 18 8" xfId="4526"/>
    <cellStyle name="asd 18 9" xfId="2296"/>
    <cellStyle name="asd 19" xfId="815"/>
    <cellStyle name="asd 19 10" xfId="2116"/>
    <cellStyle name="asd 19 11" xfId="2375"/>
    <cellStyle name="asd 19 12" xfId="2732"/>
    <cellStyle name="asd 19 13" xfId="13351"/>
    <cellStyle name="asd 19 14" xfId="2013"/>
    <cellStyle name="asd 19 15" xfId="3307"/>
    <cellStyle name="asd 19 16" xfId="12224"/>
    <cellStyle name="asd 19 17" xfId="20446"/>
    <cellStyle name="asd 19 18" xfId="22764"/>
    <cellStyle name="asd 19 19" xfId="27086"/>
    <cellStyle name="asd 19 2" xfId="3516"/>
    <cellStyle name="asd 19 2 10" xfId="2586"/>
    <cellStyle name="asd 19 2 11" xfId="2001"/>
    <cellStyle name="asd 19 2 12" xfId="17020"/>
    <cellStyle name="asd 19 2 13" xfId="18927"/>
    <cellStyle name="asd 19 2 14" xfId="20839"/>
    <cellStyle name="asd 19 2 15" xfId="2034"/>
    <cellStyle name="asd 19 2 16" xfId="24641"/>
    <cellStyle name="asd 19 2 17" xfId="2151"/>
    <cellStyle name="asd 19 2 18" xfId="27988"/>
    <cellStyle name="asd 19 2 19" xfId="26145"/>
    <cellStyle name="asd 19 2 2" xfId="3696"/>
    <cellStyle name="asd 19 2 2 10" xfId="17587"/>
    <cellStyle name="asd 19 2 2 11" xfId="19493"/>
    <cellStyle name="asd 19 2 2 12" xfId="21405"/>
    <cellStyle name="asd 19 2 2 13" xfId="22877"/>
    <cellStyle name="asd 19 2 2 14" xfId="25207"/>
    <cellStyle name="asd 19 2 2 15" xfId="26462"/>
    <cellStyle name="asd 19 2 2 16" xfId="29616"/>
    <cellStyle name="asd 19 2 2 17" xfId="30068"/>
    <cellStyle name="asd 19 2 2 18" xfId="32563"/>
    <cellStyle name="asd 19 2 2 19" xfId="33377"/>
    <cellStyle name="asd 19 2 2 2" xfId="5763"/>
    <cellStyle name="asd 19 2 2 2 10" xfId="22013"/>
    <cellStyle name="asd 19 2 2 2 11" xfId="23409"/>
    <cellStyle name="asd 19 2 2 2 12" xfId="25815"/>
    <cellStyle name="asd 19 2 2 2 13" xfId="26660"/>
    <cellStyle name="asd 19 2 2 2 14" xfId="29648"/>
    <cellStyle name="asd 19 2 2 2 15" xfId="30260"/>
    <cellStyle name="asd 19 2 2 2 16" xfId="33202"/>
    <cellStyle name="asd 19 2 2 2 17" xfId="34310"/>
    <cellStyle name="asd 19 2 2 2 18" xfId="36642"/>
    <cellStyle name="asd 19 2 2 2 19" xfId="38521"/>
    <cellStyle name="asd 19 2 2 2 2" xfId="7212"/>
    <cellStyle name="asd 19 2 2 2 20" xfId="40392"/>
    <cellStyle name="asd 19 2 2 2 21" xfId="42048"/>
    <cellStyle name="asd 19 2 2 2 22" xfId="43176"/>
    <cellStyle name="asd 19 2 2 2 3" xfId="8666"/>
    <cellStyle name="asd 19 2 2 2 4" xfId="10576"/>
    <cellStyle name="asd 19 2 2 2 5" xfId="11260"/>
    <cellStyle name="asd 19 2 2 2 6" xfId="13881"/>
    <cellStyle name="asd 19 2 2 2 7" xfId="15782"/>
    <cellStyle name="asd 19 2 2 2 8" xfId="18195"/>
    <cellStyle name="asd 19 2 2 2 9" xfId="20101"/>
    <cellStyle name="asd 19 2 2 20" xfId="36034"/>
    <cellStyle name="asd 19 2 2 21" xfId="37913"/>
    <cellStyle name="asd 19 2 2 22" xfId="39775"/>
    <cellStyle name="asd 19 2 2 23" xfId="41445"/>
    <cellStyle name="asd 19 2 2 24" xfId="42664"/>
    <cellStyle name="asd 19 2 2 3" xfId="5157"/>
    <cellStyle name="asd 19 2 2 4" xfId="6607"/>
    <cellStyle name="asd 19 2 2 5" xfId="8058"/>
    <cellStyle name="asd 19 2 2 6" xfId="9968"/>
    <cellStyle name="asd 19 2 2 7" xfId="12324"/>
    <cellStyle name="asd 19 2 2 8" xfId="13345"/>
    <cellStyle name="asd 19 2 2 9" xfId="15250"/>
    <cellStyle name="asd 19 2 20" xfId="29227"/>
    <cellStyle name="asd 19 2 21" xfId="2462"/>
    <cellStyle name="asd 19 2 22" xfId="35469"/>
    <cellStyle name="asd 19 2 23" xfId="37347"/>
    <cellStyle name="asd 19 2 24" xfId="35074"/>
    <cellStyle name="asd 19 2 25" xfId="36949"/>
    <cellStyle name="asd 19 2 26" xfId="3789"/>
    <cellStyle name="asd 19 2 3" xfId="2941"/>
    <cellStyle name="asd 19 2 3 10" xfId="19130"/>
    <cellStyle name="asd 19 2 3 11" xfId="21042"/>
    <cellStyle name="asd 19 2 3 12" xfId="22982"/>
    <cellStyle name="asd 19 2 3 13" xfId="24844"/>
    <cellStyle name="asd 19 2 3 14" xfId="27808"/>
    <cellStyle name="asd 19 2 3 15" xfId="28743"/>
    <cellStyle name="asd 19 2 3 16" xfId="31386"/>
    <cellStyle name="asd 19 2 3 17" xfId="33139"/>
    <cellStyle name="asd 19 2 3 18" xfId="33937"/>
    <cellStyle name="asd 19 2 3 19" xfId="35671"/>
    <cellStyle name="asd 19 2 3 2" xfId="4511"/>
    <cellStyle name="asd 19 2 3 2 10" xfId="20756"/>
    <cellStyle name="asd 19 2 3 2 11" xfId="23082"/>
    <cellStyle name="asd 19 2 3 2 12" xfId="24558"/>
    <cellStyle name="asd 19 2 3 2 13" xfId="26578"/>
    <cellStyle name="asd 19 2 3 2 14" xfId="10906"/>
    <cellStyle name="asd 19 2 3 2 15" xfId="30181"/>
    <cellStyle name="asd 19 2 3 2 16" xfId="33330"/>
    <cellStyle name="asd 19 2 3 2 17" xfId="32701"/>
    <cellStyle name="asd 19 2 3 2 18" xfId="35386"/>
    <cellStyle name="asd 19 2 3 2 19" xfId="37264"/>
    <cellStyle name="asd 19 2 3 2 2" xfId="4250"/>
    <cellStyle name="asd 19 2 3 2 20" xfId="40510"/>
    <cellStyle name="asd 19 2 3 2 21" xfId="42162"/>
    <cellStyle name="asd 19 2 3 2 22" xfId="42864"/>
    <cellStyle name="asd 19 2 3 2 3" xfId="5295"/>
    <cellStyle name="asd 19 2 3 2 4" xfId="9318"/>
    <cellStyle name="asd 19 2 3 2 5" xfId="12692"/>
    <cellStyle name="asd 19 2 3 2 6" xfId="13553"/>
    <cellStyle name="asd 19 2 3 2 7" xfId="15456"/>
    <cellStyle name="asd 19 2 3 2 8" xfId="16937"/>
    <cellStyle name="asd 19 2 3 2 9" xfId="18844"/>
    <cellStyle name="asd 19 2 3 20" xfId="37550"/>
    <cellStyle name="asd 19 2 3 21" xfId="40332"/>
    <cellStyle name="asd 19 2 3 22" xfId="41988"/>
    <cellStyle name="asd 19 2 3 23" xfId="42768"/>
    <cellStyle name="asd 19 2 3 3" xfId="4794"/>
    <cellStyle name="asd 19 2 3 4" xfId="7695"/>
    <cellStyle name="asd 19 2 3 5" xfId="9605"/>
    <cellStyle name="asd 19 2 3 6" xfId="12328"/>
    <cellStyle name="asd 19 2 3 7" xfId="13451"/>
    <cellStyle name="asd 19 2 3 8" xfId="15356"/>
    <cellStyle name="asd 19 2 3 9" xfId="17224"/>
    <cellStyle name="asd 19 2 4" xfId="4148"/>
    <cellStyle name="asd 19 2 4 10" xfId="19783"/>
    <cellStyle name="asd 19 2 4 11" xfId="21695"/>
    <cellStyle name="asd 19 2 4 12" xfId="22521"/>
    <cellStyle name="asd 19 2 4 13" xfId="25497"/>
    <cellStyle name="asd 19 2 4 14" xfId="26593"/>
    <cellStyle name="asd 19 2 4 15" xfId="26152"/>
    <cellStyle name="asd 19 2 4 16" xfId="30195"/>
    <cellStyle name="asd 19 2 4 17" xfId="31737"/>
    <cellStyle name="asd 19 2 4 18" xfId="33756"/>
    <cellStyle name="asd 19 2 4 19" xfId="36324"/>
    <cellStyle name="asd 19 2 4 2" xfId="6053"/>
    <cellStyle name="asd 19 2 4 2 10" xfId="22303"/>
    <cellStyle name="asd 19 2 4 2 11" xfId="15960"/>
    <cellStyle name="asd 19 2 4 2 12" xfId="26105"/>
    <cellStyle name="asd 19 2 4 2 13" xfId="26575"/>
    <cellStyle name="asd 19 2 4 2 14" xfId="28514"/>
    <cellStyle name="asd 19 2 4 2 15" xfId="30177"/>
    <cellStyle name="asd 19 2 4 2 16" xfId="32207"/>
    <cellStyle name="asd 19 2 4 2 17" xfId="34033"/>
    <cellStyle name="asd 19 2 4 2 18" xfId="36932"/>
    <cellStyle name="asd 19 2 4 2 19" xfId="38811"/>
    <cellStyle name="asd 19 2 4 2 2" xfId="7502"/>
    <cellStyle name="asd 19 2 4 2 20" xfId="39427"/>
    <cellStyle name="asd 19 2 4 2 21" xfId="41103"/>
    <cellStyle name="asd 19 2 4 2 22" xfId="40804"/>
    <cellStyle name="asd 19 2 4 2 3" xfId="8956"/>
    <cellStyle name="asd 19 2 4 2 4" xfId="10866"/>
    <cellStyle name="asd 19 2 4 2 5" xfId="9438"/>
    <cellStyle name="asd 19 2 4 2 6" xfId="11637"/>
    <cellStyle name="asd 19 2 4 2 7" xfId="13466"/>
    <cellStyle name="asd 19 2 4 2 8" xfId="18485"/>
    <cellStyle name="asd 19 2 4 2 9" xfId="20391"/>
    <cellStyle name="asd 19 2 4 20" xfId="38203"/>
    <cellStyle name="asd 19 2 4 21" xfId="38978"/>
    <cellStyle name="asd 19 2 4 22" xfId="40661"/>
    <cellStyle name="asd 19 2 4 23" xfId="42331"/>
    <cellStyle name="asd 19 2 4 3" xfId="6894"/>
    <cellStyle name="asd 19 2 4 4" xfId="8348"/>
    <cellStyle name="asd 19 2 4 5" xfId="10258"/>
    <cellStyle name="asd 19 2 4 6" xfId="6666"/>
    <cellStyle name="asd 19 2 4 7" xfId="12989"/>
    <cellStyle name="asd 19 2 4 8" xfId="14893"/>
    <cellStyle name="asd 19 2 4 9" xfId="17877"/>
    <cellStyle name="asd 19 2 5" xfId="4989"/>
    <cellStyle name="asd 19 2 5 10" xfId="21237"/>
    <cellStyle name="asd 19 2 5 11" xfId="22648"/>
    <cellStyle name="asd 19 2 5 12" xfId="25039"/>
    <cellStyle name="asd 19 2 5 13" xfId="27666"/>
    <cellStyle name="asd 19 2 5 14" xfId="28246"/>
    <cellStyle name="asd 19 2 5 15" xfId="31242"/>
    <cellStyle name="asd 19 2 5 16" xfId="32966"/>
    <cellStyle name="asd 19 2 5 17" xfId="33520"/>
    <cellStyle name="asd 19 2 5 18" xfId="35866"/>
    <cellStyle name="asd 19 2 5 19" xfId="37745"/>
    <cellStyle name="asd 19 2 5 2" xfId="6439"/>
    <cellStyle name="asd 19 2 5 20" xfId="40167"/>
    <cellStyle name="asd 19 2 5 21" xfId="41826"/>
    <cellStyle name="asd 19 2 5 22" xfId="42454"/>
    <cellStyle name="asd 19 2 5 3" xfId="7890"/>
    <cellStyle name="asd 19 2 5 4" xfId="9800"/>
    <cellStyle name="asd 19 2 5 5" xfId="11493"/>
    <cellStyle name="asd 19 2 5 6" xfId="13115"/>
    <cellStyle name="asd 19 2 5 7" xfId="15020"/>
    <cellStyle name="asd 19 2 5 8" xfId="17419"/>
    <cellStyle name="asd 19 2 5 9" xfId="19325"/>
    <cellStyle name="asd 19 2 6" xfId="5667"/>
    <cellStyle name="asd 19 2 6 10" xfId="21917"/>
    <cellStyle name="asd 19 2 6 11" xfId="22516"/>
    <cellStyle name="asd 19 2 6 12" xfId="25719"/>
    <cellStyle name="asd 19 2 6 13" xfId="26464"/>
    <cellStyle name="asd 19 2 6 14" xfId="29398"/>
    <cellStyle name="asd 19 2 6 15" xfId="30069"/>
    <cellStyle name="asd 19 2 6 16" xfId="32433"/>
    <cellStyle name="asd 19 2 6 17" xfId="33801"/>
    <cellStyle name="asd 19 2 6 18" xfId="36546"/>
    <cellStyle name="asd 19 2 6 19" xfId="38425"/>
    <cellStyle name="asd 19 2 6 2" xfId="7116"/>
    <cellStyle name="asd 19 2 6 20" xfId="39650"/>
    <cellStyle name="asd 19 2 6 21" xfId="41324"/>
    <cellStyle name="asd 19 2 6 22" xfId="42326"/>
    <cellStyle name="asd 19 2 6 3" xfId="8570"/>
    <cellStyle name="asd 19 2 6 4" xfId="10480"/>
    <cellStyle name="asd 19 2 6 5" xfId="12168"/>
    <cellStyle name="asd 19 2 6 6" xfId="12984"/>
    <cellStyle name="asd 19 2 6 7" xfId="14888"/>
    <cellStyle name="asd 19 2 6 8" xfId="18099"/>
    <cellStyle name="asd 19 2 6 9" xfId="20005"/>
    <cellStyle name="asd 19 2 7" xfId="2768"/>
    <cellStyle name="asd 19 2 8" xfId="9401"/>
    <cellStyle name="asd 19 2 9" xfId="11224"/>
    <cellStyle name="asd 19 20" xfId="2906"/>
    <cellStyle name="asd 19 21" xfId="22343"/>
    <cellStyle name="asd 19 22" xfId="33350"/>
    <cellStyle name="asd 19 23" xfId="33307"/>
    <cellStyle name="asd 19 24" xfId="2399"/>
    <cellStyle name="asd 19 25" xfId="34705"/>
    <cellStyle name="asd 19 26" xfId="31995"/>
    <cellStyle name="asd 19 27" xfId="16593"/>
    <cellStyle name="asd 19 3" xfId="3438"/>
    <cellStyle name="asd 19 3 10" xfId="13622"/>
    <cellStyle name="asd 19 3 11" xfId="15525"/>
    <cellStyle name="asd 19 3 12" xfId="16820"/>
    <cellStyle name="asd 19 3 13" xfId="18727"/>
    <cellStyle name="asd 19 3 14" xfId="20639"/>
    <cellStyle name="asd 19 3 15" xfId="23151"/>
    <cellStyle name="asd 19 3 16" xfId="24441"/>
    <cellStyle name="asd 19 3 17" xfId="26872"/>
    <cellStyle name="asd 19 3 18" xfId="29162"/>
    <cellStyle name="asd 19 3 19" xfId="30468"/>
    <cellStyle name="asd 19 3 2" xfId="3618"/>
    <cellStyle name="asd 19 3 2 10" xfId="17509"/>
    <cellStyle name="asd 19 3 2 11" xfId="19415"/>
    <cellStyle name="asd 19 3 2 12" xfId="21327"/>
    <cellStyle name="asd 19 3 2 13" xfId="23473"/>
    <cellStyle name="asd 19 3 2 14" xfId="25129"/>
    <cellStyle name="asd 19 3 2 15" xfId="27327"/>
    <cellStyle name="asd 19 3 2 16" xfId="3188"/>
    <cellStyle name="asd 19 3 2 17" xfId="30916"/>
    <cellStyle name="asd 19 3 2 18" xfId="33134"/>
    <cellStyle name="asd 19 3 2 19" xfId="33919"/>
    <cellStyle name="asd 19 3 2 2" xfId="4350"/>
    <cellStyle name="asd 19 3 2 2 10" xfId="20571"/>
    <cellStyle name="asd 19 3 2 2 11" xfId="23384"/>
    <cellStyle name="asd 19 3 2 2 12" xfId="24373"/>
    <cellStyle name="asd 19 3 2 2 13" xfId="26219"/>
    <cellStyle name="asd 19 3 2 2 14" xfId="28399"/>
    <cellStyle name="asd 19 3 2 2 15" xfId="29830"/>
    <cellStyle name="asd 19 3 2 2 16" xfId="32222"/>
    <cellStyle name="asd 19 3 2 2 17" xfId="34413"/>
    <cellStyle name="asd 19 3 2 2 18" xfId="35201"/>
    <cellStyle name="asd 19 3 2 2 19" xfId="37079"/>
    <cellStyle name="asd 19 3 2 2 2" xfId="5314"/>
    <cellStyle name="asd 19 3 2 2 20" xfId="39441"/>
    <cellStyle name="asd 19 3 2 2 21" xfId="41117"/>
    <cellStyle name="asd 19 3 2 2 22" xfId="43151"/>
    <cellStyle name="asd 19 3 2 2 3" xfId="6715"/>
    <cellStyle name="asd 19 3 2 2 4" xfId="9133"/>
    <cellStyle name="asd 19 3 2 2 5" xfId="11293"/>
    <cellStyle name="asd 19 3 2 2 6" xfId="13856"/>
    <cellStyle name="asd 19 3 2 2 7" xfId="15757"/>
    <cellStyle name="asd 19 3 2 2 8" xfId="16752"/>
    <cellStyle name="asd 19 3 2 2 9" xfId="18659"/>
    <cellStyle name="asd 19 3 2 20" xfId="35956"/>
    <cellStyle name="asd 19 3 2 21" xfId="37835"/>
    <cellStyle name="asd 19 3 2 22" xfId="40328"/>
    <cellStyle name="asd 19 3 2 23" xfId="41984"/>
    <cellStyle name="asd 19 3 2 24" xfId="43240"/>
    <cellStyle name="asd 19 3 2 3" xfId="5079"/>
    <cellStyle name="asd 19 3 2 4" xfId="6529"/>
    <cellStyle name="asd 19 3 2 5" xfId="7980"/>
    <cellStyle name="asd 19 3 2 6" xfId="9890"/>
    <cellStyle name="asd 19 3 2 7" xfId="12570"/>
    <cellStyle name="asd 19 3 2 8" xfId="13945"/>
    <cellStyle name="asd 19 3 2 9" xfId="15846"/>
    <cellStyle name="asd 19 3 20" xfId="31836"/>
    <cellStyle name="asd 19 3 21" xfId="34350"/>
    <cellStyle name="asd 19 3 22" xfId="35269"/>
    <cellStyle name="asd 19 3 23" xfId="37147"/>
    <cellStyle name="asd 19 3 24" xfId="39073"/>
    <cellStyle name="asd 19 3 25" xfId="40755"/>
    <cellStyle name="asd 19 3 26" xfId="42929"/>
    <cellStyle name="asd 19 3 3" xfId="3903"/>
    <cellStyle name="asd 19 3 3 10" xfId="19607"/>
    <cellStyle name="asd 19 3 3 11" xfId="21519"/>
    <cellStyle name="asd 19 3 3 12" xfId="23124"/>
    <cellStyle name="asd 19 3 3 13" xfId="25321"/>
    <cellStyle name="asd 19 3 3 14" xfId="27079"/>
    <cellStyle name="asd 19 3 3 15" xfId="28639"/>
    <cellStyle name="asd 19 3 3 16" xfId="30670"/>
    <cellStyle name="asd 19 3 3 17" xfId="33145"/>
    <cellStyle name="asd 19 3 3 18" xfId="34991"/>
    <cellStyle name="asd 19 3 3 19" xfId="36148"/>
    <cellStyle name="asd 19 3 3 2" xfId="5877"/>
    <cellStyle name="asd 19 3 3 2 10" xfId="22127"/>
    <cellStyle name="asd 19 3 3 2 11" xfId="22837"/>
    <cellStyle name="asd 19 3 3 2 12" xfId="25929"/>
    <cellStyle name="asd 19 3 3 2 13" xfId="26618"/>
    <cellStyle name="asd 19 3 3 2 14" xfId="20440"/>
    <cellStyle name="asd 19 3 3 2 15" xfId="30221"/>
    <cellStyle name="asd 19 3 3 2 16" xfId="32326"/>
    <cellStyle name="asd 19 3 3 2 17" xfId="34758"/>
    <cellStyle name="asd 19 3 3 2 18" xfId="36756"/>
    <cellStyle name="asd 19 3 3 2 19" xfId="38635"/>
    <cellStyle name="asd 19 3 3 2 2" xfId="7326"/>
    <cellStyle name="asd 19 3 3 2 20" xfId="39545"/>
    <cellStyle name="asd 19 3 3 2 21" xfId="41219"/>
    <cellStyle name="asd 19 3 3 2 22" xfId="42628"/>
    <cellStyle name="asd 19 3 3 2 3" xfId="8780"/>
    <cellStyle name="asd 19 3 3 2 4" xfId="10690"/>
    <cellStyle name="asd 19 3 3 2 5" xfId="12380"/>
    <cellStyle name="asd 19 3 3 2 6" xfId="13306"/>
    <cellStyle name="asd 19 3 3 2 7" xfId="15210"/>
    <cellStyle name="asd 19 3 3 2 8" xfId="18309"/>
    <cellStyle name="asd 19 3 3 2 9" xfId="20215"/>
    <cellStyle name="asd 19 3 3 20" xfId="38027"/>
    <cellStyle name="asd 19 3 3 21" xfId="40338"/>
    <cellStyle name="asd 19 3 3 22" xfId="41994"/>
    <cellStyle name="asd 19 3 3 23" xfId="42903"/>
    <cellStyle name="asd 19 3 3 3" xfId="5271"/>
    <cellStyle name="asd 19 3 3 4" xfId="8172"/>
    <cellStyle name="asd 19 3 3 5" xfId="10082"/>
    <cellStyle name="asd 19 3 3 6" xfId="11826"/>
    <cellStyle name="asd 19 3 3 7" xfId="13595"/>
    <cellStyle name="asd 19 3 3 8" xfId="15498"/>
    <cellStyle name="asd 19 3 3 9" xfId="17701"/>
    <cellStyle name="asd 19 3 4" xfId="4070"/>
    <cellStyle name="asd 19 3 4 10" xfId="19705"/>
    <cellStyle name="asd 19 3 4 11" xfId="21617"/>
    <cellStyle name="asd 19 3 4 12" xfId="23321"/>
    <cellStyle name="asd 19 3 4 13" xfId="25419"/>
    <cellStyle name="asd 19 3 4 14" xfId="26952"/>
    <cellStyle name="asd 19 3 4 15" xfId="29237"/>
    <cellStyle name="asd 19 3 4 16" xfId="30546"/>
    <cellStyle name="asd 19 3 4 17" xfId="31773"/>
    <cellStyle name="asd 19 3 4 18" xfId="33395"/>
    <cellStyle name="asd 19 3 4 19" xfId="36246"/>
    <cellStyle name="asd 19 3 4 2" xfId="5975"/>
    <cellStyle name="asd 19 3 4 2 10" xfId="22225"/>
    <cellStyle name="asd 19 3 4 2 11" xfId="22495"/>
    <cellStyle name="asd 19 3 4 2 12" xfId="26027"/>
    <cellStyle name="asd 19 3 4 2 13" xfId="27026"/>
    <cellStyle name="asd 19 3 4 2 14" xfId="28370"/>
    <cellStyle name="asd 19 3 4 2 15" xfId="30619"/>
    <cellStyle name="asd 19 3 4 2 16" xfId="32382"/>
    <cellStyle name="asd 19 3 4 2 17" xfId="34067"/>
    <cellStyle name="asd 19 3 4 2 18" xfId="36854"/>
    <cellStyle name="asd 19 3 4 2 19" xfId="38733"/>
    <cellStyle name="asd 19 3 4 2 2" xfId="7424"/>
    <cellStyle name="asd 19 3 4 2 20" xfId="39600"/>
    <cellStyle name="asd 19 3 4 2 21" xfId="41274"/>
    <cellStyle name="asd 19 3 4 2 22" xfId="42305"/>
    <cellStyle name="asd 19 3 4 2 3" xfId="8878"/>
    <cellStyle name="asd 19 3 4 2 4" xfId="10788"/>
    <cellStyle name="asd 19 3 4 2 5" xfId="11368"/>
    <cellStyle name="asd 19 3 4 2 6" xfId="12963"/>
    <cellStyle name="asd 19 3 4 2 7" xfId="14867"/>
    <cellStyle name="asd 19 3 4 2 8" xfId="18407"/>
    <cellStyle name="asd 19 3 4 2 9" xfId="20313"/>
    <cellStyle name="asd 19 3 4 20" xfId="38125"/>
    <cellStyle name="asd 19 3 4 21" xfId="39012"/>
    <cellStyle name="asd 19 3 4 22" xfId="40694"/>
    <cellStyle name="asd 19 3 4 23" xfId="43092"/>
    <cellStyle name="asd 19 3 4 3" xfId="6816"/>
    <cellStyle name="asd 19 3 4 4" xfId="8270"/>
    <cellStyle name="asd 19 3 4 5" xfId="10180"/>
    <cellStyle name="asd 19 3 4 6" xfId="10960"/>
    <cellStyle name="asd 19 3 4 7" xfId="13793"/>
    <cellStyle name="asd 19 3 4 8" xfId="15695"/>
    <cellStyle name="asd 19 3 4 9" xfId="17799"/>
    <cellStyle name="asd 19 3 5" xfId="4927"/>
    <cellStyle name="asd 19 3 5 10" xfId="21175"/>
    <cellStyle name="asd 19 3 5 11" xfId="22770"/>
    <cellStyle name="asd 19 3 5 12" xfId="24977"/>
    <cellStyle name="asd 19 3 5 13" xfId="27300"/>
    <cellStyle name="asd 19 3 5 14" xfId="14728"/>
    <cellStyle name="asd 19 3 5 15" xfId="30890"/>
    <cellStyle name="asd 19 3 5 16" xfId="32275"/>
    <cellStyle name="asd 19 3 5 17" xfId="30472"/>
    <cellStyle name="asd 19 3 5 18" xfId="35804"/>
    <cellStyle name="asd 19 3 5 19" xfId="37683"/>
    <cellStyle name="asd 19 3 5 2" xfId="6377"/>
    <cellStyle name="asd 19 3 5 20" xfId="39494"/>
    <cellStyle name="asd 19 3 5 21" xfId="41169"/>
    <cellStyle name="asd 19 3 5 22" xfId="42565"/>
    <cellStyle name="asd 19 3 5 3" xfId="7828"/>
    <cellStyle name="asd 19 3 5 4" xfId="9738"/>
    <cellStyle name="asd 19 3 5 5" xfId="11173"/>
    <cellStyle name="asd 19 3 5 6" xfId="13240"/>
    <cellStyle name="asd 19 3 5 7" xfId="15143"/>
    <cellStyle name="asd 19 3 5 8" xfId="17357"/>
    <cellStyle name="asd 19 3 5 9" xfId="19263"/>
    <cellStyle name="asd 19 3 6" xfId="5676"/>
    <cellStyle name="asd 19 3 6 10" xfId="21926"/>
    <cellStyle name="asd 19 3 6 11" xfId="22644"/>
    <cellStyle name="asd 19 3 6 12" xfId="25728"/>
    <cellStyle name="asd 19 3 6 13" xfId="26486"/>
    <cellStyle name="asd 19 3 6 14" xfId="29631"/>
    <cellStyle name="asd 19 3 6 15" xfId="30092"/>
    <cellStyle name="asd 19 3 6 16" xfId="32996"/>
    <cellStyle name="asd 19 3 6 17" xfId="33938"/>
    <cellStyle name="asd 19 3 6 18" xfId="36555"/>
    <cellStyle name="asd 19 3 6 19" xfId="38434"/>
    <cellStyle name="asd 19 3 6 2" xfId="7125"/>
    <cellStyle name="asd 19 3 6 20" xfId="40197"/>
    <cellStyle name="asd 19 3 6 21" xfId="41856"/>
    <cellStyle name="asd 19 3 6 22" xfId="42450"/>
    <cellStyle name="asd 19 3 6 3" xfId="8579"/>
    <cellStyle name="asd 19 3 6 4" xfId="10489"/>
    <cellStyle name="asd 19 3 6 5" xfId="3859"/>
    <cellStyle name="asd 19 3 6 6" xfId="13111"/>
    <cellStyle name="asd 19 3 6 7" xfId="15016"/>
    <cellStyle name="asd 19 3 6 8" xfId="18108"/>
    <cellStyle name="asd 19 3 6 9" xfId="20014"/>
    <cellStyle name="asd 19 3 7" xfId="6148"/>
    <cellStyle name="asd 19 3 8" xfId="9201"/>
    <cellStyle name="asd 19 3 9" xfId="10943"/>
    <cellStyle name="asd 19 4" xfId="3443"/>
    <cellStyle name="asd 19 4 10" xfId="14836"/>
    <cellStyle name="asd 19 4 11" xfId="16827"/>
    <cellStyle name="asd 19 4 12" xfId="18734"/>
    <cellStyle name="asd 19 4 13" xfId="20646"/>
    <cellStyle name="asd 19 4 14" xfId="22463"/>
    <cellStyle name="asd 19 4 15" xfId="24448"/>
    <cellStyle name="asd 19 4 16" xfId="26539"/>
    <cellStyle name="asd 19 4 17" xfId="28481"/>
    <cellStyle name="asd 19 4 18" xfId="30145"/>
    <cellStyle name="asd 19 4 19" xfId="31884"/>
    <cellStyle name="asd 19 4 2" xfId="3623"/>
    <cellStyle name="asd 19 4 2 10" xfId="17514"/>
    <cellStyle name="asd 19 4 2 11" xfId="19420"/>
    <cellStyle name="asd 19 4 2 12" xfId="21332"/>
    <cellStyle name="asd 19 4 2 13" xfId="22456"/>
    <cellStyle name="asd 19 4 2 14" xfId="25134"/>
    <cellStyle name="asd 19 4 2 15" xfId="27664"/>
    <cellStyle name="asd 19 4 2 16" xfId="29179"/>
    <cellStyle name="asd 19 4 2 17" xfId="31240"/>
    <cellStyle name="asd 19 4 2 18" xfId="32425"/>
    <cellStyle name="asd 19 4 2 19" xfId="34401"/>
    <cellStyle name="asd 19 4 2 2" xfId="2914"/>
    <cellStyle name="asd 19 4 2 2 10" xfId="20466"/>
    <cellStyle name="asd 19 4 2 2 11" xfId="22637"/>
    <cellStyle name="asd 19 4 2 2 12" xfId="24268"/>
    <cellStyle name="asd 19 4 2 2 13" xfId="26370"/>
    <cellStyle name="asd 19 4 2 2 14" xfId="28057"/>
    <cellStyle name="asd 19 4 2 2 15" xfId="29978"/>
    <cellStyle name="asd 19 4 2 2 16" xfId="32228"/>
    <cellStyle name="asd 19 4 2 2 17" xfId="34610"/>
    <cellStyle name="asd 19 4 2 2 18" xfId="35096"/>
    <cellStyle name="asd 19 4 2 2 19" xfId="36974"/>
    <cellStyle name="asd 19 4 2 2 2" xfId="4406"/>
    <cellStyle name="asd 19 4 2 2 20" xfId="39447"/>
    <cellStyle name="asd 19 4 2 2 21" xfId="41122"/>
    <cellStyle name="asd 19 4 2 2 22" xfId="42443"/>
    <cellStyle name="asd 19 4 2 2 3" xfId="4465"/>
    <cellStyle name="asd 19 4 2 2 4" xfId="9028"/>
    <cellStyle name="asd 19 4 2 2 5" xfId="12437"/>
    <cellStyle name="asd 19 4 2 2 6" xfId="13104"/>
    <cellStyle name="asd 19 4 2 2 7" xfId="15009"/>
    <cellStyle name="asd 19 4 2 2 8" xfId="16647"/>
    <cellStyle name="asd 19 4 2 2 9" xfId="18554"/>
    <cellStyle name="asd 19 4 2 20" xfId="35961"/>
    <cellStyle name="asd 19 4 2 21" xfId="37840"/>
    <cellStyle name="asd 19 4 2 22" xfId="39642"/>
    <cellStyle name="asd 19 4 2 23" xfId="41316"/>
    <cellStyle name="asd 19 4 2 24" xfId="42267"/>
    <cellStyle name="asd 19 4 2 3" xfId="5084"/>
    <cellStyle name="asd 19 4 2 4" xfId="6534"/>
    <cellStyle name="asd 19 4 2 5" xfId="7985"/>
    <cellStyle name="asd 19 4 2 6" xfId="9895"/>
    <cellStyle name="asd 19 4 2 7" xfId="2854"/>
    <cellStyle name="asd 19 4 2 8" xfId="12924"/>
    <cellStyle name="asd 19 4 2 9" xfId="14829"/>
    <cellStyle name="asd 19 4 20" xfId="33376"/>
    <cellStyle name="asd 19 4 21" xfId="35276"/>
    <cellStyle name="asd 19 4 22" xfId="37154"/>
    <cellStyle name="asd 19 4 23" xfId="39119"/>
    <cellStyle name="asd 19 4 24" xfId="40800"/>
    <cellStyle name="asd 19 4 25" xfId="42274"/>
    <cellStyle name="asd 19 4 3" xfId="2544"/>
    <cellStyle name="asd 19 4 3 10" xfId="19080"/>
    <cellStyle name="asd 19 4 3 11" xfId="20992"/>
    <cellStyle name="asd 19 4 3 12" xfId="23175"/>
    <cellStyle name="asd 19 4 3 13" xfId="24794"/>
    <cellStyle name="asd 19 4 3 14" xfId="26381"/>
    <cellStyle name="asd 19 4 3 15" xfId="28158"/>
    <cellStyle name="asd 19 4 3 16" xfId="29989"/>
    <cellStyle name="asd 19 4 3 17" xfId="33066"/>
    <cellStyle name="asd 19 4 3 18" xfId="34346"/>
    <cellStyle name="asd 19 4 3 19" xfId="35621"/>
    <cellStyle name="asd 19 4 3 2" xfId="5653"/>
    <cellStyle name="asd 19 4 3 2 10" xfId="21903"/>
    <cellStyle name="asd 19 4 3 2 11" xfId="23489"/>
    <cellStyle name="asd 19 4 3 2 12" xfId="25705"/>
    <cellStyle name="asd 19 4 3 2 13" xfId="26870"/>
    <cellStyle name="asd 19 4 3 2 14" xfId="29666"/>
    <cellStyle name="asd 19 4 3 2 15" xfId="30466"/>
    <cellStyle name="asd 19 4 3 2 16" xfId="32088"/>
    <cellStyle name="asd 19 4 3 2 17" xfId="33900"/>
    <cellStyle name="asd 19 4 3 2 18" xfId="36532"/>
    <cellStyle name="asd 19 4 3 2 19" xfId="38411"/>
    <cellStyle name="asd 19 4 3 2 2" xfId="7102"/>
    <cellStyle name="asd 19 4 3 2 20" xfId="39312"/>
    <cellStyle name="asd 19 4 3 2 21" xfId="40988"/>
    <cellStyle name="asd 19 4 3 2 22" xfId="43255"/>
    <cellStyle name="asd 19 4 3 2 3" xfId="8556"/>
    <cellStyle name="asd 19 4 3 2 4" xfId="10466"/>
    <cellStyle name="asd 19 4 3 2 5" xfId="12523"/>
    <cellStyle name="asd 19 4 3 2 6" xfId="13961"/>
    <cellStyle name="asd 19 4 3 2 7" xfId="15862"/>
    <cellStyle name="asd 19 4 3 2 8" xfId="18085"/>
    <cellStyle name="asd 19 4 3 2 9" xfId="19991"/>
    <cellStyle name="asd 19 4 3 20" xfId="37500"/>
    <cellStyle name="asd 19 4 3 21" xfId="40262"/>
    <cellStyle name="asd 19 4 3 22" xfId="41920"/>
    <cellStyle name="asd 19 4 3 23" xfId="42953"/>
    <cellStyle name="asd 19 4 3 3" xfId="4745"/>
    <cellStyle name="asd 19 4 3 4" xfId="7645"/>
    <cellStyle name="asd 19 4 3 5" xfId="9555"/>
    <cellStyle name="asd 19 4 3 6" xfId="11001"/>
    <cellStyle name="asd 19 4 3 7" xfId="13646"/>
    <cellStyle name="asd 19 4 3 8" xfId="15549"/>
    <cellStyle name="asd 19 4 3 9" xfId="17174"/>
    <cellStyle name="asd 19 4 4" xfId="4075"/>
    <cellStyle name="asd 19 4 4 10" xfId="19710"/>
    <cellStyle name="asd 19 4 4 11" xfId="21622"/>
    <cellStyle name="asd 19 4 4 12" xfId="23135"/>
    <cellStyle name="asd 19 4 4 13" xfId="25424"/>
    <cellStyle name="asd 19 4 4 14" xfId="15667"/>
    <cellStyle name="asd 19 4 4 15" xfId="2867"/>
    <cellStyle name="asd 19 4 4 16" xfId="2274"/>
    <cellStyle name="asd 19 4 4 17" xfId="10918"/>
    <cellStyle name="asd 19 4 4 18" xfId="3026"/>
    <cellStyle name="asd 19 4 4 19" xfId="36251"/>
    <cellStyle name="asd 19 4 4 2" xfId="5980"/>
    <cellStyle name="asd 19 4 4 2 10" xfId="22230"/>
    <cellStyle name="asd 19 4 4 2 11" xfId="22814"/>
    <cellStyle name="asd 19 4 4 2 12" xfId="26032"/>
    <cellStyle name="asd 19 4 4 2 13" xfId="26621"/>
    <cellStyle name="asd 19 4 4 2 14" xfId="29180"/>
    <cellStyle name="asd 19 4 4 2 15" xfId="30224"/>
    <cellStyle name="asd 19 4 4 2 16" xfId="32586"/>
    <cellStyle name="asd 19 4 4 2 17" xfId="34593"/>
    <cellStyle name="asd 19 4 4 2 18" xfId="36859"/>
    <cellStyle name="asd 19 4 4 2 19" xfId="38738"/>
    <cellStyle name="asd 19 4 4 2 2" xfId="7429"/>
    <cellStyle name="asd 19 4 4 2 20" xfId="39797"/>
    <cellStyle name="asd 19 4 4 2 21" xfId="41466"/>
    <cellStyle name="asd 19 4 4 2 22" xfId="42607"/>
    <cellStyle name="asd 19 4 4 2 3" xfId="8883"/>
    <cellStyle name="asd 19 4 4 2 4" xfId="10793"/>
    <cellStyle name="asd 19 4 4 2 5" xfId="12371"/>
    <cellStyle name="asd 19 4 4 2 6" xfId="13284"/>
    <cellStyle name="asd 19 4 4 2 7" xfId="15188"/>
    <cellStyle name="asd 19 4 4 2 8" xfId="18412"/>
    <cellStyle name="asd 19 4 4 2 9" xfId="20318"/>
    <cellStyle name="asd 19 4 4 20" xfId="38130"/>
    <cellStyle name="asd 19 4 4 21" xfId="2912"/>
    <cellStyle name="asd 19 4 4 22" xfId="31731"/>
    <cellStyle name="asd 19 4 4 23" xfId="42913"/>
    <cellStyle name="asd 19 4 4 3" xfId="6821"/>
    <cellStyle name="asd 19 4 4 4" xfId="8275"/>
    <cellStyle name="asd 19 4 4 5" xfId="10185"/>
    <cellStyle name="asd 19 4 4 6" xfId="12759"/>
    <cellStyle name="asd 19 4 4 7" xfId="13606"/>
    <cellStyle name="asd 19 4 4 8" xfId="15509"/>
    <cellStyle name="asd 19 4 4 9" xfId="17804"/>
    <cellStyle name="asd 19 4 5" xfId="3754"/>
    <cellStyle name="asd 19 4 5 10" xfId="20620"/>
    <cellStyle name="asd 19 4 5 11" xfId="22383"/>
    <cellStyle name="asd 19 4 5 12" xfId="24422"/>
    <cellStyle name="asd 19 4 5 13" xfId="26497"/>
    <cellStyle name="asd 19 4 5 14" xfId="29244"/>
    <cellStyle name="asd 19 4 5 15" xfId="30102"/>
    <cellStyle name="asd 19 4 5 16" xfId="31821"/>
    <cellStyle name="asd 19 4 5 17" xfId="33487"/>
    <cellStyle name="asd 19 4 5 18" xfId="35250"/>
    <cellStyle name="asd 19 4 5 19" xfId="37128"/>
    <cellStyle name="asd 19 4 5 2" xfId="4488"/>
    <cellStyle name="asd 19 4 5 20" xfId="39059"/>
    <cellStyle name="asd 19 4 5 21" xfId="40741"/>
    <cellStyle name="asd 19 4 5 22" xfId="42194"/>
    <cellStyle name="asd 19 4 5 3" xfId="2514"/>
    <cellStyle name="asd 19 4 5 4" xfId="9182"/>
    <cellStyle name="asd 19 4 5 5" xfId="11714"/>
    <cellStyle name="asd 19 4 5 6" xfId="12850"/>
    <cellStyle name="asd 19 4 5 7" xfId="14755"/>
    <cellStyle name="asd 19 4 5 8" xfId="16801"/>
    <cellStyle name="asd 19 4 5 9" xfId="18708"/>
    <cellStyle name="asd 19 4 6" xfId="6615"/>
    <cellStyle name="asd 19 4 7" xfId="9208"/>
    <cellStyle name="asd 19 4 8" xfId="11439"/>
    <cellStyle name="asd 19 4 9" xfId="12931"/>
    <cellStyle name="asd 19 5" xfId="2689"/>
    <cellStyle name="asd 19 5 10" xfId="17187"/>
    <cellStyle name="asd 19 5 11" xfId="19093"/>
    <cellStyle name="asd 19 5 12" xfId="21005"/>
    <cellStyle name="asd 19 5 13" xfId="22904"/>
    <cellStyle name="asd 19 5 14" xfId="24807"/>
    <cellStyle name="asd 19 5 15" xfId="27686"/>
    <cellStyle name="asd 19 5 16" xfId="29075"/>
    <cellStyle name="asd 19 5 17" xfId="31260"/>
    <cellStyle name="asd 19 5 18" xfId="32419"/>
    <cellStyle name="asd 19 5 19" xfId="34699"/>
    <cellStyle name="asd 19 5 2" xfId="5608"/>
    <cellStyle name="asd 19 5 2 10" xfId="21858"/>
    <cellStyle name="asd 19 5 2 11" xfId="22498"/>
    <cellStyle name="asd 19 5 2 12" xfId="25660"/>
    <cellStyle name="asd 19 5 2 13" xfId="26576"/>
    <cellStyle name="asd 19 5 2 14" xfId="28275"/>
    <cellStyle name="asd 19 5 2 15" xfId="30178"/>
    <cellStyle name="asd 19 5 2 16" xfId="32276"/>
    <cellStyle name="asd 19 5 2 17" xfId="34868"/>
    <cellStyle name="asd 19 5 2 18" xfId="36487"/>
    <cellStyle name="asd 19 5 2 19" xfId="38366"/>
    <cellStyle name="asd 19 5 2 2" xfId="7057"/>
    <cellStyle name="asd 19 5 2 20" xfId="39495"/>
    <cellStyle name="asd 19 5 2 21" xfId="41170"/>
    <cellStyle name="asd 19 5 2 22" xfId="42308"/>
    <cellStyle name="asd 19 5 2 3" xfId="8511"/>
    <cellStyle name="asd 19 5 2 4" xfId="10421"/>
    <cellStyle name="asd 19 5 2 5" xfId="11753"/>
    <cellStyle name="asd 19 5 2 6" xfId="12966"/>
    <cellStyle name="asd 19 5 2 7" xfId="14870"/>
    <cellStyle name="asd 19 5 2 8" xfId="18040"/>
    <cellStyle name="asd 19 5 2 9" xfId="19946"/>
    <cellStyle name="asd 19 5 20" xfId="35634"/>
    <cellStyle name="asd 19 5 21" xfId="37513"/>
    <cellStyle name="asd 19 5 22" xfId="39636"/>
    <cellStyle name="asd 19 5 23" xfId="41310"/>
    <cellStyle name="asd 19 5 24" xfId="42690"/>
    <cellStyle name="asd 19 5 3" xfId="4758"/>
    <cellStyle name="asd 19 5 4" xfId="6207"/>
    <cellStyle name="asd 19 5 5" xfId="7658"/>
    <cellStyle name="asd 19 5 6" xfId="9568"/>
    <cellStyle name="asd 19 5 7" xfId="11274"/>
    <cellStyle name="asd 19 5 8" xfId="13372"/>
    <cellStyle name="asd 19 5 9" xfId="15277"/>
    <cellStyle name="asd 19 6" xfId="3282"/>
    <cellStyle name="asd 19 6 10" xfId="19191"/>
    <cellStyle name="asd 19 6 11" xfId="21103"/>
    <cellStyle name="asd 19 6 12" xfId="22542"/>
    <cellStyle name="asd 19 6 13" xfId="24905"/>
    <cellStyle name="asd 19 6 14" xfId="27228"/>
    <cellStyle name="asd 19 6 15" xfId="28879"/>
    <cellStyle name="asd 19 6 16" xfId="30819"/>
    <cellStyle name="asd 19 6 17" xfId="32652"/>
    <cellStyle name="asd 19 6 18" xfId="35016"/>
    <cellStyle name="asd 19 6 19" xfId="35732"/>
    <cellStyle name="asd 19 6 2" xfId="4518"/>
    <cellStyle name="asd 19 6 2 10" xfId="20763"/>
    <cellStyle name="asd 19 6 2 11" xfId="22557"/>
    <cellStyle name="asd 19 6 2 12" xfId="24565"/>
    <cellStyle name="asd 19 6 2 13" xfId="27250"/>
    <cellStyle name="asd 19 6 2 14" xfId="28717"/>
    <cellStyle name="asd 19 6 2 15" xfId="30841"/>
    <cellStyle name="asd 19 6 2 16" xfId="32402"/>
    <cellStyle name="asd 19 6 2 17" xfId="33628"/>
    <cellStyle name="asd 19 6 2 18" xfId="35393"/>
    <cellStyle name="asd 19 6 2 19" xfId="37271"/>
    <cellStyle name="asd 19 6 2 2" xfId="5445"/>
    <cellStyle name="asd 19 6 2 20" xfId="39619"/>
    <cellStyle name="asd 19 6 2 21" xfId="41293"/>
    <cellStyle name="asd 19 6 2 22" xfId="42366"/>
    <cellStyle name="asd 19 6 2 3" xfId="6244"/>
    <cellStyle name="asd 19 6 2 4" xfId="9325"/>
    <cellStyle name="asd 19 6 2 5" xfId="10982"/>
    <cellStyle name="asd 19 6 2 6" xfId="13025"/>
    <cellStyle name="asd 19 6 2 7" xfId="14929"/>
    <cellStyle name="asd 19 6 2 8" xfId="16944"/>
    <cellStyle name="asd 19 6 2 9" xfId="18851"/>
    <cellStyle name="asd 19 6 20" xfId="37611"/>
    <cellStyle name="asd 19 6 21" xfId="39859"/>
    <cellStyle name="asd 19 6 22" xfId="41528"/>
    <cellStyle name="asd 19 6 23" xfId="42351"/>
    <cellStyle name="asd 19 6 3" xfId="4855"/>
    <cellStyle name="asd 19 6 4" xfId="7756"/>
    <cellStyle name="asd 19 6 5" xfId="9666"/>
    <cellStyle name="asd 19 6 6" xfId="11365"/>
    <cellStyle name="asd 19 6 7" xfId="13010"/>
    <cellStyle name="asd 19 6 8" xfId="14914"/>
    <cellStyle name="asd 19 6 9" xfId="17285"/>
    <cellStyle name="asd 19 7" xfId="2705"/>
    <cellStyle name="asd 19 7 10" xfId="19096"/>
    <cellStyle name="asd 19 7 11" xfId="21008"/>
    <cellStyle name="asd 19 7 12" xfId="22436"/>
    <cellStyle name="asd 19 7 13" xfId="24810"/>
    <cellStyle name="asd 19 7 14" xfId="26780"/>
    <cellStyle name="asd 19 7 15" xfId="29299"/>
    <cellStyle name="asd 19 7 16" xfId="30379"/>
    <cellStyle name="asd 19 7 17" xfId="31749"/>
    <cellStyle name="asd 19 7 18" xfId="34916"/>
    <cellStyle name="asd 19 7 19" xfId="35637"/>
    <cellStyle name="asd 19 7 2" xfId="5658"/>
    <cellStyle name="asd 19 7 2 10" xfId="21908"/>
    <cellStyle name="asd 19 7 2 11" xfId="22496"/>
    <cellStyle name="asd 19 7 2 12" xfId="25710"/>
    <cellStyle name="asd 19 7 2 13" xfId="26349"/>
    <cellStyle name="asd 19 7 2 14" xfId="29219"/>
    <cellStyle name="asd 19 7 2 15" xfId="29957"/>
    <cellStyle name="asd 19 7 2 16" xfId="32190"/>
    <cellStyle name="asd 19 7 2 17" xfId="34981"/>
    <cellStyle name="asd 19 7 2 18" xfId="36537"/>
    <cellStyle name="asd 19 7 2 19" xfId="38416"/>
    <cellStyle name="asd 19 7 2 2" xfId="7107"/>
    <cellStyle name="asd 19 7 2 20" xfId="39412"/>
    <cellStyle name="asd 19 7 2 21" xfId="41088"/>
    <cellStyle name="asd 19 7 2 22" xfId="42306"/>
    <cellStyle name="asd 19 7 2 3" xfId="8561"/>
    <cellStyle name="asd 19 7 2 4" xfId="10471"/>
    <cellStyle name="asd 19 7 2 5" xfId="12258"/>
    <cellStyle name="asd 19 7 2 6" xfId="12964"/>
    <cellStyle name="asd 19 7 2 7" xfId="14868"/>
    <cellStyle name="asd 19 7 2 8" xfId="18090"/>
    <cellStyle name="asd 19 7 2 9" xfId="19996"/>
    <cellStyle name="asd 19 7 20" xfId="37516"/>
    <cellStyle name="asd 19 7 21" xfId="38989"/>
    <cellStyle name="asd 19 7 22" xfId="40672"/>
    <cellStyle name="asd 19 7 23" xfId="42247"/>
    <cellStyle name="asd 19 7 3" xfId="6210"/>
    <cellStyle name="asd 19 7 4" xfId="7661"/>
    <cellStyle name="asd 19 7 5" xfId="9571"/>
    <cellStyle name="asd 19 7 6" xfId="11384"/>
    <cellStyle name="asd 19 7 7" xfId="12904"/>
    <cellStyle name="asd 19 7 8" xfId="14809"/>
    <cellStyle name="asd 19 7 9" xfId="17190"/>
    <cellStyle name="asd 19 8" xfId="2017"/>
    <cellStyle name="asd 19 9" xfId="2822"/>
    <cellStyle name="asd 2" xfId="680"/>
    <cellStyle name="asd 2 10" xfId="3151"/>
    <cellStyle name="asd 2 11" xfId="2280"/>
    <cellStyle name="asd 2 12" xfId="2949"/>
    <cellStyle name="asd 2 13" xfId="1771"/>
    <cellStyle name="asd 2 14" xfId="2511"/>
    <cellStyle name="asd 2 15" xfId="5427"/>
    <cellStyle name="asd 2 16" xfId="2997"/>
    <cellStyle name="asd 2 17" xfId="3761"/>
    <cellStyle name="asd 2 18" xfId="20437"/>
    <cellStyle name="asd 2 19" xfId="20439"/>
    <cellStyle name="asd 2 2" xfId="3387"/>
    <cellStyle name="asd 2 2 10" xfId="14511"/>
    <cellStyle name="asd 2 2 11" xfId="16417"/>
    <cellStyle name="asd 2 2 12" xfId="16716"/>
    <cellStyle name="asd 2 2 13" xfId="18623"/>
    <cellStyle name="asd 2 2 14" xfId="20535"/>
    <cellStyle name="asd 2 2 15" xfId="24041"/>
    <cellStyle name="asd 2 2 16" xfId="24337"/>
    <cellStyle name="asd 2 2 17" xfId="26725"/>
    <cellStyle name="asd 2 2 18" xfId="28675"/>
    <cellStyle name="asd 2 2 19" xfId="30325"/>
    <cellStyle name="asd 2 2 2" xfId="3567"/>
    <cellStyle name="asd 2 2 2 10" xfId="17458"/>
    <cellStyle name="asd 2 2 2 11" xfId="19364"/>
    <cellStyle name="asd 2 2 2 12" xfId="21276"/>
    <cellStyle name="asd 2 2 2 13" xfId="23600"/>
    <cellStyle name="asd 2 2 2 14" xfId="25078"/>
    <cellStyle name="asd 2 2 2 15" xfId="26579"/>
    <cellStyle name="asd 2 2 2 16" xfId="28900"/>
    <cellStyle name="asd 2 2 2 17" xfId="30182"/>
    <cellStyle name="asd 2 2 2 18" xfId="32763"/>
    <cellStyle name="asd 2 2 2 19" xfId="33534"/>
    <cellStyle name="asd 2 2 2 2" xfId="3195"/>
    <cellStyle name="asd 2 2 2 2 10" xfId="20462"/>
    <cellStyle name="asd 2 2 2 2 11" xfId="23930"/>
    <cellStyle name="asd 2 2 2 2 12" xfId="24264"/>
    <cellStyle name="asd 2 2 2 2 13" xfId="26384"/>
    <cellStyle name="asd 2 2 2 2 14" xfId="28380"/>
    <cellStyle name="asd 2 2 2 2 15" xfId="29992"/>
    <cellStyle name="asd 2 2 2 2 16" xfId="32031"/>
    <cellStyle name="asd 2 2 2 2 17" xfId="33483"/>
    <cellStyle name="asd 2 2 2 2 18" xfId="35092"/>
    <cellStyle name="asd 2 2 2 2 19" xfId="36970"/>
    <cellStyle name="asd 2 2 2 2 2" xfId="4766"/>
    <cellStyle name="asd 2 2 2 2 20" xfId="39261"/>
    <cellStyle name="asd 2 2 2 2 21" xfId="40938"/>
    <cellStyle name="asd 2 2 2 2 22" xfId="43676"/>
    <cellStyle name="asd 2 2 2 2 3" xfId="6085"/>
    <cellStyle name="asd 2 2 2 2 4" xfId="9024"/>
    <cellStyle name="asd 2 2 2 2 5" xfId="11889"/>
    <cellStyle name="asd 2 2 2 2 6" xfId="14399"/>
    <cellStyle name="asd 2 2 2 2 7" xfId="16305"/>
    <cellStyle name="asd 2 2 2 2 8" xfId="16643"/>
    <cellStyle name="asd 2 2 2 2 9" xfId="18550"/>
    <cellStyle name="asd 2 2 2 20" xfId="35905"/>
    <cellStyle name="asd 2 2 2 21" xfId="37784"/>
    <cellStyle name="asd 2 2 2 22" xfId="39972"/>
    <cellStyle name="asd 2 2 2 23" xfId="41636"/>
    <cellStyle name="asd 2 2 2 24" xfId="43359"/>
    <cellStyle name="asd 2 2 2 3" xfId="5028"/>
    <cellStyle name="asd 2 2 2 4" xfId="6478"/>
    <cellStyle name="asd 2 2 2 5" xfId="7929"/>
    <cellStyle name="asd 2 2 2 6" xfId="9839"/>
    <cellStyle name="asd 2 2 2 7" xfId="11338"/>
    <cellStyle name="asd 2 2 2 8" xfId="14070"/>
    <cellStyle name="asd 2 2 2 9" xfId="15973"/>
    <cellStyle name="asd 2 2 20" xfId="32294"/>
    <cellStyle name="asd 2 2 21" xfId="34651"/>
    <cellStyle name="asd 2 2 22" xfId="35165"/>
    <cellStyle name="asd 2 2 23" xfId="37043"/>
    <cellStyle name="asd 2 2 24" xfId="39514"/>
    <cellStyle name="asd 2 2 25" xfId="41188"/>
    <cellStyle name="asd 2 2 26" xfId="43785"/>
    <cellStyle name="asd 2 2 3" xfId="1927"/>
    <cellStyle name="asd 2 2 3 10" xfId="18987"/>
    <cellStyle name="asd 2 2 3 11" xfId="20899"/>
    <cellStyle name="asd 2 2 3 12" xfId="23678"/>
    <cellStyle name="asd 2 2 3 13" xfId="24701"/>
    <cellStyle name="asd 2 2 3 14" xfId="27904"/>
    <cellStyle name="asd 2 2 3 15" xfId="28205"/>
    <cellStyle name="asd 2 2 3 16" xfId="31486"/>
    <cellStyle name="asd 2 2 3 17" xfId="32547"/>
    <cellStyle name="asd 2 2 3 18" xfId="34768"/>
    <cellStyle name="asd 2 2 3 19" xfId="35528"/>
    <cellStyle name="asd 2 2 3 2" xfId="4543"/>
    <cellStyle name="asd 2 2 3 2 10" xfId="20788"/>
    <cellStyle name="asd 2 2 3 2 11" xfId="22592"/>
    <cellStyle name="asd 2 2 3 2 12" xfId="24590"/>
    <cellStyle name="asd 2 2 3 2 13" xfId="27211"/>
    <cellStyle name="asd 2 2 3 2 14" xfId="3926"/>
    <cellStyle name="asd 2 2 3 2 15" xfId="30802"/>
    <cellStyle name="asd 2 2 3 2 16" xfId="32260"/>
    <cellStyle name="asd 2 2 3 2 17" xfId="34962"/>
    <cellStyle name="asd 2 2 3 2 18" xfId="35418"/>
    <cellStyle name="asd 2 2 3 2 19" xfId="37296"/>
    <cellStyle name="asd 2 2 3 2 2" xfId="4493"/>
    <cellStyle name="asd 2 2 3 2 20" xfId="39478"/>
    <cellStyle name="asd 2 2 3 2 21" xfId="41153"/>
    <cellStyle name="asd 2 2 3 2 22" xfId="42401"/>
    <cellStyle name="asd 2 2 3 2 3" xfId="4504"/>
    <cellStyle name="asd 2 2 3 2 4" xfId="9350"/>
    <cellStyle name="asd 2 2 3 2 5" xfId="11661"/>
    <cellStyle name="asd 2 2 3 2 6" xfId="13060"/>
    <cellStyle name="asd 2 2 3 2 7" xfId="14964"/>
    <cellStyle name="asd 2 2 3 2 8" xfId="16969"/>
    <cellStyle name="asd 2 2 3 2 9" xfId="18876"/>
    <cellStyle name="asd 2 2 3 20" xfId="37407"/>
    <cellStyle name="asd 2 2 3 21" xfId="39760"/>
    <cellStyle name="asd 2 2 3 22" xfId="41432"/>
    <cellStyle name="asd 2 2 3 23" xfId="43435"/>
    <cellStyle name="asd 2 2 3 3" xfId="4655"/>
    <cellStyle name="asd 2 2 3 4" xfId="7552"/>
    <cellStyle name="asd 2 2 3 5" xfId="9462"/>
    <cellStyle name="asd 2 2 3 6" xfId="11357"/>
    <cellStyle name="asd 2 2 3 7" xfId="14148"/>
    <cellStyle name="asd 2 2 3 8" xfId="16052"/>
    <cellStyle name="asd 2 2 3 9" xfId="17081"/>
    <cellStyle name="asd 2 2 4" xfId="4019"/>
    <cellStyle name="asd 2 2 4 10" xfId="19654"/>
    <cellStyle name="asd 2 2 4 11" xfId="21566"/>
    <cellStyle name="asd 2 2 4 12" xfId="22789"/>
    <cellStyle name="asd 2 2 4 13" xfId="25368"/>
    <cellStyle name="asd 2 2 4 14" xfId="27103"/>
    <cellStyle name="asd 2 2 4 15" xfId="28255"/>
    <cellStyle name="asd 2 2 4 16" xfId="30694"/>
    <cellStyle name="asd 2 2 4 17" xfId="33114"/>
    <cellStyle name="asd 2 2 4 18" xfId="33389"/>
    <cellStyle name="asd 2 2 4 19" xfId="36195"/>
    <cellStyle name="asd 2 2 4 2" xfId="5924"/>
    <cellStyle name="asd 2 2 4 2 10" xfId="22174"/>
    <cellStyle name="asd 2 2 4 2 11" xfId="23083"/>
    <cellStyle name="asd 2 2 4 2 12" xfId="25976"/>
    <cellStyle name="asd 2 2 4 2 13" xfId="15469"/>
    <cellStyle name="asd 2 2 4 2 14" xfId="15442"/>
    <cellStyle name="asd 2 2 4 2 15" xfId="14657"/>
    <cellStyle name="asd 2 2 4 2 16" xfId="28173"/>
    <cellStyle name="asd 2 2 4 2 17" xfId="33360"/>
    <cellStyle name="asd 2 2 4 2 18" xfId="36803"/>
    <cellStyle name="asd 2 2 4 2 19" xfId="38682"/>
    <cellStyle name="asd 2 2 4 2 2" xfId="7373"/>
    <cellStyle name="asd 2 2 4 2 20" xfId="4232"/>
    <cellStyle name="asd 2 2 4 2 21" xfId="35047"/>
    <cellStyle name="asd 2 2 4 2 22" xfId="42865"/>
    <cellStyle name="asd 2 2 4 2 3" xfId="8827"/>
    <cellStyle name="asd 2 2 4 2 4" xfId="10737"/>
    <cellStyle name="asd 2 2 4 2 5" xfId="12693"/>
    <cellStyle name="asd 2 2 4 2 6" xfId="13554"/>
    <cellStyle name="asd 2 2 4 2 7" xfId="15457"/>
    <cellStyle name="asd 2 2 4 2 8" xfId="18356"/>
    <cellStyle name="asd 2 2 4 2 9" xfId="20262"/>
    <cellStyle name="asd 2 2 4 20" xfId="38074"/>
    <cellStyle name="asd 2 2 4 21" xfId="40309"/>
    <cellStyle name="asd 2 2 4 22" xfId="41965"/>
    <cellStyle name="asd 2 2 4 23" xfId="42582"/>
    <cellStyle name="asd 2 2 4 3" xfId="6765"/>
    <cellStyle name="asd 2 2 4 4" xfId="8219"/>
    <cellStyle name="asd 2 2 4 5" xfId="10129"/>
    <cellStyle name="asd 2 2 4 6" xfId="11035"/>
    <cellStyle name="asd 2 2 4 7" xfId="13258"/>
    <cellStyle name="asd 2 2 4 8" xfId="15162"/>
    <cellStyle name="asd 2 2 4 9" xfId="17748"/>
    <cellStyle name="asd 2 2 5" xfId="4888"/>
    <cellStyle name="asd 2 2 5 10" xfId="21136"/>
    <cellStyle name="asd 2 2 5 11" xfId="23859"/>
    <cellStyle name="asd 2 2 5 12" xfId="24938"/>
    <cellStyle name="asd 2 2 5 13" xfId="4319"/>
    <cellStyle name="asd 2 2 5 14" xfId="3348"/>
    <cellStyle name="asd 2 2 5 15" xfId="2541"/>
    <cellStyle name="asd 2 2 5 16" xfId="3982"/>
    <cellStyle name="asd 2 2 5 17" xfId="28483"/>
    <cellStyle name="asd 2 2 5 18" xfId="35765"/>
    <cellStyle name="asd 2 2 5 19" xfId="37644"/>
    <cellStyle name="asd 2 2 5 2" xfId="6338"/>
    <cellStyle name="asd 2 2 5 20" xfId="34483"/>
    <cellStyle name="asd 2 2 5 21" xfId="35080"/>
    <cellStyle name="asd 2 2 5 22" xfId="43609"/>
    <cellStyle name="asd 2 2 5 3" xfId="7789"/>
    <cellStyle name="asd 2 2 5 4" xfId="9699"/>
    <cellStyle name="asd 2 2 5 5" xfId="11377"/>
    <cellStyle name="asd 2 2 5 6" xfId="14329"/>
    <cellStyle name="asd 2 2 5 7" xfId="16233"/>
    <cellStyle name="asd 2 2 5 8" xfId="17318"/>
    <cellStyle name="asd 2 2 5 9" xfId="19224"/>
    <cellStyle name="asd 2 2 6" xfId="5575"/>
    <cellStyle name="asd 2 2 6 10" xfId="21825"/>
    <cellStyle name="asd 2 2 6 11" xfId="23858"/>
    <cellStyle name="asd 2 2 6 12" xfId="25627"/>
    <cellStyle name="asd 2 2 6 13" xfId="26239"/>
    <cellStyle name="asd 2 2 6 14" xfId="29513"/>
    <cellStyle name="asd 2 2 6 15" xfId="29849"/>
    <cellStyle name="asd 2 2 6 16" xfId="33179"/>
    <cellStyle name="asd 2 2 6 17" xfId="33895"/>
    <cellStyle name="asd 2 2 6 18" xfId="36454"/>
    <cellStyle name="asd 2 2 6 19" xfId="38333"/>
    <cellStyle name="asd 2 2 6 2" xfId="7024"/>
    <cellStyle name="asd 2 2 6 20" xfId="40370"/>
    <cellStyle name="asd 2 2 6 21" xfId="42026"/>
    <cellStyle name="asd 2 2 6 22" xfId="43608"/>
    <cellStyle name="asd 2 2 6 3" xfId="8478"/>
    <cellStyle name="asd 2 2 6 4" xfId="10388"/>
    <cellStyle name="asd 2 2 6 5" xfId="11796"/>
    <cellStyle name="asd 2 2 6 6" xfId="14328"/>
    <cellStyle name="asd 2 2 6 7" xfId="16232"/>
    <cellStyle name="asd 2 2 6 8" xfId="18007"/>
    <cellStyle name="asd 2 2 6 9" xfId="19913"/>
    <cellStyle name="asd 2 2 7" xfId="6719"/>
    <cellStyle name="asd 2 2 8" xfId="9097"/>
    <cellStyle name="asd 2 2 9" xfId="12000"/>
    <cellStyle name="asd 2 20" xfId="10917"/>
    <cellStyle name="asd 2 21" xfId="14723"/>
    <cellStyle name="asd 2 22" xfId="3858"/>
    <cellStyle name="asd 2 23" xfId="4259"/>
    <cellStyle name="asd 2 24" xfId="11578"/>
    <cellStyle name="asd 2 25" xfId="26510"/>
    <cellStyle name="asd 2 26" xfId="26984"/>
    <cellStyle name="asd 2 27" xfId="35036"/>
    <cellStyle name="asd 2 3" xfId="3510"/>
    <cellStyle name="asd 2 3 10" xfId="14340"/>
    <cellStyle name="asd 2 3 11" xfId="16244"/>
    <cellStyle name="asd 2 3 12" xfId="16988"/>
    <cellStyle name="asd 2 3 13" xfId="18895"/>
    <cellStyle name="asd 2 3 14" xfId="20807"/>
    <cellStyle name="asd 2 3 15" xfId="23870"/>
    <cellStyle name="asd 2 3 16" xfId="24609"/>
    <cellStyle name="asd 2 3 17" xfId="26689"/>
    <cellStyle name="asd 2 3 18" xfId="28922"/>
    <cellStyle name="asd 2 3 19" xfId="30289"/>
    <cellStyle name="asd 2 3 2" xfId="3690"/>
    <cellStyle name="asd 2 3 2 10" xfId="17581"/>
    <cellStyle name="asd 2 3 2 11" xfId="19487"/>
    <cellStyle name="asd 2 3 2 12" xfId="21399"/>
    <cellStyle name="asd 2 3 2 13" xfId="3022"/>
    <cellStyle name="asd 2 3 2 14" xfId="25201"/>
    <cellStyle name="asd 2 3 2 15" xfId="24240"/>
    <cellStyle name="asd 2 3 2 16" xfId="2910"/>
    <cellStyle name="asd 2 3 2 17" xfId="15917"/>
    <cellStyle name="asd 2 3 2 18" xfId="30276"/>
    <cellStyle name="asd 2 3 2 19" xfId="2324"/>
    <cellStyle name="asd 2 3 2 2" xfId="5757"/>
    <cellStyle name="asd 2 3 2 2 10" xfId="22007"/>
    <cellStyle name="asd 2 3 2 2 11" xfId="22535"/>
    <cellStyle name="asd 2 3 2 2 12" xfId="25809"/>
    <cellStyle name="asd 2 3 2 2 13" xfId="26636"/>
    <cellStyle name="asd 2 3 2 2 14" xfId="28568"/>
    <cellStyle name="asd 2 3 2 2 15" xfId="30239"/>
    <cellStyle name="asd 2 3 2 2 16" xfId="32194"/>
    <cellStyle name="asd 2 3 2 2 17" xfId="33434"/>
    <cellStyle name="asd 2 3 2 2 18" xfId="36636"/>
    <cellStyle name="asd 2 3 2 2 19" xfId="38515"/>
    <cellStyle name="asd 2 3 2 2 2" xfId="7206"/>
    <cellStyle name="asd 2 3 2 2 20" xfId="39416"/>
    <cellStyle name="asd 2 3 2 2 21" xfId="41092"/>
    <cellStyle name="asd 2 3 2 2 22" xfId="42344"/>
    <cellStyle name="asd 2 3 2 2 3" xfId="8660"/>
    <cellStyle name="asd 2 3 2 2 4" xfId="10570"/>
    <cellStyle name="asd 2 3 2 2 5" xfId="12322"/>
    <cellStyle name="asd 2 3 2 2 6" xfId="13003"/>
    <cellStyle name="asd 2 3 2 2 7" xfId="14907"/>
    <cellStyle name="asd 2 3 2 2 8" xfId="18189"/>
    <cellStyle name="asd 2 3 2 2 9" xfId="20095"/>
    <cellStyle name="asd 2 3 2 20" xfId="36028"/>
    <cellStyle name="asd 2 3 2 21" xfId="37907"/>
    <cellStyle name="asd 2 3 2 22" xfId="30148"/>
    <cellStyle name="asd 2 3 2 23" xfId="39921"/>
    <cellStyle name="asd 2 3 2 24" xfId="2631"/>
    <cellStyle name="asd 2 3 2 3" xfId="5151"/>
    <cellStyle name="asd 2 3 2 4" xfId="6601"/>
    <cellStyle name="asd 2 3 2 5" xfId="8052"/>
    <cellStyle name="asd 2 3 2 6" xfId="9962"/>
    <cellStyle name="asd 2 3 2 7" xfId="12479"/>
    <cellStyle name="asd 2 3 2 8" xfId="3091"/>
    <cellStyle name="asd 2 3 2 9" xfId="2487"/>
    <cellStyle name="asd 2 3 20" xfId="32374"/>
    <cellStyle name="asd 2 3 21" xfId="33584"/>
    <cellStyle name="asd 2 3 22" xfId="35437"/>
    <cellStyle name="asd 2 3 23" xfId="37315"/>
    <cellStyle name="asd 2 3 24" xfId="39592"/>
    <cellStyle name="asd 2 3 25" xfId="41266"/>
    <cellStyle name="asd 2 3 26" xfId="43620"/>
    <cellStyle name="asd 2 3 3" xfId="3129"/>
    <cellStyle name="asd 2 3 3 10" xfId="19161"/>
    <cellStyle name="asd 2 3 3 11" xfId="21073"/>
    <cellStyle name="asd 2 3 3 12" xfId="22901"/>
    <cellStyle name="asd 2 3 3 13" xfId="24875"/>
    <cellStyle name="asd 2 3 3 14" xfId="27373"/>
    <cellStyle name="asd 2 3 3 15" xfId="27885"/>
    <cellStyle name="asd 2 3 3 16" xfId="30959"/>
    <cellStyle name="asd 2 3 3 17" xfId="32272"/>
    <cellStyle name="asd 2 3 3 18" xfId="34298"/>
    <cellStyle name="asd 2 3 3 19" xfId="35702"/>
    <cellStyle name="asd 2 3 3 2" xfId="5688"/>
    <cellStyle name="asd 2 3 3 2 10" xfId="21938"/>
    <cellStyle name="asd 2 3 3 2 11" xfId="23324"/>
    <cellStyle name="asd 2 3 3 2 12" xfId="25740"/>
    <cellStyle name="asd 2 3 3 2 13" xfId="26843"/>
    <cellStyle name="asd 2 3 3 2 14" xfId="28172"/>
    <cellStyle name="asd 2 3 3 2 15" xfId="30440"/>
    <cellStyle name="asd 2 3 3 2 16" xfId="33044"/>
    <cellStyle name="asd 2 3 3 2 17" xfId="33797"/>
    <cellStyle name="asd 2 3 3 2 18" xfId="36567"/>
    <cellStyle name="asd 2 3 3 2 19" xfId="38446"/>
    <cellStyle name="asd 2 3 3 2 2" xfId="7137"/>
    <cellStyle name="asd 2 3 3 2 20" xfId="40243"/>
    <cellStyle name="asd 2 3 3 2 21" xfId="41902"/>
    <cellStyle name="asd 2 3 3 2 22" xfId="43095"/>
    <cellStyle name="asd 2 3 3 2 3" xfId="8591"/>
    <cellStyle name="asd 2 3 3 2 4" xfId="10501"/>
    <cellStyle name="asd 2 3 3 2 5" xfId="11281"/>
    <cellStyle name="asd 2 3 3 2 6" xfId="13796"/>
    <cellStyle name="asd 2 3 3 2 7" xfId="15698"/>
    <cellStyle name="asd 2 3 3 2 8" xfId="18120"/>
    <cellStyle name="asd 2 3 3 2 9" xfId="20026"/>
    <cellStyle name="asd 2 3 3 20" xfId="37581"/>
    <cellStyle name="asd 2 3 3 21" xfId="39490"/>
    <cellStyle name="asd 2 3 3 22" xfId="41165"/>
    <cellStyle name="asd 2 3 3 23" xfId="42687"/>
    <cellStyle name="asd 2 3 3 3" xfId="4825"/>
    <cellStyle name="asd 2 3 3 4" xfId="7726"/>
    <cellStyle name="asd 2 3 3 5" xfId="9636"/>
    <cellStyle name="asd 2 3 3 6" xfId="12452"/>
    <cellStyle name="asd 2 3 3 7" xfId="13369"/>
    <cellStyle name="asd 2 3 3 8" xfId="15274"/>
    <cellStyle name="asd 2 3 3 9" xfId="17255"/>
    <cellStyle name="asd 2 3 4" xfId="4142"/>
    <cellStyle name="asd 2 3 4 10" xfId="19777"/>
    <cellStyle name="asd 2 3 4 11" xfId="21689"/>
    <cellStyle name="asd 2 3 4 12" xfId="24106"/>
    <cellStyle name="asd 2 3 4 13" xfId="25491"/>
    <cellStyle name="asd 2 3 4 14" xfId="26298"/>
    <cellStyle name="asd 2 3 4 15" xfId="28125"/>
    <cellStyle name="asd 2 3 4 16" xfId="29907"/>
    <cellStyle name="asd 2 3 4 17" xfId="32285"/>
    <cellStyle name="asd 2 3 4 18" xfId="33968"/>
    <cellStyle name="asd 2 3 4 19" xfId="36318"/>
    <cellStyle name="asd 2 3 4 2" xfId="6047"/>
    <cellStyle name="asd 2 3 4 2 10" xfId="22297"/>
    <cellStyle name="asd 2 3 4 2 11" xfId="2944"/>
    <cellStyle name="asd 2 3 4 2 12" xfId="26099"/>
    <cellStyle name="asd 2 3 4 2 13" xfId="12744"/>
    <cellStyle name="asd 2 3 4 2 14" xfId="1817"/>
    <cellStyle name="asd 2 3 4 2 15" xfId="2240"/>
    <cellStyle name="asd 2 3 4 2 16" xfId="2325"/>
    <cellStyle name="asd 2 3 4 2 17" xfId="28017"/>
    <cellStyle name="asd 2 3 4 2 18" xfId="36926"/>
    <cellStyle name="asd 2 3 4 2 19" xfId="38805"/>
    <cellStyle name="asd 2 3 4 2 2" xfId="7496"/>
    <cellStyle name="asd 2 3 4 2 20" xfId="32874"/>
    <cellStyle name="asd 2 3 4 2 21" xfId="28590"/>
    <cellStyle name="asd 2 3 4 2 22" xfId="34838"/>
    <cellStyle name="asd 2 3 4 2 3" xfId="8950"/>
    <cellStyle name="asd 2 3 4 2 4" xfId="10860"/>
    <cellStyle name="asd 2 3 4 2 5" xfId="2540"/>
    <cellStyle name="asd 2 3 4 2 6" xfId="2022"/>
    <cellStyle name="asd 2 3 4 2 7" xfId="5292"/>
    <cellStyle name="asd 2 3 4 2 8" xfId="18479"/>
    <cellStyle name="asd 2 3 4 2 9" xfId="20385"/>
    <cellStyle name="asd 2 3 4 20" xfId="38197"/>
    <cellStyle name="asd 2 3 4 21" xfId="39504"/>
    <cellStyle name="asd 2 3 4 22" xfId="41179"/>
    <cellStyle name="asd 2 3 4 23" xfId="43849"/>
    <cellStyle name="asd 2 3 4 3" xfId="6888"/>
    <cellStyle name="asd 2 3 4 4" xfId="8342"/>
    <cellStyle name="asd 2 3 4 5" xfId="10252"/>
    <cellStyle name="asd 2 3 4 6" xfId="12065"/>
    <cellStyle name="asd 2 3 4 7" xfId="14576"/>
    <cellStyle name="asd 2 3 4 8" xfId="16482"/>
    <cellStyle name="asd 2 3 4 9" xfId="17871"/>
    <cellStyle name="asd 2 3 5" xfId="4983"/>
    <cellStyle name="asd 2 3 5 10" xfId="21231"/>
    <cellStyle name="asd 2 3 5 11" xfId="23707"/>
    <cellStyle name="asd 2 3 5 12" xfId="25033"/>
    <cellStyle name="asd 2 3 5 13" xfId="27001"/>
    <cellStyle name="asd 2 3 5 14" xfId="28759"/>
    <cellStyle name="asd 2 3 5 15" xfId="30595"/>
    <cellStyle name="asd 2 3 5 16" xfId="32082"/>
    <cellStyle name="asd 2 3 5 17" xfId="34278"/>
    <cellStyle name="asd 2 3 5 18" xfId="35860"/>
    <cellStyle name="asd 2 3 5 19" xfId="37739"/>
    <cellStyle name="asd 2 3 5 2" xfId="6433"/>
    <cellStyle name="asd 2 3 5 20" xfId="39306"/>
    <cellStyle name="asd 2 3 5 21" xfId="40982"/>
    <cellStyle name="asd 2 3 5 22" xfId="43464"/>
    <cellStyle name="asd 2 3 5 3" xfId="7884"/>
    <cellStyle name="asd 2 3 5 4" xfId="9794"/>
    <cellStyle name="asd 2 3 5 5" xfId="11789"/>
    <cellStyle name="asd 2 3 5 6" xfId="14177"/>
    <cellStyle name="asd 2 3 5 7" xfId="16081"/>
    <cellStyle name="asd 2 3 5 8" xfId="17413"/>
    <cellStyle name="asd 2 3 5 9" xfId="19319"/>
    <cellStyle name="asd 2 3 6" xfId="5531"/>
    <cellStyle name="asd 2 3 6 10" xfId="21781"/>
    <cellStyle name="asd 2 3 6 11" xfId="24034"/>
    <cellStyle name="asd 2 3 6 12" xfId="25583"/>
    <cellStyle name="asd 2 3 6 13" xfId="27073"/>
    <cellStyle name="asd 2 3 6 14" xfId="29469"/>
    <cellStyle name="asd 2 3 6 15" xfId="30664"/>
    <cellStyle name="asd 2 3 6 16" xfId="32387"/>
    <cellStyle name="asd 2 3 6 17" xfId="34636"/>
    <cellStyle name="asd 2 3 6 18" xfId="36410"/>
    <cellStyle name="asd 2 3 6 19" xfId="38289"/>
    <cellStyle name="asd 2 3 6 2" xfId="6980"/>
    <cellStyle name="asd 2 3 6 20" xfId="39605"/>
    <cellStyle name="asd 2 3 6 21" xfId="41279"/>
    <cellStyle name="asd 2 3 6 22" xfId="43778"/>
    <cellStyle name="asd 2 3 6 3" xfId="8434"/>
    <cellStyle name="asd 2 3 6 4" xfId="10344"/>
    <cellStyle name="asd 2 3 6 5" xfId="11993"/>
    <cellStyle name="asd 2 3 6 6" xfId="14504"/>
    <cellStyle name="asd 2 3 6 7" xfId="16410"/>
    <cellStyle name="asd 2 3 6 8" xfId="17963"/>
    <cellStyle name="asd 2 3 6 9" xfId="19869"/>
    <cellStyle name="asd 2 3 7" xfId="6677"/>
    <cellStyle name="asd 2 3 8" xfId="9369"/>
    <cellStyle name="asd 2 3 9" xfId="11485"/>
    <cellStyle name="asd 2 4" xfId="3397"/>
    <cellStyle name="asd 2 4 10" xfId="16286"/>
    <cellStyle name="asd 2 4 11" xfId="16735"/>
    <cellStyle name="asd 2 4 12" xfId="18642"/>
    <cellStyle name="asd 2 4 13" xfId="20554"/>
    <cellStyle name="asd 2 4 14" xfId="23912"/>
    <cellStyle name="asd 2 4 15" xfId="24356"/>
    <cellStyle name="asd 2 4 16" xfId="26491"/>
    <cellStyle name="asd 2 4 17" xfId="28944"/>
    <cellStyle name="asd 2 4 18" xfId="30096"/>
    <cellStyle name="asd 2 4 19" xfId="33276"/>
    <cellStyle name="asd 2 4 2" xfId="3577"/>
    <cellStyle name="asd 2 4 2 10" xfId="17468"/>
    <cellStyle name="asd 2 4 2 11" xfId="19374"/>
    <cellStyle name="asd 2 4 2 12" xfId="21286"/>
    <cellStyle name="asd 2 4 2 13" xfId="24006"/>
    <cellStyle name="asd 2 4 2 14" xfId="25088"/>
    <cellStyle name="asd 2 4 2 15" xfId="27302"/>
    <cellStyle name="asd 2 4 2 16" xfId="28918"/>
    <cellStyle name="asd 2 4 2 17" xfId="30892"/>
    <cellStyle name="asd 2 4 2 18" xfId="32682"/>
    <cellStyle name="asd 2 4 2 19" xfId="33844"/>
    <cellStyle name="asd 2 4 2 2" xfId="4566"/>
    <cellStyle name="asd 2 4 2 2 10" xfId="20811"/>
    <cellStyle name="asd 2 4 2 2 11" xfId="23775"/>
    <cellStyle name="asd 2 4 2 2 12" xfId="24613"/>
    <cellStyle name="asd 2 4 2 2 13" xfId="26553"/>
    <cellStyle name="asd 2 4 2 2 14" xfId="28337"/>
    <cellStyle name="asd 2 4 2 2 15" xfId="30158"/>
    <cellStyle name="asd 2 4 2 2 16" xfId="31743"/>
    <cellStyle name="asd 2 4 2 2 17" xfId="33874"/>
    <cellStyle name="asd 2 4 2 2 18" xfId="35441"/>
    <cellStyle name="asd 2 4 2 2 19" xfId="37319"/>
    <cellStyle name="asd 2 4 2 2 2" xfId="5399"/>
    <cellStyle name="asd 2 4 2 2 20" xfId="38984"/>
    <cellStyle name="asd 2 4 2 2 21" xfId="40667"/>
    <cellStyle name="asd 2 4 2 2 22" xfId="43528"/>
    <cellStyle name="asd 2 4 2 2 3" xfId="6635"/>
    <cellStyle name="asd 2 4 2 2 4" xfId="9373"/>
    <cellStyle name="asd 2 4 2 2 5" xfId="11430"/>
    <cellStyle name="asd 2 4 2 2 6" xfId="14245"/>
    <cellStyle name="asd 2 4 2 2 7" xfId="16149"/>
    <cellStyle name="asd 2 4 2 2 8" xfId="16992"/>
    <cellStyle name="asd 2 4 2 2 9" xfId="18899"/>
    <cellStyle name="asd 2 4 2 20" xfId="35915"/>
    <cellStyle name="asd 2 4 2 21" xfId="37794"/>
    <cellStyle name="asd 2 4 2 22" xfId="39890"/>
    <cellStyle name="asd 2 4 2 23" xfId="41559"/>
    <cellStyle name="asd 2 4 2 24" xfId="43750"/>
    <cellStyle name="asd 2 4 2 3" xfId="5038"/>
    <cellStyle name="asd 2 4 2 4" xfId="6488"/>
    <cellStyle name="asd 2 4 2 5" xfId="7939"/>
    <cellStyle name="asd 2 4 2 6" xfId="9849"/>
    <cellStyle name="asd 2 4 2 7" xfId="11965"/>
    <cellStyle name="asd 2 4 2 8" xfId="14476"/>
    <cellStyle name="asd 2 4 2 9" xfId="16382"/>
    <cellStyle name="asd 2 4 20" xfId="34136"/>
    <cellStyle name="asd 2 4 21" xfId="35184"/>
    <cellStyle name="asd 2 4 22" xfId="37062"/>
    <cellStyle name="asd 2 4 23" xfId="40462"/>
    <cellStyle name="asd 2 4 24" xfId="42117"/>
    <cellStyle name="asd 2 4 25" xfId="43658"/>
    <cellStyle name="asd 2 4 3" xfId="3772"/>
    <cellStyle name="asd 2 4 3 10" xfId="19512"/>
    <cellStyle name="asd 2 4 3 11" xfId="21424"/>
    <cellStyle name="asd 2 4 3 12" xfId="23048"/>
    <cellStyle name="asd 2 4 3 13" xfId="25226"/>
    <cellStyle name="asd 2 4 3 14" xfId="27680"/>
    <cellStyle name="asd 2 4 3 15" xfId="28517"/>
    <cellStyle name="asd 2 4 3 16" xfId="31255"/>
    <cellStyle name="asd 2 4 3 17" xfId="32042"/>
    <cellStyle name="asd 2 4 3 18" xfId="34785"/>
    <cellStyle name="asd 2 4 3 19" xfId="36053"/>
    <cellStyle name="asd 2 4 3 2" xfId="5782"/>
    <cellStyle name="asd 2 4 3 2 10" xfId="22032"/>
    <cellStyle name="asd 2 4 3 2 11" xfId="22972"/>
    <cellStyle name="asd 2 4 3 2 12" xfId="25834"/>
    <cellStyle name="asd 2 4 3 2 13" xfId="3974"/>
    <cellStyle name="asd 2 4 3 2 14" xfId="23507"/>
    <cellStyle name="asd 2 4 3 2 15" xfId="14706"/>
    <cellStyle name="asd 2 4 3 2 16" xfId="28280"/>
    <cellStyle name="asd 2 4 3 2 17" xfId="3219"/>
    <cellStyle name="asd 2 4 3 2 18" xfId="36661"/>
    <cellStyle name="asd 2 4 3 2 19" xfId="38540"/>
    <cellStyle name="asd 2 4 3 2 2" xfId="7231"/>
    <cellStyle name="asd 2 4 3 2 20" xfId="31378"/>
    <cellStyle name="asd 2 4 3 2 21" xfId="2162"/>
    <cellStyle name="asd 2 4 3 2 22" xfId="42758"/>
    <cellStyle name="asd 2 4 3 2 3" xfId="8685"/>
    <cellStyle name="asd 2 4 3 2 4" xfId="10595"/>
    <cellStyle name="asd 2 4 3 2 5" xfId="11150"/>
    <cellStyle name="asd 2 4 3 2 6" xfId="13441"/>
    <cellStyle name="asd 2 4 3 2 7" xfId="15346"/>
    <cellStyle name="asd 2 4 3 2 8" xfId="18214"/>
    <cellStyle name="asd 2 4 3 2 9" xfId="20120"/>
    <cellStyle name="asd 2 4 3 20" xfId="37932"/>
    <cellStyle name="asd 2 4 3 21" xfId="39271"/>
    <cellStyle name="asd 2 4 3 22" xfId="40948"/>
    <cellStyle name="asd 2 4 3 23" xfId="42831"/>
    <cellStyle name="asd 2 4 3 3" xfId="5176"/>
    <cellStyle name="asd 2 4 3 4" xfId="8077"/>
    <cellStyle name="asd 2 4 3 5" xfId="9987"/>
    <cellStyle name="asd 2 4 3 6" xfId="12647"/>
    <cellStyle name="asd 2 4 3 7" xfId="13519"/>
    <cellStyle name="asd 2 4 3 8" xfId="15422"/>
    <cellStyle name="asd 2 4 3 9" xfId="17606"/>
    <cellStyle name="asd 2 4 4" xfId="4029"/>
    <cellStyle name="asd 2 4 4 10" xfId="19664"/>
    <cellStyle name="asd 2 4 4 11" xfId="21576"/>
    <cellStyle name="asd 2 4 4 12" xfId="22437"/>
    <cellStyle name="asd 2 4 4 13" xfId="25378"/>
    <cellStyle name="asd 2 4 4 14" xfId="27683"/>
    <cellStyle name="asd 2 4 4 15" xfId="29607"/>
    <cellStyle name="asd 2 4 4 16" xfId="31257"/>
    <cellStyle name="asd 2 4 4 17" xfId="33072"/>
    <cellStyle name="asd 2 4 4 18" xfId="33761"/>
    <cellStyle name="asd 2 4 4 19" xfId="36205"/>
    <cellStyle name="asd 2 4 4 2" xfId="5934"/>
    <cellStyle name="asd 2 4 4 2 10" xfId="22184"/>
    <cellStyle name="asd 2 4 4 2 11" xfId="24151"/>
    <cellStyle name="asd 2 4 4 2 12" xfId="25986"/>
    <cellStyle name="asd 2 4 4 2 13" xfId="26157"/>
    <cellStyle name="asd 2 4 4 2 14" xfId="3328"/>
    <cellStyle name="asd 2 4 4 2 15" xfId="29771"/>
    <cellStyle name="asd 2 4 4 2 16" xfId="15066"/>
    <cellStyle name="asd 2 4 4 2 17" xfId="1976"/>
    <cellStyle name="asd 2 4 4 2 18" xfId="36813"/>
    <cellStyle name="asd 2 4 4 2 19" xfId="38692"/>
    <cellStyle name="asd 2 4 4 2 2" xfId="7383"/>
    <cellStyle name="asd 2 4 4 2 20" xfId="2440"/>
    <cellStyle name="asd 2 4 4 2 21" xfId="36951"/>
    <cellStyle name="asd 2 4 4 2 22" xfId="43893"/>
    <cellStyle name="asd 2 4 4 2 3" xfId="8837"/>
    <cellStyle name="asd 2 4 4 2 4" xfId="10747"/>
    <cellStyle name="asd 2 4 4 2 5" xfId="12111"/>
    <cellStyle name="asd 2 4 4 2 6" xfId="14622"/>
    <cellStyle name="asd 2 4 4 2 7" xfId="16528"/>
    <cellStyle name="asd 2 4 4 2 8" xfId="18366"/>
    <cellStyle name="asd 2 4 4 2 9" xfId="20272"/>
    <cellStyle name="asd 2 4 4 20" xfId="38084"/>
    <cellStyle name="asd 2 4 4 21" xfId="40268"/>
    <cellStyle name="asd 2 4 4 22" xfId="41926"/>
    <cellStyle name="asd 2 4 4 23" xfId="42248"/>
    <cellStyle name="asd 2 4 4 3" xfId="6775"/>
    <cellStyle name="asd 2 4 4 4" xfId="8229"/>
    <cellStyle name="asd 2 4 4 5" xfId="10139"/>
    <cellStyle name="asd 2 4 4 6" xfId="11817"/>
    <cellStyle name="asd 2 4 4 7" xfId="12905"/>
    <cellStyle name="asd 2 4 4 8" xfId="14810"/>
    <cellStyle name="asd 2 4 4 9" xfId="17758"/>
    <cellStyle name="asd 2 4 5" xfId="4605"/>
    <cellStyle name="asd 2 4 5 10" xfId="20850"/>
    <cellStyle name="asd 2 4 5 11" xfId="23386"/>
    <cellStyle name="asd 2 4 5 12" xfId="24652"/>
    <cellStyle name="asd 2 4 5 13" xfId="27688"/>
    <cellStyle name="asd 2 4 5 14" xfId="16252"/>
    <cellStyle name="asd 2 4 5 15" xfId="31262"/>
    <cellStyle name="asd 2 4 5 16" xfId="32913"/>
    <cellStyle name="asd 2 4 5 17" xfId="29668"/>
    <cellStyle name="asd 2 4 5 18" xfId="35480"/>
    <cellStyle name="asd 2 4 5 19" xfId="37358"/>
    <cellStyle name="asd 2 4 5 2" xfId="3318"/>
    <cellStyle name="asd 2 4 5 20" xfId="40117"/>
    <cellStyle name="asd 2 4 5 21" xfId="41777"/>
    <cellStyle name="asd 2 4 5 22" xfId="43153"/>
    <cellStyle name="asd 2 4 5 3" xfId="4631"/>
    <cellStyle name="asd 2 4 5 4" xfId="9412"/>
    <cellStyle name="asd 2 4 5 5" xfId="11212"/>
    <cellStyle name="asd 2 4 5 6" xfId="13858"/>
    <cellStyle name="asd 2 4 5 7" xfId="15759"/>
    <cellStyle name="asd 2 4 5 8" xfId="17031"/>
    <cellStyle name="asd 2 4 5 9" xfId="18938"/>
    <cellStyle name="asd 2 4 6" xfId="4732"/>
    <cellStyle name="asd 2 4 7" xfId="9116"/>
    <cellStyle name="asd 2 4 8" xfId="11871"/>
    <cellStyle name="asd 2 4 9" xfId="14380"/>
    <cellStyle name="asd 2 5" xfId="3113"/>
    <cellStyle name="asd 2 5 10" xfId="17252"/>
    <cellStyle name="asd 2 5 11" xfId="19158"/>
    <cellStyle name="asd 2 5 12" xfId="21070"/>
    <cellStyle name="asd 2 5 13" xfId="23689"/>
    <cellStyle name="asd 2 5 14" xfId="24872"/>
    <cellStyle name="asd 2 5 15" xfId="27793"/>
    <cellStyle name="asd 2 5 16" xfId="28048"/>
    <cellStyle name="asd 2 5 17" xfId="31370"/>
    <cellStyle name="asd 2 5 18" xfId="32705"/>
    <cellStyle name="asd 2 5 19" xfId="33387"/>
    <cellStyle name="asd 2 5 2" xfId="5458"/>
    <cellStyle name="asd 2 5 2 10" xfId="21708"/>
    <cellStyle name="asd 2 5 2 11" xfId="23623"/>
    <cellStyle name="asd 2 5 2 12" xfId="25510"/>
    <cellStyle name="asd 2 5 2 13" xfId="27247"/>
    <cellStyle name="asd 2 5 2 14" xfId="28567"/>
    <cellStyle name="asd 2 5 2 15" xfId="30838"/>
    <cellStyle name="asd 2 5 2 16" xfId="33108"/>
    <cellStyle name="asd 2 5 2 17" xfId="34378"/>
    <cellStyle name="asd 2 5 2 18" xfId="36337"/>
    <cellStyle name="asd 2 5 2 19" xfId="38216"/>
    <cellStyle name="asd 2 5 2 2" xfId="6907"/>
    <cellStyle name="asd 2 5 2 20" xfId="40303"/>
    <cellStyle name="asd 2 5 2 21" xfId="41959"/>
    <cellStyle name="asd 2 5 2 22" xfId="43381"/>
    <cellStyle name="asd 2 5 2 3" xfId="8361"/>
    <cellStyle name="asd 2 5 2 4" xfId="10271"/>
    <cellStyle name="asd 2 5 2 5" xfId="11720"/>
    <cellStyle name="asd 2 5 2 6" xfId="14093"/>
    <cellStyle name="asd 2 5 2 7" xfId="15996"/>
    <cellStyle name="asd 2 5 2 8" xfId="17890"/>
    <cellStyle name="asd 2 5 2 9" xfId="19796"/>
    <cellStyle name="asd 2 5 20" xfId="35699"/>
    <cellStyle name="asd 2 5 21" xfId="37578"/>
    <cellStyle name="asd 2 5 22" xfId="39913"/>
    <cellStyle name="asd 2 5 23" xfId="41582"/>
    <cellStyle name="asd 2 5 24" xfId="43446"/>
    <cellStyle name="asd 2 5 3" xfId="4822"/>
    <cellStyle name="asd 2 5 4" xfId="6272"/>
    <cellStyle name="asd 2 5 5" xfId="7723"/>
    <cellStyle name="asd 2 5 6" xfId="9633"/>
    <cellStyle name="asd 2 5 7" xfId="11419"/>
    <cellStyle name="asd 2 5 8" xfId="14159"/>
    <cellStyle name="asd 2 5 9" xfId="16063"/>
    <cellStyle name="asd 2 6" xfId="3182"/>
    <cellStyle name="asd 2 6 10" xfId="19174"/>
    <cellStyle name="asd 2 6 11" xfId="21086"/>
    <cellStyle name="asd 2 6 12" xfId="24154"/>
    <cellStyle name="asd 2 6 13" xfId="24888"/>
    <cellStyle name="asd 2 6 14" xfId="26763"/>
    <cellStyle name="asd 2 6 15" xfId="28653"/>
    <cellStyle name="asd 2 6 16" xfId="30362"/>
    <cellStyle name="asd 2 6 17" xfId="31841"/>
    <cellStyle name="asd 2 6 18" xfId="33407"/>
    <cellStyle name="asd 2 6 19" xfId="35715"/>
    <cellStyle name="asd 2 6 2" xfId="5606"/>
    <cellStyle name="asd 2 6 2 10" xfId="21856"/>
    <cellStyle name="asd 2 6 2 11" xfId="23975"/>
    <cellStyle name="asd 2 6 2 12" xfId="25658"/>
    <cellStyle name="asd 2 6 2 13" xfId="27165"/>
    <cellStyle name="asd 2 6 2 14" xfId="28709"/>
    <cellStyle name="asd 2 6 2 15" xfId="30756"/>
    <cellStyle name="asd 2 6 2 16" xfId="32615"/>
    <cellStyle name="asd 2 6 2 17" xfId="34646"/>
    <cellStyle name="asd 2 6 2 18" xfId="36485"/>
    <cellStyle name="asd 2 6 2 19" xfId="38364"/>
    <cellStyle name="asd 2 6 2 2" xfId="7055"/>
    <cellStyle name="asd 2 6 2 20" xfId="39825"/>
    <cellStyle name="asd 2 6 2 21" xfId="41494"/>
    <cellStyle name="asd 2 6 2 22" xfId="43720"/>
    <cellStyle name="asd 2 6 2 3" xfId="8509"/>
    <cellStyle name="asd 2 6 2 4" xfId="10419"/>
    <cellStyle name="asd 2 6 2 5" xfId="11935"/>
    <cellStyle name="asd 2 6 2 6" xfId="14445"/>
    <cellStyle name="asd 2 6 2 7" xfId="16351"/>
    <cellStyle name="asd 2 6 2 8" xfId="18038"/>
    <cellStyle name="asd 2 6 2 9" xfId="19944"/>
    <cellStyle name="asd 2 6 20" xfId="37594"/>
    <cellStyle name="asd 2 6 21" xfId="39078"/>
    <cellStyle name="asd 2 6 22" xfId="40759"/>
    <cellStyle name="asd 2 6 23" xfId="43896"/>
    <cellStyle name="asd 2 6 3" xfId="4838"/>
    <cellStyle name="asd 2 6 4" xfId="7739"/>
    <cellStyle name="asd 2 6 5" xfId="9649"/>
    <cellStyle name="asd 2 6 6" xfId="12114"/>
    <cellStyle name="asd 2 6 7" xfId="14625"/>
    <cellStyle name="asd 2 6 8" xfId="16531"/>
    <cellStyle name="asd 2 6 9" xfId="17268"/>
    <cellStyle name="asd 2 7" xfId="2855"/>
    <cellStyle name="asd 2 7 10" xfId="19119"/>
    <cellStyle name="asd 2 7 11" xfId="21031"/>
    <cellStyle name="asd 2 7 12" xfId="22525"/>
    <cellStyle name="asd 2 7 13" xfId="24833"/>
    <cellStyle name="asd 2 7 14" xfId="27780"/>
    <cellStyle name="asd 2 7 15" xfId="29295"/>
    <cellStyle name="asd 2 7 16" xfId="31357"/>
    <cellStyle name="asd 2 7 17" xfId="31647"/>
    <cellStyle name="asd 2 7 18" xfId="33518"/>
    <cellStyle name="asd 2 7 19" xfId="35660"/>
    <cellStyle name="asd 2 7 2" xfId="5497"/>
    <cellStyle name="asd 2 7 2 10" xfId="21747"/>
    <cellStyle name="asd 2 7 2 11" xfId="23458"/>
    <cellStyle name="asd 2 7 2 12" xfId="25549"/>
    <cellStyle name="asd 2 7 2 13" xfId="27280"/>
    <cellStyle name="asd 2 7 2 14" xfId="28423"/>
    <cellStyle name="asd 2 7 2 15" xfId="30872"/>
    <cellStyle name="asd 2 7 2 16" xfId="32519"/>
    <cellStyle name="asd 2 7 2 17" xfId="34693"/>
    <cellStyle name="asd 2 7 2 18" xfId="36376"/>
    <cellStyle name="asd 2 7 2 19" xfId="38255"/>
    <cellStyle name="asd 2 7 2 2" xfId="6946"/>
    <cellStyle name="asd 2 7 2 20" xfId="39733"/>
    <cellStyle name="asd 2 7 2 21" xfId="41405"/>
    <cellStyle name="asd 2 7 2 22" xfId="43225"/>
    <cellStyle name="asd 2 7 2 3" xfId="8400"/>
    <cellStyle name="asd 2 7 2 4" xfId="10310"/>
    <cellStyle name="asd 2 7 2 5" xfId="11143"/>
    <cellStyle name="asd 2 7 2 6" xfId="13930"/>
    <cellStyle name="asd 2 7 2 7" xfId="15831"/>
    <cellStyle name="asd 2 7 2 8" xfId="17929"/>
    <cellStyle name="asd 2 7 2 9" xfId="19835"/>
    <cellStyle name="asd 2 7 20" xfId="37539"/>
    <cellStyle name="asd 2 7 21" xfId="38892"/>
    <cellStyle name="asd 2 7 22" xfId="40577"/>
    <cellStyle name="asd 2 7 23" xfId="42335"/>
    <cellStyle name="asd 2 7 3" xfId="6233"/>
    <cellStyle name="asd 2 7 4" xfId="7684"/>
    <cellStyle name="asd 2 7 5" xfId="9594"/>
    <cellStyle name="asd 2 7 6" xfId="11513"/>
    <cellStyle name="asd 2 7 7" xfId="12993"/>
    <cellStyle name="asd 2 7 8" xfId="14897"/>
    <cellStyle name="asd 2 7 9" xfId="17213"/>
    <cellStyle name="asd 2 8" xfId="3969"/>
    <cellStyle name="asd 2 9" xfId="3714"/>
    <cellStyle name="asd 20" xfId="822"/>
    <cellStyle name="asd 20 10" xfId="2198"/>
    <cellStyle name="asd 20 11" xfId="2495"/>
    <cellStyle name="asd 20 12" xfId="3074"/>
    <cellStyle name="asd 20 13" xfId="1812"/>
    <cellStyle name="asd 20 14" xfId="2616"/>
    <cellStyle name="asd 20 15" xfId="1956"/>
    <cellStyle name="asd 20 16" xfId="2422"/>
    <cellStyle name="asd 20 17" xfId="5296"/>
    <cellStyle name="asd 20 18" xfId="24226"/>
    <cellStyle name="asd 20 19" xfId="1840"/>
    <cellStyle name="asd 20 2" xfId="3483"/>
    <cellStyle name="asd 20 2 10" xfId="13159"/>
    <cellStyle name="asd 20 2 11" xfId="15064"/>
    <cellStyle name="asd 20 2 12" xfId="16918"/>
    <cellStyle name="asd 20 2 13" xfId="18825"/>
    <cellStyle name="asd 20 2 14" xfId="20737"/>
    <cellStyle name="asd 20 2 15" xfId="22692"/>
    <cellStyle name="asd 20 2 16" xfId="24539"/>
    <cellStyle name="asd 20 2 17" xfId="27629"/>
    <cellStyle name="asd 20 2 18" xfId="29339"/>
    <cellStyle name="asd 20 2 19" xfId="31207"/>
    <cellStyle name="asd 20 2 2" xfId="3663"/>
    <cellStyle name="asd 20 2 2 10" xfId="17554"/>
    <cellStyle name="asd 20 2 2 11" xfId="19460"/>
    <cellStyle name="asd 20 2 2 12" xfId="21372"/>
    <cellStyle name="asd 20 2 2 13" xfId="22971"/>
    <cellStyle name="asd 20 2 2 14" xfId="25174"/>
    <cellStyle name="asd 20 2 2 15" xfId="26364"/>
    <cellStyle name="asd 20 2 2 16" xfId="29401"/>
    <cellStyle name="asd 20 2 2 17" xfId="29972"/>
    <cellStyle name="asd 20 2 2 18" xfId="33112"/>
    <cellStyle name="asd 20 2 2 19" xfId="34112"/>
    <cellStyle name="asd 20 2 2 2" xfId="3936"/>
    <cellStyle name="asd 20 2 2 2 10" xfId="20582"/>
    <cellStyle name="asd 20 2 2 2 11" xfId="22484"/>
    <cellStyle name="asd 20 2 2 2 12" xfId="24384"/>
    <cellStyle name="asd 20 2 2 2 13" xfId="26738"/>
    <cellStyle name="asd 20 2 2 2 14" xfId="29122"/>
    <cellStyle name="asd 20 2 2 2 15" xfId="30338"/>
    <cellStyle name="asd 20 2 2 2 16" xfId="31670"/>
    <cellStyle name="asd 20 2 2 2 17" xfId="33691"/>
    <cellStyle name="asd 20 2 2 2 18" xfId="35212"/>
    <cellStyle name="asd 20 2 2 2 19" xfId="37090"/>
    <cellStyle name="asd 20 2 2 2 2" xfId="4763"/>
    <cellStyle name="asd 20 2 2 2 20" xfId="38914"/>
    <cellStyle name="asd 20 2 2 2 21" xfId="40598"/>
    <cellStyle name="asd 20 2 2 2 22" xfId="42294"/>
    <cellStyle name="asd 20 2 2 2 3" xfId="6227"/>
    <cellStyle name="asd 20 2 2 2 4" xfId="9144"/>
    <cellStyle name="asd 20 2 2 2 5" xfId="12688"/>
    <cellStyle name="asd 20 2 2 2 6" xfId="12952"/>
    <cellStyle name="asd 20 2 2 2 7" xfId="14856"/>
    <cellStyle name="asd 20 2 2 2 8" xfId="16763"/>
    <cellStyle name="asd 20 2 2 2 9" xfId="18670"/>
    <cellStyle name="asd 20 2 2 20" xfId="36001"/>
    <cellStyle name="asd 20 2 2 21" xfId="37880"/>
    <cellStyle name="asd 20 2 2 22" xfId="40307"/>
    <cellStyle name="asd 20 2 2 23" xfId="41963"/>
    <cellStyle name="asd 20 2 2 24" xfId="42757"/>
    <cellStyle name="asd 20 2 2 3" xfId="5124"/>
    <cellStyle name="asd 20 2 2 4" xfId="6574"/>
    <cellStyle name="asd 20 2 2 5" xfId="8025"/>
    <cellStyle name="asd 20 2 2 6" xfId="9935"/>
    <cellStyle name="asd 20 2 2 7" xfId="12426"/>
    <cellStyle name="asd 20 2 2 8" xfId="13440"/>
    <cellStyle name="asd 20 2 2 9" xfId="15345"/>
    <cellStyle name="asd 20 2 20" xfId="32186"/>
    <cellStyle name="asd 20 2 21" xfId="33865"/>
    <cellStyle name="asd 20 2 22" xfId="35367"/>
    <cellStyle name="asd 20 2 23" xfId="37245"/>
    <cellStyle name="asd 20 2 24" xfId="39408"/>
    <cellStyle name="asd 20 2 25" xfId="41084"/>
    <cellStyle name="asd 20 2 26" xfId="42495"/>
    <cellStyle name="asd 20 2 3" xfId="2928"/>
    <cellStyle name="asd 20 2 3 10" xfId="19127"/>
    <cellStyle name="asd 20 2 3 11" xfId="21039"/>
    <cellStyle name="asd 20 2 3 12" xfId="23814"/>
    <cellStyle name="asd 20 2 3 13" xfId="24841"/>
    <cellStyle name="asd 20 2 3 14" xfId="26375"/>
    <cellStyle name="asd 20 2 3 15" xfId="11689"/>
    <cellStyle name="asd 20 2 3 16" xfId="29983"/>
    <cellStyle name="asd 20 2 3 17" xfId="32853"/>
    <cellStyle name="asd 20 2 3 18" xfId="2845"/>
    <cellStyle name="asd 20 2 3 19" xfId="35668"/>
    <cellStyle name="asd 20 2 3 2" xfId="4537"/>
    <cellStyle name="asd 20 2 3 2 10" xfId="20782"/>
    <cellStyle name="asd 20 2 3 2 11" xfId="23546"/>
    <cellStyle name="asd 20 2 3 2 12" xfId="24584"/>
    <cellStyle name="asd 20 2 3 2 13" xfId="26933"/>
    <cellStyle name="asd 20 2 3 2 14" xfId="29009"/>
    <cellStyle name="asd 20 2 3 2 15" xfId="30527"/>
    <cellStyle name="asd 20 2 3 2 16" xfId="32139"/>
    <cellStyle name="asd 20 2 3 2 17" xfId="34240"/>
    <cellStyle name="asd 20 2 3 2 18" xfId="35412"/>
    <cellStyle name="asd 20 2 3 2 19" xfId="37290"/>
    <cellStyle name="asd 20 2 3 2 2" xfId="4779"/>
    <cellStyle name="asd 20 2 3 2 20" xfId="39362"/>
    <cellStyle name="asd 20 2 3 2 21" xfId="41038"/>
    <cellStyle name="asd 20 2 3 2 22" xfId="43310"/>
    <cellStyle name="asd 20 2 3 2 3" xfId="6125"/>
    <cellStyle name="asd 20 2 3 2 4" xfId="9344"/>
    <cellStyle name="asd 20 2 3 2 5" xfId="12262"/>
    <cellStyle name="asd 20 2 3 2 6" xfId="14018"/>
    <cellStyle name="asd 20 2 3 2 7" xfId="15919"/>
    <cellStyle name="asd 20 2 3 2 8" xfId="16963"/>
    <cellStyle name="asd 20 2 3 2 9" xfId="18870"/>
    <cellStyle name="asd 20 2 3 20" xfId="37547"/>
    <cellStyle name="asd 20 2 3 21" xfId="40060"/>
    <cellStyle name="asd 20 2 3 22" xfId="41724"/>
    <cellStyle name="asd 20 2 3 23" xfId="43565"/>
    <cellStyle name="asd 20 2 3 3" xfId="4792"/>
    <cellStyle name="asd 20 2 3 4" xfId="7692"/>
    <cellStyle name="asd 20 2 3 5" xfId="9602"/>
    <cellStyle name="asd 20 2 3 6" xfId="11535"/>
    <cellStyle name="asd 20 2 3 7" xfId="14284"/>
    <cellStyle name="asd 20 2 3 8" xfId="16188"/>
    <cellStyle name="asd 20 2 3 9" xfId="17221"/>
    <cellStyle name="asd 20 2 4" xfId="4115"/>
    <cellStyle name="asd 20 2 4 10" xfId="19750"/>
    <cellStyle name="asd 20 2 4 11" xfId="21662"/>
    <cellStyle name="asd 20 2 4 12" xfId="22660"/>
    <cellStyle name="asd 20 2 4 13" xfId="25464"/>
    <cellStyle name="asd 20 2 4 14" xfId="26938"/>
    <cellStyle name="asd 20 2 4 15" xfId="29333"/>
    <cellStyle name="asd 20 2 4 16" xfId="30532"/>
    <cellStyle name="asd 20 2 4 17" xfId="32631"/>
    <cellStyle name="asd 20 2 4 18" xfId="33680"/>
    <cellStyle name="asd 20 2 4 19" xfId="36291"/>
    <cellStyle name="asd 20 2 4 2" xfId="6020"/>
    <cellStyle name="asd 20 2 4 2 10" xfId="22270"/>
    <cellStyle name="asd 20 2 4 2 11" xfId="23211"/>
    <cellStyle name="asd 20 2 4 2 12" xfId="26072"/>
    <cellStyle name="asd 20 2 4 2 13" xfId="26740"/>
    <cellStyle name="asd 20 2 4 2 14" xfId="28700"/>
    <cellStyle name="asd 20 2 4 2 15" xfId="30340"/>
    <cellStyle name="asd 20 2 4 2 16" xfId="32919"/>
    <cellStyle name="asd 20 2 4 2 17" xfId="33866"/>
    <cellStyle name="asd 20 2 4 2 18" xfId="36899"/>
    <cellStyle name="asd 20 2 4 2 19" xfId="38778"/>
    <cellStyle name="asd 20 2 4 2 2" xfId="7469"/>
    <cellStyle name="asd 20 2 4 2 20" xfId="40123"/>
    <cellStyle name="asd 20 2 4 2 21" xfId="41783"/>
    <cellStyle name="asd 20 2 4 2 22" xfId="42989"/>
    <cellStyle name="asd 20 2 4 2 3" xfId="8923"/>
    <cellStyle name="asd 20 2 4 2 4" xfId="10833"/>
    <cellStyle name="asd 20 2 4 2 5" xfId="11082"/>
    <cellStyle name="asd 20 2 4 2 6" xfId="13683"/>
    <cellStyle name="asd 20 2 4 2 7" xfId="15585"/>
    <cellStyle name="asd 20 2 4 2 8" xfId="18452"/>
    <cellStyle name="asd 20 2 4 2 9" xfId="20358"/>
    <cellStyle name="asd 20 2 4 20" xfId="38170"/>
    <cellStyle name="asd 20 2 4 21" xfId="39840"/>
    <cellStyle name="asd 20 2 4 22" xfId="41509"/>
    <cellStyle name="asd 20 2 4 23" xfId="42466"/>
    <cellStyle name="asd 20 2 4 3" xfId="6861"/>
    <cellStyle name="asd 20 2 4 4" xfId="8315"/>
    <cellStyle name="asd 20 2 4 5" xfId="10225"/>
    <cellStyle name="asd 20 2 4 6" xfId="3037"/>
    <cellStyle name="asd 20 2 4 7" xfId="13127"/>
    <cellStyle name="asd 20 2 4 8" xfId="15032"/>
    <cellStyle name="asd 20 2 4 9" xfId="17844"/>
    <cellStyle name="asd 20 2 5" xfId="4964"/>
    <cellStyle name="asd 20 2 5 10" xfId="21212"/>
    <cellStyle name="asd 20 2 5 11" xfId="23354"/>
    <cellStyle name="asd 20 2 5 12" xfId="25014"/>
    <cellStyle name="asd 20 2 5 13" xfId="27048"/>
    <cellStyle name="asd 20 2 5 14" xfId="4342"/>
    <cellStyle name="asd 20 2 5 15" xfId="30641"/>
    <cellStyle name="asd 20 2 5 16" xfId="32529"/>
    <cellStyle name="asd 20 2 5 17" xfId="34736"/>
    <cellStyle name="asd 20 2 5 18" xfId="35841"/>
    <cellStyle name="asd 20 2 5 19" xfId="37720"/>
    <cellStyle name="asd 20 2 5 2" xfId="6414"/>
    <cellStyle name="asd 20 2 5 20" xfId="39742"/>
    <cellStyle name="asd 20 2 5 21" xfId="41414"/>
    <cellStyle name="asd 20 2 5 22" xfId="43124"/>
    <cellStyle name="asd 20 2 5 3" xfId="7865"/>
    <cellStyle name="asd 20 2 5 4" xfId="9775"/>
    <cellStyle name="asd 20 2 5 5" xfId="12297"/>
    <cellStyle name="asd 20 2 5 6" xfId="13826"/>
    <cellStyle name="asd 20 2 5 7" xfId="15728"/>
    <cellStyle name="asd 20 2 5 8" xfId="17394"/>
    <cellStyle name="asd 20 2 5 9" xfId="19300"/>
    <cellStyle name="asd 20 2 6" xfId="5457"/>
    <cellStyle name="asd 20 2 6 10" xfId="21707"/>
    <cellStyle name="asd 20 2 6 11" xfId="22836"/>
    <cellStyle name="asd 20 2 6 12" xfId="25509"/>
    <cellStyle name="asd 20 2 6 13" xfId="26317"/>
    <cellStyle name="asd 20 2 6 14" xfId="28923"/>
    <cellStyle name="asd 20 2 6 15" xfId="29925"/>
    <cellStyle name="asd 20 2 6 16" xfId="31989"/>
    <cellStyle name="asd 20 2 6 17" xfId="33736"/>
    <cellStyle name="asd 20 2 6 18" xfId="36336"/>
    <cellStyle name="asd 20 2 6 19" xfId="38215"/>
    <cellStyle name="asd 20 2 6 2" xfId="6906"/>
    <cellStyle name="asd 20 2 6 20" xfId="39220"/>
    <cellStyle name="asd 20 2 6 21" xfId="40898"/>
    <cellStyle name="asd 20 2 6 22" xfId="42627"/>
    <cellStyle name="asd 20 2 6 3" xfId="8360"/>
    <cellStyle name="asd 20 2 6 4" xfId="10270"/>
    <cellStyle name="asd 20 2 6 5" xfId="12184"/>
    <cellStyle name="asd 20 2 6 6" xfId="13305"/>
    <cellStyle name="asd 20 2 6 7" xfId="15209"/>
    <cellStyle name="asd 20 2 6 8" xfId="17889"/>
    <cellStyle name="asd 20 2 6 9" xfId="19795"/>
    <cellStyle name="asd 20 2 7" xfId="6632"/>
    <cellStyle name="asd 20 2 8" xfId="9299"/>
    <cellStyle name="asd 20 2 9" xfId="11769"/>
    <cellStyle name="asd 20 20" xfId="24215"/>
    <cellStyle name="asd 20 21" xfId="27985"/>
    <cellStyle name="asd 20 22" xfId="15955"/>
    <cellStyle name="asd 20 23" xfId="33813"/>
    <cellStyle name="asd 20 24" xfId="27949"/>
    <cellStyle name="asd 20 25" xfId="32875"/>
    <cellStyle name="asd 20 26" xfId="34899"/>
    <cellStyle name="asd 20 27" xfId="39272"/>
    <cellStyle name="asd 20 3" xfId="3420"/>
    <cellStyle name="asd 20 3 10" xfId="13136"/>
    <cellStyle name="asd 20 3 11" xfId="15041"/>
    <cellStyle name="asd 20 3 12" xfId="16790"/>
    <cellStyle name="asd 20 3 13" xfId="18697"/>
    <cellStyle name="asd 20 3 14" xfId="20609"/>
    <cellStyle name="asd 20 3 15" xfId="22669"/>
    <cellStyle name="asd 20 3 16" xfId="24411"/>
    <cellStyle name="asd 20 3 17" xfId="27030"/>
    <cellStyle name="asd 20 3 18" xfId="26129"/>
    <cellStyle name="asd 20 3 19" xfId="30623"/>
    <cellStyle name="asd 20 3 2" xfId="3600"/>
    <cellStyle name="asd 20 3 2 10" xfId="17491"/>
    <cellStyle name="asd 20 3 2 11" xfId="19397"/>
    <cellStyle name="asd 20 3 2 12" xfId="21309"/>
    <cellStyle name="asd 20 3 2 13" xfId="23574"/>
    <cellStyle name="asd 20 3 2 14" xfId="25111"/>
    <cellStyle name="asd 20 3 2 15" xfId="27113"/>
    <cellStyle name="asd 20 3 2 16" xfId="29263"/>
    <cellStyle name="asd 20 3 2 17" xfId="30704"/>
    <cellStyle name="asd 20 3 2 18" xfId="31640"/>
    <cellStyle name="asd 20 3 2 19" xfId="34014"/>
    <cellStyle name="asd 20 3 2 2" xfId="4427"/>
    <cellStyle name="asd 20 3 2 2 10" xfId="20671"/>
    <cellStyle name="asd 20 3 2 2 11" xfId="23694"/>
    <cellStyle name="asd 20 3 2 2 12" xfId="24473"/>
    <cellStyle name="asd 20 3 2 2 13" xfId="14979"/>
    <cellStyle name="asd 20 3 2 2 14" xfId="28883"/>
    <cellStyle name="asd 20 3 2 2 15" xfId="3110"/>
    <cellStyle name="asd 20 3 2 2 16" xfId="31582"/>
    <cellStyle name="asd 20 3 2 2 17" xfId="28329"/>
    <cellStyle name="asd 20 3 2 2 18" xfId="35301"/>
    <cellStyle name="asd 20 3 2 2 19" xfId="37179"/>
    <cellStyle name="asd 20 3 2 2 2" xfId="5321"/>
    <cellStyle name="asd 20 3 2 2 20" xfId="38834"/>
    <cellStyle name="asd 20 3 2 2 21" xfId="40522"/>
    <cellStyle name="asd 20 3 2 2 22" xfId="43451"/>
    <cellStyle name="asd 20 3 2 2 3" xfId="6176"/>
    <cellStyle name="asd 20 3 2 2 4" xfId="9233"/>
    <cellStyle name="asd 20 3 2 2 5" xfId="11713"/>
    <cellStyle name="asd 20 3 2 2 6" xfId="14164"/>
    <cellStyle name="asd 20 3 2 2 7" xfId="16068"/>
    <cellStyle name="asd 20 3 2 2 8" xfId="16852"/>
    <cellStyle name="asd 20 3 2 2 9" xfId="18759"/>
    <cellStyle name="asd 20 3 2 20" xfId="35938"/>
    <cellStyle name="asd 20 3 2 21" xfId="37817"/>
    <cellStyle name="asd 20 3 2 22" xfId="38886"/>
    <cellStyle name="asd 20 3 2 23" xfId="40571"/>
    <cellStyle name="asd 20 3 2 24" xfId="43337"/>
    <cellStyle name="asd 20 3 2 3" xfId="5061"/>
    <cellStyle name="asd 20 3 2 4" xfId="6511"/>
    <cellStyle name="asd 20 3 2 5" xfId="7962"/>
    <cellStyle name="asd 20 3 2 6" xfId="9872"/>
    <cellStyle name="asd 20 3 2 7" xfId="12219"/>
    <cellStyle name="asd 20 3 2 8" xfId="14046"/>
    <cellStyle name="asd 20 3 2 9" xfId="15947"/>
    <cellStyle name="asd 20 3 20" xfId="32046"/>
    <cellStyle name="asd 20 3 21" xfId="34027"/>
    <cellStyle name="asd 20 3 22" xfId="35239"/>
    <cellStyle name="asd 20 3 23" xfId="37117"/>
    <cellStyle name="asd 20 3 24" xfId="39275"/>
    <cellStyle name="asd 20 3 25" xfId="40951"/>
    <cellStyle name="asd 20 3 26" xfId="42474"/>
    <cellStyle name="asd 20 3 3" xfId="3795"/>
    <cellStyle name="asd 20 3 3 10" xfId="19530"/>
    <cellStyle name="asd 20 3 3 11" xfId="21442"/>
    <cellStyle name="asd 20 3 3 12" xfId="24010"/>
    <cellStyle name="asd 20 3 3 13" xfId="25244"/>
    <cellStyle name="asd 20 3 3 14" xfId="27020"/>
    <cellStyle name="asd 20 3 3 15" xfId="29672"/>
    <cellStyle name="asd 20 3 3 16" xfId="30613"/>
    <cellStyle name="asd 20 3 3 17" xfId="32251"/>
    <cellStyle name="asd 20 3 3 18" xfId="33950"/>
    <cellStyle name="asd 20 3 3 19" xfId="36071"/>
    <cellStyle name="asd 20 3 3 2" xfId="5800"/>
    <cellStyle name="asd 20 3 3 2 10" xfId="22050"/>
    <cellStyle name="asd 20 3 3 2 11" xfId="22653"/>
    <cellStyle name="asd 20 3 3 2 12" xfId="25852"/>
    <cellStyle name="asd 20 3 3 2 13" xfId="26601"/>
    <cellStyle name="asd 20 3 3 2 14" xfId="28335"/>
    <cellStyle name="asd 20 3 3 2 15" xfId="30203"/>
    <cellStyle name="asd 20 3 3 2 16" xfId="32356"/>
    <cellStyle name="asd 20 3 3 2 17" xfId="34180"/>
    <cellStyle name="asd 20 3 3 2 18" xfId="36679"/>
    <cellStyle name="asd 20 3 3 2 19" xfId="38558"/>
    <cellStyle name="asd 20 3 3 2 2" xfId="7249"/>
    <cellStyle name="asd 20 3 3 2 20" xfId="39575"/>
    <cellStyle name="asd 20 3 3 2 21" xfId="41249"/>
    <cellStyle name="asd 20 3 3 2 22" xfId="42459"/>
    <cellStyle name="asd 20 3 3 2 3" xfId="8703"/>
    <cellStyle name="asd 20 3 3 2 4" xfId="10613"/>
    <cellStyle name="asd 20 3 3 2 5" xfId="11628"/>
    <cellStyle name="asd 20 3 3 2 6" xfId="13120"/>
    <cellStyle name="asd 20 3 3 2 7" xfId="15025"/>
    <cellStyle name="asd 20 3 3 2 8" xfId="18232"/>
    <cellStyle name="asd 20 3 3 2 9" xfId="20138"/>
    <cellStyle name="asd 20 3 3 20" xfId="37950"/>
    <cellStyle name="asd 20 3 3 21" xfId="39469"/>
    <cellStyle name="asd 20 3 3 22" xfId="41144"/>
    <cellStyle name="asd 20 3 3 23" xfId="43754"/>
    <cellStyle name="asd 20 3 3 3" xfId="5194"/>
    <cellStyle name="asd 20 3 3 4" xfId="8095"/>
    <cellStyle name="asd 20 3 3 5" xfId="10005"/>
    <cellStyle name="asd 20 3 3 6" xfId="11969"/>
    <cellStyle name="asd 20 3 3 7" xfId="14480"/>
    <cellStyle name="asd 20 3 3 8" xfId="16386"/>
    <cellStyle name="asd 20 3 3 9" xfId="17624"/>
    <cellStyle name="asd 20 3 4" xfId="4052"/>
    <cellStyle name="asd 20 3 4 10" xfId="19687"/>
    <cellStyle name="asd 20 3 4 11" xfId="21599"/>
    <cellStyle name="asd 20 3 4 12" xfId="22838"/>
    <cellStyle name="asd 20 3 4 13" xfId="25401"/>
    <cellStyle name="asd 20 3 4 14" xfId="27602"/>
    <cellStyle name="asd 20 3 4 15" xfId="28145"/>
    <cellStyle name="asd 20 3 4 16" xfId="31180"/>
    <cellStyle name="asd 20 3 4 17" xfId="33298"/>
    <cellStyle name="asd 20 3 4 18" xfId="34163"/>
    <cellStyle name="asd 20 3 4 19" xfId="36228"/>
    <cellStyle name="asd 20 3 4 2" xfId="5957"/>
    <cellStyle name="asd 20 3 4 2 10" xfId="22207"/>
    <cellStyle name="asd 20 3 4 2 11" xfId="23049"/>
    <cellStyle name="asd 20 3 4 2 12" xfId="26009"/>
    <cellStyle name="asd 20 3 4 2 13" xfId="27085"/>
    <cellStyle name="asd 20 3 4 2 14" xfId="28818"/>
    <cellStyle name="asd 20 3 4 2 15" xfId="30676"/>
    <cellStyle name="asd 20 3 4 2 16" xfId="32311"/>
    <cellStyle name="asd 20 3 4 2 17" xfId="34919"/>
    <cellStyle name="asd 20 3 4 2 18" xfId="36836"/>
    <cellStyle name="asd 20 3 4 2 19" xfId="38715"/>
    <cellStyle name="asd 20 3 4 2 2" xfId="7406"/>
    <cellStyle name="asd 20 3 4 2 20" xfId="39530"/>
    <cellStyle name="asd 20 3 4 2 21" xfId="41204"/>
    <cellStyle name="asd 20 3 4 2 22" xfId="42832"/>
    <cellStyle name="asd 20 3 4 2 3" xfId="8860"/>
    <cellStyle name="asd 20 3 4 2 4" xfId="10770"/>
    <cellStyle name="asd 20 3 4 2 5" xfId="12649"/>
    <cellStyle name="asd 20 3 4 2 6" xfId="13520"/>
    <cellStyle name="asd 20 3 4 2 7" xfId="15423"/>
    <cellStyle name="asd 20 3 4 2 8" xfId="18389"/>
    <cellStyle name="asd 20 3 4 2 9" xfId="20295"/>
    <cellStyle name="asd 20 3 4 20" xfId="38107"/>
    <cellStyle name="asd 20 3 4 21" xfId="40482"/>
    <cellStyle name="asd 20 3 4 22" xfId="42136"/>
    <cellStyle name="asd 20 3 4 23" xfId="42629"/>
    <cellStyle name="asd 20 3 4 3" xfId="6798"/>
    <cellStyle name="asd 20 3 4 4" xfId="8252"/>
    <cellStyle name="asd 20 3 4 5" xfId="10162"/>
    <cellStyle name="asd 20 3 4 6" xfId="10996"/>
    <cellStyle name="asd 20 3 4 7" xfId="13307"/>
    <cellStyle name="asd 20 3 4 8" xfId="15211"/>
    <cellStyle name="asd 20 3 4 9" xfId="17781"/>
    <cellStyle name="asd 20 3 5" xfId="4913"/>
    <cellStyle name="asd 20 3 5 10" xfId="21161"/>
    <cellStyle name="asd 20 3 5 11" xfId="24156"/>
    <cellStyle name="asd 20 3 5 12" xfId="24963"/>
    <cellStyle name="asd 20 3 5 13" xfId="26653"/>
    <cellStyle name="asd 20 3 5 14" xfId="29487"/>
    <cellStyle name="asd 20 3 5 15" xfId="30254"/>
    <cellStyle name="asd 20 3 5 16" xfId="33086"/>
    <cellStyle name="asd 20 3 5 17" xfId="33777"/>
    <cellStyle name="asd 20 3 5 18" xfId="35790"/>
    <cellStyle name="asd 20 3 5 19" xfId="37669"/>
    <cellStyle name="asd 20 3 5 2" xfId="6363"/>
    <cellStyle name="asd 20 3 5 20" xfId="40282"/>
    <cellStyle name="asd 20 3 5 21" xfId="41938"/>
    <cellStyle name="asd 20 3 5 22" xfId="43898"/>
    <cellStyle name="asd 20 3 5 3" xfId="7814"/>
    <cellStyle name="asd 20 3 5 4" xfId="9724"/>
    <cellStyle name="asd 20 3 5 5" xfId="12116"/>
    <cellStyle name="asd 20 3 5 6" xfId="14627"/>
    <cellStyle name="asd 20 3 5 7" xfId="16533"/>
    <cellStyle name="asd 20 3 5 8" xfId="17343"/>
    <cellStyle name="asd 20 3 5 9" xfId="19249"/>
    <cellStyle name="asd 20 3 6" xfId="5547"/>
    <cellStyle name="asd 20 3 6 10" xfId="21797"/>
    <cellStyle name="asd 20 3 6 11" xfId="22835"/>
    <cellStyle name="asd 20 3 6 12" xfId="25599"/>
    <cellStyle name="asd 20 3 6 13" xfId="27301"/>
    <cellStyle name="asd 20 3 6 14" xfId="29527"/>
    <cellStyle name="asd 20 3 6 15" xfId="30891"/>
    <cellStyle name="asd 20 3 6 16" xfId="33246"/>
    <cellStyle name="asd 20 3 6 17" xfId="34020"/>
    <cellStyle name="asd 20 3 6 18" xfId="36426"/>
    <cellStyle name="asd 20 3 6 19" xfId="38305"/>
    <cellStyle name="asd 20 3 6 2" xfId="6996"/>
    <cellStyle name="asd 20 3 6 20" xfId="40434"/>
    <cellStyle name="asd 20 3 6 21" xfId="42089"/>
    <cellStyle name="asd 20 3 6 22" xfId="42626"/>
    <cellStyle name="asd 20 3 6 3" xfId="8450"/>
    <cellStyle name="asd 20 3 6 4" xfId="10360"/>
    <cellStyle name="asd 20 3 6 5" xfId="12243"/>
    <cellStyle name="asd 20 3 6 6" xfId="13304"/>
    <cellStyle name="asd 20 3 6 7" xfId="15208"/>
    <cellStyle name="asd 20 3 6 8" xfId="17979"/>
    <cellStyle name="asd 20 3 6 9" xfId="19885"/>
    <cellStyle name="asd 20 3 7" xfId="6644"/>
    <cellStyle name="asd 20 3 8" xfId="9171"/>
    <cellStyle name="asd 20 3 9" xfId="11475"/>
    <cellStyle name="asd 20 4" xfId="3410"/>
    <cellStyle name="asd 20 4 10" xfId="14924"/>
    <cellStyle name="asd 20 4 11" xfId="16770"/>
    <cellStyle name="asd 20 4 12" xfId="18677"/>
    <cellStyle name="asd 20 4 13" xfId="20589"/>
    <cellStyle name="asd 20 4 14" xfId="22552"/>
    <cellStyle name="asd 20 4 15" xfId="24391"/>
    <cellStyle name="asd 20 4 16" xfId="26774"/>
    <cellStyle name="asd 20 4 17" xfId="28394"/>
    <cellStyle name="asd 20 4 18" xfId="30373"/>
    <cellStyle name="asd 20 4 19" xfId="33242"/>
    <cellStyle name="asd 20 4 2" xfId="3590"/>
    <cellStyle name="asd 20 4 2 10" xfId="17481"/>
    <cellStyle name="asd 20 4 2 11" xfId="19387"/>
    <cellStyle name="asd 20 4 2 12" xfId="21299"/>
    <cellStyle name="asd 20 4 2 13" xfId="22448"/>
    <cellStyle name="asd 20 4 2 14" xfId="25101"/>
    <cellStyle name="asd 20 4 2 15" xfId="26175"/>
    <cellStyle name="asd 20 4 2 16" xfId="4365"/>
    <cellStyle name="asd 20 4 2 17" xfId="29788"/>
    <cellStyle name="asd 20 4 2 18" xfId="33318"/>
    <cellStyle name="asd 20 4 2 19" xfId="29182"/>
    <cellStyle name="asd 20 4 2 2" xfId="5695"/>
    <cellStyle name="asd 20 4 2 2 10" xfId="21945"/>
    <cellStyle name="asd 20 4 2 2 11" xfId="23589"/>
    <cellStyle name="asd 20 4 2 2 12" xfId="25747"/>
    <cellStyle name="asd 20 4 2 2 13" xfId="27880"/>
    <cellStyle name="asd 20 4 2 2 14" xfId="28751"/>
    <cellStyle name="asd 20 4 2 2 15" xfId="31461"/>
    <cellStyle name="asd 20 4 2 2 16" xfId="31729"/>
    <cellStyle name="asd 20 4 2 2 17" xfId="34034"/>
    <cellStyle name="asd 20 4 2 2 18" xfId="36574"/>
    <cellStyle name="asd 20 4 2 2 19" xfId="38453"/>
    <cellStyle name="asd 20 4 2 2 2" xfId="7144"/>
    <cellStyle name="asd 20 4 2 2 20" xfId="38970"/>
    <cellStyle name="asd 20 4 2 2 21" xfId="40653"/>
    <cellStyle name="asd 20 4 2 2 22" xfId="43348"/>
    <cellStyle name="asd 20 4 2 2 3" xfId="8598"/>
    <cellStyle name="asd 20 4 2 2 4" xfId="10508"/>
    <cellStyle name="asd 20 4 2 2 5" xfId="12399"/>
    <cellStyle name="asd 20 4 2 2 6" xfId="14059"/>
    <cellStyle name="asd 20 4 2 2 7" xfId="15962"/>
    <cellStyle name="asd 20 4 2 2 8" xfId="18127"/>
    <cellStyle name="asd 20 4 2 2 9" xfId="20033"/>
    <cellStyle name="asd 20 4 2 20" xfId="35928"/>
    <cellStyle name="asd 20 4 2 21" xfId="37807"/>
    <cellStyle name="asd 20 4 2 22" xfId="40498"/>
    <cellStyle name="asd 20 4 2 23" xfId="42151"/>
    <cellStyle name="asd 20 4 2 24" xfId="42259"/>
    <cellStyle name="asd 20 4 2 3" xfId="5051"/>
    <cellStyle name="asd 20 4 2 4" xfId="6501"/>
    <cellStyle name="asd 20 4 2 5" xfId="7952"/>
    <cellStyle name="asd 20 4 2 6" xfId="9862"/>
    <cellStyle name="asd 20 4 2 7" xfId="1997"/>
    <cellStyle name="asd 20 4 2 8" xfId="12916"/>
    <cellStyle name="asd 20 4 2 9" xfId="14821"/>
    <cellStyle name="asd 20 4 20" xfId="33754"/>
    <cellStyle name="asd 20 4 21" xfId="35219"/>
    <cellStyle name="asd 20 4 22" xfId="37097"/>
    <cellStyle name="asd 20 4 23" xfId="40431"/>
    <cellStyle name="asd 20 4 24" xfId="42086"/>
    <cellStyle name="asd 20 4 25" xfId="42361"/>
    <cellStyle name="asd 20 4 3" xfId="3813"/>
    <cellStyle name="asd 20 4 3 10" xfId="19544"/>
    <cellStyle name="asd 20 4 3 11" xfId="21456"/>
    <cellStyle name="asd 20 4 3 12" xfId="23744"/>
    <cellStyle name="asd 20 4 3 13" xfId="25258"/>
    <cellStyle name="asd 20 4 3 14" xfId="27847"/>
    <cellStyle name="asd 20 4 3 15" xfId="28746"/>
    <cellStyle name="asd 20 4 3 16" xfId="31426"/>
    <cellStyle name="asd 20 4 3 17" xfId="33264"/>
    <cellStyle name="asd 20 4 3 18" xfId="34849"/>
    <cellStyle name="asd 20 4 3 19" xfId="36085"/>
    <cellStyle name="asd 20 4 3 2" xfId="5814"/>
    <cellStyle name="asd 20 4 3 2 10" xfId="22064"/>
    <cellStyle name="asd 20 4 3 2 11" xfId="23651"/>
    <cellStyle name="asd 20 4 3 2 12" xfId="25866"/>
    <cellStyle name="asd 20 4 3 2 13" xfId="26963"/>
    <cellStyle name="asd 20 4 3 2 14" xfId="29172"/>
    <cellStyle name="asd 20 4 3 2 15" xfId="30557"/>
    <cellStyle name="asd 20 4 3 2 16" xfId="32953"/>
    <cellStyle name="asd 20 4 3 2 17" xfId="34967"/>
    <cellStyle name="asd 20 4 3 2 18" xfId="36693"/>
    <cellStyle name="asd 20 4 3 2 19" xfId="38572"/>
    <cellStyle name="asd 20 4 3 2 2" xfId="7263"/>
    <cellStyle name="asd 20 4 3 2 20" xfId="40155"/>
    <cellStyle name="asd 20 4 3 2 21" xfId="41814"/>
    <cellStyle name="asd 20 4 3 2 22" xfId="43409"/>
    <cellStyle name="asd 20 4 3 2 3" xfId="8717"/>
    <cellStyle name="asd 20 4 3 2 4" xfId="10627"/>
    <cellStyle name="asd 20 4 3 2 5" xfId="11456"/>
    <cellStyle name="asd 20 4 3 2 6" xfId="14121"/>
    <cellStyle name="asd 20 4 3 2 7" xfId="16024"/>
    <cellStyle name="asd 20 4 3 2 8" xfId="18246"/>
    <cellStyle name="asd 20 4 3 2 9" xfId="20152"/>
    <cellStyle name="asd 20 4 3 20" xfId="37964"/>
    <cellStyle name="asd 20 4 3 21" xfId="40450"/>
    <cellStyle name="asd 20 4 3 22" xfId="42105"/>
    <cellStyle name="asd 20 4 3 23" xfId="43497"/>
    <cellStyle name="asd 20 4 3 3" xfId="5208"/>
    <cellStyle name="asd 20 4 3 4" xfId="8109"/>
    <cellStyle name="asd 20 4 3 5" xfId="10019"/>
    <cellStyle name="asd 20 4 3 6" xfId="11603"/>
    <cellStyle name="asd 20 4 3 7" xfId="14214"/>
    <cellStyle name="asd 20 4 3 8" xfId="16118"/>
    <cellStyle name="asd 20 4 3 9" xfId="17638"/>
    <cellStyle name="asd 20 4 4" xfId="4042"/>
    <cellStyle name="asd 20 4 4 10" xfId="19677"/>
    <cellStyle name="asd 20 4 4 11" xfId="21589"/>
    <cellStyle name="asd 20 4 4 12" xfId="23075"/>
    <cellStyle name="asd 20 4 4 13" xfId="25391"/>
    <cellStyle name="asd 20 4 4 14" xfId="26669"/>
    <cellStyle name="asd 20 4 4 15" xfId="28037"/>
    <cellStyle name="asd 20 4 4 16" xfId="30269"/>
    <cellStyle name="asd 20 4 4 17" xfId="32147"/>
    <cellStyle name="asd 20 4 4 18" xfId="34616"/>
    <cellStyle name="asd 20 4 4 19" xfId="36218"/>
    <cellStyle name="asd 20 4 4 2" xfId="5947"/>
    <cellStyle name="asd 20 4 4 2 10" xfId="22197"/>
    <cellStyle name="asd 20 4 4 2 11" xfId="22998"/>
    <cellStyle name="asd 20 4 4 2 12" xfId="25999"/>
    <cellStyle name="asd 20 4 4 2 13" xfId="27307"/>
    <cellStyle name="asd 20 4 4 2 14" xfId="29315"/>
    <cellStyle name="asd 20 4 4 2 15" xfId="30897"/>
    <cellStyle name="asd 20 4 4 2 16" xfId="31758"/>
    <cellStyle name="asd 20 4 4 2 17" xfId="34983"/>
    <cellStyle name="asd 20 4 4 2 18" xfId="36826"/>
    <cellStyle name="asd 20 4 4 2 19" xfId="38705"/>
    <cellStyle name="asd 20 4 4 2 2" xfId="7396"/>
    <cellStyle name="asd 20 4 4 2 20" xfId="38998"/>
    <cellStyle name="asd 20 4 4 2 21" xfId="40681"/>
    <cellStyle name="asd 20 4 4 2 22" xfId="42783"/>
    <cellStyle name="asd 20 4 4 2 3" xfId="8850"/>
    <cellStyle name="asd 20 4 4 2 4" xfId="10760"/>
    <cellStyle name="asd 20 4 4 2 5" xfId="12307"/>
    <cellStyle name="asd 20 4 4 2 6" xfId="13468"/>
    <cellStyle name="asd 20 4 4 2 7" xfId="15373"/>
    <cellStyle name="asd 20 4 4 2 8" xfId="18379"/>
    <cellStyle name="asd 20 4 4 2 9" xfId="20285"/>
    <cellStyle name="asd 20 4 4 20" xfId="38097"/>
    <cellStyle name="asd 20 4 4 21" xfId="39370"/>
    <cellStyle name="asd 20 4 4 22" xfId="41046"/>
    <cellStyle name="asd 20 4 4 23" xfId="42857"/>
    <cellStyle name="asd 20 4 4 3" xfId="6788"/>
    <cellStyle name="asd 20 4 4 4" xfId="8242"/>
    <cellStyle name="asd 20 4 4 5" xfId="10152"/>
    <cellStyle name="asd 20 4 4 6" xfId="12683"/>
    <cellStyle name="asd 20 4 4 7" xfId="13546"/>
    <cellStyle name="asd 20 4 4 8" xfId="15449"/>
    <cellStyle name="asd 20 4 4 9" xfId="17771"/>
    <cellStyle name="asd 20 4 5" xfId="5564"/>
    <cellStyle name="asd 20 4 5 10" xfId="21814"/>
    <cellStyle name="asd 20 4 5 11" xfId="23953"/>
    <cellStyle name="asd 20 4 5 12" xfId="25616"/>
    <cellStyle name="asd 20 4 5 13" xfId="27003"/>
    <cellStyle name="asd 20 4 5 14" xfId="28384"/>
    <cellStyle name="asd 20 4 5 15" xfId="30597"/>
    <cellStyle name="asd 20 4 5 16" xfId="33308"/>
    <cellStyle name="asd 20 4 5 17" xfId="34052"/>
    <cellStyle name="asd 20 4 5 18" xfId="36443"/>
    <cellStyle name="asd 20 4 5 19" xfId="38322"/>
    <cellStyle name="asd 20 4 5 2" xfId="7013"/>
    <cellStyle name="asd 20 4 5 20" xfId="40490"/>
    <cellStyle name="asd 20 4 5 21" xfId="42143"/>
    <cellStyle name="asd 20 4 5 22" xfId="43699"/>
    <cellStyle name="asd 20 4 5 3" xfId="8467"/>
    <cellStyle name="asd 20 4 5 4" xfId="10377"/>
    <cellStyle name="asd 20 4 5 5" xfId="11913"/>
    <cellStyle name="asd 20 4 5 6" xfId="14423"/>
    <cellStyle name="asd 20 4 5 7" xfId="16329"/>
    <cellStyle name="asd 20 4 5 8" xfId="17996"/>
    <cellStyle name="asd 20 4 5 9" xfId="19902"/>
    <cellStyle name="asd 20 4 6" xfId="2810"/>
    <cellStyle name="asd 20 4 7" xfId="9151"/>
    <cellStyle name="asd 20 4 8" xfId="10963"/>
    <cellStyle name="asd 20 4 9" xfId="13020"/>
    <cellStyle name="asd 20 5" xfId="2052"/>
    <cellStyle name="asd 20 5 10" xfId="17100"/>
    <cellStyle name="asd 20 5 11" xfId="19006"/>
    <cellStyle name="asd 20 5 12" xfId="20918"/>
    <cellStyle name="asd 20 5 13" xfId="12772"/>
    <cellStyle name="asd 20 5 14" xfId="24720"/>
    <cellStyle name="asd 20 5 15" xfId="1989"/>
    <cellStyle name="asd 20 5 16" xfId="27979"/>
    <cellStyle name="asd 20 5 17" xfId="16274"/>
    <cellStyle name="asd 20 5 18" xfId="4301"/>
    <cellStyle name="asd 20 5 19" xfId="4322"/>
    <cellStyle name="asd 20 5 2" xfId="5471"/>
    <cellStyle name="asd 20 5 2 10" xfId="21721"/>
    <cellStyle name="asd 20 5 2 11" xfId="23032"/>
    <cellStyle name="asd 20 5 2 12" xfId="25523"/>
    <cellStyle name="asd 20 5 2 13" xfId="26206"/>
    <cellStyle name="asd 20 5 2 14" xfId="28881"/>
    <cellStyle name="asd 20 5 2 15" xfId="29818"/>
    <cellStyle name="asd 20 5 2 16" xfId="32674"/>
    <cellStyle name="asd 20 5 2 17" xfId="30772"/>
    <cellStyle name="asd 20 5 2 18" xfId="36350"/>
    <cellStyle name="asd 20 5 2 19" xfId="38229"/>
    <cellStyle name="asd 20 5 2 2" xfId="6920"/>
    <cellStyle name="asd 20 5 2 20" xfId="39881"/>
    <cellStyle name="asd 20 5 2 21" xfId="41550"/>
    <cellStyle name="asd 20 5 2 22" xfId="42815"/>
    <cellStyle name="asd 20 5 2 3" xfId="8374"/>
    <cellStyle name="asd 20 5 2 4" xfId="10284"/>
    <cellStyle name="asd 20 5 2 5" xfId="12626"/>
    <cellStyle name="asd 20 5 2 6" xfId="13502"/>
    <cellStyle name="asd 20 5 2 7" xfId="15406"/>
    <cellStyle name="asd 20 5 2 8" xfId="17903"/>
    <cellStyle name="asd 20 5 2 9" xfId="19809"/>
    <cellStyle name="asd 20 5 20" xfId="35547"/>
    <cellStyle name="asd 20 5 21" xfId="37426"/>
    <cellStyle name="asd 20 5 22" xfId="14693"/>
    <cellStyle name="asd 20 5 23" xfId="38831"/>
    <cellStyle name="asd 20 5 24" xfId="28698"/>
    <cellStyle name="asd 20 5 3" xfId="4673"/>
    <cellStyle name="asd 20 5 4" xfId="6120"/>
    <cellStyle name="asd 20 5 5" xfId="7571"/>
    <cellStyle name="asd 20 5 6" xfId="9481"/>
    <cellStyle name="asd 20 5 7" xfId="11021"/>
    <cellStyle name="asd 20 5 8" xfId="2051"/>
    <cellStyle name="asd 20 5 9" xfId="4506"/>
    <cellStyle name="asd 20 6" xfId="2706"/>
    <cellStyle name="asd 20 6 10" xfId="19097"/>
    <cellStyle name="asd 20 6 11" xfId="21009"/>
    <cellStyle name="asd 20 6 12" xfId="22820"/>
    <cellStyle name="asd 20 6 13" xfId="24811"/>
    <cellStyle name="asd 20 6 14" xfId="27512"/>
    <cellStyle name="asd 20 6 15" xfId="20419"/>
    <cellStyle name="asd 20 6 16" xfId="31097"/>
    <cellStyle name="asd 20 6 17" xfId="32214"/>
    <cellStyle name="asd 20 6 18" xfId="2129"/>
    <cellStyle name="asd 20 6 19" xfId="35638"/>
    <cellStyle name="asd 20 6 2" xfId="4596"/>
    <cellStyle name="asd 20 6 2 10" xfId="20841"/>
    <cellStyle name="asd 20 6 2 11" xfId="22872"/>
    <cellStyle name="asd 20 6 2 12" xfId="24643"/>
    <cellStyle name="asd 20 6 2 13" xfId="26966"/>
    <cellStyle name="asd 20 6 2 14" xfId="2439"/>
    <cellStyle name="asd 20 6 2 15" xfId="30560"/>
    <cellStyle name="asd 20 6 2 16" xfId="32141"/>
    <cellStyle name="asd 20 6 2 17" xfId="34647"/>
    <cellStyle name="asd 20 6 2 18" xfId="35471"/>
    <cellStyle name="asd 20 6 2 19" xfId="37349"/>
    <cellStyle name="asd 20 6 2 2" xfId="2700"/>
    <cellStyle name="asd 20 6 2 20" xfId="39364"/>
    <cellStyle name="asd 20 6 2 21" xfId="41040"/>
    <cellStyle name="asd 20 6 2 22" xfId="42659"/>
    <cellStyle name="asd 20 6 2 3" xfId="1962"/>
    <cellStyle name="asd 20 6 2 4" xfId="9403"/>
    <cellStyle name="asd 20 6 2 5" xfId="10998"/>
    <cellStyle name="asd 20 6 2 6" xfId="13340"/>
    <cellStyle name="asd 20 6 2 7" xfId="15245"/>
    <cellStyle name="asd 20 6 2 8" xfId="17022"/>
    <cellStyle name="asd 20 6 2 9" xfId="18929"/>
    <cellStyle name="asd 20 6 20" xfId="37517"/>
    <cellStyle name="asd 20 6 21" xfId="39434"/>
    <cellStyle name="asd 20 6 22" xfId="41110"/>
    <cellStyle name="asd 20 6 23" xfId="42613"/>
    <cellStyle name="asd 20 6 3" xfId="4762"/>
    <cellStyle name="asd 20 6 4" xfId="7662"/>
    <cellStyle name="asd 20 6 5" xfId="9572"/>
    <cellStyle name="asd 20 6 6" xfId="11301"/>
    <cellStyle name="asd 20 6 7" xfId="13290"/>
    <cellStyle name="asd 20 6 8" xfId="15194"/>
    <cellStyle name="asd 20 6 9" xfId="17191"/>
    <cellStyle name="asd 20 7" xfId="3192"/>
    <cellStyle name="asd 20 7 10" xfId="19175"/>
    <cellStyle name="asd 20 7 11" xfId="21087"/>
    <cellStyle name="asd 20 7 12" xfId="23551"/>
    <cellStyle name="asd 20 7 13" xfId="24889"/>
    <cellStyle name="asd 20 7 14" xfId="27695"/>
    <cellStyle name="asd 20 7 15" xfId="29090"/>
    <cellStyle name="asd 20 7 16" xfId="31269"/>
    <cellStyle name="asd 20 7 17" xfId="32370"/>
    <cellStyle name="asd 20 7 18" xfId="33446"/>
    <cellStyle name="asd 20 7 19" xfId="35716"/>
    <cellStyle name="asd 20 7 2" xfId="5478"/>
    <cellStyle name="asd 20 7 2 10" xfId="21728"/>
    <cellStyle name="asd 20 7 2 11" xfId="22424"/>
    <cellStyle name="asd 20 7 2 12" xfId="25530"/>
    <cellStyle name="asd 20 7 2 13" xfId="27628"/>
    <cellStyle name="asd 20 7 2 14" xfId="29278"/>
    <cellStyle name="asd 20 7 2 15" xfId="31206"/>
    <cellStyle name="asd 20 7 2 16" xfId="32987"/>
    <cellStyle name="asd 20 7 2 17" xfId="34261"/>
    <cellStyle name="asd 20 7 2 18" xfId="36357"/>
    <cellStyle name="asd 20 7 2 19" xfId="38236"/>
    <cellStyle name="asd 20 7 2 2" xfId="6927"/>
    <cellStyle name="asd 20 7 2 20" xfId="40188"/>
    <cellStyle name="asd 20 7 2 21" xfId="41847"/>
    <cellStyle name="asd 20 7 2 22" xfId="42235"/>
    <cellStyle name="asd 20 7 2 3" xfId="8381"/>
    <cellStyle name="asd 20 7 2 4" xfId="10291"/>
    <cellStyle name="asd 20 7 2 5" xfId="2032"/>
    <cellStyle name="asd 20 7 2 6" xfId="12891"/>
    <cellStyle name="asd 20 7 2 7" xfId="14796"/>
    <cellStyle name="asd 20 7 2 8" xfId="17910"/>
    <cellStyle name="asd 20 7 2 9" xfId="19816"/>
    <cellStyle name="asd 20 7 20" xfId="37595"/>
    <cellStyle name="asd 20 7 21" xfId="39588"/>
    <cellStyle name="asd 20 7 22" xfId="41262"/>
    <cellStyle name="asd 20 7 23" xfId="43315"/>
    <cellStyle name="asd 20 7 3" xfId="6289"/>
    <cellStyle name="asd 20 7 4" xfId="7740"/>
    <cellStyle name="asd 20 7 5" xfId="9650"/>
    <cellStyle name="asd 20 7 6" xfId="12582"/>
    <cellStyle name="asd 20 7 7" xfId="14023"/>
    <cellStyle name="asd 20 7 8" xfId="15924"/>
    <cellStyle name="asd 20 7 9" xfId="17269"/>
    <cellStyle name="asd 20 8" xfId="2152"/>
    <cellStyle name="asd 20 9" xfId="2892"/>
    <cellStyle name="asd 21" xfId="830"/>
    <cellStyle name="asd 21 10" xfId="2640"/>
    <cellStyle name="asd 21 11" xfId="5306"/>
    <cellStyle name="asd 21 12" xfId="3712"/>
    <cellStyle name="asd 21 13" xfId="1890"/>
    <cellStyle name="asd 21 14" xfId="16105"/>
    <cellStyle name="asd 21 15" xfId="16049"/>
    <cellStyle name="asd 21 16" xfId="2470"/>
    <cellStyle name="asd 21 17" xfId="20401"/>
    <cellStyle name="asd 21 18" xfId="3966"/>
    <cellStyle name="asd 21 19" xfId="1917"/>
    <cellStyle name="asd 21 2" xfId="3416"/>
    <cellStyle name="asd 21 2 10" xfId="13421"/>
    <cellStyle name="asd 21 2 11" xfId="15326"/>
    <cellStyle name="asd 21 2 12" xfId="16785"/>
    <cellStyle name="asd 21 2 13" xfId="18692"/>
    <cellStyle name="asd 21 2 14" xfId="20604"/>
    <cellStyle name="asd 21 2 15" xfId="22952"/>
    <cellStyle name="asd 21 2 16" xfId="24406"/>
    <cellStyle name="asd 21 2 17" xfId="26948"/>
    <cellStyle name="asd 21 2 18" xfId="29592"/>
    <cellStyle name="asd 21 2 19" xfId="30542"/>
    <cellStyle name="asd 21 2 2" xfId="3596"/>
    <cellStyle name="asd 21 2 2 10" xfId="17487"/>
    <cellStyle name="asd 21 2 2 11" xfId="19393"/>
    <cellStyle name="asd 21 2 2 12" xfId="21305"/>
    <cellStyle name="asd 21 2 2 13" xfId="23627"/>
    <cellStyle name="asd 21 2 2 14" xfId="25107"/>
    <cellStyle name="asd 21 2 2 15" xfId="26964"/>
    <cellStyle name="asd 21 2 2 16" xfId="29290"/>
    <cellStyle name="asd 21 2 2 17" xfId="30558"/>
    <cellStyle name="asd 21 2 2 18" xfId="32169"/>
    <cellStyle name="asd 21 2 2 19" xfId="33682"/>
    <cellStyle name="asd 21 2 2 2" xfId="4880"/>
    <cellStyle name="asd 21 2 2 2 10" xfId="21128"/>
    <cellStyle name="asd 21 2 2 2 11" xfId="24145"/>
    <cellStyle name="asd 21 2 2 2 12" xfId="24930"/>
    <cellStyle name="asd 21 2 2 2 13" xfId="27812"/>
    <cellStyle name="asd 21 2 2 2 14" xfId="29505"/>
    <cellStyle name="asd 21 2 2 2 15" xfId="31390"/>
    <cellStyle name="asd 21 2 2 2 16" xfId="31882"/>
    <cellStyle name="asd 21 2 2 2 17" xfId="34639"/>
    <cellStyle name="asd 21 2 2 2 18" xfId="35757"/>
    <cellStyle name="asd 21 2 2 2 19" xfId="37636"/>
    <cellStyle name="asd 21 2 2 2 2" xfId="6330"/>
    <cellStyle name="asd 21 2 2 2 20" xfId="39117"/>
    <cellStyle name="asd 21 2 2 2 21" xfId="40798"/>
    <cellStyle name="asd 21 2 2 2 22" xfId="43888"/>
    <cellStyle name="asd 21 2 2 2 3" xfId="7781"/>
    <cellStyle name="asd 21 2 2 2 4" xfId="9691"/>
    <cellStyle name="asd 21 2 2 2 5" xfId="12105"/>
    <cellStyle name="asd 21 2 2 2 6" xfId="14616"/>
    <cellStyle name="asd 21 2 2 2 7" xfId="16522"/>
    <cellStyle name="asd 21 2 2 2 8" xfId="17310"/>
    <cellStyle name="asd 21 2 2 2 9" xfId="19216"/>
    <cellStyle name="asd 21 2 2 20" xfId="35934"/>
    <cellStyle name="asd 21 2 2 21" xfId="37813"/>
    <cellStyle name="asd 21 2 2 22" xfId="39391"/>
    <cellStyle name="asd 21 2 2 23" xfId="41067"/>
    <cellStyle name="asd 21 2 2 24" xfId="43385"/>
    <cellStyle name="asd 21 2 2 3" xfId="5057"/>
    <cellStyle name="asd 21 2 2 4" xfId="6507"/>
    <cellStyle name="asd 21 2 2 5" xfId="7958"/>
    <cellStyle name="asd 21 2 2 6" xfId="9868"/>
    <cellStyle name="asd 21 2 2 7" xfId="11434"/>
    <cellStyle name="asd 21 2 2 8" xfId="14097"/>
    <cellStyle name="asd 21 2 2 9" xfId="16000"/>
    <cellStyle name="asd 21 2 20" xfId="31844"/>
    <cellStyle name="asd 21 2 21" xfId="33943"/>
    <cellStyle name="asd 21 2 22" xfId="35234"/>
    <cellStyle name="asd 21 2 23" xfId="37112"/>
    <cellStyle name="asd 21 2 24" xfId="39081"/>
    <cellStyle name="asd 21 2 25" xfId="40762"/>
    <cellStyle name="asd 21 2 26" xfId="42738"/>
    <cellStyle name="asd 21 2 3" xfId="3864"/>
    <cellStyle name="asd 21 2 3 10" xfId="19579"/>
    <cellStyle name="asd 21 2 3 11" xfId="21491"/>
    <cellStyle name="asd 21 2 3 12" xfId="24162"/>
    <cellStyle name="asd 21 2 3 13" xfId="25293"/>
    <cellStyle name="asd 21 2 3 14" xfId="27806"/>
    <cellStyle name="asd 21 2 3 15" xfId="28082"/>
    <cellStyle name="asd 21 2 3 16" xfId="31383"/>
    <cellStyle name="asd 21 2 3 17" xfId="31787"/>
    <cellStyle name="asd 21 2 3 18" xfId="34124"/>
    <cellStyle name="asd 21 2 3 19" xfId="36120"/>
    <cellStyle name="asd 21 2 3 2" xfId="5849"/>
    <cellStyle name="asd 21 2 3 2 10" xfId="22099"/>
    <cellStyle name="asd 21 2 3 2 11" xfId="23645"/>
    <cellStyle name="asd 21 2 3 2 12" xfId="25901"/>
    <cellStyle name="asd 21 2 3 2 13" xfId="26825"/>
    <cellStyle name="asd 21 2 3 2 14" xfId="28833"/>
    <cellStyle name="asd 21 2 3 2 15" xfId="30423"/>
    <cellStyle name="asd 21 2 3 2 16" xfId="32713"/>
    <cellStyle name="asd 21 2 3 2 17" xfId="33713"/>
    <cellStyle name="asd 21 2 3 2 18" xfId="36728"/>
    <cellStyle name="asd 21 2 3 2 19" xfId="38607"/>
    <cellStyle name="asd 21 2 3 2 2" xfId="7298"/>
    <cellStyle name="asd 21 2 3 2 20" xfId="39924"/>
    <cellStyle name="asd 21 2 3 2 21" xfId="41590"/>
    <cellStyle name="asd 21 2 3 2 22" xfId="43403"/>
    <cellStyle name="asd 21 2 3 2 3" xfId="8752"/>
    <cellStyle name="asd 21 2 3 2 4" xfId="10662"/>
    <cellStyle name="asd 21 2 3 2 5" xfId="12621"/>
    <cellStyle name="asd 21 2 3 2 6" xfId="14115"/>
    <cellStyle name="asd 21 2 3 2 7" xfId="16018"/>
    <cellStyle name="asd 21 2 3 2 8" xfId="18281"/>
    <cellStyle name="asd 21 2 3 2 9" xfId="20187"/>
    <cellStyle name="asd 21 2 3 20" xfId="37999"/>
    <cellStyle name="asd 21 2 3 21" xfId="39026"/>
    <cellStyle name="asd 21 2 3 22" xfId="40708"/>
    <cellStyle name="asd 21 2 3 23" xfId="43904"/>
    <cellStyle name="asd 21 2 3 3" xfId="5243"/>
    <cellStyle name="asd 21 2 3 4" xfId="8144"/>
    <cellStyle name="asd 21 2 3 5" xfId="10054"/>
    <cellStyle name="asd 21 2 3 6" xfId="12122"/>
    <cellStyle name="asd 21 2 3 7" xfId="14633"/>
    <cellStyle name="asd 21 2 3 8" xfId="16539"/>
    <cellStyle name="asd 21 2 3 9" xfId="17673"/>
    <cellStyle name="asd 21 2 4" xfId="4048"/>
    <cellStyle name="asd 21 2 4 10" xfId="19683"/>
    <cellStyle name="asd 21 2 4 11" xfId="21595"/>
    <cellStyle name="asd 21 2 4 12" xfId="23226"/>
    <cellStyle name="asd 21 2 4 13" xfId="25397"/>
    <cellStyle name="asd 21 2 4 14" xfId="27853"/>
    <cellStyle name="asd 21 2 4 15" xfId="29359"/>
    <cellStyle name="asd 21 2 4 16" xfId="31432"/>
    <cellStyle name="asd 21 2 4 17" xfId="31784"/>
    <cellStyle name="asd 21 2 4 18" xfId="34744"/>
    <cellStyle name="asd 21 2 4 19" xfId="36224"/>
    <cellStyle name="asd 21 2 4 2" xfId="5953"/>
    <cellStyle name="asd 21 2 4 2 10" xfId="22203"/>
    <cellStyle name="asd 21 2 4 2 11" xfId="22455"/>
    <cellStyle name="asd 21 2 4 2 12" xfId="26005"/>
    <cellStyle name="asd 21 2 4 2 13" xfId="26617"/>
    <cellStyle name="asd 21 2 4 2 14" xfId="4207"/>
    <cellStyle name="asd 21 2 4 2 15" xfId="30220"/>
    <cellStyle name="asd 21 2 4 2 16" xfId="31689"/>
    <cellStyle name="asd 21 2 4 2 17" xfId="34510"/>
    <cellStyle name="asd 21 2 4 2 18" xfId="36832"/>
    <cellStyle name="asd 21 2 4 2 19" xfId="38711"/>
    <cellStyle name="asd 21 2 4 2 2" xfId="7402"/>
    <cellStyle name="asd 21 2 4 2 20" xfId="38931"/>
    <cellStyle name="asd 21 2 4 2 21" xfId="40615"/>
    <cellStyle name="asd 21 2 4 2 22" xfId="42266"/>
    <cellStyle name="asd 21 2 4 2 3" xfId="8856"/>
    <cellStyle name="asd 21 2 4 2 4" xfId="10766"/>
    <cellStyle name="asd 21 2 4 2 5" xfId="11833"/>
    <cellStyle name="asd 21 2 4 2 6" xfId="12923"/>
    <cellStyle name="asd 21 2 4 2 7" xfId="14828"/>
    <cellStyle name="asd 21 2 4 2 8" xfId="18385"/>
    <cellStyle name="asd 21 2 4 2 9" xfId="20291"/>
    <cellStyle name="asd 21 2 4 20" xfId="38103"/>
    <cellStyle name="asd 21 2 4 21" xfId="39023"/>
    <cellStyle name="asd 21 2 4 22" xfId="40705"/>
    <cellStyle name="asd 21 2 4 23" xfId="43003"/>
    <cellStyle name="asd 21 2 4 3" xfId="6794"/>
    <cellStyle name="asd 21 2 4 4" xfId="8248"/>
    <cellStyle name="asd 21 2 4 5" xfId="10158"/>
    <cellStyle name="asd 21 2 4 6" xfId="11108"/>
    <cellStyle name="asd 21 2 4 7" xfId="13698"/>
    <cellStyle name="asd 21 2 4 8" xfId="15600"/>
    <cellStyle name="asd 21 2 4 9" xfId="17777"/>
    <cellStyle name="asd 21 2 5" xfId="4910"/>
    <cellStyle name="asd 21 2 5 10" xfId="21158"/>
    <cellStyle name="asd 21 2 5 11" xfId="22479"/>
    <cellStyle name="asd 21 2 5 12" xfId="24960"/>
    <cellStyle name="asd 21 2 5 13" xfId="26522"/>
    <cellStyle name="asd 21 2 5 14" xfId="28654"/>
    <cellStyle name="asd 21 2 5 15" xfId="30128"/>
    <cellStyle name="asd 21 2 5 16" xfId="33218"/>
    <cellStyle name="asd 21 2 5 17" xfId="34470"/>
    <cellStyle name="asd 21 2 5 18" xfId="35787"/>
    <cellStyle name="asd 21 2 5 19" xfId="37666"/>
    <cellStyle name="asd 21 2 5 2" xfId="6360"/>
    <cellStyle name="asd 21 2 5 20" xfId="40407"/>
    <cellStyle name="asd 21 2 5 21" xfId="42063"/>
    <cellStyle name="asd 21 2 5 22" xfId="42289"/>
    <cellStyle name="asd 21 2 5 3" xfId="7811"/>
    <cellStyle name="asd 21 2 5 4" xfId="9721"/>
    <cellStyle name="asd 21 2 5 5" xfId="12341"/>
    <cellStyle name="asd 21 2 5 6" xfId="12947"/>
    <cellStyle name="asd 21 2 5 7" xfId="14851"/>
    <cellStyle name="asd 21 2 5 8" xfId="17340"/>
    <cellStyle name="asd 21 2 5 9" xfId="19246"/>
    <cellStyle name="asd 21 2 6" xfId="5603"/>
    <cellStyle name="asd 21 2 6 10" xfId="21853"/>
    <cellStyle name="asd 21 2 6 11" xfId="23045"/>
    <cellStyle name="asd 21 2 6 12" xfId="25655"/>
    <cellStyle name="asd 21 2 6 13" xfId="27956"/>
    <cellStyle name="asd 21 2 6 14" xfId="28303"/>
    <cellStyle name="asd 21 2 6 15" xfId="31535"/>
    <cellStyle name="asd 21 2 6 16" xfId="31831"/>
    <cellStyle name="asd 21 2 6 17" xfId="33408"/>
    <cellStyle name="asd 21 2 6 18" xfId="36482"/>
    <cellStyle name="asd 21 2 6 19" xfId="38361"/>
    <cellStyle name="asd 21 2 6 2" xfId="7052"/>
    <cellStyle name="asd 21 2 6 20" xfId="39069"/>
    <cellStyle name="asd 21 2 6 21" xfId="40751"/>
    <cellStyle name="asd 21 2 6 22" xfId="42828"/>
    <cellStyle name="asd 21 2 6 3" xfId="8506"/>
    <cellStyle name="asd 21 2 6 4" xfId="10416"/>
    <cellStyle name="asd 21 2 6 5" xfId="12642"/>
    <cellStyle name="asd 21 2 6 6" xfId="13515"/>
    <cellStyle name="asd 21 2 6 7" xfId="15419"/>
    <cellStyle name="asd 21 2 6 8" xfId="18035"/>
    <cellStyle name="asd 21 2 6 9" xfId="19941"/>
    <cellStyle name="asd 21 2 7" xfId="2041"/>
    <cellStyle name="asd 21 2 8" xfId="9166"/>
    <cellStyle name="asd 21 2 9" xfId="12471"/>
    <cellStyle name="asd 21 20" xfId="20450"/>
    <cellStyle name="asd 21 21" xfId="29341"/>
    <cellStyle name="asd 21 22" xfId="28578"/>
    <cellStyle name="asd 21 23" xfId="26574"/>
    <cellStyle name="asd 21 24" xfId="34469"/>
    <cellStyle name="asd 21 25" xfId="34942"/>
    <cellStyle name="asd 21 26" xfId="33315"/>
    <cellStyle name="asd 21 27" xfId="40424"/>
    <cellStyle name="asd 21 3" xfId="3488"/>
    <cellStyle name="asd 21 3 10" xfId="13905"/>
    <cellStyle name="asd 21 3 11" xfId="15806"/>
    <cellStyle name="asd 21 3 12" xfId="16930"/>
    <cellStyle name="asd 21 3 13" xfId="18837"/>
    <cellStyle name="asd 21 3 14" xfId="20749"/>
    <cellStyle name="asd 21 3 15" xfId="23433"/>
    <cellStyle name="asd 21 3 16" xfId="24551"/>
    <cellStyle name="asd 21 3 17" xfId="26808"/>
    <cellStyle name="asd 21 3 18" xfId="28553"/>
    <cellStyle name="asd 21 3 19" xfId="30407"/>
    <cellStyle name="asd 21 3 2" xfId="3668"/>
    <cellStyle name="asd 21 3 2 10" xfId="17559"/>
    <cellStyle name="asd 21 3 2 11" xfId="19465"/>
    <cellStyle name="asd 21 3 2 12" xfId="21377"/>
    <cellStyle name="asd 21 3 2 13" xfId="22861"/>
    <cellStyle name="asd 21 3 2 14" xfId="25179"/>
    <cellStyle name="asd 21 3 2 15" xfId="27130"/>
    <cellStyle name="asd 21 3 2 16" xfId="28053"/>
    <cellStyle name="asd 21 3 2 17" xfId="30721"/>
    <cellStyle name="asd 21 3 2 18" xfId="32012"/>
    <cellStyle name="asd 21 3 2 19" xfId="34156"/>
    <cellStyle name="asd 21 3 2 2" xfId="4430"/>
    <cellStyle name="asd 21 3 2 2 10" xfId="20674"/>
    <cellStyle name="asd 21 3 2 2 11" xfId="16587"/>
    <cellStyle name="asd 21 3 2 2 12" xfId="24476"/>
    <cellStyle name="asd 21 3 2 2 13" xfId="20434"/>
    <cellStyle name="asd 21 3 2 2 14" xfId="13184"/>
    <cellStyle name="asd 21 3 2 2 15" xfId="28318"/>
    <cellStyle name="asd 21 3 2 2 16" xfId="29007"/>
    <cellStyle name="asd 21 3 2 2 17" xfId="2421"/>
    <cellStyle name="asd 21 3 2 2 18" xfId="35304"/>
    <cellStyle name="asd 21 3 2 2 19" xfId="37182"/>
    <cellStyle name="asd 21 3 2 2 2" xfId="4382"/>
    <cellStyle name="asd 21 3 2 2 20" xfId="34060"/>
    <cellStyle name="asd 21 3 2 2 21" xfId="31683"/>
    <cellStyle name="asd 21 3 2 2 22" xfId="39920"/>
    <cellStyle name="asd 21 3 2 2 3" xfId="5299"/>
    <cellStyle name="asd 21 3 2 2 4" xfId="9236"/>
    <cellStyle name="asd 21 3 2 2 5" xfId="12192"/>
    <cellStyle name="asd 21 3 2 2 6" xfId="2483"/>
    <cellStyle name="asd 21 3 2 2 7" xfId="1886"/>
    <cellStyle name="asd 21 3 2 2 8" xfId="16855"/>
    <cellStyle name="asd 21 3 2 2 9" xfId="18762"/>
    <cellStyle name="asd 21 3 2 20" xfId="36006"/>
    <cellStyle name="asd 21 3 2 21" xfId="37885"/>
    <cellStyle name="asd 21 3 2 22" xfId="39243"/>
    <cellStyle name="asd 21 3 2 23" xfId="40920"/>
    <cellStyle name="asd 21 3 2 24" xfId="42649"/>
    <cellStyle name="asd 21 3 2 3" xfId="5129"/>
    <cellStyle name="asd 21 3 2 4" xfId="6579"/>
    <cellStyle name="asd 21 3 2 5" xfId="8030"/>
    <cellStyle name="asd 21 3 2 6" xfId="9940"/>
    <cellStyle name="asd 21 3 2 7" xfId="12402"/>
    <cellStyle name="asd 21 3 2 8" xfId="13330"/>
    <cellStyle name="asd 21 3 2 9" xfId="15234"/>
    <cellStyle name="asd 21 3 20" xfId="31961"/>
    <cellStyle name="asd 21 3 21" xfId="33734"/>
    <cellStyle name="asd 21 3 22" xfId="35379"/>
    <cellStyle name="asd 21 3 23" xfId="37257"/>
    <cellStyle name="asd 21 3 24" xfId="39190"/>
    <cellStyle name="asd 21 3 25" xfId="40871"/>
    <cellStyle name="asd 21 3 26" xfId="43200"/>
    <cellStyle name="asd 21 3 3" xfId="3781"/>
    <cellStyle name="asd 21 3 3 10" xfId="19520"/>
    <cellStyle name="asd 21 3 3 11" xfId="21432"/>
    <cellStyle name="asd 21 3 3 12" xfId="2835"/>
    <cellStyle name="asd 21 3 3 13" xfId="25234"/>
    <cellStyle name="asd 21 3 3 14" xfId="2670"/>
    <cellStyle name="asd 21 3 3 15" xfId="22331"/>
    <cellStyle name="asd 21 3 3 16" xfId="4227"/>
    <cellStyle name="asd 21 3 3 17" xfId="28109"/>
    <cellStyle name="asd 21 3 3 18" xfId="14703"/>
    <cellStyle name="asd 21 3 3 19" xfId="36061"/>
    <cellStyle name="asd 21 3 3 2" xfId="5790"/>
    <cellStyle name="asd 21 3 3 2 10" xfId="22040"/>
    <cellStyle name="asd 21 3 3 2 11" xfId="22666"/>
    <cellStyle name="asd 21 3 3 2 12" xfId="25842"/>
    <cellStyle name="asd 21 3 3 2 13" xfId="27762"/>
    <cellStyle name="asd 21 3 3 2 14" xfId="29591"/>
    <cellStyle name="asd 21 3 3 2 15" xfId="31340"/>
    <cellStyle name="asd 21 3 3 2 16" xfId="33156"/>
    <cellStyle name="asd 21 3 3 2 17" xfId="34845"/>
    <cellStyle name="asd 21 3 3 2 18" xfId="36669"/>
    <cellStyle name="asd 21 3 3 2 19" xfId="38548"/>
    <cellStyle name="asd 21 3 3 2 2" xfId="7239"/>
    <cellStyle name="asd 21 3 3 2 20" xfId="40349"/>
    <cellStyle name="asd 21 3 3 2 21" xfId="42005"/>
    <cellStyle name="asd 21 3 3 2 22" xfId="42472"/>
    <cellStyle name="asd 21 3 3 2 3" xfId="8693"/>
    <cellStyle name="asd 21 3 3 2 4" xfId="10603"/>
    <cellStyle name="asd 21 3 3 2 5" xfId="12263"/>
    <cellStyle name="asd 21 3 3 2 6" xfId="13133"/>
    <cellStyle name="asd 21 3 3 2 7" xfId="15038"/>
    <cellStyle name="asd 21 3 3 2 8" xfId="18222"/>
    <cellStyle name="asd 21 3 3 2 9" xfId="20128"/>
    <cellStyle name="asd 21 3 3 20" xfId="37940"/>
    <cellStyle name="asd 21 3 3 21" xfId="12781"/>
    <cellStyle name="asd 21 3 3 22" xfId="28196"/>
    <cellStyle name="asd 21 3 3 23" xfId="33424"/>
    <cellStyle name="asd 21 3 3 3" xfId="5184"/>
    <cellStyle name="asd 21 3 3 4" xfId="8085"/>
    <cellStyle name="asd 21 3 3 5" xfId="9995"/>
    <cellStyle name="asd 21 3 3 6" xfId="12360"/>
    <cellStyle name="asd 21 3 3 7" xfId="2719"/>
    <cellStyle name="asd 21 3 3 8" xfId="8966"/>
    <cellStyle name="asd 21 3 3 9" xfId="17614"/>
    <cellStyle name="asd 21 3 4" xfId="4120"/>
    <cellStyle name="asd 21 3 4 10" xfId="19755"/>
    <cellStyle name="asd 21 3 4 11" xfId="21667"/>
    <cellStyle name="asd 21 3 4 12" xfId="22863"/>
    <cellStyle name="asd 21 3 4 13" xfId="25469"/>
    <cellStyle name="asd 21 3 4 14" xfId="27046"/>
    <cellStyle name="asd 21 3 4 15" xfId="28320"/>
    <cellStyle name="asd 21 3 4 16" xfId="30639"/>
    <cellStyle name="asd 21 3 4 17" xfId="32668"/>
    <cellStyle name="asd 21 3 4 18" xfId="34442"/>
    <cellStyle name="asd 21 3 4 19" xfId="36296"/>
    <cellStyle name="asd 21 3 4 2" xfId="6025"/>
    <cellStyle name="asd 21 3 4 2 10" xfId="22275"/>
    <cellStyle name="asd 21 3 4 2 11" xfId="23560"/>
    <cellStyle name="asd 21 3 4 2 12" xfId="26077"/>
    <cellStyle name="asd 21 3 4 2 13" xfId="27444"/>
    <cellStyle name="asd 21 3 4 2 14" xfId="29335"/>
    <cellStyle name="asd 21 3 4 2 15" xfId="31030"/>
    <cellStyle name="asd 21 3 4 2 16" xfId="33042"/>
    <cellStyle name="asd 21 3 4 2 17" xfId="33904"/>
    <cellStyle name="asd 21 3 4 2 18" xfId="36904"/>
    <cellStyle name="asd 21 3 4 2 19" xfId="38783"/>
    <cellStyle name="asd 21 3 4 2 2" xfId="7474"/>
    <cellStyle name="asd 21 3 4 2 20" xfId="40241"/>
    <cellStyle name="asd 21 3 4 2 21" xfId="41900"/>
    <cellStyle name="asd 21 3 4 2 22" xfId="43324"/>
    <cellStyle name="asd 21 3 4 2 3" xfId="8928"/>
    <cellStyle name="asd 21 3 4 2 4" xfId="10838"/>
    <cellStyle name="asd 21 3 4 2 5" xfId="12542"/>
    <cellStyle name="asd 21 3 4 2 6" xfId="14032"/>
    <cellStyle name="asd 21 3 4 2 7" xfId="15933"/>
    <cellStyle name="asd 21 3 4 2 8" xfId="18457"/>
    <cellStyle name="asd 21 3 4 2 9" xfId="20363"/>
    <cellStyle name="asd 21 3 4 20" xfId="38175"/>
    <cellStyle name="asd 21 3 4 21" xfId="39875"/>
    <cellStyle name="asd 21 3 4 22" xfId="41544"/>
    <cellStyle name="asd 21 3 4 23" xfId="42650"/>
    <cellStyle name="asd 21 3 4 3" xfId="6866"/>
    <cellStyle name="asd 21 3 4 4" xfId="8320"/>
    <cellStyle name="asd 21 3 4 5" xfId="10230"/>
    <cellStyle name="asd 21 3 4 6" xfId="11278"/>
    <cellStyle name="asd 21 3 4 7" xfId="13331"/>
    <cellStyle name="asd 21 3 4 8" xfId="15236"/>
    <cellStyle name="asd 21 3 4 9" xfId="17849"/>
    <cellStyle name="asd 21 3 5" xfId="4968"/>
    <cellStyle name="asd 21 3 5 10" xfId="21216"/>
    <cellStyle name="asd 21 3 5 11" xfId="23856"/>
    <cellStyle name="asd 21 3 5 12" xfId="25018"/>
    <cellStyle name="asd 21 3 5 13" xfId="26168"/>
    <cellStyle name="asd 21 3 5 14" xfId="29524"/>
    <cellStyle name="asd 21 3 5 15" xfId="29782"/>
    <cellStyle name="asd 21 3 5 16" xfId="33075"/>
    <cellStyle name="asd 21 3 5 17" xfId="33587"/>
    <cellStyle name="asd 21 3 5 18" xfId="35845"/>
    <cellStyle name="asd 21 3 5 19" xfId="37724"/>
    <cellStyle name="asd 21 3 5 2" xfId="6418"/>
    <cellStyle name="asd 21 3 5 20" xfId="40271"/>
    <cellStyle name="asd 21 3 5 21" xfId="41928"/>
    <cellStyle name="asd 21 3 5 22" xfId="43607"/>
    <cellStyle name="asd 21 3 5 3" xfId="7869"/>
    <cellStyle name="asd 21 3 5 4" xfId="9779"/>
    <cellStyle name="asd 21 3 5 5" xfId="11690"/>
    <cellStyle name="asd 21 3 5 6" xfId="14326"/>
    <cellStyle name="asd 21 3 5 7" xfId="16230"/>
    <cellStyle name="asd 21 3 5 8" xfId="17398"/>
    <cellStyle name="asd 21 3 5 9" xfId="19304"/>
    <cellStyle name="asd 21 3 6" xfId="4609"/>
    <cellStyle name="asd 21 3 6 10" xfId="20854"/>
    <cellStyle name="asd 21 3 6 11" xfId="22517"/>
    <cellStyle name="asd 21 3 6 12" xfId="24656"/>
    <cellStyle name="asd 21 3 6 13" xfId="26704"/>
    <cellStyle name="asd 21 3 6 14" xfId="28851"/>
    <cellStyle name="asd 21 3 6 15" xfId="30304"/>
    <cellStyle name="asd 21 3 6 16" xfId="32108"/>
    <cellStyle name="asd 21 3 6 17" xfId="33450"/>
    <cellStyle name="asd 21 3 6 18" xfId="35484"/>
    <cellStyle name="asd 21 3 6 19" xfId="37362"/>
    <cellStyle name="asd 21 3 6 2" xfId="2794"/>
    <cellStyle name="asd 21 3 6 20" xfId="39332"/>
    <cellStyle name="asd 21 3 6 21" xfId="41008"/>
    <cellStyle name="asd 21 3 6 22" xfId="42327"/>
    <cellStyle name="asd 21 3 6 3" xfId="2398"/>
    <cellStyle name="asd 21 3 6 4" xfId="9416"/>
    <cellStyle name="asd 21 3 6 5" xfId="11630"/>
    <cellStyle name="asd 21 3 6 6" xfId="12985"/>
    <cellStyle name="asd 21 3 6 7" xfId="14889"/>
    <cellStyle name="asd 21 3 6 8" xfId="17035"/>
    <cellStyle name="asd 21 3 6 9" xfId="18942"/>
    <cellStyle name="asd 21 3 7" xfId="2356"/>
    <cellStyle name="asd 21 3 8" xfId="9311"/>
    <cellStyle name="asd 21 3 9" xfId="12554"/>
    <cellStyle name="asd 21 4" xfId="3411"/>
    <cellStyle name="asd 21 4 10" xfId="15215"/>
    <cellStyle name="asd 21 4 11" xfId="16776"/>
    <cellStyle name="asd 21 4 12" xfId="18683"/>
    <cellStyle name="asd 21 4 13" xfId="20595"/>
    <cellStyle name="asd 21 4 14" xfId="22842"/>
    <cellStyle name="asd 21 4 15" xfId="24397"/>
    <cellStyle name="asd 21 4 16" xfId="27635"/>
    <cellStyle name="asd 21 4 17" xfId="2590"/>
    <cellStyle name="asd 21 4 18" xfId="31212"/>
    <cellStyle name="asd 21 4 19" xfId="33207"/>
    <cellStyle name="asd 21 4 2" xfId="3591"/>
    <cellStyle name="asd 21 4 2 10" xfId="17482"/>
    <cellStyle name="asd 21 4 2 11" xfId="19388"/>
    <cellStyle name="asd 21 4 2 12" xfId="21300"/>
    <cellStyle name="asd 21 4 2 13" xfId="2797"/>
    <cellStyle name="asd 21 4 2 14" xfId="25102"/>
    <cellStyle name="asd 21 4 2 15" xfId="4247"/>
    <cellStyle name="asd 21 4 2 16" xfId="16595"/>
    <cellStyle name="asd 21 4 2 17" xfId="3346"/>
    <cellStyle name="asd 21 4 2 18" xfId="28716"/>
    <cellStyle name="asd 21 4 2 19" xfId="29727"/>
    <cellStyle name="asd 21 4 2 2" xfId="5588"/>
    <cellStyle name="asd 21 4 2 2 10" xfId="21838"/>
    <cellStyle name="asd 21 4 2 2 11" xfId="23695"/>
    <cellStyle name="asd 21 4 2 2 12" xfId="25640"/>
    <cellStyle name="asd 21 4 2 2 13" xfId="26388"/>
    <cellStyle name="asd 21 4 2 2 14" xfId="28092"/>
    <cellStyle name="asd 21 4 2 2 15" xfId="29996"/>
    <cellStyle name="asd 21 4 2 2 16" xfId="33166"/>
    <cellStyle name="asd 21 4 2 2 17" xfId="33783"/>
    <cellStyle name="asd 21 4 2 2 18" xfId="36467"/>
    <cellStyle name="asd 21 4 2 2 19" xfId="38346"/>
    <cellStyle name="asd 21 4 2 2 2" xfId="7037"/>
    <cellStyle name="asd 21 4 2 2 20" xfId="40358"/>
    <cellStyle name="asd 21 4 2 2 21" xfId="42014"/>
    <cellStyle name="asd 21 4 2 2 22" xfId="43452"/>
    <cellStyle name="asd 21 4 2 2 3" xfId="8491"/>
    <cellStyle name="asd 21 4 2 2 4" xfId="10401"/>
    <cellStyle name="asd 21 4 2 2 5" xfId="11349"/>
    <cellStyle name="asd 21 4 2 2 6" xfId="14165"/>
    <cellStyle name="asd 21 4 2 2 7" xfId="16069"/>
    <cellStyle name="asd 21 4 2 2 8" xfId="18020"/>
    <cellStyle name="asd 21 4 2 2 9" xfId="19926"/>
    <cellStyle name="asd 21 4 2 20" xfId="35929"/>
    <cellStyle name="asd 21 4 2 21" xfId="37808"/>
    <cellStyle name="asd 21 4 2 22" xfId="29644"/>
    <cellStyle name="asd 21 4 2 23" xfId="10902"/>
    <cellStyle name="asd 21 4 2 24" xfId="39923"/>
    <cellStyle name="asd 21 4 2 3" xfId="5052"/>
    <cellStyle name="asd 21 4 2 4" xfId="6502"/>
    <cellStyle name="asd 21 4 2 5" xfId="7953"/>
    <cellStyle name="asd 21 4 2 6" xfId="9863"/>
    <cellStyle name="asd 21 4 2 7" xfId="11008"/>
    <cellStyle name="asd 21 4 2 8" xfId="2876"/>
    <cellStyle name="asd 21 4 2 9" xfId="1957"/>
    <cellStyle name="asd 21 4 20" xfId="34037"/>
    <cellStyle name="asd 21 4 21" xfId="35225"/>
    <cellStyle name="asd 21 4 22" xfId="37103"/>
    <cellStyle name="asd 21 4 23" xfId="40396"/>
    <cellStyle name="asd 21 4 24" xfId="42052"/>
    <cellStyle name="asd 21 4 25" xfId="42633"/>
    <cellStyle name="asd 21 4 3" xfId="2303"/>
    <cellStyle name="asd 21 4 3 10" xfId="19048"/>
    <cellStyle name="asd 21 4 3 11" xfId="20960"/>
    <cellStyle name="asd 21 4 3 12" xfId="22601"/>
    <cellStyle name="asd 21 4 3 13" xfId="24762"/>
    <cellStyle name="asd 21 4 3 14" xfId="27144"/>
    <cellStyle name="asd 21 4 3 15" xfId="29030"/>
    <cellStyle name="asd 21 4 3 16" xfId="30735"/>
    <cellStyle name="asd 21 4 3 17" xfId="32565"/>
    <cellStyle name="asd 21 4 3 18" xfId="34085"/>
    <cellStyle name="asd 21 4 3 19" xfId="35589"/>
    <cellStyle name="asd 21 4 3 2" xfId="4392"/>
    <cellStyle name="asd 21 4 3 2 10" xfId="20636"/>
    <cellStyle name="asd 21 4 3 2 11" xfId="23957"/>
    <cellStyle name="asd 21 4 3 2 12" xfId="24438"/>
    <cellStyle name="asd 21 4 3 2 13" xfId="26723"/>
    <cellStyle name="asd 21 4 3 2 14" xfId="29019"/>
    <cellStyle name="asd 21 4 3 2 15" xfId="30323"/>
    <cellStyle name="asd 21 4 3 2 16" xfId="31939"/>
    <cellStyle name="asd 21 4 3 2 17" xfId="34556"/>
    <cellStyle name="asd 21 4 3 2 18" xfId="35266"/>
    <cellStyle name="asd 21 4 3 2 19" xfId="37144"/>
    <cellStyle name="asd 21 4 3 2 2" xfId="4243"/>
    <cellStyle name="asd 21 4 3 2 20" xfId="39169"/>
    <cellStyle name="asd 21 4 3 2 21" xfId="40850"/>
    <cellStyle name="asd 21 4 3 2 22" xfId="43703"/>
    <cellStyle name="asd 21 4 3 2 3" xfId="2010"/>
    <cellStyle name="asd 21 4 3 2 4" xfId="9198"/>
    <cellStyle name="asd 21 4 3 2 5" xfId="11917"/>
    <cellStyle name="asd 21 4 3 2 6" xfId="14427"/>
    <cellStyle name="asd 21 4 3 2 7" xfId="16333"/>
    <cellStyle name="asd 21 4 3 2 8" xfId="16817"/>
    <cellStyle name="asd 21 4 3 2 9" xfId="18724"/>
    <cellStyle name="asd 21 4 3 20" xfId="37468"/>
    <cellStyle name="asd 21 4 3 21" xfId="39777"/>
    <cellStyle name="asd 21 4 3 22" xfId="41447"/>
    <cellStyle name="asd 21 4 3 23" xfId="42410"/>
    <cellStyle name="asd 21 4 3 3" xfId="4714"/>
    <cellStyle name="asd 21 4 3 4" xfId="7613"/>
    <cellStyle name="asd 21 4 3 5" xfId="9523"/>
    <cellStyle name="asd 21 4 3 6" xfId="12346"/>
    <cellStyle name="asd 21 4 3 7" xfId="13069"/>
    <cellStyle name="asd 21 4 3 8" xfId="14973"/>
    <cellStyle name="asd 21 4 3 9" xfId="17142"/>
    <cellStyle name="asd 21 4 4" xfId="4043"/>
    <cellStyle name="asd 21 4 4 10" xfId="19678"/>
    <cellStyle name="asd 21 4 4 11" xfId="21590"/>
    <cellStyle name="asd 21 4 4 12" xfId="24119"/>
    <cellStyle name="asd 21 4 4 13" xfId="25392"/>
    <cellStyle name="asd 21 4 4 14" xfId="1923"/>
    <cellStyle name="asd 21 4 4 15" xfId="2486"/>
    <cellStyle name="asd 21 4 4 16" xfId="27208"/>
    <cellStyle name="asd 21 4 4 17" xfId="8978"/>
    <cellStyle name="asd 21 4 4 18" xfId="2224"/>
    <cellStyle name="asd 21 4 4 19" xfId="36219"/>
    <cellStyle name="asd 21 4 4 2" xfId="5948"/>
    <cellStyle name="asd 21 4 4 2 10" xfId="22198"/>
    <cellStyle name="asd 21 4 4 2 11" xfId="23745"/>
    <cellStyle name="asd 21 4 4 2 12" xfId="26000"/>
    <cellStyle name="asd 21 4 4 2 13" xfId="27255"/>
    <cellStyle name="asd 21 4 4 2 14" xfId="29092"/>
    <cellStyle name="asd 21 4 4 2 15" xfId="30846"/>
    <cellStyle name="asd 21 4 4 2 16" xfId="31702"/>
    <cellStyle name="asd 21 4 4 2 17" xfId="33610"/>
    <cellStyle name="asd 21 4 4 2 18" xfId="36827"/>
    <cellStyle name="asd 21 4 4 2 19" xfId="38706"/>
    <cellStyle name="asd 21 4 4 2 2" xfId="7397"/>
    <cellStyle name="asd 21 4 4 2 20" xfId="38943"/>
    <cellStyle name="asd 21 4 4 2 21" xfId="40627"/>
    <cellStyle name="asd 21 4 4 2 22" xfId="43498"/>
    <cellStyle name="asd 21 4 4 2 3" xfId="8851"/>
    <cellStyle name="asd 21 4 4 2 4" xfId="10761"/>
    <cellStyle name="asd 21 4 4 2 5" xfId="12723"/>
    <cellStyle name="asd 21 4 4 2 6" xfId="14215"/>
    <cellStyle name="asd 21 4 4 2 7" xfId="16119"/>
    <cellStyle name="asd 21 4 4 2 8" xfId="18380"/>
    <cellStyle name="asd 21 4 4 2 9" xfId="20286"/>
    <cellStyle name="asd 21 4 4 20" xfId="38098"/>
    <cellStyle name="asd 21 4 4 21" xfId="2434"/>
    <cellStyle name="asd 21 4 4 22" xfId="13146"/>
    <cellStyle name="asd 21 4 4 23" xfId="43862"/>
    <cellStyle name="asd 21 4 4 3" xfId="6789"/>
    <cellStyle name="asd 21 4 4 4" xfId="8243"/>
    <cellStyle name="asd 21 4 4 5" xfId="10153"/>
    <cellStyle name="asd 21 4 4 6" xfId="12079"/>
    <cellStyle name="asd 21 4 4 7" xfId="14590"/>
    <cellStyle name="asd 21 4 4 8" xfId="16496"/>
    <cellStyle name="asd 21 4 4 9" xfId="17772"/>
    <cellStyle name="asd 21 4 5" xfId="2636"/>
    <cellStyle name="asd 21 4 5 10" xfId="20578"/>
    <cellStyle name="asd 21 4 5 11" xfId="23736"/>
    <cellStyle name="asd 21 4 5 12" xfId="24380"/>
    <cellStyle name="asd 21 4 5 13" xfId="27386"/>
    <cellStyle name="asd 21 4 5 14" xfId="29428"/>
    <cellStyle name="asd 21 4 5 15" xfId="30972"/>
    <cellStyle name="asd 21 4 5 16" xfId="31736"/>
    <cellStyle name="asd 21 4 5 17" xfId="34508"/>
    <cellStyle name="asd 21 4 5 18" xfId="35208"/>
    <cellStyle name="asd 21 4 5 19" xfId="37086"/>
    <cellStyle name="asd 21 4 5 2" xfId="4521"/>
    <cellStyle name="asd 21 4 5 20" xfId="38977"/>
    <cellStyle name="asd 21 4 5 21" xfId="40660"/>
    <cellStyle name="asd 21 4 5 22" xfId="43489"/>
    <cellStyle name="asd 21 4 5 3" xfId="4666"/>
    <cellStyle name="asd 21 4 5 4" xfId="9140"/>
    <cellStyle name="asd 21 4 5 5" xfId="11527"/>
    <cellStyle name="asd 21 4 5 6" xfId="14206"/>
    <cellStyle name="asd 21 4 5 7" xfId="16110"/>
    <cellStyle name="asd 21 4 5 8" xfId="16759"/>
    <cellStyle name="asd 21 4 5 9" xfId="18666"/>
    <cellStyle name="asd 21 4 6" xfId="6724"/>
    <cellStyle name="asd 21 4 7" xfId="9157"/>
    <cellStyle name="asd 21 4 8" xfId="11103"/>
    <cellStyle name="asd 21 4 9" xfId="13311"/>
    <cellStyle name="asd 21 5" xfId="2598"/>
    <cellStyle name="asd 21 5 10" xfId="17181"/>
    <cellStyle name="asd 21 5 11" xfId="19087"/>
    <cellStyle name="asd 21 5 12" xfId="20999"/>
    <cellStyle name="asd 21 5 13" xfId="22854"/>
    <cellStyle name="asd 21 5 14" xfId="24801"/>
    <cellStyle name="asd 21 5 15" xfId="26953"/>
    <cellStyle name="asd 21 5 16" xfId="28985"/>
    <cellStyle name="asd 21 5 17" xfId="30547"/>
    <cellStyle name="asd 21 5 18" xfId="33026"/>
    <cellStyle name="asd 21 5 19" xfId="34348"/>
    <cellStyle name="asd 21 5 2" xfId="2953"/>
    <cellStyle name="asd 21 5 2 10" xfId="20458"/>
    <cellStyle name="asd 21 5 2 11" xfId="23007"/>
    <cellStyle name="asd 21 5 2 12" xfId="24260"/>
    <cellStyle name="asd 21 5 2 13" xfId="27576"/>
    <cellStyle name="asd 21 5 2 14" xfId="3910"/>
    <cellStyle name="asd 21 5 2 15" xfId="31155"/>
    <cellStyle name="asd 21 5 2 16" xfId="28274"/>
    <cellStyle name="asd 21 5 2 17" xfId="32569"/>
    <cellStyle name="asd 21 5 2 18" xfId="35088"/>
    <cellStyle name="asd 21 5 2 19" xfId="36966"/>
    <cellStyle name="asd 21 5 2 2" xfId="4422"/>
    <cellStyle name="asd 21 5 2 20" xfId="33565"/>
    <cellStyle name="asd 21 5 2 21" xfId="33356"/>
    <cellStyle name="asd 21 5 2 22" xfId="42791"/>
    <cellStyle name="asd 21 5 2 3" xfId="4442"/>
    <cellStyle name="asd 21 5 2 4" xfId="9020"/>
    <cellStyle name="asd 21 5 2 5" xfId="11171"/>
    <cellStyle name="asd 21 5 2 6" xfId="13477"/>
    <cellStyle name="asd 21 5 2 7" xfId="15382"/>
    <cellStyle name="asd 21 5 2 8" xfId="16639"/>
    <cellStyle name="asd 21 5 2 9" xfId="18546"/>
    <cellStyle name="asd 21 5 20" xfId="35628"/>
    <cellStyle name="asd 21 5 21" xfId="37507"/>
    <cellStyle name="asd 21 5 22" xfId="40226"/>
    <cellStyle name="asd 21 5 23" xfId="41885"/>
    <cellStyle name="asd 21 5 24" xfId="42644"/>
    <cellStyle name="asd 21 5 3" xfId="4752"/>
    <cellStyle name="asd 21 5 4" xfId="6201"/>
    <cellStyle name="asd 21 5 5" xfId="7652"/>
    <cellStyle name="asd 21 5 6" xfId="9562"/>
    <cellStyle name="asd 21 5 7" xfId="12465"/>
    <cellStyle name="asd 21 5 8" xfId="13323"/>
    <cellStyle name="asd 21 5 9" xfId="15227"/>
    <cellStyle name="asd 21 6" xfId="3204"/>
    <cellStyle name="asd 21 6 10" xfId="19178"/>
    <cellStyle name="asd 21 6 11" xfId="21090"/>
    <cellStyle name="asd 21 6 12" xfId="23723"/>
    <cellStyle name="asd 21 6 13" xfId="24892"/>
    <cellStyle name="asd 21 6 14" xfId="27124"/>
    <cellStyle name="asd 21 6 15" xfId="8992"/>
    <cellStyle name="asd 21 6 16" xfId="30714"/>
    <cellStyle name="asd 21 6 17" xfId="31701"/>
    <cellStyle name="asd 21 6 18" xfId="34207"/>
    <cellStyle name="asd 21 6 19" xfId="35719"/>
    <cellStyle name="asd 21 6 2" xfId="4271"/>
    <cellStyle name="asd 21 6 2 10" xfId="20555"/>
    <cellStyle name="asd 21 6 2 11" xfId="23306"/>
    <cellStyle name="asd 21 6 2 12" xfId="24357"/>
    <cellStyle name="asd 21 6 2 13" xfId="27545"/>
    <cellStyle name="asd 21 6 2 14" xfId="29366"/>
    <cellStyle name="asd 21 6 2 15" xfId="31126"/>
    <cellStyle name="asd 21 6 2 16" xfId="32154"/>
    <cellStyle name="asd 21 6 2 17" xfId="33932"/>
    <cellStyle name="asd 21 6 2 18" xfId="35185"/>
    <cellStyle name="asd 21 6 2 19" xfId="37063"/>
    <cellStyle name="asd 21 6 2 2" xfId="5393"/>
    <cellStyle name="asd 21 6 2 20" xfId="39377"/>
    <cellStyle name="asd 21 6 2 21" xfId="41053"/>
    <cellStyle name="asd 21 6 2 22" xfId="43078"/>
    <cellStyle name="asd 21 6 2 3" xfId="6090"/>
    <cellStyle name="asd 21 6 2 4" xfId="9117"/>
    <cellStyle name="asd 21 6 2 5" xfId="11310"/>
    <cellStyle name="asd 21 6 2 6" xfId="13778"/>
    <cellStyle name="asd 21 6 2 7" xfId="15680"/>
    <cellStyle name="asd 21 6 2 8" xfId="16736"/>
    <cellStyle name="asd 21 6 2 9" xfId="18643"/>
    <cellStyle name="asd 21 6 20" xfId="37598"/>
    <cellStyle name="asd 21 6 21" xfId="38942"/>
    <cellStyle name="asd 21 6 22" xfId="40626"/>
    <cellStyle name="asd 21 6 23" xfId="43478"/>
    <cellStyle name="asd 21 6 3" xfId="4842"/>
    <cellStyle name="asd 21 6 4" xfId="7743"/>
    <cellStyle name="asd 21 6 5" xfId="9653"/>
    <cellStyle name="asd 21 6 6" xfId="11828"/>
    <cellStyle name="asd 21 6 7" xfId="14193"/>
    <cellStyle name="asd 21 6 8" xfId="16097"/>
    <cellStyle name="asd 21 6 9" xfId="17272"/>
    <cellStyle name="asd 21 7" xfId="2929"/>
    <cellStyle name="asd 21 7 10" xfId="19128"/>
    <cellStyle name="asd 21 7 11" xfId="21040"/>
    <cellStyle name="asd 21 7 12" xfId="22970"/>
    <cellStyle name="asd 21 7 13" xfId="24842"/>
    <cellStyle name="asd 21 7 14" xfId="27034"/>
    <cellStyle name="asd 21 7 15" xfId="24216"/>
    <cellStyle name="asd 21 7 16" xfId="30627"/>
    <cellStyle name="asd 21 7 17" xfId="32152"/>
    <cellStyle name="asd 21 7 18" xfId="33857"/>
    <cellStyle name="asd 21 7 19" xfId="35669"/>
    <cellStyle name="asd 21 7 2" xfId="5728"/>
    <cellStyle name="asd 21 7 2 10" xfId="21978"/>
    <cellStyle name="asd 21 7 2 11" xfId="23517"/>
    <cellStyle name="asd 21 7 2 12" xfId="25780"/>
    <cellStyle name="asd 21 7 2 13" xfId="27114"/>
    <cellStyle name="asd 21 7 2 14" xfId="29297"/>
    <cellStyle name="asd 21 7 2 15" xfId="30705"/>
    <cellStyle name="asd 21 7 2 16" xfId="32357"/>
    <cellStyle name="asd 21 7 2 17" xfId="33549"/>
    <cellStyle name="asd 21 7 2 18" xfId="36607"/>
    <cellStyle name="asd 21 7 2 19" xfId="38486"/>
    <cellStyle name="asd 21 7 2 2" xfId="7177"/>
    <cellStyle name="asd 21 7 2 20" xfId="39576"/>
    <cellStyle name="asd 21 7 2 21" xfId="41250"/>
    <cellStyle name="asd 21 7 2 22" xfId="43282"/>
    <cellStyle name="asd 21 7 2 3" xfId="8631"/>
    <cellStyle name="asd 21 7 2 4" xfId="10541"/>
    <cellStyle name="asd 21 7 2 5" xfId="12586"/>
    <cellStyle name="asd 21 7 2 6" xfId="13989"/>
    <cellStyle name="asd 21 7 2 7" xfId="15890"/>
    <cellStyle name="asd 21 7 2 8" xfId="18160"/>
    <cellStyle name="asd 21 7 2 9" xfId="20066"/>
    <cellStyle name="asd 21 7 20" xfId="37548"/>
    <cellStyle name="asd 21 7 21" xfId="39375"/>
    <cellStyle name="asd 21 7 22" xfId="41051"/>
    <cellStyle name="asd 21 7 23" xfId="42756"/>
    <cellStyle name="asd 21 7 3" xfId="6242"/>
    <cellStyle name="asd 21 7 4" xfId="7693"/>
    <cellStyle name="asd 21 7 5" xfId="9603"/>
    <cellStyle name="asd 21 7 6" xfId="11002"/>
    <cellStyle name="asd 21 7 7" xfId="13439"/>
    <cellStyle name="asd 21 7 8" xfId="15344"/>
    <cellStyle name="asd 21 7 9" xfId="17222"/>
    <cellStyle name="asd 21 8" xfId="4241"/>
    <cellStyle name="asd 21 9" xfId="5287"/>
    <cellStyle name="asd 22" xfId="838"/>
    <cellStyle name="asd 22 10" xfId="3081"/>
    <cellStyle name="asd 22 11" xfId="2593"/>
    <cellStyle name="asd 22 12" xfId="2217"/>
    <cellStyle name="asd 22 13" xfId="10890"/>
    <cellStyle name="asd 22 14" xfId="15120"/>
    <cellStyle name="asd 22 15" xfId="3930"/>
    <cellStyle name="asd 22 16" xfId="3817"/>
    <cellStyle name="asd 22 17" xfId="2945"/>
    <cellStyle name="asd 22 18" xfId="3179"/>
    <cellStyle name="asd 22 19" xfId="28016"/>
    <cellStyle name="asd 22 2" xfId="3396"/>
    <cellStyle name="asd 22 2 10" xfId="13418"/>
    <cellStyle name="asd 22 2 11" xfId="15323"/>
    <cellStyle name="asd 22 2 12" xfId="16734"/>
    <cellStyle name="asd 22 2 13" xfId="18641"/>
    <cellStyle name="asd 22 2 14" xfId="20553"/>
    <cellStyle name="asd 22 2 15" xfId="22950"/>
    <cellStyle name="asd 22 2 16" xfId="24355"/>
    <cellStyle name="asd 22 2 17" xfId="27802"/>
    <cellStyle name="asd 22 2 18" xfId="29267"/>
    <cellStyle name="asd 22 2 19" xfId="31379"/>
    <cellStyle name="asd 22 2 2" xfId="3576"/>
    <cellStyle name="asd 22 2 2 10" xfId="17467"/>
    <cellStyle name="asd 22 2 2 11" xfId="19373"/>
    <cellStyle name="asd 22 2 2 12" xfId="21285"/>
    <cellStyle name="asd 22 2 2 13" xfId="23565"/>
    <cellStyle name="asd 22 2 2 14" xfId="25087"/>
    <cellStyle name="asd 22 2 2 15" xfId="26794"/>
    <cellStyle name="asd 22 2 2 16" xfId="28343"/>
    <cellStyle name="asd 22 2 2 17" xfId="30392"/>
    <cellStyle name="asd 22 2 2 18" xfId="33131"/>
    <cellStyle name="asd 22 2 2 19" xfId="34655"/>
    <cellStyle name="asd 22 2 2 2" xfId="4334"/>
    <cellStyle name="asd 22 2 2 2 10" xfId="20591"/>
    <cellStyle name="asd 22 2 2 2 11" xfId="22781"/>
    <cellStyle name="asd 22 2 2 2 12" xfId="24393"/>
    <cellStyle name="asd 22 2 2 2 13" xfId="26865"/>
    <cellStyle name="asd 22 2 2 2 14" xfId="3305"/>
    <cellStyle name="asd 22 2 2 2 15" xfId="30461"/>
    <cellStyle name="asd 22 2 2 2 16" xfId="33129"/>
    <cellStyle name="asd 22 2 2 2 17" xfId="33639"/>
    <cellStyle name="asd 22 2 2 2 18" xfId="35221"/>
    <cellStyle name="asd 22 2 2 2 19" xfId="37099"/>
    <cellStyle name="asd 22 2 2 2 2" xfId="5450"/>
    <cellStyle name="asd 22 2 2 2 20" xfId="40323"/>
    <cellStyle name="asd 22 2 2 2 21" xfId="41979"/>
    <cellStyle name="asd 22 2 2 2 22" xfId="42574"/>
    <cellStyle name="asd 22 2 2 2 3" xfId="6213"/>
    <cellStyle name="asd 22 2 2 2 4" xfId="9153"/>
    <cellStyle name="asd 22 2 2 2 5" xfId="11248"/>
    <cellStyle name="asd 22 2 2 2 6" xfId="13250"/>
    <cellStyle name="asd 22 2 2 2 7" xfId="15154"/>
    <cellStyle name="asd 22 2 2 2 8" xfId="16772"/>
    <cellStyle name="asd 22 2 2 2 9" xfId="18679"/>
    <cellStyle name="asd 22 2 2 20" xfId="35914"/>
    <cellStyle name="asd 22 2 2 21" xfId="37793"/>
    <cellStyle name="asd 22 2 2 22" xfId="40325"/>
    <cellStyle name="asd 22 2 2 23" xfId="41981"/>
    <cellStyle name="asd 22 2 2 24" xfId="43329"/>
    <cellStyle name="asd 22 2 2 3" xfId="5037"/>
    <cellStyle name="asd 22 2 2 4" xfId="6487"/>
    <cellStyle name="asd 22 2 2 5" xfId="7938"/>
    <cellStyle name="asd 22 2 2 6" xfId="9848"/>
    <cellStyle name="asd 22 2 2 7" xfId="12569"/>
    <cellStyle name="asd 22 2 2 8" xfId="14037"/>
    <cellStyle name="asd 22 2 2 9" xfId="15938"/>
    <cellStyle name="asd 22 2 20" xfId="32968"/>
    <cellStyle name="asd 22 2 21" xfId="34065"/>
    <cellStyle name="asd 22 2 22" xfId="35183"/>
    <cellStyle name="asd 22 2 23" xfId="37061"/>
    <cellStyle name="asd 22 2 24" xfId="40169"/>
    <cellStyle name="asd 22 2 25" xfId="41828"/>
    <cellStyle name="asd 22 2 26" xfId="42736"/>
    <cellStyle name="asd 22 2 3" xfId="3834"/>
    <cellStyle name="asd 22 2 3 10" xfId="19559"/>
    <cellStyle name="asd 22 2 3 11" xfId="21471"/>
    <cellStyle name="asd 22 2 3 12" xfId="22955"/>
    <cellStyle name="asd 22 2 3 13" xfId="25273"/>
    <cellStyle name="asd 22 2 3 14" xfId="26934"/>
    <cellStyle name="asd 22 2 3 15" xfId="28963"/>
    <cellStyle name="asd 22 2 3 16" xfId="30528"/>
    <cellStyle name="asd 22 2 3 17" xfId="32844"/>
    <cellStyle name="asd 22 2 3 18" xfId="33560"/>
    <cellStyle name="asd 22 2 3 19" xfId="36100"/>
    <cellStyle name="asd 22 2 3 2" xfId="5829"/>
    <cellStyle name="asd 22 2 3 2 10" xfId="22079"/>
    <cellStyle name="asd 22 2 3 2 11" xfId="23374"/>
    <cellStyle name="asd 22 2 3 2 12" xfId="25881"/>
    <cellStyle name="asd 22 2 3 2 13" xfId="27222"/>
    <cellStyle name="asd 22 2 3 2 14" xfId="28055"/>
    <cellStyle name="asd 22 2 3 2 15" xfId="30813"/>
    <cellStyle name="asd 22 2 3 2 16" xfId="32902"/>
    <cellStyle name="asd 22 2 3 2 17" xfId="34747"/>
    <cellStyle name="asd 22 2 3 2 18" xfId="36708"/>
    <cellStyle name="asd 22 2 3 2 19" xfId="38587"/>
    <cellStyle name="asd 22 2 3 2 2" xfId="7278"/>
    <cellStyle name="asd 22 2 3 2 20" xfId="40106"/>
    <cellStyle name="asd 22 2 3 2 21" xfId="41766"/>
    <cellStyle name="asd 22 2 3 2 22" xfId="43142"/>
    <cellStyle name="asd 22 2 3 2 3" xfId="8732"/>
    <cellStyle name="asd 22 2 3 2 4" xfId="10642"/>
    <cellStyle name="asd 22 2 3 2 5" xfId="11265"/>
    <cellStyle name="asd 22 2 3 2 6" xfId="13846"/>
    <cellStyle name="asd 22 2 3 2 7" xfId="15747"/>
    <cellStyle name="asd 22 2 3 2 8" xfId="18261"/>
    <cellStyle name="asd 22 2 3 2 9" xfId="20167"/>
    <cellStyle name="asd 22 2 3 20" xfId="37979"/>
    <cellStyle name="asd 22 2 3 21" xfId="40051"/>
    <cellStyle name="asd 22 2 3 22" xfId="41715"/>
    <cellStyle name="asd 22 2 3 23" xfId="42741"/>
    <cellStyle name="asd 22 2 3 3" xfId="5223"/>
    <cellStyle name="asd 22 2 3 4" xfId="8124"/>
    <cellStyle name="asd 22 2 3 5" xfId="10034"/>
    <cellStyle name="asd 22 2 3 6" xfId="12195"/>
    <cellStyle name="asd 22 2 3 7" xfId="13424"/>
    <cellStyle name="asd 22 2 3 8" xfId="15329"/>
    <cellStyle name="asd 22 2 3 9" xfId="17653"/>
    <cellStyle name="asd 22 2 4" xfId="4028"/>
    <cellStyle name="asd 22 2 4 10" xfId="19663"/>
    <cellStyle name="asd 22 2 4 11" xfId="21575"/>
    <cellStyle name="asd 22 2 4 12" xfId="23422"/>
    <cellStyle name="asd 22 2 4 13" xfId="25377"/>
    <cellStyle name="asd 22 2 4 14" xfId="27466"/>
    <cellStyle name="asd 22 2 4 15" xfId="28142"/>
    <cellStyle name="asd 22 2 4 16" xfId="31053"/>
    <cellStyle name="asd 22 2 4 17" xfId="32435"/>
    <cellStyle name="asd 22 2 4 18" xfId="33883"/>
    <cellStyle name="asd 22 2 4 19" xfId="36204"/>
    <cellStyle name="asd 22 2 4 2" xfId="5933"/>
    <cellStyle name="asd 22 2 4 2 10" xfId="22183"/>
    <cellStyle name="asd 22 2 4 2 11" xfId="23102"/>
    <cellStyle name="asd 22 2 4 2 12" xfId="25985"/>
    <cellStyle name="asd 22 2 4 2 13" xfId="20418"/>
    <cellStyle name="asd 22 2 4 2 14" xfId="27987"/>
    <cellStyle name="asd 22 2 4 2 15" xfId="2661"/>
    <cellStyle name="asd 22 2 4 2 16" xfId="22337"/>
    <cellStyle name="asd 22 2 4 2 17" xfId="28509"/>
    <cellStyle name="asd 22 2 4 2 18" xfId="36812"/>
    <cellStyle name="asd 22 2 4 2 19" xfId="38691"/>
    <cellStyle name="asd 22 2 4 2 2" xfId="7382"/>
    <cellStyle name="asd 22 2 4 2 20" xfId="24242"/>
    <cellStyle name="asd 22 2 4 2 21" xfId="34073"/>
    <cellStyle name="asd 22 2 4 2 22" xfId="42882"/>
    <cellStyle name="asd 22 2 4 2 3" xfId="8836"/>
    <cellStyle name="asd 22 2 4 2 4" xfId="10746"/>
    <cellStyle name="asd 22 2 4 2 5" xfId="12715"/>
    <cellStyle name="asd 22 2 4 2 6" xfId="13573"/>
    <cellStyle name="asd 22 2 4 2 7" xfId="15476"/>
    <cellStyle name="asd 22 2 4 2 8" xfId="18365"/>
    <cellStyle name="asd 22 2 4 2 9" xfId="20271"/>
    <cellStyle name="asd 22 2 4 20" xfId="38083"/>
    <cellStyle name="asd 22 2 4 21" xfId="39652"/>
    <cellStyle name="asd 22 2 4 22" xfId="41326"/>
    <cellStyle name="asd 22 2 4 23" xfId="43189"/>
    <cellStyle name="asd 22 2 4 3" xfId="6774"/>
    <cellStyle name="asd 22 2 4 4" xfId="8228"/>
    <cellStyle name="asd 22 2 4 5" xfId="10138"/>
    <cellStyle name="asd 22 2 4 6" xfId="11000"/>
    <cellStyle name="asd 22 2 4 7" xfId="13894"/>
    <cellStyle name="asd 22 2 4 8" xfId="15795"/>
    <cellStyle name="asd 22 2 4 9" xfId="17757"/>
    <cellStyle name="asd 22 2 5" xfId="4895"/>
    <cellStyle name="asd 22 2 5 10" xfId="21143"/>
    <cellStyle name="asd 22 2 5 11" xfId="24184"/>
    <cellStyle name="asd 22 2 5 12" xfId="24945"/>
    <cellStyle name="asd 22 2 5 13" xfId="26402"/>
    <cellStyle name="asd 22 2 5 14" xfId="23573"/>
    <cellStyle name="asd 22 2 5 15" xfId="30010"/>
    <cellStyle name="asd 22 2 5 16" xfId="31626"/>
    <cellStyle name="asd 22 2 5 17" xfId="33845"/>
    <cellStyle name="asd 22 2 5 18" xfId="35772"/>
    <cellStyle name="asd 22 2 5 19" xfId="37651"/>
    <cellStyle name="asd 22 2 5 2" xfId="6345"/>
    <cellStyle name="asd 22 2 5 20" xfId="38873"/>
    <cellStyle name="asd 22 2 5 21" xfId="40558"/>
    <cellStyle name="asd 22 2 5 22" xfId="43924"/>
    <cellStyle name="asd 22 2 5 3" xfId="7796"/>
    <cellStyle name="asd 22 2 5 4" xfId="9706"/>
    <cellStyle name="asd 22 2 5 5" xfId="12143"/>
    <cellStyle name="asd 22 2 5 6" xfId="14655"/>
    <cellStyle name="asd 22 2 5 7" xfId="16561"/>
    <cellStyle name="asd 22 2 5 8" xfId="17325"/>
    <cellStyle name="asd 22 2 5 9" xfId="19231"/>
    <cellStyle name="asd 22 2 6" xfId="2969"/>
    <cellStyle name="asd 22 2 6 10" xfId="20534"/>
    <cellStyle name="asd 22 2 6 11" xfId="23020"/>
    <cellStyle name="asd 22 2 6 12" xfId="24336"/>
    <cellStyle name="asd 22 2 6 13" xfId="26846"/>
    <cellStyle name="asd 22 2 6 14" xfId="29709"/>
    <cellStyle name="asd 22 2 6 15" xfId="30443"/>
    <cellStyle name="asd 22 2 6 16" xfId="31954"/>
    <cellStyle name="asd 22 2 6 17" xfId="33475"/>
    <cellStyle name="asd 22 2 6 18" xfId="35164"/>
    <cellStyle name="asd 22 2 6 19" xfId="37042"/>
    <cellStyle name="asd 22 2 6 2" xfId="4742"/>
    <cellStyle name="asd 22 2 6 20" xfId="39183"/>
    <cellStyle name="asd 22 2 6 21" xfId="40864"/>
    <cellStyle name="asd 22 2 6 22" xfId="42803"/>
    <cellStyle name="asd 22 2 6 3" xfId="6269"/>
    <cellStyle name="asd 22 2 6 4" xfId="9096"/>
    <cellStyle name="asd 22 2 6 5" xfId="12604"/>
    <cellStyle name="asd 22 2 6 6" xfId="13490"/>
    <cellStyle name="asd 22 2 6 7" xfId="15394"/>
    <cellStyle name="asd 22 2 6 8" xfId="16715"/>
    <cellStyle name="asd 22 2 6 9" xfId="18622"/>
    <cellStyle name="asd 22 2 7" xfId="6703"/>
    <cellStyle name="asd 22 2 8" xfId="9115"/>
    <cellStyle name="asd 22 2 9" xfId="12473"/>
    <cellStyle name="asd 22 20" xfId="28024"/>
    <cellStyle name="asd 22 21" xfId="28626"/>
    <cellStyle name="asd 22 22" xfId="1975"/>
    <cellStyle name="asd 22 23" xfId="29423"/>
    <cellStyle name="asd 22 24" xfId="34090"/>
    <cellStyle name="asd 22 25" xfId="32237"/>
    <cellStyle name="asd 22 26" xfId="29113"/>
    <cellStyle name="asd 22 27" xfId="20408"/>
    <cellStyle name="asd 22 3" xfId="3388"/>
    <cellStyle name="asd 22 3 10" xfId="13909"/>
    <cellStyle name="asd 22 3 11" xfId="15810"/>
    <cellStyle name="asd 22 3 12" xfId="16717"/>
    <cellStyle name="asd 22 3 13" xfId="18624"/>
    <cellStyle name="asd 22 3 14" xfId="20536"/>
    <cellStyle name="asd 22 3 15" xfId="23437"/>
    <cellStyle name="asd 22 3 16" xfId="24338"/>
    <cellStyle name="asd 22 3 17" xfId="26810"/>
    <cellStyle name="asd 22 3 18" xfId="28599"/>
    <cellStyle name="asd 22 3 19" xfId="30409"/>
    <cellStyle name="asd 22 3 2" xfId="3568"/>
    <cellStyle name="asd 22 3 2 10" xfId="17459"/>
    <cellStyle name="asd 22 3 2 11" xfId="19365"/>
    <cellStyle name="asd 22 3 2 12" xfId="21277"/>
    <cellStyle name="asd 22 3 2 13" xfId="22775"/>
    <cellStyle name="asd 22 3 2 14" xfId="25079"/>
    <cellStyle name="asd 22 3 2 15" xfId="26334"/>
    <cellStyle name="asd 22 3 2 16" xfId="28656"/>
    <cellStyle name="asd 22 3 2 17" xfId="29942"/>
    <cellStyle name="asd 22 3 2 18" xfId="32414"/>
    <cellStyle name="asd 22 3 2 19" xfId="33975"/>
    <cellStyle name="asd 22 3 2 2" xfId="5705"/>
    <cellStyle name="asd 22 3 2 2 10" xfId="21955"/>
    <cellStyle name="asd 22 3 2 2 11" xfId="22694"/>
    <cellStyle name="asd 22 3 2 2 12" xfId="25757"/>
    <cellStyle name="asd 22 3 2 2 13" xfId="26389"/>
    <cellStyle name="asd 22 3 2 2 14" xfId="3819"/>
    <cellStyle name="asd 22 3 2 2 15" xfId="29997"/>
    <cellStyle name="asd 22 3 2 2 16" xfId="32604"/>
    <cellStyle name="asd 22 3 2 2 17" xfId="34007"/>
    <cellStyle name="asd 22 3 2 2 18" xfId="36584"/>
    <cellStyle name="asd 22 3 2 2 19" xfId="38463"/>
    <cellStyle name="asd 22 3 2 2 2" xfId="7154"/>
    <cellStyle name="asd 22 3 2 2 20" xfId="39814"/>
    <cellStyle name="asd 22 3 2 2 21" xfId="41483"/>
    <cellStyle name="asd 22 3 2 2 22" xfId="42496"/>
    <cellStyle name="asd 22 3 2 2 3" xfId="8608"/>
    <cellStyle name="asd 22 3 2 2 4" xfId="10518"/>
    <cellStyle name="asd 22 3 2 2 5" xfId="11367"/>
    <cellStyle name="asd 22 3 2 2 6" xfId="13162"/>
    <cellStyle name="asd 22 3 2 2 7" xfId="15067"/>
    <cellStyle name="asd 22 3 2 2 8" xfId="18137"/>
    <cellStyle name="asd 22 3 2 2 9" xfId="20043"/>
    <cellStyle name="asd 22 3 2 20" xfId="35906"/>
    <cellStyle name="asd 22 3 2 21" xfId="37785"/>
    <cellStyle name="asd 22 3 2 22" xfId="39631"/>
    <cellStyle name="asd 22 3 2 23" xfId="41305"/>
    <cellStyle name="asd 22 3 2 24" xfId="42570"/>
    <cellStyle name="asd 22 3 2 3" xfId="5029"/>
    <cellStyle name="asd 22 3 2 4" xfId="6479"/>
    <cellStyle name="asd 22 3 2 5" xfId="7930"/>
    <cellStyle name="asd 22 3 2 6" xfId="9840"/>
    <cellStyle name="asd 22 3 2 7" xfId="11479"/>
    <cellStyle name="asd 22 3 2 8" xfId="13245"/>
    <cellStyle name="asd 22 3 2 9" xfId="15148"/>
    <cellStyle name="asd 22 3 20" xfId="32946"/>
    <cellStyle name="asd 22 3 21" xfId="34542"/>
    <cellStyle name="asd 22 3 22" xfId="35166"/>
    <cellStyle name="asd 22 3 23" xfId="37044"/>
    <cellStyle name="asd 22 3 24" xfId="40149"/>
    <cellStyle name="asd 22 3 25" xfId="41808"/>
    <cellStyle name="asd 22 3 26" xfId="43204"/>
    <cellStyle name="asd 22 3 3" xfId="3902"/>
    <cellStyle name="asd 22 3 3 10" xfId="19606"/>
    <cellStyle name="asd 22 3 3 11" xfId="21518"/>
    <cellStyle name="asd 22 3 3 12" xfId="23328"/>
    <cellStyle name="asd 22 3 3 13" xfId="25320"/>
    <cellStyle name="asd 22 3 3 14" xfId="27182"/>
    <cellStyle name="asd 22 3 3 15" xfId="16596"/>
    <cellStyle name="asd 22 3 3 16" xfId="30773"/>
    <cellStyle name="asd 22 3 3 17" xfId="33078"/>
    <cellStyle name="asd 22 3 3 18" xfId="33403"/>
    <cellStyle name="asd 22 3 3 19" xfId="36147"/>
    <cellStyle name="asd 22 3 3 2" xfId="5876"/>
    <cellStyle name="asd 22 3 3 2 10" xfId="22126"/>
    <cellStyle name="asd 22 3 3 2 11" xfId="22629"/>
    <cellStyle name="asd 22 3 3 2 12" xfId="25928"/>
    <cellStyle name="asd 22 3 3 2 13" xfId="27657"/>
    <cellStyle name="asd 22 3 3 2 14" xfId="29446"/>
    <cellStyle name="asd 22 3 3 2 15" xfId="31234"/>
    <cellStyle name="asd 22 3 3 2 16" xfId="32975"/>
    <cellStyle name="asd 22 3 3 2 17" xfId="33638"/>
    <cellStyle name="asd 22 3 3 2 18" xfId="36755"/>
    <cellStyle name="asd 22 3 3 2 19" xfId="38634"/>
    <cellStyle name="asd 22 3 3 2 2" xfId="7325"/>
    <cellStyle name="asd 22 3 3 2 20" xfId="40176"/>
    <cellStyle name="asd 22 3 3 2 21" xfId="41835"/>
    <cellStyle name="asd 22 3 3 2 22" xfId="42435"/>
    <cellStyle name="asd 22 3 3 2 3" xfId="8779"/>
    <cellStyle name="asd 22 3 3 2 4" xfId="10689"/>
    <cellStyle name="asd 22 3 3 2 5" xfId="11401"/>
    <cellStyle name="asd 22 3 3 2 6" xfId="13096"/>
    <cellStyle name="asd 22 3 3 2 7" xfId="15001"/>
    <cellStyle name="asd 22 3 3 2 8" xfId="18308"/>
    <cellStyle name="asd 22 3 3 2 9" xfId="20214"/>
    <cellStyle name="asd 22 3 3 20" xfId="38026"/>
    <cellStyle name="asd 22 3 3 21" xfId="40275"/>
    <cellStyle name="asd 22 3 3 22" xfId="41931"/>
    <cellStyle name="asd 22 3 3 23" xfId="43098"/>
    <cellStyle name="asd 22 3 3 3" xfId="5270"/>
    <cellStyle name="asd 22 3 3 4" xfId="8171"/>
    <cellStyle name="asd 22 3 3 5" xfId="10081"/>
    <cellStyle name="asd 22 3 3 6" xfId="11691"/>
    <cellStyle name="asd 22 3 3 7" xfId="13800"/>
    <cellStyle name="asd 22 3 3 8" xfId="15702"/>
    <cellStyle name="asd 22 3 3 9" xfId="17700"/>
    <cellStyle name="asd 22 3 4" xfId="4020"/>
    <cellStyle name="asd 22 3 4 10" xfId="19655"/>
    <cellStyle name="asd 22 3 4 11" xfId="21567"/>
    <cellStyle name="asd 22 3 4 12" xfId="22472"/>
    <cellStyle name="asd 22 3 4 13" xfId="25369"/>
    <cellStyle name="asd 22 3 4 14" xfId="26409"/>
    <cellStyle name="asd 22 3 4 15" xfId="29173"/>
    <cellStyle name="asd 22 3 4 16" xfId="30016"/>
    <cellStyle name="asd 22 3 4 17" xfId="32457"/>
    <cellStyle name="asd 22 3 4 18" xfId="33958"/>
    <cellStyle name="asd 22 3 4 19" xfId="36196"/>
    <cellStyle name="asd 22 3 4 2" xfId="5925"/>
    <cellStyle name="asd 22 3 4 2 10" xfId="22175"/>
    <cellStyle name="asd 22 3 4 2 11" xfId="24129"/>
    <cellStyle name="asd 22 3 4 2 12" xfId="25977"/>
    <cellStyle name="asd 22 3 4 2 13" xfId="27746"/>
    <cellStyle name="asd 22 3 4 2 14" xfId="28042"/>
    <cellStyle name="asd 22 3 4 2 15" xfId="31324"/>
    <cellStyle name="asd 22 3 4 2 16" xfId="32521"/>
    <cellStyle name="asd 22 3 4 2 17" xfId="33885"/>
    <cellStyle name="asd 22 3 4 2 18" xfId="36804"/>
    <cellStyle name="asd 22 3 4 2 19" xfId="38683"/>
    <cellStyle name="asd 22 3 4 2 2" xfId="7374"/>
    <cellStyle name="asd 22 3 4 2 20" xfId="39735"/>
    <cellStyle name="asd 22 3 4 2 21" xfId="41407"/>
    <cellStyle name="asd 22 3 4 2 22" xfId="43872"/>
    <cellStyle name="asd 22 3 4 2 3" xfId="8828"/>
    <cellStyle name="asd 22 3 4 2 4" xfId="10738"/>
    <cellStyle name="asd 22 3 4 2 5" xfId="12089"/>
    <cellStyle name="asd 22 3 4 2 6" xfId="14600"/>
    <cellStyle name="asd 22 3 4 2 7" xfId="16506"/>
    <cellStyle name="asd 22 3 4 2 8" xfId="18357"/>
    <cellStyle name="asd 22 3 4 2 9" xfId="20263"/>
    <cellStyle name="asd 22 3 4 20" xfId="38075"/>
    <cellStyle name="asd 22 3 4 21" xfId="39675"/>
    <cellStyle name="asd 22 3 4 22" xfId="41348"/>
    <cellStyle name="asd 22 3 4 23" xfId="42282"/>
    <cellStyle name="asd 22 3 4 3" xfId="6766"/>
    <cellStyle name="asd 22 3 4 4" xfId="8220"/>
    <cellStyle name="asd 22 3 4 5" xfId="10130"/>
    <cellStyle name="asd 22 3 4 6" xfId="11500"/>
    <cellStyle name="asd 22 3 4 7" xfId="12940"/>
    <cellStyle name="asd 22 3 4 8" xfId="14844"/>
    <cellStyle name="asd 22 3 4 9" xfId="17749"/>
    <cellStyle name="asd 22 3 5" xfId="4889"/>
    <cellStyle name="asd 22 3 5 10" xfId="21137"/>
    <cellStyle name="asd 22 3 5 11" xfId="22813"/>
    <cellStyle name="asd 22 3 5 12" xfId="24939"/>
    <cellStyle name="asd 22 3 5 13" xfId="27650"/>
    <cellStyle name="asd 22 3 5 14" xfId="29639"/>
    <cellStyle name="asd 22 3 5 15" xfId="31227"/>
    <cellStyle name="asd 22 3 5 16" xfId="33260"/>
    <cellStyle name="asd 22 3 5 17" xfId="33787"/>
    <cellStyle name="asd 22 3 5 18" xfId="35766"/>
    <cellStyle name="asd 22 3 5 19" xfId="37645"/>
    <cellStyle name="asd 22 3 5 2" xfId="6339"/>
    <cellStyle name="asd 22 3 5 20" xfId="40446"/>
    <cellStyle name="asd 22 3 5 21" xfId="42101"/>
    <cellStyle name="asd 22 3 5 22" xfId="42606"/>
    <cellStyle name="asd 22 3 5 3" xfId="7790"/>
    <cellStyle name="asd 22 3 5 4" xfId="9700"/>
    <cellStyle name="asd 22 3 5 5" xfId="12210"/>
    <cellStyle name="asd 22 3 5 6" xfId="13283"/>
    <cellStyle name="asd 22 3 5 7" xfId="15187"/>
    <cellStyle name="asd 22 3 5 8" xfId="17319"/>
    <cellStyle name="asd 22 3 5 9" xfId="19225"/>
    <cellStyle name="asd 22 3 6" xfId="5510"/>
    <cellStyle name="asd 22 3 6 10" xfId="21760"/>
    <cellStyle name="asd 22 3 6 11" xfId="23289"/>
    <cellStyle name="asd 22 3 6 12" xfId="25562"/>
    <cellStyle name="asd 22 3 6 13" xfId="26459"/>
    <cellStyle name="asd 22 3 6 14" xfId="4460"/>
    <cellStyle name="asd 22 3 6 15" xfId="30065"/>
    <cellStyle name="asd 22 3 6 16" xfId="33263"/>
    <cellStyle name="asd 22 3 6 17" xfId="34449"/>
    <cellStyle name="asd 22 3 6 18" xfId="36389"/>
    <cellStyle name="asd 22 3 6 19" xfId="38268"/>
    <cellStyle name="asd 22 3 6 2" xfId="6959"/>
    <cellStyle name="asd 22 3 6 20" xfId="40449"/>
    <cellStyle name="asd 22 3 6 21" xfId="42104"/>
    <cellStyle name="asd 22 3 6 22" xfId="43064"/>
    <cellStyle name="asd 22 3 6 3" xfId="8413"/>
    <cellStyle name="asd 22 3 6 4" xfId="10323"/>
    <cellStyle name="asd 22 3 6 5" xfId="11244"/>
    <cellStyle name="asd 22 3 6 6" xfId="13761"/>
    <cellStyle name="asd 22 3 6 7" xfId="15663"/>
    <cellStyle name="asd 22 3 6 8" xfId="17942"/>
    <cellStyle name="asd 22 3 6 9" xfId="19848"/>
    <cellStyle name="asd 22 3 7" xfId="5415"/>
    <cellStyle name="asd 22 3 8" xfId="9098"/>
    <cellStyle name="asd 22 3 9" xfId="12547"/>
    <cellStyle name="asd 22 4" xfId="3522"/>
    <cellStyle name="asd 22 4 10" xfId="15437"/>
    <cellStyle name="asd 22 4 11" xfId="17036"/>
    <cellStyle name="asd 22 4 12" xfId="18943"/>
    <cellStyle name="asd 22 4 13" xfId="20855"/>
    <cellStyle name="asd 22 4 14" xfId="23063"/>
    <cellStyle name="asd 22 4 15" xfId="24657"/>
    <cellStyle name="asd 22 4 16" xfId="27340"/>
    <cellStyle name="asd 22 4 17" xfId="29287"/>
    <cellStyle name="asd 22 4 18" xfId="30929"/>
    <cellStyle name="asd 22 4 19" xfId="31968"/>
    <cellStyle name="asd 22 4 2" xfId="3702"/>
    <cellStyle name="asd 22 4 2 10" xfId="17593"/>
    <cellStyle name="asd 22 4 2 11" xfId="19499"/>
    <cellStyle name="asd 22 4 2 12" xfId="21411"/>
    <cellStyle name="asd 22 4 2 13" xfId="22412"/>
    <cellStyle name="asd 22 4 2 14" xfId="25213"/>
    <cellStyle name="asd 22 4 2 15" xfId="27167"/>
    <cellStyle name="asd 22 4 2 16" xfId="28228"/>
    <cellStyle name="asd 22 4 2 17" xfId="30758"/>
    <cellStyle name="asd 22 4 2 18" xfId="32063"/>
    <cellStyle name="asd 22 4 2 19" xfId="34377"/>
    <cellStyle name="asd 22 4 2 2" xfId="5769"/>
    <cellStyle name="asd 22 4 2 2 10" xfId="22019"/>
    <cellStyle name="asd 22 4 2 2 11" xfId="24056"/>
    <cellStyle name="asd 22 4 2 2 12" xfId="25821"/>
    <cellStyle name="asd 22 4 2 2 13" xfId="26688"/>
    <cellStyle name="asd 22 4 2 2 14" xfId="26706"/>
    <cellStyle name="asd 22 4 2 2 15" xfId="30288"/>
    <cellStyle name="asd 22 4 2 2 16" xfId="31832"/>
    <cellStyle name="asd 22 4 2 2 17" xfId="34058"/>
    <cellStyle name="asd 22 4 2 2 18" xfId="36648"/>
    <cellStyle name="asd 22 4 2 2 19" xfId="38527"/>
    <cellStyle name="asd 22 4 2 2 2" xfId="7218"/>
    <cellStyle name="asd 22 4 2 2 20" xfId="39070"/>
    <cellStyle name="asd 22 4 2 2 21" xfId="40752"/>
    <cellStyle name="asd 22 4 2 2 22" xfId="43800"/>
    <cellStyle name="asd 22 4 2 2 3" xfId="8672"/>
    <cellStyle name="asd 22 4 2 2 4" xfId="10582"/>
    <cellStyle name="asd 22 4 2 2 5" xfId="12015"/>
    <cellStyle name="asd 22 4 2 2 6" xfId="14526"/>
    <cellStyle name="asd 22 4 2 2 7" xfId="16432"/>
    <cellStyle name="asd 22 4 2 2 8" xfId="18201"/>
    <cellStyle name="asd 22 4 2 2 9" xfId="20107"/>
    <cellStyle name="asd 22 4 2 20" xfId="36040"/>
    <cellStyle name="asd 22 4 2 21" xfId="37919"/>
    <cellStyle name="asd 22 4 2 22" xfId="39289"/>
    <cellStyle name="asd 22 4 2 23" xfId="40965"/>
    <cellStyle name="asd 22 4 2 24" xfId="42223"/>
    <cellStyle name="asd 22 4 2 3" xfId="5163"/>
    <cellStyle name="asd 22 4 2 4" xfId="6613"/>
    <cellStyle name="asd 22 4 2 5" xfId="8064"/>
    <cellStyle name="asd 22 4 2 6" xfId="9974"/>
    <cellStyle name="asd 22 4 2 7" xfId="11786"/>
    <cellStyle name="asd 22 4 2 8" xfId="12879"/>
    <cellStyle name="asd 22 4 2 9" xfId="14784"/>
    <cellStyle name="asd 22 4 20" xfId="33799"/>
    <cellStyle name="asd 22 4 21" xfId="35485"/>
    <cellStyle name="asd 22 4 22" xfId="37363"/>
    <cellStyle name="asd 22 4 23" xfId="39198"/>
    <cellStyle name="asd 22 4 24" xfId="40879"/>
    <cellStyle name="asd 22 4 25" xfId="42846"/>
    <cellStyle name="asd 22 4 3" xfId="1803"/>
    <cellStyle name="asd 22 4 3 10" xfId="18969"/>
    <cellStyle name="asd 22 4 3 11" xfId="20881"/>
    <cellStyle name="asd 22 4 3 12" xfId="23835"/>
    <cellStyle name="asd 22 4 3 13" xfId="24683"/>
    <cellStyle name="asd 22 4 3 14" xfId="27264"/>
    <cellStyle name="asd 22 4 3 15" xfId="29723"/>
    <cellStyle name="asd 22 4 3 16" xfId="30855"/>
    <cellStyle name="asd 22 4 3 17" xfId="31668"/>
    <cellStyle name="asd 22 4 3 18" xfId="34789"/>
    <cellStyle name="asd 22 4 3 19" xfId="35510"/>
    <cellStyle name="asd 22 4 3 2" xfId="5546"/>
    <cellStyle name="asd 22 4 3 2 10" xfId="21796"/>
    <cellStyle name="asd 22 4 3 2 11" xfId="22591"/>
    <cellStyle name="asd 22 4 3 2 12" xfId="25598"/>
    <cellStyle name="asd 22 4 3 2 13" xfId="27805"/>
    <cellStyle name="asd 22 4 3 2 14" xfId="28523"/>
    <cellStyle name="asd 22 4 3 2 15" xfId="31382"/>
    <cellStyle name="asd 22 4 3 2 16" xfId="32023"/>
    <cellStyle name="asd 22 4 3 2 17" xfId="34631"/>
    <cellStyle name="asd 22 4 3 2 18" xfId="36425"/>
    <cellStyle name="asd 22 4 3 2 19" xfId="38304"/>
    <cellStyle name="asd 22 4 3 2 2" xfId="6995"/>
    <cellStyle name="asd 22 4 3 2 20" xfId="39253"/>
    <cellStyle name="asd 22 4 3 2 21" xfId="40930"/>
    <cellStyle name="asd 22 4 3 2 22" xfId="42400"/>
    <cellStyle name="asd 22 4 3 2 3" xfId="8449"/>
    <cellStyle name="asd 22 4 3 2 4" xfId="10359"/>
    <cellStyle name="asd 22 4 3 2 5" xfId="11399"/>
    <cellStyle name="asd 22 4 3 2 6" xfId="13059"/>
    <cellStyle name="asd 22 4 3 2 7" xfId="14963"/>
    <cellStyle name="asd 22 4 3 2 8" xfId="17978"/>
    <cellStyle name="asd 22 4 3 2 9" xfId="19884"/>
    <cellStyle name="asd 22 4 3 20" xfId="37389"/>
    <cellStyle name="asd 22 4 3 21" xfId="38912"/>
    <cellStyle name="asd 22 4 3 22" xfId="40596"/>
    <cellStyle name="asd 22 4 3 23" xfId="43586"/>
    <cellStyle name="asd 22 4 3 3" xfId="4637"/>
    <cellStyle name="asd 22 4 3 4" xfId="7534"/>
    <cellStyle name="asd 22 4 3 5" xfId="9444"/>
    <cellStyle name="asd 22 4 3 6" xfId="11463"/>
    <cellStyle name="asd 22 4 3 7" xfId="14305"/>
    <cellStyle name="asd 22 4 3 8" xfId="16209"/>
    <cellStyle name="asd 22 4 3 9" xfId="17063"/>
    <cellStyle name="asd 22 4 4" xfId="4154"/>
    <cellStyle name="asd 22 4 4 10" xfId="19789"/>
    <cellStyle name="asd 22 4 4 11" xfId="21701"/>
    <cellStyle name="asd 22 4 4 12" xfId="22509"/>
    <cellStyle name="asd 22 4 4 13" xfId="25503"/>
    <cellStyle name="asd 22 4 4 14" xfId="27379"/>
    <cellStyle name="asd 22 4 4 15" xfId="28116"/>
    <cellStyle name="asd 22 4 4 16" xfId="30965"/>
    <cellStyle name="asd 22 4 4 17" xfId="32410"/>
    <cellStyle name="asd 22 4 4 18" xfId="33613"/>
    <cellStyle name="asd 22 4 4 19" xfId="36330"/>
    <cellStyle name="asd 22 4 4 2" xfId="6059"/>
    <cellStyle name="asd 22 4 4 2 10" xfId="22309"/>
    <cellStyle name="asd 22 4 4 2 11" xfId="2061"/>
    <cellStyle name="asd 22 4 4 2 12" xfId="26111"/>
    <cellStyle name="asd 22 4 4 2 13" xfId="9005"/>
    <cellStyle name="asd 22 4 4 2 14" xfId="29572"/>
    <cellStyle name="asd 22 4 4 2 15" xfId="18523"/>
    <cellStyle name="asd 22 4 4 2 16" xfId="3149"/>
    <cellStyle name="asd 22 4 4 2 17" xfId="34984"/>
    <cellStyle name="asd 22 4 4 2 18" xfId="36938"/>
    <cellStyle name="asd 22 4 4 2 19" xfId="38817"/>
    <cellStyle name="asd 22 4 4 2 2" xfId="7508"/>
    <cellStyle name="asd 22 4 4 2 20" xfId="26133"/>
    <cellStyle name="asd 22 4 4 2 21" xfId="3243"/>
    <cellStyle name="asd 22 4 4 2 22" xfId="40655"/>
    <cellStyle name="asd 22 4 4 2 3" xfId="8962"/>
    <cellStyle name="asd 22 4 4 2 4" xfId="10872"/>
    <cellStyle name="asd 22 4 4 2 5" xfId="12769"/>
    <cellStyle name="asd 22 4 4 2 6" xfId="3333"/>
    <cellStyle name="asd 22 4 4 2 7" xfId="12359"/>
    <cellStyle name="asd 22 4 4 2 8" xfId="18491"/>
    <cellStyle name="asd 22 4 4 2 9" xfId="20397"/>
    <cellStyle name="asd 22 4 4 20" xfId="38209"/>
    <cellStyle name="asd 22 4 4 21" xfId="39627"/>
    <cellStyle name="asd 22 4 4 22" xfId="41301"/>
    <cellStyle name="asd 22 4 4 23" xfId="42319"/>
    <cellStyle name="asd 22 4 4 3" xfId="6900"/>
    <cellStyle name="asd 22 4 4 4" xfId="8354"/>
    <cellStyle name="asd 22 4 4 5" xfId="10264"/>
    <cellStyle name="asd 22 4 4 6" xfId="11568"/>
    <cellStyle name="asd 22 4 4 7" xfId="12977"/>
    <cellStyle name="asd 22 4 4 8" xfId="14881"/>
    <cellStyle name="asd 22 4 4 9" xfId="17883"/>
    <cellStyle name="asd 22 4 5" xfId="5743"/>
    <cellStyle name="asd 22 4 5 10" xfId="21993"/>
    <cellStyle name="asd 22 4 5 11" xfId="3222"/>
    <cellStyle name="asd 22 4 5 12" xfId="25795"/>
    <cellStyle name="asd 22 4 5 13" xfId="10881"/>
    <cellStyle name="asd 22 4 5 14" xfId="3029"/>
    <cellStyle name="asd 22 4 5 15" xfId="14192"/>
    <cellStyle name="asd 22 4 5 16" xfId="14401"/>
    <cellStyle name="asd 22 4 5 17" xfId="31529"/>
    <cellStyle name="asd 22 4 5 18" xfId="36622"/>
    <cellStyle name="asd 22 4 5 19" xfId="38501"/>
    <cellStyle name="asd 22 4 5 2" xfId="7192"/>
    <cellStyle name="asd 22 4 5 20" xfId="27063"/>
    <cellStyle name="asd 22 4 5 21" xfId="33347"/>
    <cellStyle name="asd 22 4 5 22" xfId="4371"/>
    <cellStyle name="asd 22 4 5 3" xfId="8646"/>
    <cellStyle name="asd 22 4 5 4" xfId="10556"/>
    <cellStyle name="asd 22 4 5 5" xfId="12186"/>
    <cellStyle name="asd 22 4 5 6" xfId="3117"/>
    <cellStyle name="asd 22 4 5 7" xfId="11284"/>
    <cellStyle name="asd 22 4 5 8" xfId="18175"/>
    <cellStyle name="asd 22 4 5 9" xfId="20081"/>
    <cellStyle name="asd 22 4 6" xfId="3010"/>
    <cellStyle name="asd 22 4 7" xfId="9417"/>
    <cellStyle name="asd 22 4 8" xfId="12667"/>
    <cellStyle name="asd 22 4 9" xfId="13534"/>
    <cellStyle name="asd 22 5" xfId="2553"/>
    <cellStyle name="asd 22 5 10" xfId="17176"/>
    <cellStyle name="asd 22 5 11" xfId="19082"/>
    <cellStyle name="asd 22 5 12" xfId="20994"/>
    <cellStyle name="asd 22 5 13" xfId="23780"/>
    <cellStyle name="asd 22 5 14" xfId="24796"/>
    <cellStyle name="asd 22 5 15" xfId="27125"/>
    <cellStyle name="asd 22 5 16" xfId="3919"/>
    <cellStyle name="asd 22 5 17" xfId="30715"/>
    <cellStyle name="asd 22 5 18" xfId="2176"/>
    <cellStyle name="asd 22 5 19" xfId="32226"/>
    <cellStyle name="asd 22 5 2" xfId="4274"/>
    <cellStyle name="asd 22 5 2 10" xfId="20513"/>
    <cellStyle name="asd 22 5 2 11" xfId="22910"/>
    <cellStyle name="asd 22 5 2 12" xfId="24315"/>
    <cellStyle name="asd 22 5 2 13" xfId="26504"/>
    <cellStyle name="asd 22 5 2 14" xfId="28582"/>
    <cellStyle name="asd 22 5 2 15" xfId="30110"/>
    <cellStyle name="asd 22 5 2 16" xfId="32432"/>
    <cellStyle name="asd 22 5 2 17" xfId="33995"/>
    <cellStyle name="asd 22 5 2 18" xfId="35143"/>
    <cellStyle name="asd 22 5 2 19" xfId="37021"/>
    <cellStyle name="asd 22 5 2 2" xfId="5392"/>
    <cellStyle name="asd 22 5 2 20" xfId="39649"/>
    <cellStyle name="asd 22 5 2 21" xfId="41323"/>
    <cellStyle name="asd 22 5 2 22" xfId="42696"/>
    <cellStyle name="asd 22 5 2 3" xfId="6638"/>
    <cellStyle name="asd 22 5 2 4" xfId="9075"/>
    <cellStyle name="asd 22 5 2 5" xfId="10989"/>
    <cellStyle name="asd 22 5 2 6" xfId="13378"/>
    <cellStyle name="asd 22 5 2 7" xfId="15283"/>
    <cellStyle name="asd 22 5 2 8" xfId="16694"/>
    <cellStyle name="asd 22 5 2 9" xfId="18601"/>
    <cellStyle name="asd 22 5 20" xfId="35623"/>
    <cellStyle name="asd 22 5 21" xfId="37502"/>
    <cellStyle name="asd 22 5 22" xfId="29879"/>
    <cellStyle name="asd 22 5 23" xfId="29458"/>
    <cellStyle name="asd 22 5 24" xfId="43533"/>
    <cellStyle name="asd 22 5 3" xfId="4747"/>
    <cellStyle name="asd 22 5 4" xfId="6196"/>
    <cellStyle name="asd 22 5 5" xfId="7647"/>
    <cellStyle name="asd 22 5 6" xfId="9557"/>
    <cellStyle name="asd 22 5 7" xfId="11698"/>
    <cellStyle name="asd 22 5 8" xfId="14250"/>
    <cellStyle name="asd 22 5 9" xfId="16154"/>
    <cellStyle name="asd 22 6" xfId="2658"/>
    <cellStyle name="asd 22 6 10" xfId="19092"/>
    <cellStyle name="asd 22 6 11" xfId="21004"/>
    <cellStyle name="asd 22 6 12" xfId="22467"/>
    <cellStyle name="asd 22 6 13" xfId="24806"/>
    <cellStyle name="asd 22 6 14" xfId="27334"/>
    <cellStyle name="asd 22 6 15" xfId="4380"/>
    <cellStyle name="asd 22 6 16" xfId="30923"/>
    <cellStyle name="asd 22 6 17" xfId="33328"/>
    <cellStyle name="asd 22 6 18" xfId="26126"/>
    <cellStyle name="asd 22 6 19" xfId="35633"/>
    <cellStyle name="asd 22 6 2" xfId="4560"/>
    <cellStyle name="asd 22 6 2 10" xfId="20805"/>
    <cellStyle name="asd 22 6 2 11" xfId="22556"/>
    <cellStyle name="asd 22 6 2 12" xfId="24607"/>
    <cellStyle name="asd 22 6 2 13" xfId="27843"/>
    <cellStyle name="asd 22 6 2 14" xfId="29045"/>
    <cellStyle name="asd 22 6 2 15" xfId="31421"/>
    <cellStyle name="asd 22 6 2 16" xfId="32927"/>
    <cellStyle name="asd 22 6 2 17" xfId="33507"/>
    <cellStyle name="asd 22 6 2 18" xfId="35435"/>
    <cellStyle name="asd 22 6 2 19" xfId="37313"/>
    <cellStyle name="asd 22 6 2 2" xfId="3296"/>
    <cellStyle name="asd 22 6 2 20" xfId="40131"/>
    <cellStyle name="asd 22 6 2 21" xfId="41790"/>
    <cellStyle name="asd 22 6 2 22" xfId="42365"/>
    <cellStyle name="asd 22 6 2 3" xfId="2899"/>
    <cellStyle name="asd 22 6 2 4" xfId="9367"/>
    <cellStyle name="asd 22 6 2 5" xfId="2647"/>
    <cellStyle name="asd 22 6 2 6" xfId="13024"/>
    <cellStyle name="asd 22 6 2 7" xfId="14928"/>
    <cellStyle name="asd 22 6 2 8" xfId="16986"/>
    <cellStyle name="asd 22 6 2 9" xfId="18893"/>
    <cellStyle name="asd 22 6 20" xfId="37512"/>
    <cellStyle name="asd 22 6 21" xfId="40508"/>
    <cellStyle name="asd 22 6 22" xfId="42160"/>
    <cellStyle name="asd 22 6 23" xfId="42278"/>
    <cellStyle name="asd 22 6 3" xfId="4757"/>
    <cellStyle name="asd 22 6 4" xfId="7657"/>
    <cellStyle name="asd 22 6 5" xfId="9567"/>
    <cellStyle name="asd 22 6 6" xfId="11468"/>
    <cellStyle name="asd 22 6 7" xfId="12935"/>
    <cellStyle name="asd 22 6 8" xfId="14840"/>
    <cellStyle name="asd 22 6 9" xfId="17186"/>
    <cellStyle name="asd 22 7" xfId="3264"/>
    <cellStyle name="asd 22 7 10" xfId="19190"/>
    <cellStyle name="asd 22 7 11" xfId="21102"/>
    <cellStyle name="asd 22 7 12" xfId="13849"/>
    <cellStyle name="asd 22 7 13" xfId="24904"/>
    <cellStyle name="asd 22 7 14" xfId="26112"/>
    <cellStyle name="asd 22 7 15" xfId="3018"/>
    <cellStyle name="asd 22 7 16" xfId="29726"/>
    <cellStyle name="asd 22 7 17" xfId="29736"/>
    <cellStyle name="asd 22 7 18" xfId="4551"/>
    <cellStyle name="asd 22 7 19" xfId="35731"/>
    <cellStyle name="asd 22 7 2" xfId="5494"/>
    <cellStyle name="asd 22 7 2 10" xfId="21744"/>
    <cellStyle name="asd 22 7 2 11" xfId="22411"/>
    <cellStyle name="asd 22 7 2 12" xfId="25546"/>
    <cellStyle name="asd 22 7 2 13" xfId="27759"/>
    <cellStyle name="asd 22 7 2 14" xfId="2166"/>
    <cellStyle name="asd 22 7 2 15" xfId="31338"/>
    <cellStyle name="asd 22 7 2 16" xfId="32315"/>
    <cellStyle name="asd 22 7 2 17" xfId="34633"/>
    <cellStyle name="asd 22 7 2 18" xfId="36373"/>
    <cellStyle name="asd 22 7 2 19" xfId="38252"/>
    <cellStyle name="asd 22 7 2 2" xfId="6943"/>
    <cellStyle name="asd 22 7 2 20" xfId="39534"/>
    <cellStyle name="asd 22 7 2 21" xfId="41208"/>
    <cellStyle name="asd 22 7 2 22" xfId="42222"/>
    <cellStyle name="asd 22 7 2 3" xfId="8397"/>
    <cellStyle name="asd 22 7 2 4" xfId="10307"/>
    <cellStyle name="asd 22 7 2 5" xfId="11597"/>
    <cellStyle name="asd 22 7 2 6" xfId="12878"/>
    <cellStyle name="asd 22 7 2 7" xfId="14783"/>
    <cellStyle name="asd 22 7 2 8" xfId="17926"/>
    <cellStyle name="asd 22 7 2 9" xfId="19832"/>
    <cellStyle name="asd 22 7 20" xfId="37610"/>
    <cellStyle name="asd 22 7 21" xfId="28406"/>
    <cellStyle name="asd 22 7 22" xfId="8995"/>
    <cellStyle name="asd 22 7 23" xfId="33359"/>
    <cellStyle name="asd 22 7 3" xfId="6304"/>
    <cellStyle name="asd 22 7 4" xfId="7755"/>
    <cellStyle name="asd 22 7 5" xfId="9665"/>
    <cellStyle name="asd 22 7 6" xfId="11105"/>
    <cellStyle name="asd 22 7 7" xfId="2918"/>
    <cellStyle name="asd 22 7 8" xfId="2244"/>
    <cellStyle name="asd 22 7 9" xfId="17284"/>
    <cellStyle name="asd 22 8" xfId="4228"/>
    <cellStyle name="asd 22 9" xfId="2946"/>
    <cellStyle name="asd 23" xfId="846"/>
    <cellStyle name="asd 23 10" xfId="3314"/>
    <cellStyle name="asd 23 11" xfId="3257"/>
    <cellStyle name="asd 23 12" xfId="3210"/>
    <cellStyle name="asd 23 13" xfId="1939"/>
    <cellStyle name="asd 23 14" xfId="3207"/>
    <cellStyle name="asd 23 15" xfId="2986"/>
    <cellStyle name="asd 23 16" xfId="3254"/>
    <cellStyle name="asd 23 17" xfId="14721"/>
    <cellStyle name="asd 23 18" xfId="26625"/>
    <cellStyle name="asd 23 19" xfId="28960"/>
    <cellStyle name="asd 23 2" xfId="3440"/>
    <cellStyle name="asd 23 2 10" xfId="3904"/>
    <cellStyle name="asd 23 2 11" xfId="3186"/>
    <cellStyle name="asd 23 2 12" xfId="16822"/>
    <cellStyle name="asd 23 2 13" xfId="18729"/>
    <cellStyle name="asd 23 2 14" xfId="20641"/>
    <cellStyle name="asd 23 2 15" xfId="16629"/>
    <cellStyle name="asd 23 2 16" xfId="24443"/>
    <cellStyle name="asd 23 2 17" xfId="2601"/>
    <cellStyle name="asd 23 2 18" xfId="15088"/>
    <cellStyle name="asd 23 2 19" xfId="28487"/>
    <cellStyle name="asd 23 2 2" xfId="3620"/>
    <cellStyle name="asd 23 2 2 10" xfId="17511"/>
    <cellStyle name="asd 23 2 2 11" xfId="19417"/>
    <cellStyle name="asd 23 2 2 12" xfId="21329"/>
    <cellStyle name="asd 23 2 2 13" xfId="23403"/>
    <cellStyle name="asd 23 2 2 14" xfId="25131"/>
    <cellStyle name="asd 23 2 2 15" xfId="27411"/>
    <cellStyle name="asd 23 2 2 16" xfId="28381"/>
    <cellStyle name="asd 23 2 2 17" xfId="30997"/>
    <cellStyle name="asd 23 2 2 18" xfId="32829"/>
    <cellStyle name="asd 23 2 2 19" xfId="34678"/>
    <cellStyle name="asd 23 2 2 2" xfId="5709"/>
    <cellStyle name="asd 23 2 2 2 10" xfId="21959"/>
    <cellStyle name="asd 23 2 2 2 11" xfId="22442"/>
    <cellStyle name="asd 23 2 2 2 12" xfId="25761"/>
    <cellStyle name="asd 23 2 2 2 13" xfId="27818"/>
    <cellStyle name="asd 23 2 2 2 14" xfId="28101"/>
    <cellStyle name="asd 23 2 2 2 15" xfId="31396"/>
    <cellStyle name="asd 23 2 2 2 16" xfId="32142"/>
    <cellStyle name="asd 23 2 2 2 17" xfId="34043"/>
    <cellStyle name="asd 23 2 2 2 18" xfId="36588"/>
    <cellStyle name="asd 23 2 2 2 19" xfId="38467"/>
    <cellStyle name="asd 23 2 2 2 2" xfId="7158"/>
    <cellStyle name="asd 23 2 2 2 20" xfId="39365"/>
    <cellStyle name="asd 23 2 2 2 21" xfId="41041"/>
    <cellStyle name="asd 23 2 2 2 22" xfId="42253"/>
    <cellStyle name="asd 23 2 2 2 3" xfId="8612"/>
    <cellStyle name="asd 23 2 2 2 4" xfId="10522"/>
    <cellStyle name="asd 23 2 2 2 5" xfId="2035"/>
    <cellStyle name="asd 23 2 2 2 6" xfId="12910"/>
    <cellStyle name="asd 23 2 2 2 7" xfId="14815"/>
    <cellStyle name="asd 23 2 2 2 8" xfId="18141"/>
    <cellStyle name="asd 23 2 2 2 9" xfId="20047"/>
    <cellStyle name="asd 23 2 2 20" xfId="35958"/>
    <cellStyle name="asd 23 2 2 21" xfId="37837"/>
    <cellStyle name="asd 23 2 2 22" xfId="40038"/>
    <cellStyle name="asd 23 2 2 23" xfId="41702"/>
    <cellStyle name="asd 23 2 2 24" xfId="43170"/>
    <cellStyle name="asd 23 2 2 3" xfId="5081"/>
    <cellStyle name="asd 23 2 2 4" xfId="6531"/>
    <cellStyle name="asd 23 2 2 5" xfId="7982"/>
    <cellStyle name="asd 23 2 2 6" xfId="9892"/>
    <cellStyle name="asd 23 2 2 7" xfId="10965"/>
    <cellStyle name="asd 23 2 2 8" xfId="13875"/>
    <cellStyle name="asd 23 2 2 9" xfId="15776"/>
    <cellStyle name="asd 23 2 20" xfId="3256"/>
    <cellStyle name="asd 23 2 21" xfId="32730"/>
    <cellStyle name="asd 23 2 22" xfId="35271"/>
    <cellStyle name="asd 23 2 23" xfId="37149"/>
    <cellStyle name="asd 23 2 24" xfId="14553"/>
    <cellStyle name="asd 23 2 25" xfId="24213"/>
    <cellStyle name="asd 23 2 26" xfId="29749"/>
    <cellStyle name="asd 23 2 3" xfId="3780"/>
    <cellStyle name="asd 23 2 3 10" xfId="19519"/>
    <cellStyle name="asd 23 2 3 11" xfId="21431"/>
    <cellStyle name="asd 23 2 3 12" xfId="22471"/>
    <cellStyle name="asd 23 2 3 13" xfId="25233"/>
    <cellStyle name="asd 23 2 3 14" xfId="27052"/>
    <cellStyle name="asd 23 2 3 15" xfId="2694"/>
    <cellStyle name="asd 23 2 3 16" xfId="30644"/>
    <cellStyle name="asd 23 2 3 17" xfId="31680"/>
    <cellStyle name="asd 23 2 3 18" xfId="29426"/>
    <cellStyle name="asd 23 2 3 19" xfId="36060"/>
    <cellStyle name="asd 23 2 3 2" xfId="5789"/>
    <cellStyle name="asd 23 2 3 2 10" xfId="22039"/>
    <cellStyle name="asd 23 2 3 2 11" xfId="23282"/>
    <cellStyle name="asd 23 2 3 2 12" xfId="25841"/>
    <cellStyle name="asd 23 2 3 2 13" xfId="26915"/>
    <cellStyle name="asd 23 2 3 2 14" xfId="28795"/>
    <cellStyle name="asd 23 2 3 2 15" xfId="30511"/>
    <cellStyle name="asd 23 2 3 2 16" xfId="33128"/>
    <cellStyle name="asd 23 2 3 2 17" xfId="34219"/>
    <cellStyle name="asd 23 2 3 2 18" xfId="36668"/>
    <cellStyle name="asd 23 2 3 2 19" xfId="38547"/>
    <cellStyle name="asd 23 2 3 2 2" xfId="7238"/>
    <cellStyle name="asd 23 2 3 2 20" xfId="40322"/>
    <cellStyle name="asd 23 2 3 2 21" xfId="41978"/>
    <cellStyle name="asd 23 2 3 2 22" xfId="43058"/>
    <cellStyle name="asd 23 2 3 2 3" xfId="8692"/>
    <cellStyle name="asd 23 2 3 2 4" xfId="10602"/>
    <cellStyle name="asd 23 2 3 2 5" xfId="11229"/>
    <cellStyle name="asd 23 2 3 2 6" xfId="13754"/>
    <cellStyle name="asd 23 2 3 2 7" xfId="15656"/>
    <cellStyle name="asd 23 2 3 2 8" xfId="18221"/>
    <cellStyle name="asd 23 2 3 2 9" xfId="20127"/>
    <cellStyle name="asd 23 2 3 20" xfId="37939"/>
    <cellStyle name="asd 23 2 3 21" xfId="38923"/>
    <cellStyle name="asd 23 2 3 22" xfId="40607"/>
    <cellStyle name="asd 23 2 3 23" xfId="42281"/>
    <cellStyle name="asd 23 2 3 3" xfId="5183"/>
    <cellStyle name="asd 23 2 3 4" xfId="8084"/>
    <cellStyle name="asd 23 2 3 5" xfId="9994"/>
    <cellStyle name="asd 23 2 3 6" xfId="2642"/>
    <cellStyle name="asd 23 2 3 7" xfId="12939"/>
    <cellStyle name="asd 23 2 3 8" xfId="14843"/>
    <cellStyle name="asd 23 2 3 9" xfId="17613"/>
    <cellStyle name="asd 23 2 4" xfId="4072"/>
    <cellStyle name="asd 23 2 4 10" xfId="19707"/>
    <cellStyle name="asd 23 2 4 11" xfId="21619"/>
    <cellStyle name="asd 23 2 4 12" xfId="23218"/>
    <cellStyle name="asd 23 2 4 13" xfId="25421"/>
    <cellStyle name="asd 23 2 4 14" xfId="27220"/>
    <cellStyle name="asd 23 2 4 15" xfId="28375"/>
    <cellStyle name="asd 23 2 4 16" xfId="30811"/>
    <cellStyle name="asd 23 2 4 17" xfId="32997"/>
    <cellStyle name="asd 23 2 4 18" xfId="34792"/>
    <cellStyle name="asd 23 2 4 19" xfId="36248"/>
    <cellStyle name="asd 23 2 4 2" xfId="5977"/>
    <cellStyle name="asd 23 2 4 2 10" xfId="22227"/>
    <cellStyle name="asd 23 2 4 2 11" xfId="22576"/>
    <cellStyle name="asd 23 2 4 2 12" xfId="26029"/>
    <cellStyle name="asd 23 2 4 2 13" xfId="27751"/>
    <cellStyle name="asd 23 2 4 2 14" xfId="28730"/>
    <cellStyle name="asd 23 2 4 2 15" xfId="31330"/>
    <cellStyle name="asd 23 2 4 2 16" xfId="33194"/>
    <cellStyle name="asd 23 2 4 2 17" xfId="34731"/>
    <cellStyle name="asd 23 2 4 2 18" xfId="36856"/>
    <cellStyle name="asd 23 2 4 2 19" xfId="38735"/>
    <cellStyle name="asd 23 2 4 2 2" xfId="7426"/>
    <cellStyle name="asd 23 2 4 2 20" xfId="40385"/>
    <cellStyle name="asd 23 2 4 2 21" xfId="42041"/>
    <cellStyle name="asd 23 2 4 2 22" xfId="42385"/>
    <cellStyle name="asd 23 2 4 2 3" xfId="8880"/>
    <cellStyle name="asd 23 2 4 2 4" xfId="10790"/>
    <cellStyle name="asd 23 2 4 2 5" xfId="11543"/>
    <cellStyle name="asd 23 2 4 2 6" xfId="13044"/>
    <cellStyle name="asd 23 2 4 2 7" xfId="14948"/>
    <cellStyle name="asd 23 2 4 2 8" xfId="18409"/>
    <cellStyle name="asd 23 2 4 2 9" xfId="20315"/>
    <cellStyle name="asd 23 2 4 20" xfId="38127"/>
    <cellStyle name="asd 23 2 4 21" xfId="40198"/>
    <cellStyle name="asd 23 2 4 22" xfId="41857"/>
    <cellStyle name="asd 23 2 4 23" xfId="42995"/>
    <cellStyle name="asd 23 2 4 3" xfId="6818"/>
    <cellStyle name="asd 23 2 4 4" xfId="8272"/>
    <cellStyle name="asd 23 2 4 5" xfId="10182"/>
    <cellStyle name="asd 23 2 4 6" xfId="11095"/>
    <cellStyle name="asd 23 2 4 7" xfId="13690"/>
    <cellStyle name="asd 23 2 4 8" xfId="15592"/>
    <cellStyle name="asd 23 2 4 9" xfId="17801"/>
    <cellStyle name="asd 23 2 5" xfId="4929"/>
    <cellStyle name="asd 23 2 5 10" xfId="21177"/>
    <cellStyle name="asd 23 2 5 11" xfId="22968"/>
    <cellStyle name="asd 23 2 5 12" xfId="24979"/>
    <cellStyle name="asd 23 2 5 13" xfId="27139"/>
    <cellStyle name="asd 23 2 5 14" xfId="28386"/>
    <cellStyle name="asd 23 2 5 15" xfId="30730"/>
    <cellStyle name="asd 23 2 5 16" xfId="31645"/>
    <cellStyle name="asd 23 2 5 17" xfId="34746"/>
    <cellStyle name="asd 23 2 5 18" xfId="35806"/>
    <cellStyle name="asd 23 2 5 19" xfId="37685"/>
    <cellStyle name="asd 23 2 5 2" xfId="6379"/>
    <cellStyle name="asd 23 2 5 20" xfId="38890"/>
    <cellStyle name="asd 23 2 5 21" xfId="40575"/>
    <cellStyle name="asd 23 2 5 22" xfId="42754"/>
    <cellStyle name="asd 23 2 5 3" xfId="7830"/>
    <cellStyle name="asd 23 2 5 4" xfId="9740"/>
    <cellStyle name="asd 23 2 5 5" xfId="11228"/>
    <cellStyle name="asd 23 2 5 6" xfId="13437"/>
    <cellStyle name="asd 23 2 5 7" xfId="15342"/>
    <cellStyle name="asd 23 2 5 8" xfId="17359"/>
    <cellStyle name="asd 23 2 5 9" xfId="19265"/>
    <cellStyle name="asd 23 2 6" xfId="4611"/>
    <cellStyle name="asd 23 2 6 10" xfId="20856"/>
    <cellStyle name="asd 23 2 6 11" xfId="24104"/>
    <cellStyle name="asd 23 2 6 12" xfId="24658"/>
    <cellStyle name="asd 23 2 6 13" xfId="27861"/>
    <cellStyle name="asd 23 2 6 14" xfId="28616"/>
    <cellStyle name="asd 23 2 6 15" xfId="31441"/>
    <cellStyle name="asd 23 2 6 16" xfId="31839"/>
    <cellStyle name="asd 23 2 6 17" xfId="33629"/>
    <cellStyle name="asd 23 2 6 18" xfId="35486"/>
    <cellStyle name="asd 23 2 6 19" xfId="37364"/>
    <cellStyle name="asd 23 2 6 2" xfId="2649"/>
    <cellStyle name="asd 23 2 6 20" xfId="39076"/>
    <cellStyle name="asd 23 2 6 21" xfId="40758"/>
    <cellStyle name="asd 23 2 6 22" xfId="43847"/>
    <cellStyle name="asd 23 2 6 3" xfId="2754"/>
    <cellStyle name="asd 23 2 6 4" xfId="9418"/>
    <cellStyle name="asd 23 2 6 5" xfId="12063"/>
    <cellStyle name="asd 23 2 6 6" xfId="14574"/>
    <cellStyle name="asd 23 2 6 7" xfId="16480"/>
    <cellStyle name="asd 23 2 6 8" xfId="17037"/>
    <cellStyle name="asd 23 2 6 9" xfId="18944"/>
    <cellStyle name="asd 23 2 7" xfId="6293"/>
    <cellStyle name="asd 23 2 8" xfId="9203"/>
    <cellStyle name="asd 23 2 9" xfId="12350"/>
    <cellStyle name="asd 23 20" xfId="30228"/>
    <cellStyle name="asd 23 21" xfId="31690"/>
    <cellStyle name="asd 23 22" xfId="33546"/>
    <cellStyle name="asd 23 23" xfId="26144"/>
    <cellStyle name="asd 23 24" xfId="29761"/>
    <cellStyle name="asd 23 25" xfId="38932"/>
    <cellStyle name="asd 23 26" xfId="40616"/>
    <cellStyle name="asd 23 27" xfId="26256"/>
    <cellStyle name="asd 23 3" xfId="3392"/>
    <cellStyle name="asd 23 3 10" xfId="13198"/>
    <cellStyle name="asd 23 3 11" xfId="15101"/>
    <cellStyle name="asd 23 3 12" xfId="16726"/>
    <cellStyle name="asd 23 3 13" xfId="18633"/>
    <cellStyle name="asd 23 3 14" xfId="20545"/>
    <cellStyle name="asd 23 3 15" xfId="22729"/>
    <cellStyle name="asd 23 3 16" xfId="24347"/>
    <cellStyle name="asd 23 3 17" xfId="27265"/>
    <cellStyle name="asd 23 3 18" xfId="28872"/>
    <cellStyle name="asd 23 3 19" xfId="30856"/>
    <cellStyle name="asd 23 3 2" xfId="3572"/>
    <cellStyle name="asd 23 3 2 10" xfId="17463"/>
    <cellStyle name="asd 23 3 2 11" xfId="19369"/>
    <cellStyle name="asd 23 3 2 12" xfId="21281"/>
    <cellStyle name="asd 23 3 2 13" xfId="22756"/>
    <cellStyle name="asd 23 3 2 14" xfId="25083"/>
    <cellStyle name="asd 23 3 2 15" xfId="26444"/>
    <cellStyle name="asd 23 3 2 16" xfId="28170"/>
    <cellStyle name="asd 23 3 2 17" xfId="30050"/>
    <cellStyle name="asd 23 3 2 18" xfId="32127"/>
    <cellStyle name="asd 23 3 2 19" xfId="34694"/>
    <cellStyle name="asd 23 3 2 2" xfId="4431"/>
    <cellStyle name="asd 23 3 2 2 10" xfId="20675"/>
    <cellStyle name="asd 23 3 2 2 11" xfId="23631"/>
    <cellStyle name="asd 23 3 2 2 12" xfId="24477"/>
    <cellStyle name="asd 23 3 2 2 13" xfId="26666"/>
    <cellStyle name="asd 23 3 2 2 14" xfId="13470"/>
    <cellStyle name="asd 23 3 2 2 15" xfId="30266"/>
    <cellStyle name="asd 23 3 2 2 16" xfId="31660"/>
    <cellStyle name="asd 23 3 2 2 17" xfId="34192"/>
    <cellStyle name="asd 23 3 2 2 18" xfId="35305"/>
    <cellStyle name="asd 23 3 2 2 19" xfId="37183"/>
    <cellStyle name="asd 23 3 2 2 2" xfId="5442"/>
    <cellStyle name="asd 23 3 2 2 20" xfId="38904"/>
    <cellStyle name="asd 23 3 2 2 21" xfId="40589"/>
    <cellStyle name="asd 23 3 2 2 22" xfId="43389"/>
    <cellStyle name="asd 23 3 2 2 3" xfId="6186"/>
    <cellStyle name="asd 23 3 2 2 4" xfId="9237"/>
    <cellStyle name="asd 23 3 2 2 5" xfId="11375"/>
    <cellStyle name="asd 23 3 2 2 6" xfId="14101"/>
    <cellStyle name="asd 23 3 2 2 7" xfId="16004"/>
    <cellStyle name="asd 23 3 2 2 8" xfId="16856"/>
    <cellStyle name="asd 23 3 2 2 9" xfId="18763"/>
    <cellStyle name="asd 23 3 2 20" xfId="35910"/>
    <cellStyle name="asd 23 3 2 21" xfId="37789"/>
    <cellStyle name="asd 23 3 2 22" xfId="39350"/>
    <cellStyle name="asd 23 3 2 23" xfId="41026"/>
    <cellStyle name="asd 23 3 2 24" xfId="42553"/>
    <cellStyle name="asd 23 3 2 3" xfId="5033"/>
    <cellStyle name="asd 23 3 2 4" xfId="6483"/>
    <cellStyle name="asd 23 3 2 5" xfId="7934"/>
    <cellStyle name="asd 23 3 2 6" xfId="9844"/>
    <cellStyle name="asd 23 3 2 7" xfId="11239"/>
    <cellStyle name="asd 23 3 2 8" xfId="13225"/>
    <cellStyle name="asd 23 3 2 9" xfId="15128"/>
    <cellStyle name="asd 23 3 20" xfId="32448"/>
    <cellStyle name="asd 23 3 21" xfId="34969"/>
    <cellStyle name="asd 23 3 22" xfId="35175"/>
    <cellStyle name="asd 23 3 23" xfId="37053"/>
    <cellStyle name="asd 23 3 24" xfId="39665"/>
    <cellStyle name="asd 23 3 25" xfId="41339"/>
    <cellStyle name="asd 23 3 26" xfId="42527"/>
    <cellStyle name="asd 23 3 3" xfId="3803"/>
    <cellStyle name="asd 23 3 3 10" xfId="19537"/>
    <cellStyle name="asd 23 3 3 11" xfId="21449"/>
    <cellStyle name="asd 23 3 3 12" xfId="24146"/>
    <cellStyle name="asd 23 3 3 13" xfId="25251"/>
    <cellStyle name="asd 23 3 3 14" xfId="27219"/>
    <cellStyle name="asd 23 3 3 15" xfId="27012"/>
    <cellStyle name="asd 23 3 3 16" xfId="30810"/>
    <cellStyle name="asd 23 3 3 17" xfId="28530"/>
    <cellStyle name="asd 23 3 3 18" xfId="32204"/>
    <cellStyle name="asd 23 3 3 19" xfId="36078"/>
    <cellStyle name="asd 23 3 3 2" xfId="5807"/>
    <cellStyle name="asd 23 3 3 2 10" xfId="22057"/>
    <cellStyle name="asd 23 3 3 2 11" xfId="23208"/>
    <cellStyle name="asd 23 3 3 2 12" xfId="25859"/>
    <cellStyle name="asd 23 3 3 2 13" xfId="27950"/>
    <cellStyle name="asd 23 3 3 2 14" xfId="29508"/>
    <cellStyle name="asd 23 3 3 2 15" xfId="31530"/>
    <cellStyle name="asd 23 3 3 2 16" xfId="32302"/>
    <cellStyle name="asd 23 3 3 2 17" xfId="34125"/>
    <cellStyle name="asd 23 3 3 2 18" xfId="36686"/>
    <cellStyle name="asd 23 3 3 2 19" xfId="38565"/>
    <cellStyle name="asd 23 3 3 2 2" xfId="7256"/>
    <cellStyle name="asd 23 3 3 2 20" xfId="39521"/>
    <cellStyle name="asd 23 3 3 2 21" xfId="41195"/>
    <cellStyle name="asd 23 3 3 2 22" xfId="42986"/>
    <cellStyle name="asd 23 3 3 2 3" xfId="8710"/>
    <cellStyle name="asd 23 3 3 2 4" xfId="10620"/>
    <cellStyle name="asd 23 3 3 2 5" xfId="11078"/>
    <cellStyle name="asd 23 3 3 2 6" xfId="13680"/>
    <cellStyle name="asd 23 3 3 2 7" xfId="15582"/>
    <cellStyle name="asd 23 3 3 2 8" xfId="18239"/>
    <cellStyle name="asd 23 3 3 2 9" xfId="20145"/>
    <cellStyle name="asd 23 3 3 20" xfId="37957"/>
    <cellStyle name="asd 23 3 3 21" xfId="36958"/>
    <cellStyle name="asd 23 3 3 22" xfId="34382"/>
    <cellStyle name="asd 23 3 3 23" xfId="43889"/>
    <cellStyle name="asd 23 3 3 3" xfId="5201"/>
    <cellStyle name="asd 23 3 3 4" xfId="8102"/>
    <cellStyle name="asd 23 3 3 5" xfId="10012"/>
    <cellStyle name="asd 23 3 3 6" xfId="12106"/>
    <cellStyle name="asd 23 3 3 7" xfId="14617"/>
    <cellStyle name="asd 23 3 3 8" xfId="16523"/>
    <cellStyle name="asd 23 3 3 9" xfId="17631"/>
    <cellStyle name="asd 23 3 4" xfId="4024"/>
    <cellStyle name="asd 23 3 4 10" xfId="19659"/>
    <cellStyle name="asd 23 3 4 11" xfId="21571"/>
    <cellStyle name="asd 23 3 4 12" xfId="23855"/>
    <cellStyle name="asd 23 3 4 13" xfId="25373"/>
    <cellStyle name="asd 23 3 4 14" xfId="26598"/>
    <cellStyle name="asd 23 3 4 15" xfId="29089"/>
    <cellStyle name="asd 23 3 4 16" xfId="30200"/>
    <cellStyle name="asd 23 3 4 17" xfId="32839"/>
    <cellStyle name="asd 23 3 4 18" xfId="35003"/>
    <cellStyle name="asd 23 3 4 19" xfId="36200"/>
    <cellStyle name="asd 23 3 4 2" xfId="5929"/>
    <cellStyle name="asd 23 3 4 2 10" xfId="22179"/>
    <cellStyle name="asd 23 3 4 2 11" xfId="23886"/>
    <cellStyle name="asd 23 3 4 2 12" xfId="25981"/>
    <cellStyle name="asd 23 3 4 2 13" xfId="26458"/>
    <cellStyle name="asd 23 3 4 2 14" xfId="14696"/>
    <cellStyle name="asd 23 3 4 2 15" xfId="30064"/>
    <cellStyle name="asd 23 3 4 2 16" xfId="32286"/>
    <cellStyle name="asd 23 3 4 2 17" xfId="33762"/>
    <cellStyle name="asd 23 3 4 2 18" xfId="36808"/>
    <cellStyle name="asd 23 3 4 2 19" xfId="38687"/>
    <cellStyle name="asd 23 3 4 2 2" xfId="7378"/>
    <cellStyle name="asd 23 3 4 2 20" xfId="39506"/>
    <cellStyle name="asd 23 3 4 2 21" xfId="41180"/>
    <cellStyle name="asd 23 3 4 2 22" xfId="43636"/>
    <cellStyle name="asd 23 3 4 2 3" xfId="8832"/>
    <cellStyle name="asd 23 3 4 2 4" xfId="10742"/>
    <cellStyle name="asd 23 3 4 2 5" xfId="11803"/>
    <cellStyle name="asd 23 3 4 2 6" xfId="14356"/>
    <cellStyle name="asd 23 3 4 2 7" xfId="16261"/>
    <cellStyle name="asd 23 3 4 2 8" xfId="18361"/>
    <cellStyle name="asd 23 3 4 2 9" xfId="20267"/>
    <cellStyle name="asd 23 3 4 20" xfId="38079"/>
    <cellStyle name="asd 23 3 4 21" xfId="40046"/>
    <cellStyle name="asd 23 3 4 22" xfId="41710"/>
    <cellStyle name="asd 23 3 4 23" xfId="43606"/>
    <cellStyle name="asd 23 3 4 3" xfId="6770"/>
    <cellStyle name="asd 23 3 4 4" xfId="8224"/>
    <cellStyle name="asd 23 3 4 5" xfId="10134"/>
    <cellStyle name="asd 23 3 4 6" xfId="12707"/>
    <cellStyle name="asd 23 3 4 7" xfId="14325"/>
    <cellStyle name="asd 23 3 4 8" xfId="16229"/>
    <cellStyle name="asd 23 3 4 9" xfId="17753"/>
    <cellStyle name="asd 23 3 5" xfId="4892"/>
    <cellStyle name="asd 23 3 5 10" xfId="21140"/>
    <cellStyle name="asd 23 3 5 11" xfId="22684"/>
    <cellStyle name="asd 23 3 5 12" xfId="24942"/>
    <cellStyle name="asd 23 3 5 13" xfId="26761"/>
    <cellStyle name="asd 23 3 5 14" xfId="29109"/>
    <cellStyle name="asd 23 3 5 15" xfId="30360"/>
    <cellStyle name="asd 23 3 5 16" xfId="33095"/>
    <cellStyle name="asd 23 3 5 17" xfId="33889"/>
    <cellStyle name="asd 23 3 5 18" xfId="35769"/>
    <cellStyle name="asd 23 3 5 19" xfId="37648"/>
    <cellStyle name="asd 23 3 5 2" xfId="6342"/>
    <cellStyle name="asd 23 3 5 20" xfId="40291"/>
    <cellStyle name="asd 23 3 5 21" xfId="41947"/>
    <cellStyle name="asd 23 3 5 22" xfId="42487"/>
    <cellStyle name="asd 23 3 5 3" xfId="7793"/>
    <cellStyle name="asd 23 3 5 4" xfId="9703"/>
    <cellStyle name="asd 23 3 5 5" xfId="11553"/>
    <cellStyle name="asd 23 3 5 6" xfId="13151"/>
    <cellStyle name="asd 23 3 5 7" xfId="15056"/>
    <cellStyle name="asd 23 3 5 8" xfId="17322"/>
    <cellStyle name="asd 23 3 5 9" xfId="19228"/>
    <cellStyle name="asd 23 3 6" xfId="4328"/>
    <cellStyle name="asd 23 3 6 10" xfId="20584"/>
    <cellStyle name="asd 23 3 6 11" xfId="23521"/>
    <cellStyle name="asd 23 3 6 12" xfId="24386"/>
    <cellStyle name="asd 23 3 6 13" xfId="27390"/>
    <cellStyle name="asd 23 3 6 14" xfId="29052"/>
    <cellStyle name="asd 23 3 6 15" xfId="30976"/>
    <cellStyle name="asd 23 3 6 16" xfId="32623"/>
    <cellStyle name="asd 23 3 6 17" xfId="34343"/>
    <cellStyle name="asd 23 3 6 18" xfId="35214"/>
    <cellStyle name="asd 23 3 6 19" xfId="37092"/>
    <cellStyle name="asd 23 3 6 2" xfId="3039"/>
    <cellStyle name="asd 23 3 6 20" xfId="39833"/>
    <cellStyle name="asd 23 3 6 21" xfId="41502"/>
    <cellStyle name="asd 23 3 6 22" xfId="43286"/>
    <cellStyle name="asd 23 3 6 3" xfId="1792"/>
    <cellStyle name="asd 23 3 6 4" xfId="9146"/>
    <cellStyle name="asd 23 3 6 5" xfId="12556"/>
    <cellStyle name="asd 23 3 6 6" xfId="13993"/>
    <cellStyle name="asd 23 3 6 7" xfId="15894"/>
    <cellStyle name="asd 23 3 6 8" xfId="16765"/>
    <cellStyle name="asd 23 3 6 9" xfId="18672"/>
    <cellStyle name="asd 23 3 7" xfId="6714"/>
    <cellStyle name="asd 23 3 8" xfId="9107"/>
    <cellStyle name="asd 23 3 9" xfId="11502"/>
    <cellStyle name="asd 23 4" xfId="3417"/>
    <cellStyle name="asd 23 4 10" xfId="15678"/>
    <cellStyle name="asd 23 4 11" xfId="16787"/>
    <cellStyle name="asd 23 4 12" xfId="18694"/>
    <cellStyle name="asd 23 4 13" xfId="20606"/>
    <cellStyle name="asd 23 4 14" xfId="23304"/>
    <cellStyle name="asd 23 4 15" xfId="24408"/>
    <cellStyle name="asd 23 4 16" xfId="26532"/>
    <cellStyle name="asd 23 4 17" xfId="2316"/>
    <cellStyle name="asd 23 4 18" xfId="30138"/>
    <cellStyle name="asd 23 4 19" xfId="32709"/>
    <cellStyle name="asd 23 4 2" xfId="3597"/>
    <cellStyle name="asd 23 4 2 10" xfId="17488"/>
    <cellStyle name="asd 23 4 2 11" xfId="19394"/>
    <cellStyle name="asd 23 4 2 12" xfId="21306"/>
    <cellStyle name="asd 23 4 2 13" xfId="22870"/>
    <cellStyle name="asd 23 4 2 14" xfId="25108"/>
    <cellStyle name="asd 23 4 2 15" xfId="27133"/>
    <cellStyle name="asd 23 4 2 16" xfId="29708"/>
    <cellStyle name="asd 23 4 2 17" xfId="30724"/>
    <cellStyle name="asd 23 4 2 18" xfId="32678"/>
    <cellStyle name="asd 23 4 2 19" xfId="33882"/>
    <cellStyle name="asd 23 4 2 2" xfId="5516"/>
    <cellStyle name="asd 23 4 2 2 10" xfId="21766"/>
    <cellStyle name="asd 23 4 2 2 11" xfId="22874"/>
    <cellStyle name="asd 23 4 2 2 12" xfId="25568"/>
    <cellStyle name="asd 23 4 2 2 13" xfId="2177"/>
    <cellStyle name="asd 23 4 2 2 14" xfId="27996"/>
    <cellStyle name="asd 23 4 2 2 15" xfId="29056"/>
    <cellStyle name="asd 23 4 2 2 16" xfId="28880"/>
    <cellStyle name="asd 23 4 2 2 17" xfId="24217"/>
    <cellStyle name="asd 23 4 2 2 18" xfId="36395"/>
    <cellStyle name="asd 23 4 2 2 19" xfId="38274"/>
    <cellStyle name="asd 23 4 2 2 2" xfId="6965"/>
    <cellStyle name="asd 23 4 2 2 20" xfId="36946"/>
    <cellStyle name="asd 23 4 2 2 21" xfId="33319"/>
    <cellStyle name="asd 23 4 2 2 22" xfId="42661"/>
    <cellStyle name="asd 23 4 2 2 3" xfId="8419"/>
    <cellStyle name="asd 23 4 2 2 4" xfId="10329"/>
    <cellStyle name="asd 23 4 2 2 5" xfId="11220"/>
    <cellStyle name="asd 23 4 2 2 6" xfId="13342"/>
    <cellStyle name="asd 23 4 2 2 7" xfId="15247"/>
    <cellStyle name="asd 23 4 2 2 8" xfId="17948"/>
    <cellStyle name="asd 23 4 2 2 9" xfId="19854"/>
    <cellStyle name="asd 23 4 2 20" xfId="35935"/>
    <cellStyle name="asd 23 4 2 21" xfId="37814"/>
    <cellStyle name="asd 23 4 2 22" xfId="39886"/>
    <cellStyle name="asd 23 4 2 23" xfId="41555"/>
    <cellStyle name="asd 23 4 2 24" xfId="42657"/>
    <cellStyle name="asd 23 4 2 3" xfId="5058"/>
    <cellStyle name="asd 23 4 2 4" xfId="6508"/>
    <cellStyle name="asd 23 4 2 5" xfId="7959"/>
    <cellStyle name="asd 23 4 2 6" xfId="9869"/>
    <cellStyle name="asd 23 4 2 7" xfId="12430"/>
    <cellStyle name="asd 23 4 2 8" xfId="13338"/>
    <cellStyle name="asd 23 4 2 9" xfId="15243"/>
    <cellStyle name="asd 23 4 20" xfId="34677"/>
    <cellStyle name="asd 23 4 21" xfId="35236"/>
    <cellStyle name="asd 23 4 22" xfId="37114"/>
    <cellStyle name="asd 23 4 23" xfId="39917"/>
    <cellStyle name="asd 23 4 24" xfId="41586"/>
    <cellStyle name="asd 23 4 25" xfId="43076"/>
    <cellStyle name="asd 23 4 3" xfId="3861"/>
    <cellStyle name="asd 23 4 3 10" xfId="19578"/>
    <cellStyle name="asd 23 4 3 11" xfId="21490"/>
    <cellStyle name="asd 23 4 3 12" xfId="23111"/>
    <cellStyle name="asd 23 4 3 13" xfId="25292"/>
    <cellStyle name="asd 23 4 3 14" xfId="27227"/>
    <cellStyle name="asd 23 4 3 15" xfId="28588"/>
    <cellStyle name="asd 23 4 3 16" xfId="30818"/>
    <cellStyle name="asd 23 4 3 17" xfId="33213"/>
    <cellStyle name="asd 23 4 3 18" xfId="34188"/>
    <cellStyle name="asd 23 4 3 19" xfId="36119"/>
    <cellStyle name="asd 23 4 3 2" xfId="5848"/>
    <cellStyle name="asd 23 4 3 2 10" xfId="22098"/>
    <cellStyle name="asd 23 4 3 2 11" xfId="22790"/>
    <cellStyle name="asd 23 4 3 2 12" xfId="25900"/>
    <cellStyle name="asd 23 4 3 2 13" xfId="26548"/>
    <cellStyle name="asd 23 4 3 2 14" xfId="28822"/>
    <cellStyle name="asd 23 4 3 2 15" xfId="30153"/>
    <cellStyle name="asd 23 4 3 2 16" xfId="33132"/>
    <cellStyle name="asd 23 4 3 2 17" xfId="33886"/>
    <cellStyle name="asd 23 4 3 2 18" xfId="36727"/>
    <cellStyle name="asd 23 4 3 2 19" xfId="38606"/>
    <cellStyle name="asd 23 4 3 2 2" xfId="7297"/>
    <cellStyle name="asd 23 4 3 2 20" xfId="40326"/>
    <cellStyle name="asd 23 4 3 2 21" xfId="41982"/>
    <cellStyle name="asd 23 4 3 2 22" xfId="42583"/>
    <cellStyle name="asd 23 4 3 2 3" xfId="8751"/>
    <cellStyle name="asd 23 4 3 2 4" xfId="10661"/>
    <cellStyle name="asd 23 4 3 2 5" xfId="12206"/>
    <cellStyle name="asd 23 4 3 2 6" xfId="13259"/>
    <cellStyle name="asd 23 4 3 2 7" xfId="15163"/>
    <cellStyle name="asd 23 4 3 2 8" xfId="18280"/>
    <cellStyle name="asd 23 4 3 2 9" xfId="20186"/>
    <cellStyle name="asd 23 4 3 20" xfId="37998"/>
    <cellStyle name="asd 23 4 3 21" xfId="40402"/>
    <cellStyle name="asd 23 4 3 22" xfId="42058"/>
    <cellStyle name="asd 23 4 3 23" xfId="42891"/>
    <cellStyle name="asd 23 4 3 3" xfId="5242"/>
    <cellStyle name="asd 23 4 3 4" xfId="8143"/>
    <cellStyle name="asd 23 4 3 5" xfId="10053"/>
    <cellStyle name="asd 23 4 3 6" xfId="12726"/>
    <cellStyle name="asd 23 4 3 7" xfId="13582"/>
    <cellStyle name="asd 23 4 3 8" xfId="15485"/>
    <cellStyle name="asd 23 4 3 9" xfId="17672"/>
    <cellStyle name="asd 23 4 4" xfId="4049"/>
    <cellStyle name="asd 23 4 4 10" xfId="19684"/>
    <cellStyle name="asd 23 4 4 11" xfId="21596"/>
    <cellStyle name="asd 23 4 4 12" xfId="22545"/>
    <cellStyle name="asd 23 4 4 13" xfId="25398"/>
    <cellStyle name="asd 23 4 4 14" xfId="27555"/>
    <cellStyle name="asd 23 4 4 15" xfId="28214"/>
    <cellStyle name="asd 23 4 4 16" xfId="31135"/>
    <cellStyle name="asd 23 4 4 17" xfId="32892"/>
    <cellStyle name="asd 23 4 4 18" xfId="34603"/>
    <cellStyle name="asd 23 4 4 19" xfId="36225"/>
    <cellStyle name="asd 23 4 4 2" xfId="5954"/>
    <cellStyle name="asd 23 4 4 2 10" xfId="22204"/>
    <cellStyle name="asd 23 4 4 2 11" xfId="23266"/>
    <cellStyle name="asd 23 4 4 2 12" xfId="26006"/>
    <cellStyle name="asd 23 4 4 2 13" xfId="2962"/>
    <cellStyle name="asd 23 4 4 2 14" xfId="28022"/>
    <cellStyle name="asd 23 4 4 2 15" xfId="3705"/>
    <cellStyle name="asd 23 4 4 2 16" xfId="4202"/>
    <cellStyle name="asd 23 4 4 2 17" xfId="27358"/>
    <cellStyle name="asd 23 4 4 2 18" xfId="36833"/>
    <cellStyle name="asd 23 4 4 2 19" xfId="38712"/>
    <cellStyle name="asd 23 4 4 2 2" xfId="7403"/>
    <cellStyle name="asd 23 4 4 2 20" xfId="1838"/>
    <cellStyle name="asd 23 4 4 2 21" xfId="32897"/>
    <cellStyle name="asd 23 4 4 2 22" xfId="43042"/>
    <cellStyle name="asd 23 4 4 2 3" xfId="8857"/>
    <cellStyle name="asd 23 4 4 2 4" xfId="10767"/>
    <cellStyle name="asd 23 4 4 2 5" xfId="11201"/>
    <cellStyle name="asd 23 4 4 2 6" xfId="13738"/>
    <cellStyle name="asd 23 4 4 2 7" xfId="15640"/>
    <cellStyle name="asd 23 4 4 2 8" xfId="18386"/>
    <cellStyle name="asd 23 4 4 2 9" xfId="20292"/>
    <cellStyle name="asd 23 4 4 20" xfId="38104"/>
    <cellStyle name="asd 23 4 4 21" xfId="40096"/>
    <cellStyle name="asd 23 4 4 22" xfId="41758"/>
    <cellStyle name="asd 23 4 4 23" xfId="42354"/>
    <cellStyle name="asd 23 4 4 3" xfId="6795"/>
    <cellStyle name="asd 23 4 4 4" xfId="8249"/>
    <cellStyle name="asd 23 4 4 5" xfId="10159"/>
    <cellStyle name="asd 23 4 4 6" xfId="2300"/>
    <cellStyle name="asd 23 4 4 7" xfId="13013"/>
    <cellStyle name="asd 23 4 4 8" xfId="14917"/>
    <cellStyle name="asd 23 4 4 9" xfId="17778"/>
    <cellStyle name="asd 23 4 5" xfId="5640"/>
    <cellStyle name="asd 23 4 5 10" xfId="21890"/>
    <cellStyle name="asd 23 4 5 11" xfId="23391"/>
    <cellStyle name="asd 23 4 5 12" xfId="25692"/>
    <cellStyle name="asd 23 4 5 13" xfId="27936"/>
    <cellStyle name="asd 23 4 5 14" xfId="28982"/>
    <cellStyle name="asd 23 4 5 15" xfId="31517"/>
    <cellStyle name="asd 23 4 5 16" xfId="33167"/>
    <cellStyle name="asd 23 4 5 17" xfId="33562"/>
    <cellStyle name="asd 23 4 5 18" xfId="36519"/>
    <cellStyle name="asd 23 4 5 19" xfId="38398"/>
    <cellStyle name="asd 23 4 5 2" xfId="7089"/>
    <cellStyle name="asd 23 4 5 20" xfId="40359"/>
    <cellStyle name="asd 23 4 5 21" xfId="42015"/>
    <cellStyle name="asd 23 4 5 22" xfId="43158"/>
    <cellStyle name="asd 23 4 5 3" xfId="8543"/>
    <cellStyle name="asd 23 4 5 4" xfId="10453"/>
    <cellStyle name="asd 23 4 5 5" xfId="11596"/>
    <cellStyle name="asd 23 4 5 6" xfId="13863"/>
    <cellStyle name="asd 23 4 5 7" xfId="15764"/>
    <cellStyle name="asd 23 4 5 8" xfId="18072"/>
    <cellStyle name="asd 23 4 5 9" xfId="19978"/>
    <cellStyle name="asd 23 4 6" xfId="6218"/>
    <cellStyle name="asd 23 4 7" xfId="9168"/>
    <cellStyle name="asd 23 4 8" xfId="11298"/>
    <cellStyle name="asd 23 4 9" xfId="13776"/>
    <cellStyle name="asd 23 5" xfId="1953"/>
    <cellStyle name="asd 23 5 10" xfId="17086"/>
    <cellStyle name="asd 23 5 11" xfId="18992"/>
    <cellStyle name="asd 23 5 12" xfId="20904"/>
    <cellStyle name="asd 23 5 13" xfId="2494"/>
    <cellStyle name="asd 23 5 14" xfId="24706"/>
    <cellStyle name="asd 23 5 15" xfId="26121"/>
    <cellStyle name="asd 23 5 16" xfId="28040"/>
    <cellStyle name="asd 23 5 17" xfId="29733"/>
    <cellStyle name="asd 23 5 18" xfId="2842"/>
    <cellStyle name="asd 23 5 19" xfId="30915"/>
    <cellStyle name="asd 23 5 2" xfId="5565"/>
    <cellStyle name="asd 23 5 2 10" xfId="21815"/>
    <cellStyle name="asd 23 5 2 11" xfId="23349"/>
    <cellStyle name="asd 23 5 2 12" xfId="25617"/>
    <cellStyle name="asd 23 5 2 13" xfId="27920"/>
    <cellStyle name="asd 23 5 2 14" xfId="26492"/>
    <cellStyle name="asd 23 5 2 15" xfId="31502"/>
    <cellStyle name="asd 23 5 2 16" xfId="32612"/>
    <cellStyle name="asd 23 5 2 17" xfId="30388"/>
    <cellStyle name="asd 23 5 2 18" xfId="36444"/>
    <cellStyle name="asd 23 5 2 19" xfId="38323"/>
    <cellStyle name="asd 23 5 2 2" xfId="7014"/>
    <cellStyle name="asd 23 5 2 20" xfId="39822"/>
    <cellStyle name="asd 23 5 2 21" xfId="41491"/>
    <cellStyle name="asd 23 5 2 22" xfId="43119"/>
    <cellStyle name="asd 23 5 2 3" xfId="8468"/>
    <cellStyle name="asd 23 5 2 4" xfId="10378"/>
    <cellStyle name="asd 23 5 2 5" xfId="11145"/>
    <cellStyle name="asd 23 5 2 6" xfId="13821"/>
    <cellStyle name="asd 23 5 2 7" xfId="15723"/>
    <cellStyle name="asd 23 5 2 8" xfId="17997"/>
    <cellStyle name="asd 23 5 2 9" xfId="19903"/>
    <cellStyle name="asd 23 5 20" xfId="35533"/>
    <cellStyle name="asd 23 5 21" xfId="37412"/>
    <cellStyle name="asd 23 5 22" xfId="33664"/>
    <cellStyle name="asd 23 5 23" xfId="2159"/>
    <cellStyle name="asd 23 5 24" xfId="41454"/>
    <cellStyle name="asd 23 5 3" xfId="4660"/>
    <cellStyle name="asd 23 5 4" xfId="6106"/>
    <cellStyle name="asd 23 5 5" xfId="7557"/>
    <cellStyle name="asd 23 5 6" xfId="9467"/>
    <cellStyle name="asd 23 5 7" xfId="12294"/>
    <cellStyle name="asd 23 5 8" xfId="11167"/>
    <cellStyle name="asd 23 5 9" xfId="13726"/>
    <cellStyle name="asd 23 6" xfId="3058"/>
    <cellStyle name="asd 23 6 10" xfId="19150"/>
    <cellStyle name="asd 23 6 11" xfId="21062"/>
    <cellStyle name="asd 23 6 12" xfId="24132"/>
    <cellStyle name="asd 23 6 13" xfId="24864"/>
    <cellStyle name="asd 23 6 14" xfId="27028"/>
    <cellStyle name="asd 23 6 15" xfId="2262"/>
    <cellStyle name="asd 23 6 16" xfId="30621"/>
    <cellStyle name="asd 23 6 17" xfId="2211"/>
    <cellStyle name="asd 23 6 18" xfId="3013"/>
    <cellStyle name="asd 23 6 19" xfId="35691"/>
    <cellStyle name="asd 23 6 2" xfId="5532"/>
    <cellStyle name="asd 23 6 2 10" xfId="21782"/>
    <cellStyle name="asd 23 6 2 11" xfId="23430"/>
    <cellStyle name="asd 23 6 2 12" xfId="25584"/>
    <cellStyle name="asd 23 6 2 13" xfId="26290"/>
    <cellStyle name="asd 23 6 2 14" xfId="29699"/>
    <cellStyle name="asd 23 6 2 15" xfId="29899"/>
    <cellStyle name="asd 23 6 2 16" xfId="32573"/>
    <cellStyle name="asd 23 6 2 17" xfId="33625"/>
    <cellStyle name="asd 23 6 2 18" xfId="36411"/>
    <cellStyle name="asd 23 6 2 19" xfId="38290"/>
    <cellStyle name="asd 23 6 2 2" xfId="6981"/>
    <cellStyle name="asd 23 6 2 20" xfId="39783"/>
    <cellStyle name="asd 23 6 2 21" xfId="41453"/>
    <cellStyle name="asd 23 6 2 22" xfId="43197"/>
    <cellStyle name="asd 23 6 2 3" xfId="8435"/>
    <cellStyle name="asd 23 6 2 4" xfId="10345"/>
    <cellStyle name="asd 23 6 2 5" xfId="12450"/>
    <cellStyle name="asd 23 6 2 6" xfId="13902"/>
    <cellStyle name="asd 23 6 2 7" xfId="15803"/>
    <cellStyle name="asd 23 6 2 8" xfId="17964"/>
    <cellStyle name="asd 23 6 2 9" xfId="19870"/>
    <cellStyle name="asd 23 6 20" xfId="37570"/>
    <cellStyle name="asd 23 6 21" xfId="30036"/>
    <cellStyle name="asd 23 6 22" xfId="35068"/>
    <cellStyle name="asd 23 6 23" xfId="43875"/>
    <cellStyle name="asd 23 6 3" xfId="4814"/>
    <cellStyle name="asd 23 6 4" xfId="7715"/>
    <cellStyle name="asd 23 6 5" xfId="9625"/>
    <cellStyle name="asd 23 6 6" xfId="12092"/>
    <cellStyle name="asd 23 6 7" xfId="14603"/>
    <cellStyle name="asd 23 6 8" xfId="16509"/>
    <cellStyle name="asd 23 6 9" xfId="17244"/>
    <cellStyle name="asd 23 7" xfId="2109"/>
    <cellStyle name="asd 23 7 10" xfId="19019"/>
    <cellStyle name="asd 23 7 11" xfId="20931"/>
    <cellStyle name="asd 23 7 12" xfId="23514"/>
    <cellStyle name="asd 23 7 13" xfId="24733"/>
    <cellStyle name="asd 23 7 14" xfId="27886"/>
    <cellStyle name="asd 23 7 15" xfId="29305"/>
    <cellStyle name="asd 23 7 16" xfId="31467"/>
    <cellStyle name="asd 23 7 17" xfId="32273"/>
    <cellStyle name="asd 23 7 18" xfId="34679"/>
    <cellStyle name="asd 23 7 19" xfId="35560"/>
    <cellStyle name="asd 23 7 2" xfId="4439"/>
    <cellStyle name="asd 23 7 2 10" xfId="20684"/>
    <cellStyle name="asd 23 7 2 11" xfId="24027"/>
    <cellStyle name="asd 23 7 2 12" xfId="24486"/>
    <cellStyle name="asd 23 7 2 13" xfId="26604"/>
    <cellStyle name="asd 23 7 2 14" xfId="28209"/>
    <cellStyle name="asd 23 7 2 15" xfId="30206"/>
    <cellStyle name="asd 23 7 2 16" xfId="32887"/>
    <cellStyle name="asd 23 7 2 17" xfId="33433"/>
    <cellStyle name="asd 23 7 2 18" xfId="35314"/>
    <cellStyle name="asd 23 7 2 19" xfId="37192"/>
    <cellStyle name="asd 23 7 2 2" xfId="4508"/>
    <cellStyle name="asd 23 7 2 20" xfId="40092"/>
    <cellStyle name="asd 23 7 2 21" xfId="41754"/>
    <cellStyle name="asd 23 7 2 22" xfId="43771"/>
    <cellStyle name="asd 23 7 2 3" xfId="5439"/>
    <cellStyle name="asd 23 7 2 4" xfId="9246"/>
    <cellStyle name="asd 23 7 2 5" xfId="11986"/>
    <cellStyle name="asd 23 7 2 6" xfId="14497"/>
    <cellStyle name="asd 23 7 2 7" xfId="16403"/>
    <cellStyle name="asd 23 7 2 8" xfId="16865"/>
    <cellStyle name="asd 23 7 2 9" xfId="18772"/>
    <cellStyle name="asd 23 7 20" xfId="37439"/>
    <cellStyle name="asd 23 7 21" xfId="39491"/>
    <cellStyle name="asd 23 7 22" xfId="41166"/>
    <cellStyle name="asd 23 7 23" xfId="43279"/>
    <cellStyle name="asd 23 7 3" xfId="6133"/>
    <cellStyle name="asd 23 7 4" xfId="7584"/>
    <cellStyle name="asd 23 7 5" xfId="9494"/>
    <cellStyle name="asd 23 7 6" xfId="11083"/>
    <cellStyle name="asd 23 7 7" xfId="13986"/>
    <cellStyle name="asd 23 7 8" xfId="15887"/>
    <cellStyle name="asd 23 7 9" xfId="17113"/>
    <cellStyle name="asd 23 8" xfId="3927"/>
    <cellStyle name="asd 23 9" xfId="4317"/>
    <cellStyle name="asd 24" xfId="854"/>
    <cellStyle name="asd 24 10" xfId="2542"/>
    <cellStyle name="asd 24 11" xfId="12812"/>
    <cellStyle name="asd 24 12" xfId="14716"/>
    <cellStyle name="asd 24 13" xfId="14581"/>
    <cellStyle name="asd 24 14" xfId="2026"/>
    <cellStyle name="asd 24 15" xfId="3086"/>
    <cellStyle name="asd 24 16" xfId="22347"/>
    <cellStyle name="asd 24 17" xfId="18532"/>
    <cellStyle name="asd 24 18" xfId="8999"/>
    <cellStyle name="asd 24 19" xfId="28821"/>
    <cellStyle name="asd 24 2" xfId="3453"/>
    <cellStyle name="asd 24 2 10" xfId="13209"/>
    <cellStyle name="asd 24 2 11" xfId="15112"/>
    <cellStyle name="asd 24 2 12" xfId="16846"/>
    <cellStyle name="asd 24 2 13" xfId="18753"/>
    <cellStyle name="asd 24 2 14" xfId="20665"/>
    <cellStyle name="asd 24 2 15" xfId="22740"/>
    <cellStyle name="asd 24 2 16" xfId="24467"/>
    <cellStyle name="asd 24 2 17" xfId="27149"/>
    <cellStyle name="asd 24 2 18" xfId="12788"/>
    <cellStyle name="asd 24 2 19" xfId="30740"/>
    <cellStyle name="asd 24 2 2" xfId="3633"/>
    <cellStyle name="asd 24 2 2 10" xfId="17524"/>
    <cellStyle name="asd 24 2 2 11" xfId="19430"/>
    <cellStyle name="asd 24 2 2 12" xfId="21342"/>
    <cellStyle name="asd 24 2 2 13" xfId="23578"/>
    <cellStyle name="asd 24 2 2 14" xfId="25144"/>
    <cellStyle name="asd 24 2 2 15" xfId="27559"/>
    <cellStyle name="asd 24 2 2 16" xfId="29696"/>
    <cellStyle name="asd 24 2 2 17" xfId="31139"/>
    <cellStyle name="asd 24 2 2 18" xfId="32318"/>
    <cellStyle name="asd 24 2 2 19" xfId="34749"/>
    <cellStyle name="asd 24 2 2 2" xfId="4587"/>
    <cellStyle name="asd 24 2 2 2 10" xfId="20832"/>
    <cellStyle name="asd 24 2 2 2 11" xfId="24138"/>
    <cellStyle name="asd 24 2 2 2 12" xfId="24634"/>
    <cellStyle name="asd 24 2 2 2 13" xfId="27396"/>
    <cellStyle name="asd 24 2 2 2 14" xfId="28454"/>
    <cellStyle name="asd 24 2 2 2 15" xfId="30982"/>
    <cellStyle name="asd 24 2 2 2 16" xfId="31814"/>
    <cellStyle name="asd 24 2 2 2 17" xfId="34711"/>
    <cellStyle name="asd 24 2 2 2 18" xfId="35462"/>
    <cellStyle name="asd 24 2 2 2 19" xfId="37340"/>
    <cellStyle name="asd 24 2 2 2 2" xfId="3945"/>
    <cellStyle name="asd 24 2 2 2 20" xfId="39052"/>
    <cellStyle name="asd 24 2 2 2 21" xfId="40734"/>
    <cellStyle name="asd 24 2 2 2 22" xfId="43881"/>
    <cellStyle name="asd 24 2 2 2 3" xfId="4580"/>
    <cellStyle name="asd 24 2 2 2 4" xfId="9394"/>
    <cellStyle name="asd 24 2 2 2 5" xfId="12098"/>
    <cellStyle name="asd 24 2 2 2 6" xfId="14609"/>
    <cellStyle name="asd 24 2 2 2 7" xfId="16515"/>
    <cellStyle name="asd 24 2 2 2 8" xfId="17013"/>
    <cellStyle name="asd 24 2 2 2 9" xfId="18920"/>
    <cellStyle name="asd 24 2 2 20" xfId="35971"/>
    <cellStyle name="asd 24 2 2 21" xfId="37850"/>
    <cellStyle name="asd 24 2 2 22" xfId="39537"/>
    <cellStyle name="asd 24 2 2 23" xfId="41211"/>
    <cellStyle name="asd 24 2 2 24" xfId="43340"/>
    <cellStyle name="asd 24 2 2 3" xfId="5094"/>
    <cellStyle name="asd 24 2 2 4" xfId="6544"/>
    <cellStyle name="asd 24 2 2 5" xfId="7995"/>
    <cellStyle name="asd 24 2 2 6" xfId="9905"/>
    <cellStyle name="asd 24 2 2 7" xfId="11708"/>
    <cellStyle name="asd 24 2 2 8" xfId="14050"/>
    <cellStyle name="asd 24 2 2 9" xfId="15951"/>
    <cellStyle name="asd 24 2 20" xfId="32245"/>
    <cellStyle name="asd 24 2 21" xfId="28898"/>
    <cellStyle name="asd 24 2 22" xfId="35295"/>
    <cellStyle name="asd 24 2 23" xfId="37173"/>
    <cellStyle name="asd 24 2 24" xfId="39463"/>
    <cellStyle name="asd 24 2 25" xfId="41138"/>
    <cellStyle name="asd 24 2 26" xfId="42538"/>
    <cellStyle name="asd 24 2 3" xfId="3891"/>
    <cellStyle name="asd 24 2 3 10" xfId="19599"/>
    <cellStyle name="asd 24 2 3 11" xfId="21511"/>
    <cellStyle name="asd 24 2 3 12" xfId="23220"/>
    <cellStyle name="asd 24 2 3 13" xfId="25313"/>
    <cellStyle name="asd 24 2 3 14" xfId="27216"/>
    <cellStyle name="asd 24 2 3 15" xfId="28961"/>
    <cellStyle name="asd 24 2 3 16" xfId="30807"/>
    <cellStyle name="asd 24 2 3 17" xfId="31754"/>
    <cellStyle name="asd 24 2 3 18" xfId="34099"/>
    <cellStyle name="asd 24 2 3 19" xfId="36140"/>
    <cellStyle name="asd 24 2 3 2" xfId="5869"/>
    <cellStyle name="asd 24 2 3 2 10" xfId="22119"/>
    <cellStyle name="asd 24 2 3 2 11" xfId="23531"/>
    <cellStyle name="asd 24 2 3 2 12" xfId="25921"/>
    <cellStyle name="asd 24 2 3 2 13" xfId="26170"/>
    <cellStyle name="asd 24 2 3 2 14" xfId="28591"/>
    <cellStyle name="asd 24 2 3 2 15" xfId="29784"/>
    <cellStyle name="asd 24 2 3 2 16" xfId="33029"/>
    <cellStyle name="asd 24 2 3 2 17" xfId="33548"/>
    <cellStyle name="asd 24 2 3 2 18" xfId="36748"/>
    <cellStyle name="asd 24 2 3 2 19" xfId="38627"/>
    <cellStyle name="asd 24 2 3 2 2" xfId="7318"/>
    <cellStyle name="asd 24 2 3 2 20" xfId="40229"/>
    <cellStyle name="asd 24 2 3 2 21" xfId="41888"/>
    <cellStyle name="asd 24 2 3 2 22" xfId="43296"/>
    <cellStyle name="asd 24 2 3 2 3" xfId="8772"/>
    <cellStyle name="asd 24 2 3 2 4" xfId="10682"/>
    <cellStyle name="asd 24 2 3 2 5" xfId="12525"/>
    <cellStyle name="asd 24 2 3 2 6" xfId="14003"/>
    <cellStyle name="asd 24 2 3 2 7" xfId="15904"/>
    <cellStyle name="asd 24 2 3 2 8" xfId="18301"/>
    <cellStyle name="asd 24 2 3 2 9" xfId="20207"/>
    <cellStyle name="asd 24 2 3 20" xfId="38019"/>
    <cellStyle name="asd 24 2 3 21" xfId="38994"/>
    <cellStyle name="asd 24 2 3 22" xfId="40677"/>
    <cellStyle name="asd 24 2 3 23" xfId="42997"/>
    <cellStyle name="asd 24 2 3 3" xfId="5263"/>
    <cellStyle name="asd 24 2 3 4" xfId="8164"/>
    <cellStyle name="asd 24 2 3 5" xfId="10074"/>
    <cellStyle name="asd 24 2 3 6" xfId="11097"/>
    <cellStyle name="asd 24 2 3 7" xfId="13692"/>
    <cellStyle name="asd 24 2 3 8" xfId="15594"/>
    <cellStyle name="asd 24 2 3 9" xfId="17693"/>
    <cellStyle name="asd 24 2 4" xfId="4085"/>
    <cellStyle name="asd 24 2 4 10" xfId="19720"/>
    <cellStyle name="asd 24 2 4 11" xfId="21632"/>
    <cellStyle name="asd 24 2 4 12" xfId="22869"/>
    <cellStyle name="asd 24 2 4 13" xfId="25434"/>
    <cellStyle name="asd 24 2 4 14" xfId="27725"/>
    <cellStyle name="asd 24 2 4 15" xfId="28997"/>
    <cellStyle name="asd 24 2 4 16" xfId="31303"/>
    <cellStyle name="asd 24 2 4 17" xfId="31920"/>
    <cellStyle name="asd 24 2 4 18" xfId="33627"/>
    <cellStyle name="asd 24 2 4 19" xfId="36261"/>
    <cellStyle name="asd 24 2 4 2" xfId="5990"/>
    <cellStyle name="asd 24 2 4 2 10" xfId="22240"/>
    <cellStyle name="asd 24 2 4 2 11" xfId="23044"/>
    <cellStyle name="asd 24 2 4 2 12" xfId="26042"/>
    <cellStyle name="asd 24 2 4 2 13" xfId="27439"/>
    <cellStyle name="asd 24 2 4 2 14" xfId="28702"/>
    <cellStyle name="asd 24 2 4 2 15" xfId="31025"/>
    <cellStyle name="asd 24 2 4 2 16" xfId="32325"/>
    <cellStyle name="asd 24 2 4 2 17" xfId="33665"/>
    <cellStyle name="asd 24 2 4 2 18" xfId="36869"/>
    <cellStyle name="asd 24 2 4 2 19" xfId="38748"/>
    <cellStyle name="asd 24 2 4 2 2" xfId="7439"/>
    <cellStyle name="asd 24 2 4 2 20" xfId="39544"/>
    <cellStyle name="asd 24 2 4 2 21" xfId="41218"/>
    <cellStyle name="asd 24 2 4 2 22" xfId="42827"/>
    <cellStyle name="asd 24 2 4 2 3" xfId="8893"/>
    <cellStyle name="asd 24 2 4 2 4" xfId="10803"/>
    <cellStyle name="asd 24 2 4 2 5" xfId="12641"/>
    <cellStyle name="asd 24 2 4 2 6" xfId="13514"/>
    <cellStyle name="asd 24 2 4 2 7" xfId="15418"/>
    <cellStyle name="asd 24 2 4 2 8" xfId="18422"/>
    <cellStyle name="asd 24 2 4 2 9" xfId="20328"/>
    <cellStyle name="asd 24 2 4 20" xfId="38140"/>
    <cellStyle name="asd 24 2 4 21" xfId="39151"/>
    <cellStyle name="asd 24 2 4 22" xfId="40832"/>
    <cellStyle name="asd 24 2 4 23" xfId="42656"/>
    <cellStyle name="asd 24 2 4 3" xfId="6831"/>
    <cellStyle name="asd 24 2 4 4" xfId="8285"/>
    <cellStyle name="asd 24 2 4 5" xfId="10195"/>
    <cellStyle name="asd 24 2 4 6" xfId="12325"/>
    <cellStyle name="asd 24 2 4 7" xfId="13337"/>
    <cellStyle name="asd 24 2 4 8" xfId="15242"/>
    <cellStyle name="asd 24 2 4 9" xfId="17814"/>
    <cellStyle name="asd 24 2 5" xfId="4939"/>
    <cellStyle name="asd 24 2 5 10" xfId="21187"/>
    <cellStyle name="asd 24 2 5 11" xfId="22743"/>
    <cellStyle name="asd 24 2 5 12" xfId="24989"/>
    <cellStyle name="asd 24 2 5 13" xfId="26376"/>
    <cellStyle name="asd 24 2 5 14" xfId="28913"/>
    <cellStyle name="asd 24 2 5 15" xfId="29984"/>
    <cellStyle name="asd 24 2 5 16" xfId="32345"/>
    <cellStyle name="asd 24 2 5 17" xfId="33851"/>
    <cellStyle name="asd 24 2 5 18" xfId="35816"/>
    <cellStyle name="asd 24 2 5 19" xfId="37695"/>
    <cellStyle name="asd 24 2 5 2" xfId="6389"/>
    <cellStyle name="asd 24 2 5 20" xfId="39564"/>
    <cellStyle name="asd 24 2 5 21" xfId="41238"/>
    <cellStyle name="asd 24 2 5 22" xfId="42541"/>
    <cellStyle name="asd 24 2 5 3" xfId="7840"/>
    <cellStyle name="asd 24 2 5 4" xfId="9750"/>
    <cellStyle name="asd 24 2 5 5" xfId="11556"/>
    <cellStyle name="asd 24 2 5 6" xfId="13212"/>
    <cellStyle name="asd 24 2 5 7" xfId="15115"/>
    <cellStyle name="asd 24 2 5 8" xfId="17369"/>
    <cellStyle name="asd 24 2 5 9" xfId="19275"/>
    <cellStyle name="asd 24 2 6" xfId="4420"/>
    <cellStyle name="asd 24 2 6 10" xfId="20664"/>
    <cellStyle name="asd 24 2 6 11" xfId="22585"/>
    <cellStyle name="asd 24 2 6 12" xfId="24466"/>
    <cellStyle name="asd 24 2 6 13" xfId="27108"/>
    <cellStyle name="asd 24 2 6 14" xfId="28349"/>
    <cellStyle name="asd 24 2 6 15" xfId="30699"/>
    <cellStyle name="asd 24 2 6 16" xfId="32235"/>
    <cellStyle name="asd 24 2 6 17" xfId="33488"/>
    <cellStyle name="asd 24 2 6 18" xfId="35294"/>
    <cellStyle name="asd 24 2 6 19" xfId="37172"/>
    <cellStyle name="asd 24 2 6 2" xfId="4446"/>
    <cellStyle name="asd 24 2 6 20" xfId="39454"/>
    <cellStyle name="asd 24 2 6 21" xfId="41129"/>
    <cellStyle name="asd 24 2 6 22" xfId="42394"/>
    <cellStyle name="asd 24 2 6 3" xfId="5353"/>
    <cellStyle name="asd 24 2 6 4" xfId="9226"/>
    <cellStyle name="asd 24 2 6 5" xfId="11305"/>
    <cellStyle name="asd 24 2 6 6" xfId="13053"/>
    <cellStyle name="asd 24 2 6 7" xfId="14957"/>
    <cellStyle name="asd 24 2 6 8" xfId="16845"/>
    <cellStyle name="asd 24 2 6 9" xfId="18752"/>
    <cellStyle name="asd 24 2 7" xfId="6706"/>
    <cellStyle name="asd 24 2 8" xfId="9227"/>
    <cellStyle name="asd 24 2 9" xfId="11585"/>
    <cellStyle name="asd 24 20" xfId="2819"/>
    <cellStyle name="asd 24 21" xfId="28917"/>
    <cellStyle name="asd 24 22" xfId="16036"/>
    <cellStyle name="asd 24 23" xfId="29141"/>
    <cellStyle name="asd 24 24" xfId="29909"/>
    <cellStyle name="asd 24 25" xfId="3526"/>
    <cellStyle name="asd 24 26" xfId="2672"/>
    <cellStyle name="asd 24 27" xfId="42168"/>
    <cellStyle name="asd 24 3" xfId="3448"/>
    <cellStyle name="asd 24 3 10" xfId="13456"/>
    <cellStyle name="asd 24 3 11" xfId="15361"/>
    <cellStyle name="asd 24 3 12" xfId="16833"/>
    <cellStyle name="asd 24 3 13" xfId="18740"/>
    <cellStyle name="asd 24 3 14" xfId="20652"/>
    <cellStyle name="asd 24 3 15" xfId="22987"/>
    <cellStyle name="asd 24 3 16" xfId="24454"/>
    <cellStyle name="asd 24 3 17" xfId="26265"/>
    <cellStyle name="asd 24 3 18" xfId="29108"/>
    <cellStyle name="asd 24 3 19" xfId="29875"/>
    <cellStyle name="asd 24 3 2" xfId="3628"/>
    <cellStyle name="asd 24 3 2 10" xfId="17519"/>
    <cellStyle name="asd 24 3 2 11" xfId="19425"/>
    <cellStyle name="asd 24 3 2 12" xfId="21337"/>
    <cellStyle name="asd 24 3 2 13" xfId="22920"/>
    <cellStyle name="asd 24 3 2 14" xfId="25139"/>
    <cellStyle name="asd 24 3 2 15" xfId="26943"/>
    <cellStyle name="asd 24 3 2 16" xfId="28033"/>
    <cellStyle name="asd 24 3 2 17" xfId="30537"/>
    <cellStyle name="asd 24 3 2 18" xfId="31638"/>
    <cellStyle name="asd 24 3 2 19" xfId="33670"/>
    <cellStyle name="asd 24 3 2 2" xfId="5740"/>
    <cellStyle name="asd 24 3 2 2 10" xfId="21990"/>
    <cellStyle name="asd 24 3 2 2 11" xfId="23911"/>
    <cellStyle name="asd 24 3 2 2 12" xfId="25792"/>
    <cellStyle name="asd 24 3 2 2 13" xfId="27197"/>
    <cellStyle name="asd 24 3 2 2 14" xfId="28513"/>
    <cellStyle name="asd 24 3 2 2 15" xfId="30788"/>
    <cellStyle name="asd 24 3 2 2 16" xfId="32079"/>
    <cellStyle name="asd 24 3 2 2 17" xfId="34940"/>
    <cellStyle name="asd 24 3 2 2 18" xfId="36619"/>
    <cellStyle name="asd 24 3 2 2 19" xfId="38498"/>
    <cellStyle name="asd 24 3 2 2 2" xfId="7189"/>
    <cellStyle name="asd 24 3 2 2 20" xfId="39303"/>
    <cellStyle name="asd 24 3 2 2 21" xfId="40979"/>
    <cellStyle name="asd 24 3 2 2 22" xfId="43657"/>
    <cellStyle name="asd 24 3 2 2 3" xfId="8643"/>
    <cellStyle name="asd 24 3 2 2 4" xfId="10553"/>
    <cellStyle name="asd 24 3 2 2 5" xfId="11870"/>
    <cellStyle name="asd 24 3 2 2 6" xfId="14379"/>
    <cellStyle name="asd 24 3 2 2 7" xfId="16285"/>
    <cellStyle name="asd 24 3 2 2 8" xfId="18172"/>
    <cellStyle name="asd 24 3 2 2 9" xfId="20078"/>
    <cellStyle name="asd 24 3 2 20" xfId="35966"/>
    <cellStyle name="asd 24 3 2 21" xfId="37845"/>
    <cellStyle name="asd 24 3 2 22" xfId="38885"/>
    <cellStyle name="asd 24 3 2 23" xfId="40570"/>
    <cellStyle name="asd 24 3 2 24" xfId="42706"/>
    <cellStyle name="asd 24 3 2 3" xfId="5089"/>
    <cellStyle name="asd 24 3 2 4" xfId="6539"/>
    <cellStyle name="asd 24 3 2 5" xfId="7990"/>
    <cellStyle name="asd 24 3 2 6" xfId="9900"/>
    <cellStyle name="asd 24 3 2 7" xfId="11259"/>
    <cellStyle name="asd 24 3 2 8" xfId="13388"/>
    <cellStyle name="asd 24 3 2 9" xfId="15293"/>
    <cellStyle name="asd 24 3 20" xfId="33120"/>
    <cellStyle name="asd 24 3 21" xfId="34116"/>
    <cellStyle name="asd 24 3 22" xfId="35282"/>
    <cellStyle name="asd 24 3 23" xfId="37160"/>
    <cellStyle name="asd 24 3 24" xfId="40314"/>
    <cellStyle name="asd 24 3 25" xfId="41970"/>
    <cellStyle name="asd 24 3 26" xfId="42773"/>
    <cellStyle name="asd 24 3 3" xfId="3924"/>
    <cellStyle name="asd 24 3 3 10" xfId="19618"/>
    <cellStyle name="asd 24 3 3 11" xfId="21530"/>
    <cellStyle name="asd 24 3 3 12" xfId="22493"/>
    <cellStyle name="asd 24 3 3 13" xfId="25332"/>
    <cellStyle name="asd 24 3 3 14" xfId="27178"/>
    <cellStyle name="asd 24 3 3 15" xfId="28885"/>
    <cellStyle name="asd 24 3 3 16" xfId="30769"/>
    <cellStyle name="asd 24 3 3 17" xfId="31854"/>
    <cellStyle name="asd 24 3 3 18" xfId="33482"/>
    <cellStyle name="asd 24 3 3 19" xfId="36159"/>
    <cellStyle name="asd 24 3 3 2" xfId="5888"/>
    <cellStyle name="asd 24 3 3 2 10" xfId="22138"/>
    <cellStyle name="asd 24 3 3 2 11" xfId="23279"/>
    <cellStyle name="asd 24 3 3 2 12" xfId="25940"/>
    <cellStyle name="asd 24 3 3 2 13" xfId="26983"/>
    <cellStyle name="asd 24 3 3 2 14" xfId="28852"/>
    <cellStyle name="asd 24 3 3 2 15" xfId="30577"/>
    <cellStyle name="asd 24 3 3 2 16" xfId="32893"/>
    <cellStyle name="asd 24 3 3 2 17" xfId="33764"/>
    <cellStyle name="asd 24 3 3 2 18" xfId="36767"/>
    <cellStyle name="asd 24 3 3 2 19" xfId="38646"/>
    <cellStyle name="asd 24 3 3 2 2" xfId="7337"/>
    <cellStyle name="asd 24 3 3 2 20" xfId="40097"/>
    <cellStyle name="asd 24 3 3 2 21" xfId="41759"/>
    <cellStyle name="asd 24 3 3 2 22" xfId="43055"/>
    <cellStyle name="asd 24 3 3 2 3" xfId="8791"/>
    <cellStyle name="asd 24 3 3 2 4" xfId="10701"/>
    <cellStyle name="asd 24 3 3 2 5" xfId="11222"/>
    <cellStyle name="asd 24 3 3 2 6" xfId="13751"/>
    <cellStyle name="asd 24 3 3 2 7" xfId="15653"/>
    <cellStyle name="asd 24 3 3 2 8" xfId="18320"/>
    <cellStyle name="asd 24 3 3 2 9" xfId="20226"/>
    <cellStyle name="asd 24 3 3 20" xfId="38038"/>
    <cellStyle name="asd 24 3 3 21" xfId="39089"/>
    <cellStyle name="asd 24 3 3 22" xfId="40770"/>
    <cellStyle name="asd 24 3 3 23" xfId="42303"/>
    <cellStyle name="asd 24 3 3 3" xfId="5282"/>
    <cellStyle name="asd 24 3 3 4" xfId="8183"/>
    <cellStyle name="asd 24 3 3 5" xfId="10093"/>
    <cellStyle name="asd 24 3 3 6" xfId="9010"/>
    <cellStyle name="asd 24 3 3 7" xfId="12961"/>
    <cellStyle name="asd 24 3 3 8" xfId="14865"/>
    <cellStyle name="asd 24 3 3 9" xfId="17712"/>
    <cellStyle name="asd 24 3 4" xfId="4080"/>
    <cellStyle name="asd 24 3 4 10" xfId="19715"/>
    <cellStyle name="asd 24 3 4 11" xfId="21627"/>
    <cellStyle name="asd 24 3 4 12" xfId="23908"/>
    <cellStyle name="asd 24 3 4 13" xfId="25429"/>
    <cellStyle name="asd 24 3 4 14" xfId="27841"/>
    <cellStyle name="asd 24 3 4 15" xfId="2236"/>
    <cellStyle name="asd 24 3 4 16" xfId="31419"/>
    <cellStyle name="asd 24 3 4 17" xfId="33124"/>
    <cellStyle name="asd 24 3 4 18" xfId="34482"/>
    <cellStyle name="asd 24 3 4 19" xfId="36256"/>
    <cellStyle name="asd 24 3 4 2" xfId="5985"/>
    <cellStyle name="asd 24 3 4 2 10" xfId="22235"/>
    <cellStyle name="asd 24 3 4 2 11" xfId="23362"/>
    <cellStyle name="asd 24 3 4 2 12" xfId="26037"/>
    <cellStyle name="asd 24 3 4 2 13" xfId="27659"/>
    <cellStyle name="asd 24 3 4 2 14" xfId="29690"/>
    <cellStyle name="asd 24 3 4 2 15" xfId="31236"/>
    <cellStyle name="asd 24 3 4 2 16" xfId="33255"/>
    <cellStyle name="asd 24 3 4 2 17" xfId="33500"/>
    <cellStyle name="asd 24 3 4 2 18" xfId="36864"/>
    <cellStyle name="asd 24 3 4 2 19" xfId="38743"/>
    <cellStyle name="asd 24 3 4 2 2" xfId="7434"/>
    <cellStyle name="asd 24 3 4 2 20" xfId="40441"/>
    <cellStyle name="asd 24 3 4 2 21" xfId="42096"/>
    <cellStyle name="asd 24 3 4 2 22" xfId="43132"/>
    <cellStyle name="asd 24 3 4 2 3" xfId="8888"/>
    <cellStyle name="asd 24 3 4 2 4" xfId="10798"/>
    <cellStyle name="asd 24 3 4 2 5" xfId="12176"/>
    <cellStyle name="asd 24 3 4 2 6" xfId="13834"/>
    <cellStyle name="asd 24 3 4 2 7" xfId="15736"/>
    <cellStyle name="asd 24 3 4 2 8" xfId="18417"/>
    <cellStyle name="asd 24 3 4 2 9" xfId="20323"/>
    <cellStyle name="asd 24 3 4 20" xfId="38135"/>
    <cellStyle name="asd 24 3 4 21" xfId="40318"/>
    <cellStyle name="asd 24 3 4 22" xfId="41974"/>
    <cellStyle name="asd 24 3 4 23" xfId="43654"/>
    <cellStyle name="asd 24 3 4 3" xfId="6826"/>
    <cellStyle name="asd 24 3 4 4" xfId="8280"/>
    <cellStyle name="asd 24 3 4 5" xfId="10190"/>
    <cellStyle name="asd 24 3 4 6" xfId="11867"/>
    <cellStyle name="asd 24 3 4 7" xfId="14376"/>
    <cellStyle name="asd 24 3 4 8" xfId="16282"/>
    <cellStyle name="asd 24 3 4 9" xfId="17809"/>
    <cellStyle name="asd 24 3 5" xfId="4935"/>
    <cellStyle name="asd 24 3 5 10" xfId="21183"/>
    <cellStyle name="asd 24 3 5 11" xfId="23787"/>
    <cellStyle name="asd 24 3 5 12" xfId="24985"/>
    <cellStyle name="asd 24 3 5 13" xfId="27282"/>
    <cellStyle name="asd 24 3 5 14" xfId="29596"/>
    <cellStyle name="asd 24 3 5 15" xfId="30874"/>
    <cellStyle name="asd 24 3 5 16" xfId="32424"/>
    <cellStyle name="asd 24 3 5 17" xfId="34952"/>
    <cellStyle name="asd 24 3 5 18" xfId="35812"/>
    <cellStyle name="asd 24 3 5 19" xfId="37691"/>
    <cellStyle name="asd 24 3 5 2" xfId="6385"/>
    <cellStyle name="asd 24 3 5 20" xfId="39641"/>
    <cellStyle name="asd 24 3 5 21" xfId="41315"/>
    <cellStyle name="asd 24 3 5 22" xfId="43540"/>
    <cellStyle name="asd 24 3 5 3" xfId="7836"/>
    <cellStyle name="asd 24 3 5 4" xfId="9746"/>
    <cellStyle name="asd 24 3 5 5" xfId="11683"/>
    <cellStyle name="asd 24 3 5 6" xfId="14257"/>
    <cellStyle name="asd 24 3 5 7" xfId="16161"/>
    <cellStyle name="asd 24 3 5 8" xfId="17365"/>
    <cellStyle name="asd 24 3 5 9" xfId="19271"/>
    <cellStyle name="asd 24 3 6" xfId="4447"/>
    <cellStyle name="asd 24 3 6 10" xfId="20692"/>
    <cellStyle name="asd 24 3 6 11" xfId="23444"/>
    <cellStyle name="asd 24 3 6 12" xfId="24494"/>
    <cellStyle name="asd 24 3 6 13" xfId="26977"/>
    <cellStyle name="asd 24 3 6 14" xfId="2744"/>
    <cellStyle name="asd 24 3 6 15" xfId="30571"/>
    <cellStyle name="asd 24 3 6 16" xfId="31899"/>
    <cellStyle name="asd 24 3 6 17" xfId="34329"/>
    <cellStyle name="asd 24 3 6 18" xfId="35322"/>
    <cellStyle name="asd 24 3 6 19" xfId="37200"/>
    <cellStyle name="asd 24 3 6 2" xfId="2149"/>
    <cellStyle name="asd 24 3 6 20" xfId="39132"/>
    <cellStyle name="asd 24 3 6 21" xfId="40813"/>
    <cellStyle name="asd 24 3 6 22" xfId="43211"/>
    <cellStyle name="asd 24 3 6 3" xfId="4815"/>
    <cellStyle name="asd 24 3 6 4" xfId="9254"/>
    <cellStyle name="asd 24 3 6 5" xfId="12519"/>
    <cellStyle name="asd 24 3 6 6" xfId="13916"/>
    <cellStyle name="asd 24 3 6 7" xfId="15817"/>
    <cellStyle name="asd 24 3 6 8" xfId="16873"/>
    <cellStyle name="asd 24 3 6 9" xfId="18780"/>
    <cellStyle name="asd 24 3 7" xfId="4396"/>
    <cellStyle name="asd 24 3 8" xfId="9214"/>
    <cellStyle name="asd 24 3 9" xfId="11190"/>
    <cellStyle name="asd 24 4" xfId="3376"/>
    <cellStyle name="asd 24 4 10" xfId="2933"/>
    <cellStyle name="asd 24 4 11" xfId="16689"/>
    <cellStyle name="asd 24 4 12" xfId="18596"/>
    <cellStyle name="asd 24 4 13" xfId="20508"/>
    <cellStyle name="asd 24 4 14" xfId="3870"/>
    <cellStyle name="asd 24 4 15" xfId="24310"/>
    <cellStyle name="asd 24 4 16" xfId="12773"/>
    <cellStyle name="asd 24 4 17" xfId="13239"/>
    <cellStyle name="asd 24 4 18" xfId="10884"/>
    <cellStyle name="asd 24 4 19" xfId="22683"/>
    <cellStyle name="asd 24 4 2" xfId="3556"/>
    <cellStyle name="asd 24 4 2 10" xfId="17447"/>
    <cellStyle name="asd 24 4 2 11" xfId="19353"/>
    <cellStyle name="asd 24 4 2 12" xfId="21265"/>
    <cellStyle name="asd 24 4 2 13" xfId="23238"/>
    <cellStyle name="asd 24 4 2 14" xfId="25067"/>
    <cellStyle name="asd 24 4 2 15" xfId="26490"/>
    <cellStyle name="asd 24 4 2 16" xfId="29071"/>
    <cellStyle name="asd 24 4 2 17" xfId="30095"/>
    <cellStyle name="asd 24 4 2 18" xfId="32298"/>
    <cellStyle name="asd 24 4 2 19" xfId="33989"/>
    <cellStyle name="asd 24 4 2 2" xfId="4499"/>
    <cellStyle name="asd 24 4 2 2 10" xfId="20744"/>
    <cellStyle name="asd 24 4 2 2 11" xfId="22787"/>
    <cellStyle name="asd 24 4 2 2 12" xfId="24546"/>
    <cellStyle name="asd 24 4 2 2 13" xfId="26692"/>
    <cellStyle name="asd 24 4 2 2 14" xfId="29321"/>
    <cellStyle name="asd 24 4 2 2 15" xfId="30292"/>
    <cellStyle name="asd 24 4 2 2 16" xfId="32330"/>
    <cellStyle name="asd 24 4 2 2 17" xfId="34291"/>
    <cellStyle name="asd 24 4 2 2 18" xfId="35374"/>
    <cellStyle name="asd 24 4 2 2 19" xfId="37252"/>
    <cellStyle name="asd 24 4 2 2 2" xfId="4326"/>
    <cellStyle name="asd 24 4 2 2 20" xfId="39549"/>
    <cellStyle name="asd 24 4 2 2 21" xfId="41223"/>
    <cellStyle name="asd 24 4 2 2 22" xfId="42580"/>
    <cellStyle name="asd 24 4 2 2 3" xfId="2950"/>
    <cellStyle name="asd 24 4 2 2 4" xfId="9306"/>
    <cellStyle name="asd 24 4 2 2 5" xfId="11113"/>
    <cellStyle name="asd 24 4 2 2 6" xfId="13256"/>
    <cellStyle name="asd 24 4 2 2 7" xfId="15160"/>
    <cellStyle name="asd 24 4 2 2 8" xfId="16925"/>
    <cellStyle name="asd 24 4 2 2 9" xfId="18832"/>
    <cellStyle name="asd 24 4 2 20" xfId="35894"/>
    <cellStyle name="asd 24 4 2 21" xfId="37773"/>
    <cellStyle name="asd 24 4 2 22" xfId="39518"/>
    <cellStyle name="asd 24 4 2 23" xfId="41192"/>
    <cellStyle name="asd 24 4 2 24" xfId="43015"/>
    <cellStyle name="asd 24 4 2 3" xfId="5017"/>
    <cellStyle name="asd 24 4 2 4" xfId="6467"/>
    <cellStyle name="asd 24 4 2 5" xfId="7918"/>
    <cellStyle name="asd 24 4 2 6" xfId="9828"/>
    <cellStyle name="asd 24 4 2 7" xfId="11127"/>
    <cellStyle name="asd 24 4 2 8" xfId="13710"/>
    <cellStyle name="asd 24 4 2 9" xfId="15612"/>
    <cellStyle name="asd 24 4 20" xfId="27983"/>
    <cellStyle name="asd 24 4 21" xfId="35138"/>
    <cellStyle name="asd 24 4 22" xfId="37016"/>
    <cellStyle name="asd 24 4 23" xfId="33646"/>
    <cellStyle name="asd 24 4 24" xfId="31661"/>
    <cellStyle name="asd 24 4 25" xfId="14725"/>
    <cellStyle name="asd 24 4 3" xfId="3775"/>
    <cellStyle name="asd 24 4 3 10" xfId="19514"/>
    <cellStyle name="asd 24 4 3 11" xfId="21426"/>
    <cellStyle name="asd 24 4 3 12" xfId="23480"/>
    <cellStyle name="asd 24 4 3 13" xfId="25228"/>
    <cellStyle name="asd 24 4 3 14" xfId="26887"/>
    <cellStyle name="asd 24 4 3 15" xfId="28637"/>
    <cellStyle name="asd 24 4 3 16" xfId="30484"/>
    <cellStyle name="asd 24 4 3 17" xfId="32878"/>
    <cellStyle name="asd 24 4 3 18" xfId="34445"/>
    <cellStyle name="asd 24 4 3 19" xfId="36055"/>
    <cellStyle name="asd 24 4 3 2" xfId="5784"/>
    <cellStyle name="asd 24 4 3 2 10" xfId="22034"/>
    <cellStyle name="asd 24 4 3 2 11" xfId="24175"/>
    <cellStyle name="asd 24 4 3 2 12" xfId="25836"/>
    <cellStyle name="asd 24 4 3 2 13" xfId="26437"/>
    <cellStyle name="asd 24 4 3 2 14" xfId="28219"/>
    <cellStyle name="asd 24 4 3 2 15" xfId="30043"/>
    <cellStyle name="asd 24 4 3 2 16" xfId="33144"/>
    <cellStyle name="asd 24 4 3 2 17" xfId="34028"/>
    <cellStyle name="asd 24 4 3 2 18" xfId="36663"/>
    <cellStyle name="asd 24 4 3 2 19" xfId="38542"/>
    <cellStyle name="asd 24 4 3 2 2" xfId="7233"/>
    <cellStyle name="asd 24 4 3 2 20" xfId="40337"/>
    <cellStyle name="asd 24 4 3 2 21" xfId="41993"/>
    <cellStyle name="asd 24 4 3 2 22" xfId="43917"/>
    <cellStyle name="asd 24 4 3 2 3" xfId="8687"/>
    <cellStyle name="asd 24 4 3 2 4" xfId="10597"/>
    <cellStyle name="asd 24 4 3 2 5" xfId="12135"/>
    <cellStyle name="asd 24 4 3 2 6" xfId="14646"/>
    <cellStyle name="asd 24 4 3 2 7" xfId="16552"/>
    <cellStyle name="asd 24 4 3 2 8" xfId="18216"/>
    <cellStyle name="asd 24 4 3 2 9" xfId="20122"/>
    <cellStyle name="asd 24 4 3 20" xfId="37934"/>
    <cellStyle name="asd 24 4 3 21" xfId="40083"/>
    <cellStyle name="asd 24 4 3 22" xfId="41746"/>
    <cellStyle name="asd 24 4 3 23" xfId="43246"/>
    <cellStyle name="asd 24 4 3 3" xfId="5178"/>
    <cellStyle name="asd 24 4 3 4" xfId="8079"/>
    <cellStyle name="asd 24 4 3 5" xfId="9989"/>
    <cellStyle name="asd 24 4 3 6" xfId="12560"/>
    <cellStyle name="asd 24 4 3 7" xfId="13952"/>
    <cellStyle name="asd 24 4 3 8" xfId="15853"/>
    <cellStyle name="asd 24 4 3 9" xfId="17608"/>
    <cellStyle name="asd 24 4 4" xfId="4008"/>
    <cellStyle name="asd 24 4 4 10" xfId="19643"/>
    <cellStyle name="asd 24 4 4 11" xfId="21555"/>
    <cellStyle name="asd 24 4 4 12" xfId="23720"/>
    <cellStyle name="asd 24 4 4 13" xfId="25357"/>
    <cellStyle name="asd 24 4 4 14" xfId="27896"/>
    <cellStyle name="asd 24 4 4 15" xfId="28796"/>
    <cellStyle name="asd 24 4 4 16" xfId="31478"/>
    <cellStyle name="asd 24 4 4 17" xfId="31802"/>
    <cellStyle name="asd 24 4 4 18" xfId="34854"/>
    <cellStyle name="asd 24 4 4 19" xfId="36184"/>
    <cellStyle name="asd 24 4 4 2" xfId="5913"/>
    <cellStyle name="asd 24 4 4 2 10" xfId="22163"/>
    <cellStyle name="asd 24 4 4 2 11" xfId="23676"/>
    <cellStyle name="asd 24 4 4 2 12" xfId="25965"/>
    <cellStyle name="asd 24 4 4 2 13" xfId="26396"/>
    <cellStyle name="asd 24 4 4 2 14" xfId="28520"/>
    <cellStyle name="asd 24 4 4 2 15" xfId="30004"/>
    <cellStyle name="asd 24 4 4 2 16" xfId="32625"/>
    <cellStyle name="asd 24 4 4 2 17" xfId="34134"/>
    <cellStyle name="asd 24 4 4 2 18" xfId="36792"/>
    <cellStyle name="asd 24 4 4 2 19" xfId="38671"/>
    <cellStyle name="asd 24 4 4 2 2" xfId="7362"/>
    <cellStyle name="asd 24 4 4 2 20" xfId="39835"/>
    <cellStyle name="asd 24 4 4 2 21" xfId="41504"/>
    <cellStyle name="asd 24 4 4 2 22" xfId="43433"/>
    <cellStyle name="asd 24 4 4 2 3" xfId="8816"/>
    <cellStyle name="asd 24 4 4 2 4" xfId="10726"/>
    <cellStyle name="asd 24 4 4 2 5" xfId="11403"/>
    <cellStyle name="asd 24 4 4 2 6" xfId="14146"/>
    <cellStyle name="asd 24 4 4 2 7" xfId="16050"/>
    <cellStyle name="asd 24 4 4 2 8" xfId="18345"/>
    <cellStyle name="asd 24 4 4 2 9" xfId="20251"/>
    <cellStyle name="asd 24 4 4 20" xfId="38063"/>
    <cellStyle name="asd 24 4 4 21" xfId="39040"/>
    <cellStyle name="asd 24 4 4 22" xfId="40722"/>
    <cellStyle name="asd 24 4 4 23" xfId="43476"/>
    <cellStyle name="asd 24 4 4 3" xfId="6754"/>
    <cellStyle name="asd 24 4 4 4" xfId="8208"/>
    <cellStyle name="asd 24 4 4 5" xfId="10118"/>
    <cellStyle name="asd 24 4 4 6" xfId="11624"/>
    <cellStyle name="asd 24 4 4 7" xfId="14190"/>
    <cellStyle name="asd 24 4 4 8" xfId="16094"/>
    <cellStyle name="asd 24 4 4 9" xfId="17737"/>
    <cellStyle name="asd 24 4 5" xfId="5633"/>
    <cellStyle name="asd 24 4 5 10" xfId="21883"/>
    <cellStyle name="asd 24 4 5 11" xfId="23277"/>
    <cellStyle name="asd 24 4 5 12" xfId="25685"/>
    <cellStyle name="asd 24 4 5 13" xfId="26654"/>
    <cellStyle name="asd 24 4 5 14" xfId="28781"/>
    <cellStyle name="asd 24 4 5 15" xfId="30255"/>
    <cellStyle name="asd 24 4 5 16" xfId="32523"/>
    <cellStyle name="asd 24 4 5 17" xfId="33774"/>
    <cellStyle name="asd 24 4 5 18" xfId="36512"/>
    <cellStyle name="asd 24 4 5 19" xfId="38391"/>
    <cellStyle name="asd 24 4 5 2" xfId="7082"/>
    <cellStyle name="asd 24 4 5 20" xfId="39736"/>
    <cellStyle name="asd 24 4 5 21" xfId="41408"/>
    <cellStyle name="asd 24 4 5 22" xfId="43053"/>
    <cellStyle name="asd 24 4 5 3" xfId="8536"/>
    <cellStyle name="asd 24 4 5 4" xfId="10446"/>
    <cellStyle name="asd 24 4 5 5" xfId="11219"/>
    <cellStyle name="asd 24 4 5 6" xfId="13749"/>
    <cellStyle name="asd 24 4 5 7" xfId="15651"/>
    <cellStyle name="asd 24 4 5 8" xfId="18065"/>
    <cellStyle name="asd 24 4 5 9" xfId="19971"/>
    <cellStyle name="asd 24 4 6" xfId="1951"/>
    <cellStyle name="asd 24 4 7" xfId="9070"/>
    <cellStyle name="asd 24 4 8" xfId="1841"/>
    <cellStyle name="asd 24 4 9" xfId="3948"/>
    <cellStyle name="asd 24 5" xfId="2450"/>
    <cellStyle name="asd 24 5 10" xfId="17163"/>
    <cellStyle name="asd 24 5 11" xfId="19069"/>
    <cellStyle name="asd 24 5 12" xfId="20981"/>
    <cellStyle name="asd 24 5 13" xfId="23348"/>
    <cellStyle name="asd 24 5 14" xfId="24783"/>
    <cellStyle name="asd 24 5 15" xfId="26892"/>
    <cellStyle name="asd 24 5 16" xfId="29489"/>
    <cellStyle name="asd 24 5 17" xfId="30488"/>
    <cellStyle name="asd 24 5 18" xfId="32597"/>
    <cellStyle name="asd 24 5 19" xfId="34471"/>
    <cellStyle name="asd 24 5 2" xfId="4505"/>
    <cellStyle name="asd 24 5 2 10" xfId="20750"/>
    <cellStyle name="asd 24 5 2 11" xfId="23991"/>
    <cellStyle name="asd 24 5 2 12" xfId="24552"/>
    <cellStyle name="asd 24 5 2 13" xfId="27663"/>
    <cellStyle name="asd 24 5 2 14" xfId="28374"/>
    <cellStyle name="asd 24 5 2 15" xfId="31239"/>
    <cellStyle name="asd 24 5 2 16" xfId="31707"/>
    <cellStyle name="asd 24 5 2 17" xfId="34316"/>
    <cellStyle name="asd 24 5 2 18" xfId="35380"/>
    <cellStyle name="asd 24 5 2 19" xfId="37258"/>
    <cellStyle name="asd 24 5 2 2" xfId="4784"/>
    <cellStyle name="asd 24 5 2 20" xfId="38948"/>
    <cellStyle name="asd 24 5 2 21" xfId="40631"/>
    <cellStyle name="asd 24 5 2 22" xfId="43735"/>
    <cellStyle name="asd 24 5 2 3" xfId="6288"/>
    <cellStyle name="asd 24 5 2 4" xfId="9312"/>
    <cellStyle name="asd 24 5 2 5" xfId="11950"/>
    <cellStyle name="asd 24 5 2 6" xfId="14461"/>
    <cellStyle name="asd 24 5 2 7" xfId="16367"/>
    <cellStyle name="asd 24 5 2 8" xfId="16931"/>
    <cellStyle name="asd 24 5 2 9" xfId="18838"/>
    <cellStyle name="asd 24 5 20" xfId="35610"/>
    <cellStyle name="asd 24 5 21" xfId="37489"/>
    <cellStyle name="asd 24 5 22" xfId="39808"/>
    <cellStyle name="asd 24 5 23" xfId="41477"/>
    <cellStyle name="asd 24 5 24" xfId="43118"/>
    <cellStyle name="asd 24 5 3" xfId="4734"/>
    <cellStyle name="asd 24 5 4" xfId="6183"/>
    <cellStyle name="asd 24 5 5" xfId="7634"/>
    <cellStyle name="asd 24 5 6" xfId="9544"/>
    <cellStyle name="asd 24 5 7" xfId="11140"/>
    <cellStyle name="asd 24 5 8" xfId="13820"/>
    <cellStyle name="asd 24 5 9" xfId="15722"/>
    <cellStyle name="asd 24 6" xfId="2358"/>
    <cellStyle name="asd 24 6 10" xfId="19058"/>
    <cellStyle name="asd 24 6 11" xfId="20970"/>
    <cellStyle name="asd 24 6 12" xfId="18504"/>
    <cellStyle name="asd 24 6 13" xfId="24772"/>
    <cellStyle name="asd 24 6 14" xfId="14677"/>
    <cellStyle name="asd 24 6 15" xfId="14689"/>
    <cellStyle name="asd 24 6 16" xfId="29240"/>
    <cellStyle name="asd 24 6 17" xfId="30858"/>
    <cellStyle name="asd 24 6 18" xfId="22346"/>
    <cellStyle name="asd 24 6 19" xfId="35599"/>
    <cellStyle name="asd 24 6 2" xfId="5489"/>
    <cellStyle name="asd 24 6 2 10" xfId="21739"/>
    <cellStyle name="asd 24 6 2 11" xfId="23963"/>
    <cellStyle name="asd 24 6 2 12" xfId="25541"/>
    <cellStyle name="asd 24 6 2 13" xfId="27830"/>
    <cellStyle name="asd 24 6 2 14" xfId="28694"/>
    <cellStyle name="asd 24 6 2 15" xfId="31408"/>
    <cellStyle name="asd 24 6 2 16" xfId="31864"/>
    <cellStyle name="asd 24 6 2 17" xfId="34010"/>
    <cellStyle name="asd 24 6 2 18" xfId="36368"/>
    <cellStyle name="asd 24 6 2 19" xfId="38247"/>
    <cellStyle name="asd 24 6 2 2" xfId="6938"/>
    <cellStyle name="asd 24 6 2 20" xfId="39099"/>
    <cellStyle name="asd 24 6 2 21" xfId="40780"/>
    <cellStyle name="asd 24 6 2 22" xfId="43709"/>
    <cellStyle name="asd 24 6 2 3" xfId="8392"/>
    <cellStyle name="asd 24 6 2 4" xfId="10302"/>
    <cellStyle name="asd 24 6 2 5" xfId="11923"/>
    <cellStyle name="asd 24 6 2 6" xfId="14433"/>
    <cellStyle name="asd 24 6 2 7" xfId="16339"/>
    <cellStyle name="asd 24 6 2 8" xfId="17921"/>
    <cellStyle name="asd 24 6 2 9" xfId="19827"/>
    <cellStyle name="asd 24 6 20" xfId="37478"/>
    <cellStyle name="asd 24 6 21" xfId="1783"/>
    <cellStyle name="asd 24 6 22" xfId="40080"/>
    <cellStyle name="asd 24 6 23" xfId="36943"/>
    <cellStyle name="asd 24 6 3" xfId="4724"/>
    <cellStyle name="asd 24 6 4" xfId="7623"/>
    <cellStyle name="asd 24 6 5" xfId="9533"/>
    <cellStyle name="asd 24 6 6" xfId="10952"/>
    <cellStyle name="asd 24 6 7" xfId="2952"/>
    <cellStyle name="asd 24 6 8" xfId="1874"/>
    <cellStyle name="asd 24 6 9" xfId="17152"/>
    <cellStyle name="asd 24 7" xfId="2208"/>
    <cellStyle name="asd 24 7 10" xfId="19033"/>
    <cellStyle name="asd 24 7 11" xfId="20945"/>
    <cellStyle name="asd 24 7 12" xfId="24052"/>
    <cellStyle name="asd 24 7 13" xfId="24747"/>
    <cellStyle name="asd 24 7 14" xfId="27062"/>
    <cellStyle name="asd 24 7 15" xfId="29554"/>
    <cellStyle name="asd 24 7 16" xfId="30653"/>
    <cellStyle name="asd 24 7 17" xfId="32800"/>
    <cellStyle name="asd 24 7 18" xfId="34396"/>
    <cellStyle name="asd 24 7 19" xfId="35574"/>
    <cellStyle name="asd 24 7 2" xfId="5628"/>
    <cellStyle name="asd 24 7 2 10" xfId="21878"/>
    <cellStyle name="asd 24 7 2 11" xfId="24170"/>
    <cellStyle name="asd 24 7 2 12" xfId="25680"/>
    <cellStyle name="asd 24 7 2 13" xfId="27347"/>
    <cellStyle name="asd 24 7 2 14" xfId="29624"/>
    <cellStyle name="asd 24 7 2 15" xfId="30935"/>
    <cellStyle name="asd 24 7 2 16" xfId="32820"/>
    <cellStyle name="asd 24 7 2 17" xfId="34784"/>
    <cellStyle name="asd 24 7 2 18" xfId="36507"/>
    <cellStyle name="asd 24 7 2 19" xfId="38386"/>
    <cellStyle name="asd 24 7 2 2" xfId="7077"/>
    <cellStyle name="asd 24 7 2 20" xfId="40029"/>
    <cellStyle name="asd 24 7 2 21" xfId="41693"/>
    <cellStyle name="asd 24 7 2 22" xfId="43912"/>
    <cellStyle name="asd 24 7 2 3" xfId="8531"/>
    <cellStyle name="asd 24 7 2 4" xfId="10441"/>
    <cellStyle name="asd 24 7 2 5" xfId="12130"/>
    <cellStyle name="asd 24 7 2 6" xfId="14641"/>
    <cellStyle name="asd 24 7 2 7" xfId="16547"/>
    <cellStyle name="asd 24 7 2 8" xfId="18060"/>
    <cellStyle name="asd 24 7 2 9" xfId="19966"/>
    <cellStyle name="asd 24 7 20" xfId="37453"/>
    <cellStyle name="asd 24 7 21" xfId="40009"/>
    <cellStyle name="asd 24 7 22" xfId="41673"/>
    <cellStyle name="asd 24 7 23" xfId="43796"/>
    <cellStyle name="asd 24 7 3" xfId="6147"/>
    <cellStyle name="asd 24 7 4" xfId="7598"/>
    <cellStyle name="asd 24 7 5" xfId="9508"/>
    <cellStyle name="asd 24 7 6" xfId="12011"/>
    <cellStyle name="asd 24 7 7" xfId="14522"/>
    <cellStyle name="asd 24 7 8" xfId="16428"/>
    <cellStyle name="asd 24 7 9" xfId="17127"/>
    <cellStyle name="asd 24 8" xfId="3292"/>
    <cellStyle name="asd 24 9" xfId="2657"/>
    <cellStyle name="asd 25" xfId="862"/>
    <cellStyle name="asd 25 10" xfId="2127"/>
    <cellStyle name="asd 25 11" xfId="2687"/>
    <cellStyle name="asd 25 12" xfId="2201"/>
    <cellStyle name="asd 25 13" xfId="2578"/>
    <cellStyle name="asd 25 14" xfId="2538"/>
    <cellStyle name="asd 25 15" xfId="12777"/>
    <cellStyle name="asd 25 16" xfId="1949"/>
    <cellStyle name="asd 25 17" xfId="2605"/>
    <cellStyle name="asd 25 18" xfId="10990"/>
    <cellStyle name="asd 25 19" xfId="2317"/>
    <cellStyle name="asd 25 2" xfId="3500"/>
    <cellStyle name="asd 25 2 10" xfId="13236"/>
    <cellStyle name="asd 25 2 11" xfId="15139"/>
    <cellStyle name="asd 25 2 12" xfId="16955"/>
    <cellStyle name="asd 25 2 13" xfId="18862"/>
    <cellStyle name="asd 25 2 14" xfId="20774"/>
    <cellStyle name="asd 25 2 15" xfId="22767"/>
    <cellStyle name="asd 25 2 16" xfId="24576"/>
    <cellStyle name="asd 25 2 17" xfId="26315"/>
    <cellStyle name="asd 25 2 18" xfId="29192"/>
    <cellStyle name="asd 25 2 19" xfId="29923"/>
    <cellStyle name="asd 25 2 2" xfId="3680"/>
    <cellStyle name="asd 25 2 2 10" xfId="17571"/>
    <cellStyle name="asd 25 2 2 11" xfId="19477"/>
    <cellStyle name="asd 25 2 2 12" xfId="21389"/>
    <cellStyle name="asd 25 2 2 13" xfId="22664"/>
    <cellStyle name="asd 25 2 2 14" xfId="25191"/>
    <cellStyle name="asd 25 2 2 15" xfId="27902"/>
    <cellStyle name="asd 25 2 2 16" xfId="2955"/>
    <cellStyle name="asd 25 2 2 17" xfId="31484"/>
    <cellStyle name="asd 25 2 2 18" xfId="32697"/>
    <cellStyle name="asd 25 2 2 19" xfId="35055"/>
    <cellStyle name="asd 25 2 2 2" xfId="5747"/>
    <cellStyle name="asd 25 2 2 2 10" xfId="21997"/>
    <cellStyle name="asd 25 2 2 2 11" xfId="22941"/>
    <cellStyle name="asd 25 2 2 2 12" xfId="25799"/>
    <cellStyle name="asd 25 2 2 2 13" xfId="27568"/>
    <cellStyle name="asd 25 2 2 2 14" xfId="29480"/>
    <cellStyle name="asd 25 2 2 2 15" xfId="31148"/>
    <cellStyle name="asd 25 2 2 2 16" xfId="32266"/>
    <cellStyle name="asd 25 2 2 2 17" xfId="33486"/>
    <cellStyle name="asd 25 2 2 2 18" xfId="36626"/>
    <cellStyle name="asd 25 2 2 2 19" xfId="38505"/>
    <cellStyle name="asd 25 2 2 2 2" xfId="7196"/>
    <cellStyle name="asd 25 2 2 2 20" xfId="39484"/>
    <cellStyle name="asd 25 2 2 2 21" xfId="41159"/>
    <cellStyle name="asd 25 2 2 2 22" xfId="42727"/>
    <cellStyle name="asd 25 2 2 2 3" xfId="8650"/>
    <cellStyle name="asd 25 2 2 2 4" xfId="10560"/>
    <cellStyle name="asd 25 2 2 2 5" xfId="11322"/>
    <cellStyle name="asd 25 2 2 2 6" xfId="13409"/>
    <cellStyle name="asd 25 2 2 2 7" xfId="15314"/>
    <cellStyle name="asd 25 2 2 2 8" xfId="18179"/>
    <cellStyle name="asd 25 2 2 2 9" xfId="20085"/>
    <cellStyle name="asd 25 2 2 20" xfId="36018"/>
    <cellStyle name="asd 25 2 2 21" xfId="37897"/>
    <cellStyle name="asd 25 2 2 22" xfId="39905"/>
    <cellStyle name="asd 25 2 2 23" xfId="41574"/>
    <cellStyle name="asd 25 2 2 24" xfId="42470"/>
    <cellStyle name="asd 25 2 2 3" xfId="5141"/>
    <cellStyle name="asd 25 2 2 4" xfId="6591"/>
    <cellStyle name="asd 25 2 2 5" xfId="8042"/>
    <cellStyle name="asd 25 2 2 6" xfId="9952"/>
    <cellStyle name="asd 25 2 2 7" xfId="12225"/>
    <cellStyle name="asd 25 2 2 8" xfId="13131"/>
    <cellStyle name="asd 25 2 2 9" xfId="15036"/>
    <cellStyle name="asd 25 2 20" xfId="32918"/>
    <cellStyle name="asd 25 2 21" xfId="33381"/>
    <cellStyle name="asd 25 2 22" xfId="35404"/>
    <cellStyle name="asd 25 2 23" xfId="37282"/>
    <cellStyle name="asd 25 2 24" xfId="40122"/>
    <cellStyle name="asd 25 2 25" xfId="41782"/>
    <cellStyle name="asd 25 2 26" xfId="42562"/>
    <cellStyle name="asd 25 2 3" xfId="3826"/>
    <cellStyle name="asd 25 2 3 10" xfId="19553"/>
    <cellStyle name="asd 25 2 3 11" xfId="21465"/>
    <cellStyle name="asd 25 2 3 12" xfId="2776"/>
    <cellStyle name="asd 25 2 3 13" xfId="25267"/>
    <cellStyle name="asd 25 2 3 14" xfId="15055"/>
    <cellStyle name="asd 25 2 3 15" xfId="15946"/>
    <cellStyle name="asd 25 2 3 16" xfId="3943"/>
    <cellStyle name="asd 25 2 3 17" xfId="28777"/>
    <cellStyle name="asd 25 2 3 18" xfId="3175"/>
    <cellStyle name="asd 25 2 3 19" xfId="36094"/>
    <cellStyle name="asd 25 2 3 2" xfId="5823"/>
    <cellStyle name="asd 25 2 3 2 10" xfId="22073"/>
    <cellStyle name="asd 25 2 3 2 11" xfId="22404"/>
    <cellStyle name="asd 25 2 3 2 12" xfId="25875"/>
    <cellStyle name="asd 25 2 3 2 13" xfId="27675"/>
    <cellStyle name="asd 25 2 3 2 14" xfId="28905"/>
    <cellStyle name="asd 25 2 3 2 15" xfId="31251"/>
    <cellStyle name="asd 25 2 3 2 16" xfId="32788"/>
    <cellStyle name="asd 25 2 3 2 17" xfId="34358"/>
    <cellStyle name="asd 25 2 3 2 18" xfId="36702"/>
    <cellStyle name="asd 25 2 3 2 19" xfId="38581"/>
    <cellStyle name="asd 25 2 3 2 2" xfId="7272"/>
    <cellStyle name="asd 25 2 3 2 20" xfId="39997"/>
    <cellStyle name="asd 25 2 3 2 21" xfId="41661"/>
    <cellStyle name="asd 25 2 3 2 22" xfId="42215"/>
    <cellStyle name="asd 25 2 3 2 3" xfId="8726"/>
    <cellStyle name="asd 25 2 3 2 4" xfId="10636"/>
    <cellStyle name="asd 25 2 3 2 5" xfId="10937"/>
    <cellStyle name="asd 25 2 3 2 6" xfId="12871"/>
    <cellStyle name="asd 25 2 3 2 7" xfId="14776"/>
    <cellStyle name="asd 25 2 3 2 8" xfId="18255"/>
    <cellStyle name="asd 25 2 3 2 9" xfId="20161"/>
    <cellStyle name="asd 25 2 3 20" xfId="37973"/>
    <cellStyle name="asd 25 2 3 21" xfId="2232"/>
    <cellStyle name="asd 25 2 3 22" xfId="40244"/>
    <cellStyle name="asd 25 2 3 23" xfId="33704"/>
    <cellStyle name="asd 25 2 3 3" xfId="5217"/>
    <cellStyle name="asd 25 2 3 4" xfId="8118"/>
    <cellStyle name="asd 25 2 3 5" xfId="10028"/>
    <cellStyle name="asd 25 2 3 6" xfId="12179"/>
    <cellStyle name="asd 25 2 3 7" xfId="2507"/>
    <cellStyle name="asd 25 2 3 8" xfId="2984"/>
    <cellStyle name="asd 25 2 3 9" xfId="17647"/>
    <cellStyle name="asd 25 2 4" xfId="4132"/>
    <cellStyle name="asd 25 2 4 10" xfId="19767"/>
    <cellStyle name="asd 25 2 4 11" xfId="21679"/>
    <cellStyle name="asd 25 2 4 12" xfId="23022"/>
    <cellStyle name="asd 25 2 4 13" xfId="25481"/>
    <cellStyle name="asd 25 2 4 14" xfId="27272"/>
    <cellStyle name="asd 25 2 4 15" xfId="28977"/>
    <cellStyle name="asd 25 2 4 16" xfId="30864"/>
    <cellStyle name="asd 25 2 4 17" xfId="32780"/>
    <cellStyle name="asd 25 2 4 18" xfId="33694"/>
    <cellStyle name="asd 25 2 4 19" xfId="36308"/>
    <cellStyle name="asd 25 2 4 2" xfId="6037"/>
    <cellStyle name="asd 25 2 4 2 10" xfId="22287"/>
    <cellStyle name="asd 25 2 4 2 11" xfId="22563"/>
    <cellStyle name="asd 25 2 4 2 12" xfId="26089"/>
    <cellStyle name="asd 25 2 4 2 13" xfId="26517"/>
    <cellStyle name="asd 25 2 4 2 14" xfId="29231"/>
    <cellStyle name="asd 25 2 4 2 15" xfId="30123"/>
    <cellStyle name="asd 25 2 4 2 16" xfId="31794"/>
    <cellStyle name="asd 25 2 4 2 17" xfId="34299"/>
    <cellStyle name="asd 25 2 4 2 18" xfId="36916"/>
    <cellStyle name="asd 25 2 4 2 19" xfId="38795"/>
    <cellStyle name="asd 25 2 4 2 2" xfId="7486"/>
    <cellStyle name="asd 25 2 4 2 20" xfId="39032"/>
    <cellStyle name="asd 25 2 4 2 21" xfId="40714"/>
    <cellStyle name="asd 25 2 4 2 22" xfId="42372"/>
    <cellStyle name="asd 25 2 4 2 3" xfId="8940"/>
    <cellStyle name="asd 25 2 4 2 4" xfId="10850"/>
    <cellStyle name="asd 25 2 4 2 5" xfId="11822"/>
    <cellStyle name="asd 25 2 4 2 6" xfId="13031"/>
    <cellStyle name="asd 25 2 4 2 7" xfId="14935"/>
    <cellStyle name="asd 25 2 4 2 8" xfId="18469"/>
    <cellStyle name="asd 25 2 4 2 9" xfId="20375"/>
    <cellStyle name="asd 25 2 4 20" xfId="38187"/>
    <cellStyle name="asd 25 2 4 21" xfId="39989"/>
    <cellStyle name="asd 25 2 4 22" xfId="41653"/>
    <cellStyle name="asd 25 2 4 23" xfId="42805"/>
    <cellStyle name="asd 25 2 4 3" xfId="6878"/>
    <cellStyle name="asd 25 2 4 4" xfId="8332"/>
    <cellStyle name="asd 25 2 4 5" xfId="10242"/>
    <cellStyle name="asd 25 2 4 6" xfId="12608"/>
    <cellStyle name="asd 25 2 4 7" xfId="13492"/>
    <cellStyle name="asd 25 2 4 8" xfId="15396"/>
    <cellStyle name="asd 25 2 4 9" xfId="17861"/>
    <cellStyle name="asd 25 2 5" xfId="4976"/>
    <cellStyle name="asd 25 2 5 10" xfId="21224"/>
    <cellStyle name="asd 25 2 5 11" xfId="22673"/>
    <cellStyle name="asd 25 2 5 12" xfId="25026"/>
    <cellStyle name="asd 25 2 5 13" xfId="27826"/>
    <cellStyle name="asd 25 2 5 14" xfId="28458"/>
    <cellStyle name="asd 25 2 5 15" xfId="31404"/>
    <cellStyle name="asd 25 2 5 16" xfId="33152"/>
    <cellStyle name="asd 25 2 5 17" xfId="34641"/>
    <cellStyle name="asd 25 2 5 18" xfId="35853"/>
    <cellStyle name="asd 25 2 5 19" xfId="37732"/>
    <cellStyle name="asd 25 2 5 2" xfId="6426"/>
    <cellStyle name="asd 25 2 5 20" xfId="40345"/>
    <cellStyle name="asd 25 2 5 21" xfId="42001"/>
    <cellStyle name="asd 25 2 5 22" xfId="42478"/>
    <cellStyle name="asd 25 2 5 3" xfId="7877"/>
    <cellStyle name="asd 25 2 5 4" xfId="9787"/>
    <cellStyle name="asd 25 2 5 5" xfId="12428"/>
    <cellStyle name="asd 25 2 5 6" xfId="13140"/>
    <cellStyle name="asd 25 2 5 7" xfId="15045"/>
    <cellStyle name="asd 25 2 5 8" xfId="17406"/>
    <cellStyle name="asd 25 2 5 9" xfId="19312"/>
    <cellStyle name="asd 25 2 6" xfId="4628"/>
    <cellStyle name="asd 25 2 6 10" xfId="20873"/>
    <cellStyle name="asd 25 2 6 11" xfId="23834"/>
    <cellStyle name="asd 25 2 6 12" xfId="24675"/>
    <cellStyle name="asd 25 2 6 13" xfId="27856"/>
    <cellStyle name="asd 25 2 6 14" xfId="2825"/>
    <cellStyle name="asd 25 2 6 15" xfId="31435"/>
    <cellStyle name="asd 25 2 6 16" xfId="33286"/>
    <cellStyle name="asd 25 2 6 17" xfId="33374"/>
    <cellStyle name="asd 25 2 6 18" xfId="35503"/>
    <cellStyle name="asd 25 2 6 19" xfId="37381"/>
    <cellStyle name="asd 25 2 6 2" xfId="6076"/>
    <cellStyle name="asd 25 2 6 20" xfId="40470"/>
    <cellStyle name="asd 25 2 6 21" xfId="42125"/>
    <cellStyle name="asd 25 2 6 22" xfId="43585"/>
    <cellStyle name="asd 25 2 6 3" xfId="7525"/>
    <cellStyle name="asd 25 2 6 4" xfId="9435"/>
    <cellStyle name="asd 25 2 6 5" xfId="11398"/>
    <cellStyle name="asd 25 2 6 6" xfId="14304"/>
    <cellStyle name="asd 25 2 6 7" xfId="16208"/>
    <cellStyle name="asd 25 2 6 8" xfId="17054"/>
    <cellStyle name="asd 25 2 6 9" xfId="18961"/>
    <cellStyle name="asd 25 2 7" xfId="6081"/>
    <cellStyle name="asd 25 2 8" xfId="9336"/>
    <cellStyle name="asd 25 2 9" xfId="11550"/>
    <cellStyle name="asd 25 20" xfId="2492"/>
    <cellStyle name="asd 25 21" xfId="28706"/>
    <cellStyle name="asd 25 22" xfId="35051"/>
    <cellStyle name="asd 25 23" xfId="28003"/>
    <cellStyle name="asd 25 24" xfId="33440"/>
    <cellStyle name="asd 25 25" xfId="33763"/>
    <cellStyle name="asd 25 26" xfId="34162"/>
    <cellStyle name="asd 25 27" xfId="40488"/>
    <cellStyle name="asd 25 3" xfId="3379"/>
    <cellStyle name="asd 25 3 10" xfId="13359"/>
    <cellStyle name="asd 25 3 11" xfId="15264"/>
    <cellStyle name="asd 25 3 12" xfId="16692"/>
    <cellStyle name="asd 25 3 13" xfId="18599"/>
    <cellStyle name="asd 25 3 14" xfId="20511"/>
    <cellStyle name="asd 25 3 15" xfId="22891"/>
    <cellStyle name="asd 25 3 16" xfId="24313"/>
    <cellStyle name="asd 25 3 17" xfId="27844"/>
    <cellStyle name="asd 25 3 18" xfId="2241"/>
    <cellStyle name="asd 25 3 19" xfId="31423"/>
    <cellStyle name="asd 25 3 2" xfId="3559"/>
    <cellStyle name="asd 25 3 2 10" xfId="17450"/>
    <cellStyle name="asd 25 3 2 11" xfId="19356"/>
    <cellStyle name="asd 25 3 2 12" xfId="21268"/>
    <cellStyle name="asd 25 3 2 13" xfId="23801"/>
    <cellStyle name="asd 25 3 2 14" xfId="25070"/>
    <cellStyle name="asd 25 3 2 15" xfId="27867"/>
    <cellStyle name="asd 25 3 2 16" xfId="28162"/>
    <cellStyle name="asd 25 3 2 17" xfId="31448"/>
    <cellStyle name="asd 25 3 2 18" xfId="32209"/>
    <cellStyle name="asd 25 3 2 19" xfId="34446"/>
    <cellStyle name="asd 25 3 2 2" xfId="5647"/>
    <cellStyle name="asd 25 3 2 2 10" xfId="21897"/>
    <cellStyle name="asd 25 3 2 2 11" xfId="22746"/>
    <cellStyle name="asd 25 3 2 2 12" xfId="25699"/>
    <cellStyle name="asd 25 3 2 2 13" xfId="26665"/>
    <cellStyle name="asd 25 3 2 2 14" xfId="28541"/>
    <cellStyle name="asd 25 3 2 2 15" xfId="30265"/>
    <cellStyle name="asd 25 3 2 2 16" xfId="32371"/>
    <cellStyle name="asd 25 3 2 2 17" xfId="33894"/>
    <cellStyle name="asd 25 3 2 2 18" xfId="36526"/>
    <cellStyle name="asd 25 3 2 2 19" xfId="38405"/>
    <cellStyle name="asd 25 3 2 2 2" xfId="7096"/>
    <cellStyle name="asd 25 3 2 2 20" xfId="39589"/>
    <cellStyle name="asd 25 3 2 2 21" xfId="41263"/>
    <cellStyle name="asd 25 3 2 2 22" xfId="42544"/>
    <cellStyle name="asd 25 3 2 2 3" xfId="8550"/>
    <cellStyle name="asd 25 3 2 2 4" xfId="10460"/>
    <cellStyle name="asd 25 3 2 2 5" xfId="11477"/>
    <cellStyle name="asd 25 3 2 2 6" xfId="13215"/>
    <cellStyle name="asd 25 3 2 2 7" xfId="15118"/>
    <cellStyle name="asd 25 3 2 2 8" xfId="18079"/>
    <cellStyle name="asd 25 3 2 2 9" xfId="19985"/>
    <cellStyle name="asd 25 3 2 20" xfId="35897"/>
    <cellStyle name="asd 25 3 2 21" xfId="37776"/>
    <cellStyle name="asd 25 3 2 22" xfId="39429"/>
    <cellStyle name="asd 25 3 2 23" xfId="41105"/>
    <cellStyle name="asd 25 3 2 24" xfId="43553"/>
    <cellStyle name="asd 25 3 2 3" xfId="5020"/>
    <cellStyle name="asd 25 3 2 4" xfId="6470"/>
    <cellStyle name="asd 25 3 2 5" xfId="7921"/>
    <cellStyle name="asd 25 3 2 6" xfId="9831"/>
    <cellStyle name="asd 25 3 2 7" xfId="11523"/>
    <cellStyle name="asd 25 3 2 8" xfId="14271"/>
    <cellStyle name="asd 25 3 2 9" xfId="16175"/>
    <cellStyle name="asd 25 3 20" xfId="31648"/>
    <cellStyle name="asd 25 3 21" xfId="2547"/>
    <cellStyle name="asd 25 3 22" xfId="35141"/>
    <cellStyle name="asd 25 3 23" xfId="37019"/>
    <cellStyle name="asd 25 3 24" xfId="38893"/>
    <cellStyle name="asd 25 3 25" xfId="40578"/>
    <cellStyle name="asd 25 3 26" xfId="42677"/>
    <cellStyle name="asd 25 3 3" xfId="2645"/>
    <cellStyle name="asd 25 3 3 10" xfId="19091"/>
    <cellStyle name="asd 25 3 3 11" xfId="21003"/>
    <cellStyle name="asd 25 3 3 12" xfId="2019"/>
    <cellStyle name="asd 25 3 3 13" xfId="24805"/>
    <cellStyle name="asd 25 3 3 14" xfId="26153"/>
    <cellStyle name="asd 25 3 3 15" xfId="24235"/>
    <cellStyle name="asd 25 3 3 16" xfId="29768"/>
    <cellStyle name="asd 25 3 3 17" xfId="28451"/>
    <cellStyle name="asd 25 3 3 18" xfId="10874"/>
    <cellStyle name="asd 25 3 3 19" xfId="35632"/>
    <cellStyle name="asd 25 3 3 2" xfId="4429"/>
    <cellStyle name="asd 25 3 3 2 10" xfId="20673"/>
    <cellStyle name="asd 25 3 3 2 11" xfId="22368"/>
    <cellStyle name="asd 25 3 3 2 12" xfId="24475"/>
    <cellStyle name="asd 25 3 3 2 13" xfId="27932"/>
    <cellStyle name="asd 25 3 3 2 14" xfId="28352"/>
    <cellStyle name="asd 25 3 3 2 15" xfId="31513"/>
    <cellStyle name="asd 25 3 3 2 16" xfId="32053"/>
    <cellStyle name="asd 25 3 3 2 17" xfId="33542"/>
    <cellStyle name="asd 25 3 3 2 18" xfId="35303"/>
    <cellStyle name="asd 25 3 3 2 19" xfId="37181"/>
    <cellStyle name="asd 25 3 3 2 2" xfId="5359"/>
    <cellStyle name="asd 25 3 3 2 20" xfId="39280"/>
    <cellStyle name="asd 25 3 3 2 21" xfId="40956"/>
    <cellStyle name="asd 25 3 3 2 22" xfId="42180"/>
    <cellStyle name="asd 25 3 3 2 3" xfId="6623"/>
    <cellStyle name="asd 25 3 3 2 4" xfId="9235"/>
    <cellStyle name="asd 25 3 3 2 5" xfId="2691"/>
    <cellStyle name="asd 25 3 3 2 6" xfId="12835"/>
    <cellStyle name="asd 25 3 3 2 7" xfId="14740"/>
    <cellStyle name="asd 25 3 3 2 8" xfId="16854"/>
    <cellStyle name="asd 25 3 3 2 9" xfId="18761"/>
    <cellStyle name="asd 25 3 3 20" xfId="37511"/>
    <cellStyle name="asd 25 3 3 21" xfId="3983"/>
    <cellStyle name="asd 25 3 3 22" xfId="34877"/>
    <cellStyle name="asd 25 3 3 23" xfId="33157"/>
    <cellStyle name="asd 25 3 3 3" xfId="4756"/>
    <cellStyle name="asd 25 3 3 4" xfId="7656"/>
    <cellStyle name="asd 25 3 3 5" xfId="9566"/>
    <cellStyle name="asd 25 3 3 6" xfId="11030"/>
    <cellStyle name="asd 25 3 3 7" xfId="4161"/>
    <cellStyle name="asd 25 3 3 8" xfId="2389"/>
    <cellStyle name="asd 25 3 3 9" xfId="17185"/>
    <cellStyle name="asd 25 3 4" xfId="4011"/>
    <cellStyle name="asd 25 3 4 10" xfId="19646"/>
    <cellStyle name="asd 25 3 4 11" xfId="21558"/>
    <cellStyle name="asd 25 3 4 12" xfId="23493"/>
    <cellStyle name="asd 25 3 4 13" xfId="25360"/>
    <cellStyle name="asd 25 3 4 14" xfId="27126"/>
    <cellStyle name="asd 25 3 4 15" xfId="29517"/>
    <cellStyle name="asd 25 3 4 16" xfId="30716"/>
    <cellStyle name="asd 25 3 4 17" xfId="32950"/>
    <cellStyle name="asd 25 3 4 18" xfId="34535"/>
    <cellStyle name="asd 25 3 4 19" xfId="36187"/>
    <cellStyle name="asd 25 3 4 2" xfId="5916"/>
    <cellStyle name="asd 25 3 4 2 10" xfId="22166"/>
    <cellStyle name="asd 25 3 4 2 11" xfId="24060"/>
    <cellStyle name="asd 25 3 4 2 12" xfId="25968"/>
    <cellStyle name="asd 25 3 4 2 13" xfId="26632"/>
    <cellStyle name="asd 25 3 4 2 14" xfId="28707"/>
    <cellStyle name="asd 25 3 4 2 15" xfId="30235"/>
    <cellStyle name="asd 25 3 4 2 16" xfId="32422"/>
    <cellStyle name="asd 25 3 4 2 17" xfId="34569"/>
    <cellStyle name="asd 25 3 4 2 18" xfId="36795"/>
    <cellStyle name="asd 25 3 4 2 19" xfId="38674"/>
    <cellStyle name="asd 25 3 4 2 2" xfId="7365"/>
    <cellStyle name="asd 25 3 4 2 20" xfId="39639"/>
    <cellStyle name="asd 25 3 4 2 21" xfId="41313"/>
    <cellStyle name="asd 25 3 4 2 22" xfId="43804"/>
    <cellStyle name="asd 25 3 4 2 3" xfId="8819"/>
    <cellStyle name="asd 25 3 4 2 4" xfId="10729"/>
    <cellStyle name="asd 25 3 4 2 5" xfId="12019"/>
    <cellStyle name="asd 25 3 4 2 6" xfId="14530"/>
    <cellStyle name="asd 25 3 4 2 7" xfId="16436"/>
    <cellStyle name="asd 25 3 4 2 8" xfId="18348"/>
    <cellStyle name="asd 25 3 4 2 9" xfId="20254"/>
    <cellStyle name="asd 25 3 4 20" xfId="38066"/>
    <cellStyle name="asd 25 3 4 21" xfId="40153"/>
    <cellStyle name="asd 25 3 4 22" xfId="41812"/>
    <cellStyle name="asd 25 3 4 23" xfId="43259"/>
    <cellStyle name="asd 25 3 4 3" xfId="6757"/>
    <cellStyle name="asd 25 3 4 4" xfId="8211"/>
    <cellStyle name="asd 25 3 4 5" xfId="10121"/>
    <cellStyle name="asd 25 3 4 6" xfId="12527"/>
    <cellStyle name="asd 25 3 4 7" xfId="13965"/>
    <cellStyle name="asd 25 3 4 8" xfId="15866"/>
    <cellStyle name="asd 25 3 4 9" xfId="17740"/>
    <cellStyle name="asd 25 3 5" xfId="4881"/>
    <cellStyle name="asd 25 3 5 10" xfId="21129"/>
    <cellStyle name="asd 25 3 5 11" xfId="23542"/>
    <cellStyle name="asd 25 3 5 12" xfId="24931"/>
    <cellStyle name="asd 25 3 5 13" xfId="26520"/>
    <cellStyle name="asd 25 3 5 14" xfId="29018"/>
    <cellStyle name="asd 25 3 5 15" xfId="30126"/>
    <cellStyle name="asd 25 3 5 16" xfId="33000"/>
    <cellStyle name="asd 25 3 5 17" xfId="34625"/>
    <cellStyle name="asd 25 3 5 18" xfId="35758"/>
    <cellStyle name="asd 25 3 5 19" xfId="37637"/>
    <cellStyle name="asd 25 3 5 2" xfId="6331"/>
    <cellStyle name="asd 25 3 5 20" xfId="40200"/>
    <cellStyle name="asd 25 3 5 21" xfId="41859"/>
    <cellStyle name="asd 25 3 5 22" xfId="43307"/>
    <cellStyle name="asd 25 3 5 3" xfId="7782"/>
    <cellStyle name="asd 25 3 5 4" xfId="9692"/>
    <cellStyle name="asd 25 3 5 5" xfId="10972"/>
    <cellStyle name="asd 25 3 5 6" xfId="14014"/>
    <cellStyle name="asd 25 3 5 7" xfId="15915"/>
    <cellStyle name="asd 25 3 5 8" xfId="17311"/>
    <cellStyle name="asd 25 3 5 9" xfId="19217"/>
    <cellStyle name="asd 25 3 6" xfId="4218"/>
    <cellStyle name="asd 25 3 6 10" xfId="20503"/>
    <cellStyle name="asd 25 3 6 11" xfId="23980"/>
    <cellStyle name="asd 25 3 6 12" xfId="24305"/>
    <cellStyle name="asd 25 3 6 13" xfId="26908"/>
    <cellStyle name="asd 25 3 6 14" xfId="2059"/>
    <cellStyle name="asd 25 3 6 15" xfId="30504"/>
    <cellStyle name="asd 25 3 6 16" xfId="32890"/>
    <cellStyle name="asd 25 3 6 17" xfId="35063"/>
    <cellStyle name="asd 25 3 6 18" xfId="35133"/>
    <cellStyle name="asd 25 3 6 19" xfId="37011"/>
    <cellStyle name="asd 25 3 6 2" xfId="4796"/>
    <cellStyle name="asd 25 3 6 20" xfId="40094"/>
    <cellStyle name="asd 25 3 6 21" xfId="41756"/>
    <cellStyle name="asd 25 3 6 22" xfId="43725"/>
    <cellStyle name="asd 25 3 6 3" xfId="6093"/>
    <cellStyle name="asd 25 3 6 4" xfId="9065"/>
    <cellStyle name="asd 25 3 6 5" xfId="11940"/>
    <cellStyle name="asd 25 3 6 6" xfId="14450"/>
    <cellStyle name="asd 25 3 6 7" xfId="16356"/>
    <cellStyle name="asd 25 3 6 8" xfId="16684"/>
    <cellStyle name="asd 25 3 6 9" xfId="18591"/>
    <cellStyle name="asd 25 3 7" xfId="6709"/>
    <cellStyle name="asd 25 3 8" xfId="9073"/>
    <cellStyle name="asd 25 3 9" xfId="11237"/>
    <cellStyle name="asd 25 4" xfId="3389"/>
    <cellStyle name="asd 25 4 10" xfId="15522"/>
    <cellStyle name="asd 25 4 11" xfId="16721"/>
    <cellStyle name="asd 25 4 12" xfId="18628"/>
    <cellStyle name="asd 25 4 13" xfId="20540"/>
    <cellStyle name="asd 25 4 14" xfId="23148"/>
    <cellStyle name="asd 25 4 15" xfId="24342"/>
    <cellStyle name="asd 25 4 16" xfId="26955"/>
    <cellStyle name="asd 25 4 17" xfId="28245"/>
    <cellStyle name="asd 25 4 18" xfId="30549"/>
    <cellStyle name="asd 25 4 19" xfId="33266"/>
    <cellStyle name="asd 25 4 2" xfId="3569"/>
    <cellStyle name="asd 25 4 2 10" xfId="17460"/>
    <cellStyle name="asd 25 4 2 11" xfId="19366"/>
    <cellStyle name="asd 25 4 2 12" xfId="21278"/>
    <cellStyle name="asd 25 4 2 13" xfId="22915"/>
    <cellStyle name="asd 25 4 2 14" xfId="25080"/>
    <cellStyle name="asd 25 4 2 15" xfId="27819"/>
    <cellStyle name="asd 25 4 2 16" xfId="29628"/>
    <cellStyle name="asd 25 4 2 17" xfId="31397"/>
    <cellStyle name="asd 25 4 2 18" xfId="31927"/>
    <cellStyle name="asd 25 4 2 19" xfId="35000"/>
    <cellStyle name="asd 25 4 2 2" xfId="5503"/>
    <cellStyle name="asd 25 4 2 2 10" xfId="21753"/>
    <cellStyle name="asd 25 4 2 2 11" xfId="22777"/>
    <cellStyle name="asd 25 4 2 2 12" xfId="25555"/>
    <cellStyle name="asd 25 4 2 2 13" xfId="27617"/>
    <cellStyle name="asd 25 4 2 2 14" xfId="12804"/>
    <cellStyle name="asd 25 4 2 2 15" xfId="31195"/>
    <cellStyle name="asd 25 4 2 2 16" xfId="33217"/>
    <cellStyle name="asd 25 4 2 2 17" xfId="35022"/>
    <cellStyle name="asd 25 4 2 2 18" xfId="36382"/>
    <cellStyle name="asd 25 4 2 2 19" xfId="38261"/>
    <cellStyle name="asd 25 4 2 2 2" xfId="6952"/>
    <cellStyle name="asd 25 4 2 2 20" xfId="40406"/>
    <cellStyle name="asd 25 4 2 2 21" xfId="42062"/>
    <cellStyle name="asd 25 4 2 2 22" xfId="42572"/>
    <cellStyle name="asd 25 4 2 2 3" xfId="8406"/>
    <cellStyle name="asd 25 4 2 2 4" xfId="10316"/>
    <cellStyle name="asd 25 4 2 2 5" xfId="11692"/>
    <cellStyle name="asd 25 4 2 2 6" xfId="13247"/>
    <cellStyle name="asd 25 4 2 2 7" xfId="15150"/>
    <cellStyle name="asd 25 4 2 2 8" xfId="17935"/>
    <cellStyle name="asd 25 4 2 2 9" xfId="19841"/>
    <cellStyle name="asd 25 4 2 20" xfId="35907"/>
    <cellStyle name="asd 25 4 2 21" xfId="37786"/>
    <cellStyle name="asd 25 4 2 22" xfId="39157"/>
    <cellStyle name="asd 25 4 2 23" xfId="40838"/>
    <cellStyle name="asd 25 4 2 24" xfId="42701"/>
    <cellStyle name="asd 25 4 2 3" xfId="5030"/>
    <cellStyle name="asd 25 4 2 4" xfId="6480"/>
    <cellStyle name="asd 25 4 2 5" xfId="7931"/>
    <cellStyle name="asd 25 4 2 6" xfId="9841"/>
    <cellStyle name="asd 25 4 2 7" xfId="12477"/>
    <cellStyle name="asd 25 4 2 8" xfId="13383"/>
    <cellStyle name="asd 25 4 2 9" xfId="15288"/>
    <cellStyle name="asd 25 4 20" xfId="34529"/>
    <cellStyle name="asd 25 4 21" xfId="35170"/>
    <cellStyle name="asd 25 4 22" xfId="37048"/>
    <cellStyle name="asd 25 4 23" xfId="40452"/>
    <cellStyle name="asd 25 4 24" xfId="42107"/>
    <cellStyle name="asd 25 4 25" xfId="42926"/>
    <cellStyle name="asd 25 4 3" xfId="3816"/>
    <cellStyle name="asd 25 4 3 10" xfId="19547"/>
    <cellStyle name="asd 25 4 3 11" xfId="21459"/>
    <cellStyle name="asd 25 4 3 12" xfId="23465"/>
    <cellStyle name="asd 25 4 3 13" xfId="25261"/>
    <cellStyle name="asd 25 4 3 14" xfId="26251"/>
    <cellStyle name="asd 25 4 3 15" xfId="28555"/>
    <cellStyle name="asd 25 4 3 16" xfId="29861"/>
    <cellStyle name="asd 25 4 3 17" xfId="31718"/>
    <cellStyle name="asd 25 4 3 18" xfId="34997"/>
    <cellStyle name="asd 25 4 3 19" xfId="36088"/>
    <cellStyle name="asd 25 4 3 2" xfId="5817"/>
    <cellStyle name="asd 25 4 3 2 10" xfId="22067"/>
    <cellStyle name="asd 25 4 3 2 11" xfId="24053"/>
    <cellStyle name="asd 25 4 3 2 12" xfId="25869"/>
    <cellStyle name="asd 25 4 3 2 13" xfId="26434"/>
    <cellStyle name="asd 25 4 3 2 14" xfId="28050"/>
    <cellStyle name="asd 25 4 3 2 15" xfId="30040"/>
    <cellStyle name="asd 25 4 3 2 16" xfId="32263"/>
    <cellStyle name="asd 25 4 3 2 17" xfId="34256"/>
    <cellStyle name="asd 25 4 3 2 18" xfId="36696"/>
    <cellStyle name="asd 25 4 3 2 19" xfId="38575"/>
    <cellStyle name="asd 25 4 3 2 2" xfId="7266"/>
    <cellStyle name="asd 25 4 3 2 20" xfId="39481"/>
    <cellStyle name="asd 25 4 3 2 21" xfId="41156"/>
    <cellStyle name="asd 25 4 3 2 22" xfId="43797"/>
    <cellStyle name="asd 25 4 3 2 3" xfId="8720"/>
    <cellStyle name="asd 25 4 3 2 4" xfId="10630"/>
    <cellStyle name="asd 25 4 3 2 5" xfId="12012"/>
    <cellStyle name="asd 25 4 3 2 6" xfId="14523"/>
    <cellStyle name="asd 25 4 3 2 7" xfId="16429"/>
    <cellStyle name="asd 25 4 3 2 8" xfId="18249"/>
    <cellStyle name="asd 25 4 3 2 9" xfId="20155"/>
    <cellStyle name="asd 25 4 3 20" xfId="37967"/>
    <cellStyle name="asd 25 4 3 21" xfId="38959"/>
    <cellStyle name="asd 25 4 3 22" xfId="40642"/>
    <cellStyle name="asd 25 4 3 23" xfId="43232"/>
    <cellStyle name="asd 25 4 3 3" xfId="5211"/>
    <cellStyle name="asd 25 4 3 4" xfId="8112"/>
    <cellStyle name="asd 25 4 3 5" xfId="10022"/>
    <cellStyle name="asd 25 4 3 6" xfId="12512"/>
    <cellStyle name="asd 25 4 3 7" xfId="13937"/>
    <cellStyle name="asd 25 4 3 8" xfId="15838"/>
    <cellStyle name="asd 25 4 3 9" xfId="17641"/>
    <cellStyle name="asd 25 4 4" xfId="4021"/>
    <cellStyle name="asd 25 4 4 10" xfId="19656"/>
    <cellStyle name="asd 25 4 4 11" xfId="21568"/>
    <cellStyle name="asd 25 4 4 12" xfId="22936"/>
    <cellStyle name="asd 25 4 4 13" xfId="25370"/>
    <cellStyle name="asd 25 4 4 14" xfId="26742"/>
    <cellStyle name="asd 25 4 4 15" xfId="29300"/>
    <cellStyle name="asd 25 4 4 16" xfId="30342"/>
    <cellStyle name="asd 25 4 4 17" xfId="32624"/>
    <cellStyle name="asd 25 4 4 18" xfId="34008"/>
    <cellStyle name="asd 25 4 4 19" xfId="36197"/>
    <cellStyle name="asd 25 4 4 2" xfId="5926"/>
    <cellStyle name="asd 25 4 4 2 10" xfId="22176"/>
    <cellStyle name="asd 25 4 4 2 11" xfId="23526"/>
    <cellStyle name="asd 25 4 4 2 12" xfId="25978"/>
    <cellStyle name="asd 25 4 4 2 13" xfId="26681"/>
    <cellStyle name="asd 25 4 4 2 14" xfId="29076"/>
    <cellStyle name="asd 25 4 4 2 15" xfId="30281"/>
    <cellStyle name="asd 25 4 4 2 16" xfId="31823"/>
    <cellStyle name="asd 25 4 4 2 17" xfId="33979"/>
    <cellStyle name="asd 25 4 4 2 18" xfId="36805"/>
    <cellStyle name="asd 25 4 4 2 19" xfId="38684"/>
    <cellStyle name="asd 25 4 4 2 2" xfId="7375"/>
    <cellStyle name="asd 25 4 4 2 20" xfId="39061"/>
    <cellStyle name="asd 25 4 4 2 21" xfId="40743"/>
    <cellStyle name="asd 25 4 4 2 22" xfId="43291"/>
    <cellStyle name="asd 25 4 4 2 3" xfId="8829"/>
    <cellStyle name="asd 25 4 4 2 4" xfId="10739"/>
    <cellStyle name="asd 25 4 4 2 5" xfId="10926"/>
    <cellStyle name="asd 25 4 4 2 6" xfId="13998"/>
    <cellStyle name="asd 25 4 4 2 7" xfId="15899"/>
    <cellStyle name="asd 25 4 4 2 8" xfId="18358"/>
    <cellStyle name="asd 25 4 4 2 9" xfId="20264"/>
    <cellStyle name="asd 25 4 4 20" xfId="38076"/>
    <cellStyle name="asd 25 4 4 21" xfId="39834"/>
    <cellStyle name="asd 25 4 4 22" xfId="41503"/>
    <cellStyle name="asd 25 4 4 23" xfId="42722"/>
    <cellStyle name="asd 25 4 4 3" xfId="6767"/>
    <cellStyle name="asd 25 4 4 4" xfId="8221"/>
    <cellStyle name="asd 25 4 4 5" xfId="10131"/>
    <cellStyle name="asd 25 4 4 6" xfId="11137"/>
    <cellStyle name="asd 25 4 4 7" xfId="13404"/>
    <cellStyle name="asd 25 4 4 8" xfId="15309"/>
    <cellStyle name="asd 25 4 4 9" xfId="17750"/>
    <cellStyle name="asd 25 4 5" xfId="5679"/>
    <cellStyle name="asd 25 4 5 10" xfId="21929"/>
    <cellStyle name="asd 25 4 5 11" xfId="22935"/>
    <cellStyle name="asd 25 4 5 12" xfId="25731"/>
    <cellStyle name="asd 25 4 5 13" xfId="26322"/>
    <cellStyle name="asd 25 4 5 14" xfId="28126"/>
    <cellStyle name="asd 25 4 5 15" xfId="29930"/>
    <cellStyle name="asd 25 4 5 16" xfId="33142"/>
    <cellStyle name="asd 25 4 5 17" xfId="33427"/>
    <cellStyle name="asd 25 4 5 18" xfId="36558"/>
    <cellStyle name="asd 25 4 5 19" xfId="38437"/>
    <cellStyle name="asd 25 4 5 2" xfId="7128"/>
    <cellStyle name="asd 25 4 5 20" xfId="40335"/>
    <cellStyle name="asd 25 4 5 21" xfId="41991"/>
    <cellStyle name="asd 25 4 5 22" xfId="42721"/>
    <cellStyle name="asd 25 4 5 3" xfId="8582"/>
    <cellStyle name="asd 25 4 5 4" xfId="10492"/>
    <cellStyle name="asd 25 4 5 5" xfId="12317"/>
    <cellStyle name="asd 25 4 5 6" xfId="13403"/>
    <cellStyle name="asd 25 4 5 7" xfId="15308"/>
    <cellStyle name="asd 25 4 5 8" xfId="18111"/>
    <cellStyle name="asd 25 4 5 9" xfId="20017"/>
    <cellStyle name="asd 25 4 6" xfId="4323"/>
    <cellStyle name="asd 25 4 7" xfId="9102"/>
    <cellStyle name="asd 25 4 8" xfId="10939"/>
    <cellStyle name="asd 25 4 9" xfId="13619"/>
    <cellStyle name="asd 25 5" xfId="2414"/>
    <cellStyle name="asd 25 5 10" xfId="17159"/>
    <cellStyle name="asd 25 5 11" xfId="19065"/>
    <cellStyle name="asd 25 5 12" xfId="20977"/>
    <cellStyle name="asd 25 5 13" xfId="23768"/>
    <cellStyle name="asd 25 5 14" xfId="24779"/>
    <cellStyle name="asd 25 5 15" xfId="27868"/>
    <cellStyle name="asd 25 5 16" xfId="28276"/>
    <cellStyle name="asd 25 5 17" xfId="31449"/>
    <cellStyle name="asd 25 5 18" xfId="32900"/>
    <cellStyle name="asd 25 5 19" xfId="34395"/>
    <cellStyle name="asd 25 5 2" xfId="4561"/>
    <cellStyle name="asd 25 5 2 10" xfId="20806"/>
    <cellStyle name="asd 25 5 2 11" xfId="2864"/>
    <cellStyle name="asd 25 5 2 12" xfId="24608"/>
    <cellStyle name="asd 25 5 2 13" xfId="20417"/>
    <cellStyle name="asd 25 5 2 14" xfId="3809"/>
    <cellStyle name="asd 25 5 2 15" xfId="4359"/>
    <cellStyle name="asd 25 5 2 16" xfId="1863"/>
    <cellStyle name="asd 25 5 2 17" xfId="30682"/>
    <cellStyle name="asd 25 5 2 18" xfId="35436"/>
    <cellStyle name="asd 25 5 2 19" xfId="37314"/>
    <cellStyle name="asd 25 5 2 2" xfId="4744"/>
    <cellStyle name="asd 25 5 2 20" xfId="27500"/>
    <cellStyle name="asd 25 5 2 21" xfId="1899"/>
    <cellStyle name="asd 25 5 2 22" xfId="2618"/>
    <cellStyle name="asd 25 5 2 3" xfId="6291"/>
    <cellStyle name="asd 25 5 2 4" xfId="9368"/>
    <cellStyle name="asd 25 5 2 5" xfId="12432"/>
    <cellStyle name="asd 25 5 2 6" xfId="2717"/>
    <cellStyle name="asd 25 5 2 7" xfId="8991"/>
    <cellStyle name="asd 25 5 2 8" xfId="16987"/>
    <cellStyle name="asd 25 5 2 9" xfId="18894"/>
    <cellStyle name="asd 25 5 20" xfId="35606"/>
    <cellStyle name="asd 25 5 21" xfId="37485"/>
    <cellStyle name="asd 25 5 22" xfId="40103"/>
    <cellStyle name="asd 25 5 23" xfId="41764"/>
    <cellStyle name="asd 25 5 24" xfId="43521"/>
    <cellStyle name="asd 25 5 3" xfId="4731"/>
    <cellStyle name="asd 25 5 4" xfId="6179"/>
    <cellStyle name="asd 25 5 5" xfId="7630"/>
    <cellStyle name="asd 25 5 6" xfId="9540"/>
    <cellStyle name="asd 25 5 7" xfId="12706"/>
    <cellStyle name="asd 25 5 8" xfId="14238"/>
    <cellStyle name="asd 25 5 9" xfId="16142"/>
    <cellStyle name="asd 25 6" xfId="2408"/>
    <cellStyle name="asd 25 6 10" xfId="19064"/>
    <cellStyle name="asd 25 6 11" xfId="20976"/>
    <cellStyle name="asd 25 6 12" xfId="23009"/>
    <cellStyle name="asd 25 6 13" xfId="24778"/>
    <cellStyle name="asd 25 6 14" xfId="27435"/>
    <cellStyle name="asd 25 6 15" xfId="28356"/>
    <cellStyle name="asd 25 6 16" xfId="31021"/>
    <cellStyle name="asd 25 6 17" xfId="32948"/>
    <cellStyle name="asd 25 6 18" xfId="33731"/>
    <cellStyle name="asd 25 6 19" xfId="35605"/>
    <cellStyle name="asd 25 6 2" xfId="5493"/>
    <cellStyle name="asd 25 6 2 10" xfId="21743"/>
    <cellStyle name="asd 25 6 2 11" xfId="22447"/>
    <cellStyle name="asd 25 6 2 12" xfId="25545"/>
    <cellStyle name="asd 25 6 2 13" xfId="26942"/>
    <cellStyle name="asd 25 6 2 14" xfId="28773"/>
    <cellStyle name="asd 25 6 2 15" xfId="30536"/>
    <cellStyle name="asd 25 6 2 16" xfId="32360"/>
    <cellStyle name="asd 25 6 2 17" xfId="35004"/>
    <cellStyle name="asd 25 6 2 18" xfId="36372"/>
    <cellStyle name="asd 25 6 2 19" xfId="38251"/>
    <cellStyle name="asd 25 6 2 2" xfId="6942"/>
    <cellStyle name="asd 25 6 2 20" xfId="39579"/>
    <cellStyle name="asd 25 6 2 21" xfId="41253"/>
    <cellStyle name="asd 25 6 2 22" xfId="42258"/>
    <cellStyle name="asd 25 6 2 3" xfId="8396"/>
    <cellStyle name="asd 25 6 2 4" xfId="10306"/>
    <cellStyle name="asd 25 6 2 5" xfId="10973"/>
    <cellStyle name="asd 25 6 2 6" xfId="12915"/>
    <cellStyle name="asd 25 6 2 7" xfId="14820"/>
    <cellStyle name="asd 25 6 2 8" xfId="17925"/>
    <cellStyle name="asd 25 6 2 9" xfId="19831"/>
    <cellStyle name="asd 25 6 20" xfId="37484"/>
    <cellStyle name="asd 25 6 21" xfId="40151"/>
    <cellStyle name="asd 25 6 22" xfId="41810"/>
    <cellStyle name="asd 25 6 23" xfId="42793"/>
    <cellStyle name="asd 25 6 3" xfId="4730"/>
    <cellStyle name="asd 25 6 4" xfId="7629"/>
    <cellStyle name="asd 25 6 5" xfId="9539"/>
    <cellStyle name="asd 25 6 6" xfId="12330"/>
    <cellStyle name="asd 25 6 7" xfId="13479"/>
    <cellStyle name="asd 25 6 8" xfId="15384"/>
    <cellStyle name="asd 25 6 9" xfId="17158"/>
    <cellStyle name="asd 25 7" xfId="2351"/>
    <cellStyle name="asd 25 7 10" xfId="19057"/>
    <cellStyle name="asd 25 7 11" xfId="20969"/>
    <cellStyle name="asd 25 7 12" xfId="22429"/>
    <cellStyle name="asd 25 7 13" xfId="24771"/>
    <cellStyle name="asd 25 7 14" xfId="27035"/>
    <cellStyle name="asd 25 7 15" xfId="28488"/>
    <cellStyle name="asd 25 7 16" xfId="30628"/>
    <cellStyle name="asd 25 7 17" xfId="31819"/>
    <cellStyle name="asd 25 7 18" xfId="33402"/>
    <cellStyle name="asd 25 7 19" xfId="35598"/>
    <cellStyle name="asd 25 7 2" xfId="5472"/>
    <cellStyle name="asd 25 7 2 10" xfId="21722"/>
    <cellStyle name="asd 25 7 2 11" xfId="24063"/>
    <cellStyle name="asd 25 7 2 12" xfId="25524"/>
    <cellStyle name="asd 25 7 2 13" xfId="27244"/>
    <cellStyle name="asd 25 7 2 14" xfId="28504"/>
    <cellStyle name="asd 25 7 2 15" xfId="30835"/>
    <cellStyle name="asd 25 7 2 16" xfId="32264"/>
    <cellStyle name="asd 25 7 2 17" xfId="34612"/>
    <cellStyle name="asd 25 7 2 18" xfId="36351"/>
    <cellStyle name="asd 25 7 2 19" xfId="38230"/>
    <cellStyle name="asd 25 7 2 2" xfId="6921"/>
    <cellStyle name="asd 25 7 2 20" xfId="39482"/>
    <cellStyle name="asd 25 7 2 21" xfId="41157"/>
    <cellStyle name="asd 25 7 2 22" xfId="43807"/>
    <cellStyle name="asd 25 7 2 3" xfId="8375"/>
    <cellStyle name="asd 25 7 2 4" xfId="10285"/>
    <cellStyle name="asd 25 7 2 5" xfId="12022"/>
    <cellStyle name="asd 25 7 2 6" xfId="14533"/>
    <cellStyle name="asd 25 7 2 7" xfId="16439"/>
    <cellStyle name="asd 25 7 2 8" xfId="17904"/>
    <cellStyle name="asd 25 7 2 9" xfId="19810"/>
    <cellStyle name="asd 25 7 20" xfId="37477"/>
    <cellStyle name="asd 25 7 21" xfId="39057"/>
    <cellStyle name="asd 25 7 22" xfId="40739"/>
    <cellStyle name="asd 25 7 23" xfId="42240"/>
    <cellStyle name="asd 25 7 3" xfId="6171"/>
    <cellStyle name="asd 25 7 4" xfId="7622"/>
    <cellStyle name="asd 25 7 5" xfId="9532"/>
    <cellStyle name="asd 25 7 6" xfId="6080"/>
    <cellStyle name="asd 25 7 7" xfId="12897"/>
    <cellStyle name="asd 25 7 8" xfId="14802"/>
    <cellStyle name="asd 25 7 9" xfId="17151"/>
    <cellStyle name="asd 25 8" xfId="3271"/>
    <cellStyle name="asd 25 9" xfId="2417"/>
    <cellStyle name="asd 26" xfId="870"/>
    <cellStyle name="asd 26 10" xfId="2556"/>
    <cellStyle name="asd 26 11" xfId="2245"/>
    <cellStyle name="asd 26 12" xfId="2023"/>
    <cellStyle name="asd 26 13" xfId="2729"/>
    <cellStyle name="asd 26 14" xfId="12373"/>
    <cellStyle name="asd 26 15" xfId="4189"/>
    <cellStyle name="asd 26 16" xfId="2154"/>
    <cellStyle name="asd 26 17" xfId="2426"/>
    <cellStyle name="asd 26 18" xfId="8998"/>
    <cellStyle name="asd 26 19" xfId="1853"/>
    <cellStyle name="asd 26 2" xfId="3380"/>
    <cellStyle name="asd 26 2 10" xfId="14315"/>
    <cellStyle name="asd 26 2 11" xfId="16219"/>
    <cellStyle name="asd 26 2 12" xfId="16697"/>
    <cellStyle name="asd 26 2 13" xfId="18604"/>
    <cellStyle name="asd 26 2 14" xfId="20516"/>
    <cellStyle name="asd 26 2 15" xfId="23845"/>
    <cellStyle name="asd 26 2 16" xfId="24318"/>
    <cellStyle name="asd 26 2 17" xfId="27620"/>
    <cellStyle name="asd 26 2 18" xfId="28890"/>
    <cellStyle name="asd 26 2 19" xfId="31198"/>
    <cellStyle name="asd 26 2 2" xfId="3560"/>
    <cellStyle name="asd 26 2 2 10" xfId="17451"/>
    <cellStyle name="asd 26 2 2 11" xfId="19357"/>
    <cellStyle name="asd 26 2 2 12" xfId="21269"/>
    <cellStyle name="asd 26 2 2 13" xfId="22958"/>
    <cellStyle name="asd 26 2 2 14" xfId="25071"/>
    <cellStyle name="asd 26 2 2 15" xfId="26484"/>
    <cellStyle name="asd 26 2 2 16" xfId="5433"/>
    <cellStyle name="asd 26 2 2 17" xfId="30090"/>
    <cellStyle name="asd 26 2 2 18" xfId="32859"/>
    <cellStyle name="asd 26 2 2 19" xfId="33782"/>
    <cellStyle name="asd 26 2 2 2" xfId="5519"/>
    <cellStyle name="asd 26 2 2 2 10" xfId="21769"/>
    <cellStyle name="asd 26 2 2 2 11" xfId="23782"/>
    <cellStyle name="asd 26 2 2 2 12" xfId="25571"/>
    <cellStyle name="asd 26 2 2 2 13" xfId="27071"/>
    <cellStyle name="asd 26 2 2 2 14" xfId="29191"/>
    <cellStyle name="asd 26 2 2 2 15" xfId="30662"/>
    <cellStyle name="asd 26 2 2 2 16" xfId="32073"/>
    <cellStyle name="asd 26 2 2 2 17" xfId="34275"/>
    <cellStyle name="asd 26 2 2 2 18" xfId="36398"/>
    <cellStyle name="asd 26 2 2 2 19" xfId="38277"/>
    <cellStyle name="asd 26 2 2 2 2" xfId="6968"/>
    <cellStyle name="asd 26 2 2 2 20" xfId="39298"/>
    <cellStyle name="asd 26 2 2 2 21" xfId="40974"/>
    <cellStyle name="asd 26 2 2 2 22" xfId="43535"/>
    <cellStyle name="asd 26 2 2 2 3" xfId="8422"/>
    <cellStyle name="asd 26 2 2 2 4" xfId="10332"/>
    <cellStyle name="asd 26 2 2 2 5" xfId="12622"/>
    <cellStyle name="asd 26 2 2 2 6" xfId="14252"/>
    <cellStyle name="asd 26 2 2 2 7" xfId="16156"/>
    <cellStyle name="asd 26 2 2 2 8" xfId="17951"/>
    <cellStyle name="asd 26 2 2 2 9" xfId="19857"/>
    <cellStyle name="asd 26 2 2 20" xfId="35898"/>
    <cellStyle name="asd 26 2 2 21" xfId="37777"/>
    <cellStyle name="asd 26 2 2 22" xfId="40066"/>
    <cellStyle name="asd 26 2 2 23" xfId="41730"/>
    <cellStyle name="asd 26 2 2 24" xfId="42744"/>
    <cellStyle name="asd 26 2 2 3" xfId="5021"/>
    <cellStyle name="asd 26 2 2 4" xfId="6471"/>
    <cellStyle name="asd 26 2 2 5" xfId="7922"/>
    <cellStyle name="asd 26 2 2 6" xfId="9832"/>
    <cellStyle name="asd 26 2 2 7" xfId="10997"/>
    <cellStyle name="asd 26 2 2 8" xfId="13427"/>
    <cellStyle name="asd 26 2 2 9" xfId="15332"/>
    <cellStyle name="asd 26 2 20" xfId="32511"/>
    <cellStyle name="asd 26 2 21" xfId="34002"/>
    <cellStyle name="asd 26 2 22" xfId="35146"/>
    <cellStyle name="asd 26 2 23" xfId="37024"/>
    <cellStyle name="asd 26 2 24" xfId="39726"/>
    <cellStyle name="asd 26 2 25" xfId="41398"/>
    <cellStyle name="asd 26 2 26" xfId="43596"/>
    <cellStyle name="asd 26 2 3" xfId="3923"/>
    <cellStyle name="asd 26 2 3 10" xfId="19617"/>
    <cellStyle name="asd 26 2 3 11" xfId="21529"/>
    <cellStyle name="asd 26 2 3 12" xfId="23198"/>
    <cellStyle name="asd 26 2 3 13" xfId="25331"/>
    <cellStyle name="asd 26 2 3 14" xfId="26974"/>
    <cellStyle name="asd 26 2 3 15" xfId="29354"/>
    <cellStyle name="asd 26 2 3 16" xfId="30568"/>
    <cellStyle name="asd 26 2 3 17" xfId="33062"/>
    <cellStyle name="asd 26 2 3 18" xfId="33983"/>
    <cellStyle name="asd 26 2 3 19" xfId="36158"/>
    <cellStyle name="asd 26 2 3 2" xfId="5887"/>
    <cellStyle name="asd 26 2 3 2 10" xfId="22137"/>
    <cellStyle name="asd 26 2 3 2 11" xfId="22732"/>
    <cellStyle name="asd 26 2 3 2 12" xfId="25939"/>
    <cellStyle name="asd 26 2 3 2 13" xfId="26359"/>
    <cellStyle name="asd 26 2 3 2 14" xfId="29226"/>
    <cellStyle name="asd 26 2 3 2 15" xfId="29967"/>
    <cellStyle name="asd 26 2 3 2 16" xfId="31662"/>
    <cellStyle name="asd 26 2 3 2 17" xfId="34071"/>
    <cellStyle name="asd 26 2 3 2 18" xfId="36766"/>
    <cellStyle name="asd 26 2 3 2 19" xfId="38645"/>
    <cellStyle name="asd 26 2 3 2 2" xfId="7336"/>
    <cellStyle name="asd 26 2 3 2 20" xfId="38906"/>
    <cellStyle name="asd 26 2 3 2 21" xfId="40590"/>
    <cellStyle name="asd 26 2 3 2 22" xfId="42530"/>
    <cellStyle name="asd 26 2 3 2 3" xfId="8790"/>
    <cellStyle name="asd 26 2 3 2 4" xfId="10700"/>
    <cellStyle name="asd 26 2 3 2 5" xfId="11846"/>
    <cellStyle name="asd 26 2 3 2 6" xfId="13201"/>
    <cellStyle name="asd 26 2 3 2 7" xfId="15104"/>
    <cellStyle name="asd 26 2 3 2 8" xfId="18319"/>
    <cellStyle name="asd 26 2 3 2 9" xfId="20225"/>
    <cellStyle name="asd 26 2 3 20" xfId="38037"/>
    <cellStyle name="asd 26 2 3 21" xfId="40258"/>
    <cellStyle name="asd 26 2 3 22" xfId="41916"/>
    <cellStyle name="asd 26 2 3 23" xfId="42976"/>
    <cellStyle name="asd 26 2 3 3" xfId="5281"/>
    <cellStyle name="asd 26 2 3 4" xfId="8182"/>
    <cellStyle name="asd 26 2 3 5" xfId="10092"/>
    <cellStyle name="asd 26 2 3 6" xfId="11056"/>
    <cellStyle name="asd 26 2 3 7" xfId="13670"/>
    <cellStyle name="asd 26 2 3 8" xfId="15572"/>
    <cellStyle name="asd 26 2 3 9" xfId="17711"/>
    <cellStyle name="asd 26 2 4" xfId="4012"/>
    <cellStyle name="asd 26 2 4 10" xfId="19647"/>
    <cellStyle name="asd 26 2 4 11" xfId="21559"/>
    <cellStyle name="asd 26 2 4 12" xfId="23964"/>
    <cellStyle name="asd 26 2 4 13" xfId="25361"/>
    <cellStyle name="asd 26 2 4 14" xfId="27237"/>
    <cellStyle name="asd 26 2 4 15" xfId="29721"/>
    <cellStyle name="asd 26 2 4 16" xfId="30828"/>
    <cellStyle name="asd 26 2 4 17" xfId="32725"/>
    <cellStyle name="asd 26 2 4 18" xfId="34714"/>
    <cellStyle name="asd 26 2 4 19" xfId="36188"/>
    <cellStyle name="asd 26 2 4 2" xfId="5917"/>
    <cellStyle name="asd 26 2 4 2 10" xfId="22167"/>
    <cellStyle name="asd 26 2 4 2 11" xfId="23456"/>
    <cellStyle name="asd 26 2 4 2 12" xfId="25969"/>
    <cellStyle name="asd 26 2 4 2 13" xfId="26852"/>
    <cellStyle name="asd 26 2 4 2 14" xfId="29499"/>
    <cellStyle name="asd 26 2 4 2 15" xfId="30449"/>
    <cellStyle name="asd 26 2 4 2 16" xfId="32866"/>
    <cellStyle name="asd 26 2 4 2 17" xfId="33517"/>
    <cellStyle name="asd 26 2 4 2 18" xfId="36796"/>
    <cellStyle name="asd 26 2 4 2 19" xfId="38675"/>
    <cellStyle name="asd 26 2 4 2 2" xfId="7366"/>
    <cellStyle name="asd 26 2 4 2 20" xfId="40072"/>
    <cellStyle name="asd 26 2 4 2 21" xfId="41736"/>
    <cellStyle name="asd 26 2 4 2 22" xfId="43223"/>
    <cellStyle name="asd 26 2 4 2 3" xfId="8820"/>
    <cellStyle name="asd 26 2 4 2 4" xfId="10730"/>
    <cellStyle name="asd 26 2 4 2 5" xfId="12545"/>
    <cellStyle name="asd 26 2 4 2 6" xfId="13928"/>
    <cellStyle name="asd 26 2 4 2 7" xfId="15829"/>
    <cellStyle name="asd 26 2 4 2 8" xfId="18349"/>
    <cellStyle name="asd 26 2 4 2 9" xfId="20255"/>
    <cellStyle name="asd 26 2 4 20" xfId="38067"/>
    <cellStyle name="asd 26 2 4 21" xfId="39935"/>
    <cellStyle name="asd 26 2 4 22" xfId="41601"/>
    <cellStyle name="asd 26 2 4 23" xfId="43710"/>
    <cellStyle name="asd 26 2 4 3" xfId="6758"/>
    <cellStyle name="asd 26 2 4 4" xfId="8212"/>
    <cellStyle name="asd 26 2 4 5" xfId="10122"/>
    <cellStyle name="asd 26 2 4 6" xfId="11924"/>
    <cellStyle name="asd 26 2 4 7" xfId="14434"/>
    <cellStyle name="asd 26 2 4 8" xfId="16340"/>
    <cellStyle name="asd 26 2 4 9" xfId="17741"/>
    <cellStyle name="asd 26 2 5" xfId="4882"/>
    <cellStyle name="asd 26 2 5 10" xfId="21130"/>
    <cellStyle name="asd 26 2 5 11" xfId="22410"/>
    <cellStyle name="asd 26 2 5 12" xfId="24932"/>
    <cellStyle name="asd 26 2 5 13" xfId="27284"/>
    <cellStyle name="asd 26 2 5 14" xfId="27813"/>
    <cellStyle name="asd 26 2 5 15" xfId="30876"/>
    <cellStyle name="asd 26 2 5 16" xfId="28595"/>
    <cellStyle name="asd 26 2 5 17" xfId="2789"/>
    <cellStyle name="asd 26 2 5 18" xfId="35759"/>
    <cellStyle name="asd 26 2 5 19" xfId="37638"/>
    <cellStyle name="asd 26 2 5 2" xfId="6332"/>
    <cellStyle name="asd 26 2 5 20" xfId="22354"/>
    <cellStyle name="asd 26 2 5 21" xfId="28007"/>
    <cellStyle name="asd 26 2 5 22" xfId="42221"/>
    <cellStyle name="asd 26 2 5 3" xfId="7783"/>
    <cellStyle name="asd 26 2 5 4" xfId="9693"/>
    <cellStyle name="asd 26 2 5 5" xfId="11355"/>
    <cellStyle name="asd 26 2 5 6" xfId="12877"/>
    <cellStyle name="asd 26 2 5 7" xfId="14782"/>
    <cellStyle name="asd 26 2 5 8" xfId="17312"/>
    <cellStyle name="asd 26 2 5 9" xfId="19218"/>
    <cellStyle name="asd 26 2 6" xfId="5678"/>
    <cellStyle name="asd 26 2 6 10" xfId="21928"/>
    <cellStyle name="asd 26 2 6 11" xfId="23647"/>
    <cellStyle name="asd 26 2 6 12" xfId="25730"/>
    <cellStyle name="asd 26 2 6 13" xfId="27246"/>
    <cellStyle name="asd 26 2 6 14" xfId="29589"/>
    <cellStyle name="asd 26 2 6 15" xfId="30837"/>
    <cellStyle name="asd 26 2 6 16" xfId="32670"/>
    <cellStyle name="asd 26 2 6 17" xfId="34270"/>
    <cellStyle name="asd 26 2 6 18" xfId="36557"/>
    <cellStyle name="asd 26 2 6 19" xfId="38436"/>
    <cellStyle name="asd 26 2 6 2" xfId="7127"/>
    <cellStyle name="asd 26 2 6 20" xfId="39877"/>
    <cellStyle name="asd 26 2 6 21" xfId="41546"/>
    <cellStyle name="asd 26 2 6 22" xfId="43405"/>
    <cellStyle name="asd 26 2 6 3" xfId="8581"/>
    <cellStyle name="asd 26 2 6 4" xfId="10491"/>
    <cellStyle name="asd 26 2 6 5" xfId="11499"/>
    <cellStyle name="asd 26 2 6 6" xfId="14117"/>
    <cellStyle name="asd 26 2 6 7" xfId="16020"/>
    <cellStyle name="asd 26 2 6 8" xfId="18110"/>
    <cellStyle name="asd 26 2 6 9" xfId="20016"/>
    <cellStyle name="asd 26 2 7" xfId="4226"/>
    <cellStyle name="asd 26 2 8" xfId="9078"/>
    <cellStyle name="asd 26 2 9" xfId="12697"/>
    <cellStyle name="asd 26 20" xfId="28687"/>
    <cellStyle name="asd 26 21" xfId="28340"/>
    <cellStyle name="asd 26 22" xfId="33057"/>
    <cellStyle name="asd 26 23" xfId="31641"/>
    <cellStyle name="asd 26 24" xfId="28726"/>
    <cellStyle name="asd 26 25" xfId="3202"/>
    <cellStyle name="asd 26 26" xfId="34406"/>
    <cellStyle name="asd 26 27" xfId="39505"/>
    <cellStyle name="asd 26 3" xfId="3408"/>
    <cellStyle name="asd 26 3 10" xfId="14463"/>
    <cellStyle name="asd 26 3 11" xfId="16369"/>
    <cellStyle name="asd 26 3 12" xfId="16766"/>
    <cellStyle name="asd 26 3 13" xfId="18673"/>
    <cellStyle name="asd 26 3 14" xfId="20585"/>
    <cellStyle name="asd 26 3 15" xfId="23993"/>
    <cellStyle name="asd 26 3 16" xfId="24387"/>
    <cellStyle name="asd 26 3 17" xfId="27398"/>
    <cellStyle name="asd 26 3 18" xfId="29452"/>
    <cellStyle name="asd 26 3 19" xfId="30984"/>
    <cellStyle name="asd 26 3 2" xfId="3588"/>
    <cellStyle name="asd 26 3 2 10" xfId="17479"/>
    <cellStyle name="asd 26 3 2 11" xfId="19385"/>
    <cellStyle name="asd 26 3 2 12" xfId="21297"/>
    <cellStyle name="asd 26 3 2 13" xfId="23682"/>
    <cellStyle name="asd 26 3 2 14" xfId="25099"/>
    <cellStyle name="asd 26 3 2 15" xfId="27672"/>
    <cellStyle name="asd 26 3 2 16" xfId="29331"/>
    <cellStyle name="asd 26 3 2 17" xfId="31248"/>
    <cellStyle name="asd 26 3 2 18" xfId="33058"/>
    <cellStyle name="asd 26 3 2 19" xfId="34338"/>
    <cellStyle name="asd 26 3 2 2" xfId="4552"/>
    <cellStyle name="asd 26 3 2 2 10" xfId="20797"/>
    <cellStyle name="asd 26 3 2 2 11" xfId="22549"/>
    <cellStyle name="asd 26 3 2 2 12" xfId="24599"/>
    <cellStyle name="asd 26 3 2 2 13" xfId="27571"/>
    <cellStyle name="asd 26 3 2 2 14" xfId="28871"/>
    <cellStyle name="asd 26 3 2 2 15" xfId="31150"/>
    <cellStyle name="asd 26 3 2 2 16" xfId="33136"/>
    <cellStyle name="asd 26 3 2 2 17" xfId="34559"/>
    <cellStyle name="asd 26 3 2 2 18" xfId="35427"/>
    <cellStyle name="asd 26 3 2 2 19" xfId="37305"/>
    <cellStyle name="asd 26 3 2 2 2" xfId="1791"/>
    <cellStyle name="asd 26 3 2 2 20" xfId="40330"/>
    <cellStyle name="asd 26 3 2 2 21" xfId="41986"/>
    <cellStyle name="asd 26 3 2 2 22" xfId="42358"/>
    <cellStyle name="asd 26 3 2 2 3" xfId="2748"/>
    <cellStyle name="asd 26 3 2 2 4" xfId="9359"/>
    <cellStyle name="asd 26 3 2 2 5" xfId="11648"/>
    <cellStyle name="asd 26 3 2 2 6" xfId="13017"/>
    <cellStyle name="asd 26 3 2 2 7" xfId="14921"/>
    <cellStyle name="asd 26 3 2 2 8" xfId="16978"/>
    <cellStyle name="asd 26 3 2 2 9" xfId="18885"/>
    <cellStyle name="asd 26 3 2 20" xfId="35926"/>
    <cellStyle name="asd 26 3 2 21" xfId="37805"/>
    <cellStyle name="asd 26 3 2 22" xfId="40254"/>
    <cellStyle name="asd 26 3 2 23" xfId="41912"/>
    <cellStyle name="asd 26 3 2 24" xfId="43439"/>
    <cellStyle name="asd 26 3 2 3" xfId="5049"/>
    <cellStyle name="asd 26 3 2 4" xfId="6499"/>
    <cellStyle name="asd 26 3 2 5" xfId="7950"/>
    <cellStyle name="asd 26 3 2 6" xfId="9860"/>
    <cellStyle name="asd 26 3 2 7" xfId="11747"/>
    <cellStyle name="asd 26 3 2 8" xfId="14152"/>
    <cellStyle name="asd 26 3 2 9" xfId="16056"/>
    <cellStyle name="asd 26 3 20" xfId="33227"/>
    <cellStyle name="asd 26 3 21" xfId="33822"/>
    <cellStyle name="asd 26 3 22" xfId="35215"/>
    <cellStyle name="asd 26 3 23" xfId="37093"/>
    <cellStyle name="asd 26 3 24" xfId="40416"/>
    <cellStyle name="asd 26 3 25" xfId="42072"/>
    <cellStyle name="asd 26 3 26" xfId="43737"/>
    <cellStyle name="asd 26 3 3" xfId="3835"/>
    <cellStyle name="asd 26 3 3 10" xfId="19560"/>
    <cellStyle name="asd 26 3 3 11" xfId="21472"/>
    <cellStyle name="asd 26 3 3 12" xfId="23634"/>
    <cellStyle name="asd 26 3 3 13" xfId="25274"/>
    <cellStyle name="asd 26 3 3 14" xfId="26506"/>
    <cellStyle name="asd 26 3 3 15" xfId="12646"/>
    <cellStyle name="asd 26 3 3 16" xfId="30112"/>
    <cellStyle name="asd 26 3 3 17" xfId="2695"/>
    <cellStyle name="asd 26 3 3 18" xfId="33103"/>
    <cellStyle name="asd 26 3 3 19" xfId="36101"/>
    <cellStyle name="asd 26 3 3 2" xfId="5830"/>
    <cellStyle name="asd 26 3 3 2 10" xfId="22080"/>
    <cellStyle name="asd 26 3 3 2 11" xfId="22701"/>
    <cellStyle name="asd 26 3 3 2 12" xfId="25882"/>
    <cellStyle name="asd 26 3 3 2 13" xfId="27043"/>
    <cellStyle name="asd 26 3 3 2 14" xfId="28601"/>
    <cellStyle name="asd 26 3 3 2 15" xfId="30636"/>
    <cellStyle name="asd 26 3 3 2 16" xfId="32831"/>
    <cellStyle name="asd 26 3 3 2 17" xfId="34383"/>
    <cellStyle name="asd 26 3 3 2 18" xfId="36709"/>
    <cellStyle name="asd 26 3 3 2 19" xfId="38588"/>
    <cellStyle name="asd 26 3 3 2 2" xfId="7279"/>
    <cellStyle name="asd 26 3 3 2 20" xfId="40040"/>
    <cellStyle name="asd 26 3 3 2 21" xfId="41704"/>
    <cellStyle name="asd 26 3 3 2 22" xfId="42502"/>
    <cellStyle name="asd 26 3 3 2 3" xfId="8733"/>
    <cellStyle name="asd 26 3 3 2 4" xfId="10643"/>
    <cellStyle name="asd 26 3 3 2 5" xfId="11731"/>
    <cellStyle name="asd 26 3 3 2 6" xfId="13169"/>
    <cellStyle name="asd 26 3 3 2 7" xfId="15073"/>
    <cellStyle name="asd 26 3 3 2 8" xfId="18262"/>
    <cellStyle name="asd 26 3 3 2 9" xfId="20168"/>
    <cellStyle name="asd 26 3 3 20" xfId="37980"/>
    <cellStyle name="asd 26 3 3 21" xfId="29148"/>
    <cellStyle name="asd 26 3 3 22" xfId="31766"/>
    <cellStyle name="asd 26 3 3 23" xfId="43392"/>
    <cellStyle name="asd 26 3 3 3" xfId="5224"/>
    <cellStyle name="asd 26 3 3 4" xfId="8125"/>
    <cellStyle name="asd 26 3 3 5" xfId="10035"/>
    <cellStyle name="asd 26 3 3 6" xfId="12601"/>
    <cellStyle name="asd 26 3 3 7" xfId="14104"/>
    <cellStyle name="asd 26 3 3 8" xfId="16007"/>
    <cellStyle name="asd 26 3 3 9" xfId="17654"/>
    <cellStyle name="asd 26 3 4" xfId="4040"/>
    <cellStyle name="asd 26 3 4 10" xfId="19675"/>
    <cellStyle name="asd 26 3 4 11" xfId="21587"/>
    <cellStyle name="asd 26 3 4 12" xfId="22594"/>
    <cellStyle name="asd 26 3 4 13" xfId="25389"/>
    <cellStyle name="asd 26 3 4 14" xfId="26989"/>
    <cellStyle name="asd 26 3 4 15" xfId="29453"/>
    <cellStyle name="asd 26 3 4 16" xfId="30583"/>
    <cellStyle name="asd 26 3 4 17" xfId="32649"/>
    <cellStyle name="asd 26 3 4 18" xfId="33574"/>
    <cellStyle name="asd 26 3 4 19" xfId="36216"/>
    <cellStyle name="asd 26 3 4 2" xfId="5945"/>
    <cellStyle name="asd 26 3 4 2 10" xfId="22195"/>
    <cellStyle name="asd 26 3 4 2 11" xfId="22856"/>
    <cellStyle name="asd 26 3 4 2 12" xfId="25997"/>
    <cellStyle name="asd 26 3 4 2 13" xfId="27542"/>
    <cellStyle name="asd 26 3 4 2 14" xfId="29687"/>
    <cellStyle name="asd 26 3 4 2 15" xfId="31123"/>
    <cellStyle name="asd 26 3 4 2 16" xfId="31691"/>
    <cellStyle name="asd 26 3 4 2 17" xfId="33913"/>
    <cellStyle name="asd 26 3 4 2 18" xfId="36824"/>
    <cellStyle name="asd 26 3 4 2 19" xfId="38703"/>
    <cellStyle name="asd 26 3 4 2 2" xfId="7394"/>
    <cellStyle name="asd 26 3 4 2 20" xfId="38933"/>
    <cellStyle name="asd 26 3 4 2 21" xfId="40617"/>
    <cellStyle name="asd 26 3 4 2 22" xfId="42646"/>
    <cellStyle name="asd 26 3 4 2 3" xfId="8848"/>
    <cellStyle name="asd 26 3 4 2 4" xfId="10758"/>
    <cellStyle name="asd 26 3 4 2 5" xfId="12213"/>
    <cellStyle name="asd 26 3 4 2 6" xfId="13325"/>
    <cellStyle name="asd 26 3 4 2 7" xfId="15229"/>
    <cellStyle name="asd 26 3 4 2 8" xfId="18377"/>
    <cellStyle name="asd 26 3 4 2 9" xfId="20283"/>
    <cellStyle name="asd 26 3 4 20" xfId="38095"/>
    <cellStyle name="asd 26 3 4 21" xfId="39856"/>
    <cellStyle name="asd 26 3 4 22" xfId="41525"/>
    <cellStyle name="asd 26 3 4 23" xfId="42403"/>
    <cellStyle name="asd 26 3 4 3" xfId="6786"/>
    <cellStyle name="asd 26 3 4 4" xfId="8240"/>
    <cellStyle name="asd 26 3 4 5" xfId="10150"/>
    <cellStyle name="asd 26 3 4 6" xfId="12368"/>
    <cellStyle name="asd 26 3 4 7" xfId="13062"/>
    <cellStyle name="asd 26 3 4 8" xfId="14966"/>
    <cellStyle name="asd 26 3 4 9" xfId="17769"/>
    <cellStyle name="asd 26 3 5" xfId="4903"/>
    <cellStyle name="asd 26 3 5 10" xfId="21151"/>
    <cellStyle name="asd 26 3 5 11" xfId="23050"/>
    <cellStyle name="asd 26 3 5 12" xfId="24953"/>
    <cellStyle name="asd 26 3 5 13" xfId="26485"/>
    <cellStyle name="asd 26 3 5 14" xfId="28764"/>
    <cellStyle name="asd 26 3 5 15" xfId="30091"/>
    <cellStyle name="asd 26 3 5 16" xfId="32026"/>
    <cellStyle name="asd 26 3 5 17" xfId="33854"/>
    <cellStyle name="asd 26 3 5 18" xfId="35780"/>
    <cellStyle name="asd 26 3 5 19" xfId="37659"/>
    <cellStyle name="asd 26 3 5 2" xfId="6353"/>
    <cellStyle name="asd 26 3 5 20" xfId="39256"/>
    <cellStyle name="asd 26 3 5 21" xfId="40933"/>
    <cellStyle name="asd 26 3 5 22" xfId="42833"/>
    <cellStyle name="asd 26 3 5 3" xfId="7804"/>
    <cellStyle name="asd 26 3 5 4" xfId="9714"/>
    <cellStyle name="asd 26 3 5 5" xfId="12650"/>
    <cellStyle name="asd 26 3 5 6" xfId="13521"/>
    <cellStyle name="asd 26 3 5 7" xfId="15424"/>
    <cellStyle name="asd 26 3 5 8" xfId="17333"/>
    <cellStyle name="asd 26 3 5 9" xfId="19239"/>
    <cellStyle name="asd 26 3 6" xfId="4436"/>
    <cellStyle name="asd 26 3 6 10" xfId="20681"/>
    <cellStyle name="asd 26 3 6 11" xfId="23817"/>
    <cellStyle name="asd 26 3 6 12" xfId="24483"/>
    <cellStyle name="asd 26 3 6 13" xfId="27392"/>
    <cellStyle name="asd 26 3 6 14" xfId="29526"/>
    <cellStyle name="asd 26 3 6 15" xfId="30978"/>
    <cellStyle name="asd 26 3 6 16" xfId="32049"/>
    <cellStyle name="asd 26 3 6 17" xfId="33523"/>
    <cellStyle name="asd 26 3 6 18" xfId="35311"/>
    <cellStyle name="asd 26 3 6 19" xfId="37189"/>
    <cellStyle name="asd 26 3 6 2" xfId="5447"/>
    <cellStyle name="asd 26 3 6 20" xfId="39278"/>
    <cellStyle name="asd 26 3 6 21" xfId="40954"/>
    <cellStyle name="asd 26 3 6 22" xfId="43568"/>
    <cellStyle name="asd 26 3 6 3" xfId="6155"/>
    <cellStyle name="asd 26 3 6 4" xfId="9243"/>
    <cellStyle name="asd 26 3 6 5" xfId="12651"/>
    <cellStyle name="asd 26 3 6 6" xfId="14287"/>
    <cellStyle name="asd 26 3 6 7" xfId="16191"/>
    <cellStyle name="asd 26 3 6 8" xfId="16862"/>
    <cellStyle name="asd 26 3 6 9" xfId="18769"/>
    <cellStyle name="asd 26 3 7" xfId="6222"/>
    <cellStyle name="asd 26 3 8" xfId="9147"/>
    <cellStyle name="asd 26 3 9" xfId="11952"/>
    <cellStyle name="asd 26 4" xfId="3363"/>
    <cellStyle name="asd 26 4 10" xfId="13689"/>
    <cellStyle name="asd 26 4 11" xfId="16659"/>
    <cellStyle name="asd 26 4 12" xfId="18566"/>
    <cellStyle name="asd 26 4 13" xfId="20478"/>
    <cellStyle name="asd 26 4 14" xfId="3142"/>
    <cellStyle name="asd 26 4 15" xfId="24280"/>
    <cellStyle name="asd 26 4 16" xfId="23377"/>
    <cellStyle name="asd 26 4 17" xfId="2305"/>
    <cellStyle name="asd 26 4 18" xfId="2948"/>
    <cellStyle name="asd 26 4 19" xfId="32415"/>
    <cellStyle name="asd 26 4 2" xfId="3543"/>
    <cellStyle name="asd 26 4 2 10" xfId="17434"/>
    <cellStyle name="asd 26 4 2 11" xfId="19340"/>
    <cellStyle name="asd 26 4 2 12" xfId="21252"/>
    <cellStyle name="asd 26 4 2 13" xfId="23518"/>
    <cellStyle name="asd 26 4 2 14" xfId="25054"/>
    <cellStyle name="asd 26 4 2 15" xfId="26194"/>
    <cellStyle name="asd 26 4 2 16" xfId="28644"/>
    <cellStyle name="asd 26 4 2 17" xfId="29807"/>
    <cellStyle name="asd 26 4 2 18" xfId="32162"/>
    <cellStyle name="asd 26 4 2 19" xfId="34600"/>
    <cellStyle name="asd 26 4 2 2" xfId="5473"/>
    <cellStyle name="asd 26 4 2 2 10" xfId="21723"/>
    <cellStyle name="asd 26 4 2 2 11" xfId="23459"/>
    <cellStyle name="asd 26 4 2 2 12" xfId="25525"/>
    <cellStyle name="asd 26 4 2 2 13" xfId="27744"/>
    <cellStyle name="asd 26 4 2 2 14" xfId="29262"/>
    <cellStyle name="asd 26 4 2 2 15" xfId="31322"/>
    <cellStyle name="asd 26 4 2 2 16" xfId="32630"/>
    <cellStyle name="asd 26 4 2 2 17" xfId="34476"/>
    <cellStyle name="asd 26 4 2 2 18" xfId="36352"/>
    <cellStyle name="asd 26 4 2 2 19" xfId="38231"/>
    <cellStyle name="asd 26 4 2 2 2" xfId="6922"/>
    <cellStyle name="asd 26 4 2 2 20" xfId="39839"/>
    <cellStyle name="asd 26 4 2 2 21" xfId="41508"/>
    <cellStyle name="asd 26 4 2 2 22" xfId="43226"/>
    <cellStyle name="asd 26 4 2 2 3" xfId="8376"/>
    <cellStyle name="asd 26 4 2 2 4" xfId="10286"/>
    <cellStyle name="asd 26 4 2 2 5" xfId="12596"/>
    <cellStyle name="asd 26 4 2 2 6" xfId="13931"/>
    <cellStyle name="asd 26 4 2 2 7" xfId="15832"/>
    <cellStyle name="asd 26 4 2 2 8" xfId="17905"/>
    <cellStyle name="asd 26 4 2 2 9" xfId="19811"/>
    <cellStyle name="asd 26 4 2 20" xfId="35881"/>
    <cellStyle name="asd 26 4 2 21" xfId="37760"/>
    <cellStyle name="asd 26 4 2 22" xfId="39384"/>
    <cellStyle name="asd 26 4 2 23" xfId="41060"/>
    <cellStyle name="asd 26 4 2 24" xfId="43283"/>
    <cellStyle name="asd 26 4 2 3" xfId="5004"/>
    <cellStyle name="asd 26 4 2 4" xfId="6454"/>
    <cellStyle name="asd 26 4 2 5" xfId="7905"/>
    <cellStyle name="asd 26 4 2 6" xfId="9815"/>
    <cellStyle name="asd 26 4 2 7" xfId="11181"/>
    <cellStyle name="asd 26 4 2 8" xfId="13990"/>
    <cellStyle name="asd 26 4 2 9" xfId="15891"/>
    <cellStyle name="asd 26 4 20" xfId="34912"/>
    <cellStyle name="asd 26 4 21" xfId="35108"/>
    <cellStyle name="asd 26 4 22" xfId="36986"/>
    <cellStyle name="asd 26 4 23" xfId="39632"/>
    <cellStyle name="asd 26 4 24" xfId="41306"/>
    <cellStyle name="asd 26 4 25" xfId="41751"/>
    <cellStyle name="asd 26 4 3" xfId="2117"/>
    <cellStyle name="asd 26 4 3 10" xfId="19020"/>
    <cellStyle name="asd 26 4 3 11" xfId="20932"/>
    <cellStyle name="asd 26 4 3 12" xfId="22520"/>
    <cellStyle name="asd 26 4 3 13" xfId="24734"/>
    <cellStyle name="asd 26 4 3 14" xfId="26568"/>
    <cellStyle name="asd 26 4 3 15" xfId="28056"/>
    <cellStyle name="asd 26 4 3 16" xfId="30170"/>
    <cellStyle name="asd 26 4 3 17" xfId="31971"/>
    <cellStyle name="asd 26 4 3 18" xfId="34385"/>
    <cellStyle name="asd 26 4 3 19" xfId="35561"/>
    <cellStyle name="asd 26 4 3 2" xfId="5525"/>
    <cellStyle name="asd 26 4 3 2 10" xfId="21775"/>
    <cellStyle name="asd 26 4 3 2 11" xfId="23166"/>
    <cellStyle name="asd 26 4 3 2 12" xfId="25577"/>
    <cellStyle name="asd 26 4 3 2 13" xfId="27033"/>
    <cellStyle name="asd 26 4 3 2 14" xfId="28936"/>
    <cellStyle name="asd 26 4 3 2 15" xfId="30626"/>
    <cellStyle name="asd 26 4 3 2 16" xfId="31917"/>
    <cellStyle name="asd 26 4 3 2 17" xfId="34047"/>
    <cellStyle name="asd 26 4 3 2 18" xfId="36404"/>
    <cellStyle name="asd 26 4 3 2 19" xfId="38283"/>
    <cellStyle name="asd 26 4 3 2 2" xfId="6974"/>
    <cellStyle name="asd 26 4 3 2 20" xfId="39149"/>
    <cellStyle name="asd 26 4 3 2 21" xfId="40830"/>
    <cellStyle name="asd 26 4 3 2 22" xfId="42944"/>
    <cellStyle name="asd 26 4 3 2 3" xfId="8428"/>
    <cellStyle name="asd 26 4 3 2 4" xfId="10338"/>
    <cellStyle name="asd 26 4 3 2 5" xfId="10978"/>
    <cellStyle name="asd 26 4 3 2 6" xfId="13637"/>
    <cellStyle name="asd 26 4 3 2 7" xfId="15540"/>
    <cellStyle name="asd 26 4 3 2 8" xfId="17957"/>
    <cellStyle name="asd 26 4 3 2 9" xfId="19863"/>
    <cellStyle name="asd 26 4 3 20" xfId="37440"/>
    <cellStyle name="asd 26 4 3 21" xfId="39201"/>
    <cellStyle name="asd 26 4 3 22" xfId="40882"/>
    <cellStyle name="asd 26 4 3 23" xfId="42330"/>
    <cellStyle name="asd 26 4 3 3" xfId="4687"/>
    <cellStyle name="asd 26 4 3 4" xfId="7585"/>
    <cellStyle name="asd 26 4 3 5" xfId="9495"/>
    <cellStyle name="asd 26 4 3 6" xfId="11388"/>
    <cellStyle name="asd 26 4 3 7" xfId="12988"/>
    <cellStyle name="asd 26 4 3 8" xfId="14892"/>
    <cellStyle name="asd 26 4 3 9" xfId="17114"/>
    <cellStyle name="asd 26 4 4" xfId="3995"/>
    <cellStyle name="asd 26 4 4 10" xfId="19630"/>
    <cellStyle name="asd 26 4 4 11" xfId="21542"/>
    <cellStyle name="asd 26 4 4 12" xfId="23414"/>
    <cellStyle name="asd 26 4 4 13" xfId="25344"/>
    <cellStyle name="asd 26 4 4 14" xfId="26897"/>
    <cellStyle name="asd 26 4 4 15" xfId="1895"/>
    <cellStyle name="asd 26 4 4 16" xfId="30493"/>
    <cellStyle name="asd 26 4 4 17" xfId="32906"/>
    <cellStyle name="asd 26 4 4 18" xfId="34954"/>
    <cellStyle name="asd 26 4 4 19" xfId="36171"/>
    <cellStyle name="asd 26 4 4 2" xfId="5900"/>
    <cellStyle name="asd 26 4 4 2 10" xfId="22150"/>
    <cellStyle name="asd 26 4 4 2 11" xfId="23109"/>
    <cellStyle name="asd 26 4 4 2 12" xfId="25952"/>
    <cellStyle name="asd 26 4 4 2 13" xfId="26176"/>
    <cellStyle name="asd 26 4 4 2 14" xfId="28372"/>
    <cellStyle name="asd 26 4 4 2 15" xfId="29789"/>
    <cellStyle name="asd 26 4 4 2 16" xfId="32751"/>
    <cellStyle name="asd 26 4 4 2 17" xfId="33396"/>
    <cellStyle name="asd 26 4 4 2 18" xfId="36779"/>
    <cellStyle name="asd 26 4 4 2 19" xfId="38658"/>
    <cellStyle name="asd 26 4 4 2 2" xfId="7349"/>
    <cellStyle name="asd 26 4 4 2 20" xfId="39960"/>
    <cellStyle name="asd 26 4 4 2 21" xfId="41624"/>
    <cellStyle name="asd 26 4 4 2 22" xfId="42889"/>
    <cellStyle name="asd 26 4 4 2 3" xfId="8803"/>
    <cellStyle name="asd 26 4 4 2 4" xfId="10713"/>
    <cellStyle name="asd 26 4 4 2 5" xfId="12724"/>
    <cellStyle name="asd 26 4 4 2 6" xfId="13580"/>
    <cellStyle name="asd 26 4 4 2 7" xfId="15483"/>
    <cellStyle name="asd 26 4 4 2 8" xfId="18332"/>
    <cellStyle name="asd 26 4 4 2 9" xfId="20238"/>
    <cellStyle name="asd 26 4 4 20" xfId="38050"/>
    <cellStyle name="asd 26 4 4 21" xfId="40110"/>
    <cellStyle name="asd 26 4 4 22" xfId="41770"/>
    <cellStyle name="asd 26 4 4 23" xfId="43181"/>
    <cellStyle name="asd 26 4 4 3" xfId="6741"/>
    <cellStyle name="asd 26 4 4 4" xfId="8195"/>
    <cellStyle name="asd 26 4 4 5" xfId="10105"/>
    <cellStyle name="asd 26 4 4 6" xfId="11621"/>
    <cellStyle name="asd 26 4 4 7" xfId="13886"/>
    <cellStyle name="asd 26 4 4 8" xfId="15787"/>
    <cellStyle name="asd 26 4 4 9" xfId="17724"/>
    <cellStyle name="asd 26 4 5" xfId="2161"/>
    <cellStyle name="asd 26 4 5 10" xfId="20566"/>
    <cellStyle name="asd 26 4 5 11" xfId="22768"/>
    <cellStyle name="asd 26 4 5 12" xfId="24368"/>
    <cellStyle name="asd 26 4 5 13" xfId="26415"/>
    <cellStyle name="asd 26 4 5 14" xfId="28950"/>
    <cellStyle name="asd 26 4 5 15" xfId="30022"/>
    <cellStyle name="asd 26 4 5 16" xfId="32981"/>
    <cellStyle name="asd 26 4 5 17" xfId="34522"/>
    <cellStyle name="asd 26 4 5 18" xfId="35196"/>
    <cellStyle name="asd 26 4 5 19" xfId="37074"/>
    <cellStyle name="asd 26 4 5 2" xfId="5235"/>
    <cellStyle name="asd 26 4 5 20" xfId="40182"/>
    <cellStyle name="asd 26 4 5 21" xfId="41841"/>
    <cellStyle name="asd 26 4 5 22" xfId="42563"/>
    <cellStyle name="asd 26 4 5 3" xfId="6139"/>
    <cellStyle name="asd 26 4 5 4" xfId="9128"/>
    <cellStyle name="asd 26 4 5 5" xfId="11685"/>
    <cellStyle name="asd 26 4 5 6" xfId="13237"/>
    <cellStyle name="asd 26 4 5 7" xfId="15140"/>
    <cellStyle name="asd 26 4 5 8" xfId="16747"/>
    <cellStyle name="asd 26 4 5 9" xfId="18654"/>
    <cellStyle name="asd 26 4 6" xfId="6128"/>
    <cellStyle name="asd 26 4 7" xfId="9040"/>
    <cellStyle name="asd 26 4 8" xfId="2352"/>
    <cellStyle name="asd 26 4 9" xfId="11093"/>
    <cellStyle name="asd 26 5" xfId="3249"/>
    <cellStyle name="asd 26 5 10" xfId="17282"/>
    <cellStyle name="asd 26 5 11" xfId="19188"/>
    <cellStyle name="asd 26 5 12" xfId="21100"/>
    <cellStyle name="asd 26 5 13" xfId="23230"/>
    <cellStyle name="asd 26 5 14" xfId="24902"/>
    <cellStyle name="asd 26 5 15" xfId="26199"/>
    <cellStyle name="asd 26 5 16" xfId="29057"/>
    <cellStyle name="asd 26 5 17" xfId="29812"/>
    <cellStyle name="asd 26 5 18" xfId="32531"/>
    <cellStyle name="asd 26 5 19" xfId="33525"/>
    <cellStyle name="asd 26 5 2" xfId="3274"/>
    <cellStyle name="asd 26 5 2 10" xfId="20602"/>
    <cellStyle name="asd 26 5 2 11" xfId="23594"/>
    <cellStyle name="asd 26 5 2 12" xfId="24404"/>
    <cellStyle name="asd 26 5 2 13" xfId="27007"/>
    <cellStyle name="asd 26 5 2 14" xfId="28800"/>
    <cellStyle name="asd 26 5 2 15" xfId="30600"/>
    <cellStyle name="asd 26 5 2 16" xfId="31842"/>
    <cellStyle name="asd 26 5 2 17" xfId="33770"/>
    <cellStyle name="asd 26 5 2 18" xfId="35232"/>
    <cellStyle name="asd 26 5 2 19" xfId="37110"/>
    <cellStyle name="asd 26 5 2 2" xfId="4375"/>
    <cellStyle name="asd 26 5 2 20" xfId="39079"/>
    <cellStyle name="asd 26 5 2 21" xfId="40760"/>
    <cellStyle name="asd 26 5 2 22" xfId="43353"/>
    <cellStyle name="asd 26 5 2 3" xfId="4480"/>
    <cellStyle name="asd 26 5 2 4" xfId="9164"/>
    <cellStyle name="asd 26 5 2 5" xfId="11339"/>
    <cellStyle name="asd 26 5 2 6" xfId="14064"/>
    <cellStyle name="asd 26 5 2 7" xfId="15967"/>
    <cellStyle name="asd 26 5 2 8" xfId="16783"/>
    <cellStyle name="asd 26 5 2 9" xfId="18690"/>
    <cellStyle name="asd 26 5 20" xfId="35729"/>
    <cellStyle name="asd 26 5 21" xfId="37608"/>
    <cellStyle name="asd 26 5 22" xfId="39744"/>
    <cellStyle name="asd 26 5 23" xfId="41416"/>
    <cellStyle name="asd 26 5 24" xfId="43007"/>
    <cellStyle name="asd 26 5 3" xfId="4852"/>
    <cellStyle name="asd 26 5 4" xfId="6302"/>
    <cellStyle name="asd 26 5 5" xfId="7753"/>
    <cellStyle name="asd 26 5 6" xfId="9663"/>
    <cellStyle name="asd 26 5 7" xfId="11114"/>
    <cellStyle name="asd 26 5 8" xfId="13702"/>
    <cellStyle name="asd 26 5 9" xfId="15604"/>
    <cellStyle name="asd 26 6" xfId="1801"/>
    <cellStyle name="asd 26 6 10" xfId="18968"/>
    <cellStyle name="asd 26 6 11" xfId="20880"/>
    <cellStyle name="asd 26 6 12" xfId="23599"/>
    <cellStyle name="asd 26 6 13" xfId="24682"/>
    <cellStyle name="asd 26 6 14" xfId="26328"/>
    <cellStyle name="asd 26 6 15" xfId="28072"/>
    <cellStyle name="asd 26 6 16" xfId="29936"/>
    <cellStyle name="asd 26 6 17" xfId="32274"/>
    <cellStyle name="asd 26 6 18" xfId="34213"/>
    <cellStyle name="asd 26 6 19" xfId="35509"/>
    <cellStyle name="asd 26 6 2" xfId="4381"/>
    <cellStyle name="asd 26 6 2 10" xfId="20624"/>
    <cellStyle name="asd 26 6 2 11" xfId="23067"/>
    <cellStyle name="asd 26 6 2 12" xfId="24426"/>
    <cellStyle name="asd 26 6 2 13" xfId="27058"/>
    <cellStyle name="asd 26 6 2 14" xfId="29433"/>
    <cellStyle name="asd 26 6 2 15" xfId="30650"/>
    <cellStyle name="asd 26 6 2 16" xfId="33056"/>
    <cellStyle name="asd 26 6 2 17" xfId="34388"/>
    <cellStyle name="asd 26 6 2 18" xfId="35254"/>
    <cellStyle name="asd 26 6 2 19" xfId="37132"/>
    <cellStyle name="asd 26 6 2 2" xfId="4383"/>
    <cellStyle name="asd 26 6 2 20" xfId="40253"/>
    <cellStyle name="asd 26 6 2 21" xfId="41911"/>
    <cellStyle name="asd 26 6 2 22" xfId="42850"/>
    <cellStyle name="asd 26 6 2 3" xfId="4273"/>
    <cellStyle name="asd 26 6 2 4" xfId="9186"/>
    <cellStyle name="asd 26 6 2 5" xfId="12673"/>
    <cellStyle name="asd 26 6 2 6" xfId="13538"/>
    <cellStyle name="asd 26 6 2 7" xfId="15441"/>
    <cellStyle name="asd 26 6 2 8" xfId="16805"/>
    <cellStyle name="asd 26 6 2 9" xfId="18712"/>
    <cellStyle name="asd 26 6 20" xfId="37388"/>
    <cellStyle name="asd 26 6 21" xfId="39492"/>
    <cellStyle name="asd 26 6 22" xfId="41167"/>
    <cellStyle name="asd 26 6 23" xfId="43358"/>
    <cellStyle name="asd 26 6 3" xfId="4636"/>
    <cellStyle name="asd 26 6 4" xfId="7533"/>
    <cellStyle name="asd 26 6 5" xfId="9443"/>
    <cellStyle name="asd 26 6 6" xfId="12397"/>
    <cellStyle name="asd 26 6 7" xfId="14069"/>
    <cellStyle name="asd 26 6 8" xfId="15972"/>
    <cellStyle name="asd 26 6 9" xfId="17062"/>
    <cellStyle name="asd 26 7" xfId="3344"/>
    <cellStyle name="asd 26 7 10" xfId="19201"/>
    <cellStyle name="asd 26 7 11" xfId="21113"/>
    <cellStyle name="asd 26 7 12" xfId="22905"/>
    <cellStyle name="asd 26 7 13" xfId="24915"/>
    <cellStyle name="asd 26 7 14" xfId="27092"/>
    <cellStyle name="asd 26 7 15" xfId="28870"/>
    <cellStyle name="asd 26 7 16" xfId="30683"/>
    <cellStyle name="asd 26 7 17" xfId="31865"/>
    <cellStyle name="asd 26 7 18" xfId="34970"/>
    <cellStyle name="asd 26 7 19" xfId="35742"/>
    <cellStyle name="asd 26 7 2" xfId="5470"/>
    <cellStyle name="asd 26 7 2 10" xfId="21720"/>
    <cellStyle name="asd 26 7 2 11" xfId="23827"/>
    <cellStyle name="asd 26 7 2 12" xfId="25522"/>
    <cellStyle name="asd 26 7 2 13" xfId="27432"/>
    <cellStyle name="asd 26 7 2 14" xfId="28452"/>
    <cellStyle name="asd 26 7 2 15" xfId="31018"/>
    <cellStyle name="asd 26 7 2 16" xfId="32638"/>
    <cellStyle name="asd 26 7 2 17" xfId="34420"/>
    <cellStyle name="asd 26 7 2 18" xfId="36349"/>
    <cellStyle name="asd 26 7 2 19" xfId="38228"/>
    <cellStyle name="asd 26 7 2 2" xfId="6919"/>
    <cellStyle name="asd 26 7 2 20" xfId="39845"/>
    <cellStyle name="asd 26 7 2 21" xfId="41514"/>
    <cellStyle name="asd 26 7 2 22" xfId="43578"/>
    <cellStyle name="asd 26 7 2 3" xfId="8373"/>
    <cellStyle name="asd 26 7 2 4" xfId="10283"/>
    <cellStyle name="asd 26 7 2 5" xfId="11598"/>
    <cellStyle name="asd 26 7 2 6" xfId="14297"/>
    <cellStyle name="asd 26 7 2 7" xfId="16201"/>
    <cellStyle name="asd 26 7 2 8" xfId="17902"/>
    <cellStyle name="asd 26 7 2 9" xfId="19808"/>
    <cellStyle name="asd 26 7 20" xfId="37621"/>
    <cellStyle name="asd 26 7 21" xfId="39100"/>
    <cellStyle name="asd 26 7 22" xfId="40781"/>
    <cellStyle name="asd 26 7 23" xfId="42691"/>
    <cellStyle name="asd 26 7 3" xfId="6315"/>
    <cellStyle name="asd 26 7 4" xfId="7766"/>
    <cellStyle name="asd 26 7 5" xfId="9676"/>
    <cellStyle name="asd 26 7 6" xfId="12356"/>
    <cellStyle name="asd 26 7 7" xfId="13373"/>
    <cellStyle name="asd 26 7 8" xfId="15278"/>
    <cellStyle name="asd 26 7 9" xfId="17295"/>
    <cellStyle name="asd 26 8" xfId="2638"/>
    <cellStyle name="asd 26 9" xfId="3832"/>
    <cellStyle name="asd 27" xfId="878"/>
    <cellStyle name="asd 27 10" xfId="2995"/>
    <cellStyle name="asd 27 11" xfId="12779"/>
    <cellStyle name="asd 27 12" xfId="14686"/>
    <cellStyle name="asd 27 13" xfId="11422"/>
    <cellStyle name="asd 27 14" xfId="1873"/>
    <cellStyle name="asd 27 15" xfId="2048"/>
    <cellStyle name="asd 27 16" xfId="22318"/>
    <cellStyle name="asd 27 17" xfId="18492"/>
    <cellStyle name="asd 27 18" xfId="3941"/>
    <cellStyle name="asd 27 19" xfId="2444"/>
    <cellStyle name="asd 27 2" xfId="3423"/>
    <cellStyle name="asd 27 2 10" xfId="13268"/>
    <cellStyle name="asd 27 2 11" xfId="15172"/>
    <cellStyle name="asd 27 2 12" xfId="16795"/>
    <cellStyle name="asd 27 2 13" xfId="18702"/>
    <cellStyle name="asd 27 2 14" xfId="20614"/>
    <cellStyle name="asd 27 2 15" xfId="22799"/>
    <cellStyle name="asd 27 2 16" xfId="24416"/>
    <cellStyle name="asd 27 2 17" xfId="26307"/>
    <cellStyle name="asd 27 2 18" xfId="27984"/>
    <cellStyle name="asd 27 2 19" xfId="29916"/>
    <cellStyle name="asd 27 2 2" xfId="3603"/>
    <cellStyle name="asd 27 2 2 10" xfId="17494"/>
    <cellStyle name="asd 27 2 2 11" xfId="19400"/>
    <cellStyle name="asd 27 2 2 12" xfId="21312"/>
    <cellStyle name="asd 27 2 2 13" xfId="22616"/>
    <cellStyle name="asd 27 2 2 14" xfId="25114"/>
    <cellStyle name="asd 27 2 2 15" xfId="26587"/>
    <cellStyle name="asd 27 2 2 16" xfId="29718"/>
    <cellStyle name="asd 27 2 2 17" xfId="30189"/>
    <cellStyle name="asd 27 2 2 18" xfId="33234"/>
    <cellStyle name="asd 27 2 2 19" xfId="34266"/>
    <cellStyle name="asd 27 2 2 2" xfId="4438"/>
    <cellStyle name="asd 27 2 2 2 10" xfId="20683"/>
    <cellStyle name="asd 27 2 2 2 11" xfId="23484"/>
    <cellStyle name="asd 27 2 2 2 12" xfId="24485"/>
    <cellStyle name="asd 27 2 2 2 13" xfId="27195"/>
    <cellStyle name="asd 27 2 2 2 14" xfId="28419"/>
    <cellStyle name="asd 27 2 2 2 15" xfId="30786"/>
    <cellStyle name="asd 27 2 2 2 16" xfId="32684"/>
    <cellStyle name="asd 27 2 2 2 17" xfId="34132"/>
    <cellStyle name="asd 27 2 2 2 18" xfId="35313"/>
    <cellStyle name="asd 27 2 2 2 19" xfId="37191"/>
    <cellStyle name="asd 27 2 2 2 2" xfId="5421"/>
    <cellStyle name="asd 27 2 2 2 20" xfId="39892"/>
    <cellStyle name="asd 27 2 2 2 21" xfId="41561"/>
    <cellStyle name="asd 27 2 2 2 22" xfId="43250"/>
    <cellStyle name="asd 27 2 2 2 3" xfId="6094"/>
    <cellStyle name="asd 27 2 2 2 4" xfId="9245"/>
    <cellStyle name="asd 27 2 2 2 5" xfId="12590"/>
    <cellStyle name="asd 27 2 2 2 6" xfId="13956"/>
    <cellStyle name="asd 27 2 2 2 7" xfId="15857"/>
    <cellStyle name="asd 27 2 2 2 8" xfId="16864"/>
    <cellStyle name="asd 27 2 2 2 9" xfId="18771"/>
    <cellStyle name="asd 27 2 2 20" xfId="35941"/>
    <cellStyle name="asd 27 2 2 21" xfId="37820"/>
    <cellStyle name="asd 27 2 2 22" xfId="40423"/>
    <cellStyle name="asd 27 2 2 23" xfId="42079"/>
    <cellStyle name="asd 27 2 2 24" xfId="42422"/>
    <cellStyle name="asd 27 2 2 3" xfId="5064"/>
    <cellStyle name="asd 27 2 2 4" xfId="6514"/>
    <cellStyle name="asd 27 2 2 5" xfId="7965"/>
    <cellStyle name="asd 27 2 2 6" xfId="9875"/>
    <cellStyle name="asd 27 2 2 7" xfId="11850"/>
    <cellStyle name="asd 27 2 2 8" xfId="13083"/>
    <cellStyle name="asd 27 2 2 9" xfId="14988"/>
    <cellStyle name="asd 27 2 20" xfId="31992"/>
    <cellStyle name="asd 27 2 21" xfId="2677"/>
    <cellStyle name="asd 27 2 22" xfId="35244"/>
    <cellStyle name="asd 27 2 23" xfId="37122"/>
    <cellStyle name="asd 27 2 24" xfId="39223"/>
    <cellStyle name="asd 27 2 25" xfId="40901"/>
    <cellStyle name="asd 27 2 26" xfId="42592"/>
    <cellStyle name="asd 27 2 3" xfId="3040"/>
    <cellStyle name="asd 27 2 3 10" xfId="19144"/>
    <cellStyle name="asd 27 2 3 11" xfId="21056"/>
    <cellStyle name="asd 27 2 3 12" xfId="22916"/>
    <cellStyle name="asd 27 2 3 13" xfId="24858"/>
    <cellStyle name="asd 27 2 3 14" xfId="27226"/>
    <cellStyle name="asd 27 2 3 15" xfId="29098"/>
    <cellStyle name="asd 27 2 3 16" xfId="30817"/>
    <cellStyle name="asd 27 2 3 17" xfId="32956"/>
    <cellStyle name="asd 27 2 3 18" xfId="34292"/>
    <cellStyle name="asd 27 2 3 19" xfId="35685"/>
    <cellStyle name="asd 27 2 3 2" xfId="5577"/>
    <cellStyle name="asd 27 2 3 2 10" xfId="21827"/>
    <cellStyle name="asd 27 2 3 2 11" xfId="22548"/>
    <cellStyle name="asd 27 2 3 2 12" xfId="25629"/>
    <cellStyle name="asd 27 2 3 2 13" xfId="5419"/>
    <cellStyle name="asd 27 2 3 2 14" xfId="20433"/>
    <cellStyle name="asd 27 2 3 2 15" xfId="2923"/>
    <cellStyle name="asd 27 2 3 2 16" xfId="3265"/>
    <cellStyle name="asd 27 2 3 2 17" xfId="2646"/>
    <cellStyle name="asd 27 2 3 2 18" xfId="36456"/>
    <cellStyle name="asd 27 2 3 2 19" xfId="38335"/>
    <cellStyle name="asd 27 2 3 2 2" xfId="7026"/>
    <cellStyle name="asd 27 2 3 2 20" xfId="20424"/>
    <cellStyle name="asd 27 2 3 2 21" xfId="33361"/>
    <cellStyle name="asd 27 2 3 2 22" xfId="42357"/>
    <cellStyle name="asd 27 2 3 2 3" xfId="8480"/>
    <cellStyle name="asd 27 2 3 2 4" xfId="10390"/>
    <cellStyle name="asd 27 2 3 2 5" xfId="3032"/>
    <cellStyle name="asd 27 2 3 2 6" xfId="13016"/>
    <cellStyle name="asd 27 2 3 2 7" xfId="14920"/>
    <cellStyle name="asd 27 2 3 2 8" xfId="18009"/>
    <cellStyle name="asd 27 2 3 2 9" xfId="19915"/>
    <cellStyle name="asd 27 2 3 20" xfId="37564"/>
    <cellStyle name="asd 27 2 3 21" xfId="40158"/>
    <cellStyle name="asd 27 2 3 22" xfId="41817"/>
    <cellStyle name="asd 27 2 3 23" xfId="42702"/>
    <cellStyle name="asd 27 2 3 3" xfId="4808"/>
    <cellStyle name="asd 27 2 3 4" xfId="7709"/>
    <cellStyle name="asd 27 2 3 5" xfId="9619"/>
    <cellStyle name="asd 27 2 3 6" xfId="12475"/>
    <cellStyle name="asd 27 2 3 7" xfId="13384"/>
    <cellStyle name="asd 27 2 3 8" xfId="15289"/>
    <cellStyle name="asd 27 2 3 9" xfId="17238"/>
    <cellStyle name="asd 27 2 4" xfId="4055"/>
    <cellStyle name="asd 27 2 4 10" xfId="19690"/>
    <cellStyle name="asd 27 2 4 11" xfId="21602"/>
    <cellStyle name="asd 27 2 4 12" xfId="23710"/>
    <cellStyle name="asd 27 2 4 13" xfId="25404"/>
    <cellStyle name="asd 27 2 4 14" xfId="26836"/>
    <cellStyle name="asd 27 2 4 15" xfId="28515"/>
    <cellStyle name="asd 27 2 4 16" xfId="30434"/>
    <cellStyle name="asd 27 2 4 17" xfId="31906"/>
    <cellStyle name="asd 27 2 4 18" xfId="33929"/>
    <cellStyle name="asd 27 2 4 19" xfId="36231"/>
    <cellStyle name="asd 27 2 4 2" xfId="5960"/>
    <cellStyle name="asd 27 2 4 2 10" xfId="22210"/>
    <cellStyle name="asd 27 2 4 2 11" xfId="22501"/>
    <cellStyle name="asd 27 2 4 2 12" xfId="26012"/>
    <cellStyle name="asd 27 2 4 2 13" xfId="26875"/>
    <cellStyle name="asd 27 2 4 2 14" xfId="28156"/>
    <cellStyle name="asd 27 2 4 2 15" xfId="30471"/>
    <cellStyle name="asd 27 2 4 2 16" xfId="32220"/>
    <cellStyle name="asd 27 2 4 2 17" xfId="33917"/>
    <cellStyle name="asd 27 2 4 2 18" xfId="36839"/>
    <cellStyle name="asd 27 2 4 2 19" xfId="38718"/>
    <cellStyle name="asd 27 2 4 2 2" xfId="7409"/>
    <cellStyle name="asd 27 2 4 2 20" xfId="39439"/>
    <cellStyle name="asd 27 2 4 2 21" xfId="41115"/>
    <cellStyle name="asd 27 2 4 2 22" xfId="42311"/>
    <cellStyle name="asd 27 2 4 2 3" xfId="8863"/>
    <cellStyle name="asd 27 2 4 2 4" xfId="10773"/>
    <cellStyle name="asd 27 2 4 2 5" xfId="11381"/>
    <cellStyle name="asd 27 2 4 2 6" xfId="12969"/>
    <cellStyle name="asd 27 2 4 2 7" xfId="14873"/>
    <cellStyle name="asd 27 2 4 2 8" xfId="18392"/>
    <cellStyle name="asd 27 2 4 2 9" xfId="20298"/>
    <cellStyle name="asd 27 2 4 20" xfId="38110"/>
    <cellStyle name="asd 27 2 4 21" xfId="39138"/>
    <cellStyle name="asd 27 2 4 22" xfId="40819"/>
    <cellStyle name="asd 27 2 4 23" xfId="43467"/>
    <cellStyle name="asd 27 2 4 3" xfId="6801"/>
    <cellStyle name="asd 27 2 4 4" xfId="8255"/>
    <cellStyle name="asd 27 2 4 5" xfId="10165"/>
    <cellStyle name="asd 27 2 4 6" xfId="11483"/>
    <cellStyle name="asd 27 2 4 7" xfId="14180"/>
    <cellStyle name="asd 27 2 4 8" xfId="16084"/>
    <cellStyle name="asd 27 2 4 9" xfId="17784"/>
    <cellStyle name="asd 27 2 5" xfId="4916"/>
    <cellStyle name="asd 27 2 5 10" xfId="21164"/>
    <cellStyle name="asd 27 2 5 11" xfId="23363"/>
    <cellStyle name="asd 27 2 5 12" xfId="24966"/>
    <cellStyle name="asd 27 2 5 13" xfId="26970"/>
    <cellStyle name="asd 27 2 5 14" xfId="29483"/>
    <cellStyle name="asd 27 2 5 15" xfId="30564"/>
    <cellStyle name="asd 27 2 5 16" xfId="33331"/>
    <cellStyle name="asd 27 2 5 17" xfId="18507"/>
    <cellStyle name="asd 27 2 5 18" xfId="35793"/>
    <cellStyle name="asd 27 2 5 19" xfId="37672"/>
    <cellStyle name="asd 27 2 5 2" xfId="6366"/>
    <cellStyle name="asd 27 2 5 20" xfId="40511"/>
    <cellStyle name="asd 27 2 5 21" xfId="42163"/>
    <cellStyle name="asd 27 2 5 22" xfId="43133"/>
    <cellStyle name="asd 27 2 5 3" xfId="7817"/>
    <cellStyle name="asd 27 2 5 4" xfId="9727"/>
    <cellStyle name="asd 27 2 5 5" xfId="12345"/>
    <cellStyle name="asd 27 2 5 6" xfId="13835"/>
    <cellStyle name="asd 27 2 5 7" xfId="15737"/>
    <cellStyle name="asd 27 2 5 8" xfId="17346"/>
    <cellStyle name="asd 27 2 5 9" xfId="19252"/>
    <cellStyle name="asd 27 2 6" xfId="5699"/>
    <cellStyle name="asd 27 2 6 10" xfId="21949"/>
    <cellStyle name="asd 27 2 6 11" xfId="23299"/>
    <cellStyle name="asd 27 2 6 12" xfId="25751"/>
    <cellStyle name="asd 27 2 6 13" xfId="24247"/>
    <cellStyle name="asd 27 2 6 14" xfId="2180"/>
    <cellStyle name="asd 27 2 6 15" xfId="2377"/>
    <cellStyle name="asd 27 2 6 16" xfId="22328"/>
    <cellStyle name="asd 27 2 6 17" xfId="16602"/>
    <cellStyle name="asd 27 2 6 18" xfId="36578"/>
    <cellStyle name="asd 27 2 6 19" xfId="38457"/>
    <cellStyle name="asd 27 2 6 2" xfId="7148"/>
    <cellStyle name="asd 27 2 6 20" xfId="34933"/>
    <cellStyle name="asd 27 2 6 21" xfId="29028"/>
    <cellStyle name="asd 27 2 6 22" xfId="43071"/>
    <cellStyle name="asd 27 2 6 3" xfId="8602"/>
    <cellStyle name="asd 27 2 6 4" xfId="10512"/>
    <cellStyle name="asd 27 2 6 5" xfId="11277"/>
    <cellStyle name="asd 27 2 6 6" xfId="13771"/>
    <cellStyle name="asd 27 2 6 7" xfId="15673"/>
    <cellStyle name="asd 27 2 6 8" xfId="18131"/>
    <cellStyle name="asd 27 2 6 9" xfId="20037"/>
    <cellStyle name="asd 27 2 7" xfId="6617"/>
    <cellStyle name="asd 27 2 8" xfId="9176"/>
    <cellStyle name="asd 27 2 9" xfId="10934"/>
    <cellStyle name="asd 27 20" xfId="3907"/>
    <cellStyle name="asd 27 21" xfId="1906"/>
    <cellStyle name="asd 27 22" xfId="3132"/>
    <cellStyle name="asd 27 23" xfId="24185"/>
    <cellStyle name="asd 27 24" xfId="2292"/>
    <cellStyle name="asd 27 25" xfId="24252"/>
    <cellStyle name="asd 27 26" xfId="27367"/>
    <cellStyle name="asd 27 27" xfId="42166"/>
    <cellStyle name="asd 27 3" xfId="3362"/>
    <cellStyle name="asd 27 3 10" xfId="13768"/>
    <cellStyle name="asd 27 3 11" xfId="15670"/>
    <cellStyle name="asd 27 3 12" xfId="16655"/>
    <cellStyle name="asd 27 3 13" xfId="18562"/>
    <cellStyle name="asd 27 3 14" xfId="20474"/>
    <cellStyle name="asd 27 3 15" xfId="23296"/>
    <cellStyle name="asd 27 3 16" xfId="24276"/>
    <cellStyle name="asd 27 3 17" xfId="26335"/>
    <cellStyle name="asd 27 3 18" xfId="29522"/>
    <cellStyle name="asd 27 3 19" xfId="29943"/>
    <cellStyle name="asd 27 3 2" xfId="3542"/>
    <cellStyle name="asd 27 3 2 10" xfId="17433"/>
    <cellStyle name="asd 27 3 2 11" xfId="19339"/>
    <cellStyle name="asd 27 3 2 12" xfId="21251"/>
    <cellStyle name="asd 27 3 2 13" xfId="24121"/>
    <cellStyle name="asd 27 3 2 14" xfId="25053"/>
    <cellStyle name="asd 27 3 2 15" xfId="26599"/>
    <cellStyle name="asd 27 3 2 16" xfId="28441"/>
    <cellStyle name="asd 27 3 2 17" xfId="30201"/>
    <cellStyle name="asd 27 3 2 18" xfId="32008"/>
    <cellStyle name="asd 27 3 2 19" xfId="34421"/>
    <cellStyle name="asd 27 3 2 2" xfId="5469"/>
    <cellStyle name="asd 27 3 2 2 10" xfId="21719"/>
    <cellStyle name="asd 27 3 2 2 11" xfId="22492"/>
    <cellStyle name="asd 27 3 2 2 12" xfId="25521"/>
    <cellStyle name="asd 27 3 2 2 13" xfId="27772"/>
    <cellStyle name="asd 27 3 2 2 14" xfId="2976"/>
    <cellStyle name="asd 27 3 2 2 15" xfId="31350"/>
    <cellStyle name="asd 27 3 2 2 16" xfId="32776"/>
    <cellStyle name="asd 27 3 2 2 17" xfId="34965"/>
    <cellStyle name="asd 27 3 2 2 18" xfId="36348"/>
    <cellStyle name="asd 27 3 2 2 19" xfId="38227"/>
    <cellStyle name="asd 27 3 2 2 2" xfId="6918"/>
    <cellStyle name="asd 27 3 2 2 20" xfId="39985"/>
    <cellStyle name="asd 27 3 2 2 21" xfId="41649"/>
    <cellStyle name="asd 27 3 2 2 22" xfId="42302"/>
    <cellStyle name="asd 27 3 2 2 3" xfId="8372"/>
    <cellStyle name="asd 27 3 2 2 4" xfId="10282"/>
    <cellStyle name="asd 27 3 2 2 5" xfId="12389"/>
    <cellStyle name="asd 27 3 2 2 6" xfId="12960"/>
    <cellStyle name="asd 27 3 2 2 7" xfId="14864"/>
    <cellStyle name="asd 27 3 2 2 8" xfId="17901"/>
    <cellStyle name="asd 27 3 2 2 9" xfId="19807"/>
    <cellStyle name="asd 27 3 2 20" xfId="35880"/>
    <cellStyle name="asd 27 3 2 21" xfId="37759"/>
    <cellStyle name="asd 27 3 2 22" xfId="39239"/>
    <cellStyle name="asd 27 3 2 23" xfId="40916"/>
    <cellStyle name="asd 27 3 2 24" xfId="43864"/>
    <cellStyle name="asd 27 3 2 3" xfId="5003"/>
    <cellStyle name="asd 27 3 2 4" xfId="6453"/>
    <cellStyle name="asd 27 3 2 5" xfId="7904"/>
    <cellStyle name="asd 27 3 2 6" xfId="9814"/>
    <cellStyle name="asd 27 3 2 7" xfId="12081"/>
    <cellStyle name="asd 27 3 2 8" xfId="14592"/>
    <cellStyle name="asd 27 3 2 9" xfId="16498"/>
    <cellStyle name="asd 27 3 20" xfId="31755"/>
    <cellStyle name="asd 27 3 21" xfId="33384"/>
    <cellStyle name="asd 27 3 22" xfId="35104"/>
    <cellStyle name="asd 27 3 23" xfId="36982"/>
    <cellStyle name="asd 27 3 24" xfId="38995"/>
    <cellStyle name="asd 27 3 25" xfId="40678"/>
    <cellStyle name="asd 27 3 26" xfId="43069"/>
    <cellStyle name="asd 27 3 3" xfId="3866"/>
    <cellStyle name="asd 27 3 3 10" xfId="19580"/>
    <cellStyle name="asd 27 3 3 11" xfId="21492"/>
    <cellStyle name="asd 27 3 3 12" xfId="23559"/>
    <cellStyle name="asd 27 3 3 13" xfId="25294"/>
    <cellStyle name="asd 27 3 3 14" xfId="26590"/>
    <cellStyle name="asd 27 3 3 15" xfId="28344"/>
    <cellStyle name="asd 27 3 3 16" xfId="30192"/>
    <cellStyle name="asd 27 3 3 17" xfId="32168"/>
    <cellStyle name="asd 27 3 3 18" xfId="34512"/>
    <cellStyle name="asd 27 3 3 19" xfId="36121"/>
    <cellStyle name="asd 27 3 3 2" xfId="5850"/>
    <cellStyle name="asd 27 3 3 2 10" xfId="22100"/>
    <cellStyle name="asd 27 3 3 2 11" xfId="24058"/>
    <cellStyle name="asd 27 3 3 2 12" xfId="25902"/>
    <cellStyle name="asd 27 3 3 2 13" xfId="26786"/>
    <cellStyle name="asd 27 3 3 2 14" xfId="6286"/>
    <cellStyle name="asd 27 3 3 2 15" xfId="30385"/>
    <cellStyle name="asd 27 3 3 2 16" xfId="32596"/>
    <cellStyle name="asd 27 3 3 2 17" xfId="35023"/>
    <cellStyle name="asd 27 3 3 2 18" xfId="36729"/>
    <cellStyle name="asd 27 3 3 2 19" xfId="38608"/>
    <cellStyle name="asd 27 3 3 2 2" xfId="7299"/>
    <cellStyle name="asd 27 3 3 2 20" xfId="39807"/>
    <cellStyle name="asd 27 3 3 2 21" xfId="41476"/>
    <cellStyle name="asd 27 3 3 2 22" xfId="43802"/>
    <cellStyle name="asd 27 3 3 2 3" xfId="8753"/>
    <cellStyle name="asd 27 3 3 2 4" xfId="10663"/>
    <cellStyle name="asd 27 3 3 2 5" xfId="12017"/>
    <cellStyle name="asd 27 3 3 2 6" xfId="14528"/>
    <cellStyle name="asd 27 3 3 2 7" xfId="16434"/>
    <cellStyle name="asd 27 3 3 2 8" xfId="18282"/>
    <cellStyle name="asd 27 3 3 2 9" xfId="20188"/>
    <cellStyle name="asd 27 3 3 20" xfId="38000"/>
    <cellStyle name="asd 27 3 3 21" xfId="39390"/>
    <cellStyle name="asd 27 3 3 22" xfId="41066"/>
    <cellStyle name="asd 27 3 3 23" xfId="43323"/>
    <cellStyle name="asd 27 3 3 3" xfId="5244"/>
    <cellStyle name="asd 27 3 3 4" xfId="8145"/>
    <cellStyle name="asd 27 3 3 5" xfId="10055"/>
    <cellStyle name="asd 27 3 3 6" xfId="12497"/>
    <cellStyle name="asd 27 3 3 7" xfId="14031"/>
    <cellStyle name="asd 27 3 3 8" xfId="15932"/>
    <cellStyle name="asd 27 3 3 9" xfId="17674"/>
    <cellStyle name="asd 27 3 4" xfId="3994"/>
    <cellStyle name="asd 27 3 4 10" xfId="19629"/>
    <cellStyle name="asd 27 3 4 11" xfId="21541"/>
    <cellStyle name="asd 27 3 4 12" xfId="24018"/>
    <cellStyle name="asd 27 3 4 13" xfId="25343"/>
    <cellStyle name="asd 27 3 4 14" xfId="26502"/>
    <cellStyle name="asd 27 3 4 15" xfId="29048"/>
    <cellStyle name="asd 27 3 4 16" xfId="30108"/>
    <cellStyle name="asd 27 3 4 17" xfId="32528"/>
    <cellStyle name="asd 27 3 4 18" xfId="34335"/>
    <cellStyle name="asd 27 3 4 19" xfId="36170"/>
    <cellStyle name="asd 27 3 4 2" xfId="5899"/>
    <cellStyle name="asd 27 3 4 2 10" xfId="22149"/>
    <cellStyle name="asd 27 3 4 2 11" xfId="22483"/>
    <cellStyle name="asd 27 3 4 2 12" xfId="25951"/>
    <cellStyle name="asd 27 3 4 2 13" xfId="27415"/>
    <cellStyle name="asd 27 3 4 2 14" xfId="28803"/>
    <cellStyle name="asd 27 3 4 2 15" xfId="31001"/>
    <cellStyle name="asd 27 3 4 2 16" xfId="32785"/>
    <cellStyle name="asd 27 3 4 2 17" xfId="34938"/>
    <cellStyle name="asd 27 3 4 2 18" xfId="36778"/>
    <cellStyle name="asd 27 3 4 2 19" xfId="38657"/>
    <cellStyle name="asd 27 3 4 2 2" xfId="7348"/>
    <cellStyle name="asd 27 3 4 2 20" xfId="39994"/>
    <cellStyle name="asd 27 3 4 2 21" xfId="41658"/>
    <cellStyle name="asd 27 3 4 2 22" xfId="42293"/>
    <cellStyle name="asd 27 3 4 2 3" xfId="8802"/>
    <cellStyle name="asd 27 3 4 2 4" xfId="10712"/>
    <cellStyle name="asd 27 3 4 2 5" xfId="11676"/>
    <cellStyle name="asd 27 3 4 2 6" xfId="12951"/>
    <cellStyle name="asd 27 3 4 2 7" xfId="14855"/>
    <cellStyle name="asd 27 3 4 2 8" xfId="18331"/>
    <cellStyle name="asd 27 3 4 2 9" xfId="20237"/>
    <cellStyle name="asd 27 3 4 20" xfId="38049"/>
    <cellStyle name="asd 27 3 4 21" xfId="39741"/>
    <cellStyle name="asd 27 3 4 22" xfId="41413"/>
    <cellStyle name="asd 27 3 4 23" xfId="43762"/>
    <cellStyle name="asd 27 3 4 3" xfId="6740"/>
    <cellStyle name="asd 27 3 4 4" xfId="8194"/>
    <cellStyle name="asd 27 3 4 5" xfId="10104"/>
    <cellStyle name="asd 27 3 4 6" xfId="11977"/>
    <cellStyle name="asd 27 3 4 7" xfId="14488"/>
    <cellStyle name="asd 27 3 4 8" xfId="16394"/>
    <cellStyle name="asd 27 3 4 9" xfId="17723"/>
    <cellStyle name="asd 27 3 5" xfId="4872"/>
    <cellStyle name="asd 27 3 5 10" xfId="21120"/>
    <cellStyle name="asd 27 3 5 11" xfId="23485"/>
    <cellStyle name="asd 27 3 5 12" xfId="24922"/>
    <cellStyle name="asd 27 3 5 13" xfId="27402"/>
    <cellStyle name="asd 27 3 5 14" xfId="29584"/>
    <cellStyle name="asd 27 3 5 15" xfId="30988"/>
    <cellStyle name="asd 27 3 5 16" xfId="31925"/>
    <cellStyle name="asd 27 3 5 17" xfId="33551"/>
    <cellStyle name="asd 27 3 5 18" xfId="35749"/>
    <cellStyle name="asd 27 3 5 19" xfId="37628"/>
    <cellStyle name="asd 27 3 5 2" xfId="6322"/>
    <cellStyle name="asd 27 3 5 20" xfId="39156"/>
    <cellStyle name="asd 27 3 5 21" xfId="40837"/>
    <cellStyle name="asd 27 3 5 22" xfId="43251"/>
    <cellStyle name="asd 27 3 5 3" xfId="7773"/>
    <cellStyle name="asd 27 3 5 4" xfId="9683"/>
    <cellStyle name="asd 27 3 5 5" xfId="12571"/>
    <cellStyle name="asd 27 3 5 6" xfId="13957"/>
    <cellStyle name="asd 27 3 5 7" xfId="15858"/>
    <cellStyle name="asd 27 3 5 8" xfId="17302"/>
    <cellStyle name="asd 27 3 5 9" xfId="19208"/>
    <cellStyle name="asd 27 3 6" xfId="5627"/>
    <cellStyle name="asd 27 3 6 10" xfId="21877"/>
    <cellStyle name="asd 27 3 6 11" xfId="23117"/>
    <cellStyle name="asd 27 3 6 12" xfId="25679"/>
    <cellStyle name="asd 27 3 6 13" xfId="27639"/>
    <cellStyle name="asd 27 3 6 14" xfId="28426"/>
    <cellStyle name="asd 27 3 6 15" xfId="31216"/>
    <cellStyle name="asd 27 3 6 16" xfId="31604"/>
    <cellStyle name="asd 27 3 6 17" xfId="34815"/>
    <cellStyle name="asd 27 3 6 18" xfId="36506"/>
    <cellStyle name="asd 27 3 6 19" xfId="38385"/>
    <cellStyle name="asd 27 3 6 2" xfId="7076"/>
    <cellStyle name="asd 27 3 6 20" xfId="38851"/>
    <cellStyle name="asd 27 3 6 21" xfId="40537"/>
    <cellStyle name="asd 27 3 6 22" xfId="42897"/>
    <cellStyle name="asd 27 3 6 3" xfId="8530"/>
    <cellStyle name="asd 27 3 6 4" xfId="10440"/>
    <cellStyle name="asd 27 3 6 5" xfId="12734"/>
    <cellStyle name="asd 27 3 6 6" xfId="13588"/>
    <cellStyle name="asd 27 3 6 7" xfId="15491"/>
    <cellStyle name="asd 27 3 6 8" xfId="18059"/>
    <cellStyle name="asd 27 3 6 9" xfId="19965"/>
    <cellStyle name="asd 27 3 7" xfId="4284"/>
    <cellStyle name="asd 27 3 8" xfId="9036"/>
    <cellStyle name="asd 27 3 9" xfId="11266"/>
    <cellStyle name="asd 27 4" xfId="3372"/>
    <cellStyle name="asd 27 4 10" xfId="14854"/>
    <cellStyle name="asd 27 4 11" xfId="16680"/>
    <cellStyle name="asd 27 4 12" xfId="18587"/>
    <cellStyle name="asd 27 4 13" xfId="20499"/>
    <cellStyle name="asd 27 4 14" xfId="22482"/>
    <cellStyle name="asd 27 4 15" xfId="24301"/>
    <cellStyle name="asd 27 4 16" xfId="18516"/>
    <cellStyle name="asd 27 4 17" xfId="28618"/>
    <cellStyle name="asd 27 4 18" xfId="28996"/>
    <cellStyle name="asd 27 4 19" xfId="29745"/>
    <cellStyle name="asd 27 4 2" xfId="3552"/>
    <cellStyle name="asd 27 4 2 10" xfId="17443"/>
    <cellStyle name="asd 27 4 2 11" xfId="19349"/>
    <cellStyle name="asd 27 4 2 12" xfId="21261"/>
    <cellStyle name="asd 27 4 2 13" xfId="23528"/>
    <cellStyle name="asd 27 4 2 14" xfId="25063"/>
    <cellStyle name="asd 27 4 2 15" xfId="27096"/>
    <cellStyle name="asd 27 4 2 16" xfId="29081"/>
    <cellStyle name="asd 27 4 2 17" xfId="30687"/>
    <cellStyle name="asd 27 4 2 18" xfId="31601"/>
    <cellStyle name="asd 27 4 2 19" xfId="33606"/>
    <cellStyle name="asd 27 4 2 2" xfId="4481"/>
    <cellStyle name="asd 27 4 2 2 10" xfId="20726"/>
    <cellStyle name="asd 27 4 2 2 11" xfId="23965"/>
    <cellStyle name="asd 27 4 2 2 12" xfId="24528"/>
    <cellStyle name="asd 27 4 2 2 13" xfId="27720"/>
    <cellStyle name="asd 27 4 2 2 14" xfId="28421"/>
    <cellStyle name="asd 27 4 2 2 15" xfId="31298"/>
    <cellStyle name="asd 27 4 2 2 16" xfId="32749"/>
    <cellStyle name="asd 27 4 2 2 17" xfId="34533"/>
    <cellStyle name="asd 27 4 2 2 18" xfId="35356"/>
    <cellStyle name="asd 27 4 2 2 19" xfId="37234"/>
    <cellStyle name="asd 27 4 2 2 2" xfId="4854"/>
    <cellStyle name="asd 27 4 2 2 20" xfId="39958"/>
    <cellStyle name="asd 27 4 2 2 21" xfId="41622"/>
    <cellStyle name="asd 27 4 2 2 22" xfId="43711"/>
    <cellStyle name="asd 27 4 2 2 3" xfId="6206"/>
    <cellStyle name="asd 27 4 2 2 4" xfId="9288"/>
    <cellStyle name="asd 27 4 2 2 5" xfId="11925"/>
    <cellStyle name="asd 27 4 2 2 6" xfId="14435"/>
    <cellStyle name="asd 27 4 2 2 7" xfId="16341"/>
    <cellStyle name="asd 27 4 2 2 8" xfId="16907"/>
    <cellStyle name="asd 27 4 2 2 9" xfId="18814"/>
    <cellStyle name="asd 27 4 2 20" xfId="35890"/>
    <cellStyle name="asd 27 4 2 21" xfId="37769"/>
    <cellStyle name="asd 27 4 2 22" xfId="38848"/>
    <cellStyle name="asd 27 4 2 23" xfId="40534"/>
    <cellStyle name="asd 27 4 2 24" xfId="43293"/>
    <cellStyle name="asd 27 4 2 3" xfId="5013"/>
    <cellStyle name="asd 27 4 2 4" xfId="6463"/>
    <cellStyle name="asd 27 4 2 5" xfId="7914"/>
    <cellStyle name="asd 27 4 2 6" xfId="9824"/>
    <cellStyle name="asd 27 4 2 7" xfId="12506"/>
    <cellStyle name="asd 27 4 2 8" xfId="14000"/>
    <cellStyle name="asd 27 4 2 9" xfId="15901"/>
    <cellStyle name="asd 27 4 20" xfId="16605"/>
    <cellStyle name="asd 27 4 21" xfId="35129"/>
    <cellStyle name="asd 27 4 22" xfId="37007"/>
    <cellStyle name="asd 27 4 23" xfId="34303"/>
    <cellStyle name="asd 27 4 24" xfId="3103"/>
    <cellStyle name="asd 27 4 25" xfId="42292"/>
    <cellStyle name="asd 27 4 3" xfId="3765"/>
    <cellStyle name="asd 27 4 3 10" xfId="19508"/>
    <cellStyle name="asd 27 4 3 11" xfId="21420"/>
    <cellStyle name="asd 27 4 3 12" xfId="22408"/>
    <cellStyle name="asd 27 4 3 13" xfId="25222"/>
    <cellStyle name="asd 27 4 3 14" xfId="26855"/>
    <cellStyle name="asd 27 4 3 15" xfId="28995"/>
    <cellStyle name="asd 27 4 3 16" xfId="30452"/>
    <cellStyle name="asd 27 4 3 17" xfId="32931"/>
    <cellStyle name="asd 27 4 3 18" xfId="34821"/>
    <cellStyle name="asd 27 4 3 19" xfId="36049"/>
    <cellStyle name="asd 27 4 3 2" xfId="5778"/>
    <cellStyle name="asd 27 4 3 2 10" xfId="22028"/>
    <cellStyle name="asd 27 4 3 2 11" xfId="22805"/>
    <cellStyle name="asd 27 4 3 2 12" xfId="25830"/>
    <cellStyle name="asd 27 4 3 2 13" xfId="26518"/>
    <cellStyle name="asd 27 4 3 2 14" xfId="3166"/>
    <cellStyle name="asd 27 4 3 2 15" xfId="30124"/>
    <cellStyle name="asd 27 4 3 2 16" xfId="32467"/>
    <cellStyle name="asd 27 4 3 2 17" xfId="34957"/>
    <cellStyle name="asd 27 4 3 2 18" xfId="36657"/>
    <cellStyle name="asd 27 4 3 2 19" xfId="38536"/>
    <cellStyle name="asd 27 4 3 2 2" xfId="7227"/>
    <cellStyle name="asd 27 4 3 2 20" xfId="39685"/>
    <cellStyle name="asd 27 4 3 2 21" xfId="41358"/>
    <cellStyle name="asd 27 4 3 2 22" xfId="42598"/>
    <cellStyle name="asd 27 4 3 2 3" xfId="8681"/>
    <cellStyle name="asd 27 4 3 2 4" xfId="10591"/>
    <cellStyle name="asd 27 4 3 2 5" xfId="11341"/>
    <cellStyle name="asd 27 4 3 2 6" xfId="13275"/>
    <cellStyle name="asd 27 4 3 2 7" xfId="15179"/>
    <cellStyle name="asd 27 4 3 2 8" xfId="18210"/>
    <cellStyle name="asd 27 4 3 2 9" xfId="20116"/>
    <cellStyle name="asd 27 4 3 20" xfId="37928"/>
    <cellStyle name="asd 27 4 3 21" xfId="40135"/>
    <cellStyle name="asd 27 4 3 22" xfId="41794"/>
    <cellStyle name="asd 27 4 3 23" xfId="42219"/>
    <cellStyle name="asd 27 4 3 3" xfId="5172"/>
    <cellStyle name="asd 27 4 3 4" xfId="8073"/>
    <cellStyle name="asd 27 4 3 5" xfId="9983"/>
    <cellStyle name="asd 27 4 3 6" xfId="11725"/>
    <cellStyle name="asd 27 4 3 7" xfId="12875"/>
    <cellStyle name="asd 27 4 3 8" xfId="14780"/>
    <cellStyle name="asd 27 4 3 9" xfId="17602"/>
    <cellStyle name="asd 27 4 4" xfId="4004"/>
    <cellStyle name="asd 27 4 4 10" xfId="19639"/>
    <cellStyle name="asd 27 4 4 11" xfId="21551"/>
    <cellStyle name="asd 27 4 4 12" xfId="22810"/>
    <cellStyle name="asd 27 4 4 13" xfId="25353"/>
    <cellStyle name="asd 27 4 4 14" xfId="26591"/>
    <cellStyle name="asd 27 4 4 15" xfId="29011"/>
    <cellStyle name="asd 27 4 4 16" xfId="30193"/>
    <cellStyle name="asd 27 4 4 17" xfId="31955"/>
    <cellStyle name="asd 27 4 4 18" xfId="33510"/>
    <cellStyle name="asd 27 4 4 19" xfId="36180"/>
    <cellStyle name="asd 27 4 4 2" xfId="5909"/>
    <cellStyle name="asd 27 4 4 2 10" xfId="22159"/>
    <cellStyle name="asd 27 4 4 2 11" xfId="23833"/>
    <cellStyle name="asd 27 4 4 2 12" xfId="25961"/>
    <cellStyle name="asd 27 4 4 2 13" xfId="26549"/>
    <cellStyle name="asd 27 4 4 2 14" xfId="2115"/>
    <cellStyle name="asd 27 4 4 2 15" xfId="30154"/>
    <cellStyle name="asd 27 4 4 2 16" xfId="32570"/>
    <cellStyle name="asd 27 4 4 2 17" xfId="34793"/>
    <cellStyle name="asd 27 4 4 2 18" xfId="36788"/>
    <cellStyle name="asd 27 4 4 2 19" xfId="38667"/>
    <cellStyle name="asd 27 4 4 2 2" xfId="7358"/>
    <cellStyle name="asd 27 4 4 2 20" xfId="39780"/>
    <cellStyle name="asd 27 4 4 2 21" xfId="41450"/>
    <cellStyle name="asd 27 4 4 2 22" xfId="43584"/>
    <cellStyle name="asd 27 4 4 2 3" xfId="8812"/>
    <cellStyle name="asd 27 4 4 2 4" xfId="10722"/>
    <cellStyle name="asd 27 4 4 2 5" xfId="11459"/>
    <cellStyle name="asd 27 4 4 2 6" xfId="14303"/>
    <cellStyle name="asd 27 4 4 2 7" xfId="16207"/>
    <cellStyle name="asd 27 4 4 2 8" xfId="18341"/>
    <cellStyle name="asd 27 4 4 2 9" xfId="20247"/>
    <cellStyle name="asd 27 4 4 20" xfId="38059"/>
    <cellStyle name="asd 27 4 4 21" xfId="39184"/>
    <cellStyle name="asd 27 4 4 22" xfId="40865"/>
    <cellStyle name="asd 27 4 4 23" xfId="42603"/>
    <cellStyle name="asd 27 4 4 3" xfId="6750"/>
    <cellStyle name="asd 27 4 4 4" xfId="8204"/>
    <cellStyle name="asd 27 4 4 5" xfId="10114"/>
    <cellStyle name="asd 27 4 4 6" xfId="12384"/>
    <cellStyle name="asd 27 4 4 7" xfId="13280"/>
    <cellStyle name="asd 27 4 4 8" xfId="15184"/>
    <cellStyle name="asd 27 4 4 9" xfId="17733"/>
    <cellStyle name="asd 27 4 5" xfId="5661"/>
    <cellStyle name="asd 27 4 5 10" xfId="21911"/>
    <cellStyle name="asd 27 4 5 11" xfId="24103"/>
    <cellStyle name="asd 27 4 5 12" xfId="25713"/>
    <cellStyle name="asd 27 4 5 13" xfId="26844"/>
    <cellStyle name="asd 27 4 5 14" xfId="28264"/>
    <cellStyle name="asd 27 4 5 15" xfId="30441"/>
    <cellStyle name="asd 27 4 5 16" xfId="32482"/>
    <cellStyle name="asd 27 4 5 17" xfId="34062"/>
    <cellStyle name="asd 27 4 5 18" xfId="36540"/>
    <cellStyle name="asd 27 4 5 19" xfId="38419"/>
    <cellStyle name="asd 27 4 5 2" xfId="7110"/>
    <cellStyle name="asd 27 4 5 20" xfId="39700"/>
    <cellStyle name="asd 27 4 5 21" xfId="41372"/>
    <cellStyle name="asd 27 4 5 22" xfId="43846"/>
    <cellStyle name="asd 27 4 5 3" xfId="8564"/>
    <cellStyle name="asd 27 4 5 4" xfId="10474"/>
    <cellStyle name="asd 27 4 5 5" xfId="12062"/>
    <cellStyle name="asd 27 4 5 6" xfId="14573"/>
    <cellStyle name="asd 27 4 5 7" xfId="16479"/>
    <cellStyle name="asd 27 4 5 8" xfId="18093"/>
    <cellStyle name="asd 27 4 5 9" xfId="19999"/>
    <cellStyle name="asd 27 4 6" xfId="6092"/>
    <cellStyle name="asd 27 4 7" xfId="9061"/>
    <cellStyle name="asd 27 4 8" xfId="11627"/>
    <cellStyle name="asd 27 4 9" xfId="12950"/>
    <cellStyle name="asd 27 5" xfId="2443"/>
    <cellStyle name="asd 27 5 10" xfId="17162"/>
    <cellStyle name="asd 27 5 11" xfId="19068"/>
    <cellStyle name="asd 27 5 12" xfId="20980"/>
    <cellStyle name="asd 27 5 13" xfId="23952"/>
    <cellStyle name="asd 27 5 14" xfId="24782"/>
    <cellStyle name="asd 27 5 15" xfId="26525"/>
    <cellStyle name="asd 27 5 16" xfId="28938"/>
    <cellStyle name="asd 27 5 17" xfId="30131"/>
    <cellStyle name="asd 27 5 18" xfId="32535"/>
    <cellStyle name="asd 27 5 19" xfId="34465"/>
    <cellStyle name="asd 27 5 2" xfId="4563"/>
    <cellStyle name="asd 27 5 2 10" xfId="20808"/>
    <cellStyle name="asd 27 5 2 11" xfId="22921"/>
    <cellStyle name="asd 27 5 2 12" xfId="24610"/>
    <cellStyle name="asd 27 5 2 13" xfId="26177"/>
    <cellStyle name="asd 27 5 2 14" xfId="28779"/>
    <cellStyle name="asd 27 5 2 15" xfId="29790"/>
    <cellStyle name="asd 27 5 2 16" xfId="32881"/>
    <cellStyle name="asd 27 5 2 17" xfId="34181"/>
    <cellStyle name="asd 27 5 2 18" xfId="35438"/>
    <cellStyle name="asd 27 5 2 19" xfId="37316"/>
    <cellStyle name="asd 27 5 2 2" xfId="4270"/>
    <cellStyle name="asd 27 5 2 20" xfId="40086"/>
    <cellStyle name="asd 27 5 2 21" xfId="41749"/>
    <cellStyle name="asd 27 5 2 22" xfId="42707"/>
    <cellStyle name="asd 27 5 2 3" xfId="1815"/>
    <cellStyle name="asd 27 5 2 4" xfId="9370"/>
    <cellStyle name="asd 27 5 2 5" xfId="11312"/>
    <cellStyle name="asd 27 5 2 6" xfId="13389"/>
    <cellStyle name="asd 27 5 2 7" xfId="15294"/>
    <cellStyle name="asd 27 5 2 8" xfId="16989"/>
    <cellStyle name="asd 27 5 2 9" xfId="18896"/>
    <cellStyle name="asd 27 5 20" xfId="35609"/>
    <cellStyle name="asd 27 5 21" xfId="37488"/>
    <cellStyle name="asd 27 5 22" xfId="39748"/>
    <cellStyle name="asd 27 5 23" xfId="41420"/>
    <cellStyle name="asd 27 5 24" xfId="43698"/>
    <cellStyle name="asd 27 5 3" xfId="4733"/>
    <cellStyle name="asd 27 5 4" xfId="6182"/>
    <cellStyle name="asd 27 5 5" xfId="7633"/>
    <cellStyle name="asd 27 5 6" xfId="9543"/>
    <cellStyle name="asd 27 5 7" xfId="11912"/>
    <cellStyle name="asd 27 5 8" xfId="14422"/>
    <cellStyle name="asd 27 5 9" xfId="16328"/>
    <cellStyle name="asd 27 6" xfId="2302"/>
    <cellStyle name="asd 27 6 10" xfId="19047"/>
    <cellStyle name="asd 27 6 11" xfId="20959"/>
    <cellStyle name="asd 27 6 12" xfId="23251"/>
    <cellStyle name="asd 27 6 13" xfId="24761"/>
    <cellStyle name="asd 27 6 14" xfId="27278"/>
    <cellStyle name="asd 27 6 15" xfId="29086"/>
    <cellStyle name="asd 27 6 16" xfId="30870"/>
    <cellStyle name="asd 27 6 17" xfId="32690"/>
    <cellStyle name="asd 27 6 18" xfId="34812"/>
    <cellStyle name="asd 27 6 19" xfId="35588"/>
    <cellStyle name="asd 27 6 2" xfId="4556"/>
    <cellStyle name="asd 27 6 2 10" xfId="20801"/>
    <cellStyle name="asd 27 6 2 11" xfId="23947"/>
    <cellStyle name="asd 27 6 2 12" xfId="24603"/>
    <cellStyle name="asd 27 6 2 13" xfId="26856"/>
    <cellStyle name="asd 27 6 2 14" xfId="28518"/>
    <cellStyle name="asd 27 6 2 15" xfId="30453"/>
    <cellStyle name="asd 27 6 2 16" xfId="32309"/>
    <cellStyle name="asd 27 6 2 17" xfId="33669"/>
    <cellStyle name="asd 27 6 2 18" xfId="35431"/>
    <cellStyle name="asd 27 6 2 19" xfId="37309"/>
    <cellStyle name="asd 27 6 2 2" xfId="5401"/>
    <cellStyle name="asd 27 6 2 20" xfId="39528"/>
    <cellStyle name="asd 27 6 2 21" xfId="41202"/>
    <cellStyle name="asd 27 6 2 22" xfId="43693"/>
    <cellStyle name="asd 27 6 2 3" xfId="6230"/>
    <cellStyle name="asd 27 6 2 4" xfId="9363"/>
    <cellStyle name="asd 27 6 2 5" xfId="11907"/>
    <cellStyle name="asd 27 6 2 6" xfId="14417"/>
    <cellStyle name="asd 27 6 2 7" xfId="16323"/>
    <cellStyle name="asd 27 6 2 8" xfId="16982"/>
    <cellStyle name="asd 27 6 2 9" xfId="18889"/>
    <cellStyle name="asd 27 6 20" xfId="37467"/>
    <cellStyle name="asd 27 6 21" xfId="39898"/>
    <cellStyle name="asd 27 6 22" xfId="41567"/>
    <cellStyle name="asd 27 6 23" xfId="43028"/>
    <cellStyle name="asd 27 6 3" xfId="4713"/>
    <cellStyle name="asd 27 6 4" xfId="7612"/>
    <cellStyle name="asd 27 6 5" xfId="9522"/>
    <cellStyle name="asd 27 6 6" xfId="11164"/>
    <cellStyle name="asd 27 6 7" xfId="13723"/>
    <cellStyle name="asd 27 6 8" xfId="15625"/>
    <cellStyle name="asd 27 6 9" xfId="17141"/>
    <cellStyle name="asd 27 7" xfId="3238"/>
    <cellStyle name="asd 27 7 10" xfId="19185"/>
    <cellStyle name="asd 27 7 11" xfId="21097"/>
    <cellStyle name="asd 27 7 12" xfId="23989"/>
    <cellStyle name="asd 27 7 13" xfId="24899"/>
    <cellStyle name="asd 27 7 14" xfId="27541"/>
    <cellStyle name="asd 27 7 15" xfId="28548"/>
    <cellStyle name="asd 27 7 16" xfId="31122"/>
    <cellStyle name="asd 27 7 17" xfId="32384"/>
    <cellStyle name="asd 27 7 18" xfId="34484"/>
    <cellStyle name="asd 27 7 19" xfId="35726"/>
    <cellStyle name="asd 27 7 2" xfId="2447"/>
    <cellStyle name="asd 27 7 2 10" xfId="20518"/>
    <cellStyle name="asd 27 7 2 11" xfId="23530"/>
    <cellStyle name="asd 27 7 2 12" xfId="24320"/>
    <cellStyle name="asd 27 7 2 13" xfId="22357"/>
    <cellStyle name="asd 27 7 2 14" xfId="28023"/>
    <cellStyle name="asd 27 7 2 15" xfId="28030"/>
    <cellStyle name="asd 27 7 2 16" xfId="29747"/>
    <cellStyle name="asd 27 7 2 17" xfId="33352"/>
    <cellStyle name="asd 27 7 2 18" xfId="35148"/>
    <cellStyle name="asd 27 7 2 19" xfId="37026"/>
    <cellStyle name="asd 27 7 2 2" xfId="4786"/>
    <cellStyle name="asd 27 7 2 20" xfId="33370"/>
    <cellStyle name="asd 27 7 2 21" xfId="8984"/>
    <cellStyle name="asd 27 7 2 22" xfId="43295"/>
    <cellStyle name="asd 27 7 2 3" xfId="6146"/>
    <cellStyle name="asd 27 7 2 4" xfId="9080"/>
    <cellStyle name="asd 27 7 2 5" xfId="12323"/>
    <cellStyle name="asd 27 7 2 6" xfId="14002"/>
    <cellStyle name="asd 27 7 2 7" xfId="15903"/>
    <cellStyle name="asd 27 7 2 8" xfId="16699"/>
    <cellStyle name="asd 27 7 2 9" xfId="18606"/>
    <cellStyle name="asd 27 7 20" xfId="37605"/>
    <cellStyle name="asd 27 7 21" xfId="39602"/>
    <cellStyle name="asd 27 7 22" xfId="41276"/>
    <cellStyle name="asd 27 7 23" xfId="43733"/>
    <cellStyle name="asd 27 7 3" xfId="6299"/>
    <cellStyle name="asd 27 7 4" xfId="7750"/>
    <cellStyle name="asd 27 7 5" xfId="9660"/>
    <cellStyle name="asd 27 7 6" xfId="11948"/>
    <cellStyle name="asd 27 7 7" xfId="14459"/>
    <cellStyle name="asd 27 7 8" xfId="16365"/>
    <cellStyle name="asd 27 7 9" xfId="17279"/>
    <cellStyle name="asd 27 8" xfId="1946"/>
    <cellStyle name="asd 27 9" xfId="2290"/>
    <cellStyle name="asd 28" xfId="886"/>
    <cellStyle name="asd 28 10" xfId="2312"/>
    <cellStyle name="asd 28 11" xfId="2186"/>
    <cellStyle name="asd 28 12" xfId="3138"/>
    <cellStyle name="asd 28 13" xfId="2006"/>
    <cellStyle name="asd 28 14" xfId="2753"/>
    <cellStyle name="asd 28 15" xfId="1988"/>
    <cellStyle name="asd 28 16" xfId="1905"/>
    <cellStyle name="asd 28 17" xfId="3137"/>
    <cellStyle name="asd 28 18" xfId="24206"/>
    <cellStyle name="asd 28 19" xfId="20405"/>
    <cellStyle name="asd 28 2" xfId="3491"/>
    <cellStyle name="asd 28 2 10" xfId="13615"/>
    <cellStyle name="asd 28 2 11" xfId="15518"/>
    <cellStyle name="asd 28 2 12" xfId="16934"/>
    <cellStyle name="asd 28 2 13" xfId="18841"/>
    <cellStyle name="asd 28 2 14" xfId="20753"/>
    <cellStyle name="asd 28 2 15" xfId="23144"/>
    <cellStyle name="asd 28 2 16" xfId="24555"/>
    <cellStyle name="asd 28 2 17" xfId="27238"/>
    <cellStyle name="asd 28 2 18" xfId="2111"/>
    <cellStyle name="asd 28 2 19" xfId="30829"/>
    <cellStyle name="asd 28 2 2" xfId="3671"/>
    <cellStyle name="asd 28 2 2 10" xfId="17562"/>
    <cellStyle name="asd 28 2 2 11" xfId="19468"/>
    <cellStyle name="asd 28 2 2 12" xfId="21380"/>
    <cellStyle name="asd 28 2 2 13" xfId="22466"/>
    <cellStyle name="asd 28 2 2 14" xfId="25182"/>
    <cellStyle name="asd 28 2 2 15" xfId="27924"/>
    <cellStyle name="asd 28 2 2 16" xfId="29012"/>
    <cellStyle name="asd 28 2 2 17" xfId="31506"/>
    <cellStyle name="asd 28 2 2 18" xfId="32341"/>
    <cellStyle name="asd 28 2 2 19" xfId="34685"/>
    <cellStyle name="asd 28 2 2 2" xfId="5509"/>
    <cellStyle name="asd 28 2 2 2 10" xfId="21759"/>
    <cellStyle name="asd 28 2 2 2 11" xfId="23895"/>
    <cellStyle name="asd 28 2 2 2 12" xfId="25561"/>
    <cellStyle name="asd 28 2 2 2 13" xfId="26734"/>
    <cellStyle name="asd 28 2 2 2 14" xfId="29054"/>
    <cellStyle name="asd 28 2 2 2 15" xfId="30334"/>
    <cellStyle name="asd 28 2 2 2 16" xfId="32937"/>
    <cellStyle name="asd 28 2 2 2 17" xfId="34013"/>
    <cellStyle name="asd 28 2 2 2 18" xfId="36388"/>
    <cellStyle name="asd 28 2 2 2 19" xfId="38267"/>
    <cellStyle name="asd 28 2 2 2 2" xfId="6958"/>
    <cellStyle name="asd 28 2 2 2 20" xfId="40141"/>
    <cellStyle name="asd 28 2 2 2 21" xfId="41800"/>
    <cellStyle name="asd 28 2 2 2 22" xfId="43644"/>
    <cellStyle name="asd 28 2 2 2 3" xfId="8412"/>
    <cellStyle name="asd 28 2 2 2 4" xfId="10322"/>
    <cellStyle name="asd 28 2 2 2 5" xfId="11854"/>
    <cellStyle name="asd 28 2 2 2 6" xfId="14364"/>
    <cellStyle name="asd 28 2 2 2 7" xfId="16270"/>
    <cellStyle name="asd 28 2 2 2 8" xfId="17941"/>
    <cellStyle name="asd 28 2 2 2 9" xfId="19847"/>
    <cellStyle name="asd 28 2 2 20" xfId="36009"/>
    <cellStyle name="asd 28 2 2 21" xfId="37888"/>
    <cellStyle name="asd 28 2 2 22" xfId="39560"/>
    <cellStyle name="asd 28 2 2 23" xfId="41234"/>
    <cellStyle name="asd 28 2 2 24" xfId="42277"/>
    <cellStyle name="asd 28 2 2 3" xfId="5132"/>
    <cellStyle name="asd 28 2 2 4" xfId="6582"/>
    <cellStyle name="asd 28 2 2 5" xfId="8033"/>
    <cellStyle name="asd 28 2 2 6" xfId="9943"/>
    <cellStyle name="asd 28 2 2 7" xfId="12226"/>
    <cellStyle name="asd 28 2 2 8" xfId="12934"/>
    <cellStyle name="asd 28 2 2 9" xfId="14839"/>
    <cellStyle name="asd 28 2 20" xfId="31910"/>
    <cellStyle name="asd 28 2 21" xfId="35020"/>
    <cellStyle name="asd 28 2 22" xfId="35383"/>
    <cellStyle name="asd 28 2 23" xfId="37261"/>
    <cellStyle name="asd 28 2 24" xfId="39142"/>
    <cellStyle name="asd 28 2 25" xfId="40823"/>
    <cellStyle name="asd 28 2 26" xfId="42922"/>
    <cellStyle name="asd 28 2 3" xfId="1854"/>
    <cellStyle name="asd 28 2 3 10" xfId="18979"/>
    <cellStyle name="asd 28 2 3 11" xfId="20891"/>
    <cellStyle name="asd 28 2 3 12" xfId="22957"/>
    <cellStyle name="asd 28 2 3 13" xfId="24693"/>
    <cellStyle name="asd 28 2 3 14" xfId="27383"/>
    <cellStyle name="asd 28 2 3 15" xfId="29067"/>
    <cellStyle name="asd 28 2 3 16" xfId="30969"/>
    <cellStyle name="asd 28 2 3 17" xfId="32224"/>
    <cellStyle name="asd 28 2 3 18" xfId="33868"/>
    <cellStyle name="asd 28 2 3 19" xfId="35520"/>
    <cellStyle name="asd 28 2 3 2" xfId="4896"/>
    <cellStyle name="asd 28 2 3 2 10" xfId="21144"/>
    <cellStyle name="asd 28 2 3 2 11" xfId="23581"/>
    <cellStyle name="asd 28 2 3 2 12" xfId="24946"/>
    <cellStyle name="asd 28 2 3 2 13" xfId="27229"/>
    <cellStyle name="asd 28 2 3 2 14" xfId="29082"/>
    <cellStyle name="asd 28 2 3 2 15" xfId="30820"/>
    <cellStyle name="asd 28 2 3 2 16" xfId="33158"/>
    <cellStyle name="asd 28 2 3 2 17" xfId="33698"/>
    <cellStyle name="asd 28 2 3 2 18" xfId="35773"/>
    <cellStyle name="asd 28 2 3 2 19" xfId="37652"/>
    <cellStyle name="asd 28 2 3 2 2" xfId="6346"/>
    <cellStyle name="asd 28 2 3 2 20" xfId="40350"/>
    <cellStyle name="asd 28 2 3 2 21" xfId="42006"/>
    <cellStyle name="asd 28 2 3 2 22" xfId="43343"/>
    <cellStyle name="asd 28 2 3 2 3" xfId="7797"/>
    <cellStyle name="asd 28 2 3 2 4" xfId="9707"/>
    <cellStyle name="asd 28 2 3 2 5" xfId="12561"/>
    <cellStyle name="asd 28 2 3 2 6" xfId="14053"/>
    <cellStyle name="asd 28 2 3 2 7" xfId="15954"/>
    <cellStyle name="asd 28 2 3 2 8" xfId="17326"/>
    <cellStyle name="asd 28 2 3 2 9" xfId="19232"/>
    <cellStyle name="asd 28 2 3 20" xfId="37399"/>
    <cellStyle name="asd 28 2 3 21" xfId="39443"/>
    <cellStyle name="asd 28 2 3 22" xfId="41119"/>
    <cellStyle name="asd 28 2 3 23" xfId="42743"/>
    <cellStyle name="asd 28 2 3 3" xfId="4647"/>
    <cellStyle name="asd 28 2 3 4" xfId="7544"/>
    <cellStyle name="asd 28 2 3 5" xfId="9454"/>
    <cellStyle name="asd 28 2 3 6" xfId="11300"/>
    <cellStyle name="asd 28 2 3 7" xfId="13426"/>
    <cellStyle name="asd 28 2 3 8" xfId="15331"/>
    <cellStyle name="asd 28 2 3 9" xfId="17073"/>
    <cellStyle name="asd 28 2 4" xfId="4123"/>
    <cellStyle name="asd 28 2 4 10" xfId="19758"/>
    <cellStyle name="asd 28 2 4 11" xfId="21670"/>
    <cellStyle name="asd 28 2 4 12" xfId="23810"/>
    <cellStyle name="asd 28 2 4 13" xfId="25472"/>
    <cellStyle name="asd 28 2 4 14" xfId="27877"/>
    <cellStyle name="asd 28 2 4 15" xfId="28266"/>
    <cellStyle name="asd 28 2 4 16" xfId="31458"/>
    <cellStyle name="asd 28 2 4 17" xfId="32256"/>
    <cellStyle name="asd 28 2 4 18" xfId="34233"/>
    <cellStyle name="asd 28 2 4 19" xfId="36299"/>
    <cellStyle name="asd 28 2 4 2" xfId="6028"/>
    <cellStyle name="asd 28 2 4 2 10" xfId="22278"/>
    <cellStyle name="asd 28 2 4 2 11" xfId="23795"/>
    <cellStyle name="asd 28 2 4 2 12" xfId="26080"/>
    <cellStyle name="asd 28 2 4 2 13" xfId="26784"/>
    <cellStyle name="asd 28 2 4 2 14" xfId="28401"/>
    <cellStyle name="asd 28 2 4 2 15" xfId="30383"/>
    <cellStyle name="asd 28 2 4 2 16" xfId="32722"/>
    <cellStyle name="asd 28 2 4 2 17" xfId="34798"/>
    <cellStyle name="asd 28 2 4 2 18" xfId="36907"/>
    <cellStyle name="asd 28 2 4 2 19" xfId="38786"/>
    <cellStyle name="asd 28 2 4 2 2" xfId="7477"/>
    <cellStyle name="asd 28 2 4 2 20" xfId="39932"/>
    <cellStyle name="asd 28 2 4 2 21" xfId="41598"/>
    <cellStyle name="asd 28 2 4 2 22" xfId="43548"/>
    <cellStyle name="asd 28 2 4 2 3" xfId="8931"/>
    <cellStyle name="asd 28 2 4 2 4" xfId="10841"/>
    <cellStyle name="asd 28 2 4 2 5" xfId="11837"/>
    <cellStyle name="asd 28 2 4 2 6" xfId="14265"/>
    <cellStyle name="asd 28 2 4 2 7" xfId="16169"/>
    <cellStyle name="asd 28 2 4 2 8" xfId="18460"/>
    <cellStyle name="asd 28 2 4 2 9" xfId="20366"/>
    <cellStyle name="asd 28 2 4 20" xfId="38178"/>
    <cellStyle name="asd 28 2 4 21" xfId="39474"/>
    <cellStyle name="asd 28 2 4 22" xfId="41149"/>
    <cellStyle name="asd 28 2 4 23" xfId="43562"/>
    <cellStyle name="asd 28 2 4 3" xfId="6869"/>
    <cellStyle name="asd 28 2 4 4" xfId="8323"/>
    <cellStyle name="asd 28 2 4 5" xfId="10233"/>
    <cellStyle name="asd 28 2 4 6" xfId="12618"/>
    <cellStyle name="asd 28 2 4 7" xfId="14280"/>
    <cellStyle name="asd 28 2 4 8" xfId="16184"/>
    <cellStyle name="asd 28 2 4 9" xfId="17852"/>
    <cellStyle name="asd 28 2 5" xfId="4971"/>
    <cellStyle name="asd 28 2 5 10" xfId="21219"/>
    <cellStyle name="asd 28 2 5 11" xfId="23575"/>
    <cellStyle name="asd 28 2 5 12" xfId="25021"/>
    <cellStyle name="asd 28 2 5 13" xfId="26428"/>
    <cellStyle name="asd 28 2 5 14" xfId="29376"/>
    <cellStyle name="asd 28 2 5 15" xfId="30034"/>
    <cellStyle name="asd 28 2 5 16" xfId="33109"/>
    <cellStyle name="asd 28 2 5 17" xfId="34825"/>
    <cellStyle name="asd 28 2 5 18" xfId="35848"/>
    <cellStyle name="asd 28 2 5 19" xfId="37727"/>
    <cellStyle name="asd 28 2 5 2" xfId="6421"/>
    <cellStyle name="asd 28 2 5 20" xfId="40304"/>
    <cellStyle name="asd 28 2 5 21" xfId="41960"/>
    <cellStyle name="asd 28 2 5 22" xfId="43338"/>
    <cellStyle name="asd 28 2 5 3" xfId="7872"/>
    <cellStyle name="asd 28 2 5 4" xfId="9782"/>
    <cellStyle name="asd 28 2 5 5" xfId="12549"/>
    <cellStyle name="asd 28 2 5 6" xfId="14047"/>
    <cellStyle name="asd 28 2 5 7" xfId="15948"/>
    <cellStyle name="asd 28 2 5 8" xfId="17401"/>
    <cellStyle name="asd 28 2 5 9" xfId="19307"/>
    <cellStyle name="asd 28 2 6" xfId="5672"/>
    <cellStyle name="asd 28 2 6 10" xfId="21922"/>
    <cellStyle name="asd 28 2 6 11" xfId="22689"/>
    <cellStyle name="asd 28 2 6 12" xfId="25724"/>
    <cellStyle name="asd 28 2 6 13" xfId="27333"/>
    <cellStyle name="asd 28 2 6 14" xfId="28187"/>
    <cellStyle name="asd 28 2 6 15" xfId="30922"/>
    <cellStyle name="asd 28 2 6 16" xfId="32338"/>
    <cellStyle name="asd 28 2 6 17" xfId="33892"/>
    <cellStyle name="asd 28 2 6 18" xfId="36551"/>
    <cellStyle name="asd 28 2 6 19" xfId="38430"/>
    <cellStyle name="asd 28 2 6 2" xfId="7121"/>
    <cellStyle name="asd 28 2 6 20" xfId="39557"/>
    <cellStyle name="asd 28 2 6 21" xfId="41231"/>
    <cellStyle name="asd 28 2 6 22" xfId="42492"/>
    <cellStyle name="asd 28 2 6 3" xfId="8575"/>
    <cellStyle name="asd 28 2 6 4" xfId="10485"/>
    <cellStyle name="asd 28 2 6 5" xfId="11507"/>
    <cellStyle name="asd 28 2 6 6" xfId="13156"/>
    <cellStyle name="asd 28 2 6 7" xfId="15061"/>
    <cellStyle name="asd 28 2 6 8" xfId="18104"/>
    <cellStyle name="asd 28 2 6 9" xfId="20010"/>
    <cellStyle name="asd 28 2 7" xfId="6275"/>
    <cellStyle name="asd 28 2 8" xfId="9315"/>
    <cellStyle name="asd 28 2 9" xfId="10924"/>
    <cellStyle name="asd 28 20" xfId="12284"/>
    <cellStyle name="asd 28 21" xfId="2220"/>
    <cellStyle name="asd 28 22" xfId="24204"/>
    <cellStyle name="asd 28 23" xfId="22315"/>
    <cellStyle name="asd 28 24" xfId="28286"/>
    <cellStyle name="asd 28 25" xfId="29486"/>
    <cellStyle name="asd 28 26" xfId="33848"/>
    <cellStyle name="asd 28 27" xfId="23327"/>
    <cellStyle name="asd 28 3" xfId="3518"/>
    <cellStyle name="asd 28 3 10" xfId="13300"/>
    <cellStyle name="asd 28 3 11" xfId="15205"/>
    <cellStyle name="asd 28 3 12" xfId="17026"/>
    <cellStyle name="asd 28 3 13" xfId="18933"/>
    <cellStyle name="asd 28 3 14" xfId="20845"/>
    <cellStyle name="asd 28 3 15" xfId="22831"/>
    <cellStyle name="asd 28 3 16" xfId="24647"/>
    <cellStyle name="asd 28 3 17" xfId="26480"/>
    <cellStyle name="asd 28 3 18" xfId="29569"/>
    <cellStyle name="asd 28 3 19" xfId="30086"/>
    <cellStyle name="asd 28 3 2" xfId="3698"/>
    <cellStyle name="asd 28 3 2 10" xfId="17589"/>
    <cellStyle name="asd 28 3 2 11" xfId="19495"/>
    <cellStyle name="asd 28 3 2 12" xfId="21407"/>
    <cellStyle name="asd 28 3 2 13" xfId="24112"/>
    <cellStyle name="asd 28 3 2 14" xfId="25209"/>
    <cellStyle name="asd 28 3 2 15" xfId="27883"/>
    <cellStyle name="asd 28 3 2 16" xfId="28128"/>
    <cellStyle name="asd 28 3 2 17" xfId="31464"/>
    <cellStyle name="asd 28 3 2 18" xfId="32391"/>
    <cellStyle name="asd 28 3 2 19" xfId="33994"/>
    <cellStyle name="asd 28 3 2 2" xfId="5765"/>
    <cellStyle name="asd 28 3 2 2 10" xfId="22015"/>
    <cellStyle name="asd 28 3 2 2 11" xfId="23171"/>
    <cellStyle name="asd 28 3 2 2 12" xfId="25817"/>
    <cellStyle name="asd 28 3 2 2 13" xfId="26231"/>
    <cellStyle name="asd 28 3 2 2 14" xfId="28359"/>
    <cellStyle name="asd 28 3 2 2 15" xfId="29841"/>
    <cellStyle name="asd 28 3 2 2 16" xfId="32750"/>
    <cellStyle name="asd 28 3 2 2 17" xfId="34104"/>
    <cellStyle name="asd 28 3 2 2 18" xfId="36644"/>
    <cellStyle name="asd 28 3 2 2 19" xfId="38523"/>
    <cellStyle name="asd 28 3 2 2 2" xfId="7214"/>
    <cellStyle name="asd 28 3 2 2 20" xfId="39959"/>
    <cellStyle name="asd 28 3 2 2 21" xfId="41623"/>
    <cellStyle name="asd 28 3 2 2 22" xfId="42949"/>
    <cellStyle name="asd 28 3 2 2 3" xfId="8668"/>
    <cellStyle name="asd 28 3 2 2 4" xfId="10578"/>
    <cellStyle name="asd 28 3 2 2 5" xfId="10987"/>
    <cellStyle name="asd 28 3 2 2 6" xfId="13642"/>
    <cellStyle name="asd 28 3 2 2 7" xfId="15545"/>
    <cellStyle name="asd 28 3 2 2 8" xfId="18197"/>
    <cellStyle name="asd 28 3 2 2 9" xfId="20103"/>
    <cellStyle name="asd 28 3 2 20" xfId="36036"/>
    <cellStyle name="asd 28 3 2 21" xfId="37915"/>
    <cellStyle name="asd 28 3 2 22" xfId="39608"/>
    <cellStyle name="asd 28 3 2 23" xfId="41282"/>
    <cellStyle name="asd 28 3 2 24" xfId="43855"/>
    <cellStyle name="asd 28 3 2 3" xfId="5159"/>
    <cellStyle name="asd 28 3 2 4" xfId="6609"/>
    <cellStyle name="asd 28 3 2 5" xfId="8060"/>
    <cellStyle name="asd 28 3 2 6" xfId="9970"/>
    <cellStyle name="asd 28 3 2 7" xfId="12072"/>
    <cellStyle name="asd 28 3 2 8" xfId="14583"/>
    <cellStyle name="asd 28 3 2 9" xfId="16489"/>
    <cellStyle name="asd 28 3 20" xfId="32032"/>
    <cellStyle name="asd 28 3 21" xfId="33772"/>
    <cellStyle name="asd 28 3 22" xfId="35475"/>
    <cellStyle name="asd 28 3 23" xfId="37353"/>
    <cellStyle name="asd 28 3 24" xfId="39262"/>
    <cellStyle name="asd 28 3 25" xfId="40939"/>
    <cellStyle name="asd 28 3 26" xfId="42623"/>
    <cellStyle name="asd 28 3 3" xfId="2252"/>
    <cellStyle name="asd 28 3 3 10" xfId="19041"/>
    <cellStyle name="asd 28 3 3 11" xfId="20953"/>
    <cellStyle name="asd 28 3 3 12" xfId="23096"/>
    <cellStyle name="asd 28 3 3 13" xfId="24755"/>
    <cellStyle name="asd 28 3 3 14" xfId="27251"/>
    <cellStyle name="asd 28 3 3 15" xfId="27499"/>
    <cellStyle name="asd 28 3 3 16" xfId="30842"/>
    <cellStyle name="asd 28 3 3 17" xfId="31735"/>
    <cellStyle name="asd 28 3 3 18" xfId="35056"/>
    <cellStyle name="asd 28 3 3 19" xfId="35582"/>
    <cellStyle name="asd 28 3 3 2" xfId="5490"/>
    <cellStyle name="asd 28 3 3 2 10" xfId="21740"/>
    <cellStyle name="asd 28 3 3 2 11" xfId="23359"/>
    <cellStyle name="asd 28 3 3 2 12" xfId="25542"/>
    <cellStyle name="asd 28 3 3 2 13" xfId="27253"/>
    <cellStyle name="asd 28 3 3 2 14" xfId="28942"/>
    <cellStyle name="asd 28 3 3 2 15" xfId="30844"/>
    <cellStyle name="asd 28 3 3 2 16" xfId="31685"/>
    <cellStyle name="asd 28 3 3 2 17" xfId="33495"/>
    <cellStyle name="asd 28 3 3 2 18" xfId="36369"/>
    <cellStyle name="asd 28 3 3 2 19" xfId="38248"/>
    <cellStyle name="asd 28 3 3 2 2" xfId="6939"/>
    <cellStyle name="asd 28 3 3 2 20" xfId="38927"/>
    <cellStyle name="asd 28 3 3 2 21" xfId="40611"/>
    <cellStyle name="asd 28 3 3 2 22" xfId="43129"/>
    <cellStyle name="asd 28 3 3 2 3" xfId="8393"/>
    <cellStyle name="asd 28 3 3 2 4" xfId="10303"/>
    <cellStyle name="asd 28 3 3 2 5" xfId="12214"/>
    <cellStyle name="asd 28 3 3 2 6" xfId="13831"/>
    <cellStyle name="asd 28 3 3 2 7" xfId="15733"/>
    <cellStyle name="asd 28 3 3 2 8" xfId="17922"/>
    <cellStyle name="asd 28 3 3 2 9" xfId="19828"/>
    <cellStyle name="asd 28 3 3 20" xfId="37461"/>
    <cellStyle name="asd 28 3 3 21" xfId="38976"/>
    <cellStyle name="asd 28 3 3 22" xfId="40659"/>
    <cellStyle name="asd 28 3 3 23" xfId="42877"/>
    <cellStyle name="asd 28 3 3 3" xfId="4707"/>
    <cellStyle name="asd 28 3 3 4" xfId="7606"/>
    <cellStyle name="asd 28 3 3 5" xfId="9516"/>
    <cellStyle name="asd 28 3 3 6" xfId="12708"/>
    <cellStyle name="asd 28 3 3 7" xfId="13567"/>
    <cellStyle name="asd 28 3 3 8" xfId="15470"/>
    <cellStyle name="asd 28 3 3 9" xfId="17135"/>
    <cellStyle name="asd 28 3 4" xfId="4150"/>
    <cellStyle name="asd 28 3 4 10" xfId="19785"/>
    <cellStyle name="asd 28 3 4 11" xfId="21697"/>
    <cellStyle name="asd 28 3 4 12" xfId="23620"/>
    <cellStyle name="asd 28 3 4 13" xfId="25499"/>
    <cellStyle name="asd 28 3 4 14" xfId="27610"/>
    <cellStyle name="asd 28 3 4 15" xfId="28634"/>
    <cellStyle name="asd 28 3 4 16" xfId="31188"/>
    <cellStyle name="asd 28 3 4 17" xfId="32809"/>
    <cellStyle name="asd 28 3 4 18" xfId="34386"/>
    <cellStyle name="asd 28 3 4 19" xfId="36326"/>
    <cellStyle name="asd 28 3 4 2" xfId="6055"/>
    <cellStyle name="asd 28 3 4 2 10" xfId="22305"/>
    <cellStyle name="asd 28 3 4 2 11" xfId="13160"/>
    <cellStyle name="asd 28 3 4 2 12" xfId="26107"/>
    <cellStyle name="asd 28 3 4 2 13" xfId="2981"/>
    <cellStyle name="asd 28 3 4 2 14" xfId="2394"/>
    <cellStyle name="asd 28 3 4 2 15" xfId="29140"/>
    <cellStyle name="asd 28 3 4 2 16" xfId="28326"/>
    <cellStyle name="asd 28 3 4 2 17" xfId="31385"/>
    <cellStyle name="asd 28 3 4 2 18" xfId="36934"/>
    <cellStyle name="asd 28 3 4 2 19" xfId="38813"/>
    <cellStyle name="asd 28 3 4 2 2" xfId="7504"/>
    <cellStyle name="asd 28 3 4 2 20" xfId="33341"/>
    <cellStyle name="asd 28 3 4 2 21" xfId="30677"/>
    <cellStyle name="asd 28 3 4 2 22" xfId="34433"/>
    <cellStyle name="asd 28 3 4 2 3" xfId="8958"/>
    <cellStyle name="asd 28 3 4 2 4" xfId="10868"/>
    <cellStyle name="asd 28 3 4 2 5" xfId="2380"/>
    <cellStyle name="asd 28 3 4 2 6" xfId="2996"/>
    <cellStyle name="asd 28 3 4 2 7" xfId="3959"/>
    <cellStyle name="asd 28 3 4 2 8" xfId="18487"/>
    <cellStyle name="asd 28 3 4 2 9" xfId="20393"/>
    <cellStyle name="asd 28 3 4 20" xfId="38205"/>
    <cellStyle name="asd 28 3 4 21" xfId="40018"/>
    <cellStyle name="asd 28 3 4 22" xfId="41682"/>
    <cellStyle name="asd 28 3 4 23" xfId="43378"/>
    <cellStyle name="asd 28 3 4 3" xfId="6896"/>
    <cellStyle name="asd 28 3 4 4" xfId="8350"/>
    <cellStyle name="asd 28 3 4 5" xfId="10260"/>
    <cellStyle name="asd 28 3 4 6" xfId="11581"/>
    <cellStyle name="asd 28 3 4 7" xfId="14090"/>
    <cellStyle name="asd 28 3 4 8" xfId="15993"/>
    <cellStyle name="asd 28 3 4 9" xfId="17879"/>
    <cellStyle name="asd 28 3 5" xfId="4990"/>
    <cellStyle name="asd 28 3 5 10" xfId="21238"/>
    <cellStyle name="asd 28 3 5 11" xfId="22929"/>
    <cellStyle name="asd 28 3 5 12" xfId="25040"/>
    <cellStyle name="asd 28 3 5 13" xfId="27095"/>
    <cellStyle name="asd 28 3 5 14" xfId="28869"/>
    <cellStyle name="asd 28 3 5 15" xfId="30686"/>
    <cellStyle name="asd 28 3 5 16" xfId="32501"/>
    <cellStyle name="asd 28 3 5 17" xfId="34171"/>
    <cellStyle name="asd 28 3 5 18" xfId="35867"/>
    <cellStyle name="asd 28 3 5 19" xfId="37746"/>
    <cellStyle name="asd 28 3 5 2" xfId="6440"/>
    <cellStyle name="asd 28 3 5 20" xfId="39716"/>
    <cellStyle name="asd 28 3 5 21" xfId="41388"/>
    <cellStyle name="asd 28 3 5 22" xfId="42715"/>
    <cellStyle name="asd 28 3 5 3" xfId="7891"/>
    <cellStyle name="asd 28 3 5 4" xfId="9801"/>
    <cellStyle name="asd 28 3 5 5" xfId="12246"/>
    <cellStyle name="asd 28 3 5 6" xfId="13397"/>
    <cellStyle name="asd 28 3 5 7" xfId="15302"/>
    <cellStyle name="asd 28 3 5 8" xfId="17420"/>
    <cellStyle name="asd 28 3 5 9" xfId="19326"/>
    <cellStyle name="asd 28 3 6" xfId="5712"/>
    <cellStyle name="asd 28 3 6 10" xfId="21962"/>
    <cellStyle name="asd 28 3 6 11" xfId="22912"/>
    <cellStyle name="asd 28 3 6 12" xfId="25764"/>
    <cellStyle name="asd 28 3 6 13" xfId="26233"/>
    <cellStyle name="asd 28 3 6 14" xfId="28385"/>
    <cellStyle name="asd 28 3 6 15" xfId="29843"/>
    <cellStyle name="asd 28 3 6 16" xfId="32196"/>
    <cellStyle name="asd 28 3 6 17" xfId="33526"/>
    <cellStyle name="asd 28 3 6 18" xfId="36591"/>
    <cellStyle name="asd 28 3 6 19" xfId="38470"/>
    <cellStyle name="asd 28 3 6 2" xfId="7161"/>
    <cellStyle name="asd 28 3 6 20" xfId="39418"/>
    <cellStyle name="asd 28 3 6 21" xfId="41094"/>
    <cellStyle name="asd 28 3 6 22" xfId="42698"/>
    <cellStyle name="asd 28 3 6 3" xfId="8615"/>
    <cellStyle name="asd 28 3 6 4" xfId="10525"/>
    <cellStyle name="asd 28 3 6 5" xfId="11233"/>
    <cellStyle name="asd 28 3 6 6" xfId="13380"/>
    <cellStyle name="asd 28 3 6 7" xfId="15285"/>
    <cellStyle name="asd 28 3 6 8" xfId="18144"/>
    <cellStyle name="asd 28 3 6 9" xfId="20050"/>
    <cellStyle name="asd 28 3 7" xfId="2076"/>
    <cellStyle name="asd 28 3 8" xfId="9407"/>
    <cellStyle name="asd 28 3 9" xfId="11152"/>
    <cellStyle name="asd 28 4" xfId="3482"/>
    <cellStyle name="asd 28 4 10" xfId="15773"/>
    <cellStyle name="asd 28 4 11" xfId="16917"/>
    <cellStyle name="asd 28 4 12" xfId="18824"/>
    <cellStyle name="asd 28 4 13" xfId="20736"/>
    <cellStyle name="asd 28 4 14" xfId="23400"/>
    <cellStyle name="asd 28 4 15" xfId="24538"/>
    <cellStyle name="asd 28 4 16" xfId="26687"/>
    <cellStyle name="asd 28 4 17" xfId="28068"/>
    <cellStyle name="asd 28 4 18" xfId="30287"/>
    <cellStyle name="asd 28 4 19" xfId="32505"/>
    <cellStyle name="asd 28 4 2" xfId="3662"/>
    <cellStyle name="asd 28 4 2 10" xfId="17553"/>
    <cellStyle name="asd 28 4 2 11" xfId="19459"/>
    <cellStyle name="asd 28 4 2 12" xfId="21371"/>
    <cellStyle name="asd 28 4 2 13" xfId="22402"/>
    <cellStyle name="asd 28 4 2 14" xfId="25173"/>
    <cellStyle name="asd 28 4 2 15" xfId="27730"/>
    <cellStyle name="asd 28 4 2 16" xfId="29266"/>
    <cellStyle name="asd 28 4 2 17" xfId="31308"/>
    <cellStyle name="asd 28 4 2 18" xfId="33037"/>
    <cellStyle name="asd 28 4 2 19" xfId="34244"/>
    <cellStyle name="asd 28 4 2 2" xfId="4576"/>
    <cellStyle name="asd 28 4 2 2 10" xfId="20821"/>
    <cellStyle name="asd 28 4 2 2 11" xfId="23850"/>
    <cellStyle name="asd 28 4 2 2 12" xfId="24623"/>
    <cellStyle name="asd 28 4 2 2 13" xfId="27507"/>
    <cellStyle name="asd 28 4 2 2 14" xfId="29660"/>
    <cellStyle name="asd 28 4 2 2 15" xfId="31092"/>
    <cellStyle name="asd 28 4 2 2 16" xfId="33007"/>
    <cellStyle name="asd 28 4 2 2 17" xfId="33454"/>
    <cellStyle name="asd 28 4 2 2 18" xfId="35451"/>
    <cellStyle name="asd 28 4 2 2 19" xfId="37329"/>
    <cellStyle name="asd 28 4 2 2 2" xfId="2410"/>
    <cellStyle name="asd 28 4 2 2 20" xfId="40207"/>
    <cellStyle name="asd 28 4 2 2 21" xfId="41866"/>
    <cellStyle name="asd 28 4 2 2 22" xfId="43601"/>
    <cellStyle name="asd 28 4 2 2 3" xfId="2619"/>
    <cellStyle name="asd 28 4 2 2 4" xfId="9383"/>
    <cellStyle name="asd 28 4 2 2 5" xfId="11613"/>
    <cellStyle name="asd 28 4 2 2 6" xfId="14320"/>
    <cellStyle name="asd 28 4 2 2 7" xfId="16224"/>
    <cellStyle name="asd 28 4 2 2 8" xfId="17002"/>
    <cellStyle name="asd 28 4 2 2 9" xfId="18909"/>
    <cellStyle name="asd 28 4 2 20" xfId="36000"/>
    <cellStyle name="asd 28 4 2 21" xfId="37879"/>
    <cellStyle name="asd 28 4 2 22" xfId="40236"/>
    <cellStyle name="asd 28 4 2 23" xfId="41895"/>
    <cellStyle name="asd 28 4 2 24" xfId="42213"/>
    <cellStyle name="asd 28 4 2 3" xfId="5123"/>
    <cellStyle name="asd 28 4 2 4" xfId="6573"/>
    <cellStyle name="asd 28 4 2 5" xfId="8024"/>
    <cellStyle name="asd 28 4 2 6" xfId="9934"/>
    <cellStyle name="asd 28 4 2 7" xfId="11536"/>
    <cellStyle name="asd 28 4 2 8" xfId="12869"/>
    <cellStyle name="asd 28 4 2 9" xfId="14774"/>
    <cellStyle name="asd 28 4 20" xfId="34753"/>
    <cellStyle name="asd 28 4 21" xfId="35366"/>
    <cellStyle name="asd 28 4 22" xfId="37244"/>
    <cellStyle name="asd 28 4 23" xfId="39720"/>
    <cellStyle name="asd 28 4 24" xfId="41392"/>
    <cellStyle name="asd 28 4 25" xfId="43167"/>
    <cellStyle name="asd 28 4 3" xfId="3855"/>
    <cellStyle name="asd 28 4 3 10" xfId="19576"/>
    <cellStyle name="asd 28 4 3 11" xfId="21488"/>
    <cellStyle name="asd 28 4 3 12" xfId="22715"/>
    <cellStyle name="asd 28 4 3 13" xfId="25290"/>
    <cellStyle name="asd 28 4 3 14" xfId="26541"/>
    <cellStyle name="asd 28 4 3 15" xfId="28663"/>
    <cellStyle name="asd 28 4 3 16" xfId="30147"/>
    <cellStyle name="asd 28 4 3 17" xfId="31666"/>
    <cellStyle name="asd 28 4 3 18" xfId="33749"/>
    <cellStyle name="asd 28 4 3 19" xfId="36117"/>
    <cellStyle name="asd 28 4 3 2" xfId="5846"/>
    <cellStyle name="asd 28 4 3 2 10" xfId="22096"/>
    <cellStyle name="asd 28 4 3 2 11" xfId="22956"/>
    <cellStyle name="asd 28 4 3 2 12" xfId="25898"/>
    <cellStyle name="asd 28 4 3 2 13" xfId="27972"/>
    <cellStyle name="asd 28 4 3 2 14" xfId="29564"/>
    <cellStyle name="asd 28 4 3 2 15" xfId="31552"/>
    <cellStyle name="asd 28 4 3 2 16" xfId="31049"/>
    <cellStyle name="asd 28 4 3 2 17" xfId="31470"/>
    <cellStyle name="asd 28 4 3 2 18" xfId="36725"/>
    <cellStyle name="asd 28 4 3 2 19" xfId="38604"/>
    <cellStyle name="asd 28 4 3 2 2" xfId="7295"/>
    <cellStyle name="asd 28 4 3 2 20" xfId="28964"/>
    <cellStyle name="asd 28 4 3 2 21" xfId="39909"/>
    <cellStyle name="asd 28 4 3 2 22" xfId="42742"/>
    <cellStyle name="asd 28 4 3 2 3" xfId="8749"/>
    <cellStyle name="asd 28 4 3 2 4" xfId="10659"/>
    <cellStyle name="asd 28 4 3 2 5" xfId="12174"/>
    <cellStyle name="asd 28 4 3 2 6" xfId="13425"/>
    <cellStyle name="asd 28 4 3 2 7" xfId="15330"/>
    <cellStyle name="asd 28 4 3 2 8" xfId="18278"/>
    <cellStyle name="asd 28 4 3 2 9" xfId="20184"/>
    <cellStyle name="asd 28 4 3 20" xfId="37996"/>
    <cellStyle name="asd 28 4 3 21" xfId="38910"/>
    <cellStyle name="asd 28 4 3 22" xfId="40594"/>
    <cellStyle name="asd 28 4 3 23" xfId="42515"/>
    <cellStyle name="asd 28 4 3 3" xfId="5240"/>
    <cellStyle name="asd 28 4 3 4" xfId="8141"/>
    <cellStyle name="asd 28 4 3 5" xfId="10051"/>
    <cellStyle name="asd 28 4 3 6" xfId="11191"/>
    <cellStyle name="asd 28 4 3 7" xfId="13183"/>
    <cellStyle name="asd 28 4 3 8" xfId="15087"/>
    <cellStyle name="asd 28 4 3 9" xfId="17670"/>
    <cellStyle name="asd 28 4 4" xfId="4114"/>
    <cellStyle name="asd 28 4 4 10" xfId="19749"/>
    <cellStyle name="asd 28 4 4 11" xfId="21661"/>
    <cellStyle name="asd 28 4 4 12" xfId="23280"/>
    <cellStyle name="asd 28 4 4 13" xfId="25463"/>
    <cellStyle name="asd 28 4 4 14" xfId="26263"/>
    <cellStyle name="asd 28 4 4 15" xfId="29114"/>
    <cellStyle name="asd 28 4 4 16" xfId="29873"/>
    <cellStyle name="asd 28 4 4 17" xfId="33285"/>
    <cellStyle name="asd 28 4 4 18" xfId="34094"/>
    <cellStyle name="asd 28 4 4 19" xfId="36290"/>
    <cellStyle name="asd 28 4 4 2" xfId="6019"/>
    <cellStyle name="asd 28 4 4 2 10" xfId="22269"/>
    <cellStyle name="asd 28 4 4 2 11" xfId="23703"/>
    <cellStyle name="asd 28 4 4 2 12" xfId="26071"/>
    <cellStyle name="asd 28 4 4 2 13" xfId="27283"/>
    <cellStyle name="asd 28 4 4 2 14" xfId="28464"/>
    <cellStyle name="asd 28 4 4 2 15" xfId="30875"/>
    <cellStyle name="asd 28 4 4 2 16" xfId="31771"/>
    <cellStyle name="asd 28 4 4 2 17" xfId="34669"/>
    <cellStyle name="asd 28 4 4 2 18" xfId="36898"/>
    <cellStyle name="asd 28 4 4 2 19" xfId="38777"/>
    <cellStyle name="asd 28 4 4 2 2" xfId="7468"/>
    <cellStyle name="asd 28 4 4 2 20" xfId="39010"/>
    <cellStyle name="asd 28 4 4 2 21" xfId="40692"/>
    <cellStyle name="asd 28 4 4 2 22" xfId="43460"/>
    <cellStyle name="asd 28 4 4 2 3" xfId="8922"/>
    <cellStyle name="asd 28 4 4 2 4" xfId="10832"/>
    <cellStyle name="asd 28 4 4 2 5" xfId="11778"/>
    <cellStyle name="asd 28 4 4 2 6" xfId="14173"/>
    <cellStyle name="asd 28 4 4 2 7" xfId="16077"/>
    <cellStyle name="asd 28 4 4 2 8" xfId="18451"/>
    <cellStyle name="asd 28 4 4 2 9" xfId="20357"/>
    <cellStyle name="asd 28 4 4 20" xfId="38169"/>
    <cellStyle name="asd 28 4 4 21" xfId="40469"/>
    <cellStyle name="asd 28 4 4 22" xfId="42124"/>
    <cellStyle name="asd 28 4 4 23" xfId="43056"/>
    <cellStyle name="asd 28 4 4 3" xfId="6860"/>
    <cellStyle name="asd 28 4 4 4" xfId="8314"/>
    <cellStyle name="asd 28 4 4 5" xfId="10224"/>
    <cellStyle name="asd 28 4 4 6" xfId="11223"/>
    <cellStyle name="asd 28 4 4 7" xfId="13752"/>
    <cellStyle name="asd 28 4 4 8" xfId="15654"/>
    <cellStyle name="asd 28 4 4 9" xfId="17843"/>
    <cellStyle name="asd 28 4 5" xfId="5723"/>
    <cellStyle name="asd 28 4 5 10" xfId="21973"/>
    <cellStyle name="asd 28 4 5 11" xfId="23232"/>
    <cellStyle name="asd 28 4 5 12" xfId="25775"/>
    <cellStyle name="asd 28 4 5 13" xfId="26253"/>
    <cellStyle name="asd 28 4 5 14" xfId="28975"/>
    <cellStyle name="asd 28 4 5 15" xfId="29863"/>
    <cellStyle name="asd 28 4 5 16" xfId="33028"/>
    <cellStyle name="asd 28 4 5 17" xfId="34179"/>
    <cellStyle name="asd 28 4 5 18" xfId="36602"/>
    <cellStyle name="asd 28 4 5 19" xfId="38481"/>
    <cellStyle name="asd 28 4 5 2" xfId="7172"/>
    <cellStyle name="asd 28 4 5 20" xfId="40228"/>
    <cellStyle name="asd 28 4 5 21" xfId="41887"/>
    <cellStyle name="asd 28 4 5 22" xfId="43009"/>
    <cellStyle name="asd 28 4 5 3" xfId="8626"/>
    <cellStyle name="asd 28 4 5 4" xfId="10536"/>
    <cellStyle name="asd 28 4 5 5" xfId="11116"/>
    <cellStyle name="asd 28 4 5 6" xfId="13704"/>
    <cellStyle name="asd 28 4 5 7" xfId="15606"/>
    <cellStyle name="asd 28 4 5 8" xfId="18155"/>
    <cellStyle name="asd 28 4 5 9" xfId="20061"/>
    <cellStyle name="asd 28 4 6" xfId="5320"/>
    <cellStyle name="asd 28 4 7" xfId="9298"/>
    <cellStyle name="asd 28 4 8" xfId="11255"/>
    <cellStyle name="asd 28 4 9" xfId="13872"/>
    <cellStyle name="asd 28 5" xfId="3054"/>
    <cellStyle name="asd 28 5 10" xfId="17242"/>
    <cellStyle name="asd 28 5 11" xfId="19148"/>
    <cellStyle name="asd 28 5 12" xfId="21060"/>
    <cellStyle name="asd 28 5 13" xfId="22497"/>
    <cellStyle name="asd 28 5 14" xfId="24862"/>
    <cellStyle name="asd 28 5 15" xfId="26197"/>
    <cellStyle name="asd 28 5 16" xfId="28606"/>
    <cellStyle name="asd 28 5 17" xfId="29810"/>
    <cellStyle name="asd 28 5 18" xfId="32744"/>
    <cellStyle name="asd 28 5 19" xfId="34114"/>
    <cellStyle name="asd 28 5 2" xfId="5632"/>
    <cellStyle name="asd 28 5 2 10" xfId="21882"/>
    <cellStyle name="asd 28 5 2 11" xfId="22581"/>
    <cellStyle name="asd 28 5 2 12" xfId="25684"/>
    <cellStyle name="asd 28 5 2 13" xfId="3144"/>
    <cellStyle name="asd 28 5 2 14" xfId="1952"/>
    <cellStyle name="asd 28 5 2 15" xfId="3251"/>
    <cellStyle name="asd 28 5 2 16" xfId="2728"/>
    <cellStyle name="asd 28 5 2 17" xfId="2839"/>
    <cellStyle name="asd 28 5 2 18" xfId="36511"/>
    <cellStyle name="asd 28 5 2 19" xfId="38390"/>
    <cellStyle name="asd 28 5 2 2" xfId="7081"/>
    <cellStyle name="asd 28 5 2 20" xfId="36952"/>
    <cellStyle name="asd 28 5 2 21" xfId="40409"/>
    <cellStyle name="asd 28 5 2 22" xfId="42390"/>
    <cellStyle name="asd 28 5 2 3" xfId="8535"/>
    <cellStyle name="asd 28 5 2 4" xfId="10445"/>
    <cellStyle name="asd 28 5 2 5" xfId="11844"/>
    <cellStyle name="asd 28 5 2 6" xfId="13049"/>
    <cellStyle name="asd 28 5 2 7" xfId="14953"/>
    <cellStyle name="asd 28 5 2 8" xfId="18064"/>
    <cellStyle name="asd 28 5 2 9" xfId="19970"/>
    <cellStyle name="asd 28 5 20" xfId="35689"/>
    <cellStyle name="asd 28 5 21" xfId="37568"/>
    <cellStyle name="asd 28 5 22" xfId="39952"/>
    <cellStyle name="asd 28 5 23" xfId="41617"/>
    <cellStyle name="asd 28 5 24" xfId="42307"/>
    <cellStyle name="asd 28 5 3" xfId="4812"/>
    <cellStyle name="asd 28 5 4" xfId="6262"/>
    <cellStyle name="asd 28 5 5" xfId="7713"/>
    <cellStyle name="asd 28 5 6" xfId="9623"/>
    <cellStyle name="asd 28 5 7" xfId="11653"/>
    <cellStyle name="asd 28 5 8" xfId="12965"/>
    <cellStyle name="asd 28 5 9" xfId="14869"/>
    <cellStyle name="asd 28 6" xfId="2158"/>
    <cellStyle name="asd 28 6 10" xfId="19028"/>
    <cellStyle name="asd 28 6 11" xfId="20940"/>
    <cellStyle name="asd 28 6 12" xfId="22742"/>
    <cellStyle name="asd 28 6 13" xfId="24742"/>
    <cellStyle name="asd 28 6 14" xfId="27040"/>
    <cellStyle name="asd 28 6 15" xfId="29346"/>
    <cellStyle name="asd 28 6 16" xfId="30633"/>
    <cellStyle name="asd 28 6 17" xfId="33041"/>
    <cellStyle name="asd 28 6 18" xfId="34560"/>
    <cellStyle name="asd 28 6 19" xfId="35569"/>
    <cellStyle name="asd 28 6 2" xfId="5614"/>
    <cellStyle name="asd 28 6 2 10" xfId="21864"/>
    <cellStyle name="asd 28 6 2 11" xfId="22462"/>
    <cellStyle name="asd 28 6 2 12" xfId="25666"/>
    <cellStyle name="asd 28 6 2 13" xfId="27100"/>
    <cellStyle name="asd 28 6 2 14" xfId="28243"/>
    <cellStyle name="asd 28 6 2 15" xfId="30691"/>
    <cellStyle name="asd 28 6 2 16" xfId="32915"/>
    <cellStyle name="asd 28 6 2 17" xfId="33907"/>
    <cellStyle name="asd 28 6 2 18" xfId="36493"/>
    <cellStyle name="asd 28 6 2 19" xfId="38372"/>
    <cellStyle name="asd 28 6 2 2" xfId="7063"/>
    <cellStyle name="asd 28 6 2 20" xfId="40119"/>
    <cellStyle name="asd 28 6 2 21" xfId="41779"/>
    <cellStyle name="asd 28 6 2 22" xfId="42273"/>
    <cellStyle name="asd 28 6 2 3" xfId="8517"/>
    <cellStyle name="asd 28 6 2 4" xfId="10427"/>
    <cellStyle name="asd 28 6 2 5" xfId="11558"/>
    <cellStyle name="asd 28 6 2 6" xfId="12930"/>
    <cellStyle name="asd 28 6 2 7" xfId="14835"/>
    <cellStyle name="asd 28 6 2 8" xfId="18046"/>
    <cellStyle name="asd 28 6 2 9" xfId="19952"/>
    <cellStyle name="asd 28 6 20" xfId="37448"/>
    <cellStyle name="asd 28 6 21" xfId="40240"/>
    <cellStyle name="asd 28 6 22" xfId="41899"/>
    <cellStyle name="asd 28 6 23" xfId="42540"/>
    <cellStyle name="asd 28 6 3" xfId="4694"/>
    <cellStyle name="asd 28 6 4" xfId="7593"/>
    <cellStyle name="asd 28 6 5" xfId="9503"/>
    <cellStyle name="asd 28 6 6" xfId="11529"/>
    <cellStyle name="asd 28 6 7" xfId="13211"/>
    <cellStyle name="asd 28 6 8" xfId="15114"/>
    <cellStyle name="asd 28 6 9" xfId="17122"/>
    <cellStyle name="asd 28 7" xfId="2330"/>
    <cellStyle name="asd 28 7 10" xfId="19053"/>
    <cellStyle name="asd 28 7 11" xfId="20965"/>
    <cellStyle name="asd 28 7 12" xfId="23945"/>
    <cellStyle name="asd 28 7 13" xfId="24767"/>
    <cellStyle name="asd 28 7 14" xfId="26493"/>
    <cellStyle name="asd 28 7 15" xfId="28221"/>
    <cellStyle name="asd 28 7 16" xfId="30098"/>
    <cellStyle name="asd 28 7 17" xfId="31856"/>
    <cellStyle name="asd 28 7 18" xfId="34042"/>
    <cellStyle name="asd 28 7 19" xfId="35594"/>
    <cellStyle name="asd 28 7 2" xfId="4265"/>
    <cellStyle name="asd 28 7 2 10" xfId="20464"/>
    <cellStyle name="asd 28 7 2 11" xfId="23881"/>
    <cellStyle name="asd 28 7 2 12" xfId="24266"/>
    <cellStyle name="asd 28 7 2 13" xfId="26343"/>
    <cellStyle name="asd 28 7 2 14" xfId="29246"/>
    <cellStyle name="asd 28 7 2 15" xfId="29951"/>
    <cellStyle name="asd 28 7 2 16" xfId="32350"/>
    <cellStyle name="asd 28 7 2 17" xfId="34031"/>
    <cellStyle name="asd 28 7 2 18" xfId="35094"/>
    <cellStyle name="asd 28 7 2 19" xfId="36972"/>
    <cellStyle name="asd 28 7 2 2" xfId="4307"/>
    <cellStyle name="asd 28 7 2 20" xfId="39569"/>
    <cellStyle name="asd 28 7 2 21" xfId="41243"/>
    <cellStyle name="asd 28 7 2 22" xfId="43631"/>
    <cellStyle name="asd 28 7 2 3" xfId="4192"/>
    <cellStyle name="asd 28 7 2 4" xfId="9026"/>
    <cellStyle name="asd 28 7 2 5" xfId="11832"/>
    <cellStyle name="asd 28 7 2 6" xfId="14351"/>
    <cellStyle name="asd 28 7 2 7" xfId="16256"/>
    <cellStyle name="asd 28 7 2 8" xfId="16645"/>
    <cellStyle name="asd 28 7 2 9" xfId="18552"/>
    <cellStyle name="asd 28 7 20" xfId="37473"/>
    <cellStyle name="asd 28 7 21" xfId="39091"/>
    <cellStyle name="asd 28 7 22" xfId="40772"/>
    <cellStyle name="asd 28 7 23" xfId="43691"/>
    <cellStyle name="asd 28 7 3" xfId="6167"/>
    <cellStyle name="asd 28 7 4" xfId="7618"/>
    <cellStyle name="asd 28 7 5" xfId="9528"/>
    <cellStyle name="asd 28 7 6" xfId="11905"/>
    <cellStyle name="asd 28 7 7" xfId="14415"/>
    <cellStyle name="asd 28 7 8" xfId="16321"/>
    <cellStyle name="asd 28 7 9" xfId="17147"/>
    <cellStyle name="asd 28 8" xfId="2599"/>
    <cellStyle name="asd 28 9" xfId="1958"/>
    <cellStyle name="asd 29" xfId="894"/>
    <cellStyle name="asd 29 10" xfId="2226"/>
    <cellStyle name="asd 29 11" xfId="6216"/>
    <cellStyle name="asd 29 12" xfId="4156"/>
    <cellStyle name="asd 29 13" xfId="15504"/>
    <cellStyle name="asd 29 14" xfId="14729"/>
    <cellStyle name="asd 29 15" xfId="14679"/>
    <cellStyle name="asd 29 16" xfId="1920"/>
    <cellStyle name="asd 29 17" xfId="23130"/>
    <cellStyle name="asd 29 18" xfId="26132"/>
    <cellStyle name="asd 29 19" xfId="13419"/>
    <cellStyle name="asd 29 2" xfId="3513"/>
    <cellStyle name="asd 29 2 10" xfId="13114"/>
    <cellStyle name="asd 29 2 11" xfId="15019"/>
    <cellStyle name="asd 29 2 12" xfId="17001"/>
    <cellStyle name="asd 29 2 13" xfId="18908"/>
    <cellStyle name="asd 29 2 14" xfId="20820"/>
    <cellStyle name="asd 29 2 15" xfId="22647"/>
    <cellStyle name="asd 29 2 16" xfId="24622"/>
    <cellStyle name="asd 29 2 17" xfId="2446"/>
    <cellStyle name="asd 29 2 18" xfId="15256"/>
    <cellStyle name="asd 29 2 19" xfId="1887"/>
    <cellStyle name="asd 29 2 2" xfId="3693"/>
    <cellStyle name="asd 29 2 2 10" xfId="17584"/>
    <cellStyle name="asd 29 2 2 11" xfId="19490"/>
    <cellStyle name="asd 29 2 2 12" xfId="21402"/>
    <cellStyle name="asd 29 2 2 13" xfId="22367"/>
    <cellStyle name="asd 29 2 2 14" xfId="25204"/>
    <cellStyle name="asd 29 2 2 15" xfId="26405"/>
    <cellStyle name="asd 29 2 2 16" xfId="28138"/>
    <cellStyle name="asd 29 2 2 17" xfId="30013"/>
    <cellStyle name="asd 29 2 2 18" xfId="32723"/>
    <cellStyle name="asd 29 2 2 19" xfId="34246"/>
    <cellStyle name="asd 29 2 2 2" xfId="5760"/>
    <cellStyle name="asd 29 2 2 2 10" xfId="22010"/>
    <cellStyle name="asd 29 2 2 2 11" xfId="24064"/>
    <cellStyle name="asd 29 2 2 2 12" xfId="25812"/>
    <cellStyle name="asd 29 2 2 2 13" xfId="27761"/>
    <cellStyle name="asd 29 2 2 2 14" xfId="27077"/>
    <cellStyle name="asd 29 2 2 2 15" xfId="31339"/>
    <cellStyle name="asd 29 2 2 2 16" xfId="32733"/>
    <cellStyle name="asd 29 2 2 2 17" xfId="29662"/>
    <cellStyle name="asd 29 2 2 2 18" xfId="36639"/>
    <cellStyle name="asd 29 2 2 2 19" xfId="38518"/>
    <cellStyle name="asd 29 2 2 2 2" xfId="7209"/>
    <cellStyle name="asd 29 2 2 2 20" xfId="39942"/>
    <cellStyle name="asd 29 2 2 2 21" xfId="41608"/>
    <cellStyle name="asd 29 2 2 2 22" xfId="43808"/>
    <cellStyle name="asd 29 2 2 2 3" xfId="8663"/>
    <cellStyle name="asd 29 2 2 2 4" xfId="10573"/>
    <cellStyle name="asd 29 2 2 2 5" xfId="12023"/>
    <cellStyle name="asd 29 2 2 2 6" xfId="14534"/>
    <cellStyle name="asd 29 2 2 2 7" xfId="16440"/>
    <cellStyle name="asd 29 2 2 2 8" xfId="18192"/>
    <cellStyle name="asd 29 2 2 2 9" xfId="20098"/>
    <cellStyle name="asd 29 2 2 20" xfId="36031"/>
    <cellStyle name="asd 29 2 2 21" xfId="37910"/>
    <cellStyle name="asd 29 2 2 22" xfId="39933"/>
    <cellStyle name="asd 29 2 2 23" xfId="41599"/>
    <cellStyle name="asd 29 2 2 24" xfId="42179"/>
    <cellStyle name="asd 29 2 2 3" xfId="5154"/>
    <cellStyle name="asd 29 2 2 4" xfId="6604"/>
    <cellStyle name="asd 29 2 2 5" xfId="8055"/>
    <cellStyle name="asd 29 2 2 6" xfId="9965"/>
    <cellStyle name="asd 29 2 2 7" xfId="11548"/>
    <cellStyle name="asd 29 2 2 8" xfId="12834"/>
    <cellStyle name="asd 29 2 2 9" xfId="14739"/>
    <cellStyle name="asd 29 2 20" xfId="28062"/>
    <cellStyle name="asd 29 2 21" xfId="30799"/>
    <cellStyle name="asd 29 2 22" xfId="35450"/>
    <cellStyle name="asd 29 2 23" xfId="37328"/>
    <cellStyle name="asd 29 2 24" xfId="24083"/>
    <cellStyle name="asd 29 2 25" xfId="22317"/>
    <cellStyle name="asd 29 2 26" xfId="42453"/>
    <cellStyle name="asd 29 2 3" xfId="2497"/>
    <cellStyle name="asd 29 2 3 10" xfId="19072"/>
    <cellStyle name="asd 29 2 3 11" xfId="20984"/>
    <cellStyle name="asd 29 2 3 12" xfId="22597"/>
    <cellStyle name="asd 29 2 3 13" xfId="24786"/>
    <cellStyle name="asd 29 2 3 14" xfId="26817"/>
    <cellStyle name="asd 29 2 3 15" xfId="28137"/>
    <cellStyle name="asd 29 2 3 16" xfId="30416"/>
    <cellStyle name="asd 29 2 3 17" xfId="33148"/>
    <cellStyle name="asd 29 2 3 18" xfId="34277"/>
    <cellStyle name="asd 29 2 3 19" xfId="35613"/>
    <cellStyle name="asd 29 2 3 2" xfId="5542"/>
    <cellStyle name="asd 29 2 3 2 10" xfId="21792"/>
    <cellStyle name="asd 29 2 3 2 11" xfId="22737"/>
    <cellStyle name="asd 29 2 3 2 12" xfId="25594"/>
    <cellStyle name="asd 29 2 3 2 13" xfId="27912"/>
    <cellStyle name="asd 29 2 3 2 14" xfId="29187"/>
    <cellStyle name="asd 29 2 3 2 15" xfId="31494"/>
    <cellStyle name="asd 29 2 3 2 16" xfId="32774"/>
    <cellStyle name="asd 29 2 3 2 17" xfId="33588"/>
    <cellStyle name="asd 29 2 3 2 18" xfId="36421"/>
    <cellStyle name="asd 29 2 3 2 19" xfId="38300"/>
    <cellStyle name="asd 29 2 3 2 2" xfId="6991"/>
    <cellStyle name="asd 29 2 3 2 20" xfId="39983"/>
    <cellStyle name="asd 29 2 3 2 21" xfId="41647"/>
    <cellStyle name="asd 29 2 3 2 22" xfId="42535"/>
    <cellStyle name="asd 29 2 3 2 3" xfId="8445"/>
    <cellStyle name="asd 29 2 3 2 4" xfId="10355"/>
    <cellStyle name="asd 29 2 3 2 5" xfId="11809"/>
    <cellStyle name="asd 29 2 3 2 6" xfId="13206"/>
    <cellStyle name="asd 29 2 3 2 7" xfId="15109"/>
    <cellStyle name="asd 29 2 3 2 8" xfId="17974"/>
    <cellStyle name="asd 29 2 3 2 9" xfId="19880"/>
    <cellStyle name="asd 29 2 3 20" xfId="37492"/>
    <cellStyle name="asd 29 2 3 21" xfId="40341"/>
    <cellStyle name="asd 29 2 3 22" xfId="41997"/>
    <cellStyle name="asd 29 2 3 23" xfId="42406"/>
    <cellStyle name="asd 29 2 3 3" xfId="4737"/>
    <cellStyle name="asd 29 2 3 4" xfId="7637"/>
    <cellStyle name="asd 29 2 3 5" xfId="9547"/>
    <cellStyle name="asd 29 2 3 6" xfId="12431"/>
    <cellStyle name="asd 29 2 3 7" xfId="13065"/>
    <cellStyle name="asd 29 2 3 8" xfId="14969"/>
    <cellStyle name="asd 29 2 3 9" xfId="17166"/>
    <cellStyle name="asd 29 2 4" xfId="4145"/>
    <cellStyle name="asd 29 2 4 10" xfId="19780"/>
    <cellStyle name="asd 29 2 4 11" xfId="21692"/>
    <cellStyle name="asd 29 2 4 12" xfId="22959"/>
    <cellStyle name="asd 29 2 4 13" xfId="25494"/>
    <cellStyle name="asd 29 2 4 14" xfId="26709"/>
    <cellStyle name="asd 29 2 4 15" xfId="29046"/>
    <cellStyle name="asd 29 2 4 16" xfId="30309"/>
    <cellStyle name="asd 29 2 4 17" xfId="32619"/>
    <cellStyle name="asd 29 2 4 18" xfId="34698"/>
    <cellStyle name="asd 29 2 4 19" xfId="36321"/>
    <cellStyle name="asd 29 2 4 2" xfId="6050"/>
    <cellStyle name="asd 29 2 4 2 10" xfId="22300"/>
    <cellStyle name="asd 29 2 4 2 11" xfId="2871"/>
    <cellStyle name="asd 29 2 4 2 12" xfId="26102"/>
    <cellStyle name="asd 29 2 4 2 13" xfId="4379"/>
    <cellStyle name="asd 29 2 4 2 14" xfId="29405"/>
    <cellStyle name="asd 29 2 4 2 15" xfId="11515"/>
    <cellStyle name="asd 29 2 4 2 16" xfId="31567"/>
    <cellStyle name="asd 29 2 4 2 17" xfId="28889"/>
    <cellStyle name="asd 29 2 4 2 18" xfId="36929"/>
    <cellStyle name="asd 29 2 4 2 19" xfId="38808"/>
    <cellStyle name="asd 29 2 4 2 2" xfId="7499"/>
    <cellStyle name="asd 29 2 4 2 20" xfId="38825"/>
    <cellStyle name="asd 29 2 4 2 21" xfId="40518"/>
    <cellStyle name="asd 29 2 4 2 22" xfId="3028"/>
    <cellStyle name="asd 29 2 4 2 3" xfId="8953"/>
    <cellStyle name="asd 29 2 4 2 4" xfId="10863"/>
    <cellStyle name="asd 29 2 4 2 5" xfId="2550"/>
    <cellStyle name="asd 29 2 4 2 6" xfId="8985"/>
    <cellStyle name="asd 29 2 4 2 7" xfId="12784"/>
    <cellStyle name="asd 29 2 4 2 8" xfId="18482"/>
    <cellStyle name="asd 29 2 4 2 9" xfId="20388"/>
    <cellStyle name="asd 29 2 4 20" xfId="38200"/>
    <cellStyle name="asd 29 2 4 21" xfId="39829"/>
    <cellStyle name="asd 29 2 4 22" xfId="41498"/>
    <cellStyle name="asd 29 2 4 23" xfId="42745"/>
    <cellStyle name="asd 29 2 4 3" xfId="6891"/>
    <cellStyle name="asd 29 2 4 4" xfId="8345"/>
    <cellStyle name="asd 29 2 4 5" xfId="10255"/>
    <cellStyle name="asd 29 2 4 6" xfId="11153"/>
    <cellStyle name="asd 29 2 4 7" xfId="13428"/>
    <cellStyle name="asd 29 2 4 8" xfId="15333"/>
    <cellStyle name="asd 29 2 4 9" xfId="17874"/>
    <cellStyle name="asd 29 2 5" xfId="4986"/>
    <cellStyle name="asd 29 2 5 10" xfId="21234"/>
    <cellStyle name="asd 29 2 5 11" xfId="8973"/>
    <cellStyle name="asd 29 2 5 12" xfId="25036"/>
    <cellStyle name="asd 29 2 5 13" xfId="13839"/>
    <cellStyle name="asd 29 2 5 14" xfId="2879"/>
    <cellStyle name="asd 29 2 5 15" xfId="16628"/>
    <cellStyle name="asd 29 2 5 16" xfId="29254"/>
    <cellStyle name="asd 29 2 5 17" xfId="2637"/>
    <cellStyle name="asd 29 2 5 18" xfId="35863"/>
    <cellStyle name="asd 29 2 5 19" xfId="37742"/>
    <cellStyle name="asd 29 2 5 2" xfId="6436"/>
    <cellStyle name="asd 29 2 5 20" xfId="35075"/>
    <cellStyle name="asd 29 2 5 21" xfId="2437"/>
    <cellStyle name="asd 29 2 5 22" xfId="36942"/>
    <cellStyle name="asd 29 2 5 3" xfId="7887"/>
    <cellStyle name="asd 29 2 5 4" xfId="9797"/>
    <cellStyle name="asd 29 2 5 5" xfId="12229"/>
    <cellStyle name="asd 29 2 5 6" xfId="2884"/>
    <cellStyle name="asd 29 2 5 7" xfId="8974"/>
    <cellStyle name="asd 29 2 5 8" xfId="17416"/>
    <cellStyle name="asd 29 2 5 9" xfId="19322"/>
    <cellStyle name="asd 29 2 6" xfId="5455"/>
    <cellStyle name="asd 29 2 6 10" xfId="21705"/>
    <cellStyle name="asd 29 2 6 11" xfId="23442"/>
    <cellStyle name="asd 29 2 6 12" xfId="25507"/>
    <cellStyle name="asd 29 2 6 13" xfId="27202"/>
    <cellStyle name="asd 29 2 6 14" xfId="29310"/>
    <cellStyle name="asd 29 2 6 15" xfId="30793"/>
    <cellStyle name="asd 29 2 6 16" xfId="32305"/>
    <cellStyle name="asd 29 2 6 17" xfId="34650"/>
    <cellStyle name="asd 29 2 6 18" xfId="36334"/>
    <cellStyle name="asd 29 2 6 19" xfId="38213"/>
    <cellStyle name="asd 29 2 6 2" xfId="6904"/>
    <cellStyle name="asd 29 2 6 20" xfId="39524"/>
    <cellStyle name="asd 29 2 6 21" xfId="41198"/>
    <cellStyle name="asd 29 2 6 22" xfId="43209"/>
    <cellStyle name="asd 29 2 6 3" xfId="8358"/>
    <cellStyle name="asd 29 2 6 4" xfId="10268"/>
    <cellStyle name="asd 29 2 6 5" xfId="12236"/>
    <cellStyle name="asd 29 2 6 6" xfId="13914"/>
    <cellStyle name="asd 29 2 6 7" xfId="15815"/>
    <cellStyle name="asd 29 2 6 8" xfId="17887"/>
    <cellStyle name="asd 29 2 6 9" xfId="19793"/>
    <cellStyle name="asd 29 2 7" xfId="5422"/>
    <cellStyle name="asd 29 2 8" xfId="9382"/>
    <cellStyle name="asd 29 2 9" xfId="12412"/>
    <cellStyle name="asd 29 20" xfId="29746"/>
    <cellStyle name="asd 29 21" xfId="15880"/>
    <cellStyle name="asd 29 22" xfId="3220"/>
    <cellStyle name="asd 29 23" xfId="34889"/>
    <cellStyle name="asd 29 24" xfId="29462"/>
    <cellStyle name="asd 29 25" xfId="33226"/>
    <cellStyle name="asd 29 26" xfId="39077"/>
    <cellStyle name="asd 29 27" xfId="26791"/>
    <cellStyle name="asd 29 3" xfId="3429"/>
    <cellStyle name="asd 29 3 10" xfId="14580"/>
    <cellStyle name="asd 29 3 11" xfId="16486"/>
    <cellStyle name="asd 29 3 12" xfId="16806"/>
    <cellStyle name="asd 29 3 13" xfId="18713"/>
    <cellStyle name="asd 29 3 14" xfId="20625"/>
    <cellStyle name="asd 29 3 15" xfId="24110"/>
    <cellStyle name="asd 29 3 16" xfId="24427"/>
    <cellStyle name="asd 29 3 17" xfId="26274"/>
    <cellStyle name="asd 29 3 18" xfId="9000"/>
    <cellStyle name="asd 29 3 19" xfId="29883"/>
    <cellStyle name="asd 29 3 2" xfId="3609"/>
    <cellStyle name="asd 29 3 2 10" xfId="17500"/>
    <cellStyle name="asd 29 3 2 11" xfId="19406"/>
    <cellStyle name="asd 29 3 2 12" xfId="21318"/>
    <cellStyle name="asd 29 3 2 13" xfId="23432"/>
    <cellStyle name="asd 29 3 2 14" xfId="25120"/>
    <cellStyle name="asd 29 3 2 15" xfId="27630"/>
    <cellStyle name="asd 29 3 2 16" xfId="28820"/>
    <cellStyle name="asd 29 3 2 17" xfId="31208"/>
    <cellStyle name="asd 29 3 2 18" xfId="33052"/>
    <cellStyle name="asd 29 3 2 19" xfId="33538"/>
    <cellStyle name="asd 29 3 2 2" xfId="2799"/>
    <cellStyle name="asd 29 3 2 2 10" xfId="20490"/>
    <cellStyle name="asd 29 3 2 2 11" xfId="22951"/>
    <cellStyle name="asd 29 3 2 2 12" xfId="24292"/>
    <cellStyle name="asd 29 3 2 2 13" xfId="27475"/>
    <cellStyle name="asd 29 3 2 2 14" xfId="28735"/>
    <cellStyle name="asd 29 3 2 2 15" xfId="31062"/>
    <cellStyle name="asd 29 3 2 2 16" xfId="32440"/>
    <cellStyle name="asd 29 3 2 2 17" xfId="34495"/>
    <cellStyle name="asd 29 3 2 2 18" xfId="35120"/>
    <cellStyle name="asd 29 3 2 2 19" xfId="36998"/>
    <cellStyle name="asd 29 3 2 2 2" xfId="1978"/>
    <cellStyle name="asd 29 3 2 2 20" xfId="39657"/>
    <cellStyle name="asd 29 3 2 2 21" xfId="41331"/>
    <cellStyle name="asd 29 3 2 2 22" xfId="42737"/>
    <cellStyle name="asd 29 3 2 2 3" xfId="5443"/>
    <cellStyle name="asd 29 3 2 2 4" xfId="9052"/>
    <cellStyle name="asd 29 3 2 2 5" xfId="12261"/>
    <cellStyle name="asd 29 3 2 2 6" xfId="13420"/>
    <cellStyle name="asd 29 3 2 2 7" xfId="15325"/>
    <cellStyle name="asd 29 3 2 2 8" xfId="16671"/>
    <cellStyle name="asd 29 3 2 2 9" xfId="18578"/>
    <cellStyle name="asd 29 3 2 20" xfId="35947"/>
    <cellStyle name="asd 29 3 2 21" xfId="37826"/>
    <cellStyle name="asd 29 3 2 22" xfId="40249"/>
    <cellStyle name="asd 29 3 2 23" xfId="41907"/>
    <cellStyle name="asd 29 3 2 24" xfId="43199"/>
    <cellStyle name="asd 29 3 2 3" xfId="5070"/>
    <cellStyle name="asd 29 3 2 4" xfId="6520"/>
    <cellStyle name="asd 29 3 2 5" xfId="7971"/>
    <cellStyle name="asd 29 3 2 6" xfId="9881"/>
    <cellStyle name="asd 29 3 2 7" xfId="12595"/>
    <cellStyle name="asd 29 3 2 8" xfId="13904"/>
    <cellStyle name="asd 29 3 2 9" xfId="15805"/>
    <cellStyle name="asd 29 3 20" xfId="33130"/>
    <cellStyle name="asd 29 3 21" xfId="30120"/>
    <cellStyle name="asd 29 3 22" xfId="35255"/>
    <cellStyle name="asd 29 3 23" xfId="37133"/>
    <cellStyle name="asd 29 3 24" xfId="40324"/>
    <cellStyle name="asd 29 3 25" xfId="41980"/>
    <cellStyle name="asd 29 3 26" xfId="43853"/>
    <cellStyle name="asd 29 3 3" xfId="3766"/>
    <cellStyle name="asd 29 3 3 10" xfId="19509"/>
    <cellStyle name="asd 29 3 3 11" xfId="21421"/>
    <cellStyle name="asd 29 3 3 12" xfId="23158"/>
    <cellStyle name="asd 29 3 3 13" xfId="25223"/>
    <cellStyle name="asd 29 3 3 14" xfId="26344"/>
    <cellStyle name="asd 29 3 3 15" xfId="28032"/>
    <cellStyle name="asd 29 3 3 16" xfId="29952"/>
    <cellStyle name="asd 29 3 3 17" xfId="31614"/>
    <cellStyle name="asd 29 3 3 18" xfId="34790"/>
    <cellStyle name="asd 29 3 3 19" xfId="36050"/>
    <cellStyle name="asd 29 3 3 2" xfId="5779"/>
    <cellStyle name="asd 29 3 3 2 10" xfId="22029"/>
    <cellStyle name="asd 29 3 3 2 11" xfId="22778"/>
    <cellStyle name="asd 29 3 3 2 12" xfId="25831"/>
    <cellStyle name="asd 29 3 3 2 13" xfId="26627"/>
    <cellStyle name="asd 29 3 3 2 14" xfId="29682"/>
    <cellStyle name="asd 29 3 3 2 15" xfId="30230"/>
    <cellStyle name="asd 29 3 3 2 16" xfId="33252"/>
    <cellStyle name="asd 29 3 3 2 17" xfId="34167"/>
    <cellStyle name="asd 29 3 3 2 18" xfId="36658"/>
    <cellStyle name="asd 29 3 3 2 19" xfId="38537"/>
    <cellStyle name="asd 29 3 3 2 2" xfId="7228"/>
    <cellStyle name="asd 29 3 3 2 20" xfId="40438"/>
    <cellStyle name="asd 29 3 3 2 21" xfId="42093"/>
    <cellStyle name="asd 29 3 3 2 22" xfId="42573"/>
    <cellStyle name="asd 29 3 3 2 3" xfId="8682"/>
    <cellStyle name="asd 29 3 3 2 4" xfId="10592"/>
    <cellStyle name="asd 29 3 3 2 5" xfId="11346"/>
    <cellStyle name="asd 29 3 3 2 6" xfId="13248"/>
    <cellStyle name="asd 29 3 3 2 7" xfId="15151"/>
    <cellStyle name="asd 29 3 3 2 8" xfId="18211"/>
    <cellStyle name="asd 29 3 3 2 9" xfId="20117"/>
    <cellStyle name="asd 29 3 3 20" xfId="37929"/>
    <cellStyle name="asd 29 3 3 21" xfId="38861"/>
    <cellStyle name="asd 29 3 3 22" xfId="40547"/>
    <cellStyle name="asd 29 3 3 23" xfId="42936"/>
    <cellStyle name="asd 29 3 3 3" xfId="5173"/>
    <cellStyle name="asd 29 3 3 4" xfId="8074"/>
    <cellStyle name="asd 29 3 3 5" xfId="9984"/>
    <cellStyle name="asd 29 3 3 6" xfId="10958"/>
    <cellStyle name="asd 29 3 3 7" xfId="13629"/>
    <cellStyle name="asd 29 3 3 8" xfId="15532"/>
    <cellStyle name="asd 29 3 3 9" xfId="17603"/>
    <cellStyle name="asd 29 3 4" xfId="4061"/>
    <cellStyle name="asd 29 3 4 10" xfId="19696"/>
    <cellStyle name="asd 29 3 4 11" xfId="21608"/>
    <cellStyle name="asd 29 3 4 12" xfId="22878"/>
    <cellStyle name="asd 29 3 4 13" xfId="25410"/>
    <cellStyle name="asd 29 3 4 14" xfId="26641"/>
    <cellStyle name="asd 29 3 4 15" xfId="2334"/>
    <cellStyle name="asd 29 3 4 16" xfId="30244"/>
    <cellStyle name="asd 29 3 4 17" xfId="32986"/>
    <cellStyle name="asd 29 3 4 18" xfId="34814"/>
    <cellStyle name="asd 29 3 4 19" xfId="36237"/>
    <cellStyle name="asd 29 3 4 2" xfId="5966"/>
    <cellStyle name="asd 29 3 4 2 10" xfId="22216"/>
    <cellStyle name="asd 29 3 4 2 11" xfId="23066"/>
    <cellStyle name="asd 29 3 4 2 12" xfId="26018"/>
    <cellStyle name="asd 29 3 4 2 13" xfId="27566"/>
    <cellStyle name="asd 29 3 4 2 14" xfId="28848"/>
    <cellStyle name="asd 29 3 4 2 15" xfId="31146"/>
    <cellStyle name="asd 29 3 4 2 16" xfId="31879"/>
    <cellStyle name="asd 29 3 4 2 17" xfId="34362"/>
    <cellStyle name="asd 29 3 4 2 18" xfId="36845"/>
    <cellStyle name="asd 29 3 4 2 19" xfId="38724"/>
    <cellStyle name="asd 29 3 4 2 2" xfId="7415"/>
    <cellStyle name="asd 29 3 4 2 20" xfId="39114"/>
    <cellStyle name="asd 29 3 4 2 21" xfId="40795"/>
    <cellStyle name="asd 29 3 4 2 22" xfId="42849"/>
    <cellStyle name="asd 29 3 4 2 3" xfId="8869"/>
    <cellStyle name="asd 29 3 4 2 4" xfId="10779"/>
    <cellStyle name="asd 29 3 4 2 5" xfId="12672"/>
    <cellStyle name="asd 29 3 4 2 6" xfId="13537"/>
    <cellStyle name="asd 29 3 4 2 7" xfId="15440"/>
    <cellStyle name="asd 29 3 4 2 8" xfId="18398"/>
    <cellStyle name="asd 29 3 4 2 9" xfId="20304"/>
    <cellStyle name="asd 29 3 4 20" xfId="38116"/>
    <cellStyle name="asd 29 3 4 21" xfId="40187"/>
    <cellStyle name="asd 29 3 4 22" xfId="41846"/>
    <cellStyle name="asd 29 3 4 23" xfId="42665"/>
    <cellStyle name="asd 29 3 4 3" xfId="6807"/>
    <cellStyle name="asd 29 3 4 4" xfId="8261"/>
    <cellStyle name="asd 29 3 4 5" xfId="10171"/>
    <cellStyle name="asd 29 3 4 6" xfId="12248"/>
    <cellStyle name="asd 29 3 4 7" xfId="13346"/>
    <cellStyle name="asd 29 3 4 8" xfId="15251"/>
    <cellStyle name="asd 29 3 4 9" xfId="17790"/>
    <cellStyle name="asd 29 3 5" xfId="4920"/>
    <cellStyle name="asd 29 3 5 10" xfId="21168"/>
    <cellStyle name="asd 29 3 5 11" xfId="3342"/>
    <cellStyle name="asd 29 3 5 12" xfId="24970"/>
    <cellStyle name="asd 29 3 5 13" xfId="13233"/>
    <cellStyle name="asd 29 3 5 14" xfId="29437"/>
    <cellStyle name="asd 29 3 5 15" xfId="13161"/>
    <cellStyle name="asd 29 3 5 16" xfId="10896"/>
    <cellStyle name="asd 29 3 5 17" xfId="4267"/>
    <cellStyle name="asd 29 3 5 18" xfId="35797"/>
    <cellStyle name="asd 29 3 5 19" xfId="37676"/>
    <cellStyle name="asd 29 3 5 2" xfId="6370"/>
    <cellStyle name="asd 29 3 5 20" xfId="3528"/>
    <cellStyle name="asd 29 3 5 21" xfId="34808"/>
    <cellStyle name="asd 29 3 5 22" xfId="31704"/>
    <cellStyle name="asd 29 3 5 3" xfId="7821"/>
    <cellStyle name="asd 29 3 5 4" xfId="9731"/>
    <cellStyle name="asd 29 3 5 5" xfId="12550"/>
    <cellStyle name="asd 29 3 5 6" xfId="3007"/>
    <cellStyle name="asd 29 3 5 7" xfId="12464"/>
    <cellStyle name="asd 29 3 5 8" xfId="17350"/>
    <cellStyle name="asd 29 3 5 9" xfId="19256"/>
    <cellStyle name="asd 29 3 6" xfId="5666"/>
    <cellStyle name="asd 29 3 6 10" xfId="21916"/>
    <cellStyle name="asd 29 3 6 11" xfId="23209"/>
    <cellStyle name="asd 29 3 6 12" xfId="25718"/>
    <cellStyle name="asd 29 3 6 13" xfId="27359"/>
    <cellStyle name="asd 29 3 6 14" xfId="28925"/>
    <cellStyle name="asd 29 3 6 15" xfId="30947"/>
    <cellStyle name="asd 29 3 6 16" xfId="32507"/>
    <cellStyle name="asd 29 3 6 17" xfId="33421"/>
    <cellStyle name="asd 29 3 6 18" xfId="36545"/>
    <cellStyle name="asd 29 3 6 19" xfId="38424"/>
    <cellStyle name="asd 29 3 6 2" xfId="7115"/>
    <cellStyle name="asd 29 3 6 20" xfId="39722"/>
    <cellStyle name="asd 29 3 6 21" xfId="41394"/>
    <cellStyle name="asd 29 3 6 22" xfId="42987"/>
    <cellStyle name="asd 29 3 6 3" xfId="8569"/>
    <cellStyle name="asd 29 3 6 4" xfId="10479"/>
    <cellStyle name="asd 29 3 6 5" xfId="11079"/>
    <cellStyle name="asd 29 3 6 6" xfId="13681"/>
    <cellStyle name="asd 29 3 6 7" xfId="15583"/>
    <cellStyle name="asd 29 3 6 8" xfId="18098"/>
    <cellStyle name="asd 29 3 6 9" xfId="20004"/>
    <cellStyle name="asd 29 3 7" xfId="6295"/>
    <cellStyle name="asd 29 3 8" xfId="9187"/>
    <cellStyle name="asd 29 3 9" xfId="12069"/>
    <cellStyle name="asd 29 4" xfId="3391"/>
    <cellStyle name="asd 29 4 10" xfId="16014"/>
    <cellStyle name="asd 29 4 11" xfId="16724"/>
    <cellStyle name="asd 29 4 12" xfId="18631"/>
    <cellStyle name="asd 29 4 13" xfId="20543"/>
    <cellStyle name="asd 29 4 14" xfId="23641"/>
    <cellStyle name="asd 29 4 15" xfId="24345"/>
    <cellStyle name="asd 29 4 16" xfId="27438"/>
    <cellStyle name="asd 29 4 17" xfId="2258"/>
    <cellStyle name="asd 29 4 18" xfId="31024"/>
    <cellStyle name="asd 29 4 19" xfId="31993"/>
    <cellStyle name="asd 29 4 2" xfId="3571"/>
    <cellStyle name="asd 29 4 2 10" xfId="17462"/>
    <cellStyle name="asd 29 4 2 11" xfId="19368"/>
    <cellStyle name="asd 29 4 2 12" xfId="21280"/>
    <cellStyle name="asd 29 4 2 13" xfId="23310"/>
    <cellStyle name="asd 29 4 2 14" xfId="25082"/>
    <cellStyle name="asd 29 4 2 15" xfId="27158"/>
    <cellStyle name="asd 29 4 2 16" xfId="28901"/>
    <cellStyle name="asd 29 4 2 17" xfId="30749"/>
    <cellStyle name="asd 29 4 2 18" xfId="32781"/>
    <cellStyle name="asd 29 4 2 19" xfId="34149"/>
    <cellStyle name="asd 29 4 2 2" xfId="5537"/>
    <cellStyle name="asd 29 4 2 2 10" xfId="21787"/>
    <cellStyle name="asd 29 4 2 2 11" xfId="23088"/>
    <cellStyle name="asd 29 4 2 2 12" xfId="25589"/>
    <cellStyle name="asd 29 4 2 2 13" xfId="26537"/>
    <cellStyle name="asd 29 4 2 2 14" xfId="29620"/>
    <cellStyle name="asd 29 4 2 2 15" xfId="30143"/>
    <cellStyle name="asd 29 4 2 2 16" xfId="31805"/>
    <cellStyle name="asd 29 4 2 2 17" xfId="34098"/>
    <cellStyle name="asd 29 4 2 2 18" xfId="36416"/>
    <cellStyle name="asd 29 4 2 2 19" xfId="38295"/>
    <cellStyle name="asd 29 4 2 2 2" xfId="6986"/>
    <cellStyle name="asd 29 4 2 2 20" xfId="39043"/>
    <cellStyle name="asd 29 4 2 2 21" xfId="40725"/>
    <cellStyle name="asd 29 4 2 2 22" xfId="42870"/>
    <cellStyle name="asd 29 4 2 2 3" xfId="8440"/>
    <cellStyle name="asd 29 4 2 2 4" xfId="10350"/>
    <cellStyle name="asd 29 4 2 2 5" xfId="12699"/>
    <cellStyle name="asd 29 4 2 2 6" xfId="13559"/>
    <cellStyle name="asd 29 4 2 2 7" xfId="15462"/>
    <cellStyle name="asd 29 4 2 2 8" xfId="17969"/>
    <cellStyle name="asd 29 4 2 2 9" xfId="19875"/>
    <cellStyle name="asd 29 4 2 20" xfId="35909"/>
    <cellStyle name="asd 29 4 2 21" xfId="37788"/>
    <cellStyle name="asd 29 4 2 22" xfId="39990"/>
    <cellStyle name="asd 29 4 2 23" xfId="41654"/>
    <cellStyle name="asd 29 4 2 24" xfId="43082"/>
    <cellStyle name="asd 29 4 2 3" xfId="5032"/>
    <cellStyle name="asd 29 4 2 4" xfId="6482"/>
    <cellStyle name="asd 29 4 2 5" xfId="7933"/>
    <cellStyle name="asd 29 4 2 6" xfId="9843"/>
    <cellStyle name="asd 29 4 2 7" xfId="11320"/>
    <cellStyle name="asd 29 4 2 8" xfId="13782"/>
    <cellStyle name="asd 29 4 2 9" xfId="15684"/>
    <cellStyle name="asd 29 4 20" xfId="34727"/>
    <cellStyle name="asd 29 4 21" xfId="35173"/>
    <cellStyle name="asd 29 4 22" xfId="37051"/>
    <cellStyle name="asd 29 4 23" xfId="39224"/>
    <cellStyle name="asd 29 4 24" xfId="40902"/>
    <cellStyle name="asd 29 4 25" xfId="43399"/>
    <cellStyle name="asd 29 4 3" xfId="2396"/>
    <cellStyle name="asd 29 4 3 10" xfId="19062"/>
    <cellStyle name="asd 29 4 3 11" xfId="20974"/>
    <cellStyle name="asd 29 4 3 12" xfId="22848"/>
    <cellStyle name="asd 29 4 3 13" xfId="24776"/>
    <cellStyle name="asd 29 4 3 14" xfId="27619"/>
    <cellStyle name="asd 29 4 3 15" xfId="3350"/>
    <cellStyle name="asd 29 4 3 16" xfId="31197"/>
    <cellStyle name="asd 29 4 3 17" xfId="33074"/>
    <cellStyle name="asd 29 4 3 18" xfId="33934"/>
    <cellStyle name="asd 29 4 3 19" xfId="35603"/>
    <cellStyle name="asd 29 4 3 2" xfId="5601"/>
    <cellStyle name="asd 29 4 3 2 10" xfId="21851"/>
    <cellStyle name="asd 29 4 3 2 11" xfId="22443"/>
    <cellStyle name="asd 29 4 3 2 12" xfId="25653"/>
    <cellStyle name="asd 29 4 3 2 13" xfId="27225"/>
    <cellStyle name="asd 29 4 3 2 14" xfId="29657"/>
    <cellStyle name="asd 29 4 3 2 15" xfId="30816"/>
    <cellStyle name="asd 29 4 3 2 16" xfId="32225"/>
    <cellStyle name="asd 29 4 3 2 17" xfId="34689"/>
    <cellStyle name="asd 29 4 3 2 18" xfId="36480"/>
    <cellStyle name="asd 29 4 3 2 19" xfId="38359"/>
    <cellStyle name="asd 29 4 3 2 2" xfId="7050"/>
    <cellStyle name="asd 29 4 3 2 20" xfId="39444"/>
    <cellStyle name="asd 29 4 3 2 21" xfId="41120"/>
    <cellStyle name="asd 29 4 3 2 22" xfId="42254"/>
    <cellStyle name="asd 29 4 3 2 3" xfId="8504"/>
    <cellStyle name="asd 29 4 3 2 4" xfId="10414"/>
    <cellStyle name="asd 29 4 3 2 5" xfId="11004"/>
    <cellStyle name="asd 29 4 3 2 6" xfId="12911"/>
    <cellStyle name="asd 29 4 3 2 7" xfId="14816"/>
    <cellStyle name="asd 29 4 3 2 8" xfId="18033"/>
    <cellStyle name="asd 29 4 3 2 9" xfId="19939"/>
    <cellStyle name="asd 29 4 3 20" xfId="37482"/>
    <cellStyle name="asd 29 4 3 21" xfId="40270"/>
    <cellStyle name="asd 29 4 3 22" xfId="41927"/>
    <cellStyle name="asd 29 4 3 23" xfId="42639"/>
    <cellStyle name="asd 29 4 3 3" xfId="4728"/>
    <cellStyle name="asd 29 4 3 4" xfId="7627"/>
    <cellStyle name="asd 29 4 3 5" xfId="9537"/>
    <cellStyle name="asd 29 4 3 6" xfId="12447"/>
    <cellStyle name="asd 29 4 3 7" xfId="13317"/>
    <cellStyle name="asd 29 4 3 8" xfId="15221"/>
    <cellStyle name="asd 29 4 3 9" xfId="17156"/>
    <cellStyle name="asd 29 4 4" xfId="4023"/>
    <cellStyle name="asd 29 4 4 10" xfId="19658"/>
    <cellStyle name="asd 29 4 4 11" xfId="21570"/>
    <cellStyle name="asd 29 4 4 12" xfId="22800"/>
    <cellStyle name="asd 29 4 4 13" xfId="25372"/>
    <cellStyle name="asd 29 4 4 14" xfId="26406"/>
    <cellStyle name="asd 29 4 4 15" xfId="28301"/>
    <cellStyle name="asd 29 4 4 16" xfId="30014"/>
    <cellStyle name="asd 29 4 4 17" xfId="33164"/>
    <cellStyle name="asd 29 4 4 18" xfId="33939"/>
    <cellStyle name="asd 29 4 4 19" xfId="36199"/>
    <cellStyle name="asd 29 4 4 2" xfId="5928"/>
    <cellStyle name="asd 29 4 4 2 10" xfId="22178"/>
    <cellStyle name="asd 29 4 4 2 11" xfId="22900"/>
    <cellStyle name="asd 29 4 4 2 12" xfId="25980"/>
    <cellStyle name="asd 29 4 4 2 13" xfId="27962"/>
    <cellStyle name="asd 29 4 4 2 14" xfId="1836"/>
    <cellStyle name="asd 29 4 4 2 15" xfId="31542"/>
    <cellStyle name="asd 29 4 4 2 16" xfId="4783"/>
    <cellStyle name="asd 29 4 4 2 17" xfId="18538"/>
    <cellStyle name="asd 29 4 4 2 18" xfId="36807"/>
    <cellStyle name="asd 29 4 4 2 19" xfId="38686"/>
    <cellStyle name="asd 29 4 4 2 2" xfId="7377"/>
    <cellStyle name="asd 29 4 4 2 20" xfId="29485"/>
    <cellStyle name="asd 29 4 4 2 21" xfId="30668"/>
    <cellStyle name="asd 29 4 4 2 22" xfId="42686"/>
    <cellStyle name="asd 29 4 4 2 3" xfId="8831"/>
    <cellStyle name="asd 29 4 4 2 4" xfId="10741"/>
    <cellStyle name="asd 29 4 4 2 5" xfId="12448"/>
    <cellStyle name="asd 29 4 4 2 6" xfId="13368"/>
    <cellStyle name="asd 29 4 4 2 7" xfId="15273"/>
    <cellStyle name="asd 29 4 4 2 8" xfId="18360"/>
    <cellStyle name="asd 29 4 4 2 9" xfId="20266"/>
    <cellStyle name="asd 29 4 4 20" xfId="38078"/>
    <cellStyle name="asd 29 4 4 21" xfId="40356"/>
    <cellStyle name="asd 29 4 4 22" xfId="42012"/>
    <cellStyle name="asd 29 4 4 23" xfId="42593"/>
    <cellStyle name="asd 29 4 4 3" xfId="6769"/>
    <cellStyle name="asd 29 4 4 4" xfId="8223"/>
    <cellStyle name="asd 29 4 4 5" xfId="10133"/>
    <cellStyle name="asd 29 4 4 6" xfId="12417"/>
    <cellStyle name="asd 29 4 4 7" xfId="13269"/>
    <cellStyle name="asd 29 4 4 8" xfId="15173"/>
    <cellStyle name="asd 29 4 4 9" xfId="17752"/>
    <cellStyle name="asd 29 4 5" xfId="4404"/>
    <cellStyle name="asd 29 4 5 10" xfId="20648"/>
    <cellStyle name="asd 29 4 5 11" xfId="23873"/>
    <cellStyle name="asd 29 4 5 12" xfId="24450"/>
    <cellStyle name="asd 29 4 5 13" xfId="26350"/>
    <cellStyle name="asd 29 4 5 14" xfId="28624"/>
    <cellStyle name="asd 29 4 5 15" xfId="29958"/>
    <cellStyle name="asd 29 4 5 16" xfId="31694"/>
    <cellStyle name="asd 29 4 5 17" xfId="33730"/>
    <cellStyle name="asd 29 4 5 18" xfId="35278"/>
    <cellStyle name="asd 29 4 5 19" xfId="37156"/>
    <cellStyle name="asd 29 4 5 2" xfId="4384"/>
    <cellStyle name="asd 29 4 5 20" xfId="38936"/>
    <cellStyle name="asd 29 4 5 21" xfId="40620"/>
    <cellStyle name="asd 29 4 5 22" xfId="43623"/>
    <cellStyle name="asd 29 4 5 3" xfId="5331"/>
    <cellStyle name="asd 29 4 5 4" xfId="9210"/>
    <cellStyle name="asd 29 4 5 5" xfId="12629"/>
    <cellStyle name="asd 29 4 5 6" xfId="14343"/>
    <cellStyle name="asd 29 4 5 7" xfId="16247"/>
    <cellStyle name="asd 29 4 5 8" xfId="16829"/>
    <cellStyle name="asd 29 4 5 9" xfId="18736"/>
    <cellStyle name="asd 29 4 6" xfId="6726"/>
    <cellStyle name="asd 29 4 7" xfId="9105"/>
    <cellStyle name="asd 29 4 8" xfId="11498"/>
    <cellStyle name="asd 29 4 9" xfId="14111"/>
    <cellStyle name="asd 29 5" xfId="2755"/>
    <cellStyle name="asd 29 5 10" xfId="17197"/>
    <cellStyle name="asd 29 5 11" xfId="19103"/>
    <cellStyle name="asd 29 5 12" xfId="21015"/>
    <cellStyle name="asd 29 5 13" xfId="22771"/>
    <cellStyle name="asd 29 5 14" xfId="24817"/>
    <cellStyle name="asd 29 5 15" xfId="27718"/>
    <cellStyle name="asd 29 5 16" xfId="29284"/>
    <cellStyle name="asd 29 5 17" xfId="31296"/>
    <cellStyle name="asd 29 5 18" xfId="32327"/>
    <cellStyle name="asd 29 5 19" xfId="34025"/>
    <cellStyle name="asd 29 5 2" xfId="5561"/>
    <cellStyle name="asd 29 5 2 10" xfId="21811"/>
    <cellStyle name="asd 29 5 2 11" xfId="23042"/>
    <cellStyle name="asd 29 5 2 12" xfId="25613"/>
    <cellStyle name="asd 29 5 2 13" xfId="26478"/>
    <cellStyle name="asd 29 5 2 14" xfId="29482"/>
    <cellStyle name="asd 29 5 2 15" xfId="30084"/>
    <cellStyle name="asd 29 5 2 16" xfId="32177"/>
    <cellStyle name="asd 29 5 2 17" xfId="34835"/>
    <cellStyle name="asd 29 5 2 18" xfId="36440"/>
    <cellStyle name="asd 29 5 2 19" xfId="38319"/>
    <cellStyle name="asd 29 5 2 2" xfId="7010"/>
    <cellStyle name="asd 29 5 2 20" xfId="39399"/>
    <cellStyle name="asd 29 5 2 21" xfId="41075"/>
    <cellStyle name="asd 29 5 2 22" xfId="42825"/>
    <cellStyle name="asd 29 5 2 3" xfId="8464"/>
    <cellStyle name="asd 29 5 2 4" xfId="10374"/>
    <cellStyle name="asd 29 5 2 5" xfId="12638"/>
    <cellStyle name="asd 29 5 2 6" xfId="13512"/>
    <cellStyle name="asd 29 5 2 7" xfId="15416"/>
    <cellStyle name="asd 29 5 2 8" xfId="17993"/>
    <cellStyle name="asd 29 5 2 9" xfId="19899"/>
    <cellStyle name="asd 29 5 20" xfId="35644"/>
    <cellStyle name="asd 29 5 21" xfId="37523"/>
    <cellStyle name="asd 29 5 22" xfId="39546"/>
    <cellStyle name="asd 29 5 23" xfId="41220"/>
    <cellStyle name="asd 29 5 24" xfId="42566"/>
    <cellStyle name="asd 29 5 3" xfId="4768"/>
    <cellStyle name="asd 29 5 4" xfId="6217"/>
    <cellStyle name="asd 29 5 5" xfId="7668"/>
    <cellStyle name="asd 29 5 6" xfId="9578"/>
    <cellStyle name="asd 29 5 7" xfId="11716"/>
    <cellStyle name="asd 29 5 8" xfId="13241"/>
    <cellStyle name="asd 29 5 9" xfId="15144"/>
    <cellStyle name="asd 29 6" xfId="2223"/>
    <cellStyle name="asd 29 6 10" xfId="19036"/>
    <cellStyle name="asd 29 6 11" xfId="20948"/>
    <cellStyle name="asd 29 6 12" xfId="23410"/>
    <cellStyle name="asd 29 6 13" xfId="24750"/>
    <cellStyle name="asd 29 6 14" xfId="26477"/>
    <cellStyle name="asd 29 6 15" xfId="28536"/>
    <cellStyle name="asd 29 6 16" xfId="30082"/>
    <cellStyle name="asd 29 6 17" xfId="32195"/>
    <cellStyle name="asd 29 6 18" xfId="34166"/>
    <cellStyle name="asd 29 6 19" xfId="35577"/>
    <cellStyle name="asd 29 6 2" xfId="3234"/>
    <cellStyle name="asd 29 6 2 10" xfId="20526"/>
    <cellStyle name="asd 29 6 2 11" xfId="24187"/>
    <cellStyle name="asd 29 6 2 12" xfId="24328"/>
    <cellStyle name="asd 29 6 2 13" xfId="2565"/>
    <cellStyle name="asd 29 6 2 14" xfId="3331"/>
    <cellStyle name="asd 29 6 2 15" xfId="3283"/>
    <cellStyle name="asd 29 6 2 16" xfId="16623"/>
    <cellStyle name="asd 29 6 2 17" xfId="15040"/>
    <cellStyle name="asd 29 6 2 18" xfId="35156"/>
    <cellStyle name="asd 29 6 2 19" xfId="37034"/>
    <cellStyle name="asd 29 6 2 2" xfId="4753"/>
    <cellStyle name="asd 29 6 2 20" xfId="26823"/>
    <cellStyle name="asd 29 6 2 21" xfId="15226"/>
    <cellStyle name="asd 29 6 2 22" xfId="43926"/>
    <cellStyle name="asd 29 6 2 3" xfId="6195"/>
    <cellStyle name="asd 29 6 2 4" xfId="9088"/>
    <cellStyle name="asd 29 6 2 5" xfId="12147"/>
    <cellStyle name="asd 29 6 2 6" xfId="14659"/>
    <cellStyle name="asd 29 6 2 7" xfId="16565"/>
    <cellStyle name="asd 29 6 2 8" xfId="16707"/>
    <cellStyle name="asd 29 6 2 9" xfId="18614"/>
    <cellStyle name="asd 29 6 20" xfId="37456"/>
    <cellStyle name="asd 29 6 21" xfId="39417"/>
    <cellStyle name="asd 29 6 22" xfId="41093"/>
    <cellStyle name="asd 29 6 23" xfId="43177"/>
    <cellStyle name="asd 29 6 3" xfId="4702"/>
    <cellStyle name="asd 29 6 4" xfId="7601"/>
    <cellStyle name="asd 29 6 5" xfId="9511"/>
    <cellStyle name="asd 29 6 6" xfId="12348"/>
    <cellStyle name="asd 29 6 7" xfId="13882"/>
    <cellStyle name="asd 29 6 8" xfId="15783"/>
    <cellStyle name="asd 29 6 9" xfId="17130"/>
    <cellStyle name="asd 29 7" xfId="2137"/>
    <cellStyle name="asd 29 7 10" xfId="19022"/>
    <cellStyle name="asd 29 7 11" xfId="20934"/>
    <cellStyle name="asd 29 7 12" xfId="23819"/>
    <cellStyle name="asd 29 7 13" xfId="24736"/>
    <cellStyle name="asd 29 7 14" xfId="27939"/>
    <cellStyle name="asd 29 7 15" xfId="29445"/>
    <cellStyle name="asd 29 7 16" xfId="31520"/>
    <cellStyle name="asd 29 7 17" xfId="32409"/>
    <cellStyle name="asd 29 7 18" xfId="33910"/>
    <cellStyle name="asd 29 7 19" xfId="35563"/>
    <cellStyle name="asd 29 7 2" xfId="5607"/>
    <cellStyle name="asd 29 7 2 10" xfId="21857"/>
    <cellStyle name="asd 29 7 2 11" xfId="23371"/>
    <cellStyle name="asd 29 7 2 12" xfId="25659"/>
    <cellStyle name="asd 29 7 2 13" xfId="26749"/>
    <cellStyle name="asd 29 7 2 14" xfId="28720"/>
    <cellStyle name="asd 29 7 2 15" xfId="30348"/>
    <cellStyle name="asd 29 7 2 16" xfId="32339"/>
    <cellStyle name="asd 29 7 2 17" xfId="34592"/>
    <cellStyle name="asd 29 7 2 18" xfId="36486"/>
    <cellStyle name="asd 29 7 2 19" xfId="38365"/>
    <cellStyle name="asd 29 7 2 2" xfId="7056"/>
    <cellStyle name="asd 29 7 2 20" xfId="39558"/>
    <cellStyle name="asd 29 7 2 21" xfId="41232"/>
    <cellStyle name="asd 29 7 2 22" xfId="43139"/>
    <cellStyle name="asd 29 7 2 3" xfId="8510"/>
    <cellStyle name="asd 29 7 2 4" xfId="10420"/>
    <cellStyle name="asd 29 7 2 5" xfId="11061"/>
    <cellStyle name="asd 29 7 2 6" xfId="13843"/>
    <cellStyle name="asd 29 7 2 7" xfId="15744"/>
    <cellStyle name="asd 29 7 2 8" xfId="18039"/>
    <cellStyle name="asd 29 7 2 9" xfId="19945"/>
    <cellStyle name="asd 29 7 20" xfId="37442"/>
    <cellStyle name="asd 29 7 21" xfId="39626"/>
    <cellStyle name="asd 29 7 22" xfId="41300"/>
    <cellStyle name="asd 29 7 23" xfId="43570"/>
    <cellStyle name="asd 29 7 3" xfId="6136"/>
    <cellStyle name="asd 29 7 4" xfId="7587"/>
    <cellStyle name="asd 29 7 5" xfId="9497"/>
    <cellStyle name="asd 29 7 6" xfId="11791"/>
    <cellStyle name="asd 29 7 7" xfId="14289"/>
    <cellStyle name="asd 29 7 8" xfId="16193"/>
    <cellStyle name="asd 29 7 9" xfId="17116"/>
    <cellStyle name="asd 29 8" xfId="2785"/>
    <cellStyle name="asd 29 9" xfId="2967"/>
    <cellStyle name="asd 3" xfId="691"/>
    <cellStyle name="asd 3 10" xfId="2243"/>
    <cellStyle name="asd 3 11" xfId="8972"/>
    <cellStyle name="asd 3 12" xfId="2908"/>
    <cellStyle name="asd 3 13" xfId="4200"/>
    <cellStyle name="asd 3 14" xfId="2644"/>
    <cellStyle name="asd 3 15" xfId="2999"/>
    <cellStyle name="asd 3 16" xfId="2518"/>
    <cellStyle name="asd 3 17" xfId="3087"/>
    <cellStyle name="asd 3 18" xfId="27081"/>
    <cellStyle name="asd 3 19" xfId="27661"/>
    <cellStyle name="asd 3 2" xfId="3437"/>
    <cellStyle name="asd 3 2 10" xfId="14242"/>
    <cellStyle name="asd 3 2 11" xfId="16146"/>
    <cellStyle name="asd 3 2 12" xfId="16819"/>
    <cellStyle name="asd 3 2 13" xfId="18726"/>
    <cellStyle name="asd 3 2 14" xfId="20638"/>
    <cellStyle name="asd 3 2 15" xfId="23772"/>
    <cellStyle name="asd 3 2 16" xfId="24440"/>
    <cellStyle name="asd 3 2 17" xfId="27520"/>
    <cellStyle name="asd 3 2 18" xfId="28428"/>
    <cellStyle name="asd 3 2 19" xfId="31103"/>
    <cellStyle name="asd 3 2 2" xfId="3617"/>
    <cellStyle name="asd 3 2 2 10" xfId="17508"/>
    <cellStyle name="asd 3 2 2 11" xfId="19414"/>
    <cellStyle name="asd 3 2 2 12" xfId="21326"/>
    <cellStyle name="asd 3 2 2 13" xfId="24077"/>
    <cellStyle name="asd 3 2 2 14" xfId="25128"/>
    <cellStyle name="asd 3 2 2 15" xfId="26355"/>
    <cellStyle name="asd 3 2 2 16" xfId="10877"/>
    <cellStyle name="asd 3 2 2 17" xfId="29963"/>
    <cellStyle name="asd 3 2 2 18" xfId="33001"/>
    <cellStyle name="asd 3 2 2 19" xfId="33992"/>
    <cellStyle name="asd 3 2 2 2" xfId="5566"/>
    <cellStyle name="asd 3 2 2 2 10" xfId="21816"/>
    <cellStyle name="asd 3 2 2 2 11" xfId="22582"/>
    <cellStyle name="asd 3 2 2 2 12" xfId="25618"/>
    <cellStyle name="asd 3 2 2 2 13" xfId="27416"/>
    <cellStyle name="asd 3 2 2 2 14" xfId="28804"/>
    <cellStyle name="asd 3 2 2 2 15" xfId="31002"/>
    <cellStyle name="asd 3 2 2 2 16" xfId="32085"/>
    <cellStyle name="asd 3 2 2 2 17" xfId="33442"/>
    <cellStyle name="asd 3 2 2 2 18" xfId="36445"/>
    <cellStyle name="asd 3 2 2 2 19" xfId="38324"/>
    <cellStyle name="asd 3 2 2 2 2" xfId="7015"/>
    <cellStyle name="asd 3 2 2 2 20" xfId="39309"/>
    <cellStyle name="asd 3 2 2 2 21" xfId="40985"/>
    <cellStyle name="asd 3 2 2 2 22" xfId="42391"/>
    <cellStyle name="asd 3 2 2 2 3" xfId="8469"/>
    <cellStyle name="asd 3 2 2 2 4" xfId="10379"/>
    <cellStyle name="asd 3 2 2 2 5" xfId="11749"/>
    <cellStyle name="asd 3 2 2 2 6" xfId="13050"/>
    <cellStyle name="asd 3 2 2 2 7" xfId="14954"/>
    <cellStyle name="asd 3 2 2 2 8" xfId="17998"/>
    <cellStyle name="asd 3 2 2 2 9" xfId="19904"/>
    <cellStyle name="asd 3 2 2 20" xfId="35955"/>
    <cellStyle name="asd 3 2 2 21" xfId="37834"/>
    <cellStyle name="asd 3 2 2 22" xfId="40201"/>
    <cellStyle name="asd 3 2 2 23" xfId="41860"/>
    <cellStyle name="asd 3 2 2 24" xfId="43821"/>
    <cellStyle name="asd 3 2 2 3" xfId="5078"/>
    <cellStyle name="asd 3 2 2 4" xfId="6528"/>
    <cellStyle name="asd 3 2 2 5" xfId="7979"/>
    <cellStyle name="asd 3 2 2 6" xfId="9889"/>
    <cellStyle name="asd 3 2 2 7" xfId="12036"/>
    <cellStyle name="asd 3 2 2 8" xfId="14547"/>
    <cellStyle name="asd 3 2 2 9" xfId="16453"/>
    <cellStyle name="asd 3 2 20" xfId="32854"/>
    <cellStyle name="asd 3 2 21" xfId="33591"/>
    <cellStyle name="asd 3 2 22" xfId="35268"/>
    <cellStyle name="asd 3 2 23" xfId="37146"/>
    <cellStyle name="asd 3 2 24" xfId="40061"/>
    <cellStyle name="asd 3 2 25" xfId="41725"/>
    <cellStyle name="asd 3 2 26" xfId="43525"/>
    <cellStyle name="asd 3 2 3" xfId="3783"/>
    <cellStyle name="asd 3 2 3 10" xfId="19521"/>
    <cellStyle name="asd 3 2 3 11" xfId="21433"/>
    <cellStyle name="asd 3 2 3 12" xfId="23798"/>
    <cellStyle name="asd 3 2 3 13" xfId="25235"/>
    <cellStyle name="asd 3 2 3 14" xfId="27406"/>
    <cellStyle name="asd 3 2 3 15" xfId="24248"/>
    <cellStyle name="asd 3 2 3 16" xfId="30992"/>
    <cellStyle name="asd 3 2 3 17" xfId="32240"/>
    <cellStyle name="asd 3 2 3 18" xfId="33422"/>
    <cellStyle name="asd 3 2 3 19" xfId="36062"/>
    <cellStyle name="asd 3 2 3 2" xfId="5791"/>
    <cellStyle name="asd 3 2 3 2 10" xfId="22041"/>
    <cellStyle name="asd 3 2 3 2 11" xfId="23701"/>
    <cellStyle name="asd 3 2 3 2 12" xfId="25843"/>
    <cellStyle name="asd 3 2 3 2 13" xfId="27572"/>
    <cellStyle name="asd 3 2 3 2 14" xfId="28096"/>
    <cellStyle name="asd 3 2 3 2 15" xfId="31151"/>
    <cellStyle name="asd 3 2 3 2 16" xfId="32574"/>
    <cellStyle name="asd 3 2 3 2 17" xfId="35031"/>
    <cellStyle name="asd 3 2 3 2 18" xfId="36670"/>
    <cellStyle name="asd 3 2 3 2 19" xfId="38549"/>
    <cellStyle name="asd 3 2 3 2 2" xfId="7240"/>
    <cellStyle name="asd 3 2 3 2 20" xfId="39785"/>
    <cellStyle name="asd 3 2 3 2 21" xfId="41455"/>
    <cellStyle name="asd 3 2 3 2 22" xfId="43458"/>
    <cellStyle name="asd 3 2 3 2 3" xfId="8694"/>
    <cellStyle name="asd 3 2 3 2 4" xfId="10604"/>
    <cellStyle name="asd 3 2 3 2 5" xfId="11694"/>
    <cellStyle name="asd 3 2 3 2 6" xfId="14171"/>
    <cellStyle name="asd 3 2 3 2 7" xfId="16075"/>
    <cellStyle name="asd 3 2 3 2 8" xfId="18223"/>
    <cellStyle name="asd 3 2 3 2 9" xfId="20129"/>
    <cellStyle name="asd 3 2 3 20" xfId="37941"/>
    <cellStyle name="asd 3 2 3 21" xfId="39458"/>
    <cellStyle name="asd 3 2 3 22" xfId="41133"/>
    <cellStyle name="asd 3 2 3 23" xfId="43550"/>
    <cellStyle name="asd 3 2 3 3" xfId="5185"/>
    <cellStyle name="asd 3 2 3 4" xfId="8086"/>
    <cellStyle name="asd 3 2 3 5" xfId="9996"/>
    <cellStyle name="asd 3 2 3 6" xfId="11577"/>
    <cellStyle name="asd 3 2 3 7" xfId="14268"/>
    <cellStyle name="asd 3 2 3 8" xfId="16172"/>
    <cellStyle name="asd 3 2 3 9" xfId="17615"/>
    <cellStyle name="asd 3 2 4" xfId="4069"/>
    <cellStyle name="asd 3 2 4 10" xfId="19704"/>
    <cellStyle name="asd 3 2 4 11" xfId="21616"/>
    <cellStyle name="asd 3 2 4 12" xfId="23926"/>
    <cellStyle name="asd 3 2 4 13" xfId="25418"/>
    <cellStyle name="asd 3 2 4 14" xfId="26573"/>
    <cellStyle name="asd 3 2 4 15" xfId="29022"/>
    <cellStyle name="asd 3 2 4 16" xfId="30175"/>
    <cellStyle name="asd 3 2 4 17" xfId="32047"/>
    <cellStyle name="asd 3 2 4 18" xfId="34990"/>
    <cellStyle name="asd 3 2 4 19" xfId="36245"/>
    <cellStyle name="asd 3 2 4 2" xfId="5974"/>
    <cellStyle name="asd 3 2 4 2 10" xfId="22224"/>
    <cellStyle name="asd 3 2 4 2 11" xfId="3901"/>
    <cellStyle name="asd 3 2 4 2 12" xfId="26026"/>
    <cellStyle name="asd 3 2 4 2 13" xfId="22607"/>
    <cellStyle name="asd 3 2 4 2 14" xfId="14986"/>
    <cellStyle name="asd 3 2 4 2 15" xfId="5310"/>
    <cellStyle name="asd 3 2 4 2 16" xfId="2756"/>
    <cellStyle name="asd 3 2 4 2 17" xfId="1786"/>
    <cellStyle name="asd 3 2 4 2 18" xfId="36853"/>
    <cellStyle name="asd 3 2 4 2 19" xfId="38732"/>
    <cellStyle name="asd 3 2 4 2 2" xfId="7423"/>
    <cellStyle name="asd 3 2 4 2 20" xfId="4170"/>
    <cellStyle name="asd 3 2 4 2 21" xfId="1772"/>
    <cellStyle name="asd 3 2 4 2 22" xfId="36956"/>
    <cellStyle name="asd 3 2 4 2 3" xfId="8877"/>
    <cellStyle name="asd 3 2 4 2 4" xfId="10787"/>
    <cellStyle name="asd 3 2 4 2 5" xfId="11058"/>
    <cellStyle name="asd 3 2 4 2 6" xfId="2407"/>
    <cellStyle name="asd 3 2 4 2 7" xfId="2777"/>
    <cellStyle name="asd 3 2 4 2 8" xfId="18406"/>
    <cellStyle name="asd 3 2 4 2 9" xfId="20312"/>
    <cellStyle name="asd 3 2 4 20" xfId="38124"/>
    <cellStyle name="asd 3 2 4 21" xfId="39276"/>
    <cellStyle name="asd 3 2 4 22" xfId="40952"/>
    <cellStyle name="asd 3 2 4 23" xfId="43672"/>
    <cellStyle name="asd 3 2 4 3" xfId="6815"/>
    <cellStyle name="asd 3 2 4 4" xfId="8269"/>
    <cellStyle name="asd 3 2 4 5" xfId="10179"/>
    <cellStyle name="asd 3 2 4 6" xfId="11885"/>
    <cellStyle name="asd 3 2 4 7" xfId="14395"/>
    <cellStyle name="asd 3 2 4 8" xfId="16301"/>
    <cellStyle name="asd 3 2 4 9" xfId="17798"/>
    <cellStyle name="asd 3 2 5" xfId="4926"/>
    <cellStyle name="asd 3 2 5 10" xfId="21174"/>
    <cellStyle name="asd 3 2 5 11" xfId="22876"/>
    <cellStyle name="asd 3 2 5 12" xfId="24976"/>
    <cellStyle name="asd 3 2 5 13" xfId="26730"/>
    <cellStyle name="asd 3 2 5 14" xfId="28425"/>
    <cellStyle name="asd 3 2 5 15" xfId="30330"/>
    <cellStyle name="asd 3 2 5 16" xfId="32870"/>
    <cellStyle name="asd 3 2 5 17" xfId="34399"/>
    <cellStyle name="asd 3 2 5 18" xfId="35803"/>
    <cellStyle name="asd 3 2 5 19" xfId="37682"/>
    <cellStyle name="asd 3 2 5 2" xfId="6376"/>
    <cellStyle name="asd 3 2 5 20" xfId="40076"/>
    <cellStyle name="asd 3 2 5 21" xfId="41740"/>
    <cellStyle name="asd 3 2 5 22" xfId="42663"/>
    <cellStyle name="asd 3 2 5 3" xfId="7827"/>
    <cellStyle name="asd 3 2 5 4" xfId="9737"/>
    <cellStyle name="asd 3 2 5 5" xfId="11333"/>
    <cellStyle name="asd 3 2 5 6" xfId="13344"/>
    <cellStyle name="asd 3 2 5 7" xfId="15249"/>
    <cellStyle name="asd 3 2 5 8" xfId="17356"/>
    <cellStyle name="asd 3 2 5 9" xfId="19262"/>
    <cellStyle name="asd 3 2 6" xfId="5657"/>
    <cellStyle name="asd 3 2 6 10" xfId="21907"/>
    <cellStyle name="asd 3 2 6 11" xfId="23199"/>
    <cellStyle name="asd 3 2 6 12" xfId="25709"/>
    <cellStyle name="asd 3 2 6 13" xfId="26245"/>
    <cellStyle name="asd 3 2 6 14" xfId="4180"/>
    <cellStyle name="asd 3 2 6 15" xfId="29855"/>
    <cellStyle name="asd 3 2 6 16" xfId="31610"/>
    <cellStyle name="asd 3 2 6 17" xfId="35050"/>
    <cellStyle name="asd 3 2 6 18" xfId="36536"/>
    <cellStyle name="asd 3 2 6 19" xfId="38415"/>
    <cellStyle name="asd 3 2 6 2" xfId="7106"/>
    <cellStyle name="asd 3 2 6 20" xfId="38857"/>
    <cellStyle name="asd 3 2 6 21" xfId="40543"/>
    <cellStyle name="asd 3 2 6 22" xfId="42977"/>
    <cellStyle name="asd 3 2 6 3" xfId="8560"/>
    <cellStyle name="asd 3 2 6 4" xfId="10470"/>
    <cellStyle name="asd 3 2 6 5" xfId="11059"/>
    <cellStyle name="asd 3 2 6 6" xfId="13671"/>
    <cellStyle name="asd 3 2 6 7" xfId="15573"/>
    <cellStyle name="asd 3 2 6 8" xfId="18089"/>
    <cellStyle name="asd 3 2 6 9" xfId="19995"/>
    <cellStyle name="asd 3 2 7" xfId="6618"/>
    <cellStyle name="asd 3 2 8" xfId="9200"/>
    <cellStyle name="asd 3 2 9" xfId="11718"/>
    <cellStyle name="asd 3 20" xfId="30672"/>
    <cellStyle name="asd 3 21" xfId="31618"/>
    <cellStyle name="asd 3 22" xfId="27161"/>
    <cellStyle name="asd 3 23" xfId="28392"/>
    <cellStyle name="asd 3 24" xfId="3302"/>
    <cellStyle name="asd 3 25" xfId="38865"/>
    <cellStyle name="asd 3 26" xfId="40551"/>
    <cellStyle name="asd 3 27" xfId="38830"/>
    <cellStyle name="asd 3 3" xfId="3458"/>
    <cellStyle name="asd 3 3 10" xfId="13666"/>
    <cellStyle name="asd 3 3 11" xfId="15568"/>
    <cellStyle name="asd 3 3 12" xfId="16868"/>
    <cellStyle name="asd 3 3 13" xfId="18775"/>
    <cellStyle name="asd 3 3 14" xfId="20687"/>
    <cellStyle name="asd 3 3 15" xfId="23194"/>
    <cellStyle name="asd 3 3 16" xfId="24489"/>
    <cellStyle name="asd 3 3 17" xfId="27257"/>
    <cellStyle name="asd 3 3 18" xfId="29667"/>
    <cellStyle name="asd 3 3 19" xfId="30848"/>
    <cellStyle name="asd 3 3 2" xfId="3638"/>
    <cellStyle name="asd 3 3 2 10" xfId="17529"/>
    <cellStyle name="asd 3 3 2 11" xfId="19435"/>
    <cellStyle name="asd 3 3 2 12" xfId="21347"/>
    <cellStyle name="asd 3 3 2 13" xfId="22680"/>
    <cellStyle name="asd 3 3 2 14" xfId="25149"/>
    <cellStyle name="asd 3 3 2 15" xfId="3143"/>
    <cellStyle name="asd 3 3 2 16" xfId="23718"/>
    <cellStyle name="asd 3 3 2 17" xfId="6675"/>
    <cellStyle name="asd 3 3 2 18" xfId="1857"/>
    <cellStyle name="asd 3 3 2 19" xfId="32863"/>
    <cellStyle name="asd 3 3 2 2" xfId="5467"/>
    <cellStyle name="asd 3 3 2 2 10" xfId="21717"/>
    <cellStyle name="asd 3 3 2 2 11" xfId="22703"/>
    <cellStyle name="asd 3 3 2 2 12" xfId="25519"/>
    <cellStyle name="asd 3 3 2 2 13" xfId="26346"/>
    <cellStyle name="asd 3 3 2 2 14" xfId="28077"/>
    <cellStyle name="asd 3 3 2 2 15" xfId="29954"/>
    <cellStyle name="asd 3 3 2 2 16" xfId="32940"/>
    <cellStyle name="asd 3 3 2 2 17" xfId="34875"/>
    <cellStyle name="asd 3 3 2 2 18" xfId="36346"/>
    <cellStyle name="asd 3 3 2 2 19" xfId="38225"/>
    <cellStyle name="asd 3 3 2 2 2" xfId="6916"/>
    <cellStyle name="asd 3 3 2 2 20" xfId="40143"/>
    <cellStyle name="asd 3 3 2 2 21" xfId="41802"/>
    <cellStyle name="asd 3 3 2 2 22" xfId="42504"/>
    <cellStyle name="asd 3 3 2 2 3" xfId="8370"/>
    <cellStyle name="asd 3 3 2 2 4" xfId="10280"/>
    <cellStyle name="asd 3 3 2 2 5" xfId="11764"/>
    <cellStyle name="asd 3 3 2 2 6" xfId="13171"/>
    <cellStyle name="asd 3 3 2 2 7" xfId="15075"/>
    <cellStyle name="asd 3 3 2 2 8" xfId="17899"/>
    <cellStyle name="asd 3 3 2 2 9" xfId="19805"/>
    <cellStyle name="asd 3 3 2 20" xfId="35976"/>
    <cellStyle name="asd 3 3 2 21" xfId="37855"/>
    <cellStyle name="asd 3 3 2 22" xfId="36953"/>
    <cellStyle name="asd 3 3 2 23" xfId="29158"/>
    <cellStyle name="asd 3 3 2 24" xfId="42484"/>
    <cellStyle name="asd 3 3 2 3" xfId="5099"/>
    <cellStyle name="asd 3 3 2 4" xfId="6549"/>
    <cellStyle name="asd 3 3 2 5" xfId="8000"/>
    <cellStyle name="asd 3 3 2 6" xfId="9910"/>
    <cellStyle name="asd 3 3 2 7" xfId="12232"/>
    <cellStyle name="asd 3 3 2 8" xfId="13147"/>
    <cellStyle name="asd 3 3 2 9" xfId="15052"/>
    <cellStyle name="asd 3 3 20" xfId="31800"/>
    <cellStyle name="asd 3 3 21" xfId="34915"/>
    <cellStyle name="asd 3 3 22" xfId="35317"/>
    <cellStyle name="asd 3 3 23" xfId="37195"/>
    <cellStyle name="asd 3 3 24" xfId="39038"/>
    <cellStyle name="asd 3 3 25" xfId="40720"/>
    <cellStyle name="asd 3 3 26" xfId="42972"/>
    <cellStyle name="asd 3 3 3" xfId="3886"/>
    <cellStyle name="asd 3 3 3 10" xfId="19595"/>
    <cellStyle name="asd 3 3 3 11" xfId="21507"/>
    <cellStyle name="asd 3 3 3 12" xfId="23510"/>
    <cellStyle name="asd 3 3 3 13" xfId="25309"/>
    <cellStyle name="asd 3 3 3 14" xfId="26975"/>
    <cellStyle name="asd 3 3 3 15" xfId="28789"/>
    <cellStyle name="asd 3 3 3 16" xfId="30569"/>
    <cellStyle name="asd 3 3 3 17" xfId="32500"/>
    <cellStyle name="asd 3 3 3 18" xfId="34300"/>
    <cellStyle name="asd 3 3 3 19" xfId="36136"/>
    <cellStyle name="asd 3 3 3 2" xfId="5865"/>
    <cellStyle name="asd 3 3 3 2 10" xfId="22115"/>
    <cellStyle name="asd 3 3 3 2 11" xfId="22541"/>
    <cellStyle name="asd 3 3 3 2 12" xfId="25917"/>
    <cellStyle name="asd 3 3 3 2 13" xfId="27821"/>
    <cellStyle name="asd 3 3 3 2 14" xfId="28540"/>
    <cellStyle name="asd 3 3 3 2 15" xfId="31399"/>
    <cellStyle name="asd 3 3 3 2 16" xfId="31848"/>
    <cellStyle name="asd 3 3 3 2 17" xfId="34960"/>
    <cellStyle name="asd 3 3 3 2 18" xfId="36744"/>
    <cellStyle name="asd 3 3 3 2 19" xfId="38623"/>
    <cellStyle name="asd 3 3 3 2 2" xfId="7314"/>
    <cellStyle name="asd 3 3 3 2 20" xfId="39085"/>
    <cellStyle name="asd 3 3 3 2 21" xfId="40766"/>
    <cellStyle name="asd 3 3 3 2 22" xfId="42350"/>
    <cellStyle name="asd 3 3 3 2 3" xfId="8768"/>
    <cellStyle name="asd 3 3 3 2 4" xfId="10678"/>
    <cellStyle name="asd 3 3 3 2 5" xfId="12305"/>
    <cellStyle name="asd 3 3 3 2 6" xfId="13009"/>
    <cellStyle name="asd 3 3 3 2 7" xfId="14913"/>
    <cellStyle name="asd 3 3 3 2 8" xfId="18297"/>
    <cellStyle name="asd 3 3 3 2 9" xfId="20203"/>
    <cellStyle name="asd 3 3 3 20" xfId="38015"/>
    <cellStyle name="asd 3 3 3 21" xfId="39715"/>
    <cellStyle name="asd 3 3 3 22" xfId="41387"/>
    <cellStyle name="asd 3 3 3 23" xfId="43275"/>
    <cellStyle name="asd 3 3 3 3" xfId="5259"/>
    <cellStyle name="asd 3 3 3 4" xfId="8160"/>
    <cellStyle name="asd 3 3 3 5" xfId="10070"/>
    <cellStyle name="asd 3 3 3 6" xfId="12404"/>
    <cellStyle name="asd 3 3 3 7" xfId="13982"/>
    <cellStyle name="asd 3 3 3 8" xfId="15883"/>
    <cellStyle name="asd 3 3 3 9" xfId="17689"/>
    <cellStyle name="asd 3 3 4" xfId="4090"/>
    <cellStyle name="asd 3 3 4 10" xfId="19725"/>
    <cellStyle name="asd 3 3 4 11" xfId="21637"/>
    <cellStyle name="asd 3 3 4 12" xfId="23872"/>
    <cellStyle name="asd 3 3 4 13" xfId="25439"/>
    <cellStyle name="asd 3 3 4 14" xfId="27027"/>
    <cellStyle name="asd 3 3 4 15" xfId="29556"/>
    <cellStyle name="asd 3 3 4 16" xfId="30620"/>
    <cellStyle name="asd 3 3 4 17" xfId="31687"/>
    <cellStyle name="asd 3 3 4 18" xfId="34772"/>
    <cellStyle name="asd 3 3 4 19" xfId="36266"/>
    <cellStyle name="asd 3 3 4 2" xfId="5995"/>
    <cellStyle name="asd 3 3 4 2 10" xfId="22245"/>
    <cellStyle name="asd 3 3 4 2 11" xfId="23773"/>
    <cellStyle name="asd 3 3 4 2 12" xfId="26047"/>
    <cellStyle name="asd 3 3 4 2 13" xfId="26995"/>
    <cellStyle name="asd 3 3 4 2 14" xfId="3979"/>
    <cellStyle name="asd 3 3 4 2 15" xfId="30589"/>
    <cellStyle name="asd 3 3 4 2 16" xfId="29560"/>
    <cellStyle name="asd 3 3 4 2 17" xfId="1799"/>
    <cellStyle name="asd 3 3 4 2 18" xfId="36874"/>
    <cellStyle name="asd 3 3 4 2 19" xfId="38753"/>
    <cellStyle name="asd 3 3 4 2 2" xfId="7444"/>
    <cellStyle name="asd 3 3 4 2 20" xfId="29503"/>
    <cellStyle name="asd 3 3 4 2 21" xfId="28455"/>
    <cellStyle name="asd 3 3 4 2 22" xfId="43526"/>
    <cellStyle name="asd 3 3 4 2 3" xfId="8898"/>
    <cellStyle name="asd 3 3 4 2 4" xfId="10808"/>
    <cellStyle name="asd 3 3 4 2 5" xfId="11752"/>
    <cellStyle name="asd 3 3 4 2 6" xfId="14243"/>
    <cellStyle name="asd 3 3 4 2 7" xfId="16147"/>
    <cellStyle name="asd 3 3 4 2 8" xfId="18427"/>
    <cellStyle name="asd 3 3 4 2 9" xfId="20333"/>
    <cellStyle name="asd 3 3 4 20" xfId="38145"/>
    <cellStyle name="asd 3 3 4 21" xfId="38929"/>
    <cellStyle name="asd 3 3 4 22" xfId="40613"/>
    <cellStyle name="asd 3 3 4 23" xfId="43622"/>
    <cellStyle name="asd 3 3 4 3" xfId="6836"/>
    <cellStyle name="asd 3 3 4 4" xfId="8290"/>
    <cellStyle name="asd 3 3 4 5" xfId="10200"/>
    <cellStyle name="asd 3 3 4 6" xfId="12728"/>
    <cellStyle name="asd 3 3 4 7" xfId="14342"/>
    <cellStyle name="asd 3 3 4 8" xfId="16246"/>
    <cellStyle name="asd 3 3 4 9" xfId="17819"/>
    <cellStyle name="asd 3 3 5" xfId="4944"/>
    <cellStyle name="asd 3 3 5 10" xfId="21192"/>
    <cellStyle name="asd 3 3 5 11" xfId="23721"/>
    <cellStyle name="asd 3 3 5 12" xfId="24994"/>
    <cellStyle name="asd 3 3 5 13" xfId="27306"/>
    <cellStyle name="asd 3 3 5 14" xfId="29317"/>
    <cellStyle name="asd 3 3 5 15" xfId="30896"/>
    <cellStyle name="asd 3 3 5 16" xfId="32416"/>
    <cellStyle name="asd 3 3 5 17" xfId="34361"/>
    <cellStyle name="asd 3 3 5 18" xfId="35821"/>
    <cellStyle name="asd 3 3 5 19" xfId="37700"/>
    <cellStyle name="asd 3 3 5 2" xfId="6394"/>
    <cellStyle name="asd 3 3 5 20" xfId="39633"/>
    <cellStyle name="asd 3 3 5 21" xfId="41307"/>
    <cellStyle name="asd 3 3 5 22" xfId="43477"/>
    <cellStyle name="asd 3 3 5 3" xfId="7845"/>
    <cellStyle name="asd 3 3 5 4" xfId="9755"/>
    <cellStyle name="asd 3 3 5 5" xfId="11601"/>
    <cellStyle name="asd 3 3 5 6" xfId="14191"/>
    <cellStyle name="asd 3 3 5 7" xfId="16095"/>
    <cellStyle name="asd 3 3 5 8" xfId="17374"/>
    <cellStyle name="asd 3 3 5 9" xfId="19280"/>
    <cellStyle name="asd 3 3 6" xfId="5567"/>
    <cellStyle name="asd 3 3 6 10" xfId="21817"/>
    <cellStyle name="asd 3 3 6 11" xfId="23182"/>
    <cellStyle name="asd 3 3 6 12" xfId="25619"/>
    <cellStyle name="asd 3 3 6 13" xfId="26550"/>
    <cellStyle name="asd 3 3 6 14" xfId="28940"/>
    <cellStyle name="asd 3 3 6 15" xfId="30155"/>
    <cellStyle name="asd 3 3 6 16" xfId="31873"/>
    <cellStyle name="asd 3 3 6 17" xfId="33880"/>
    <cellStyle name="asd 3 3 6 18" xfId="36446"/>
    <cellStyle name="asd 3 3 6 19" xfId="38325"/>
    <cellStyle name="asd 3 3 6 2" xfId="7016"/>
    <cellStyle name="asd 3 3 6 20" xfId="39108"/>
    <cellStyle name="asd 3 3 6 21" xfId="40789"/>
    <cellStyle name="asd 3 3 6 22" xfId="42960"/>
    <cellStyle name="asd 3 3 6 3" xfId="8470"/>
    <cellStyle name="asd 3 3 6 4" xfId="10380"/>
    <cellStyle name="asd 3 3 6 5" xfId="11015"/>
    <cellStyle name="asd 3 3 6 6" xfId="13653"/>
    <cellStyle name="asd 3 3 6 7" xfId="15556"/>
    <cellStyle name="asd 3 3 6 8" xfId="17999"/>
    <cellStyle name="asd 3 3 6 9" xfId="19905"/>
    <cellStyle name="asd 3 3 7" xfId="6622"/>
    <cellStyle name="asd 3 3 8" xfId="9249"/>
    <cellStyle name="asd 3 3 9" xfId="11043"/>
    <cellStyle name="asd 3 4" xfId="3461"/>
    <cellStyle name="asd 3 4 10" xfId="16424"/>
    <cellStyle name="asd 3 4 11" xfId="16872"/>
    <cellStyle name="asd 3 4 12" xfId="18779"/>
    <cellStyle name="asd 3 4 13" xfId="20691"/>
    <cellStyle name="asd 3 4 14" xfId="24048"/>
    <cellStyle name="asd 3 4 15" xfId="24493"/>
    <cellStyle name="asd 3 4 16" xfId="27344"/>
    <cellStyle name="asd 3 4 17" xfId="28328"/>
    <cellStyle name="asd 3 4 18" xfId="30933"/>
    <cellStyle name="asd 3 4 19" xfId="32739"/>
    <cellStyle name="asd 3 4 2" xfId="3641"/>
    <cellStyle name="asd 3 4 2 10" xfId="17532"/>
    <cellStyle name="asd 3 4 2 11" xfId="19438"/>
    <cellStyle name="asd 3 4 2 12" xfId="21350"/>
    <cellStyle name="asd 3 4 2 13" xfId="24095"/>
    <cellStyle name="asd 3 4 2 14" xfId="25152"/>
    <cellStyle name="asd 3 4 2 15" xfId="27933"/>
    <cellStyle name="asd 3 4 2 16" xfId="28605"/>
    <cellStyle name="asd 3 4 2 17" xfId="31514"/>
    <cellStyle name="asd 3 4 2 18" xfId="32973"/>
    <cellStyle name="asd 3 4 2 19" xfId="33494"/>
    <cellStyle name="asd 3 4 2 2" xfId="2973"/>
    <cellStyle name="asd 3 4 2 2 10" xfId="20530"/>
    <cellStyle name="asd 3 4 2 2 11" xfId="23901"/>
    <cellStyle name="asd 3 4 2 2 12" xfId="24332"/>
    <cellStyle name="asd 3 4 2 2 13" xfId="27708"/>
    <cellStyle name="asd 3 4 2 2 14" xfId="28979"/>
    <cellStyle name="asd 3 4 2 2 15" xfId="31284"/>
    <cellStyle name="asd 3 4 2 2 16" xfId="31998"/>
    <cellStyle name="asd 3 4 2 2 17" xfId="33618"/>
    <cellStyle name="asd 3 4 2 2 18" xfId="35160"/>
    <cellStyle name="asd 3 4 2 2 19" xfId="37038"/>
    <cellStyle name="asd 3 4 2 2 2" xfId="4568"/>
    <cellStyle name="asd 3 4 2 2 20" xfId="39229"/>
    <cellStyle name="asd 3 4 2 2 21" xfId="40906"/>
    <cellStyle name="asd 3 4 2 2 22" xfId="43648"/>
    <cellStyle name="asd 3 4 2 2 3" xfId="3185"/>
    <cellStyle name="asd 3 4 2 2 4" xfId="9092"/>
    <cellStyle name="asd 3 4 2 2 5" xfId="11860"/>
    <cellStyle name="asd 3 4 2 2 6" xfId="14369"/>
    <cellStyle name="asd 3 4 2 2 7" xfId="16276"/>
    <cellStyle name="asd 3 4 2 2 8" xfId="16711"/>
    <cellStyle name="asd 3 4 2 2 9" xfId="18618"/>
    <cellStyle name="asd 3 4 2 20" xfId="35979"/>
    <cellStyle name="asd 3 4 2 21" xfId="37858"/>
    <cellStyle name="asd 3 4 2 22" xfId="40174"/>
    <cellStyle name="asd 3 4 2 23" xfId="41833"/>
    <cellStyle name="asd 3 4 2 24" xfId="43838"/>
    <cellStyle name="asd 3 4 2 3" xfId="5102"/>
    <cellStyle name="asd 3 4 2 4" xfId="6552"/>
    <cellStyle name="asd 3 4 2 5" xfId="8003"/>
    <cellStyle name="asd 3 4 2 6" xfId="9913"/>
    <cellStyle name="asd 3 4 2 7" xfId="12054"/>
    <cellStyle name="asd 3 4 2 8" xfId="14565"/>
    <cellStyle name="asd 3 4 2 9" xfId="16471"/>
    <cellStyle name="asd 3 4 20" xfId="34704"/>
    <cellStyle name="asd 3 4 21" xfId="35321"/>
    <cellStyle name="asd 3 4 22" xfId="37199"/>
    <cellStyle name="asd 3 4 23" xfId="39947"/>
    <cellStyle name="asd 3 4 24" xfId="41613"/>
    <cellStyle name="asd 3 4 25" xfId="43792"/>
    <cellStyle name="asd 3 4 3" xfId="3913"/>
    <cellStyle name="asd 3 4 3 10" xfId="19610"/>
    <cellStyle name="asd 3 4 3 11" xfId="21522"/>
    <cellStyle name="asd 3 4 3 12" xfId="23683"/>
    <cellStyle name="asd 3 4 3 13" xfId="25324"/>
    <cellStyle name="asd 3 4 3 14" xfId="27032"/>
    <cellStyle name="asd 3 4 3 15" xfId="28059"/>
    <cellStyle name="asd 3 4 3 16" xfId="30625"/>
    <cellStyle name="asd 3 4 3 17" xfId="32130"/>
    <cellStyle name="asd 3 4 3 18" xfId="34101"/>
    <cellStyle name="asd 3 4 3 19" xfId="36151"/>
    <cellStyle name="asd 3 4 3 2" xfId="5880"/>
    <cellStyle name="asd 3 4 3 2 10" xfId="22130"/>
    <cellStyle name="asd 3 4 3 2 11" xfId="23767"/>
    <cellStyle name="asd 3 4 3 2 12" xfId="25932"/>
    <cellStyle name="asd 3 4 3 2 13" xfId="26282"/>
    <cellStyle name="asd 3 4 3 2 14" xfId="28175"/>
    <cellStyle name="asd 3 4 3 2 15" xfId="29891"/>
    <cellStyle name="asd 3 4 3 2 16" xfId="32891"/>
    <cellStyle name="asd 3 4 3 2 17" xfId="34515"/>
    <cellStyle name="asd 3 4 3 2 18" xfId="36759"/>
    <cellStyle name="asd 3 4 3 2 19" xfId="38638"/>
    <cellStyle name="asd 3 4 3 2 2" xfId="7329"/>
    <cellStyle name="asd 3 4 3 2 20" xfId="40095"/>
    <cellStyle name="asd 3 4 3 2 21" xfId="41757"/>
    <cellStyle name="asd 3 4 3 2 22" xfId="43520"/>
    <cellStyle name="asd 3 4 3 2 3" xfId="8783"/>
    <cellStyle name="asd 3 4 3 2 4" xfId="10693"/>
    <cellStyle name="asd 3 4 3 2 5" xfId="11373"/>
    <cellStyle name="asd 3 4 3 2 6" xfId="14237"/>
    <cellStyle name="asd 3 4 3 2 7" xfId="16141"/>
    <cellStyle name="asd 3 4 3 2 8" xfId="18312"/>
    <cellStyle name="asd 3 4 3 2 9" xfId="20218"/>
    <cellStyle name="asd 3 4 3 20" xfId="38030"/>
    <cellStyle name="asd 3 4 3 21" xfId="39353"/>
    <cellStyle name="asd 3 4 3 22" xfId="41029"/>
    <cellStyle name="asd 3 4 3 23" xfId="43440"/>
    <cellStyle name="asd 3 4 3 3" xfId="5274"/>
    <cellStyle name="asd 3 4 3 4" xfId="8175"/>
    <cellStyle name="asd 3 4 3 5" xfId="10085"/>
    <cellStyle name="asd 3 4 3 6" xfId="11620"/>
    <cellStyle name="asd 3 4 3 7" xfId="14153"/>
    <cellStyle name="asd 3 4 3 8" xfId="16057"/>
    <cellStyle name="asd 3 4 3 9" xfId="17704"/>
    <cellStyle name="asd 3 4 4" xfId="4093"/>
    <cellStyle name="asd 3 4 4 10" xfId="19728"/>
    <cellStyle name="asd 3 4 4 11" xfId="21640"/>
    <cellStyle name="asd 3 4 4 12" xfId="23992"/>
    <cellStyle name="asd 3 4 4 13" xfId="25442"/>
    <cellStyle name="asd 3 4 4 14" xfId="26750"/>
    <cellStyle name="asd 3 4 4 15" xfId="28683"/>
    <cellStyle name="asd 3 4 4 16" xfId="30349"/>
    <cellStyle name="asd 3 4 4 17" xfId="33329"/>
    <cellStyle name="asd 3 4 4 18" xfId="15324"/>
    <cellStyle name="asd 3 4 4 19" xfId="36269"/>
    <cellStyle name="asd 3 4 4 2" xfId="5998"/>
    <cellStyle name="asd 3 4 4 2 10" xfId="22248"/>
    <cellStyle name="asd 3 4 4 2 11" xfId="23624"/>
    <cellStyle name="asd 3 4 4 2 12" xfId="26050"/>
    <cellStyle name="asd 3 4 4 2 13" xfId="27810"/>
    <cellStyle name="asd 3 4 4 2 14" xfId="29144"/>
    <cellStyle name="asd 3 4 4 2 15" xfId="31388"/>
    <cellStyle name="asd 3 4 4 2 16" xfId="31952"/>
    <cellStyle name="asd 3 4 4 2 17" xfId="33563"/>
    <cellStyle name="asd 3 4 4 2 18" xfId="36877"/>
    <cellStyle name="asd 3 4 4 2 19" xfId="38756"/>
    <cellStyle name="asd 3 4 4 2 2" xfId="7447"/>
    <cellStyle name="asd 3 4 4 2 20" xfId="39181"/>
    <cellStyle name="asd 3 4 4 2 21" xfId="40862"/>
    <cellStyle name="asd 3 4 4 2 22" xfId="43382"/>
    <cellStyle name="asd 3 4 4 2 3" xfId="8901"/>
    <cellStyle name="asd 3 4 4 2 4" xfId="10811"/>
    <cellStyle name="asd 3 4 4 2 5" xfId="11583"/>
    <cellStyle name="asd 3 4 4 2 6" xfId="14094"/>
    <cellStyle name="asd 3 4 4 2 7" xfId="15997"/>
    <cellStyle name="asd 3 4 4 2 8" xfId="18430"/>
    <cellStyle name="asd 3 4 4 2 9" xfId="20336"/>
    <cellStyle name="asd 3 4 4 20" xfId="38148"/>
    <cellStyle name="asd 3 4 4 21" xfId="40509"/>
    <cellStyle name="asd 3 4 4 22" xfId="42161"/>
    <cellStyle name="asd 3 4 4 23" xfId="43736"/>
    <cellStyle name="asd 3 4 4 3" xfId="6839"/>
    <cellStyle name="asd 3 4 4 4" xfId="8293"/>
    <cellStyle name="asd 3 4 4 5" xfId="10203"/>
    <cellStyle name="asd 3 4 4 6" xfId="11951"/>
    <cellStyle name="asd 3 4 4 7" xfId="14462"/>
    <cellStyle name="asd 3 4 4 8" xfId="16368"/>
    <cellStyle name="asd 3 4 4 9" xfId="17822"/>
    <cellStyle name="asd 3 4 5" xfId="5706"/>
    <cellStyle name="asd 3 4 5 10" xfId="21956"/>
    <cellStyle name="asd 3 4 5 11" xfId="22803"/>
    <cellStyle name="asd 3 4 5 12" xfId="25758"/>
    <cellStyle name="asd 3 4 5 13" xfId="27462"/>
    <cellStyle name="asd 3 4 5 14" xfId="28434"/>
    <cellStyle name="asd 3 4 5 15" xfId="31048"/>
    <cellStyle name="asd 3 4 5 16" xfId="33265"/>
    <cellStyle name="asd 3 4 5 17" xfId="34297"/>
    <cellStyle name="asd 3 4 5 18" xfId="36585"/>
    <cellStyle name="asd 3 4 5 19" xfId="38464"/>
    <cellStyle name="asd 3 4 5 2" xfId="7155"/>
    <cellStyle name="asd 3 4 5 20" xfId="40451"/>
    <cellStyle name="asd 3 4 5 21" xfId="42106"/>
    <cellStyle name="asd 3 4 5 22" xfId="42596"/>
    <cellStyle name="asd 3 4 5 3" xfId="8609"/>
    <cellStyle name="asd 3 4 5 4" xfId="10519"/>
    <cellStyle name="asd 3 4 5 5" xfId="10933"/>
    <cellStyle name="asd 3 4 5 6" xfId="13273"/>
    <cellStyle name="asd 3 4 5 7" xfId="15177"/>
    <cellStyle name="asd 3 4 5 8" xfId="18138"/>
    <cellStyle name="asd 3 4 5 9" xfId="20044"/>
    <cellStyle name="asd 3 4 6" xfId="6258"/>
    <cellStyle name="asd 3 4 7" xfId="9253"/>
    <cellStyle name="asd 3 4 8" xfId="12007"/>
    <cellStyle name="asd 3 4 9" xfId="14518"/>
    <cellStyle name="asd 3 5" xfId="1889"/>
    <cellStyle name="asd 3 5 10" xfId="17077"/>
    <cellStyle name="asd 3 5 11" xfId="18983"/>
    <cellStyle name="asd 3 5 12" xfId="20895"/>
    <cellStyle name="asd 3 5 13" xfId="22609"/>
    <cellStyle name="asd 3 5 14" xfId="24697"/>
    <cellStyle name="asd 3 5 15" xfId="27803"/>
    <cellStyle name="asd 3 5 16" xfId="18498"/>
    <cellStyle name="asd 3 5 17" xfId="31380"/>
    <cellStyle name="asd 3 5 18" xfId="32187"/>
    <cellStyle name="asd 3 5 19" xfId="34781"/>
    <cellStyle name="asd 3 5 2" xfId="4423"/>
    <cellStyle name="asd 3 5 2 10" xfId="20667"/>
    <cellStyle name="asd 3 5 2 11" xfId="24039"/>
    <cellStyle name="asd 3 5 2 12" xfId="24469"/>
    <cellStyle name="asd 3 5 2 13" xfId="27337"/>
    <cellStyle name="asd 3 5 2 14" xfId="29161"/>
    <cellStyle name="asd 3 5 2 15" xfId="30926"/>
    <cellStyle name="asd 3 5 2 16" xfId="32069"/>
    <cellStyle name="asd 3 5 2 17" xfId="34049"/>
    <cellStyle name="asd 3 5 2 18" xfId="35297"/>
    <cellStyle name="asd 3 5 2 19" xfId="37175"/>
    <cellStyle name="asd 3 5 2 2" xfId="5367"/>
    <cellStyle name="asd 3 5 2 20" xfId="39295"/>
    <cellStyle name="asd 3 5 2 21" xfId="40971"/>
    <cellStyle name="asd 3 5 2 22" xfId="43783"/>
    <cellStyle name="asd 3 5 2 3" xfId="6633"/>
    <cellStyle name="asd 3 5 2 4" xfId="9229"/>
    <cellStyle name="asd 3 5 2 5" xfId="11998"/>
    <cellStyle name="asd 3 5 2 6" xfId="14509"/>
    <cellStyle name="asd 3 5 2 7" xfId="16415"/>
    <cellStyle name="asd 3 5 2 8" xfId="16848"/>
    <cellStyle name="asd 3 5 2 9" xfId="18755"/>
    <cellStyle name="asd 3 5 20" xfId="35524"/>
    <cellStyle name="asd 3 5 21" xfId="37403"/>
    <cellStyle name="asd 3 5 22" xfId="39409"/>
    <cellStyle name="asd 3 5 23" xfId="41085"/>
    <cellStyle name="asd 3 5 24" xfId="42416"/>
    <cellStyle name="asd 3 5 3" xfId="4651"/>
    <cellStyle name="asd 3 5 4" xfId="6098"/>
    <cellStyle name="asd 3 5 5" xfId="7548"/>
    <cellStyle name="asd 3 5 6" xfId="9458"/>
    <cellStyle name="asd 3 5 7" xfId="11591"/>
    <cellStyle name="asd 3 5 8" xfId="13076"/>
    <cellStyle name="asd 3 5 9" xfId="14981"/>
    <cellStyle name="asd 3 6" xfId="2861"/>
    <cellStyle name="asd 3 6 10" xfId="19120"/>
    <cellStyle name="asd 3 6 11" xfId="21032"/>
    <cellStyle name="asd 3 6 12" xfId="22949"/>
    <cellStyle name="asd 3 6 13" xfId="24834"/>
    <cellStyle name="asd 3 6 14" xfId="27231"/>
    <cellStyle name="asd 3 6 15" xfId="29021"/>
    <cellStyle name="asd 3 6 16" xfId="30822"/>
    <cellStyle name="asd 3 6 17" xfId="32261"/>
    <cellStyle name="asd 3 6 18" xfId="34410"/>
    <cellStyle name="asd 3 6 19" xfId="35661"/>
    <cellStyle name="asd 3 6 2" xfId="4372"/>
    <cellStyle name="asd 3 6 2 10" xfId="20565"/>
    <cellStyle name="asd 3 6 2 11" xfId="22612"/>
    <cellStyle name="asd 3 6 2 12" xfId="24367"/>
    <cellStyle name="asd 3 6 2 13" xfId="27057"/>
    <cellStyle name="asd 3 6 2 14" xfId="29447"/>
    <cellStyle name="asd 3 6 2 15" xfId="30649"/>
    <cellStyle name="asd 3 6 2 16" xfId="32208"/>
    <cellStyle name="asd 3 6 2 17" xfId="34996"/>
    <cellStyle name="asd 3 6 2 18" xfId="35195"/>
    <cellStyle name="asd 3 6 2 19" xfId="37073"/>
    <cellStyle name="asd 3 6 2 2" xfId="3706"/>
    <cellStyle name="asd 3 6 2 20" xfId="39428"/>
    <cellStyle name="asd 3 6 2 21" xfId="41104"/>
    <cellStyle name="asd 3 6 2 22" xfId="42419"/>
    <cellStyle name="asd 3 6 2 3" xfId="1810"/>
    <cellStyle name="asd 3 6 2 4" xfId="9127"/>
    <cellStyle name="asd 3 6 2 5" xfId="11331"/>
    <cellStyle name="asd 3 6 2 6" xfId="13079"/>
    <cellStyle name="asd 3 6 2 7" xfId="14984"/>
    <cellStyle name="asd 3 6 2 8" xfId="16746"/>
    <cellStyle name="asd 3 6 2 9" xfId="18653"/>
    <cellStyle name="asd 3 6 20" xfId="37540"/>
    <cellStyle name="asd 3 6 21" xfId="39479"/>
    <cellStyle name="asd 3 6 22" xfId="41154"/>
    <cellStyle name="asd 3 6 23" xfId="42735"/>
    <cellStyle name="asd 3 6 3" xfId="4785"/>
    <cellStyle name="asd 3 6 4" xfId="7685"/>
    <cellStyle name="asd 3 6 5" xfId="9595"/>
    <cellStyle name="asd 3 6 6" xfId="12274"/>
    <cellStyle name="asd 3 6 7" xfId="13417"/>
    <cellStyle name="asd 3 6 8" xfId="15322"/>
    <cellStyle name="asd 3 6 9" xfId="17214"/>
    <cellStyle name="asd 3 7" xfId="1820"/>
    <cellStyle name="asd 3 7 10" xfId="18972"/>
    <cellStyle name="asd 3 7 11" xfId="20884"/>
    <cellStyle name="asd 3 7 12" xfId="23309"/>
    <cellStyle name="asd 3 7 13" xfId="24686"/>
    <cellStyle name="asd 3 7 14" xfId="27750"/>
    <cellStyle name="asd 3 7 15" xfId="29479"/>
    <cellStyle name="asd 3 7 16" xfId="31328"/>
    <cellStyle name="asd 3 7 17" xfId="31608"/>
    <cellStyle name="asd 3 7 18" xfId="34767"/>
    <cellStyle name="asd 3 7 19" xfId="35513"/>
    <cellStyle name="asd 3 7 2" xfId="4378"/>
    <cellStyle name="asd 3 7 2 10" xfId="20547"/>
    <cellStyle name="asd 3 7 2 11" xfId="22490"/>
    <cellStyle name="asd 3 7 2 12" xfId="24349"/>
    <cellStyle name="asd 3 7 2 13" xfId="27898"/>
    <cellStyle name="asd 3 7 2 14" xfId="28449"/>
    <cellStyle name="asd 3 7 2 15" xfId="31480"/>
    <cellStyle name="asd 3 7 2 16" xfId="31826"/>
    <cellStyle name="asd 3 7 2 17" xfId="34840"/>
    <cellStyle name="asd 3 7 2 18" xfId="35177"/>
    <cellStyle name="asd 3 7 2 19" xfId="37055"/>
    <cellStyle name="asd 3 7 2 2" xfId="5371"/>
    <cellStyle name="asd 3 7 2 20" xfId="39064"/>
    <cellStyle name="asd 3 7 2 21" xfId="40746"/>
    <cellStyle name="asd 3 7 2 22" xfId="42300"/>
    <cellStyle name="asd 3 7 2 3" xfId="6684"/>
    <cellStyle name="asd 3 7 2 4" xfId="9109"/>
    <cellStyle name="asd 3 7 2 5" xfId="11387"/>
    <cellStyle name="asd 3 7 2 6" xfId="12958"/>
    <cellStyle name="asd 3 7 2 7" xfId="14862"/>
    <cellStyle name="asd 3 7 2 8" xfId="16728"/>
    <cellStyle name="asd 3 7 2 9" xfId="18635"/>
    <cellStyle name="asd 3 7 20" xfId="37392"/>
    <cellStyle name="asd 3 7 21" xfId="38855"/>
    <cellStyle name="asd 3 7 22" xfId="40541"/>
    <cellStyle name="asd 3 7 23" xfId="43081"/>
    <cellStyle name="asd 3 7 3" xfId="6087"/>
    <cellStyle name="asd 3 7 4" xfId="7537"/>
    <cellStyle name="asd 3 7 5" xfId="9447"/>
    <cellStyle name="asd 3 7 6" xfId="11318"/>
    <cellStyle name="asd 3 7 7" xfId="13781"/>
    <cellStyle name="asd 3 7 8" xfId="15683"/>
    <cellStyle name="asd 3 7 9" xfId="17066"/>
    <cellStyle name="asd 3 8" xfId="4221"/>
    <cellStyle name="asd 3 9" xfId="3133"/>
    <cellStyle name="asd 30" xfId="902"/>
    <cellStyle name="asd 30 10" xfId="1788"/>
    <cellStyle name="asd 30 11" xfId="2528"/>
    <cellStyle name="asd 30 12" xfId="2931"/>
    <cellStyle name="asd 30 13" xfId="12791"/>
    <cellStyle name="asd 30 14" xfId="2112"/>
    <cellStyle name="asd 30 15" xfId="2370"/>
    <cellStyle name="asd 30 16" xfId="2512"/>
    <cellStyle name="asd 30 17" xfId="2686"/>
    <cellStyle name="asd 30 18" xfId="5304"/>
    <cellStyle name="asd 30 19" xfId="3164"/>
    <cellStyle name="asd 30 2" xfId="3414"/>
    <cellStyle name="asd 30 2 10" xfId="14668"/>
    <cellStyle name="asd 30 2 11" xfId="16574"/>
    <cellStyle name="asd 30 2 12" xfId="16782"/>
    <cellStyle name="asd 30 2 13" xfId="18689"/>
    <cellStyle name="asd 30 2 14" xfId="20601"/>
    <cellStyle name="asd 30 2 15" xfId="24196"/>
    <cellStyle name="asd 30 2 16" xfId="24403"/>
    <cellStyle name="asd 30 2 17" xfId="20398"/>
    <cellStyle name="asd 30 2 18" xfId="29328"/>
    <cellStyle name="asd 30 2 19" xfId="29543"/>
    <cellStyle name="asd 30 2 2" xfId="3594"/>
    <cellStyle name="asd 30 2 2 10" xfId="17485"/>
    <cellStyle name="asd 30 2 2 11" xfId="19391"/>
    <cellStyle name="asd 30 2 2 12" xfId="21303"/>
    <cellStyle name="asd 30 2 2 13" xfId="22631"/>
    <cellStyle name="asd 30 2 2 14" xfId="25105"/>
    <cellStyle name="asd 30 2 2 15" xfId="27910"/>
    <cellStyle name="asd 30 2 2 16" xfId="29397"/>
    <cellStyle name="asd 30 2 2 17" xfId="31492"/>
    <cellStyle name="asd 30 2 2 18" xfId="33215"/>
    <cellStyle name="asd 30 2 2 19" xfId="34755"/>
    <cellStyle name="asd 30 2 2 2" xfId="4262"/>
    <cellStyle name="asd 30 2 2 2 10" xfId="20497"/>
    <cellStyle name="asd 30 2 2 2 11" xfId="23286"/>
    <cellStyle name="asd 30 2 2 2 12" xfId="24299"/>
    <cellStyle name="asd 30 2 2 2 13" xfId="27189"/>
    <cellStyle name="asd 30 2 2 2 14" xfId="13135"/>
    <cellStyle name="asd 30 2 2 2 15" xfId="30780"/>
    <cellStyle name="asd 30 2 2 2 16" xfId="33065"/>
    <cellStyle name="asd 30 2 2 2 17" xfId="34898"/>
    <cellStyle name="asd 30 2 2 2 18" xfId="35127"/>
    <cellStyle name="asd 30 2 2 2 19" xfId="37005"/>
    <cellStyle name="asd 30 2 2 2 2" xfId="5345"/>
    <cellStyle name="asd 30 2 2 2 20" xfId="40261"/>
    <cellStyle name="asd 30 2 2 2 21" xfId="41919"/>
    <cellStyle name="asd 30 2 2 2 22" xfId="43062"/>
    <cellStyle name="asd 30 2 2 2 3" xfId="6256"/>
    <cellStyle name="asd 30 2 2 2 4" xfId="9059"/>
    <cellStyle name="asd 30 2 2 2 5" xfId="11241"/>
    <cellStyle name="asd 30 2 2 2 6" xfId="13758"/>
    <cellStyle name="asd 30 2 2 2 7" xfId="15660"/>
    <cellStyle name="asd 30 2 2 2 8" xfId="16678"/>
    <cellStyle name="asd 30 2 2 2 9" xfId="18585"/>
    <cellStyle name="asd 30 2 2 20" xfId="35932"/>
    <cellStyle name="asd 30 2 2 21" xfId="37811"/>
    <cellStyle name="asd 30 2 2 22" xfId="40404"/>
    <cellStyle name="asd 30 2 2 23" xfId="42060"/>
    <cellStyle name="asd 30 2 2 24" xfId="42437"/>
    <cellStyle name="asd 30 2 2 3" xfId="5055"/>
    <cellStyle name="asd 30 2 2 4" xfId="6505"/>
    <cellStyle name="asd 30 2 2 5" xfId="7956"/>
    <cellStyle name="asd 30 2 2 6" xfId="9866"/>
    <cellStyle name="asd 30 2 2 7" xfId="11435"/>
    <cellStyle name="asd 30 2 2 8" xfId="13098"/>
    <cellStyle name="asd 30 2 2 9" xfId="15003"/>
    <cellStyle name="asd 30 2 20" xfId="28485"/>
    <cellStyle name="asd 30 2 21" xfId="29766"/>
    <cellStyle name="asd 30 2 22" xfId="35231"/>
    <cellStyle name="asd 30 2 23" xfId="37109"/>
    <cellStyle name="asd 30 2 24" xfId="34488"/>
    <cellStyle name="asd 30 2 25" xfId="30012"/>
    <cellStyle name="asd 30 2 26" xfId="43934"/>
    <cellStyle name="asd 30 2 3" xfId="3818"/>
    <cellStyle name="asd 30 2 3 10" xfId="19548"/>
    <cellStyle name="asd 30 2 3 11" xfId="21460"/>
    <cellStyle name="asd 30 2 3 12" xfId="23949"/>
    <cellStyle name="asd 30 2 3 13" xfId="25262"/>
    <cellStyle name="asd 30 2 3 14" xfId="27285"/>
    <cellStyle name="asd 30 2 3 15" xfId="28558"/>
    <cellStyle name="asd 30 2 3 16" xfId="30877"/>
    <cellStyle name="asd 30 2 3 17" xfId="32909"/>
    <cellStyle name="asd 30 2 3 18" xfId="34304"/>
    <cellStyle name="asd 30 2 3 19" xfId="36089"/>
    <cellStyle name="asd 30 2 3 2" xfId="5818"/>
    <cellStyle name="asd 30 2 3 2 10" xfId="22068"/>
    <cellStyle name="asd 30 2 3 2 11" xfId="23449"/>
    <cellStyle name="asd 30 2 3 2 12" xfId="25870"/>
    <cellStyle name="asd 30 2 3 2 13" xfId="27341"/>
    <cellStyle name="asd 30 2 3 2 14" xfId="29247"/>
    <cellStyle name="asd 30 2 3 2 15" xfId="30930"/>
    <cellStyle name="asd 30 2 3 2 16" xfId="32971"/>
    <cellStyle name="asd 30 2 3 2 17" xfId="33681"/>
    <cellStyle name="asd 30 2 3 2 18" xfId="36697"/>
    <cellStyle name="asd 30 2 3 2 19" xfId="38576"/>
    <cellStyle name="asd 30 2 3 2 2" xfId="7267"/>
    <cellStyle name="asd 30 2 3 2 20" xfId="40172"/>
    <cellStyle name="asd 30 2 3 2 21" xfId="41831"/>
    <cellStyle name="asd 30 2 3 2 22" xfId="43216"/>
    <cellStyle name="asd 30 2 3 2 3" xfId="8721"/>
    <cellStyle name="asd 30 2 3 2 4" xfId="10631"/>
    <cellStyle name="asd 30 2 3 2 5" xfId="12503"/>
    <cellStyle name="asd 30 2 3 2 6" xfId="13921"/>
    <cellStyle name="asd 30 2 3 2 7" xfId="15822"/>
    <cellStyle name="asd 30 2 3 2 8" xfId="18250"/>
    <cellStyle name="asd 30 2 3 2 9" xfId="20156"/>
    <cellStyle name="asd 30 2 3 20" xfId="37968"/>
    <cellStyle name="asd 30 2 3 21" xfId="40113"/>
    <cellStyle name="asd 30 2 3 22" xfId="41773"/>
    <cellStyle name="asd 30 2 3 23" xfId="43695"/>
    <cellStyle name="asd 30 2 3 3" xfId="5212"/>
    <cellStyle name="asd 30 2 3 4" xfId="8113"/>
    <cellStyle name="asd 30 2 3 5" xfId="10023"/>
    <cellStyle name="asd 30 2 3 6" xfId="11909"/>
    <cellStyle name="asd 30 2 3 7" xfId="14419"/>
    <cellStyle name="asd 30 2 3 8" xfId="16325"/>
    <cellStyle name="asd 30 2 3 9" xfId="17642"/>
    <cellStyle name="asd 30 2 4" xfId="4046"/>
    <cellStyle name="asd 30 2 4 10" xfId="19681"/>
    <cellStyle name="asd 30 2 4 11" xfId="21593"/>
    <cellStyle name="asd 30 2 4 12" xfId="23333"/>
    <cellStyle name="asd 30 2 4 13" xfId="25395"/>
    <cellStyle name="asd 30 2 4 14" xfId="27581"/>
    <cellStyle name="asd 30 2 4 15" xfId="29313"/>
    <cellStyle name="asd 30 2 4 16" xfId="31160"/>
    <cellStyle name="asd 30 2 4 17" xfId="32784"/>
    <cellStyle name="asd 30 2 4 18" xfId="33986"/>
    <cellStyle name="asd 30 2 4 19" xfId="36222"/>
    <cellStyle name="asd 30 2 4 2" xfId="5951"/>
    <cellStyle name="asd 30 2 4 2 10" xfId="22201"/>
    <cellStyle name="asd 30 2 4 2 11" xfId="23933"/>
    <cellStyle name="asd 30 2 4 2 12" xfId="26003"/>
    <cellStyle name="asd 30 2 4 2 13" xfId="27143"/>
    <cellStyle name="asd 30 2 4 2 14" xfId="28906"/>
    <cellStyle name="asd 30 2 4 2 15" xfId="30734"/>
    <cellStyle name="asd 30 2 4 2 16" xfId="33127"/>
    <cellStyle name="asd 30 2 4 2 17" xfId="33621"/>
    <cellStyle name="asd 30 2 4 2 18" xfId="36830"/>
    <cellStyle name="asd 30 2 4 2 19" xfId="38709"/>
    <cellStyle name="asd 30 2 4 2 2" xfId="7400"/>
    <cellStyle name="asd 30 2 4 2 20" xfId="40321"/>
    <cellStyle name="asd 30 2 4 2 21" xfId="41977"/>
    <cellStyle name="asd 30 2 4 2 22" xfId="43679"/>
    <cellStyle name="asd 30 2 4 2 3" xfId="8854"/>
    <cellStyle name="asd 30 2 4 2 4" xfId="10764"/>
    <cellStyle name="asd 30 2 4 2 5" xfId="11893"/>
    <cellStyle name="asd 30 2 4 2 6" xfId="14403"/>
    <cellStyle name="asd 30 2 4 2 7" xfId="16309"/>
    <cellStyle name="asd 30 2 4 2 8" xfId="18383"/>
    <cellStyle name="asd 30 2 4 2 9" xfId="20289"/>
    <cellStyle name="asd 30 2 4 20" xfId="38101"/>
    <cellStyle name="asd 30 2 4 21" xfId="39993"/>
    <cellStyle name="asd 30 2 4 22" xfId="41657"/>
    <cellStyle name="asd 30 2 4 23" xfId="43103"/>
    <cellStyle name="asd 30 2 4 3" xfId="6792"/>
    <cellStyle name="asd 30 2 4 4" xfId="8246"/>
    <cellStyle name="asd 30 2 4 5" xfId="10156"/>
    <cellStyle name="asd 30 2 4 6" xfId="12277"/>
    <cellStyle name="asd 30 2 4 7" xfId="13805"/>
    <cellStyle name="asd 30 2 4 8" xfId="15707"/>
    <cellStyle name="asd 30 2 4 9" xfId="17775"/>
    <cellStyle name="asd 30 2 5" xfId="4908"/>
    <cellStyle name="asd 30 2 5 10" xfId="21156"/>
    <cellStyle name="asd 30 2 5 11" xfId="23708"/>
    <cellStyle name="asd 30 2 5 12" xfId="24958"/>
    <cellStyle name="asd 30 2 5 13" xfId="26310"/>
    <cellStyle name="asd 30 2 5 14" xfId="28877"/>
    <cellStyle name="asd 30 2 5 15" xfId="29918"/>
    <cellStyle name="asd 30 2 5 16" xfId="32494"/>
    <cellStyle name="asd 30 2 5 17" xfId="33723"/>
    <cellStyle name="asd 30 2 5 18" xfId="35785"/>
    <cellStyle name="asd 30 2 5 19" xfId="37664"/>
    <cellStyle name="asd 30 2 5 2" xfId="6358"/>
    <cellStyle name="asd 30 2 5 20" xfId="39709"/>
    <cellStyle name="asd 30 2 5 21" xfId="41381"/>
    <cellStyle name="asd 30 2 5 22" xfId="43465"/>
    <cellStyle name="asd 30 2 5 3" xfId="7809"/>
    <cellStyle name="asd 30 2 5 4" xfId="9719"/>
    <cellStyle name="asd 30 2 5 5" xfId="11760"/>
    <cellStyle name="asd 30 2 5 6" xfId="14178"/>
    <cellStyle name="asd 30 2 5 7" xfId="16082"/>
    <cellStyle name="asd 30 2 5 8" xfId="17338"/>
    <cellStyle name="asd 30 2 5 9" xfId="19244"/>
    <cellStyle name="asd 30 2 6" xfId="5571"/>
    <cellStyle name="asd 30 2 6 10" xfId="21821"/>
    <cellStyle name="asd 30 2 6 11" xfId="24122"/>
    <cellStyle name="asd 30 2 6 12" xfId="25623"/>
    <cellStyle name="asd 30 2 6 13" xfId="26373"/>
    <cellStyle name="asd 30 2 6 14" xfId="28494"/>
    <cellStyle name="asd 30 2 6 15" xfId="29981"/>
    <cellStyle name="asd 30 2 6 16" xfId="33115"/>
    <cellStyle name="asd 30 2 6 17" xfId="34932"/>
    <cellStyle name="asd 30 2 6 18" xfId="36450"/>
    <cellStyle name="asd 30 2 6 19" xfId="38329"/>
    <cellStyle name="asd 30 2 6 2" xfId="7020"/>
    <cellStyle name="asd 30 2 6 20" xfId="40310"/>
    <cellStyle name="asd 30 2 6 21" xfId="41966"/>
    <cellStyle name="asd 30 2 6 22" xfId="43865"/>
    <cellStyle name="asd 30 2 6 3" xfId="8474"/>
    <cellStyle name="asd 30 2 6 4" xfId="10384"/>
    <cellStyle name="asd 30 2 6 5" xfId="12082"/>
    <cellStyle name="asd 30 2 6 6" xfId="14593"/>
    <cellStyle name="asd 30 2 6 7" xfId="16499"/>
    <cellStyle name="asd 30 2 6 8" xfId="18003"/>
    <cellStyle name="asd 30 2 6 9" xfId="19909"/>
    <cellStyle name="asd 30 2 7" xfId="6727"/>
    <cellStyle name="asd 30 2 8" xfId="9163"/>
    <cellStyle name="asd 30 2 9" xfId="12156"/>
    <cellStyle name="asd 30 20" xfId="2125"/>
    <cellStyle name="asd 30 21" xfId="29511"/>
    <cellStyle name="asd 30 22" xfId="33354"/>
    <cellStyle name="asd 30 23" xfId="10878"/>
    <cellStyle name="asd 30 24" xfId="31981"/>
    <cellStyle name="asd 30 25" xfId="14688"/>
    <cellStyle name="asd 30 26" xfId="34640"/>
    <cellStyle name="asd 30 27" xfId="39949"/>
    <cellStyle name="asd 30 3" xfId="3475"/>
    <cellStyle name="asd 30 3 10" xfId="13715"/>
    <cellStyle name="asd 30 3 11" xfId="15617"/>
    <cellStyle name="asd 30 3 12" xfId="16910"/>
    <cellStyle name="asd 30 3 13" xfId="18817"/>
    <cellStyle name="asd 30 3 14" xfId="20729"/>
    <cellStyle name="asd 30 3 15" xfId="23243"/>
    <cellStyle name="asd 30 3 16" xfId="24531"/>
    <cellStyle name="asd 30 3 17" xfId="26935"/>
    <cellStyle name="asd 30 3 18" xfId="28439"/>
    <cellStyle name="asd 30 3 19" xfId="30529"/>
    <cellStyle name="asd 30 3 2" xfId="3655"/>
    <cellStyle name="asd 30 3 2 10" xfId="17546"/>
    <cellStyle name="asd 30 3 2 11" xfId="19452"/>
    <cellStyle name="asd 30 3 2 12" xfId="21364"/>
    <cellStyle name="asd 30 3 2 13" xfId="23303"/>
    <cellStyle name="asd 30 3 2 14" xfId="25166"/>
    <cellStyle name="asd 30 3 2 15" xfId="26777"/>
    <cellStyle name="asd 30 3 2 16" xfId="28772"/>
    <cellStyle name="asd 30 3 2 17" xfId="30376"/>
    <cellStyle name="asd 30 3 2 18" xfId="32608"/>
    <cellStyle name="asd 30 3 2 19" xfId="34326"/>
    <cellStyle name="asd 30 3 2 2" xfId="5673"/>
    <cellStyle name="asd 30 3 2 2 10" xfId="21923"/>
    <cellStyle name="asd 30 3 2 2 11" xfId="22943"/>
    <cellStyle name="asd 30 3 2 2 12" xfId="25725"/>
    <cellStyle name="asd 30 3 2 2 13" xfId="27597"/>
    <cellStyle name="asd 30 3 2 2 14" xfId="2703"/>
    <cellStyle name="asd 30 3 2 2 15" xfId="31175"/>
    <cellStyle name="asd 30 3 2 2 16" xfId="31804"/>
    <cellStyle name="asd 30 3 2 2 17" xfId="34602"/>
    <cellStyle name="asd 30 3 2 2 18" xfId="36552"/>
    <cellStyle name="asd 30 3 2 2 19" xfId="38431"/>
    <cellStyle name="asd 30 3 2 2 2" xfId="7122"/>
    <cellStyle name="asd 30 3 2 2 20" xfId="39042"/>
    <cellStyle name="asd 30 3 2 2 21" xfId="40724"/>
    <cellStyle name="asd 30 3 2 2 22" xfId="42729"/>
    <cellStyle name="asd 30 3 2 2 3" xfId="8576"/>
    <cellStyle name="asd 30 3 2 2 4" xfId="10486"/>
    <cellStyle name="asd 30 3 2 2 5" xfId="11052"/>
    <cellStyle name="asd 30 3 2 2 6" xfId="13411"/>
    <cellStyle name="asd 30 3 2 2 7" xfId="15316"/>
    <cellStyle name="asd 30 3 2 2 8" xfId="18105"/>
    <cellStyle name="asd 30 3 2 2 9" xfId="20011"/>
    <cellStyle name="asd 30 3 2 20" xfId="35993"/>
    <cellStyle name="asd 30 3 2 21" xfId="37872"/>
    <cellStyle name="asd 30 3 2 22" xfId="39818"/>
    <cellStyle name="asd 30 3 2 23" xfId="41487"/>
    <cellStyle name="asd 30 3 2 24" xfId="43075"/>
    <cellStyle name="asd 30 3 2 3" xfId="5116"/>
    <cellStyle name="asd 30 3 2 4" xfId="6566"/>
    <cellStyle name="asd 30 3 2 5" xfId="8017"/>
    <cellStyle name="asd 30 3 2 6" xfId="9927"/>
    <cellStyle name="asd 30 3 2 7" xfId="11295"/>
    <cellStyle name="asd 30 3 2 8" xfId="13775"/>
    <cellStyle name="asd 30 3 2 9" xfId="15677"/>
    <cellStyle name="asd 30 3 20" xfId="32143"/>
    <cellStyle name="asd 30 3 21" xfId="35010"/>
    <cellStyle name="asd 30 3 22" xfId="35359"/>
    <cellStyle name="asd 30 3 23" xfId="37237"/>
    <cellStyle name="asd 30 3 24" xfId="39366"/>
    <cellStyle name="asd 30 3 25" xfId="41042"/>
    <cellStyle name="asd 30 3 26" xfId="43020"/>
    <cellStyle name="asd 30 3 3" xfId="1961"/>
    <cellStyle name="asd 30 3 3 10" xfId="18994"/>
    <cellStyle name="asd 30 3 3 11" xfId="20906"/>
    <cellStyle name="asd 30 3 3 12" xfId="22797"/>
    <cellStyle name="asd 30 3 3 13" xfId="24708"/>
    <cellStyle name="asd 30 3 3 14" xfId="26529"/>
    <cellStyle name="asd 30 3 3 15" xfId="28300"/>
    <cellStyle name="asd 30 3 3 16" xfId="30135"/>
    <cellStyle name="asd 30 3 3 17" xfId="31733"/>
    <cellStyle name="asd 30 3 3 18" xfId="34734"/>
    <cellStyle name="asd 30 3 3 19" xfId="35535"/>
    <cellStyle name="asd 30 3 3 2" xfId="4536"/>
    <cellStyle name="asd 30 3 3 2 10" xfId="20781"/>
    <cellStyle name="asd 30 3 3 2 11" xfId="24149"/>
    <cellStyle name="asd 30 3 3 2 12" xfId="24583"/>
    <cellStyle name="asd 30 3 3 2 13" xfId="27447"/>
    <cellStyle name="asd 30 3 3 2 14" xfId="29155"/>
    <cellStyle name="asd 30 3 3 2 15" xfId="31033"/>
    <cellStyle name="asd 30 3 3 2 16" xfId="3753"/>
    <cellStyle name="asd 30 3 3 2 17" xfId="31580"/>
    <cellStyle name="asd 30 3 3 2 18" xfId="35411"/>
    <cellStyle name="asd 30 3 3 2 19" xfId="37289"/>
    <cellStyle name="asd 30 3 3 2 2" xfId="3741"/>
    <cellStyle name="asd 30 3 3 2 20" xfId="24209"/>
    <cellStyle name="asd 30 3 3 2 21" xfId="29595"/>
    <cellStyle name="asd 30 3 3 2 22" xfId="43891"/>
    <cellStyle name="asd 30 3 3 2 3" xfId="3072"/>
    <cellStyle name="asd 30 3 3 2 4" xfId="9343"/>
    <cellStyle name="asd 30 3 3 2 5" xfId="12109"/>
    <cellStyle name="asd 30 3 3 2 6" xfId="14620"/>
    <cellStyle name="asd 30 3 3 2 7" xfId="16526"/>
    <cellStyle name="asd 30 3 3 2 8" xfId="16962"/>
    <cellStyle name="asd 30 3 3 2 9" xfId="18869"/>
    <cellStyle name="asd 30 3 3 20" xfId="37414"/>
    <cellStyle name="asd 30 3 3 21" xfId="38974"/>
    <cellStyle name="asd 30 3 3 22" xfId="40657"/>
    <cellStyle name="asd 30 3 3 23" xfId="42590"/>
    <cellStyle name="asd 30 3 3 3" xfId="4662"/>
    <cellStyle name="asd 30 3 3 4" xfId="7559"/>
    <cellStyle name="asd 30 3 3 5" xfId="9469"/>
    <cellStyle name="asd 30 3 3 6" xfId="11009"/>
    <cellStyle name="asd 30 3 3 7" xfId="13266"/>
    <cellStyle name="asd 30 3 3 8" xfId="15170"/>
    <cellStyle name="asd 30 3 3 9" xfId="17088"/>
    <cellStyle name="asd 30 3 4" xfId="4107"/>
    <cellStyle name="asd 30 3 4 10" xfId="19742"/>
    <cellStyle name="asd 30 3 4 11" xfId="21654"/>
    <cellStyle name="asd 30 3 4 12" xfId="23821"/>
    <cellStyle name="asd 30 3 4 13" xfId="25456"/>
    <cellStyle name="asd 30 3 4 14" xfId="26483"/>
    <cellStyle name="asd 30 3 4 15" xfId="28034"/>
    <cellStyle name="asd 30 3 4 16" xfId="30089"/>
    <cellStyle name="asd 30 3 4 17" xfId="32717"/>
    <cellStyle name="asd 30 3 4 18" xfId="34091"/>
    <cellStyle name="asd 30 3 4 19" xfId="36283"/>
    <cellStyle name="asd 30 3 4 2" xfId="6012"/>
    <cellStyle name="asd 30 3 4 2 10" xfId="22262"/>
    <cellStyle name="asd 30 3 4 2 11" xfId="23813"/>
    <cellStyle name="asd 30 3 4 2 12" xfId="26064"/>
    <cellStyle name="asd 30 3 4 2 13" xfId="27134"/>
    <cellStyle name="asd 30 3 4 2 14" xfId="29677"/>
    <cellStyle name="asd 30 3 4 2 15" xfId="30725"/>
    <cellStyle name="asd 30 3 4 2 16" xfId="33150"/>
    <cellStyle name="asd 30 3 4 2 17" xfId="34177"/>
    <cellStyle name="asd 30 3 4 2 18" xfId="36891"/>
    <cellStyle name="asd 30 3 4 2 19" xfId="38770"/>
    <cellStyle name="asd 30 3 4 2 2" xfId="7461"/>
    <cellStyle name="asd 30 3 4 2 20" xfId="40343"/>
    <cellStyle name="asd 30 3 4 2 21" xfId="41999"/>
    <cellStyle name="asd 30 3 4 2 22" xfId="43564"/>
    <cellStyle name="asd 30 3 4 2 3" xfId="8915"/>
    <cellStyle name="asd 30 3 4 2 4" xfId="10825"/>
    <cellStyle name="asd 30 3 4 2 5" xfId="11404"/>
    <cellStyle name="asd 30 3 4 2 6" xfId="14283"/>
    <cellStyle name="asd 30 3 4 2 7" xfId="16187"/>
    <cellStyle name="asd 30 3 4 2 8" xfId="18444"/>
    <cellStyle name="asd 30 3 4 2 9" xfId="20350"/>
    <cellStyle name="asd 30 3 4 20" xfId="38162"/>
    <cellStyle name="asd 30 3 4 21" xfId="39927"/>
    <cellStyle name="asd 30 3 4 22" xfId="41593"/>
    <cellStyle name="asd 30 3 4 23" xfId="43572"/>
    <cellStyle name="asd 30 3 4 3" xfId="6853"/>
    <cellStyle name="asd 30 3 4 4" xfId="8307"/>
    <cellStyle name="asd 30 3 4 5" xfId="10217"/>
    <cellStyle name="asd 30 3 4 6" xfId="11687"/>
    <cellStyle name="asd 30 3 4 7" xfId="14291"/>
    <cellStyle name="asd 30 3 4 8" xfId="16195"/>
    <cellStyle name="asd 30 3 4 9" xfId="17836"/>
    <cellStyle name="asd 30 3 5" xfId="4959"/>
    <cellStyle name="asd 30 3 5 10" xfId="21207"/>
    <cellStyle name="asd 30 3 5 11" xfId="22791"/>
    <cellStyle name="asd 30 3 5 12" xfId="25009"/>
    <cellStyle name="asd 30 3 5 13" xfId="27401"/>
    <cellStyle name="asd 30 3 5 14" xfId="20428"/>
    <cellStyle name="asd 30 3 5 15" xfId="30987"/>
    <cellStyle name="asd 30 3 5 16" xfId="32556"/>
    <cellStyle name="asd 30 3 5 17" xfId="34548"/>
    <cellStyle name="asd 30 3 5 18" xfId="35836"/>
    <cellStyle name="asd 30 3 5 19" xfId="37715"/>
    <cellStyle name="asd 30 3 5 2" xfId="6409"/>
    <cellStyle name="asd 30 3 5 20" xfId="39769"/>
    <cellStyle name="asd 30 3 5 21" xfId="41439"/>
    <cellStyle name="asd 30 3 5 22" xfId="42584"/>
    <cellStyle name="asd 30 3 5 3" xfId="7860"/>
    <cellStyle name="asd 30 3 5 4" xfId="9770"/>
    <cellStyle name="asd 30 3 5 5" xfId="10940"/>
    <cellStyle name="asd 30 3 5 6" xfId="13260"/>
    <cellStyle name="asd 30 3 5 7" xfId="15164"/>
    <cellStyle name="asd 30 3 5 8" xfId="17389"/>
    <cellStyle name="asd 30 3 5 9" xfId="19295"/>
    <cellStyle name="asd 30 3 6" xfId="4555"/>
    <cellStyle name="asd 30 3 6 10" xfId="20800"/>
    <cellStyle name="asd 30 3 6 11" xfId="23524"/>
    <cellStyle name="asd 30 3 6 12" xfId="24602"/>
    <cellStyle name="asd 30 3 6 13" xfId="27377"/>
    <cellStyle name="asd 30 3 6 14" xfId="29391"/>
    <cellStyle name="asd 30 3 6 15" xfId="30963"/>
    <cellStyle name="asd 30 3 6 16" xfId="32170"/>
    <cellStyle name="asd 30 3 6 17" xfId="33879"/>
    <cellStyle name="asd 30 3 6 18" xfId="35430"/>
    <cellStyle name="asd 30 3 6 19" xfId="37308"/>
    <cellStyle name="asd 30 3 6 2" xfId="4507"/>
    <cellStyle name="asd 30 3 6 20" xfId="39392"/>
    <cellStyle name="asd 30 3 6 21" xfId="41068"/>
    <cellStyle name="asd 30 3 6 22" xfId="43289"/>
    <cellStyle name="asd 30 3 6 3" xfId="3863"/>
    <cellStyle name="asd 30 3 6 4" xfId="9362"/>
    <cellStyle name="asd 30 3 6 5" xfId="12510"/>
    <cellStyle name="asd 30 3 6 6" xfId="13996"/>
    <cellStyle name="asd 30 3 6 7" xfId="15897"/>
    <cellStyle name="asd 30 3 6 8" xfId="16981"/>
    <cellStyle name="asd 30 3 6 9" xfId="18888"/>
    <cellStyle name="asd 30 3 7" xfId="6717"/>
    <cellStyle name="asd 30 3 8" xfId="9291"/>
    <cellStyle name="asd 30 3 9" xfId="11136"/>
    <cellStyle name="asd 30 4" xfId="3393"/>
    <cellStyle name="asd 30 4 10" xfId="15311"/>
    <cellStyle name="asd 30 4 11" xfId="16727"/>
    <cellStyle name="asd 30 4 12" xfId="18634"/>
    <cellStyle name="asd 30 4 13" xfId="20546"/>
    <cellStyle name="asd 30 4 14" xfId="22938"/>
    <cellStyle name="asd 30 4 15" xfId="24348"/>
    <cellStyle name="asd 30 4 16" xfId="27039"/>
    <cellStyle name="asd 30 4 17" xfId="29418"/>
    <cellStyle name="asd 30 4 18" xfId="30632"/>
    <cellStyle name="asd 30 4 19" xfId="32029"/>
    <cellStyle name="asd 30 4 2" xfId="3573"/>
    <cellStyle name="asd 30 4 2 10" xfId="17464"/>
    <cellStyle name="asd 30 4 2 11" xfId="19370"/>
    <cellStyle name="asd 30 4 2 12" xfId="21282"/>
    <cellStyle name="asd 30 4 2 13" xfId="22676"/>
    <cellStyle name="asd 30 4 2 14" xfId="25084"/>
    <cellStyle name="asd 30 4 2 15" xfId="27187"/>
    <cellStyle name="asd 30 4 2 16" xfId="2092"/>
    <cellStyle name="asd 30 4 2 17" xfId="30778"/>
    <cellStyle name="asd 30 4 2 18" xfId="32792"/>
    <cellStyle name="asd 30 4 2 19" xfId="2275"/>
    <cellStyle name="asd 30 4 2 2" xfId="4905"/>
    <cellStyle name="asd 30 4 2 2 10" xfId="21153"/>
    <cellStyle name="asd 30 4 2 2 11" xfId="23483"/>
    <cellStyle name="asd 30 4 2 2 12" xfId="24955"/>
    <cellStyle name="asd 30 4 2 2 13" xfId="27789"/>
    <cellStyle name="asd 30 4 2 2 14" xfId="28258"/>
    <cellStyle name="asd 30 4 2 2 15" xfId="31366"/>
    <cellStyle name="asd 30 4 2 2 16" xfId="31767"/>
    <cellStyle name="asd 30 4 2 2 17" xfId="34920"/>
    <cellStyle name="asd 30 4 2 2 18" xfId="35782"/>
    <cellStyle name="asd 30 4 2 2 19" xfId="37661"/>
    <cellStyle name="asd 30 4 2 2 2" xfId="6355"/>
    <cellStyle name="asd 30 4 2 2 20" xfId="39006"/>
    <cellStyle name="asd 30 4 2 2 21" xfId="40689"/>
    <cellStyle name="asd 30 4 2 2 22" xfId="43249"/>
    <cellStyle name="asd 30 4 2 2 3" xfId="7806"/>
    <cellStyle name="asd 30 4 2 2 4" xfId="9716"/>
    <cellStyle name="asd 30 4 2 2 5" xfId="12486"/>
    <cellStyle name="asd 30 4 2 2 6" xfId="13955"/>
    <cellStyle name="asd 30 4 2 2 7" xfId="15856"/>
    <cellStyle name="asd 30 4 2 2 8" xfId="17335"/>
    <cellStyle name="asd 30 4 2 2 9" xfId="19241"/>
    <cellStyle name="asd 30 4 2 20" xfId="35911"/>
    <cellStyle name="asd 30 4 2 21" xfId="37790"/>
    <cellStyle name="asd 30 4 2 22" xfId="40001"/>
    <cellStyle name="asd 30 4 2 23" xfId="41665"/>
    <cellStyle name="asd 30 4 2 24" xfId="42481"/>
    <cellStyle name="asd 30 4 2 3" xfId="5034"/>
    <cellStyle name="asd 30 4 2 4" xfId="6484"/>
    <cellStyle name="asd 30 4 2 5" xfId="7935"/>
    <cellStyle name="asd 30 4 2 6" xfId="9845"/>
    <cellStyle name="asd 30 4 2 7" xfId="11682"/>
    <cellStyle name="asd 30 4 2 8" xfId="13143"/>
    <cellStyle name="asd 30 4 2 9" xfId="15048"/>
    <cellStyle name="asd 30 4 20" xfId="33746"/>
    <cellStyle name="asd 30 4 21" xfId="35176"/>
    <cellStyle name="asd 30 4 22" xfId="37054"/>
    <cellStyle name="asd 30 4 23" xfId="39259"/>
    <cellStyle name="asd 30 4 24" xfId="40936"/>
    <cellStyle name="asd 30 4 25" xfId="42724"/>
    <cellStyle name="asd 30 4 3" xfId="3895"/>
    <cellStyle name="asd 30 4 3 10" xfId="19602"/>
    <cellStyle name="asd 30 4 3 11" xfId="21514"/>
    <cellStyle name="asd 30 4 3 12" xfId="23103"/>
    <cellStyle name="asd 30 4 3 13" xfId="25316"/>
    <cellStyle name="asd 30 4 3 14" xfId="27536"/>
    <cellStyle name="asd 30 4 3 15" xfId="2820"/>
    <cellStyle name="asd 30 4 3 16" xfId="31117"/>
    <cellStyle name="asd 30 4 3 17" xfId="33216"/>
    <cellStyle name="asd 30 4 3 18" xfId="34054"/>
    <cellStyle name="asd 30 4 3 19" xfId="36143"/>
    <cellStyle name="asd 30 4 3 2" xfId="5872"/>
    <cellStyle name="asd 30 4 3 2 10" xfId="22122"/>
    <cellStyle name="asd 30 4 3 2 11" xfId="22708"/>
    <cellStyle name="asd 30 4 3 2 12" xfId="25924"/>
    <cellStyle name="asd 30 4 3 2 13" xfId="27135"/>
    <cellStyle name="asd 30 4 3 2 14" xfId="29430"/>
    <cellStyle name="asd 30 4 3 2 15" xfId="30726"/>
    <cellStyle name="asd 30 4 3 2 16" xfId="32587"/>
    <cellStyle name="asd 30 4 3 2 17" xfId="34987"/>
    <cellStyle name="asd 30 4 3 2 18" xfId="36751"/>
    <cellStyle name="asd 30 4 3 2 19" xfId="38630"/>
    <cellStyle name="asd 30 4 3 2 2" xfId="7321"/>
    <cellStyle name="asd 30 4 3 2 20" xfId="39798"/>
    <cellStyle name="asd 30 4 3 2 21" xfId="41467"/>
    <cellStyle name="asd 30 4 3 2 22" xfId="42508"/>
    <cellStyle name="asd 30 4 3 2 3" xfId="8775"/>
    <cellStyle name="asd 30 4 3 2 4" xfId="10685"/>
    <cellStyle name="asd 30 4 3 2 5" xfId="11808"/>
    <cellStyle name="asd 30 4 3 2 6" xfId="13176"/>
    <cellStyle name="asd 30 4 3 2 7" xfId="15080"/>
    <cellStyle name="asd 30 4 3 2 8" xfId="18304"/>
    <cellStyle name="asd 30 4 3 2 9" xfId="20210"/>
    <cellStyle name="asd 30 4 3 20" xfId="38022"/>
    <cellStyle name="asd 30 4 3 21" xfId="40405"/>
    <cellStyle name="asd 30 4 3 22" xfId="42061"/>
    <cellStyle name="asd 30 4 3 23" xfId="42883"/>
    <cellStyle name="asd 30 4 3 3" xfId="5266"/>
    <cellStyle name="asd 30 4 3 4" xfId="8167"/>
    <cellStyle name="asd 30 4 3 5" xfId="10077"/>
    <cellStyle name="asd 30 4 3 6" xfId="12716"/>
    <cellStyle name="asd 30 4 3 7" xfId="13574"/>
    <cellStyle name="asd 30 4 3 8" xfId="15477"/>
    <cellStyle name="asd 30 4 3 9" xfId="17696"/>
    <cellStyle name="asd 30 4 4" xfId="4025"/>
    <cellStyle name="asd 30 4 4 10" xfId="19660"/>
    <cellStyle name="asd 30 4 4 11" xfId="21572"/>
    <cellStyle name="asd 30 4 4 12" xfId="24143"/>
    <cellStyle name="asd 30 4 4 13" xfId="25374"/>
    <cellStyle name="asd 30 4 4 14" xfId="27409"/>
    <cellStyle name="asd 30 4 4 15" xfId="28740"/>
    <cellStyle name="asd 30 4 4 16" xfId="30995"/>
    <cellStyle name="asd 30 4 4 17" xfId="33172"/>
    <cellStyle name="asd 30 4 4 18" xfId="33717"/>
    <cellStyle name="asd 30 4 4 19" xfId="36201"/>
    <cellStyle name="asd 30 4 4 2" xfId="5930"/>
    <cellStyle name="asd 30 4 4 2 10" xfId="22180"/>
    <cellStyle name="asd 30 4 4 2 11" xfId="23236"/>
    <cellStyle name="asd 30 4 4 2 12" xfId="25982"/>
    <cellStyle name="asd 30 4 4 2 13" xfId="26393"/>
    <cellStyle name="asd 30 4 4 2 14" xfId="29249"/>
    <cellStyle name="asd 30 4 4 2 15" xfId="30001"/>
    <cellStyle name="asd 30 4 4 2 16" xfId="32856"/>
    <cellStyle name="asd 30 4 4 2 17" xfId="34589"/>
    <cellStyle name="asd 30 4 4 2 18" xfId="36809"/>
    <cellStyle name="asd 30 4 4 2 19" xfId="38688"/>
    <cellStyle name="asd 30 4 4 2 2" xfId="7379"/>
    <cellStyle name="asd 30 4 4 2 20" xfId="40063"/>
    <cellStyle name="asd 30 4 4 2 21" xfId="41727"/>
    <cellStyle name="asd 30 4 4 2 22" xfId="43013"/>
    <cellStyle name="asd 30 4 4 2 3" xfId="8833"/>
    <cellStyle name="asd 30 4 4 2 4" xfId="10743"/>
    <cellStyle name="asd 30 4 4 2 5" xfId="11121"/>
    <cellStyle name="asd 30 4 4 2 6" xfId="13708"/>
    <cellStyle name="asd 30 4 4 2 7" xfId="15610"/>
    <cellStyle name="asd 30 4 4 2 8" xfId="18362"/>
    <cellStyle name="asd 30 4 4 2 9" xfId="20268"/>
    <cellStyle name="asd 30 4 4 20" xfId="38080"/>
    <cellStyle name="asd 30 4 4 21" xfId="40363"/>
    <cellStyle name="asd 30 4 4 22" xfId="42019"/>
    <cellStyle name="asd 30 4 4 23" xfId="43886"/>
    <cellStyle name="asd 30 4 4 3" xfId="6771"/>
    <cellStyle name="asd 30 4 4 4" xfId="8225"/>
    <cellStyle name="asd 30 4 4 5" xfId="10135"/>
    <cellStyle name="asd 30 4 4 6" xfId="12103"/>
    <cellStyle name="asd 30 4 4 7" xfId="14614"/>
    <cellStyle name="asd 30 4 4 8" xfId="16520"/>
    <cellStyle name="asd 30 4 4 9" xfId="17754"/>
    <cellStyle name="asd 30 4 5" xfId="5655"/>
    <cellStyle name="asd 30 4 5 10" xfId="21905"/>
    <cellStyle name="asd 30 4 5 11" xfId="23356"/>
    <cellStyle name="asd 30 4 5 12" xfId="25707"/>
    <cellStyle name="asd 30 4 5 13" xfId="27527"/>
    <cellStyle name="asd 30 4 5 14" xfId="29386"/>
    <cellStyle name="asd 30 4 5 15" xfId="31109"/>
    <cellStyle name="asd 30 4 5 16" xfId="33208"/>
    <cellStyle name="asd 30 4 5 17" xfId="35002"/>
    <cellStyle name="asd 30 4 5 18" xfId="36534"/>
    <cellStyle name="asd 30 4 5 19" xfId="38413"/>
    <cellStyle name="asd 30 4 5 2" xfId="7104"/>
    <cellStyle name="asd 30 4 5 20" xfId="40397"/>
    <cellStyle name="asd 30 4 5 21" xfId="42053"/>
    <cellStyle name="asd 30 4 5 22" xfId="43126"/>
    <cellStyle name="asd 30 4 5 3" xfId="8558"/>
    <cellStyle name="asd 30 4 5 4" xfId="10468"/>
    <cellStyle name="asd 30 4 5 5" xfId="12406"/>
    <cellStyle name="asd 30 4 5 6" xfId="13828"/>
    <cellStyle name="asd 30 4 5 7" xfId="15730"/>
    <cellStyle name="asd 30 4 5 8" xfId="18087"/>
    <cellStyle name="asd 30 4 5 9" xfId="19993"/>
    <cellStyle name="asd 30 4 6" xfId="5347"/>
    <cellStyle name="asd 30 4 7" xfId="9108"/>
    <cellStyle name="asd 30 4 8" xfId="11053"/>
    <cellStyle name="asd 30 4 9" xfId="13406"/>
    <cellStyle name="asd 30 5" xfId="3351"/>
    <cellStyle name="asd 30 5 10" xfId="17296"/>
    <cellStyle name="asd 30 5 11" xfId="19202"/>
    <cellStyle name="asd 30 5 12" xfId="21114"/>
    <cellStyle name="asd 30 5 13" xfId="23794"/>
    <cellStyle name="asd 30 5 14" xfId="24916"/>
    <cellStyle name="asd 30 5 15" xfId="27413"/>
    <cellStyle name="asd 30 5 16" xfId="29609"/>
    <cellStyle name="asd 30 5 17" xfId="30999"/>
    <cellStyle name="asd 30 5 18" xfId="31655"/>
    <cellStyle name="asd 30 5 19" xfId="34738"/>
    <cellStyle name="asd 30 5 2" xfId="4409"/>
    <cellStyle name="asd 30 5 2 10" xfId="20653"/>
    <cellStyle name="asd 30 5 2 11" xfId="22627"/>
    <cellStyle name="asd 30 5 2 12" xfId="24455"/>
    <cellStyle name="asd 30 5 2 13" xfId="26986"/>
    <cellStyle name="asd 30 5 2 14" xfId="28662"/>
    <cellStyle name="asd 30 5 2 15" xfId="30580"/>
    <cellStyle name="asd 30 5 2 16" xfId="32857"/>
    <cellStyle name="asd 30 5 2 17" xfId="33928"/>
    <cellStyle name="asd 30 5 2 18" xfId="35283"/>
    <cellStyle name="asd 30 5 2 19" xfId="37161"/>
    <cellStyle name="asd 30 5 2 2" xfId="4191"/>
    <cellStyle name="asd 30 5 2 20" xfId="40064"/>
    <cellStyle name="asd 30 5 2 21" xfId="41728"/>
    <cellStyle name="asd 30 5 2 22" xfId="42433"/>
    <cellStyle name="asd 30 5 2 3" xfId="2273"/>
    <cellStyle name="asd 30 5 2 4" xfId="9215"/>
    <cellStyle name="asd 30 5 2 5" xfId="11740"/>
    <cellStyle name="asd 30 5 2 6" xfId="13094"/>
    <cellStyle name="asd 30 5 2 7" xfId="14999"/>
    <cellStyle name="asd 30 5 2 8" xfId="16834"/>
    <cellStyle name="asd 30 5 2 9" xfId="18741"/>
    <cellStyle name="asd 30 5 20" xfId="35743"/>
    <cellStyle name="asd 30 5 21" xfId="37622"/>
    <cellStyle name="asd 30 5 22" xfId="38900"/>
    <cellStyle name="asd 30 5 23" xfId="40585"/>
    <cellStyle name="asd 30 5 24" xfId="43547"/>
    <cellStyle name="asd 30 5 3" xfId="4866"/>
    <cellStyle name="asd 30 5 4" xfId="6316"/>
    <cellStyle name="asd 30 5 5" xfId="7767"/>
    <cellStyle name="asd 30 5 6" xfId="9677"/>
    <cellStyle name="asd 30 5 7" xfId="11763"/>
    <cellStyle name="asd 30 5 8" xfId="14264"/>
    <cellStyle name="asd 30 5 9" xfId="16168"/>
    <cellStyle name="asd 30 6" xfId="2203"/>
    <cellStyle name="asd 30 6 10" xfId="19031"/>
    <cellStyle name="asd 30 6 11" xfId="20943"/>
    <cellStyle name="asd 30 6 12" xfId="23003"/>
    <cellStyle name="asd 30 6 13" xfId="24745"/>
    <cellStyle name="asd 30 6 14" xfId="26348"/>
    <cellStyle name="asd 30 6 15" xfId="28849"/>
    <cellStyle name="asd 30 6 16" xfId="29956"/>
    <cellStyle name="asd 30 6 17" xfId="32818"/>
    <cellStyle name="asd 30 6 18" xfId="34496"/>
    <cellStyle name="asd 30 6 19" xfId="35572"/>
    <cellStyle name="asd 30 6 2" xfId="5599"/>
    <cellStyle name="asd 30 6 2 10" xfId="21849"/>
    <cellStyle name="asd 30 6 2 11" xfId="23854"/>
    <cellStyle name="asd 30 6 2 12" xfId="25651"/>
    <cellStyle name="asd 30 6 2 13" xfId="26489"/>
    <cellStyle name="asd 30 6 2 14" xfId="28159"/>
    <cellStyle name="asd 30 6 2 15" xfId="30094"/>
    <cellStyle name="asd 30 6 2 16" xfId="31818"/>
    <cellStyle name="asd 30 6 2 17" xfId="34352"/>
    <cellStyle name="asd 30 6 2 18" xfId="36478"/>
    <cellStyle name="asd 30 6 2 19" xfId="38357"/>
    <cellStyle name="asd 30 6 2 2" xfId="7048"/>
    <cellStyle name="asd 30 6 2 20" xfId="39056"/>
    <cellStyle name="asd 30 6 2 21" xfId="40738"/>
    <cellStyle name="asd 30 6 2 22" xfId="43605"/>
    <cellStyle name="asd 30 6 2 3" xfId="8502"/>
    <cellStyle name="asd 30 6 2 4" xfId="10412"/>
    <cellStyle name="asd 30 6 2 5" xfId="11745"/>
    <cellStyle name="asd 30 6 2 6" xfId="14324"/>
    <cellStyle name="asd 30 6 2 7" xfId="16228"/>
    <cellStyle name="asd 30 6 2 8" xfId="18031"/>
    <cellStyle name="asd 30 6 2 9" xfId="19937"/>
    <cellStyle name="asd 30 6 20" xfId="37451"/>
    <cellStyle name="asd 30 6 21" xfId="40027"/>
    <cellStyle name="asd 30 6 22" xfId="41691"/>
    <cellStyle name="asd 30 6 23" xfId="42787"/>
    <cellStyle name="asd 30 6 3" xfId="4697"/>
    <cellStyle name="asd 30 6 4" xfId="7596"/>
    <cellStyle name="asd 30 6 5" xfId="9506"/>
    <cellStyle name="asd 30 6 6" xfId="12398"/>
    <cellStyle name="asd 30 6 7" xfId="13473"/>
    <cellStyle name="asd 30 6 8" xfId="15378"/>
    <cellStyle name="asd 30 6 9" xfId="17125"/>
    <cellStyle name="asd 30 7" xfId="3334"/>
    <cellStyle name="asd 30 7 10" xfId="19200"/>
    <cellStyle name="asd 30 7 11" xfId="21112"/>
    <cellStyle name="asd 30 7 12" xfId="22741"/>
    <cellStyle name="asd 30 7 13" xfId="24914"/>
    <cellStyle name="asd 30 7 14" xfId="26545"/>
    <cellStyle name="asd 30 7 15" xfId="28993"/>
    <cellStyle name="asd 30 7 16" xfId="30150"/>
    <cellStyle name="asd 30 7 17" xfId="31815"/>
    <cellStyle name="asd 30 7 18" xfId="34963"/>
    <cellStyle name="asd 30 7 19" xfId="35741"/>
    <cellStyle name="asd 30 7 2" xfId="5698"/>
    <cellStyle name="asd 30 7 2 10" xfId="21948"/>
    <cellStyle name="asd 30 7 2 11" xfId="23905"/>
    <cellStyle name="asd 30 7 2 12" xfId="25750"/>
    <cellStyle name="asd 30 7 2 13" xfId="26332"/>
    <cellStyle name="asd 30 7 2 14" xfId="28414"/>
    <cellStyle name="asd 30 7 2 15" xfId="29940"/>
    <cellStyle name="asd 30 7 2 16" xfId="32056"/>
    <cellStyle name="asd 30 7 2 17" xfId="33946"/>
    <cellStyle name="asd 30 7 2 18" xfId="36577"/>
    <cellStyle name="asd 30 7 2 19" xfId="38456"/>
    <cellStyle name="asd 30 7 2 2" xfId="7147"/>
    <cellStyle name="asd 30 7 2 20" xfId="39283"/>
    <cellStyle name="asd 30 7 2 21" xfId="40959"/>
    <cellStyle name="asd 30 7 2 22" xfId="43651"/>
    <cellStyle name="asd 30 7 2 3" xfId="8601"/>
    <cellStyle name="asd 30 7 2 4" xfId="10511"/>
    <cellStyle name="asd 30 7 2 5" xfId="11864"/>
    <cellStyle name="asd 30 7 2 6" xfId="14373"/>
    <cellStyle name="asd 30 7 2 7" xfId="16279"/>
    <cellStyle name="asd 30 7 2 8" xfId="18130"/>
    <cellStyle name="asd 30 7 2 9" xfId="20036"/>
    <cellStyle name="asd 30 7 20" xfId="37620"/>
    <cellStyle name="asd 30 7 21" xfId="39053"/>
    <cellStyle name="asd 30 7 22" xfId="40735"/>
    <cellStyle name="asd 30 7 23" xfId="42539"/>
    <cellStyle name="asd 30 7 3" xfId="6314"/>
    <cellStyle name="asd 30 7 4" xfId="7765"/>
    <cellStyle name="asd 30 7 5" xfId="9675"/>
    <cellStyle name="asd 30 7 6" xfId="11469"/>
    <cellStyle name="asd 30 7 7" xfId="13210"/>
    <cellStyle name="asd 30 7 8" xfId="15113"/>
    <cellStyle name="asd 30 7 9" xfId="17294"/>
    <cellStyle name="asd 30 8" xfId="3746"/>
    <cellStyle name="asd 30 9" xfId="2260"/>
    <cellStyle name="asd 31" xfId="910"/>
    <cellStyle name="asd 31 10" xfId="3524"/>
    <cellStyle name="asd 31 11" xfId="1790"/>
    <cellStyle name="asd 31 12" xfId="1844"/>
    <cellStyle name="asd 31 13" xfId="3126"/>
    <cellStyle name="asd 31 14" xfId="12750"/>
    <cellStyle name="asd 31 15" xfId="2038"/>
    <cellStyle name="asd 31 16" xfId="1998"/>
    <cellStyle name="asd 31 17" xfId="3939"/>
    <cellStyle name="asd 31 18" xfId="2390"/>
    <cellStyle name="asd 31 19" xfId="28060"/>
    <cellStyle name="asd 31 2" xfId="3409"/>
    <cellStyle name="asd 31 2 10" xfId="13861"/>
    <cellStyle name="asd 31 2 11" xfId="15762"/>
    <cellStyle name="asd 31 2 12" xfId="16767"/>
    <cellStyle name="asd 31 2 13" xfId="18674"/>
    <cellStyle name="asd 31 2 14" xfId="20586"/>
    <cellStyle name="asd 31 2 15" xfId="23389"/>
    <cellStyle name="asd 31 2 16" xfId="24388"/>
    <cellStyle name="asd 31 2 17" xfId="26423"/>
    <cellStyle name="asd 31 2 18" xfId="29236"/>
    <cellStyle name="asd 31 2 19" xfId="30029"/>
    <cellStyle name="asd 31 2 2" xfId="3589"/>
    <cellStyle name="asd 31 2 2 10" xfId="17480"/>
    <cellStyle name="asd 31 2 2 11" xfId="19386"/>
    <cellStyle name="asd 31 2 2 12" xfId="21298"/>
    <cellStyle name="asd 31 2 2 13" xfId="23180"/>
    <cellStyle name="asd 31 2 2 14" xfId="25100"/>
    <cellStyle name="asd 31 2 2 15" xfId="27698"/>
    <cellStyle name="asd 31 2 2 16" xfId="2321"/>
    <cellStyle name="asd 31 2 2 17" xfId="31272"/>
    <cellStyle name="asd 31 2 2 18" xfId="32236"/>
    <cellStyle name="asd 31 2 2 19" xfId="33740"/>
    <cellStyle name="asd 31 2 2 2" xfId="2191"/>
    <cellStyle name="asd 31 2 2 2 10" xfId="20621"/>
    <cellStyle name="asd 31 2 2 2 11" xfId="23147"/>
    <cellStyle name="asd 31 2 2 2 12" xfId="24423"/>
    <cellStyle name="asd 31 2 2 2 13" xfId="27612"/>
    <cellStyle name="asd 31 2 2 2 14" xfId="28476"/>
    <cellStyle name="asd 31 2 2 2 15" xfId="31190"/>
    <cellStyle name="asd 31 2 2 2 16" xfId="32908"/>
    <cellStyle name="asd 31 2 2 2 17" xfId="34856"/>
    <cellStyle name="asd 31 2 2 2 18" xfId="35251"/>
    <cellStyle name="asd 31 2 2 2 19" xfId="37129"/>
    <cellStyle name="asd 31 2 2 2 2" xfId="4201"/>
    <cellStyle name="asd 31 2 2 2 20" xfId="40112"/>
    <cellStyle name="asd 31 2 2 2 21" xfId="41772"/>
    <cellStyle name="asd 31 2 2 2 22" xfId="42925"/>
    <cellStyle name="asd 31 2 2 2 3" xfId="1937"/>
    <cellStyle name="asd 31 2 2 2 4" xfId="9183"/>
    <cellStyle name="asd 31 2 2 2 5" xfId="10932"/>
    <cellStyle name="asd 31 2 2 2 6" xfId="13618"/>
    <cellStyle name="asd 31 2 2 2 7" xfId="15521"/>
    <cellStyle name="asd 31 2 2 2 8" xfId="16802"/>
    <cellStyle name="asd 31 2 2 2 9" xfId="18709"/>
    <cellStyle name="asd 31 2 2 20" xfId="35927"/>
    <cellStyle name="asd 31 2 2 21" xfId="37806"/>
    <cellStyle name="asd 31 2 2 22" xfId="39455"/>
    <cellStyle name="asd 31 2 2 23" xfId="41130"/>
    <cellStyle name="asd 31 2 2 24" xfId="42958"/>
    <cellStyle name="asd 31 2 2 3" xfId="5050"/>
    <cellStyle name="asd 31 2 2 4" xfId="6500"/>
    <cellStyle name="asd 31 2 2 5" xfId="7951"/>
    <cellStyle name="asd 31 2 2 6" xfId="9861"/>
    <cellStyle name="asd 31 2 2 7" xfId="11011"/>
    <cellStyle name="asd 31 2 2 8" xfId="13651"/>
    <cellStyle name="asd 31 2 2 9" xfId="15554"/>
    <cellStyle name="asd 31 2 20" xfId="31703"/>
    <cellStyle name="asd 31 2 21" xfId="34070"/>
    <cellStyle name="asd 31 2 22" xfId="35216"/>
    <cellStyle name="asd 31 2 23" xfId="37094"/>
    <cellStyle name="asd 31 2 24" xfId="38945"/>
    <cellStyle name="asd 31 2 25" xfId="40628"/>
    <cellStyle name="asd 31 2 26" xfId="43156"/>
    <cellStyle name="asd 31 2 3" xfId="3873"/>
    <cellStyle name="asd 31 2 3 10" xfId="19584"/>
    <cellStyle name="asd 31 2 3 11" xfId="21496"/>
    <cellStyle name="asd 31 2 3 12" xfId="23269"/>
    <cellStyle name="asd 31 2 3 13" xfId="25298"/>
    <cellStyle name="asd 31 2 3 14" xfId="27703"/>
    <cellStyle name="asd 31 2 3 15" xfId="28980"/>
    <cellStyle name="asd 31 2 3 16" xfId="31277"/>
    <cellStyle name="asd 31 2 3 17" xfId="33035"/>
    <cellStyle name="asd 31 2 3 18" xfId="33909"/>
    <cellStyle name="asd 31 2 3 19" xfId="36125"/>
    <cellStyle name="asd 31 2 3 2" xfId="5854"/>
    <cellStyle name="asd 31 2 3 2 10" xfId="22104"/>
    <cellStyle name="asd 31 2 3 2 11" xfId="22444"/>
    <cellStyle name="asd 31 2 3 2 12" xfId="25906"/>
    <cellStyle name="asd 31 2 3 2 13" xfId="27763"/>
    <cellStyle name="asd 31 2 3 2 14" xfId="28547"/>
    <cellStyle name="asd 31 2 3 2 15" xfId="31341"/>
    <cellStyle name="asd 31 2 3 2 16" xfId="32593"/>
    <cellStyle name="asd 31 2 3 2 17" xfId="33537"/>
    <cellStyle name="asd 31 2 3 2 18" xfId="36733"/>
    <cellStyle name="asd 31 2 3 2 19" xfId="38612"/>
    <cellStyle name="asd 31 2 3 2 2" xfId="7303"/>
    <cellStyle name="asd 31 2 3 2 20" xfId="39804"/>
    <cellStyle name="asd 31 2 3 2 21" xfId="41473"/>
    <cellStyle name="asd 31 2 3 2 22" xfId="42255"/>
    <cellStyle name="asd 31 2 3 2 3" xfId="8757"/>
    <cellStyle name="asd 31 2 3 2 4" xfId="10667"/>
    <cellStyle name="asd 31 2 3 2 5" xfId="11732"/>
    <cellStyle name="asd 31 2 3 2 6" xfId="12912"/>
    <cellStyle name="asd 31 2 3 2 7" xfId="14817"/>
    <cellStyle name="asd 31 2 3 2 8" xfId="18286"/>
    <cellStyle name="asd 31 2 3 2 9" xfId="20192"/>
    <cellStyle name="asd 31 2 3 20" xfId="38004"/>
    <cellStyle name="asd 31 2 3 21" xfId="40234"/>
    <cellStyle name="asd 31 2 3 22" xfId="41893"/>
    <cellStyle name="asd 31 2 3 23" xfId="43045"/>
    <cellStyle name="asd 31 2 3 3" xfId="5248"/>
    <cellStyle name="asd 31 2 3 4" xfId="8149"/>
    <cellStyle name="asd 31 2 3 5" xfId="10059"/>
    <cellStyle name="asd 31 2 3 6" xfId="11204"/>
    <cellStyle name="asd 31 2 3 7" xfId="13741"/>
    <cellStyle name="asd 31 2 3 8" xfId="15643"/>
    <cellStyle name="asd 31 2 3 9" xfId="17678"/>
    <cellStyle name="asd 31 2 4" xfId="4041"/>
    <cellStyle name="asd 31 2 4 10" xfId="19676"/>
    <cellStyle name="asd 31 2 4 11" xfId="21588"/>
    <cellStyle name="asd 31 2 4 12" xfId="23806"/>
    <cellStyle name="asd 31 2 4 13" xfId="25390"/>
    <cellStyle name="asd 31 2 4 14" xfId="26994"/>
    <cellStyle name="asd 31 2 4 15" xfId="12807"/>
    <cellStyle name="asd 31 2 4 16" xfId="30588"/>
    <cellStyle name="asd 31 2 4 17" xfId="31679"/>
    <cellStyle name="asd 31 2 4 18" xfId="33391"/>
    <cellStyle name="asd 31 2 4 19" xfId="36217"/>
    <cellStyle name="asd 31 2 4 2" xfId="5946"/>
    <cellStyle name="asd 31 2 4 2 10" xfId="22196"/>
    <cellStyle name="asd 31 2 4 2 11" xfId="23652"/>
    <cellStyle name="asd 31 2 4 2 12" xfId="25998"/>
    <cellStyle name="asd 31 2 4 2 13" xfId="26215"/>
    <cellStyle name="asd 31 2 4 2 14" xfId="2101"/>
    <cellStyle name="asd 31 2 4 2 15" xfId="29826"/>
    <cellStyle name="asd 31 2 4 2 16" xfId="32102"/>
    <cellStyle name="asd 31 2 4 2 17" xfId="34943"/>
    <cellStyle name="asd 31 2 4 2 18" xfId="36825"/>
    <cellStyle name="asd 31 2 4 2 19" xfId="38704"/>
    <cellStyle name="asd 31 2 4 2 2" xfId="7395"/>
    <cellStyle name="asd 31 2 4 2 20" xfId="39326"/>
    <cellStyle name="asd 31 2 4 2 21" xfId="41002"/>
    <cellStyle name="asd 31 2 4 2 22" xfId="43410"/>
    <cellStyle name="asd 31 2 4 2 3" xfId="8849"/>
    <cellStyle name="asd 31 2 4 2 4" xfId="10759"/>
    <cellStyle name="asd 31 2 4 2 5" xfId="11564"/>
    <cellStyle name="asd 31 2 4 2 6" xfId="14122"/>
    <cellStyle name="asd 31 2 4 2 7" xfId="16025"/>
    <cellStyle name="asd 31 2 4 2 8" xfId="18378"/>
    <cellStyle name="asd 31 2 4 2 9" xfId="20284"/>
    <cellStyle name="asd 31 2 4 20" xfId="38096"/>
    <cellStyle name="asd 31 2 4 21" xfId="38922"/>
    <cellStyle name="asd 31 2 4 22" xfId="40606"/>
    <cellStyle name="asd 31 2 4 23" xfId="43558"/>
    <cellStyle name="asd 31 2 4 3" xfId="6787"/>
    <cellStyle name="asd 31 2 4 4" xfId="8241"/>
    <cellStyle name="asd 31 2 4 5" xfId="10151"/>
    <cellStyle name="asd 31 2 4 6" xfId="11642"/>
    <cellStyle name="asd 31 2 4 7" xfId="14276"/>
    <cellStyle name="asd 31 2 4 8" xfId="16180"/>
    <cellStyle name="asd 31 2 4 9" xfId="17770"/>
    <cellStyle name="asd 31 2 5" xfId="4904"/>
    <cellStyle name="asd 31 2 5 10" xfId="21152"/>
    <cellStyle name="asd 31 2 5 11" xfId="24087"/>
    <cellStyle name="asd 31 2 5 12" xfId="24954"/>
    <cellStyle name="asd 31 2 5 13" xfId="1893"/>
    <cellStyle name="asd 31 2 5 14" xfId="26139"/>
    <cellStyle name="asd 31 2 5 15" xfId="27552"/>
    <cellStyle name="asd 31 2 5 16" xfId="2293"/>
    <cellStyle name="asd 31 2 5 17" xfId="2131"/>
    <cellStyle name="asd 31 2 5 18" xfId="35781"/>
    <cellStyle name="asd 31 2 5 19" xfId="37660"/>
    <cellStyle name="asd 31 2 5 2" xfId="6354"/>
    <cellStyle name="asd 31 2 5 20" xfId="3738"/>
    <cellStyle name="asd 31 2 5 21" xfId="30643"/>
    <cellStyle name="asd 31 2 5 22" xfId="43830"/>
    <cellStyle name="asd 31 2 5 3" xfId="7805"/>
    <cellStyle name="asd 31 2 5 4" xfId="9715"/>
    <cellStyle name="asd 31 2 5 5" xfId="12046"/>
    <cellStyle name="asd 31 2 5 6" xfId="14557"/>
    <cellStyle name="asd 31 2 5 7" xfId="16463"/>
    <cellStyle name="asd 31 2 5 8" xfId="17334"/>
    <cellStyle name="asd 31 2 5 9" xfId="19240"/>
    <cellStyle name="asd 31 2 6" xfId="5534"/>
    <cellStyle name="asd 31 2 6 10" xfId="21784"/>
    <cellStyle name="asd 31 2 6 11" xfId="23237"/>
    <cellStyle name="asd 31 2 6 12" xfId="25586"/>
    <cellStyle name="asd 31 2 6 13" xfId="26713"/>
    <cellStyle name="asd 31 2 6 14" xfId="28832"/>
    <cellStyle name="asd 31 2 6 15" xfId="30313"/>
    <cellStyle name="asd 31 2 6 16" xfId="32348"/>
    <cellStyle name="asd 31 2 6 17" xfId="33420"/>
    <cellStyle name="asd 31 2 6 18" xfId="36413"/>
    <cellStyle name="asd 31 2 6 19" xfId="38292"/>
    <cellStyle name="asd 31 2 6 2" xfId="6983"/>
    <cellStyle name="asd 31 2 6 20" xfId="39567"/>
    <cellStyle name="asd 31 2 6 21" xfId="41241"/>
    <cellStyle name="asd 31 2 6 22" xfId="43014"/>
    <cellStyle name="asd 31 2 6 3" xfId="8437"/>
    <cellStyle name="asd 31 2 6 4" xfId="10347"/>
    <cellStyle name="asd 31 2 6 5" xfId="11122"/>
    <cellStyle name="asd 31 2 6 6" xfId="13709"/>
    <cellStyle name="asd 31 2 6 7" xfId="15611"/>
    <cellStyle name="asd 31 2 6 8" xfId="17966"/>
    <cellStyle name="asd 31 2 6 9" xfId="19872"/>
    <cellStyle name="asd 31 2 7" xfId="1959"/>
    <cellStyle name="asd 31 2 8" xfId="9148"/>
    <cellStyle name="asd 31 2 9" xfId="12249"/>
    <cellStyle name="asd 31 20" xfId="24233"/>
    <cellStyle name="asd 31 21" xfId="28012"/>
    <cellStyle name="asd 31 22" xfId="29506"/>
    <cellStyle name="asd 31 23" xfId="27991"/>
    <cellStyle name="asd 31 24" xfId="32832"/>
    <cellStyle name="asd 31 25" xfId="22313"/>
    <cellStyle name="asd 31 26" xfId="29744"/>
    <cellStyle name="asd 31 27" xfId="31329"/>
    <cellStyle name="asd 31 3" xfId="3470"/>
    <cellStyle name="asd 31 3 10" xfId="14354"/>
    <cellStyle name="asd 31 3 11" xfId="16259"/>
    <cellStyle name="asd 31 3 12" xfId="16891"/>
    <cellStyle name="asd 31 3 13" xfId="18798"/>
    <cellStyle name="asd 31 3 14" xfId="20710"/>
    <cellStyle name="asd 31 3 15" xfId="23884"/>
    <cellStyle name="asd 31 3 16" xfId="24512"/>
    <cellStyle name="asd 31 3 17" xfId="27969"/>
    <cellStyle name="asd 31 3 18" xfId="28633"/>
    <cellStyle name="asd 31 3 19" xfId="31549"/>
    <cellStyle name="asd 31 3 2" xfId="3650"/>
    <cellStyle name="asd 31 3 2 10" xfId="17541"/>
    <cellStyle name="asd 31 3 2 11" xfId="19447"/>
    <cellStyle name="asd 31 3 2 12" xfId="21359"/>
    <cellStyle name="asd 31 3 2 13" xfId="24195"/>
    <cellStyle name="asd 31 3 2 14" xfId="25161"/>
    <cellStyle name="asd 31 3 2 15" xfId="4293"/>
    <cellStyle name="asd 31 3 2 16" xfId="13789"/>
    <cellStyle name="asd 31 3 2 17" xfId="26149"/>
    <cellStyle name="asd 31 3 2 18" xfId="29415"/>
    <cellStyle name="asd 31 3 2 19" xfId="33335"/>
    <cellStyle name="asd 31 3 2 2" xfId="4975"/>
    <cellStyle name="asd 31 3 2 2 10" xfId="21223"/>
    <cellStyle name="asd 31 3 2 2 11" xfId="23285"/>
    <cellStyle name="asd 31 3 2 2 12" xfId="25025"/>
    <cellStyle name="asd 31 3 2 2 13" xfId="27783"/>
    <cellStyle name="asd 31 3 2 2 14" xfId="28782"/>
    <cellStyle name="asd 31 3 2 2 15" xfId="31360"/>
    <cellStyle name="asd 31 3 2 2 16" xfId="33253"/>
    <cellStyle name="asd 31 3 2 2 17" xfId="33527"/>
    <cellStyle name="asd 31 3 2 2 18" xfId="35852"/>
    <cellStyle name="asd 31 3 2 2 19" xfId="37731"/>
    <cellStyle name="asd 31 3 2 2 2" xfId="6425"/>
    <cellStyle name="asd 31 3 2 2 20" xfId="40439"/>
    <cellStyle name="asd 31 3 2 2 21" xfId="42094"/>
    <cellStyle name="asd 31 3 2 2 22" xfId="43061"/>
    <cellStyle name="asd 31 3 2 2 3" xfId="7876"/>
    <cellStyle name="asd 31 3 2 2 4" xfId="9786"/>
    <cellStyle name="asd 31 3 2 2 5" xfId="11236"/>
    <cellStyle name="asd 31 3 2 2 6" xfId="13757"/>
    <cellStyle name="asd 31 3 2 2 7" xfId="15659"/>
    <cellStyle name="asd 31 3 2 2 8" xfId="17405"/>
    <cellStyle name="asd 31 3 2 2 9" xfId="19311"/>
    <cellStyle name="asd 31 3 2 20" xfId="35988"/>
    <cellStyle name="asd 31 3 2 21" xfId="37867"/>
    <cellStyle name="asd 31 3 2 22" xfId="29150"/>
    <cellStyle name="asd 31 3 2 23" xfId="36940"/>
    <cellStyle name="asd 31 3 2 24" xfId="43933"/>
    <cellStyle name="asd 31 3 2 3" xfId="5111"/>
    <cellStyle name="asd 31 3 2 4" xfId="6561"/>
    <cellStyle name="asd 31 3 2 5" xfId="8012"/>
    <cellStyle name="asd 31 3 2 6" xfId="9922"/>
    <cellStyle name="asd 31 3 2 7" xfId="12155"/>
    <cellStyle name="asd 31 3 2 8" xfId="14667"/>
    <cellStyle name="asd 31 3 2 9" xfId="16573"/>
    <cellStyle name="asd 31 3 20" xfId="30470"/>
    <cellStyle name="asd 31 3 21" xfId="33759"/>
    <cellStyle name="asd 31 3 22" xfId="35340"/>
    <cellStyle name="asd 31 3 23" xfId="37218"/>
    <cellStyle name="asd 31 3 24" xfId="2082"/>
    <cellStyle name="asd 31 3 25" xfId="39123"/>
    <cellStyle name="asd 31 3 26" xfId="43634"/>
    <cellStyle name="asd 31 3 3" xfId="3777"/>
    <cellStyle name="asd 31 3 3 10" xfId="19516"/>
    <cellStyle name="asd 31 3 3 11" xfId="21428"/>
    <cellStyle name="asd 31 3 3 12" xfId="23393"/>
    <cellStyle name="asd 31 3 3 13" xfId="25230"/>
    <cellStyle name="asd 31 3 3 14" xfId="27715"/>
    <cellStyle name="asd 31 3 3 15" xfId="1773"/>
    <cellStyle name="asd 31 3 3 16" xfId="31292"/>
    <cellStyle name="asd 31 3 3 17" xfId="31622"/>
    <cellStyle name="asd 31 3 3 18" xfId="32033"/>
    <cellStyle name="asd 31 3 3 19" xfId="36057"/>
    <cellStyle name="asd 31 3 3 2" xfId="5786"/>
    <cellStyle name="asd 31 3 3 2 10" xfId="22036"/>
    <cellStyle name="asd 31 3 3 2 11" xfId="23955"/>
    <cellStyle name="asd 31 3 3 2 12" xfId="25838"/>
    <cellStyle name="asd 31 3 3 2 13" xfId="24189"/>
    <cellStyle name="asd 31 3 3 2 14" xfId="16627"/>
    <cellStyle name="asd 31 3 3 2 15" xfId="2557"/>
    <cellStyle name="asd 31 3 3 2 16" xfId="27060"/>
    <cellStyle name="asd 31 3 3 2 17" xfId="2481"/>
    <cellStyle name="asd 31 3 3 2 18" xfId="36665"/>
    <cellStyle name="asd 31 3 3 2 19" xfId="38544"/>
    <cellStyle name="asd 31 3 3 2 2" xfId="7235"/>
    <cellStyle name="asd 31 3 3 2 20" xfId="1911"/>
    <cellStyle name="asd 31 3 3 2 21" xfId="11343"/>
    <cellStyle name="asd 31 3 3 2 22" xfId="43701"/>
    <cellStyle name="asd 31 3 3 2 3" xfId="8689"/>
    <cellStyle name="asd 31 3 3 2 4" xfId="10599"/>
    <cellStyle name="asd 31 3 3 2 5" xfId="11915"/>
    <cellStyle name="asd 31 3 3 2 6" xfId="14425"/>
    <cellStyle name="asd 31 3 3 2 7" xfId="16331"/>
    <cellStyle name="asd 31 3 3 2 8" xfId="18218"/>
    <cellStyle name="asd 31 3 3 2 9" xfId="20124"/>
    <cellStyle name="asd 31 3 3 20" xfId="37936"/>
    <cellStyle name="asd 31 3 3 21" xfId="38869"/>
    <cellStyle name="asd 31 3 3 22" xfId="40555"/>
    <cellStyle name="asd 31 3 3 23" xfId="43160"/>
    <cellStyle name="asd 31 3 3 3" xfId="5180"/>
    <cellStyle name="asd 31 3 3 4" xfId="8081"/>
    <cellStyle name="asd 31 3 3 5" xfId="9991"/>
    <cellStyle name="asd 31 3 3 6" xfId="11209"/>
    <cellStyle name="asd 31 3 3 7" xfId="13865"/>
    <cellStyle name="asd 31 3 3 8" xfId="15766"/>
    <cellStyle name="asd 31 3 3 9" xfId="17610"/>
    <cellStyle name="asd 31 3 4" xfId="4102"/>
    <cellStyle name="asd 31 3 4 10" xfId="19737"/>
    <cellStyle name="asd 31 3 4 11" xfId="21649"/>
    <cellStyle name="asd 31 3 4 12" xfId="23640"/>
    <cellStyle name="asd 31 3 4 13" xfId="25451"/>
    <cellStyle name="asd 31 3 4 14" xfId="27151"/>
    <cellStyle name="asd 31 3 4 15" xfId="28444"/>
    <cellStyle name="asd 31 3 4 16" xfId="30742"/>
    <cellStyle name="asd 31 3 4 17" xfId="32645"/>
    <cellStyle name="asd 31 3 4 18" xfId="33465"/>
    <cellStyle name="asd 31 3 4 19" xfId="36278"/>
    <cellStyle name="asd 31 3 4 2" xfId="6007"/>
    <cellStyle name="asd 31 3 4 2 10" xfId="22257"/>
    <cellStyle name="asd 31 3 4 2 11" xfId="2652"/>
    <cellStyle name="asd 31 3 4 2 12" xfId="26059"/>
    <cellStyle name="asd 31 3 4 2 13" xfId="4246"/>
    <cellStyle name="asd 31 3 4 2 14" xfId="12740"/>
    <cellStyle name="asd 31 3 4 2 15" xfId="28416"/>
    <cellStyle name="asd 31 3 4 2 16" xfId="3258"/>
    <cellStyle name="asd 31 3 4 2 17" xfId="10883"/>
    <cellStyle name="asd 31 3 4 2 18" xfId="36886"/>
    <cellStyle name="asd 31 3 4 2 19" xfId="38765"/>
    <cellStyle name="asd 31 3 4 2 2" xfId="7456"/>
    <cellStyle name="asd 31 3 4 2 20" xfId="14367"/>
    <cellStyle name="asd 31 3 4 2 21" xfId="20443"/>
    <cellStyle name="asd 31 3 4 2 22" xfId="27981"/>
    <cellStyle name="asd 31 3 4 2 3" xfId="8910"/>
    <cellStyle name="asd 31 3 4 2 4" xfId="10820"/>
    <cellStyle name="asd 31 3 4 2 5" xfId="11057"/>
    <cellStyle name="asd 31 3 4 2 6" xfId="2959"/>
    <cellStyle name="asd 31 3 4 2 7" xfId="4851"/>
    <cellStyle name="asd 31 3 4 2 8" xfId="18439"/>
    <cellStyle name="asd 31 3 4 2 9" xfId="20345"/>
    <cellStyle name="asd 31 3 4 20" xfId="38157"/>
    <cellStyle name="asd 31 3 4 21" xfId="39852"/>
    <cellStyle name="asd 31 3 4 22" xfId="41521"/>
    <cellStyle name="asd 31 3 4 23" xfId="43398"/>
    <cellStyle name="asd 31 3 4 3" xfId="6848"/>
    <cellStyle name="asd 31 3 4 4" xfId="8302"/>
    <cellStyle name="asd 31 3 4 5" xfId="10212"/>
    <cellStyle name="asd 31 3 4 6" xfId="11421"/>
    <cellStyle name="asd 31 3 4 7" xfId="14110"/>
    <cellStyle name="asd 31 3 4 8" xfId="16013"/>
    <cellStyle name="asd 31 3 4 9" xfId="17831"/>
    <cellStyle name="asd 31 3 5" xfId="4954"/>
    <cellStyle name="asd 31 3 5 10" xfId="21202"/>
    <cellStyle name="asd 31 3 5 11" xfId="23753"/>
    <cellStyle name="asd 31 3 5 12" xfId="25004"/>
    <cellStyle name="asd 31 3 5 13" xfId="27855"/>
    <cellStyle name="asd 31 3 5 14" xfId="3964"/>
    <cellStyle name="asd 31 3 5 15" xfId="31434"/>
    <cellStyle name="asd 31 3 5 16" xfId="32304"/>
    <cellStyle name="asd 31 3 5 17" xfId="32552"/>
    <cellStyle name="asd 31 3 5 18" xfId="35831"/>
    <cellStyle name="asd 31 3 5 19" xfId="37710"/>
    <cellStyle name="asd 31 3 5 2" xfId="6404"/>
    <cellStyle name="asd 31 3 5 20" xfId="39523"/>
    <cellStyle name="asd 31 3 5 21" xfId="41197"/>
    <cellStyle name="asd 31 3 5 22" xfId="43506"/>
    <cellStyle name="asd 31 3 5 3" xfId="7855"/>
    <cellStyle name="asd 31 3 5 4" xfId="9765"/>
    <cellStyle name="asd 31 3 5 5" xfId="11446"/>
    <cellStyle name="asd 31 3 5 6" xfId="14223"/>
    <cellStyle name="asd 31 3 5 7" xfId="16127"/>
    <cellStyle name="asd 31 3 5 8" xfId="17384"/>
    <cellStyle name="asd 31 3 5 9" xfId="19290"/>
    <cellStyle name="asd 31 3 6" xfId="5643"/>
    <cellStyle name="asd 31 3 6 10" xfId="21893"/>
    <cellStyle name="asd 31 3 6 11" xfId="22511"/>
    <cellStyle name="asd 31 3 6 12" xfId="25695"/>
    <cellStyle name="asd 31 3 6 13" xfId="26746"/>
    <cellStyle name="asd 31 3 6 14" xfId="29600"/>
    <cellStyle name="asd 31 3 6 15" xfId="30345"/>
    <cellStyle name="asd 31 3 6 16" xfId="32353"/>
    <cellStyle name="asd 31 3 6 17" xfId="33615"/>
    <cellStyle name="asd 31 3 6 18" xfId="36522"/>
    <cellStyle name="asd 31 3 6 19" xfId="38401"/>
    <cellStyle name="asd 31 3 6 2" xfId="7092"/>
    <cellStyle name="asd 31 3 6 20" xfId="39572"/>
    <cellStyle name="asd 31 3 6 21" xfId="41246"/>
    <cellStyle name="asd 31 3 6 22" xfId="42321"/>
    <cellStyle name="asd 31 3 6 3" xfId="8546"/>
    <cellStyle name="asd 31 3 6 4" xfId="10456"/>
    <cellStyle name="asd 31 3 6 5" xfId="5338"/>
    <cellStyle name="asd 31 3 6 6" xfId="12979"/>
    <cellStyle name="asd 31 3 6 7" xfId="14883"/>
    <cellStyle name="asd 31 3 6 8" xfId="18075"/>
    <cellStyle name="asd 31 3 6 9" xfId="19981"/>
    <cellStyle name="asd 31 3 7" xfId="6172"/>
    <cellStyle name="asd 31 3 8" xfId="9272"/>
    <cellStyle name="asd 31 3 9" xfId="11546"/>
    <cellStyle name="asd 31 4" xfId="3431"/>
    <cellStyle name="asd 31 4 10" xfId="16223"/>
    <cellStyle name="asd 31 4 11" xfId="16808"/>
    <cellStyle name="asd 31 4 12" xfId="18715"/>
    <cellStyle name="asd 31 4 13" xfId="20627"/>
    <cellStyle name="asd 31 4 14" xfId="23849"/>
    <cellStyle name="asd 31 4 15" xfId="24429"/>
    <cellStyle name="asd 31 4 16" xfId="26507"/>
    <cellStyle name="asd 31 4 17" xfId="28909"/>
    <cellStyle name="asd 31 4 18" xfId="30113"/>
    <cellStyle name="asd 31 4 19" xfId="33018"/>
    <cellStyle name="asd 31 4 2" xfId="3611"/>
    <cellStyle name="asd 31 4 2 10" xfId="17502"/>
    <cellStyle name="asd 31 4 2 11" xfId="19408"/>
    <cellStyle name="asd 31 4 2 12" xfId="21320"/>
    <cellStyle name="asd 31 4 2 13" xfId="23428"/>
    <cellStyle name="asd 31 4 2 14" xfId="25122"/>
    <cellStyle name="asd 31 4 2 15" xfId="26325"/>
    <cellStyle name="asd 31 4 2 16" xfId="28338"/>
    <cellStyle name="asd 31 4 2 17" xfId="29933"/>
    <cellStyle name="asd 31 4 2 18" xfId="32346"/>
    <cellStyle name="asd 31 4 2 19" xfId="34722"/>
    <cellStyle name="asd 31 4 2 2" xfId="4530"/>
    <cellStyle name="asd 31 4 2 2 10" xfId="20775"/>
    <cellStyle name="asd 31 4 2 2 11" xfId="22985"/>
    <cellStyle name="asd 31 4 2 2 12" xfId="24577"/>
    <cellStyle name="asd 31 4 2 2 13" xfId="27009"/>
    <cellStyle name="asd 31 4 2 2 14" xfId="28342"/>
    <cellStyle name="asd 31 4 2 2 15" xfId="30602"/>
    <cellStyle name="asd 31 4 2 2 16" xfId="31894"/>
    <cellStyle name="asd 31 4 2 2 17" xfId="33432"/>
    <cellStyle name="asd 31 4 2 2 18" xfId="35405"/>
    <cellStyle name="asd 31 4 2 2 19" xfId="37283"/>
    <cellStyle name="asd 31 4 2 2 2" xfId="5423"/>
    <cellStyle name="asd 31 4 2 2 20" xfId="39128"/>
    <cellStyle name="asd 31 4 2 2 21" xfId="40809"/>
    <cellStyle name="asd 31 4 2 2 22" xfId="42771"/>
    <cellStyle name="asd 31 4 2 2 3" xfId="6651"/>
    <cellStyle name="asd 31 4 2 2 4" xfId="9337"/>
    <cellStyle name="asd 31 4 2 2 5" xfId="12292"/>
    <cellStyle name="asd 31 4 2 2 6" xfId="13454"/>
    <cellStyle name="asd 31 4 2 2 7" xfId="15359"/>
    <cellStyle name="asd 31 4 2 2 8" xfId="16956"/>
    <cellStyle name="asd 31 4 2 2 9" xfId="18863"/>
    <cellStyle name="asd 31 4 2 20" xfId="35949"/>
    <cellStyle name="asd 31 4 2 21" xfId="37828"/>
    <cellStyle name="asd 31 4 2 22" xfId="39565"/>
    <cellStyle name="asd 31 4 2 23" xfId="41239"/>
    <cellStyle name="asd 31 4 2 24" xfId="43195"/>
    <cellStyle name="asd 31 4 2 3" xfId="5072"/>
    <cellStyle name="asd 31 4 2 4" xfId="6522"/>
    <cellStyle name="asd 31 4 2 5" xfId="7973"/>
    <cellStyle name="asd 31 4 2 6" xfId="9883"/>
    <cellStyle name="asd 31 4 2 7" xfId="12367"/>
    <cellStyle name="asd 31 4 2 8" xfId="13900"/>
    <cellStyle name="asd 31 4 2 9" xfId="15801"/>
    <cellStyle name="asd 31 4 20" xfId="33860"/>
    <cellStyle name="asd 31 4 21" xfId="35257"/>
    <cellStyle name="asd 31 4 22" xfId="37135"/>
    <cellStyle name="asd 31 4 23" xfId="40218"/>
    <cellStyle name="asd 31 4 24" xfId="41877"/>
    <cellStyle name="asd 31 4 25" xfId="43600"/>
    <cellStyle name="asd 31 4 3" xfId="2320"/>
    <cellStyle name="asd 31 4 3 10" xfId="19051"/>
    <cellStyle name="asd 31 4 3 11" xfId="20963"/>
    <cellStyle name="asd 31 4 3 12" xfId="24065"/>
    <cellStyle name="asd 31 4 3 13" xfId="24765"/>
    <cellStyle name="asd 31 4 3 14" xfId="27168"/>
    <cellStyle name="asd 31 4 3 15" xfId="28260"/>
    <cellStyle name="asd 31 4 3 16" xfId="30760"/>
    <cellStyle name="asd 31 4 3 17" xfId="32344"/>
    <cellStyle name="asd 31 4 3 18" xfId="34621"/>
    <cellStyle name="asd 31 4 3 19" xfId="35592"/>
    <cellStyle name="asd 31 4 3 2" xfId="5693"/>
    <cellStyle name="asd 31 4 3 2 10" xfId="21943"/>
    <cellStyle name="asd 31 4 3 2 11" xfId="23132"/>
    <cellStyle name="asd 31 4 3 2 12" xfId="25745"/>
    <cellStyle name="asd 31 4 3 2 13" xfId="27490"/>
    <cellStyle name="asd 31 4 3 2 14" xfId="28208"/>
    <cellStyle name="asd 31 4 3 2 15" xfId="31076"/>
    <cellStyle name="asd 31 4 3 2 16" xfId="32405"/>
    <cellStyle name="asd 31 4 3 2 17" xfId="33836"/>
    <cellStyle name="asd 31 4 3 2 18" xfId="36572"/>
    <cellStyle name="asd 31 4 3 2 19" xfId="38451"/>
    <cellStyle name="asd 31 4 3 2 2" xfId="7142"/>
    <cellStyle name="asd 31 4 3 2 20" xfId="39622"/>
    <cellStyle name="asd 31 4 3 2 21" xfId="41296"/>
    <cellStyle name="asd 31 4 3 2 22" xfId="42910"/>
    <cellStyle name="asd 31 4 3 2 3" xfId="8596"/>
    <cellStyle name="asd 31 4 3 2 4" xfId="10506"/>
    <cellStyle name="asd 31 4 3 2 5" xfId="12756"/>
    <cellStyle name="asd 31 4 3 2 6" xfId="13603"/>
    <cellStyle name="asd 31 4 3 2 7" xfId="15506"/>
    <cellStyle name="asd 31 4 3 2 8" xfId="18125"/>
    <cellStyle name="asd 31 4 3 2 9" xfId="20031"/>
    <cellStyle name="asd 31 4 3 20" xfId="37471"/>
    <cellStyle name="asd 31 4 3 21" xfId="39563"/>
    <cellStyle name="asd 31 4 3 22" xfId="41237"/>
    <cellStyle name="asd 31 4 3 23" xfId="43809"/>
    <cellStyle name="asd 31 4 3 3" xfId="4717"/>
    <cellStyle name="asd 31 4 3 4" xfId="7616"/>
    <cellStyle name="asd 31 4 3 5" xfId="9526"/>
    <cellStyle name="asd 31 4 3 6" xfId="12024"/>
    <cellStyle name="asd 31 4 3 7" xfId="14535"/>
    <cellStyle name="asd 31 4 3 8" xfId="16441"/>
    <cellStyle name="asd 31 4 3 9" xfId="17145"/>
    <cellStyle name="asd 31 4 4" xfId="4063"/>
    <cellStyle name="asd 31 4 4 10" xfId="19698"/>
    <cellStyle name="asd 31 4 4 11" xfId="21610"/>
    <cellStyle name="asd 31 4 4 12" xfId="23181"/>
    <cellStyle name="asd 31 4 4 13" xfId="25412"/>
    <cellStyle name="asd 31 4 4 14" xfId="27104"/>
    <cellStyle name="asd 31 4 4 15" xfId="28841"/>
    <cellStyle name="asd 31 4 4 16" xfId="30695"/>
    <cellStyle name="asd 31 4 4 17" xfId="32551"/>
    <cellStyle name="asd 31 4 4 18" xfId="34532"/>
    <cellStyle name="asd 31 4 4 19" xfId="36239"/>
    <cellStyle name="asd 31 4 4 2" xfId="5968"/>
    <cellStyle name="asd 31 4 4 2 10" xfId="22218"/>
    <cellStyle name="asd 31 4 4 2 11" xfId="23505"/>
    <cellStyle name="asd 31 4 4 2 12" xfId="26020"/>
    <cellStyle name="asd 31 4 4 2 13" xfId="27850"/>
    <cellStyle name="asd 31 4 4 2 14" xfId="27294"/>
    <cellStyle name="asd 31 4 4 2 15" xfId="31429"/>
    <cellStyle name="asd 31 4 4 2 16" xfId="32111"/>
    <cellStyle name="asd 31 4 4 2 17" xfId="35052"/>
    <cellStyle name="asd 31 4 4 2 18" xfId="36847"/>
    <cellStyle name="asd 31 4 4 2 19" xfId="38726"/>
    <cellStyle name="asd 31 4 4 2 2" xfId="7417"/>
    <cellStyle name="asd 31 4 4 2 20" xfId="39335"/>
    <cellStyle name="asd 31 4 4 2 21" xfId="41011"/>
    <cellStyle name="asd 31 4 4 2 22" xfId="43271"/>
    <cellStyle name="asd 31 4 4 2 3" xfId="8871"/>
    <cellStyle name="asd 31 4 4 2 4" xfId="10781"/>
    <cellStyle name="asd 31 4 4 2 5" xfId="12580"/>
    <cellStyle name="asd 31 4 4 2 6" xfId="13977"/>
    <cellStyle name="asd 31 4 4 2 7" xfId="15878"/>
    <cellStyle name="asd 31 4 4 2 8" xfId="18400"/>
    <cellStyle name="asd 31 4 4 2 9" xfId="20306"/>
    <cellStyle name="asd 31 4 4 20" xfId="38118"/>
    <cellStyle name="asd 31 4 4 21" xfId="39764"/>
    <cellStyle name="asd 31 4 4 22" xfId="41436"/>
    <cellStyle name="asd 31 4 4 23" xfId="42959"/>
    <cellStyle name="asd 31 4 4 3" xfId="6809"/>
    <cellStyle name="asd 31 4 4 4" xfId="8263"/>
    <cellStyle name="asd 31 4 4 5" xfId="10173"/>
    <cellStyle name="asd 31 4 4 6" xfId="11013"/>
    <cellStyle name="asd 31 4 4 7" xfId="13652"/>
    <cellStyle name="asd 31 4 4 8" xfId="15555"/>
    <cellStyle name="asd 31 4 4 9" xfId="17792"/>
    <cellStyle name="asd 31 4 5" xfId="5536"/>
    <cellStyle name="asd 31 4 5 10" xfId="21786"/>
    <cellStyle name="asd 31 4 5 11" xfId="22571"/>
    <cellStyle name="asd 31 4 5 12" xfId="25588"/>
    <cellStyle name="asd 31 4 5 13" xfId="26382"/>
    <cellStyle name="asd 31 4 5 14" xfId="29298"/>
    <cellStyle name="asd 31 4 5 15" xfId="29990"/>
    <cellStyle name="asd 31 4 5 16" xfId="32503"/>
    <cellStyle name="asd 31 4 5 17" xfId="33982"/>
    <cellStyle name="asd 31 4 5 18" xfId="36415"/>
    <cellStyle name="asd 31 4 5 19" xfId="38294"/>
    <cellStyle name="asd 31 4 5 2" xfId="6985"/>
    <cellStyle name="asd 31 4 5 20" xfId="39718"/>
    <cellStyle name="asd 31 4 5 21" xfId="41390"/>
    <cellStyle name="asd 31 4 5 22" xfId="42380"/>
    <cellStyle name="asd 31 4 5 3" xfId="8439"/>
    <cellStyle name="asd 31 4 5 4" xfId="10349"/>
    <cellStyle name="asd 31 4 5 5" xfId="11655"/>
    <cellStyle name="asd 31 4 5 6" xfId="13039"/>
    <cellStyle name="asd 31 4 5 7" xfId="14943"/>
    <cellStyle name="asd 31 4 5 8" xfId="17968"/>
    <cellStyle name="asd 31 4 5 9" xfId="19874"/>
    <cellStyle name="asd 31 4 6" xfId="6692"/>
    <cellStyle name="asd 31 4 7" xfId="9189"/>
    <cellStyle name="asd 31 4 8" xfId="11407"/>
    <cellStyle name="asd 31 4 9" xfId="14319"/>
    <cellStyle name="asd 31 5" xfId="3294"/>
    <cellStyle name="asd 31 5 10" xfId="17288"/>
    <cellStyle name="asd 31 5 11" xfId="19194"/>
    <cellStyle name="asd 31 5 12" xfId="21106"/>
    <cellStyle name="asd 31 5 13" xfId="22939"/>
    <cellStyle name="asd 31 5 14" xfId="24908"/>
    <cellStyle name="asd 31 5 15" xfId="26372"/>
    <cellStyle name="asd 31 5 16" xfId="28603"/>
    <cellStyle name="asd 31 5 17" xfId="29980"/>
    <cellStyle name="asd 31 5 18" xfId="32616"/>
    <cellStyle name="asd 31 5 19" xfId="33814"/>
    <cellStyle name="asd 31 5 2" xfId="5476"/>
    <cellStyle name="asd 31 5 2 10" xfId="21726"/>
    <cellStyle name="asd 31 5 2 11" xfId="23668"/>
    <cellStyle name="asd 31 5 2 12" xfId="25528"/>
    <cellStyle name="asd 31 5 2 13" xfId="27565"/>
    <cellStyle name="asd 31 5 2 14" xfId="28166"/>
    <cellStyle name="asd 31 5 2 15" xfId="31145"/>
    <cellStyle name="asd 31 5 2 16" xfId="32470"/>
    <cellStyle name="asd 31 5 2 17" xfId="33827"/>
    <cellStyle name="asd 31 5 2 18" xfId="36355"/>
    <cellStyle name="asd 31 5 2 19" xfId="38234"/>
    <cellStyle name="asd 31 5 2 2" xfId="6925"/>
    <cellStyle name="asd 31 5 2 20" xfId="39688"/>
    <cellStyle name="asd 31 5 2 21" xfId="41361"/>
    <cellStyle name="asd 31 5 2 22" xfId="43426"/>
    <cellStyle name="asd 31 5 2 3" xfId="8379"/>
    <cellStyle name="asd 31 5 2 4" xfId="10289"/>
    <cellStyle name="asd 31 5 2 5" xfId="11737"/>
    <cellStyle name="asd 31 5 2 6" xfId="14139"/>
    <cellStyle name="asd 31 5 2 7" xfId="16042"/>
    <cellStyle name="asd 31 5 2 8" xfId="17908"/>
    <cellStyle name="asd 31 5 2 9" xfId="19814"/>
    <cellStyle name="asd 31 5 20" xfId="35735"/>
    <cellStyle name="asd 31 5 21" xfId="37614"/>
    <cellStyle name="asd 31 5 22" xfId="39826"/>
    <cellStyle name="asd 31 5 23" xfId="41495"/>
    <cellStyle name="asd 31 5 24" xfId="42725"/>
    <cellStyle name="asd 31 5 3" xfId="4858"/>
    <cellStyle name="asd 31 5 4" xfId="6308"/>
    <cellStyle name="asd 31 5 5" xfId="7759"/>
    <cellStyle name="asd 31 5 6" xfId="9669"/>
    <cellStyle name="asd 31 5 7" xfId="12211"/>
    <cellStyle name="asd 31 5 8" xfId="13407"/>
    <cellStyle name="asd 31 5 9" xfId="15312"/>
    <cellStyle name="asd 31 6" xfId="3735"/>
    <cellStyle name="asd 31 6 10" xfId="19501"/>
    <cellStyle name="asd 31 6 11" xfId="21413"/>
    <cellStyle name="asd 31 6 12" xfId="22533"/>
    <cellStyle name="asd 31 6 13" xfId="25215"/>
    <cellStyle name="asd 31 6 14" xfId="27293"/>
    <cellStyle name="asd 31 6 15" xfId="29324"/>
    <cellStyle name="asd 31 6 16" xfId="30884"/>
    <cellStyle name="asd 31 6 17" xfId="32650"/>
    <cellStyle name="asd 31 6 18" xfId="33776"/>
    <cellStyle name="asd 31 6 19" xfId="36042"/>
    <cellStyle name="asd 31 6 2" xfId="5771"/>
    <cellStyle name="asd 31 6 2 10" xfId="22021"/>
    <cellStyle name="asd 31 6 2 11" xfId="24021"/>
    <cellStyle name="asd 31 6 2 12" xfId="25823"/>
    <cellStyle name="asd 31 6 2 13" xfId="1914"/>
    <cellStyle name="asd 31 6 2 14" xfId="26558"/>
    <cellStyle name="asd 31 6 2 15" xfId="26327"/>
    <cellStyle name="asd 31 6 2 16" xfId="13270"/>
    <cellStyle name="asd 31 6 2 17" xfId="2746"/>
    <cellStyle name="asd 31 6 2 18" xfId="36650"/>
    <cellStyle name="asd 31 6 2 19" xfId="38529"/>
    <cellStyle name="asd 31 6 2 2" xfId="7220"/>
    <cellStyle name="asd 31 6 2 20" xfId="33282"/>
    <cellStyle name="asd 31 6 2 21" xfId="23317"/>
    <cellStyle name="asd 31 6 2 22" xfId="43765"/>
    <cellStyle name="asd 31 6 2 3" xfId="8674"/>
    <cellStyle name="asd 31 6 2 4" xfId="10584"/>
    <cellStyle name="asd 31 6 2 5" xfId="11980"/>
    <cellStyle name="asd 31 6 2 6" xfId="14491"/>
    <cellStyle name="asd 31 6 2 7" xfId="16397"/>
    <cellStyle name="asd 31 6 2 8" xfId="18203"/>
    <cellStyle name="asd 31 6 2 9" xfId="20109"/>
    <cellStyle name="asd 31 6 20" xfId="37921"/>
    <cellStyle name="asd 31 6 21" xfId="39857"/>
    <cellStyle name="asd 31 6 22" xfId="41526"/>
    <cellStyle name="asd 31 6 23" xfId="42342"/>
    <cellStyle name="asd 31 6 3" xfId="5165"/>
    <cellStyle name="asd 31 6 4" xfId="8066"/>
    <cellStyle name="asd 31 6 5" xfId="9976"/>
    <cellStyle name="asd 31 6 6" xfId="11593"/>
    <cellStyle name="asd 31 6 7" xfId="13001"/>
    <cellStyle name="asd 31 6 8" xfId="14905"/>
    <cellStyle name="asd 31 6 9" xfId="17595"/>
    <cellStyle name="asd 31 7" xfId="2539"/>
    <cellStyle name="asd 31 7 10" xfId="19078"/>
    <cellStyle name="asd 31 7 11" xfId="20990"/>
    <cellStyle name="asd 31 7 12" xfId="23318"/>
    <cellStyle name="asd 31 7 13" xfId="24792"/>
    <cellStyle name="asd 31 7 14" xfId="27643"/>
    <cellStyle name="asd 31 7 15" xfId="29077"/>
    <cellStyle name="asd 31 7 16" xfId="31220"/>
    <cellStyle name="asd 31 7 17" xfId="32959"/>
    <cellStyle name="asd 31 7 18" xfId="33501"/>
    <cellStyle name="asd 31 7 19" xfId="35619"/>
    <cellStyle name="asd 31 7 2" xfId="5479"/>
    <cellStyle name="asd 31 7 2 10" xfId="21729"/>
    <cellStyle name="asd 31 7 2 11" xfId="3957"/>
    <cellStyle name="asd 31 7 2 12" xfId="25531"/>
    <cellStyle name="asd 31 7 2 13" xfId="22883"/>
    <cellStyle name="asd 31 7 2 14" xfId="4630"/>
    <cellStyle name="asd 31 7 2 15" xfId="3269"/>
    <cellStyle name="asd 31 7 2 16" xfId="2806"/>
    <cellStyle name="asd 31 7 2 17" xfId="11329"/>
    <cellStyle name="asd 31 7 2 18" xfId="36358"/>
    <cellStyle name="asd 31 7 2 19" xfId="38237"/>
    <cellStyle name="asd 31 7 2 2" xfId="6928"/>
    <cellStyle name="asd 31 7 2 20" xfId="28538"/>
    <cellStyle name="asd 31 7 2 21" xfId="2138"/>
    <cellStyle name="asd 31 7 2 22" xfId="28742"/>
    <cellStyle name="asd 31 7 2 3" xfId="8382"/>
    <cellStyle name="asd 31 7 2 4" xfId="10292"/>
    <cellStyle name="asd 31 7 2 5" xfId="12183"/>
    <cellStyle name="asd 31 7 2 6" xfId="6294"/>
    <cellStyle name="asd 31 7 2 7" xfId="10907"/>
    <cellStyle name="asd 31 7 2 8" xfId="17911"/>
    <cellStyle name="asd 31 7 2 9" xfId="19817"/>
    <cellStyle name="asd 31 7 20" xfId="37498"/>
    <cellStyle name="asd 31 7 21" xfId="40161"/>
    <cellStyle name="asd 31 7 22" xfId="41820"/>
    <cellStyle name="asd 31 7 23" xfId="43089"/>
    <cellStyle name="asd 31 7 3" xfId="6192"/>
    <cellStyle name="asd 31 7 4" xfId="7643"/>
    <cellStyle name="asd 31 7 5" xfId="9553"/>
    <cellStyle name="asd 31 7 6" xfId="11169"/>
    <cellStyle name="asd 31 7 7" xfId="13790"/>
    <cellStyle name="asd 31 7 8" xfId="15692"/>
    <cellStyle name="asd 31 7 9" xfId="17172"/>
    <cellStyle name="asd 31 8" xfId="2090"/>
    <cellStyle name="asd 31 9" xfId="1929"/>
    <cellStyle name="asd 32" xfId="918"/>
    <cellStyle name="asd 32 10" xfId="2635"/>
    <cellStyle name="asd 32 11" xfId="4186"/>
    <cellStyle name="asd 32 12" xfId="10903"/>
    <cellStyle name="asd 32 13" xfId="3749"/>
    <cellStyle name="asd 32 14" xfId="11821"/>
    <cellStyle name="asd 32 15" xfId="6261"/>
    <cellStyle name="asd 32 16" xfId="14441"/>
    <cellStyle name="asd 32 17" xfId="13518"/>
    <cellStyle name="asd 32 18" xfId="14720"/>
    <cellStyle name="asd 32 19" xfId="4214"/>
    <cellStyle name="asd 32 2" xfId="3480"/>
    <cellStyle name="asd 32 2 10" xfId="13964"/>
    <cellStyle name="asd 32 2 11" xfId="15865"/>
    <cellStyle name="asd 32 2 12" xfId="16915"/>
    <cellStyle name="asd 32 2 13" xfId="18822"/>
    <cellStyle name="asd 32 2 14" xfId="20734"/>
    <cellStyle name="asd 32 2 15" xfId="23492"/>
    <cellStyle name="asd 32 2 16" xfId="24536"/>
    <cellStyle name="asd 32 2 17" xfId="27717"/>
    <cellStyle name="asd 32 2 18" xfId="29005"/>
    <cellStyle name="asd 32 2 19" xfId="31295"/>
    <cellStyle name="asd 32 2 2" xfId="3660"/>
    <cellStyle name="asd 32 2 2 10" xfId="17551"/>
    <cellStyle name="asd 32 2 2 11" xfId="19457"/>
    <cellStyle name="asd 32 2 2 12" xfId="21369"/>
    <cellStyle name="asd 32 2 2 13" xfId="23921"/>
    <cellStyle name="asd 32 2 2 14" xfId="25171"/>
    <cellStyle name="asd 32 2 2 15" xfId="27671"/>
    <cellStyle name="asd 32 2 2 16" xfId="28107"/>
    <cellStyle name="asd 32 2 2 17" xfId="31247"/>
    <cellStyle name="asd 32 2 2 18" xfId="32156"/>
    <cellStyle name="asd 32 2 2 19" xfId="33944"/>
    <cellStyle name="asd 32 2 2 2" xfId="5621"/>
    <cellStyle name="asd 32 2 2 2 10" xfId="21871"/>
    <cellStyle name="asd 32 2 2 2 11" xfId="22543"/>
    <cellStyle name="asd 32 2 2 2 12" xfId="25673"/>
    <cellStyle name="asd 32 2 2 2 13" xfId="27737"/>
    <cellStyle name="asd 32 2 2 2 14" xfId="29456"/>
    <cellStyle name="asd 32 2 2 2 15" xfId="31315"/>
    <cellStyle name="asd 32 2 2 2 16" xfId="32140"/>
    <cellStyle name="asd 32 2 2 2 17" xfId="33708"/>
    <cellStyle name="asd 32 2 2 2 18" xfId="36500"/>
    <cellStyle name="asd 32 2 2 2 19" xfId="38379"/>
    <cellStyle name="asd 32 2 2 2 2" xfId="7070"/>
    <cellStyle name="asd 32 2 2 2 20" xfId="39363"/>
    <cellStyle name="asd 32 2 2 2 21" xfId="41039"/>
    <cellStyle name="asd 32 2 2 2 22" xfId="42352"/>
    <cellStyle name="asd 32 2 2 2 3" xfId="8524"/>
    <cellStyle name="asd 32 2 2 2 4" xfId="10434"/>
    <cellStyle name="asd 32 2 2 2 5" xfId="11428"/>
    <cellStyle name="asd 32 2 2 2 6" xfId="13011"/>
    <cellStyle name="asd 32 2 2 2 7" xfId="14915"/>
    <cellStyle name="asd 32 2 2 2 8" xfId="18053"/>
    <cellStyle name="asd 32 2 2 2 9" xfId="19959"/>
    <cellStyle name="asd 32 2 2 20" xfId="35998"/>
    <cellStyle name="asd 32 2 2 21" xfId="37877"/>
    <cellStyle name="asd 32 2 2 22" xfId="39379"/>
    <cellStyle name="asd 32 2 2 23" xfId="41055"/>
    <cellStyle name="asd 32 2 2 24" xfId="43667"/>
    <cellStyle name="asd 32 2 2 3" xfId="5121"/>
    <cellStyle name="asd 32 2 2 4" xfId="6571"/>
    <cellStyle name="asd 32 2 2 5" xfId="8022"/>
    <cellStyle name="asd 32 2 2 6" xfId="9932"/>
    <cellStyle name="asd 32 2 2 7" xfId="11880"/>
    <cellStyle name="asd 32 2 2 8" xfId="14389"/>
    <cellStyle name="asd 32 2 2 9" xfId="16295"/>
    <cellStyle name="asd 32 2 20" xfId="32860"/>
    <cellStyle name="asd 32 2 21" xfId="34684"/>
    <cellStyle name="asd 32 2 22" xfId="35364"/>
    <cellStyle name="asd 32 2 23" xfId="37242"/>
    <cellStyle name="asd 32 2 24" xfId="40067"/>
    <cellStyle name="asd 32 2 25" xfId="41731"/>
    <cellStyle name="asd 32 2 26" xfId="43258"/>
    <cellStyle name="asd 32 2 3" xfId="3779"/>
    <cellStyle name="asd 32 2 3 10" xfId="19518"/>
    <cellStyle name="asd 32 2 3 11" xfId="21430"/>
    <cellStyle name="asd 32 2 3 12" xfId="23190"/>
    <cellStyle name="asd 32 2 3 13" xfId="25232"/>
    <cellStyle name="asd 32 2 3 14" xfId="26445"/>
    <cellStyle name="asd 32 2 3 15" xfId="29372"/>
    <cellStyle name="asd 32 2 3 16" xfId="30051"/>
    <cellStyle name="asd 32 2 3 17" xfId="32810"/>
    <cellStyle name="asd 32 2 3 18" xfId="33580"/>
    <cellStyle name="asd 32 2 3 19" xfId="36059"/>
    <cellStyle name="asd 32 2 3 2" xfId="5788"/>
    <cellStyle name="asd 32 2 3 2 10" xfId="22038"/>
    <cellStyle name="asd 32 2 3 2 11" xfId="22389"/>
    <cellStyle name="asd 32 2 3 2 12" xfId="25840"/>
    <cellStyle name="asd 32 2 3 2 13" xfId="2833"/>
    <cellStyle name="asd 32 2 3 2 14" xfId="29533"/>
    <cellStyle name="asd 32 2 3 2 15" xfId="28039"/>
    <cellStyle name="asd 32 2 3 2 16" xfId="29665"/>
    <cellStyle name="asd 32 2 3 2 17" xfId="31895"/>
    <cellStyle name="asd 32 2 3 2 18" xfId="36667"/>
    <cellStyle name="asd 32 2 3 2 19" xfId="38546"/>
    <cellStyle name="asd 32 2 3 2 2" xfId="7237"/>
    <cellStyle name="asd 32 2 3 2 20" xfId="30718"/>
    <cellStyle name="asd 32 2 3 2 21" xfId="35076"/>
    <cellStyle name="asd 32 2 3 2 22" xfId="42200"/>
    <cellStyle name="asd 32 2 3 2 3" xfId="8691"/>
    <cellStyle name="asd 32 2 3 2 4" xfId="10601"/>
    <cellStyle name="asd 32 2 3 2 5" xfId="11849"/>
    <cellStyle name="asd 32 2 3 2 6" xfId="12856"/>
    <cellStyle name="asd 32 2 3 2 7" xfId="14761"/>
    <cellStyle name="asd 32 2 3 2 8" xfId="18220"/>
    <cellStyle name="asd 32 2 3 2 9" xfId="20126"/>
    <cellStyle name="asd 32 2 3 20" xfId="37938"/>
    <cellStyle name="asd 32 2 3 21" xfId="40019"/>
    <cellStyle name="asd 32 2 3 22" xfId="41683"/>
    <cellStyle name="asd 32 2 3 23" xfId="42968"/>
    <cellStyle name="asd 32 2 3 3" xfId="5182"/>
    <cellStyle name="asd 32 2 3 4" xfId="8083"/>
    <cellStyle name="asd 32 2 3 5" xfId="9993"/>
    <cellStyle name="asd 32 2 3 6" xfId="11034"/>
    <cellStyle name="asd 32 2 3 7" xfId="13662"/>
    <cellStyle name="asd 32 2 3 8" xfId="15564"/>
    <cellStyle name="asd 32 2 3 9" xfId="17612"/>
    <cellStyle name="asd 32 2 4" xfId="4112"/>
    <cellStyle name="asd 32 2 4 10" xfId="19747"/>
    <cellStyle name="asd 32 2 4 11" xfId="21659"/>
    <cellStyle name="asd 32 2 4 12" xfId="22796"/>
    <cellStyle name="asd 32 2 4 13" xfId="25461"/>
    <cellStyle name="asd 32 2 4 14" xfId="26751"/>
    <cellStyle name="asd 32 2 4 15" xfId="12787"/>
    <cellStyle name="asd 32 2 4 16" xfId="30350"/>
    <cellStyle name="asd 32 2 4 17" xfId="32762"/>
    <cellStyle name="asd 32 2 4 18" xfId="33973"/>
    <cellStyle name="asd 32 2 4 19" xfId="36288"/>
    <cellStyle name="asd 32 2 4 2" xfId="6017"/>
    <cellStyle name="asd 32 2 4 2 10" xfId="22267"/>
    <cellStyle name="asd 32 2 4 2 11" xfId="24028"/>
    <cellStyle name="asd 32 2 4 2 12" xfId="26069"/>
    <cellStyle name="asd 32 2 4 2 13" xfId="26358"/>
    <cellStyle name="asd 32 2 4 2 14" xfId="28842"/>
    <cellStyle name="asd 32 2 4 2 15" xfId="29966"/>
    <cellStyle name="asd 32 2 4 2 16" xfId="32372"/>
    <cellStyle name="asd 32 2 4 2 17" xfId="33709"/>
    <cellStyle name="asd 32 2 4 2 18" xfId="36896"/>
    <cellStyle name="asd 32 2 4 2 19" xfId="38775"/>
    <cellStyle name="asd 32 2 4 2 2" xfId="7466"/>
    <cellStyle name="asd 32 2 4 2 20" xfId="39590"/>
    <cellStyle name="asd 32 2 4 2 21" xfId="41264"/>
    <cellStyle name="asd 32 2 4 2 22" xfId="43772"/>
    <cellStyle name="asd 32 2 4 2 3" xfId="8920"/>
    <cellStyle name="asd 32 2 4 2 4" xfId="10830"/>
    <cellStyle name="asd 32 2 4 2 5" xfId="11987"/>
    <cellStyle name="asd 32 2 4 2 6" xfId="14498"/>
    <cellStyle name="asd 32 2 4 2 7" xfId="16404"/>
    <cellStyle name="asd 32 2 4 2 8" xfId="18449"/>
    <cellStyle name="asd 32 2 4 2 9" xfId="20355"/>
    <cellStyle name="asd 32 2 4 20" xfId="38167"/>
    <cellStyle name="asd 32 2 4 21" xfId="39971"/>
    <cellStyle name="asd 32 2 4 22" xfId="41635"/>
    <cellStyle name="asd 32 2 4 23" xfId="42589"/>
    <cellStyle name="asd 32 2 4 3" xfId="6858"/>
    <cellStyle name="asd 32 2 4 4" xfId="8312"/>
    <cellStyle name="asd 32 2 4 5" xfId="10222"/>
    <cellStyle name="asd 32 2 4 6" xfId="12220"/>
    <cellStyle name="asd 32 2 4 7" xfId="13265"/>
    <cellStyle name="asd 32 2 4 8" xfId="15169"/>
    <cellStyle name="asd 32 2 4 9" xfId="17841"/>
    <cellStyle name="asd 32 2 5" xfId="4962"/>
    <cellStyle name="asd 32 2 5 10" xfId="21210"/>
    <cellStyle name="asd 32 2 5 11" xfId="23439"/>
    <cellStyle name="asd 32 2 5 12" xfId="25012"/>
    <cellStyle name="asd 32 2 5 13" xfId="27852"/>
    <cellStyle name="asd 32 2 5 14" xfId="29432"/>
    <cellStyle name="asd 32 2 5 15" xfId="31431"/>
    <cellStyle name="asd 32 2 5 16" xfId="32434"/>
    <cellStyle name="asd 32 2 5 17" xfId="33596"/>
    <cellStyle name="asd 32 2 5 18" xfId="35839"/>
    <cellStyle name="asd 32 2 5 19" xfId="37718"/>
    <cellStyle name="asd 32 2 5 2" xfId="6412"/>
    <cellStyle name="asd 32 2 5 20" xfId="39651"/>
    <cellStyle name="asd 32 2 5 21" xfId="41325"/>
    <cellStyle name="asd 32 2 5 22" xfId="43206"/>
    <cellStyle name="asd 32 2 5 3" xfId="7863"/>
    <cellStyle name="asd 32 2 5 4" xfId="9773"/>
    <cellStyle name="asd 32 2 5 5" xfId="12521"/>
    <cellStyle name="asd 32 2 5 6" xfId="13911"/>
    <cellStyle name="asd 32 2 5 7" xfId="15812"/>
    <cellStyle name="asd 32 2 5 8" xfId="17392"/>
    <cellStyle name="asd 32 2 5 9" xfId="19298"/>
    <cellStyle name="asd 32 2 6" xfId="4476"/>
    <cellStyle name="asd 32 2 6 10" xfId="20721"/>
    <cellStyle name="asd 32 2 6 11" xfId="22474"/>
    <cellStyle name="asd 32 2 6 12" xfId="24523"/>
    <cellStyle name="asd 32 2 6 13" xfId="26912"/>
    <cellStyle name="asd 32 2 6 14" xfId="29121"/>
    <cellStyle name="asd 32 2 6 15" xfId="30508"/>
    <cellStyle name="asd 32 2 6 16" xfId="32323"/>
    <cellStyle name="asd 32 2 6 17" xfId="33478"/>
    <cellStyle name="asd 32 2 6 18" xfId="35351"/>
    <cellStyle name="asd 32 2 6 19" xfId="37229"/>
    <cellStyle name="asd 32 2 6 2" xfId="5322"/>
    <cellStyle name="asd 32 2 6 20" xfId="39542"/>
    <cellStyle name="asd 32 2 6 21" xfId="41216"/>
    <cellStyle name="asd 32 2 6 22" xfId="42284"/>
    <cellStyle name="asd 32 2 6 3" xfId="6649"/>
    <cellStyle name="asd 32 2 6 4" xfId="9283"/>
    <cellStyle name="asd 32 2 6 5" xfId="12436"/>
    <cellStyle name="asd 32 2 6 6" xfId="12942"/>
    <cellStyle name="asd 32 2 6 7" xfId="14846"/>
    <cellStyle name="asd 32 2 6 8" xfId="16902"/>
    <cellStyle name="asd 32 2 6 9" xfId="18809"/>
    <cellStyle name="asd 32 2 7" xfId="6292"/>
    <cellStyle name="asd 32 2 8" xfId="9296"/>
    <cellStyle name="asd 32 2 9" xfId="12567"/>
    <cellStyle name="asd 32 20" xfId="2632"/>
    <cellStyle name="asd 32 21" xfId="30083"/>
    <cellStyle name="asd 32 22" xfId="14694"/>
    <cellStyle name="asd 32 23" xfId="32741"/>
    <cellStyle name="asd 32 24" xfId="33313"/>
    <cellStyle name="asd 32 25" xfId="31583"/>
    <cellStyle name="asd 32 26" xfId="40091"/>
    <cellStyle name="asd 32 27" xfId="3221"/>
    <cellStyle name="asd 32 3" xfId="3511"/>
    <cellStyle name="asd 32 3 10" xfId="13216"/>
    <cellStyle name="asd 32 3 11" xfId="15119"/>
    <cellStyle name="asd 32 3 12" xfId="16990"/>
    <cellStyle name="asd 32 3 13" xfId="18897"/>
    <cellStyle name="asd 32 3 14" xfId="20809"/>
    <cellStyle name="asd 32 3 15" xfId="22747"/>
    <cellStyle name="asd 32 3 16" xfId="24611"/>
    <cellStyle name="asd 32 3 17" xfId="26232"/>
    <cellStyle name="asd 32 3 18" xfId="29529"/>
    <cellStyle name="asd 32 3 19" xfId="29842"/>
    <cellStyle name="asd 32 3 2" xfId="3691"/>
    <cellStyle name="asd 32 3 2 10" xfId="17582"/>
    <cellStyle name="asd 32 3 2 11" xfId="19488"/>
    <cellStyle name="asd 32 3 2 12" xfId="21400"/>
    <cellStyle name="asd 32 3 2 13" xfId="23918"/>
    <cellStyle name="asd 32 3 2 14" xfId="25202"/>
    <cellStyle name="asd 32 3 2 15" xfId="27240"/>
    <cellStyle name="asd 32 3 2 16" xfId="28756"/>
    <cellStyle name="asd 32 3 2 17" xfId="30831"/>
    <cellStyle name="asd 32 3 2 18" xfId="32972"/>
    <cellStyle name="asd 32 3 2 19" xfId="33906"/>
    <cellStyle name="asd 32 3 2 2" xfId="5758"/>
    <cellStyle name="asd 32 3 2 2 10" xfId="22008"/>
    <cellStyle name="asd 32 3 2 2 11" xfId="23760"/>
    <cellStyle name="asd 32 3 2 2 12" xfId="25810"/>
    <cellStyle name="asd 32 3 2 2 13" xfId="22748"/>
    <cellStyle name="asd 32 3 2 2 14" xfId="2571"/>
    <cellStyle name="asd 32 3 2 2 15" xfId="2798"/>
    <cellStyle name="asd 32 3 2 2 16" xfId="26430"/>
    <cellStyle name="asd 32 3 2 2 17" xfId="23297"/>
    <cellStyle name="asd 32 3 2 2 18" xfId="36637"/>
    <cellStyle name="asd 32 3 2 2 19" xfId="38516"/>
    <cellStyle name="asd 32 3 2 2 2" xfId="7207"/>
    <cellStyle name="asd 32 3 2 2 20" xfId="14722"/>
    <cellStyle name="asd 32 3 2 2 21" xfId="34234"/>
    <cellStyle name="asd 32 3 2 2 22" xfId="43513"/>
    <cellStyle name="asd 32 3 2 2 3" xfId="8661"/>
    <cellStyle name="asd 32 3 2 2 4" xfId="10571"/>
    <cellStyle name="asd 32 3 2 2 5" xfId="11599"/>
    <cellStyle name="asd 32 3 2 2 6" xfId="14230"/>
    <cellStyle name="asd 32 3 2 2 7" xfId="16134"/>
    <cellStyle name="asd 32 3 2 2 8" xfId="18190"/>
    <cellStyle name="asd 32 3 2 2 9" xfId="20096"/>
    <cellStyle name="asd 32 3 2 20" xfId="36029"/>
    <cellStyle name="asd 32 3 2 21" xfId="37908"/>
    <cellStyle name="asd 32 3 2 22" xfId="40173"/>
    <cellStyle name="asd 32 3 2 23" xfId="41832"/>
    <cellStyle name="asd 32 3 2 24" xfId="43664"/>
    <cellStyle name="asd 32 3 2 3" xfId="5152"/>
    <cellStyle name="asd 32 3 2 4" xfId="6602"/>
    <cellStyle name="asd 32 3 2 5" xfId="8053"/>
    <cellStyle name="asd 32 3 2 6" xfId="9963"/>
    <cellStyle name="asd 32 3 2 7" xfId="11877"/>
    <cellStyle name="asd 32 3 2 8" xfId="14386"/>
    <cellStyle name="asd 32 3 2 9" xfId="16292"/>
    <cellStyle name="asd 32 3 20" xfId="31985"/>
    <cellStyle name="asd 32 3 21" xfId="34026"/>
    <cellStyle name="asd 32 3 22" xfId="35439"/>
    <cellStyle name="asd 32 3 23" xfId="37317"/>
    <cellStyle name="asd 32 3 24" xfId="39215"/>
    <cellStyle name="asd 32 3 25" xfId="40894"/>
    <cellStyle name="asd 32 3 26" xfId="42545"/>
    <cellStyle name="asd 32 3 3" xfId="3205"/>
    <cellStyle name="asd 32 3 3 10" xfId="19179"/>
    <cellStyle name="asd 32 3 3 11" xfId="21091"/>
    <cellStyle name="asd 32 3 3 12" xfId="23261"/>
    <cellStyle name="asd 32 3 3 13" xfId="24893"/>
    <cellStyle name="asd 32 3 3 14" xfId="26416"/>
    <cellStyle name="asd 32 3 3 15" xfId="28052"/>
    <cellStyle name="asd 32 3 3 16" xfId="30023"/>
    <cellStyle name="asd 32 3 3 17" xfId="32080"/>
    <cellStyle name="asd 32 3 3 18" xfId="34389"/>
    <cellStyle name="asd 32 3 3 19" xfId="35720"/>
    <cellStyle name="asd 32 3 3 2" xfId="4318"/>
    <cellStyle name="asd 32 3 3 2 10" xfId="20515"/>
    <cellStyle name="asd 32 3 3 2 11" xfId="23013"/>
    <cellStyle name="asd 32 3 3 2 12" xfId="24317"/>
    <cellStyle name="asd 32 3 3 2 13" xfId="27273"/>
    <cellStyle name="asd 32 3 3 2 14" xfId="4292"/>
    <cellStyle name="asd 32 3 3 2 15" xfId="30865"/>
    <cellStyle name="asd 32 3 3 2 16" xfId="32445"/>
    <cellStyle name="asd 32 3 3 2 17" xfId="33672"/>
    <cellStyle name="asd 32 3 3 2 18" xfId="35145"/>
    <cellStyle name="asd 32 3 3 2 19" xfId="37023"/>
    <cellStyle name="asd 32 3 3 2 2" xfId="5313"/>
    <cellStyle name="asd 32 3 3 2 20" xfId="39662"/>
    <cellStyle name="asd 32 3 3 2 21" xfId="41336"/>
    <cellStyle name="asd 32 3 3 2 22" xfId="42796"/>
    <cellStyle name="asd 32 3 3 2 3" xfId="6641"/>
    <cellStyle name="asd 32 3 3 2 4" xfId="9077"/>
    <cellStyle name="asd 32 3 3 2 5" xfId="12407"/>
    <cellStyle name="asd 32 3 3 2 6" xfId="13483"/>
    <cellStyle name="asd 32 3 3 2 7" xfId="15387"/>
    <cellStyle name="asd 32 3 3 2 8" xfId="16696"/>
    <cellStyle name="asd 32 3 3 2 9" xfId="18603"/>
    <cellStyle name="asd 32 3 3 20" xfId="37599"/>
    <cellStyle name="asd 32 3 3 21" xfId="39304"/>
    <cellStyle name="asd 32 3 3 22" xfId="40980"/>
    <cellStyle name="asd 32 3 3 23" xfId="43037"/>
    <cellStyle name="asd 32 3 3 3" xfId="4843"/>
    <cellStyle name="asd 32 3 3 4" xfId="7744"/>
    <cellStyle name="asd 32 3 3 5" xfId="9654"/>
    <cellStyle name="asd 32 3 3 6" xfId="11189"/>
    <cellStyle name="asd 32 3 3 7" xfId="13733"/>
    <cellStyle name="asd 32 3 3 8" xfId="15635"/>
    <cellStyle name="asd 32 3 3 9" xfId="17273"/>
    <cellStyle name="asd 32 3 4" xfId="4143"/>
    <cellStyle name="asd 32 3 4 10" xfId="19778"/>
    <cellStyle name="asd 32 3 4 11" xfId="21690"/>
    <cellStyle name="asd 32 3 4 12" xfId="23502"/>
    <cellStyle name="asd 32 3 4 13" xfId="25492"/>
    <cellStyle name="asd 32 3 4 14" xfId="27493"/>
    <cellStyle name="asd 32 3 4 15" xfId="28365"/>
    <cellStyle name="asd 32 3 4 16" xfId="31079"/>
    <cellStyle name="asd 32 3 4 17" xfId="32250"/>
    <cellStyle name="asd 32 3 4 18" xfId="33676"/>
    <cellStyle name="asd 32 3 4 19" xfId="36319"/>
    <cellStyle name="asd 32 3 4 2" xfId="6048"/>
    <cellStyle name="asd 32 3 4 2 10" xfId="22298"/>
    <cellStyle name="asd 32 3 4 2 11" xfId="1856"/>
    <cellStyle name="asd 32 3 4 2 12" xfId="26100"/>
    <cellStyle name="asd 32 3 4 2 13" xfId="26125"/>
    <cellStyle name="asd 32 3 4 2 14" xfId="27995"/>
    <cellStyle name="asd 32 3 4 2 15" xfId="29739"/>
    <cellStyle name="asd 32 3 4 2 16" xfId="3347"/>
    <cellStyle name="asd 32 3 4 2 17" xfId="26543"/>
    <cellStyle name="asd 32 3 4 2 18" xfId="36927"/>
    <cellStyle name="asd 32 3 4 2 19" xfId="38806"/>
    <cellStyle name="asd 32 3 4 2 2" xfId="7497"/>
    <cellStyle name="asd 32 3 4 2 20" xfId="30212"/>
    <cellStyle name="asd 32 3 4 2 21" xfId="34989"/>
    <cellStyle name="asd 32 3 4 2 22" xfId="32960"/>
    <cellStyle name="asd 32 3 4 2 3" xfId="8951"/>
    <cellStyle name="asd 32 3 4 2 4" xfId="10861"/>
    <cellStyle name="asd 32 3 4 2 5" xfId="8981"/>
    <cellStyle name="asd 32 3 4 2 6" xfId="10905"/>
    <cellStyle name="asd 32 3 4 2 7" xfId="2813"/>
    <cellStyle name="asd 32 3 4 2 8" xfId="18480"/>
    <cellStyle name="asd 32 3 4 2 9" xfId="20386"/>
    <cellStyle name="asd 32 3 4 20" xfId="38198"/>
    <cellStyle name="asd 32 3 4 21" xfId="39468"/>
    <cellStyle name="asd 32 3 4 22" xfId="41143"/>
    <cellStyle name="asd 32 3 4 23" xfId="43268"/>
    <cellStyle name="asd 32 3 4 3" xfId="6889"/>
    <cellStyle name="asd 32 3 4 4" xfId="8343"/>
    <cellStyle name="asd 32 3 4 5" xfId="10253"/>
    <cellStyle name="asd 32 3 4 6" xfId="12288"/>
    <cellStyle name="asd 32 3 4 7" xfId="13974"/>
    <cellStyle name="asd 32 3 4 8" xfId="15875"/>
    <cellStyle name="asd 32 3 4 9" xfId="17872"/>
    <cellStyle name="asd 32 3 5" xfId="4984"/>
    <cellStyle name="asd 32 3 5 10" xfId="21232"/>
    <cellStyle name="asd 32 3 5 11" xfId="23222"/>
    <cellStyle name="asd 32 3 5 12" xfId="25034"/>
    <cellStyle name="asd 32 3 5 13" xfId="26937"/>
    <cellStyle name="asd 32 3 5 14" xfId="2233"/>
    <cellStyle name="asd 32 3 5 15" xfId="30531"/>
    <cellStyle name="asd 32 3 5 16" xfId="33191"/>
    <cellStyle name="asd 32 3 5 17" xfId="32051"/>
    <cellStyle name="asd 32 3 5 18" xfId="35861"/>
    <cellStyle name="asd 32 3 5 19" xfId="37740"/>
    <cellStyle name="asd 32 3 5 2" xfId="6434"/>
    <cellStyle name="asd 32 3 5 20" xfId="40382"/>
    <cellStyle name="asd 32 3 5 21" xfId="42038"/>
    <cellStyle name="asd 32 3 5 22" xfId="42999"/>
    <cellStyle name="asd 32 3 5 3" xfId="7885"/>
    <cellStyle name="asd 32 3 5 4" xfId="9795"/>
    <cellStyle name="asd 32 3 5 5" xfId="11099"/>
    <cellStyle name="asd 32 3 5 6" xfId="13694"/>
    <cellStyle name="asd 32 3 5 7" xfId="15596"/>
    <cellStyle name="asd 32 3 5 8" xfId="17414"/>
    <cellStyle name="asd 32 3 5 9" xfId="19320"/>
    <cellStyle name="asd 32 3 6" xfId="4297"/>
    <cellStyle name="asd 32 3 6 10" xfId="20476"/>
    <cellStyle name="asd 32 3 6 11" xfId="2650"/>
    <cellStyle name="asd 32 3 6 12" xfId="24278"/>
    <cellStyle name="asd 32 3 6 13" xfId="3001"/>
    <cellStyle name="asd 32 3 6 14" xfId="2000"/>
    <cellStyle name="asd 32 3 6 15" xfId="2126"/>
    <cellStyle name="asd 32 3 6 16" xfId="22825"/>
    <cellStyle name="asd 32 3 6 17" xfId="2008"/>
    <cellStyle name="asd 32 3 6 18" xfId="35106"/>
    <cellStyle name="asd 32 3 6 19" xfId="36984"/>
    <cellStyle name="asd 32 3 6 2" xfId="4405"/>
    <cellStyle name="asd 32 3 6 20" xfId="2287"/>
    <cellStyle name="asd 32 3 6 21" xfId="2843"/>
    <cellStyle name="asd 32 3 6 22" xfId="28761"/>
    <cellStyle name="asd 32 3 6 3" xfId="5400"/>
    <cellStyle name="asd 32 3 6 4" xfId="9038"/>
    <cellStyle name="asd 32 3 6 5" xfId="3225"/>
    <cellStyle name="asd 32 3 6 6" xfId="4419"/>
    <cellStyle name="asd 32 3 6 7" xfId="2722"/>
    <cellStyle name="asd 32 3 6 8" xfId="16657"/>
    <cellStyle name="asd 32 3 6 9" xfId="18564"/>
    <cellStyle name="asd 32 3 7" xfId="6198"/>
    <cellStyle name="asd 32 3 8" xfId="9371"/>
    <cellStyle name="asd 32 3 9" xfId="11394"/>
    <cellStyle name="asd 32 4" xfId="3355"/>
    <cellStyle name="asd 32 4 10" xfId="15376"/>
    <cellStyle name="asd 32 4 11" xfId="16635"/>
    <cellStyle name="asd 32 4 12" xfId="18542"/>
    <cellStyle name="asd 32 4 13" xfId="20454"/>
    <cellStyle name="asd 32 4 14" xfId="23001"/>
    <cellStyle name="asd 32 4 15" xfId="24256"/>
    <cellStyle name="asd 32 4 16" xfId="27397"/>
    <cellStyle name="asd 32 4 17" xfId="29411"/>
    <cellStyle name="asd 32 4 18" xfId="30983"/>
    <cellStyle name="asd 32 4 19" xfId="32259"/>
    <cellStyle name="asd 32 4 2" xfId="3535"/>
    <cellStyle name="asd 32 4 2 10" xfId="17426"/>
    <cellStyle name="asd 32 4 2 11" xfId="19332"/>
    <cellStyle name="asd 32 4 2 12" xfId="21244"/>
    <cellStyle name="asd 32 4 2 13" xfId="23719"/>
    <cellStyle name="asd 32 4 2 14" xfId="25046"/>
    <cellStyle name="asd 32 4 2 15" xfId="26873"/>
    <cellStyle name="asd 32 4 2 16" xfId="28332"/>
    <cellStyle name="asd 32 4 2 17" xfId="30469"/>
    <cellStyle name="asd 32 4 2 18" xfId="32178"/>
    <cellStyle name="asd 32 4 2 19" xfId="34284"/>
    <cellStyle name="asd 32 4 2 2" xfId="4473"/>
    <cellStyle name="asd 32 4 2 2 10" xfId="20718"/>
    <cellStyle name="asd 32 4 2 2 11" xfId="23337"/>
    <cellStyle name="asd 32 4 2 2 12" xfId="24520"/>
    <cellStyle name="asd 32 4 2 2 13" xfId="27622"/>
    <cellStyle name="asd 32 4 2 2 14" xfId="29248"/>
    <cellStyle name="asd 32 4 2 2 15" xfId="31200"/>
    <cellStyle name="asd 32 4 2 2 16" xfId="32385"/>
    <cellStyle name="asd 32 4 2 2 17" xfId="34886"/>
    <cellStyle name="asd 32 4 2 2 18" xfId="35348"/>
    <cellStyle name="asd 32 4 2 2 19" xfId="37226"/>
    <cellStyle name="asd 32 4 2 2 2" xfId="4686"/>
    <cellStyle name="asd 32 4 2 2 20" xfId="39603"/>
    <cellStyle name="asd 32 4 2 2 21" xfId="41277"/>
    <cellStyle name="asd 32 4 2 2 22" xfId="43107"/>
    <cellStyle name="asd 32 4 2 2 3" xfId="6264"/>
    <cellStyle name="asd 32 4 2 2 4" xfId="9280"/>
    <cellStyle name="asd 32 4 2 2 5" xfId="12239"/>
    <cellStyle name="asd 32 4 2 2 6" xfId="13809"/>
    <cellStyle name="asd 32 4 2 2 7" xfId="15711"/>
    <cellStyle name="asd 32 4 2 2 8" xfId="16899"/>
    <cellStyle name="asd 32 4 2 2 9" xfId="18806"/>
    <cellStyle name="asd 32 4 2 20" xfId="35873"/>
    <cellStyle name="asd 32 4 2 21" xfId="37752"/>
    <cellStyle name="asd 32 4 2 22" xfId="39400"/>
    <cellStyle name="asd 32 4 2 23" xfId="41076"/>
    <cellStyle name="asd 32 4 2 24" xfId="43475"/>
    <cellStyle name="asd 32 4 2 3" xfId="4996"/>
    <cellStyle name="asd 32 4 2 4" xfId="6446"/>
    <cellStyle name="asd 32 4 2 5" xfId="7897"/>
    <cellStyle name="asd 32 4 2 6" xfId="9807"/>
    <cellStyle name="asd 32 4 2 7" xfId="11451"/>
    <cellStyle name="asd 32 4 2 8" xfId="14189"/>
    <cellStyle name="asd 32 4 2 9" xfId="16093"/>
    <cellStyle name="asd 32 4 20" xfId="34004"/>
    <cellStyle name="asd 32 4 21" xfId="35084"/>
    <cellStyle name="asd 32 4 22" xfId="36962"/>
    <cellStyle name="asd 32 4 23" xfId="39477"/>
    <cellStyle name="asd 32 4 24" xfId="41152"/>
    <cellStyle name="asd 32 4 25" xfId="42785"/>
    <cellStyle name="asd 32 4 3" xfId="2210"/>
    <cellStyle name="asd 32 4 3 10" xfId="19034"/>
    <cellStyle name="asd 32 4 3 11" xfId="20946"/>
    <cellStyle name="asd 32 4 3 12" xfId="23448"/>
    <cellStyle name="asd 32 4 3 13" xfId="24748"/>
    <cellStyle name="asd 32 4 3 14" xfId="27931"/>
    <cellStyle name="asd 32 4 3 15" xfId="29603"/>
    <cellStyle name="asd 32 4 3 16" xfId="31512"/>
    <cellStyle name="asd 32 4 3 17" xfId="32963"/>
    <cellStyle name="asd 32 4 3 18" xfId="34279"/>
    <cellStyle name="asd 32 4 3 19" xfId="35575"/>
    <cellStyle name="asd 32 4 3 2" xfId="5539"/>
    <cellStyle name="asd 32 4 3 2 10" xfId="21789"/>
    <cellStyle name="asd 32 4 3 2 11" xfId="23532"/>
    <cellStyle name="asd 32 4 3 2 12" xfId="25591"/>
    <cellStyle name="asd 32 4 3 2 13" xfId="26662"/>
    <cellStyle name="asd 32 4 3 2 14" xfId="29311"/>
    <cellStyle name="asd 32 4 3 2 15" xfId="30262"/>
    <cellStyle name="asd 32 4 3 2 16" xfId="33089"/>
    <cellStyle name="asd 32 4 3 2 17" xfId="33689"/>
    <cellStyle name="asd 32 4 3 2 18" xfId="36418"/>
    <cellStyle name="asd 32 4 3 2 19" xfId="38297"/>
    <cellStyle name="asd 32 4 3 2 2" xfId="6988"/>
    <cellStyle name="asd 32 4 3 2 20" xfId="40285"/>
    <cellStyle name="asd 32 4 3 2 21" xfId="41941"/>
    <cellStyle name="asd 32 4 3 2 22" xfId="43297"/>
    <cellStyle name="asd 32 4 3 2 3" xfId="8442"/>
    <cellStyle name="asd 32 4 3 2 4" xfId="10352"/>
    <cellStyle name="asd 32 4 3 2 5" xfId="12578"/>
    <cellStyle name="asd 32 4 3 2 6" xfId="14004"/>
    <cellStyle name="asd 32 4 3 2 7" xfId="15905"/>
    <cellStyle name="asd 32 4 3 2 8" xfId="17971"/>
    <cellStyle name="asd 32 4 3 2 9" xfId="19877"/>
    <cellStyle name="asd 32 4 3 20" xfId="37454"/>
    <cellStyle name="asd 32 4 3 21" xfId="40164"/>
    <cellStyle name="asd 32 4 3 22" xfId="41823"/>
    <cellStyle name="asd 32 4 3 23" xfId="43215"/>
    <cellStyle name="asd 32 4 3 3" xfId="4700"/>
    <cellStyle name="asd 32 4 3 4" xfId="7599"/>
    <cellStyle name="asd 32 4 3 5" xfId="9509"/>
    <cellStyle name="asd 32 4 3 6" xfId="12577"/>
    <cellStyle name="asd 32 4 3 7" xfId="13920"/>
    <cellStyle name="asd 32 4 3 8" xfId="15821"/>
    <cellStyle name="asd 32 4 3 9" xfId="17128"/>
    <cellStyle name="asd 32 4 4" xfId="3987"/>
    <cellStyle name="asd 32 4 4 10" xfId="19622"/>
    <cellStyle name="asd 32 4 4 11" xfId="21534"/>
    <cellStyle name="asd 32 4 4 12" xfId="23748"/>
    <cellStyle name="asd 32 4 4 13" xfId="25336"/>
    <cellStyle name="asd 32 4 4 14" xfId="27637"/>
    <cellStyle name="asd 32 4 4 15" xfId="29060"/>
    <cellStyle name="asd 32 4 4 16" xfId="31214"/>
    <cellStyle name="asd 32 4 4 17" xfId="31916"/>
    <cellStyle name="asd 32 4 4 18" xfId="33592"/>
    <cellStyle name="asd 32 4 4 19" xfId="36163"/>
    <cellStyle name="asd 32 4 4 2" xfId="5892"/>
    <cellStyle name="asd 32 4 4 2 10" xfId="22142"/>
    <cellStyle name="asd 32 4 4 2 11" xfId="24153"/>
    <cellStyle name="asd 32 4 4 2 12" xfId="25944"/>
    <cellStyle name="asd 32 4 4 2 13" xfId="26291"/>
    <cellStyle name="asd 32 4 4 2 14" xfId="29703"/>
    <cellStyle name="asd 32 4 4 2 15" xfId="29900"/>
    <cellStyle name="asd 32 4 4 2 16" xfId="32847"/>
    <cellStyle name="asd 32 4 4 2 17" xfId="35008"/>
    <cellStyle name="asd 32 4 4 2 18" xfId="36771"/>
    <cellStyle name="asd 32 4 4 2 19" xfId="38650"/>
    <cellStyle name="asd 32 4 4 2 2" xfId="7341"/>
    <cellStyle name="asd 32 4 4 2 20" xfId="40054"/>
    <cellStyle name="asd 32 4 4 2 21" xfId="41718"/>
    <cellStyle name="asd 32 4 4 2 22" xfId="43895"/>
    <cellStyle name="asd 32 4 4 2 3" xfId="8795"/>
    <cellStyle name="asd 32 4 4 2 4" xfId="10705"/>
    <cellStyle name="asd 32 4 4 2 5" xfId="12113"/>
    <cellStyle name="asd 32 4 4 2 6" xfId="14624"/>
    <cellStyle name="asd 32 4 4 2 7" xfId="16530"/>
    <cellStyle name="asd 32 4 4 2 8" xfId="18324"/>
    <cellStyle name="asd 32 4 4 2 9" xfId="20230"/>
    <cellStyle name="asd 32 4 4 20" xfId="38042"/>
    <cellStyle name="asd 32 4 4 21" xfId="39148"/>
    <cellStyle name="asd 32 4 4 22" xfId="40829"/>
    <cellStyle name="asd 32 4 4 23" xfId="43501"/>
    <cellStyle name="asd 32 4 4 3" xfId="6733"/>
    <cellStyle name="asd 32 4 4 4" xfId="8187"/>
    <cellStyle name="asd 32 4 4 5" xfId="10097"/>
    <cellStyle name="asd 32 4 4 6" xfId="11411"/>
    <cellStyle name="asd 32 4 4 7" xfId="14218"/>
    <cellStyle name="asd 32 4 4 8" xfId="16122"/>
    <cellStyle name="asd 32 4 4 9" xfId="17716"/>
    <cellStyle name="asd 32 4 5" xfId="5484"/>
    <cellStyle name="asd 32 4 5 10" xfId="21734"/>
    <cellStyle name="asd 32 4 5 11" xfId="22712"/>
    <cellStyle name="asd 32 4 5 12" xfId="25536"/>
    <cellStyle name="asd 32 4 5 13" xfId="16597"/>
    <cellStyle name="asd 32 4 5 14" xfId="26131"/>
    <cellStyle name="asd 32 4 5 15" xfId="28826"/>
    <cellStyle name="asd 32 4 5 16" xfId="29318"/>
    <cellStyle name="asd 32 4 5 17" xfId="26893"/>
    <cellStyle name="asd 32 4 5 18" xfId="36363"/>
    <cellStyle name="asd 32 4 5 19" xfId="38242"/>
    <cellStyle name="asd 32 4 5 2" xfId="6933"/>
    <cellStyle name="asd 32 4 5 20" xfId="33137"/>
    <cellStyle name="asd 32 4 5 21" xfId="34706"/>
    <cellStyle name="asd 32 4 5 22" xfId="42512"/>
    <cellStyle name="asd 32 4 5 3" xfId="8387"/>
    <cellStyle name="asd 32 4 5 4" xfId="10297"/>
    <cellStyle name="asd 32 4 5 5" xfId="11445"/>
    <cellStyle name="asd 32 4 5 6" xfId="13180"/>
    <cellStyle name="asd 32 4 5 7" xfId="15084"/>
    <cellStyle name="asd 32 4 5 8" xfId="17916"/>
    <cellStyle name="asd 32 4 5 9" xfId="19822"/>
    <cellStyle name="asd 32 4 6" xfId="6280"/>
    <cellStyle name="asd 32 4 7" xfId="9016"/>
    <cellStyle name="asd 32 4 8" xfId="12273"/>
    <cellStyle name="asd 32 4 9" xfId="13471"/>
    <cellStyle name="asd 32 5" xfId="3019"/>
    <cellStyle name="asd 32 5 10" xfId="17234"/>
    <cellStyle name="asd 32 5 11" xfId="19140"/>
    <cellStyle name="asd 32 5 12" xfId="21052"/>
    <cellStyle name="asd 32 5 13" xfId="23140"/>
    <cellStyle name="asd 32 5 14" xfId="24854"/>
    <cellStyle name="asd 32 5 15" xfId="27467"/>
    <cellStyle name="asd 32 5 16" xfId="28081"/>
    <cellStyle name="asd 32 5 17" xfId="31054"/>
    <cellStyle name="asd 32 5 18" xfId="31785"/>
    <cellStyle name="asd 32 5 19" xfId="33949"/>
    <cellStyle name="asd 32 5 2" xfId="4500"/>
    <cellStyle name="asd 32 5 2 10" xfId="20745"/>
    <cellStyle name="asd 32 5 2 11" xfId="22550"/>
    <cellStyle name="asd 32 5 2 12" xfId="24547"/>
    <cellStyle name="asd 32 5 2 13" xfId="26733"/>
    <cellStyle name="asd 32 5 2 14" xfId="26971"/>
    <cellStyle name="asd 32 5 2 15" xfId="30333"/>
    <cellStyle name="asd 32 5 2 16" xfId="16585"/>
    <cellStyle name="asd 32 5 2 17" xfId="12749"/>
    <cellStyle name="asd 32 5 2 18" xfId="35375"/>
    <cellStyle name="asd 32 5 2 19" xfId="37253"/>
    <cellStyle name="asd 32 5 2 2" xfId="5350"/>
    <cellStyle name="asd 32 5 2 20" xfId="26676"/>
    <cellStyle name="asd 32 5 2 21" xfId="4364"/>
    <cellStyle name="asd 32 5 2 22" xfId="42359"/>
    <cellStyle name="asd 32 5 2 3" xfId="6642"/>
    <cellStyle name="asd 32 5 2 4" xfId="9307"/>
    <cellStyle name="asd 32 5 2 5" xfId="11370"/>
    <cellStyle name="asd 32 5 2 6" xfId="13018"/>
    <cellStyle name="asd 32 5 2 7" xfId="14922"/>
    <cellStyle name="asd 32 5 2 8" xfId="16926"/>
    <cellStyle name="asd 32 5 2 9" xfId="18833"/>
    <cellStyle name="asd 32 5 20" xfId="35681"/>
    <cellStyle name="asd 32 5 21" xfId="37560"/>
    <cellStyle name="asd 32 5 22" xfId="39024"/>
    <cellStyle name="asd 32 5 23" xfId="40706"/>
    <cellStyle name="asd 32 5 24" xfId="42918"/>
    <cellStyle name="asd 32 5 3" xfId="4804"/>
    <cellStyle name="asd 32 5 4" xfId="6254"/>
    <cellStyle name="asd 32 5 5" xfId="7705"/>
    <cellStyle name="asd 32 5 6" xfId="9615"/>
    <cellStyle name="asd 32 5 7" xfId="12765"/>
    <cellStyle name="asd 32 5 8" xfId="13611"/>
    <cellStyle name="asd 32 5 9" xfId="15514"/>
    <cellStyle name="asd 32 6" xfId="3755"/>
    <cellStyle name="asd 32 6 10" xfId="19504"/>
    <cellStyle name="asd 32 6 11" xfId="21416"/>
    <cellStyle name="asd 32 6 12" xfId="24051"/>
    <cellStyle name="asd 32 6 13" xfId="25218"/>
    <cellStyle name="asd 32 6 14" xfId="26284"/>
    <cellStyle name="asd 32 6 15" xfId="28572"/>
    <cellStyle name="asd 32 6 16" xfId="29893"/>
    <cellStyle name="asd 32 6 17" xfId="31695"/>
    <cellStyle name="asd 32 6 18" xfId="34550"/>
    <cellStyle name="asd 32 6 19" xfId="36045"/>
    <cellStyle name="asd 32 6 2" xfId="5774"/>
    <cellStyle name="asd 32 6 2 10" xfId="22024"/>
    <cellStyle name="asd 32 6 2 11" xfId="23163"/>
    <cellStyle name="asd 32 6 2 12" xfId="25826"/>
    <cellStyle name="asd 32 6 2 13" xfId="27723"/>
    <cellStyle name="asd 32 6 2 14" xfId="28788"/>
    <cellStyle name="asd 32 6 2 15" xfId="31301"/>
    <cellStyle name="asd 32 6 2 16" xfId="33047"/>
    <cellStyle name="asd 32 6 2 17" xfId="34437"/>
    <cellStyle name="asd 32 6 2 18" xfId="36653"/>
    <cellStyle name="asd 32 6 2 19" xfId="38532"/>
    <cellStyle name="asd 32 6 2 2" xfId="7223"/>
    <cellStyle name="asd 32 6 2 20" xfId="40245"/>
    <cellStyle name="asd 32 6 2 21" xfId="41903"/>
    <cellStyle name="asd 32 6 2 22" xfId="42941"/>
    <cellStyle name="asd 32 6 2 3" xfId="8677"/>
    <cellStyle name="asd 32 6 2 4" xfId="10587"/>
    <cellStyle name="asd 32 6 2 5" xfId="10971"/>
    <cellStyle name="asd 32 6 2 6" xfId="13634"/>
    <cellStyle name="asd 32 6 2 7" xfId="15537"/>
    <cellStyle name="asd 32 6 2 8" xfId="18206"/>
    <cellStyle name="asd 32 6 2 9" xfId="20112"/>
    <cellStyle name="asd 32 6 20" xfId="37924"/>
    <cellStyle name="asd 32 6 21" xfId="38937"/>
    <cellStyle name="asd 32 6 22" xfId="40621"/>
    <cellStyle name="asd 32 6 23" xfId="43795"/>
    <cellStyle name="asd 32 6 3" xfId="5168"/>
    <cellStyle name="asd 32 6 4" xfId="8069"/>
    <cellStyle name="asd 32 6 5" xfId="9979"/>
    <cellStyle name="asd 32 6 6" xfId="12010"/>
    <cellStyle name="asd 32 6 7" xfId="14521"/>
    <cellStyle name="asd 32 6 8" xfId="16427"/>
    <cellStyle name="asd 32 6 9" xfId="17598"/>
    <cellStyle name="asd 32 7" xfId="1814"/>
    <cellStyle name="asd 32 7 10" xfId="18971"/>
    <cellStyle name="asd 32 7 11" xfId="20883"/>
    <cellStyle name="asd 32 7 12" xfId="23915"/>
    <cellStyle name="asd 32 7 13" xfId="24685"/>
    <cellStyle name="asd 32 7 14" xfId="27609"/>
    <cellStyle name="asd 32 7 15" xfId="3290"/>
    <cellStyle name="asd 32 7 16" xfId="31187"/>
    <cellStyle name="asd 32 7 17" xfId="2454"/>
    <cellStyle name="asd 32 7 18" xfId="2963"/>
    <cellStyle name="asd 32 7 19" xfId="35512"/>
    <cellStyle name="asd 32 7 2" xfId="5468"/>
    <cellStyle name="asd 32 7 2 10" xfId="21718"/>
    <cellStyle name="asd 32 7 2 11" xfId="23197"/>
    <cellStyle name="asd 32 7 2 12" xfId="25520"/>
    <cellStyle name="asd 32 7 2 13" xfId="27465"/>
    <cellStyle name="asd 32 7 2 14" xfId="29040"/>
    <cellStyle name="asd 32 7 2 15" xfId="31052"/>
    <cellStyle name="asd 32 7 2 16" xfId="33036"/>
    <cellStyle name="asd 32 7 2 17" xfId="34796"/>
    <cellStyle name="asd 32 7 2 18" xfId="36347"/>
    <cellStyle name="asd 32 7 2 19" xfId="38226"/>
    <cellStyle name="asd 32 7 2 2" xfId="6917"/>
    <cellStyle name="asd 32 7 2 20" xfId="40235"/>
    <cellStyle name="asd 32 7 2 21" xfId="41894"/>
    <cellStyle name="asd 32 7 2 22" xfId="42975"/>
    <cellStyle name="asd 32 7 2 3" xfId="8371"/>
    <cellStyle name="asd 32 7 2 4" xfId="10281"/>
    <cellStyle name="asd 32 7 2 5" xfId="11055"/>
    <cellStyle name="asd 32 7 2 6" xfId="13669"/>
    <cellStyle name="asd 32 7 2 7" xfId="15571"/>
    <cellStyle name="asd 32 7 2 8" xfId="17900"/>
    <cellStyle name="asd 32 7 2 9" xfId="19806"/>
    <cellStyle name="asd 32 7 20" xfId="37391"/>
    <cellStyle name="asd 32 7 21" xfId="31745"/>
    <cellStyle name="asd 32 7 22" xfId="39197"/>
    <cellStyle name="asd 32 7 23" xfId="43661"/>
    <cellStyle name="asd 32 7 3" xfId="6086"/>
    <cellStyle name="asd 32 7 4" xfId="7536"/>
    <cellStyle name="asd 32 7 5" xfId="9446"/>
    <cellStyle name="asd 32 7 6" xfId="11874"/>
    <cellStyle name="asd 32 7 7" xfId="14383"/>
    <cellStyle name="asd 32 7 8" xfId="16289"/>
    <cellStyle name="asd 32 7 9" xfId="17065"/>
    <cellStyle name="asd 32 8" xfId="2278"/>
    <cellStyle name="asd 32 9" xfId="2148"/>
    <cellStyle name="asd 33" xfId="925"/>
    <cellStyle name="asd 33 10" xfId="6208"/>
    <cellStyle name="asd 33 11" xfId="2307"/>
    <cellStyle name="asd 33 12" xfId="3277"/>
    <cellStyle name="asd 33 13" xfId="2139"/>
    <cellStyle name="asd 33 14" xfId="4862"/>
    <cellStyle name="asd 33 15" xfId="3722"/>
    <cellStyle name="asd 33 16" xfId="3159"/>
    <cellStyle name="asd 33 17" xfId="9011"/>
    <cellStyle name="asd 33 18" xfId="24249"/>
    <cellStyle name="asd 33 19" xfId="1973"/>
    <cellStyle name="asd 33 2" xfId="3386"/>
    <cellStyle name="asd 33 2 10" xfId="12831"/>
    <cellStyle name="asd 33 2 11" xfId="14736"/>
    <cellStyle name="asd 33 2 12" xfId="16714"/>
    <cellStyle name="asd 33 2 13" xfId="18621"/>
    <cellStyle name="asd 33 2 14" xfId="20533"/>
    <cellStyle name="asd 33 2 15" xfId="22364"/>
    <cellStyle name="asd 33 2 16" xfId="24335"/>
    <cellStyle name="asd 33 2 17" xfId="26711"/>
    <cellStyle name="asd 33 2 18" xfId="28216"/>
    <cellStyle name="asd 33 2 19" xfId="30311"/>
    <cellStyle name="asd 33 2 2" xfId="3566"/>
    <cellStyle name="asd 33 2 2 10" xfId="17457"/>
    <cellStyle name="asd 33 2 2 11" xfId="19363"/>
    <cellStyle name="asd 33 2 2 12" xfId="21275"/>
    <cellStyle name="asd 33 2 2 13" xfId="24202"/>
    <cellStyle name="asd 33 2 2 14" xfId="25077"/>
    <cellStyle name="asd 33 2 2 15" xfId="12793"/>
    <cellStyle name="asd 33 2 2 16" xfId="28272"/>
    <cellStyle name="asd 33 2 2 17" xfId="28609"/>
    <cellStyle name="asd 33 2 2 18" xfId="14692"/>
    <cellStyle name="asd 33 2 2 19" xfId="33825"/>
    <cellStyle name="asd 33 2 2 2" xfId="5727"/>
    <cellStyle name="asd 33 2 2 2 10" xfId="21977"/>
    <cellStyle name="asd 33 2 2 2 11" xfId="24120"/>
    <cellStyle name="asd 33 2 2 2 12" xfId="25779"/>
    <cellStyle name="asd 33 2 2 2 13" xfId="26292"/>
    <cellStyle name="asd 33 2 2 2 14" xfId="28692"/>
    <cellStyle name="asd 33 2 2 2 15" xfId="29901"/>
    <cellStyle name="asd 33 2 2 2 16" xfId="32429"/>
    <cellStyle name="asd 33 2 2 2 17" xfId="34135"/>
    <cellStyle name="asd 33 2 2 2 18" xfId="36606"/>
    <cellStyle name="asd 33 2 2 2 19" xfId="38485"/>
    <cellStyle name="asd 33 2 2 2 2" xfId="7176"/>
    <cellStyle name="asd 33 2 2 2 20" xfId="39646"/>
    <cellStyle name="asd 33 2 2 2 21" xfId="41320"/>
    <cellStyle name="asd 33 2 2 2 22" xfId="43863"/>
    <cellStyle name="asd 33 2 2 2 3" xfId="8630"/>
    <cellStyle name="asd 33 2 2 2 4" xfId="10540"/>
    <cellStyle name="asd 33 2 2 2 5" xfId="12080"/>
    <cellStyle name="asd 33 2 2 2 6" xfId="14591"/>
    <cellStyle name="asd 33 2 2 2 7" xfId="16497"/>
    <cellStyle name="asd 33 2 2 2 8" xfId="18159"/>
    <cellStyle name="asd 33 2 2 2 9" xfId="20065"/>
    <cellStyle name="asd 33 2 2 20" xfId="35904"/>
    <cellStyle name="asd 33 2 2 21" xfId="37783"/>
    <cellStyle name="asd 33 2 2 22" xfId="30750"/>
    <cellStyle name="asd 33 2 2 23" xfId="18963"/>
    <cellStyle name="asd 33 2 2 24" xfId="43940"/>
    <cellStyle name="asd 33 2 2 3" xfId="5027"/>
    <cellStyle name="asd 33 2 2 4" xfId="6477"/>
    <cellStyle name="asd 33 2 2 5" xfId="7928"/>
    <cellStyle name="asd 33 2 2 6" xfId="9838"/>
    <cellStyle name="asd 33 2 2 7" xfId="12162"/>
    <cellStyle name="asd 33 2 2 8" xfId="14674"/>
    <cellStyle name="asd 33 2 2 9" xfId="16580"/>
    <cellStyle name="asd 33 2 20" xfId="32189"/>
    <cellStyle name="asd 33 2 21" xfId="34520"/>
    <cellStyle name="asd 33 2 22" xfId="35163"/>
    <cellStyle name="asd 33 2 23" xfId="37041"/>
    <cellStyle name="asd 33 2 24" xfId="39411"/>
    <cellStyle name="asd 33 2 25" xfId="41087"/>
    <cellStyle name="asd 33 2 26" xfId="42176"/>
    <cellStyle name="asd 33 2 3" xfId="3798"/>
    <cellStyle name="asd 33 2 3 10" xfId="19533"/>
    <cellStyle name="asd 33 2 3 11" xfId="21445"/>
    <cellStyle name="asd 33 2 3 12" xfId="23213"/>
    <cellStyle name="asd 33 2 3 13" xfId="25247"/>
    <cellStyle name="asd 33 2 3 14" xfId="27078"/>
    <cellStyle name="asd 33 2 3 15" xfId="28290"/>
    <cellStyle name="asd 33 2 3 16" xfId="30669"/>
    <cellStyle name="asd 33 2 3 17" xfId="32740"/>
    <cellStyle name="asd 33 2 3 18" xfId="34930"/>
    <cellStyle name="asd 33 2 3 19" xfId="36074"/>
    <cellStyle name="asd 33 2 3 2" xfId="5803"/>
    <cellStyle name="asd 33 2 3 2 10" xfId="22053"/>
    <cellStyle name="asd 33 2 3 2 11" xfId="23498"/>
    <cellStyle name="asd 33 2 3 2 12" xfId="25855"/>
    <cellStyle name="asd 33 2 3 2 13" xfId="27539"/>
    <cellStyle name="asd 33 2 3 2 14" xfId="28222"/>
    <cellStyle name="asd 33 2 3 2 15" xfId="31120"/>
    <cellStyle name="asd 33 2 3 2 16" xfId="32555"/>
    <cellStyle name="asd 33 2 3 2 17" xfId="33918"/>
    <cellStyle name="asd 33 2 3 2 18" xfId="36682"/>
    <cellStyle name="asd 33 2 3 2 19" xfId="38561"/>
    <cellStyle name="asd 33 2 3 2 2" xfId="7252"/>
    <cellStyle name="asd 33 2 3 2 20" xfId="39768"/>
    <cellStyle name="asd 33 2 3 2 21" xfId="41438"/>
    <cellStyle name="asd 33 2 3 2 22" xfId="43264"/>
    <cellStyle name="asd 33 2 3 2 3" xfId="8706"/>
    <cellStyle name="asd 33 2 3 2 4" xfId="10616"/>
    <cellStyle name="asd 33 2 3 2 5" xfId="12451"/>
    <cellStyle name="asd 33 2 3 2 6" xfId="13970"/>
    <cellStyle name="asd 33 2 3 2 7" xfId="15871"/>
    <cellStyle name="asd 33 2 3 2 8" xfId="18235"/>
    <cellStyle name="asd 33 2 3 2 9" xfId="20141"/>
    <cellStyle name="asd 33 2 3 20" xfId="37953"/>
    <cellStyle name="asd 33 2 3 21" xfId="39948"/>
    <cellStyle name="asd 33 2 3 22" xfId="41614"/>
    <cellStyle name="asd 33 2 3 23" xfId="42991"/>
    <cellStyle name="asd 33 2 3 3" xfId="5197"/>
    <cellStyle name="asd 33 2 3 4" xfId="8098"/>
    <cellStyle name="asd 33 2 3 5" xfId="10008"/>
    <cellStyle name="asd 33 2 3 6" xfId="11085"/>
    <cellStyle name="asd 33 2 3 7" xfId="13685"/>
    <cellStyle name="asd 33 2 3 8" xfId="15587"/>
    <cellStyle name="asd 33 2 3 9" xfId="17627"/>
    <cellStyle name="asd 33 2 4" xfId="4018"/>
    <cellStyle name="asd 33 2 4 10" xfId="19653"/>
    <cellStyle name="asd 33 2 4 11" xfId="21565"/>
    <cellStyle name="asd 33 2 4 12" xfId="22454"/>
    <cellStyle name="asd 33 2 4 13" xfId="25367"/>
    <cellStyle name="asd 33 2 4 14" xfId="26287"/>
    <cellStyle name="asd 33 2 4 15" xfId="28480"/>
    <cellStyle name="asd 33 2 4 16" xfId="29896"/>
    <cellStyle name="asd 33 2 4 17" xfId="33259"/>
    <cellStyle name="asd 33 2 4 18" xfId="33599"/>
    <cellStyle name="asd 33 2 4 19" xfId="36194"/>
    <cellStyle name="asd 33 2 4 2" xfId="5923"/>
    <cellStyle name="asd 33 2 4 2 10" xfId="22173"/>
    <cellStyle name="asd 33 2 4 2 11" xfId="23820"/>
    <cellStyle name="asd 33 2 4 2 12" xfId="25975"/>
    <cellStyle name="asd 33 2 4 2 13" xfId="27349"/>
    <cellStyle name="asd 33 2 4 2 14" xfId="29118"/>
    <cellStyle name="asd 33 2 4 2 15" xfId="30937"/>
    <cellStyle name="asd 33 2 4 2 16" xfId="31883"/>
    <cellStyle name="asd 33 2 4 2 17" xfId="34096"/>
    <cellStyle name="asd 33 2 4 2 18" xfId="36802"/>
    <cellStyle name="asd 33 2 4 2 19" xfId="38681"/>
    <cellStyle name="asd 33 2 4 2 2" xfId="7372"/>
    <cellStyle name="asd 33 2 4 2 20" xfId="39118"/>
    <cellStyle name="asd 33 2 4 2 21" xfId="40799"/>
    <cellStyle name="asd 33 2 4 2 22" xfId="43571"/>
    <cellStyle name="asd 33 2 4 2 3" xfId="8826"/>
    <cellStyle name="asd 33 2 4 2 4" xfId="10736"/>
    <cellStyle name="asd 33 2 4 2 5" xfId="11650"/>
    <cellStyle name="asd 33 2 4 2 6" xfId="14290"/>
    <cellStyle name="asd 33 2 4 2 7" xfId="16194"/>
    <cellStyle name="asd 33 2 4 2 8" xfId="18355"/>
    <cellStyle name="asd 33 2 4 2 9" xfId="20261"/>
    <cellStyle name="asd 33 2 4 20" xfId="38073"/>
    <cellStyle name="asd 33 2 4 21" xfId="40445"/>
    <cellStyle name="asd 33 2 4 22" xfId="42100"/>
    <cellStyle name="asd 33 2 4 23" xfId="42265"/>
    <cellStyle name="asd 33 2 4 3" xfId="6764"/>
    <cellStyle name="asd 33 2 4 4" xfId="8218"/>
    <cellStyle name="asd 33 2 4 5" xfId="10128"/>
    <cellStyle name="asd 33 2 4 6" xfId="11352"/>
    <cellStyle name="asd 33 2 4 7" xfId="12922"/>
    <cellStyle name="asd 33 2 4 8" xfId="14827"/>
    <cellStyle name="asd 33 2 4 9" xfId="17747"/>
    <cellStyle name="asd 33 2 5" xfId="4887"/>
    <cellStyle name="asd 33 2 5 10" xfId="21135"/>
    <cellStyle name="asd 33 2 5 11" xfId="2863"/>
    <cellStyle name="asd 33 2 5 12" xfId="24937"/>
    <cellStyle name="asd 33 2 5 13" xfId="26156"/>
    <cellStyle name="asd 33 2 5 14" xfId="2387"/>
    <cellStyle name="asd 33 2 5 15" xfId="29770"/>
    <cellStyle name="asd 33 2 5 16" xfId="3289"/>
    <cellStyle name="asd 33 2 5 17" xfId="33603"/>
    <cellStyle name="asd 33 2 5 18" xfId="35764"/>
    <cellStyle name="asd 33 2 5 19" xfId="37643"/>
    <cellStyle name="asd 33 2 5 2" xfId="6337"/>
    <cellStyle name="asd 33 2 5 20" xfId="4174"/>
    <cellStyle name="asd 33 2 5 21" xfId="29024"/>
    <cellStyle name="asd 33 2 5 22" xfId="29260"/>
    <cellStyle name="asd 33 2 5 3" xfId="7788"/>
    <cellStyle name="asd 33 2 5 4" xfId="9698"/>
    <cellStyle name="asd 33 2 5 5" xfId="12421"/>
    <cellStyle name="asd 33 2 5 6" xfId="3106"/>
    <cellStyle name="asd 33 2 5 7" xfId="2533"/>
    <cellStyle name="asd 33 2 5 8" xfId="17317"/>
    <cellStyle name="asd 33 2 5 9" xfId="19223"/>
    <cellStyle name="asd 33 2 6" xfId="5595"/>
    <cellStyle name="asd 33 2 6 10" xfId="21845"/>
    <cellStyle name="asd 33 2 6 11" xfId="24071"/>
    <cellStyle name="asd 33 2 6 12" xfId="25647"/>
    <cellStyle name="asd 33 2 6 13" xfId="27903"/>
    <cellStyle name="asd 33 2 6 14" xfId="28955"/>
    <cellStyle name="asd 33 2 6 15" xfId="31485"/>
    <cellStyle name="asd 33 2 6 16" xfId="33110"/>
    <cellStyle name="asd 33 2 6 17" xfId="34273"/>
    <cellStyle name="asd 33 2 6 18" xfId="36474"/>
    <cellStyle name="asd 33 2 6 19" xfId="38353"/>
    <cellStyle name="asd 33 2 6 2" xfId="7044"/>
    <cellStyle name="asd 33 2 6 20" xfId="40305"/>
    <cellStyle name="asd 33 2 6 21" xfId="41961"/>
    <cellStyle name="asd 33 2 6 22" xfId="43815"/>
    <cellStyle name="asd 33 2 6 3" xfId="8498"/>
    <cellStyle name="asd 33 2 6 4" xfId="10408"/>
    <cellStyle name="asd 33 2 6 5" xfId="12030"/>
    <cellStyle name="asd 33 2 6 6" xfId="14541"/>
    <cellStyle name="asd 33 2 6 7" xfId="16447"/>
    <cellStyle name="asd 33 2 6 8" xfId="18027"/>
    <cellStyle name="asd 33 2 6 9" xfId="19933"/>
    <cellStyle name="asd 33 2 7" xfId="3731"/>
    <cellStyle name="asd 33 2 8" xfId="9095"/>
    <cellStyle name="asd 33 2 9" xfId="11586"/>
    <cellStyle name="asd 33 20" xfId="29044"/>
    <cellStyle name="asd 33 21" xfId="28776"/>
    <cellStyle name="asd 33 22" xfId="24227"/>
    <cellStyle name="asd 33 23" xfId="8963"/>
    <cellStyle name="asd 33 24" xfId="29558"/>
    <cellStyle name="asd 33 25" xfId="31568"/>
    <cellStyle name="asd 33 26" xfId="36944"/>
    <cellStyle name="asd 33 27" xfId="28198"/>
    <cellStyle name="asd 33 3" xfId="3464"/>
    <cellStyle name="asd 33 3 10" xfId="13626"/>
    <cellStyle name="asd 33 3 11" xfId="15529"/>
    <cellStyle name="asd 33 3 12" xfId="16877"/>
    <cellStyle name="asd 33 3 13" xfId="18784"/>
    <cellStyle name="asd 33 3 14" xfId="20696"/>
    <cellStyle name="asd 33 3 15" xfId="23155"/>
    <cellStyle name="asd 33 3 16" xfId="24498"/>
    <cellStyle name="asd 33 3 17" xfId="26717"/>
    <cellStyle name="asd 33 3 18" xfId="26924"/>
    <cellStyle name="asd 33 3 19" xfId="30317"/>
    <cellStyle name="asd 33 3 2" xfId="3644"/>
    <cellStyle name="asd 33 3 2 10" xfId="17535"/>
    <cellStyle name="asd 33 3 2 11" xfId="19441"/>
    <cellStyle name="asd 33 3 2 12" xfId="21353"/>
    <cellStyle name="asd 33 3 2 13" xfId="23344"/>
    <cellStyle name="asd 33 3 2 14" xfId="25155"/>
    <cellStyle name="asd 33 3 2 15" xfId="27626"/>
    <cellStyle name="asd 33 3 2 16" xfId="2519"/>
    <cellStyle name="asd 33 3 2 17" xfId="31204"/>
    <cellStyle name="asd 33 3 2 18" xfId="33321"/>
    <cellStyle name="asd 33 3 2 19" xfId="29758"/>
    <cellStyle name="asd 33 3 2 2" xfId="4613"/>
    <cellStyle name="asd 33 3 2 2 10" xfId="20858"/>
    <cellStyle name="asd 33 3 2 2 11" xfId="23974"/>
    <cellStyle name="asd 33 3 2 2 12" xfId="24660"/>
    <cellStyle name="asd 33 3 2 2 13" xfId="27757"/>
    <cellStyle name="asd 33 3 2 2 14" xfId="29716"/>
    <cellStyle name="asd 33 3 2 2 15" xfId="31336"/>
    <cellStyle name="asd 33 3 2 2 16" xfId="31646"/>
    <cellStyle name="asd 33 3 2 2 17" xfId="34159"/>
    <cellStyle name="asd 33 3 2 2 18" xfId="35488"/>
    <cellStyle name="asd 33 3 2 2 19" xfId="37366"/>
    <cellStyle name="asd 33 3 2 2 2" xfId="6061"/>
    <cellStyle name="asd 33 3 2 2 20" xfId="38891"/>
    <cellStyle name="asd 33 3 2 2 21" xfId="40576"/>
    <cellStyle name="asd 33 3 2 2 22" xfId="43719"/>
    <cellStyle name="asd 33 3 2 2 3" xfId="7510"/>
    <cellStyle name="asd 33 3 2 2 4" xfId="9420"/>
    <cellStyle name="asd 33 3 2 2 5" xfId="11934"/>
    <cellStyle name="asd 33 3 2 2 6" xfId="14444"/>
    <cellStyle name="asd 33 3 2 2 7" xfId="16350"/>
    <cellStyle name="asd 33 3 2 2 8" xfId="17039"/>
    <cellStyle name="asd 33 3 2 2 9" xfId="18946"/>
    <cellStyle name="asd 33 3 2 20" xfId="35982"/>
    <cellStyle name="asd 33 3 2 21" xfId="37861"/>
    <cellStyle name="asd 33 3 2 22" xfId="40501"/>
    <cellStyle name="asd 33 3 2 23" xfId="42153"/>
    <cellStyle name="asd 33 3 2 24" xfId="43114"/>
    <cellStyle name="asd 33 3 2 3" xfId="5105"/>
    <cellStyle name="asd 33 3 2 4" xfId="6555"/>
    <cellStyle name="asd 33 3 2 5" xfId="8006"/>
    <cellStyle name="asd 33 3 2 6" xfId="9916"/>
    <cellStyle name="asd 33 3 2 7" xfId="12267"/>
    <cellStyle name="asd 33 3 2 8" xfId="13816"/>
    <cellStyle name="asd 33 3 2 9" xfId="15718"/>
    <cellStyle name="asd 33 3 20" xfId="33322"/>
    <cellStyle name="asd 33 3 21" xfId="29801"/>
    <cellStyle name="asd 33 3 22" xfId="35326"/>
    <cellStyle name="asd 33 3 23" xfId="37204"/>
    <cellStyle name="asd 33 3 24" xfId="40502"/>
    <cellStyle name="asd 33 3 25" xfId="42154"/>
    <cellStyle name="asd 33 3 26" xfId="42933"/>
    <cellStyle name="asd 33 3 3" xfId="3847"/>
    <cellStyle name="asd 33 3 3 10" xfId="19569"/>
    <cellStyle name="asd 33 3 3 11" xfId="21481"/>
    <cellStyle name="asd 33 3 3 12" xfId="23133"/>
    <cellStyle name="asd 33 3 3 13" xfId="25283"/>
    <cellStyle name="asd 33 3 3 14" xfId="27017"/>
    <cellStyle name="asd 33 3 3 15" xfId="3255"/>
    <cellStyle name="asd 33 3 3 16" xfId="30610"/>
    <cellStyle name="asd 33 3 3 17" xfId="32342"/>
    <cellStyle name="asd 33 3 3 18" xfId="34929"/>
    <cellStyle name="asd 33 3 3 19" xfId="36110"/>
    <cellStyle name="asd 33 3 3 2" xfId="5839"/>
    <cellStyle name="asd 33 3 3 2 10" xfId="22089"/>
    <cellStyle name="asd 33 3 3 2 11" xfId="22624"/>
    <cellStyle name="asd 33 3 3 2 12" xfId="25891"/>
    <cellStyle name="asd 33 3 3 2 13" xfId="27721"/>
    <cellStyle name="asd 33 3 3 2 14" xfId="28784"/>
    <cellStyle name="asd 33 3 3 2 15" xfId="31299"/>
    <cellStyle name="asd 33 3 3 2 16" xfId="32894"/>
    <cellStyle name="asd 33 3 3 2 17" xfId="34802"/>
    <cellStyle name="asd 33 3 3 2 18" xfId="36718"/>
    <cellStyle name="asd 33 3 3 2 19" xfId="38597"/>
    <cellStyle name="asd 33 3 3 2 2" xfId="7288"/>
    <cellStyle name="asd 33 3 3 2 20" xfId="40098"/>
    <cellStyle name="asd 33 3 3 2 21" xfId="41760"/>
    <cellStyle name="asd 33 3 3 2 22" xfId="42430"/>
    <cellStyle name="asd 33 3 3 2 3" xfId="8742"/>
    <cellStyle name="asd 33 3 3 2 4" xfId="10652"/>
    <cellStyle name="asd 33 3 3 2 5" xfId="11840"/>
    <cellStyle name="asd 33 3 3 2 6" xfId="13091"/>
    <cellStyle name="asd 33 3 3 2 7" xfId="14996"/>
    <cellStyle name="asd 33 3 3 2 8" xfId="18271"/>
    <cellStyle name="asd 33 3 3 2 9" xfId="20177"/>
    <cellStyle name="asd 33 3 3 20" xfId="37989"/>
    <cellStyle name="asd 33 3 3 21" xfId="39561"/>
    <cellStyle name="asd 33 3 3 22" xfId="41235"/>
    <cellStyle name="asd 33 3 3 23" xfId="42911"/>
    <cellStyle name="asd 33 3 3 3" xfId="5233"/>
    <cellStyle name="asd 33 3 3 4" xfId="8134"/>
    <cellStyle name="asd 33 3 3 5" xfId="10044"/>
    <cellStyle name="asd 33 3 3 6" xfId="12757"/>
    <cellStyle name="asd 33 3 3 7" xfId="13604"/>
    <cellStyle name="asd 33 3 3 8" xfId="15507"/>
    <cellStyle name="asd 33 3 3 9" xfId="17663"/>
    <cellStyle name="asd 33 3 4" xfId="4096"/>
    <cellStyle name="asd 33 3 4 10" xfId="19731"/>
    <cellStyle name="asd 33 3 4 11" xfId="21643"/>
    <cellStyle name="asd 33 3 4 12" xfId="23271"/>
    <cellStyle name="asd 33 3 4 13" xfId="25445"/>
    <cellStyle name="asd 33 3 4 14" xfId="26198"/>
    <cellStyle name="asd 33 3 4 15" xfId="28477"/>
    <cellStyle name="asd 33 3 4 16" xfId="29811"/>
    <cellStyle name="asd 33 3 4 17" xfId="33094"/>
    <cellStyle name="asd 33 3 4 18" xfId="34780"/>
    <cellStyle name="asd 33 3 4 19" xfId="36272"/>
    <cellStyle name="asd 33 3 4 2" xfId="6001"/>
    <cellStyle name="asd 33 3 4 2 10" xfId="22251"/>
    <cellStyle name="asd 33 3 4 2 11" xfId="23431"/>
    <cellStyle name="asd 33 3 4 2 12" xfId="26053"/>
    <cellStyle name="asd 33 3 4 2 13" xfId="16615"/>
    <cellStyle name="asd 33 3 4 2 14" xfId="23099"/>
    <cellStyle name="asd 33 3 4 2 15" xfId="24241"/>
    <cellStyle name="asd 33 3 4 2 16" xfId="2289"/>
    <cellStyle name="asd 33 3 4 2 17" xfId="32483"/>
    <cellStyle name="asd 33 3 4 2 18" xfId="36880"/>
    <cellStyle name="asd 33 3 4 2 19" xfId="38759"/>
    <cellStyle name="asd 33 3 4 2 2" xfId="7450"/>
    <cellStyle name="asd 33 3 4 2 20" xfId="26463"/>
    <cellStyle name="asd 33 3 4 2 21" xfId="31577"/>
    <cellStyle name="asd 33 3 4 2 22" xfId="43198"/>
    <cellStyle name="asd 33 3 4 2 3" xfId="8904"/>
    <cellStyle name="asd 33 3 4 2 4" xfId="10814"/>
    <cellStyle name="asd 33 3 4 2 5" xfId="12490"/>
    <cellStyle name="asd 33 3 4 2 6" xfId="13903"/>
    <cellStyle name="asd 33 3 4 2 7" xfId="15804"/>
    <cellStyle name="asd 33 3 4 2 8" xfId="18433"/>
    <cellStyle name="asd 33 3 4 2 9" xfId="20339"/>
    <cellStyle name="asd 33 3 4 20" xfId="38151"/>
    <cellStyle name="asd 33 3 4 21" xfId="40290"/>
    <cellStyle name="asd 33 3 4 22" xfId="41946"/>
    <cellStyle name="asd 33 3 4 23" xfId="43047"/>
    <cellStyle name="asd 33 3 4 3" xfId="6842"/>
    <cellStyle name="asd 33 3 4 4" xfId="8296"/>
    <cellStyle name="asd 33 3 4 5" xfId="10206"/>
    <cellStyle name="asd 33 3 4 6" xfId="11206"/>
    <cellStyle name="asd 33 3 4 7" xfId="13743"/>
    <cellStyle name="asd 33 3 4 8" xfId="15645"/>
    <cellStyle name="asd 33 3 4 9" xfId="17825"/>
    <cellStyle name="asd 33 3 5" xfId="4949"/>
    <cellStyle name="asd 33 3 5 10" xfId="21197"/>
    <cellStyle name="asd 33 3 5 11" xfId="23416"/>
    <cellStyle name="asd 33 3 5 12" xfId="24999"/>
    <cellStyle name="asd 33 3 5 13" xfId="27336"/>
    <cellStyle name="asd 33 3 5 14" xfId="28453"/>
    <cellStyle name="asd 33 3 5 15" xfId="30925"/>
    <cellStyle name="asd 33 3 5 16" xfId="32802"/>
    <cellStyle name="asd 33 3 5 17" xfId="34294"/>
    <cellStyle name="asd 33 3 5 18" xfId="35826"/>
    <cellStyle name="asd 33 3 5 19" xfId="37705"/>
    <cellStyle name="asd 33 3 5 2" xfId="6399"/>
    <cellStyle name="asd 33 3 5 20" xfId="40011"/>
    <cellStyle name="asd 33 3 5 21" xfId="41675"/>
    <cellStyle name="asd 33 3 5 22" xfId="43183"/>
    <cellStyle name="asd 33 3 5 3" xfId="7850"/>
    <cellStyle name="asd 33 3 5 4" xfId="9760"/>
    <cellStyle name="asd 33 3 5 5" xfId="12331"/>
    <cellStyle name="asd 33 3 5 6" xfId="13888"/>
    <cellStyle name="asd 33 3 5 7" xfId="15789"/>
    <cellStyle name="asd 33 3 5 8" xfId="17379"/>
    <cellStyle name="asd 33 3 5 9" xfId="19285"/>
    <cellStyle name="asd 33 3 6" xfId="4337"/>
    <cellStyle name="asd 33 3 6 10" xfId="20505"/>
    <cellStyle name="asd 33 3 6 11" xfId="23853"/>
    <cellStyle name="asd 33 3 6 12" xfId="24307"/>
    <cellStyle name="asd 33 3 6 13" xfId="27254"/>
    <cellStyle name="asd 33 3 6 14" xfId="28741"/>
    <cellStyle name="asd 33 3 6 15" xfId="30845"/>
    <cellStyle name="asd 33 3 6 16" xfId="32003"/>
    <cellStyle name="asd 33 3 6 17" xfId="34248"/>
    <cellStyle name="asd 33 3 6 18" xfId="35135"/>
    <cellStyle name="asd 33 3 6 19" xfId="37013"/>
    <cellStyle name="asd 33 3 6 2" xfId="5430"/>
    <cellStyle name="asd 33 3 6 20" xfId="39234"/>
    <cellStyle name="asd 33 3 6 21" xfId="40911"/>
    <cellStyle name="asd 33 3 6 22" xfId="43604"/>
    <cellStyle name="asd 33 3 6 3" xfId="6704"/>
    <cellStyle name="asd 33 3 6 4" xfId="9067"/>
    <cellStyle name="asd 33 3 6 5" xfId="11774"/>
    <cellStyle name="asd 33 3 6 6" xfId="14323"/>
    <cellStyle name="asd 33 3 6 7" xfId="16227"/>
    <cellStyle name="asd 33 3 6 8" xfId="16686"/>
    <cellStyle name="asd 33 3 6 9" xfId="18593"/>
    <cellStyle name="asd 33 3 7" xfId="4770"/>
    <cellStyle name="asd 33 3 8" xfId="9258"/>
    <cellStyle name="asd 33 3 9" xfId="10953"/>
    <cellStyle name="asd 33 4" xfId="3424"/>
    <cellStyle name="asd 33 4 10" xfId="14743"/>
    <cellStyle name="asd 33 4 11" xfId="16796"/>
    <cellStyle name="asd 33 4 12" xfId="18703"/>
    <cellStyle name="asd 33 4 13" xfId="20615"/>
    <cellStyle name="asd 33 4 14" xfId="22371"/>
    <cellStyle name="asd 33 4 15" xfId="24417"/>
    <cellStyle name="asd 33 4 16" xfId="27118"/>
    <cellStyle name="asd 33 4 17" xfId="29460"/>
    <cellStyle name="asd 33 4 18" xfId="30709"/>
    <cellStyle name="asd 33 4 19" xfId="33220"/>
    <cellStyle name="asd 33 4 2" xfId="3604"/>
    <cellStyle name="asd 33 4 2 10" xfId="17495"/>
    <cellStyle name="asd 33 4 2 11" xfId="19401"/>
    <cellStyle name="asd 33 4 2 12" xfId="21313"/>
    <cellStyle name="asd 33 4 2 13" xfId="23284"/>
    <cellStyle name="asd 33 4 2 14" xfId="25115"/>
    <cellStyle name="asd 33 4 2 15" xfId="27357"/>
    <cellStyle name="asd 33 4 2 16" xfId="28897"/>
    <cellStyle name="asd 33 4 2 17" xfId="30946"/>
    <cellStyle name="asd 33 4 2 18" xfId="33192"/>
    <cellStyle name="asd 33 4 2 19" xfId="34726"/>
    <cellStyle name="asd 33 4 2 2" xfId="5694"/>
    <cellStyle name="asd 33 4 2 2 10" xfId="21944"/>
    <cellStyle name="asd 33 4 2 2 11" xfId="24191"/>
    <cellStyle name="asd 33 4 2 2 12" xfId="25746"/>
    <cellStyle name="asd 33 4 2 2 13" xfId="3145"/>
    <cellStyle name="asd 33 4 2 2 14" xfId="20404"/>
    <cellStyle name="asd 33 4 2 2 15" xfId="24205"/>
    <cellStyle name="asd 33 4 2 2 16" xfId="29740"/>
    <cellStyle name="asd 33 4 2 2 17" xfId="29509"/>
    <cellStyle name="asd 33 4 2 2 18" xfId="36573"/>
    <cellStyle name="asd 33 4 2 2 19" xfId="38452"/>
    <cellStyle name="asd 33 4 2 2 2" xfId="7143"/>
    <cellStyle name="asd 33 4 2 2 20" xfId="15956"/>
    <cellStyle name="asd 33 4 2 2 21" xfId="34620"/>
    <cellStyle name="asd 33 4 2 2 22" xfId="43929"/>
    <cellStyle name="asd 33 4 2 2 3" xfId="8597"/>
    <cellStyle name="asd 33 4 2 2 4" xfId="10507"/>
    <cellStyle name="asd 33 4 2 2 5" xfId="12151"/>
    <cellStyle name="asd 33 4 2 2 6" xfId="14663"/>
    <cellStyle name="asd 33 4 2 2 7" xfId="16569"/>
    <cellStyle name="asd 33 4 2 2 8" xfId="18126"/>
    <cellStyle name="asd 33 4 2 2 9" xfId="20032"/>
    <cellStyle name="asd 33 4 2 20" xfId="35942"/>
    <cellStyle name="asd 33 4 2 21" xfId="37821"/>
    <cellStyle name="asd 33 4 2 22" xfId="40383"/>
    <cellStyle name="asd 33 4 2 23" xfId="42039"/>
    <cellStyle name="asd 33 4 2 24" xfId="43060"/>
    <cellStyle name="asd 33 4 2 3" xfId="5065"/>
    <cellStyle name="asd 33 4 2 4" xfId="6515"/>
    <cellStyle name="asd 33 4 2 5" xfId="7966"/>
    <cellStyle name="asd 33 4 2 6" xfId="9876"/>
    <cellStyle name="asd 33 4 2 7" xfId="11234"/>
    <cellStyle name="asd 33 4 2 8" xfId="13756"/>
    <cellStyle name="asd 33 4 2 9" xfId="15658"/>
    <cellStyle name="asd 33 4 20" xfId="34018"/>
    <cellStyle name="asd 33 4 21" xfId="35245"/>
    <cellStyle name="asd 33 4 22" xfId="37123"/>
    <cellStyle name="asd 33 4 23" xfId="40410"/>
    <cellStyle name="asd 33 4 24" xfId="42066"/>
    <cellStyle name="asd 33 4 25" xfId="42183"/>
    <cellStyle name="asd 33 4 3" xfId="3885"/>
    <cellStyle name="asd 33 4 3 10" xfId="19594"/>
    <cellStyle name="asd 33 4 3 11" xfId="21506"/>
    <cellStyle name="asd 33 4 3 12" xfId="24113"/>
    <cellStyle name="asd 33 4 3 13" xfId="25308"/>
    <cellStyle name="asd 33 4 3 14" xfId="27292"/>
    <cellStyle name="asd 33 4 3 15" xfId="4213"/>
    <cellStyle name="asd 33 4 3 16" xfId="30883"/>
    <cellStyle name="asd 33 4 3 17" xfId="33211"/>
    <cellStyle name="asd 33 4 3 18" xfId="33864"/>
    <cellStyle name="asd 33 4 3 19" xfId="36135"/>
    <cellStyle name="asd 33 4 3 2" xfId="5864"/>
    <cellStyle name="asd 33 4 3 2 10" xfId="22114"/>
    <cellStyle name="asd 33 4 3 2 11" xfId="23225"/>
    <cellStyle name="asd 33 4 3 2 12" xfId="25916"/>
    <cellStyle name="asd 33 4 3 2 13" xfId="26837"/>
    <cellStyle name="asd 33 4 3 2 14" xfId="28363"/>
    <cellStyle name="asd 33 4 3 2 15" xfId="30435"/>
    <cellStyle name="asd 33 4 3 2 16" xfId="32198"/>
    <cellStyle name="asd 33 4 3 2 17" xfId="34057"/>
    <cellStyle name="asd 33 4 3 2 18" xfId="36743"/>
    <cellStyle name="asd 33 4 3 2 19" xfId="38622"/>
    <cellStyle name="asd 33 4 3 2 2" xfId="7313"/>
    <cellStyle name="asd 33 4 3 2 20" xfId="39420"/>
    <cellStyle name="asd 33 4 3 2 21" xfId="41096"/>
    <cellStyle name="asd 33 4 3 2 22" xfId="43002"/>
    <cellStyle name="asd 33 4 3 2 3" xfId="8767"/>
    <cellStyle name="asd 33 4 3 2 4" xfId="10677"/>
    <cellStyle name="asd 33 4 3 2 5" xfId="11104"/>
    <cellStyle name="asd 33 4 3 2 6" xfId="13697"/>
    <cellStyle name="asd 33 4 3 2 7" xfId="15599"/>
    <cellStyle name="asd 33 4 3 2 8" xfId="18296"/>
    <cellStyle name="asd 33 4 3 2 9" xfId="20202"/>
    <cellStyle name="asd 33 4 3 20" xfId="38014"/>
    <cellStyle name="asd 33 4 3 21" xfId="40400"/>
    <cellStyle name="asd 33 4 3 22" xfId="42056"/>
    <cellStyle name="asd 33 4 3 23" xfId="43856"/>
    <cellStyle name="asd 33 4 3 3" xfId="5258"/>
    <cellStyle name="asd 33 4 3 4" xfId="8159"/>
    <cellStyle name="asd 33 4 3 5" xfId="10069"/>
    <cellStyle name="asd 33 4 3 6" xfId="12073"/>
    <cellStyle name="asd 33 4 3 7" xfId="14584"/>
    <cellStyle name="asd 33 4 3 8" xfId="16490"/>
    <cellStyle name="asd 33 4 3 9" xfId="17688"/>
    <cellStyle name="asd 33 4 4" xfId="4056"/>
    <cellStyle name="asd 33 4 4 10" xfId="19691"/>
    <cellStyle name="asd 33 4 4 11" xfId="21603"/>
    <cellStyle name="asd 33 4 4 12" xfId="22919"/>
    <cellStyle name="asd 33 4 4 13" xfId="25405"/>
    <cellStyle name="asd 33 4 4 14" xfId="26566"/>
    <cellStyle name="asd 33 4 4 15" xfId="28088"/>
    <cellStyle name="asd 33 4 4 16" xfId="30168"/>
    <cellStyle name="asd 33 4 4 17" xfId="33082"/>
    <cellStyle name="asd 33 4 4 18" xfId="34079"/>
    <cellStyle name="asd 33 4 4 19" xfId="36232"/>
    <cellStyle name="asd 33 4 4 2" xfId="5961"/>
    <cellStyle name="asd 33 4 4 2 10" xfId="22211"/>
    <cellStyle name="asd 33 4 4 2 11" xfId="22817"/>
    <cellStyle name="asd 33 4 4 2 12" xfId="26013"/>
    <cellStyle name="asd 33 4 4 2 13" xfId="26741"/>
    <cellStyle name="asd 33 4 4 2 14" xfId="29542"/>
    <cellStyle name="asd 33 4 4 2 15" xfId="30341"/>
    <cellStyle name="asd 33 4 4 2 16" xfId="33185"/>
    <cellStyle name="asd 33 4 4 2 17" xfId="35030"/>
    <cellStyle name="asd 33 4 4 2 18" xfId="36840"/>
    <cellStyle name="asd 33 4 4 2 19" xfId="38719"/>
    <cellStyle name="asd 33 4 4 2 2" xfId="7410"/>
    <cellStyle name="asd 33 4 4 2 20" xfId="40376"/>
    <cellStyle name="asd 33 4 4 2 21" xfId="42032"/>
    <cellStyle name="asd 33 4 4 2 22" xfId="42610"/>
    <cellStyle name="asd 33 4 4 2 3" xfId="8864"/>
    <cellStyle name="asd 33 4 4 2 4" xfId="10774"/>
    <cellStyle name="asd 33 4 4 2 5" xfId="11337"/>
    <cellStyle name="asd 33 4 4 2 6" xfId="13287"/>
    <cellStyle name="asd 33 4 4 2 7" xfId="15191"/>
    <cellStyle name="asd 33 4 4 2 8" xfId="18393"/>
    <cellStyle name="asd 33 4 4 2 9" xfId="20299"/>
    <cellStyle name="asd 33 4 4 20" xfId="38111"/>
    <cellStyle name="asd 33 4 4 21" xfId="40278"/>
    <cellStyle name="asd 33 4 4 22" xfId="41934"/>
    <cellStyle name="asd 33 4 4 23" xfId="42705"/>
    <cellStyle name="asd 33 4 4 3" xfId="6802"/>
    <cellStyle name="asd 33 4 4 4" xfId="8256"/>
    <cellStyle name="asd 33 4 4 5" xfId="10166"/>
    <cellStyle name="asd 33 4 4 6" xfId="11118"/>
    <cellStyle name="asd 33 4 4 7" xfId="13387"/>
    <cellStyle name="asd 33 4 4 8" xfId="15292"/>
    <cellStyle name="asd 33 4 4 9" xfId="17785"/>
    <cellStyle name="asd 33 4 5" xfId="4414"/>
    <cellStyle name="asd 33 4 5 10" xfId="20658"/>
    <cellStyle name="asd 33 4 5 11" xfId="24139"/>
    <cellStyle name="asd 33 4 5 12" xfId="24460"/>
    <cellStyle name="asd 33 4 5 13" xfId="26768"/>
    <cellStyle name="asd 33 4 5 14" xfId="28511"/>
    <cellStyle name="asd 33 4 5 15" xfId="30367"/>
    <cellStyle name="asd 33 4 5 16" xfId="32067"/>
    <cellStyle name="asd 33 4 5 17" xfId="33411"/>
    <cellStyle name="asd 33 4 5 18" xfId="35288"/>
    <cellStyle name="asd 33 4 5 19" xfId="37166"/>
    <cellStyle name="asd 33 4 5 2" xfId="4484"/>
    <cellStyle name="asd 33 4 5 20" xfId="39293"/>
    <cellStyle name="asd 33 4 5 21" xfId="40969"/>
    <cellStyle name="asd 33 4 5 22" xfId="43882"/>
    <cellStyle name="asd 33 4 5 3" xfId="5318"/>
    <cellStyle name="asd 33 4 5 4" xfId="9220"/>
    <cellStyle name="asd 33 4 5 5" xfId="12099"/>
    <cellStyle name="asd 33 4 5 6" xfId="14610"/>
    <cellStyle name="asd 33 4 5 7" xfId="16516"/>
    <cellStyle name="asd 33 4 5 8" xfId="16839"/>
    <cellStyle name="asd 33 4 5 9" xfId="18746"/>
    <cellStyle name="asd 33 4 6" xfId="6159"/>
    <cellStyle name="asd 33 4 7" xfId="9177"/>
    <cellStyle name="asd 33 4 8" xfId="12603"/>
    <cellStyle name="asd 33 4 9" xfId="12838"/>
    <cellStyle name="asd 33 5" xfId="1883"/>
    <cellStyle name="asd 33 5 10" xfId="17075"/>
    <cellStyle name="asd 33 5 11" xfId="18981"/>
    <cellStyle name="asd 33 5 12" xfId="20893"/>
    <cellStyle name="asd 33 5 13" xfId="23204"/>
    <cellStyle name="asd 33 5 14" xfId="24695"/>
    <cellStyle name="asd 33 5 15" xfId="26664"/>
    <cellStyle name="asd 33 5 16" xfId="29261"/>
    <cellStyle name="asd 33 5 17" xfId="30264"/>
    <cellStyle name="asd 33 5 18" xfId="32772"/>
    <cellStyle name="asd 33 5 19" xfId="34105"/>
    <cellStyle name="asd 33 5 2" xfId="5690"/>
    <cellStyle name="asd 33 5 2 10" xfId="21940"/>
    <cellStyle name="asd 33 5 2 11" xfId="23187"/>
    <cellStyle name="asd 33 5 2 12" xfId="25742"/>
    <cellStyle name="asd 33 5 2 13" xfId="27784"/>
    <cellStyle name="asd 33 5 2 14" xfId="29578"/>
    <cellStyle name="asd 33 5 2 15" xfId="31361"/>
    <cellStyle name="asd 33 5 2 16" xfId="32689"/>
    <cellStyle name="asd 33 5 2 17" xfId="34434"/>
    <cellStyle name="asd 33 5 2 18" xfId="36569"/>
    <cellStyle name="asd 33 5 2 19" xfId="38448"/>
    <cellStyle name="asd 33 5 2 2" xfId="7139"/>
    <cellStyle name="asd 33 5 2 20" xfId="39897"/>
    <cellStyle name="asd 33 5 2 21" xfId="41566"/>
    <cellStyle name="asd 33 5 2 22" xfId="42965"/>
    <cellStyle name="asd 33 5 2 3" xfId="8593"/>
    <cellStyle name="asd 33 5 2 4" xfId="10503"/>
    <cellStyle name="asd 33 5 2 5" xfId="11024"/>
    <cellStyle name="asd 33 5 2 6" xfId="13658"/>
    <cellStyle name="asd 33 5 2 7" xfId="15561"/>
    <cellStyle name="asd 33 5 2 8" xfId="18122"/>
    <cellStyle name="asd 33 5 2 9" xfId="20028"/>
    <cellStyle name="asd 33 5 20" xfId="35522"/>
    <cellStyle name="asd 33 5 21" xfId="37401"/>
    <cellStyle name="asd 33 5 22" xfId="39981"/>
    <cellStyle name="asd 33 5 23" xfId="41645"/>
    <cellStyle name="asd 33 5 24" xfId="42982"/>
    <cellStyle name="asd 33 5 3" xfId="4649"/>
    <cellStyle name="asd 33 5 4" xfId="6096"/>
    <cellStyle name="asd 33 5 5" xfId="7546"/>
    <cellStyle name="asd 33 5 6" xfId="9456"/>
    <cellStyle name="asd 33 5 7" xfId="11073"/>
    <cellStyle name="asd 33 5 8" xfId="13676"/>
    <cellStyle name="asd 33 5 9" xfId="15578"/>
    <cellStyle name="asd 33 6" xfId="2764"/>
    <cellStyle name="asd 33 6 10" xfId="19106"/>
    <cellStyle name="asd 33 6 11" xfId="21018"/>
    <cellStyle name="asd 33 6 12" xfId="23657"/>
    <cellStyle name="asd 33 6 13" xfId="24820"/>
    <cellStyle name="asd 33 6 14" xfId="27749"/>
    <cellStyle name="asd 33 6 15" xfId="28153"/>
    <cellStyle name="asd 33 6 16" xfId="31327"/>
    <cellStyle name="asd 33 6 17" xfId="31636"/>
    <cellStyle name="asd 33 6 18" xfId="34782"/>
    <cellStyle name="asd 33 6 19" xfId="35647"/>
    <cellStyle name="asd 33 6 2" xfId="5593"/>
    <cellStyle name="asd 33 6 2 10" xfId="21843"/>
    <cellStyle name="asd 33 6 2 11" xfId="23660"/>
    <cellStyle name="asd 33 6 2 12" xfId="25645"/>
    <cellStyle name="asd 33 6 2 13" xfId="27083"/>
    <cellStyle name="asd 33 6 2 14" xfId="2975"/>
    <cellStyle name="asd 33 6 2 15" xfId="30674"/>
    <cellStyle name="asd 33 6 2 16" xfId="31887"/>
    <cellStyle name="asd 33 6 2 17" xfId="35001"/>
    <cellStyle name="asd 33 6 2 18" xfId="36472"/>
    <cellStyle name="asd 33 6 2 19" xfId="38351"/>
    <cellStyle name="asd 33 6 2 2" xfId="7042"/>
    <cellStyle name="asd 33 6 2 20" xfId="39122"/>
    <cellStyle name="asd 33 6 2 21" xfId="40803"/>
    <cellStyle name="asd 33 6 2 22" xfId="43418"/>
    <cellStyle name="asd 33 6 2 3" xfId="8496"/>
    <cellStyle name="asd 33 6 2 4" xfId="10406"/>
    <cellStyle name="asd 33 6 2 5" xfId="11605"/>
    <cellStyle name="asd 33 6 2 6" xfId="14130"/>
    <cellStyle name="asd 33 6 2 7" xfId="16033"/>
    <cellStyle name="asd 33 6 2 8" xfId="18025"/>
    <cellStyle name="asd 33 6 2 9" xfId="19931"/>
    <cellStyle name="asd 33 6 20" xfId="37526"/>
    <cellStyle name="asd 33 6 21" xfId="38883"/>
    <cellStyle name="asd 33 6 22" xfId="40568"/>
    <cellStyle name="asd 33 6 23" xfId="43415"/>
    <cellStyle name="asd 33 6 3" xfId="4771"/>
    <cellStyle name="asd 33 6 4" xfId="7671"/>
    <cellStyle name="asd 33 6 5" xfId="9581"/>
    <cellStyle name="asd 33 6 6" xfId="11701"/>
    <cellStyle name="asd 33 6 7" xfId="14127"/>
    <cellStyle name="asd 33 6 8" xfId="16030"/>
    <cellStyle name="asd 33 6 9" xfId="17200"/>
    <cellStyle name="asd 33 7" xfId="3322"/>
    <cellStyle name="asd 33 7 10" xfId="19197"/>
    <cellStyle name="asd 33 7 11" xfId="21109"/>
    <cellStyle name="asd 33 7 12" xfId="22634"/>
    <cellStyle name="asd 33 7 13" xfId="24911"/>
    <cellStyle name="asd 33 7 14" xfId="27153"/>
    <cellStyle name="asd 33 7 15" xfId="29031"/>
    <cellStyle name="asd 33 7 16" xfId="30744"/>
    <cellStyle name="asd 33 7 17" xfId="32530"/>
    <cellStyle name="asd 33 7 18" xfId="34165"/>
    <cellStyle name="asd 33 7 19" xfId="35738"/>
    <cellStyle name="asd 33 7 2" xfId="5649"/>
    <cellStyle name="asd 33 7 2 10" xfId="21899"/>
    <cellStyle name="asd 33 7 2 11" xfId="23621"/>
    <cellStyle name="asd 33 7 2 12" xfId="25701"/>
    <cellStyle name="asd 33 7 2 13" xfId="26826"/>
    <cellStyle name="asd 33 7 2 14" xfId="28316"/>
    <cellStyle name="asd 33 7 2 15" xfId="30424"/>
    <cellStyle name="asd 33 7 2 16" xfId="31642"/>
    <cellStyle name="asd 33 7 2 17" xfId="34424"/>
    <cellStyle name="asd 33 7 2 18" xfId="36528"/>
    <cellStyle name="asd 33 7 2 19" xfId="38407"/>
    <cellStyle name="asd 33 7 2 2" xfId="7098"/>
    <cellStyle name="asd 33 7 2 20" xfId="38887"/>
    <cellStyle name="asd 33 7 2 21" xfId="40572"/>
    <cellStyle name="asd 33 7 2 22" xfId="43379"/>
    <cellStyle name="asd 33 7 2 3" xfId="8552"/>
    <cellStyle name="asd 33 7 2 4" xfId="10462"/>
    <cellStyle name="asd 33 7 2 5" xfId="11386"/>
    <cellStyle name="asd 33 7 2 6" xfId="14091"/>
    <cellStyle name="asd 33 7 2 7" xfId="15994"/>
    <cellStyle name="asd 33 7 2 8" xfId="18081"/>
    <cellStyle name="asd 33 7 2 9" xfId="19987"/>
    <cellStyle name="asd 33 7 20" xfId="37617"/>
    <cellStyle name="asd 33 7 21" xfId="39743"/>
    <cellStyle name="asd 33 7 22" xfId="41415"/>
    <cellStyle name="asd 33 7 23" xfId="42440"/>
    <cellStyle name="asd 33 7 3" xfId="6311"/>
    <cellStyle name="asd 33 7 4" xfId="7762"/>
    <cellStyle name="asd 33 7 5" xfId="9672"/>
    <cellStyle name="asd 33 7 6" xfId="12653"/>
    <cellStyle name="asd 33 7 7" xfId="13101"/>
    <cellStyle name="asd 33 7 8" xfId="15006"/>
    <cellStyle name="asd 33 7 9" xfId="17291"/>
    <cellStyle name="asd 33 8" xfId="1834"/>
    <cellStyle name="asd 33 9" xfId="3748"/>
    <cellStyle name="asd 34" xfId="933"/>
    <cellStyle name="asd 34 10" xfId="2674"/>
    <cellStyle name="asd 34 11" xfId="2153"/>
    <cellStyle name="asd 34 12" xfId="2135"/>
    <cellStyle name="asd 34 13" xfId="2354"/>
    <cellStyle name="asd 34 14" xfId="3231"/>
    <cellStyle name="asd 34 15" xfId="4360"/>
    <cellStyle name="asd 34 16" xfId="1944"/>
    <cellStyle name="asd 34 17" xfId="1763"/>
    <cellStyle name="asd 34 18" xfId="15232"/>
    <cellStyle name="asd 34 19" xfId="2413"/>
    <cellStyle name="asd 34 2" xfId="3401"/>
    <cellStyle name="asd 34 2 10" xfId="13729"/>
    <cellStyle name="asd 34 2 11" xfId="15631"/>
    <cellStyle name="asd 34 2 12" xfId="16745"/>
    <cellStyle name="asd 34 2 13" xfId="18652"/>
    <cellStyle name="asd 34 2 14" xfId="20564"/>
    <cellStyle name="asd 34 2 15" xfId="23257"/>
    <cellStyle name="asd 34 2 16" xfId="24366"/>
    <cellStyle name="asd 34 2 17" xfId="26246"/>
    <cellStyle name="asd 34 2 18" xfId="3978"/>
    <cellStyle name="asd 34 2 19" xfId="29856"/>
    <cellStyle name="asd 34 2 2" xfId="3581"/>
    <cellStyle name="asd 34 2 2 10" xfId="17472"/>
    <cellStyle name="asd 34 2 2 11" xfId="19378"/>
    <cellStyle name="asd 34 2 2 12" xfId="21290"/>
    <cellStyle name="asd 34 2 2 13" xfId="22650"/>
    <cellStyle name="asd 34 2 2 14" xfId="25092"/>
    <cellStyle name="asd 34 2 2 15" xfId="27433"/>
    <cellStyle name="asd 34 2 2 16" xfId="1819"/>
    <cellStyle name="asd 34 2 2 17" xfId="31019"/>
    <cellStyle name="asd 34 2 2 18" xfId="31806"/>
    <cellStyle name="asd 34 2 2 19" xfId="33383"/>
    <cellStyle name="asd 34 2 2 2" xfId="4494"/>
    <cellStyle name="asd 34 2 2 2 10" xfId="20739"/>
    <cellStyle name="asd 34 2 2 2 11" xfId="22507"/>
    <cellStyle name="asd 34 2 2 2 12" xfId="24541"/>
    <cellStyle name="asd 34 2 2 2 13" xfId="26931"/>
    <cellStyle name="asd 34 2 2 2 14" xfId="28490"/>
    <cellStyle name="asd 34 2 2 2 15" xfId="30525"/>
    <cellStyle name="asd 34 2 2 2 16" xfId="32124"/>
    <cellStyle name="asd 34 2 2 2 17" xfId="33721"/>
    <cellStyle name="asd 34 2 2 2 18" xfId="35369"/>
    <cellStyle name="asd 34 2 2 2 19" xfId="37247"/>
    <cellStyle name="asd 34 2 2 2 2" xfId="5346"/>
    <cellStyle name="asd 34 2 2 2 20" xfId="39347"/>
    <cellStyle name="asd 34 2 2 2 21" xfId="41023"/>
    <cellStyle name="asd 34 2 2 2 22" xfId="42317"/>
    <cellStyle name="asd 34 2 2 2 3" xfId="6690"/>
    <cellStyle name="asd 34 2 2 2 4" xfId="9301"/>
    <cellStyle name="asd 34 2 2 2 5" xfId="2355"/>
    <cellStyle name="asd 34 2 2 2 6" xfId="12975"/>
    <cellStyle name="asd 34 2 2 2 7" xfId="14879"/>
    <cellStyle name="asd 34 2 2 2 8" xfId="16920"/>
    <cellStyle name="asd 34 2 2 2 9" xfId="18827"/>
    <cellStyle name="asd 34 2 2 20" xfId="35919"/>
    <cellStyle name="asd 34 2 2 21" xfId="37798"/>
    <cellStyle name="asd 34 2 2 22" xfId="39044"/>
    <cellStyle name="asd 34 2 2 23" xfId="40726"/>
    <cellStyle name="asd 34 2 2 24" xfId="42456"/>
    <cellStyle name="asd 34 2 2 3" xfId="5042"/>
    <cellStyle name="asd 34 2 2 4" xfId="6492"/>
    <cellStyle name="asd 34 2 2 5" xfId="7943"/>
    <cellStyle name="asd 34 2 2 6" xfId="9853"/>
    <cellStyle name="asd 34 2 2 7" xfId="12260"/>
    <cellStyle name="asd 34 2 2 8" xfId="13117"/>
    <cellStyle name="asd 34 2 2 9" xfId="15022"/>
    <cellStyle name="asd 34 2 20" xfId="27517"/>
    <cellStyle name="asd 34 2 21" xfId="3349"/>
    <cellStyle name="asd 34 2 22" xfId="35194"/>
    <cellStyle name="asd 34 2 23" xfId="37072"/>
    <cellStyle name="asd 34 2 24" xfId="34460"/>
    <cellStyle name="asd 34 2 25" xfId="28154"/>
    <cellStyle name="asd 34 2 26" xfId="43033"/>
    <cellStyle name="asd 34 2 3" xfId="3867"/>
    <cellStyle name="asd 34 2 3 10" xfId="19581"/>
    <cellStyle name="asd 34 2 3 11" xfId="21493"/>
    <cellStyle name="asd 34 2 3 12" xfId="23934"/>
    <cellStyle name="asd 34 2 3 13" xfId="25295"/>
    <cellStyle name="asd 34 2 3 14" xfId="26187"/>
    <cellStyle name="asd 34 2 3 15" xfId="28714"/>
    <cellStyle name="asd 34 2 3 16" xfId="29799"/>
    <cellStyle name="asd 34 2 3 17" xfId="28256"/>
    <cellStyle name="asd 34 2 3 18" xfId="30405"/>
    <cellStyle name="asd 34 2 3 19" xfId="36122"/>
    <cellStyle name="asd 34 2 3 2" xfId="5851"/>
    <cellStyle name="asd 34 2 3 2 10" xfId="22101"/>
    <cellStyle name="asd 34 2 3 2 11" xfId="23454"/>
    <cellStyle name="asd 34 2 3 2 12" xfId="25903"/>
    <cellStyle name="asd 34 2 3 2 13" xfId="26431"/>
    <cellStyle name="asd 34 2 3 2 14" xfId="29178"/>
    <cellStyle name="asd 34 2 3 2 15" xfId="30037"/>
    <cellStyle name="asd 34 2 3 2 16" xfId="32441"/>
    <cellStyle name="asd 34 2 3 2 17" xfId="34093"/>
    <cellStyle name="asd 34 2 3 2 18" xfId="36730"/>
    <cellStyle name="asd 34 2 3 2 19" xfId="38609"/>
    <cellStyle name="asd 34 2 3 2 2" xfId="7300"/>
    <cellStyle name="asd 34 2 3 2 20" xfId="39658"/>
    <cellStyle name="asd 34 2 3 2 21" xfId="41332"/>
    <cellStyle name="asd 34 2 3 2 22" xfId="43221"/>
    <cellStyle name="asd 34 2 3 2 3" xfId="8754"/>
    <cellStyle name="asd 34 2 3 2 4" xfId="10664"/>
    <cellStyle name="asd 34 2 3 2 5" xfId="12394"/>
    <cellStyle name="asd 34 2 3 2 6" xfId="13926"/>
    <cellStyle name="asd 34 2 3 2 7" xfId="15827"/>
    <cellStyle name="asd 34 2 3 2 8" xfId="18283"/>
    <cellStyle name="asd 34 2 3 2 9" xfId="20189"/>
    <cellStyle name="asd 34 2 3 20" xfId="38001"/>
    <cellStyle name="asd 34 2 3 21" xfId="35039"/>
    <cellStyle name="asd 34 2 3 22" xfId="39170"/>
    <cellStyle name="asd 34 2 3 23" xfId="43680"/>
    <cellStyle name="asd 34 2 3 3" xfId="5245"/>
    <cellStyle name="asd 34 2 3 4" xfId="8146"/>
    <cellStyle name="asd 34 2 3 5" xfId="10056"/>
    <cellStyle name="asd 34 2 3 6" xfId="11894"/>
    <cellStyle name="asd 34 2 3 7" xfId="14404"/>
    <cellStyle name="asd 34 2 3 8" xfId="16310"/>
    <cellStyle name="asd 34 2 3 9" xfId="17675"/>
    <cellStyle name="asd 34 2 4" xfId="4033"/>
    <cellStyle name="asd 34 2 4 10" xfId="19668"/>
    <cellStyle name="asd 34 2 4 11" xfId="21580"/>
    <cellStyle name="asd 34 2 4 12" xfId="23093"/>
    <cellStyle name="asd 34 2 4 13" xfId="25382"/>
    <cellStyle name="asd 34 2 4 14" xfId="27504"/>
    <cellStyle name="asd 34 2 4 15" xfId="28896"/>
    <cellStyle name="asd 34 2 4 16" xfId="31089"/>
    <cellStyle name="asd 34 2 4 17" xfId="32693"/>
    <cellStyle name="asd 34 2 4 18" xfId="34170"/>
    <cellStyle name="asd 34 2 4 19" xfId="36209"/>
    <cellStyle name="asd 34 2 4 2" xfId="5938"/>
    <cellStyle name="asd 34 2 4 2 10" xfId="22188"/>
    <cellStyle name="asd 34 2 4 2 11" xfId="23064"/>
    <cellStyle name="asd 34 2 4 2 12" xfId="25990"/>
    <cellStyle name="asd 34 2 4 2 13" xfId="27747"/>
    <cellStyle name="asd 34 2 4 2 14" xfId="29378"/>
    <cellStyle name="asd 34 2 4 2 15" xfId="31325"/>
    <cellStyle name="asd 34 2 4 2 16" xfId="31809"/>
    <cellStyle name="asd 34 2 4 2 17" xfId="33784"/>
    <cellStyle name="asd 34 2 4 2 18" xfId="36817"/>
    <cellStyle name="asd 34 2 4 2 19" xfId="38696"/>
    <cellStyle name="asd 34 2 4 2 2" xfId="7387"/>
    <cellStyle name="asd 34 2 4 2 20" xfId="39047"/>
    <cellStyle name="asd 34 2 4 2 21" xfId="40729"/>
    <cellStyle name="asd 34 2 4 2 22" xfId="42847"/>
    <cellStyle name="asd 34 2 4 2 3" xfId="8841"/>
    <cellStyle name="asd 34 2 4 2 4" xfId="10751"/>
    <cellStyle name="asd 34 2 4 2 5" xfId="11825"/>
    <cellStyle name="asd 34 2 4 2 6" xfId="13535"/>
    <cellStyle name="asd 34 2 4 2 7" xfId="15438"/>
    <cellStyle name="asd 34 2 4 2 8" xfId="18370"/>
    <cellStyle name="asd 34 2 4 2 9" xfId="20276"/>
    <cellStyle name="asd 34 2 4 20" xfId="38088"/>
    <cellStyle name="asd 34 2 4 21" xfId="39901"/>
    <cellStyle name="asd 34 2 4 22" xfId="41570"/>
    <cellStyle name="asd 34 2 4 23" xfId="42875"/>
    <cellStyle name="asd 34 2 4 3" xfId="6779"/>
    <cellStyle name="asd 34 2 4 4" xfId="8233"/>
    <cellStyle name="asd 34 2 4 5" xfId="10143"/>
    <cellStyle name="asd 34 2 4 6" xfId="12704"/>
    <cellStyle name="asd 34 2 4 7" xfId="13564"/>
    <cellStyle name="asd 34 2 4 8" xfId="15467"/>
    <cellStyle name="asd 34 2 4 9" xfId="17762"/>
    <cellStyle name="asd 34 2 5" xfId="4899"/>
    <cellStyle name="asd 34 2 5 10" xfId="21147"/>
    <cellStyle name="asd 34 2 5 11" xfId="23897"/>
    <cellStyle name="asd 34 2 5 12" xfId="24949"/>
    <cellStyle name="asd 34 2 5 13" xfId="26622"/>
    <cellStyle name="asd 34 2 5 14" xfId="28238"/>
    <cellStyle name="asd 34 2 5 15" xfId="30225"/>
    <cellStyle name="asd 34 2 5 16" xfId="33043"/>
    <cellStyle name="asd 34 2 5 17" xfId="33741"/>
    <cellStyle name="asd 34 2 5 18" xfId="35776"/>
    <cellStyle name="asd 34 2 5 19" xfId="37655"/>
    <cellStyle name="asd 34 2 5 2" xfId="6349"/>
    <cellStyle name="asd 34 2 5 20" xfId="40242"/>
    <cellStyle name="asd 34 2 5 21" xfId="41901"/>
    <cellStyle name="asd 34 2 5 22" xfId="43646"/>
    <cellStyle name="asd 34 2 5 3" xfId="7800"/>
    <cellStyle name="asd 34 2 5 4" xfId="9710"/>
    <cellStyle name="asd 34 2 5 5" xfId="11856"/>
    <cellStyle name="asd 34 2 5 6" xfId="14366"/>
    <cellStyle name="asd 34 2 5 7" xfId="16272"/>
    <cellStyle name="asd 34 2 5 8" xfId="17329"/>
    <cellStyle name="asd 34 2 5 9" xfId="19235"/>
    <cellStyle name="asd 34 2 6" xfId="5523"/>
    <cellStyle name="asd 34 2 6 10" xfId="21773"/>
    <cellStyle name="asd 34 2 6 11" xfId="23326"/>
    <cellStyle name="asd 34 2 6 12" xfId="25575"/>
    <cellStyle name="asd 34 2 6 13" xfId="27267"/>
    <cellStyle name="asd 34 2 6 14" xfId="29562"/>
    <cellStyle name="asd 34 2 6 15" xfId="30859"/>
    <cellStyle name="asd 34 2 6 16" xfId="32297"/>
    <cellStyle name="asd 34 2 6 17" xfId="34623"/>
    <cellStyle name="asd 34 2 6 18" xfId="36402"/>
    <cellStyle name="asd 34 2 6 19" xfId="38281"/>
    <cellStyle name="asd 34 2 6 2" xfId="6972"/>
    <cellStyle name="asd 34 2 6 20" xfId="39517"/>
    <cellStyle name="asd 34 2 6 21" xfId="41191"/>
    <cellStyle name="asd 34 2 6 22" xfId="43097"/>
    <cellStyle name="asd 34 2 6 3" xfId="8426"/>
    <cellStyle name="asd 34 2 6 4" xfId="10336"/>
    <cellStyle name="asd 34 2 6 5" xfId="11214"/>
    <cellStyle name="asd 34 2 6 6" xfId="13798"/>
    <cellStyle name="asd 34 2 6 7" xfId="15700"/>
    <cellStyle name="asd 34 2 6 8" xfId="17955"/>
    <cellStyle name="asd 34 2 6 9" xfId="19861"/>
    <cellStyle name="asd 34 2 7" xfId="4610"/>
    <cellStyle name="asd 34 2 8" xfId="9126"/>
    <cellStyle name="asd 34 2 9" xfId="11175"/>
    <cellStyle name="asd 34 20" xfId="28323"/>
    <cellStyle name="asd 34 21" xfId="18514"/>
    <cellStyle name="asd 34 22" xfId="14709"/>
    <cellStyle name="asd 34 23" xfId="33046"/>
    <cellStyle name="asd 34 24" xfId="2471"/>
    <cellStyle name="asd 34 25" xfId="34211"/>
    <cellStyle name="asd 34 26" xfId="32481"/>
    <cellStyle name="asd 34 27" xfId="33351"/>
    <cellStyle name="asd 34 3" xfId="3368"/>
    <cellStyle name="asd 34 3 10" xfId="13277"/>
    <cellStyle name="asd 34 3 11" xfId="15181"/>
    <cellStyle name="asd 34 3 12" xfId="16669"/>
    <cellStyle name="asd 34 3 13" xfId="18576"/>
    <cellStyle name="asd 34 3 14" xfId="20488"/>
    <cellStyle name="asd 34 3 15" xfId="22807"/>
    <cellStyle name="asd 34 3 16" xfId="24290"/>
    <cellStyle name="asd 34 3 17" xfId="26191"/>
    <cellStyle name="asd 34 3 18" xfId="28249"/>
    <cellStyle name="asd 34 3 19" xfId="29804"/>
    <cellStyle name="asd 34 3 2" xfId="3548"/>
    <cellStyle name="asd 34 3 2 10" xfId="17439"/>
    <cellStyle name="asd 34 3 2 11" xfId="19345"/>
    <cellStyle name="asd 34 3 2 12" xfId="21257"/>
    <cellStyle name="asd 34 3 2 13" xfId="22547"/>
    <cellStyle name="asd 34 3 2 14" xfId="25059"/>
    <cellStyle name="asd 34 3 2 15" xfId="26179"/>
    <cellStyle name="asd 34 3 2 16" xfId="27488"/>
    <cellStyle name="asd 34 3 2 17" xfId="29792"/>
    <cellStyle name="asd 34 3 2 18" xfId="33049"/>
    <cellStyle name="asd 34 3 2 19" xfId="34259"/>
    <cellStyle name="asd 34 3 2 2" xfId="4321"/>
    <cellStyle name="asd 34 3 2 2 10" xfId="20500"/>
    <cellStyle name="asd 34 3 2 2 11" xfId="23060"/>
    <cellStyle name="asd 34 3 2 2 12" xfId="24302"/>
    <cellStyle name="asd 34 3 2 2 13" xfId="27562"/>
    <cellStyle name="asd 34 3 2 2 14" xfId="28948"/>
    <cellStyle name="asd 34 3 2 2 15" xfId="31142"/>
    <cellStyle name="asd 34 3 2 2 16" xfId="33080"/>
    <cellStyle name="asd 34 3 2 2 17" xfId="33659"/>
    <cellStyle name="asd 34 3 2 2 18" xfId="35130"/>
    <cellStyle name="asd 34 3 2 2 19" xfId="37008"/>
    <cellStyle name="asd 34 3 2 2 2" xfId="4355"/>
    <cellStyle name="asd 34 3 2 2 20" xfId="40276"/>
    <cellStyle name="asd 34 3 2 2 21" xfId="41932"/>
    <cellStyle name="asd 34 3 2 2 22" xfId="42843"/>
    <cellStyle name="asd 34 3 2 2 3" xfId="5309"/>
    <cellStyle name="asd 34 3 2 2 4" xfId="9062"/>
    <cellStyle name="asd 34 3 2 2 5" xfId="12664"/>
    <cellStyle name="asd 34 3 2 2 6" xfId="13531"/>
    <cellStyle name="asd 34 3 2 2 7" xfId="15434"/>
    <cellStyle name="asd 34 3 2 2 8" xfId="16681"/>
    <cellStyle name="asd 34 3 2 2 9" xfId="18588"/>
    <cellStyle name="asd 34 3 2 20" xfId="35886"/>
    <cellStyle name="asd 34 3 2 21" xfId="37765"/>
    <cellStyle name="asd 34 3 2 22" xfId="40247"/>
    <cellStyle name="asd 34 3 2 23" xfId="41905"/>
    <cellStyle name="asd 34 3 2 24" xfId="42356"/>
    <cellStyle name="asd 34 3 2 3" xfId="5009"/>
    <cellStyle name="asd 34 3 2 4" xfId="6459"/>
    <cellStyle name="asd 34 3 2 5" xfId="7910"/>
    <cellStyle name="asd 34 3 2 6" xfId="9820"/>
    <cellStyle name="asd 34 3 2 7" xfId="12440"/>
    <cellStyle name="asd 34 3 2 8" xfId="13015"/>
    <cellStyle name="asd 34 3 2 9" xfId="14919"/>
    <cellStyle name="asd 34 3 20" xfId="31885"/>
    <cellStyle name="asd 34 3 21" xfId="34674"/>
    <cellStyle name="asd 34 3 22" xfId="35118"/>
    <cellStyle name="asd 34 3 23" xfId="36996"/>
    <cellStyle name="asd 34 3 24" xfId="39120"/>
    <cellStyle name="asd 34 3 25" xfId="40801"/>
    <cellStyle name="asd 34 3 26" xfId="42600"/>
    <cellStyle name="asd 34 3 3" xfId="3212"/>
    <cellStyle name="asd 34 3 3 10" xfId="19181"/>
    <cellStyle name="asd 34 3 3 11" xfId="21093"/>
    <cellStyle name="asd 34 3 3 12" xfId="22526"/>
    <cellStyle name="asd 34 3 3 13" xfId="24895"/>
    <cellStyle name="asd 34 3 3 14" xfId="27186"/>
    <cellStyle name="asd 34 3 3 15" xfId="28005"/>
    <cellStyle name="asd 34 3 3 16" xfId="30777"/>
    <cellStyle name="asd 34 3 3 17" xfId="14719"/>
    <cellStyle name="asd 34 3 3 18" xfId="3933"/>
    <cellStyle name="asd 34 3 3 19" xfId="35722"/>
    <cellStyle name="asd 34 3 3 2" xfId="5711"/>
    <cellStyle name="asd 34 3 3 2 10" xfId="21961"/>
    <cellStyle name="asd 34 3 3 2 11" xfId="23807"/>
    <cellStyle name="asd 34 3 3 2 12" xfId="25763"/>
    <cellStyle name="asd 34 3 3 2 13" xfId="26293"/>
    <cellStyle name="asd 34 3 3 2 14" xfId="28191"/>
    <cellStyle name="asd 34 3 3 2 15" xfId="29902"/>
    <cellStyle name="asd 34 3 3 2 16" xfId="31778"/>
    <cellStyle name="asd 34 3 3 2 17" xfId="33942"/>
    <cellStyle name="asd 34 3 3 2 18" xfId="36590"/>
    <cellStyle name="asd 34 3 3 2 19" xfId="38469"/>
    <cellStyle name="asd 34 3 3 2 2" xfId="7160"/>
    <cellStyle name="asd 34 3 3 2 20" xfId="39017"/>
    <cellStyle name="asd 34 3 3 2 21" xfId="40699"/>
    <cellStyle name="asd 34 3 3 2 22" xfId="43559"/>
    <cellStyle name="asd 34 3 3 2 3" xfId="8614"/>
    <cellStyle name="asd 34 3 3 2 4" xfId="10524"/>
    <cellStyle name="asd 34 3 3 2 5" xfId="11476"/>
    <cellStyle name="asd 34 3 3 2 6" xfId="14277"/>
    <cellStyle name="asd 34 3 3 2 7" xfId="16181"/>
    <cellStyle name="asd 34 3 3 2 8" xfId="18143"/>
    <cellStyle name="asd 34 3 3 2 9" xfId="20049"/>
    <cellStyle name="asd 34 3 3 20" xfId="37601"/>
    <cellStyle name="asd 34 3 3 21" xfId="33795"/>
    <cellStyle name="asd 34 3 3 22" xfId="35071"/>
    <cellStyle name="asd 34 3 3 23" xfId="42336"/>
    <cellStyle name="asd 34 3 3 3" xfId="4845"/>
    <cellStyle name="asd 34 3 3 4" xfId="7746"/>
    <cellStyle name="asd 34 3 3 5" xfId="9656"/>
    <cellStyle name="asd 34 3 3 6" xfId="11646"/>
    <cellStyle name="asd 34 3 3 7" xfId="12994"/>
    <cellStyle name="asd 34 3 3 8" xfId="14898"/>
    <cellStyle name="asd 34 3 3 9" xfId="17275"/>
    <cellStyle name="asd 34 3 4" xfId="4000"/>
    <cellStyle name="asd 34 3 4 10" xfId="19635"/>
    <cellStyle name="asd 34 3 4 11" xfId="21547"/>
    <cellStyle name="asd 34 3 4 12" xfId="23108"/>
    <cellStyle name="asd 34 3 4 13" xfId="25349"/>
    <cellStyle name="asd 34 3 4 14" xfId="26585"/>
    <cellStyle name="asd 34 3 4 15" xfId="29414"/>
    <cellStyle name="asd 34 3 4 16" xfId="30187"/>
    <cellStyle name="asd 34 3 4 17" xfId="32779"/>
    <cellStyle name="asd 34 3 4 18" xfId="34305"/>
    <cellStyle name="asd 34 3 4 19" xfId="36176"/>
    <cellStyle name="asd 34 3 4 2" xfId="5905"/>
    <cellStyle name="asd 34 3 4 2 10" xfId="22155"/>
    <cellStyle name="asd 34 3 4 2 11" xfId="22487"/>
    <cellStyle name="asd 34 3 4 2 12" xfId="25957"/>
    <cellStyle name="asd 34 3 4 2 13" xfId="26261"/>
    <cellStyle name="asd 34 3 4 2 14" xfId="28983"/>
    <cellStyle name="asd 34 3 4 2 15" xfId="29871"/>
    <cellStyle name="asd 34 3 4 2 16" xfId="32798"/>
    <cellStyle name="asd 34 3 4 2 17" xfId="34721"/>
    <cellStyle name="asd 34 3 4 2 18" xfId="36784"/>
    <cellStyle name="asd 34 3 4 2 19" xfId="38663"/>
    <cellStyle name="asd 34 3 4 2 2" xfId="7354"/>
    <cellStyle name="asd 34 3 4 2 20" xfId="40007"/>
    <cellStyle name="asd 34 3 4 2 21" xfId="41671"/>
    <cellStyle name="asd 34 3 4 2 22" xfId="42297"/>
    <cellStyle name="asd 34 3 4 2 3" xfId="8808"/>
    <cellStyle name="asd 34 3 4 2 4" xfId="10718"/>
    <cellStyle name="asd 34 3 4 2 5" xfId="11834"/>
    <cellStyle name="asd 34 3 4 2 6" xfId="12955"/>
    <cellStyle name="asd 34 3 4 2 7" xfId="14859"/>
    <cellStyle name="asd 34 3 4 2 8" xfId="18337"/>
    <cellStyle name="asd 34 3 4 2 9" xfId="20243"/>
    <cellStyle name="asd 34 3 4 20" xfId="38055"/>
    <cellStyle name="asd 34 3 4 21" xfId="39988"/>
    <cellStyle name="asd 34 3 4 22" xfId="41652"/>
    <cellStyle name="asd 34 3 4 23" xfId="42888"/>
    <cellStyle name="asd 34 3 4 3" xfId="6746"/>
    <cellStyle name="asd 34 3 4 4" xfId="8200"/>
    <cellStyle name="asd 34 3 4 5" xfId="10110"/>
    <cellStyle name="asd 34 3 4 6" xfId="12721"/>
    <cellStyle name="asd 34 3 4 7" xfId="13579"/>
    <cellStyle name="asd 34 3 4 8" xfId="15482"/>
    <cellStyle name="asd 34 3 4 9" xfId="17729"/>
    <cellStyle name="asd 34 3 5" xfId="4876"/>
    <cellStyle name="asd 34 3 5 10" xfId="21124"/>
    <cellStyle name="asd 34 3 5 11" xfId="23195"/>
    <cellStyle name="asd 34 3 5 12" xfId="24926"/>
    <cellStyle name="asd 34 3 5 13" xfId="27807"/>
    <cellStyle name="asd 34 3 5 14" xfId="29320"/>
    <cellStyle name="asd 34 3 5 15" xfId="31384"/>
    <cellStyle name="asd 34 3 5 16" xfId="33304"/>
    <cellStyle name="asd 34 3 5 17" xfId="34308"/>
    <cellStyle name="asd 34 3 5 18" xfId="35753"/>
    <cellStyle name="asd 34 3 5 19" xfId="37632"/>
    <cellStyle name="asd 34 3 5 2" xfId="6326"/>
    <cellStyle name="asd 34 3 5 20" xfId="40486"/>
    <cellStyle name="asd 34 3 5 21" xfId="42140"/>
    <cellStyle name="asd 34 3 5 22" xfId="42973"/>
    <cellStyle name="asd 34 3 5 3" xfId="7777"/>
    <cellStyle name="asd 34 3 5 4" xfId="9687"/>
    <cellStyle name="asd 34 3 5 5" xfId="11044"/>
    <cellStyle name="asd 34 3 5 6" xfId="13667"/>
    <cellStyle name="asd 34 3 5 7" xfId="15569"/>
    <cellStyle name="asd 34 3 5 8" xfId="17306"/>
    <cellStyle name="asd 34 3 5 9" xfId="19212"/>
    <cellStyle name="asd 34 3 6" xfId="4877"/>
    <cellStyle name="asd 34 3 6 10" xfId="21125"/>
    <cellStyle name="asd 34 3 6 11" xfId="22481"/>
    <cellStyle name="asd 34 3 6 12" xfId="24927"/>
    <cellStyle name="asd 34 3 6 13" xfId="26453"/>
    <cellStyle name="asd 34 3 6 14" xfId="28865"/>
    <cellStyle name="asd 34 3 6 15" xfId="30059"/>
    <cellStyle name="asd 34 3 6 16" xfId="32571"/>
    <cellStyle name="asd 34 3 6 17" xfId="34239"/>
    <cellStyle name="asd 34 3 6 18" xfId="35754"/>
    <cellStyle name="asd 34 3 6 19" xfId="37633"/>
    <cellStyle name="asd 34 3 6 2" xfId="6327"/>
    <cellStyle name="asd 34 3 6 20" xfId="39781"/>
    <cellStyle name="asd 34 3 6 21" xfId="41451"/>
    <cellStyle name="asd 34 3 6 22" xfId="42291"/>
    <cellStyle name="asd 34 3 6 3" xfId="7778"/>
    <cellStyle name="asd 34 3 6 4" xfId="9688"/>
    <cellStyle name="asd 34 3 6 5" xfId="11321"/>
    <cellStyle name="asd 34 3 6 6" xfId="12949"/>
    <cellStyle name="asd 34 3 6 7" xfId="14853"/>
    <cellStyle name="asd 34 3 6 8" xfId="17307"/>
    <cellStyle name="asd 34 3 6 9" xfId="19213"/>
    <cellStyle name="asd 34 3 7" xfId="4833"/>
    <cellStyle name="asd 34 3 8" xfId="9050"/>
    <cellStyle name="asd 34 3 9" xfId="10928"/>
    <cellStyle name="asd 34 4" xfId="3430"/>
    <cellStyle name="asd 34 4 10" xfId="15879"/>
    <cellStyle name="asd 34 4 11" xfId="16807"/>
    <cellStyle name="asd 34 4 12" xfId="18714"/>
    <cellStyle name="asd 34 4 13" xfId="20626"/>
    <cellStyle name="asd 34 4 14" xfId="23506"/>
    <cellStyle name="asd 34 4 15" xfId="24428"/>
    <cellStyle name="asd 34 4 16" xfId="27258"/>
    <cellStyle name="asd 34 4 17" xfId="28552"/>
    <cellStyle name="asd 34 4 18" xfId="30849"/>
    <cellStyle name="asd 34 4 19" xfId="32014"/>
    <cellStyle name="asd 34 4 2" xfId="3610"/>
    <cellStyle name="asd 34 4 2 10" xfId="17501"/>
    <cellStyle name="asd 34 4 2 11" xfId="19407"/>
    <cellStyle name="asd 34 4 2 12" xfId="21319"/>
    <cellStyle name="asd 34 4 2 13" xfId="24032"/>
    <cellStyle name="asd 34 4 2 14" xfId="25121"/>
    <cellStyle name="asd 34 4 2 15" xfId="27183"/>
    <cellStyle name="asd 34 4 2 16" xfId="29306"/>
    <cellStyle name="asd 34 4 2 17" xfId="30774"/>
    <cellStyle name="asd 34 4 2 18" xfId="32923"/>
    <cellStyle name="asd 34 4 2 19" xfId="33545"/>
    <cellStyle name="asd 34 4 2 2" xfId="4367"/>
    <cellStyle name="asd 34 4 2 2 10" xfId="20504"/>
    <cellStyle name="asd 34 4 2 2 11" xfId="23376"/>
    <cellStyle name="asd 34 4 2 2 12" xfId="24306"/>
    <cellStyle name="asd 34 4 2 2 13" xfId="26643"/>
    <cellStyle name="asd 34 4 2 2 14" xfId="28989"/>
    <cellStyle name="asd 34 4 2 2 15" xfId="30246"/>
    <cellStyle name="asd 34 4 2 2 16" xfId="32629"/>
    <cellStyle name="asd 34 4 2 2 17" xfId="35027"/>
    <cellStyle name="asd 34 4 2 2 18" xfId="35134"/>
    <cellStyle name="asd 34 4 2 2 19" xfId="37012"/>
    <cellStyle name="asd 34 4 2 2 2" xfId="2202"/>
    <cellStyle name="asd 34 4 2 2 20" xfId="39838"/>
    <cellStyle name="asd 34 4 2 2 21" xfId="41507"/>
    <cellStyle name="asd 34 4 2 2 22" xfId="43144"/>
    <cellStyle name="asd 34 4 2 2 3" xfId="3940"/>
    <cellStyle name="asd 34 4 2 2 4" xfId="9066"/>
    <cellStyle name="asd 34 4 2 2 5" xfId="12415"/>
    <cellStyle name="asd 34 4 2 2 6" xfId="13848"/>
    <cellStyle name="asd 34 4 2 2 7" xfId="15749"/>
    <cellStyle name="asd 34 4 2 2 8" xfId="16685"/>
    <cellStyle name="asd 34 4 2 2 9" xfId="18592"/>
    <cellStyle name="asd 34 4 2 20" xfId="35948"/>
    <cellStyle name="asd 34 4 2 21" xfId="37827"/>
    <cellStyle name="asd 34 4 2 22" xfId="40127"/>
    <cellStyle name="asd 34 4 2 23" xfId="41786"/>
    <cellStyle name="asd 34 4 2 24" xfId="43776"/>
    <cellStyle name="asd 34 4 2 3" xfId="5071"/>
    <cellStyle name="asd 34 4 2 4" xfId="6521"/>
    <cellStyle name="asd 34 4 2 5" xfId="7972"/>
    <cellStyle name="asd 34 4 2 6" xfId="9882"/>
    <cellStyle name="asd 34 4 2 7" xfId="11991"/>
    <cellStyle name="asd 34 4 2 8" xfId="14502"/>
    <cellStyle name="asd 34 4 2 9" xfId="16408"/>
    <cellStyle name="asd 34 4 20" xfId="33607"/>
    <cellStyle name="asd 34 4 21" xfId="35256"/>
    <cellStyle name="asd 34 4 22" xfId="37134"/>
    <cellStyle name="asd 34 4 23" xfId="39245"/>
    <cellStyle name="asd 34 4 24" xfId="40922"/>
    <cellStyle name="asd 34 4 25" xfId="43272"/>
    <cellStyle name="asd 34 4 3" xfId="3827"/>
    <cellStyle name="asd 34 4 3 10" xfId="19554"/>
    <cellStyle name="asd 34 4 3 11" xfId="21466"/>
    <cellStyle name="asd 34 4 3 12" xfId="23618"/>
    <cellStyle name="asd 34 4 3 13" xfId="25268"/>
    <cellStyle name="asd 34 4 3 14" xfId="26992"/>
    <cellStyle name="asd 34 4 3 15" xfId="28319"/>
    <cellStyle name="asd 34 4 3 16" xfId="30586"/>
    <cellStyle name="asd 34 4 3 17" xfId="32842"/>
    <cellStyle name="asd 34 4 3 18" xfId="34779"/>
    <cellStyle name="asd 34 4 3 19" xfId="36095"/>
    <cellStyle name="asd 34 4 3 2" xfId="5824"/>
    <cellStyle name="asd 34 4 3 2 10" xfId="22074"/>
    <cellStyle name="asd 34 4 3 2 11" xfId="22375"/>
    <cellStyle name="asd 34 4 3 2 12" xfId="25876"/>
    <cellStyle name="asd 34 4 3 2 13" xfId="27658"/>
    <cellStyle name="asd 34 4 3 2 14" xfId="29523"/>
    <cellStyle name="asd 34 4 3 2 15" xfId="31235"/>
    <cellStyle name="asd 34 4 3 2 16" xfId="32282"/>
    <cellStyle name="asd 34 4 3 2 17" xfId="33750"/>
    <cellStyle name="asd 34 4 3 2 18" xfId="36703"/>
    <cellStyle name="asd 34 4 3 2 19" xfId="38582"/>
    <cellStyle name="asd 34 4 3 2 2" xfId="7273"/>
    <cellStyle name="asd 34 4 3 2 20" xfId="39501"/>
    <cellStyle name="asd 34 4 3 2 21" xfId="41176"/>
    <cellStyle name="asd 34 4 3 2 22" xfId="42186"/>
    <cellStyle name="asd 34 4 3 2 3" xfId="8727"/>
    <cellStyle name="asd 34 4 3 2 4" xfId="10637"/>
    <cellStyle name="asd 34 4 3 2 5" xfId="11595"/>
    <cellStyle name="asd 34 4 3 2 6" xfId="12842"/>
    <cellStyle name="asd 34 4 3 2 7" xfId="14747"/>
    <cellStyle name="asd 34 4 3 2 8" xfId="18256"/>
    <cellStyle name="asd 34 4 3 2 9" xfId="20162"/>
    <cellStyle name="asd 34 4 3 20" xfId="37974"/>
    <cellStyle name="asd 34 4 3 21" xfId="40049"/>
    <cellStyle name="asd 34 4 3 22" xfId="41713"/>
    <cellStyle name="asd 34 4 3 23" xfId="43376"/>
    <cellStyle name="asd 34 4 3 3" xfId="5218"/>
    <cellStyle name="asd 34 4 3 4" xfId="8119"/>
    <cellStyle name="asd 34 4 3 5" xfId="10029"/>
    <cellStyle name="asd 34 4 3 6" xfId="11351"/>
    <cellStyle name="asd 34 4 3 7" xfId="14088"/>
    <cellStyle name="asd 34 4 3 8" xfId="15991"/>
    <cellStyle name="asd 34 4 3 9" xfId="17648"/>
    <cellStyle name="asd 34 4 4" xfId="4062"/>
    <cellStyle name="asd 34 4 4 10" xfId="19697"/>
    <cellStyle name="asd 34 4 4 11" xfId="21609"/>
    <cellStyle name="asd 34 4 4 12" xfId="23686"/>
    <cellStyle name="asd 34 4 4 13" xfId="25411"/>
    <cellStyle name="asd 34 4 4 14" xfId="26882"/>
    <cellStyle name="asd 34 4 4 15" xfId="28247"/>
    <cellStyle name="asd 34 4 4 16" xfId="30479"/>
    <cellStyle name="asd 34 4 4 17" xfId="31963"/>
    <cellStyle name="asd 34 4 4 18" xfId="33579"/>
    <cellStyle name="asd 34 4 4 19" xfId="36238"/>
    <cellStyle name="asd 34 4 4 2" xfId="5967"/>
    <cellStyle name="asd 34 4 4 2 10" xfId="22217"/>
    <cellStyle name="asd 34 4 4 2 11" xfId="24109"/>
    <cellStyle name="asd 34 4 4 2 12" xfId="26019"/>
    <cellStyle name="asd 34 4 4 2 13" xfId="26987"/>
    <cellStyle name="asd 34 4 4 2 14" xfId="26205"/>
    <cellStyle name="asd 34 4 4 2 15" xfId="30581"/>
    <cellStyle name="asd 34 4 4 2 16" xfId="32248"/>
    <cellStyle name="asd 34 4 4 2 17" xfId="34563"/>
    <cellStyle name="asd 34 4 4 2 18" xfId="36846"/>
    <cellStyle name="asd 34 4 4 2 19" xfId="38725"/>
    <cellStyle name="asd 34 4 4 2 2" xfId="7416"/>
    <cellStyle name="asd 34 4 4 2 20" xfId="39466"/>
    <cellStyle name="asd 34 4 4 2 21" xfId="41141"/>
    <cellStyle name="asd 34 4 4 2 22" xfId="43852"/>
    <cellStyle name="asd 34 4 4 2 3" xfId="8870"/>
    <cellStyle name="asd 34 4 4 2 4" xfId="10780"/>
    <cellStyle name="asd 34 4 4 2 5" xfId="12068"/>
    <cellStyle name="asd 34 4 4 2 6" xfId="14579"/>
    <cellStyle name="asd 34 4 4 2 7" xfId="16485"/>
    <cellStyle name="asd 34 4 4 2 8" xfId="18399"/>
    <cellStyle name="asd 34 4 4 2 9" xfId="20305"/>
    <cellStyle name="asd 34 4 4 20" xfId="38117"/>
    <cellStyle name="asd 34 4 4 21" xfId="39192"/>
    <cellStyle name="asd 34 4 4 22" xfId="40873"/>
    <cellStyle name="asd 34 4 4 23" xfId="43443"/>
    <cellStyle name="asd 34 4 4 3" xfId="6808"/>
    <cellStyle name="asd 34 4 4 4" xfId="8262"/>
    <cellStyle name="asd 34 4 4 5" xfId="10172"/>
    <cellStyle name="asd 34 4 4 6" xfId="11748"/>
    <cellStyle name="asd 34 4 4 7" xfId="14156"/>
    <cellStyle name="asd 34 4 4 8" xfId="16060"/>
    <cellStyle name="asd 34 4 4 9" xfId="17791"/>
    <cellStyle name="asd 34 4 5" xfId="5613"/>
    <cellStyle name="asd 34 4 5 10" xfId="21863"/>
    <cellStyle name="asd 34 4 5 11" xfId="22944"/>
    <cellStyle name="asd 34 4 5 12" xfId="25665"/>
    <cellStyle name="asd 34 4 5 13" xfId="26764"/>
    <cellStyle name="asd 34 4 5 14" xfId="29197"/>
    <cellStyle name="asd 34 4 5 15" xfId="30363"/>
    <cellStyle name="asd 34 4 5 16" xfId="32437"/>
    <cellStyle name="asd 34 4 5 17" xfId="33905"/>
    <cellStyle name="asd 34 4 5 18" xfId="36492"/>
    <cellStyle name="asd 34 4 5 19" xfId="38371"/>
    <cellStyle name="asd 34 4 5 2" xfId="7062"/>
    <cellStyle name="asd 34 4 5 20" xfId="39654"/>
    <cellStyle name="asd 34 4 5 21" xfId="41328"/>
    <cellStyle name="asd 34 4 5 22" xfId="42730"/>
    <cellStyle name="asd 34 4 5 3" xfId="8516"/>
    <cellStyle name="asd 34 4 5 4" xfId="10426"/>
    <cellStyle name="asd 34 4 5 5" xfId="11025"/>
    <cellStyle name="asd 34 4 5 6" xfId="13412"/>
    <cellStyle name="asd 34 4 5 7" xfId="15317"/>
    <cellStyle name="asd 34 4 5 8" xfId="18045"/>
    <cellStyle name="asd 34 4 5 9" xfId="19951"/>
    <cellStyle name="asd 34 4 6" xfId="3980"/>
    <cellStyle name="asd 34 4 7" xfId="9188"/>
    <cellStyle name="asd 34 4 8" xfId="12411"/>
    <cellStyle name="asd 34 4 9" xfId="13978"/>
    <cellStyle name="asd 34 5" xfId="2391"/>
    <cellStyle name="asd 34 5 10" xfId="17155"/>
    <cellStyle name="asd 34 5 11" xfId="19061"/>
    <cellStyle name="asd 34 5 12" xfId="20973"/>
    <cellStyle name="asd 34 5 13" xfId="22667"/>
    <cellStyle name="asd 34 5 14" xfId="24775"/>
    <cellStyle name="asd 34 5 15" xfId="27169"/>
    <cellStyle name="asd 34 5 16" xfId="29612"/>
    <cellStyle name="asd 34 5 17" xfId="30761"/>
    <cellStyle name="asd 34 5 18" xfId="31596"/>
    <cellStyle name="asd 34 5 19" xfId="33961"/>
    <cellStyle name="asd 34 5 2" xfId="4588"/>
    <cellStyle name="asd 34 5 2 10" xfId="20833"/>
    <cellStyle name="asd 34 5 2 11" xfId="23535"/>
    <cellStyle name="asd 34 5 2 12" xfId="24635"/>
    <cellStyle name="asd 34 5 2 13" xfId="27564"/>
    <cellStyle name="asd 34 5 2 14" xfId="4217"/>
    <cellStyle name="asd 34 5 2 15" xfId="31144"/>
    <cellStyle name="asd 34 5 2 16" xfId="31807"/>
    <cellStyle name="asd 34 5 2 17" xfId="28492"/>
    <cellStyle name="asd 34 5 2 18" xfId="35463"/>
    <cellStyle name="asd 34 5 2 19" xfId="37341"/>
    <cellStyle name="asd 34 5 2 2" xfId="5411"/>
    <cellStyle name="asd 34 5 2 20" xfId="39045"/>
    <cellStyle name="asd 34 5 2 21" xfId="40727"/>
    <cellStyle name="asd 34 5 2 22" xfId="43300"/>
    <cellStyle name="asd 34 5 2 3" xfId="6674"/>
    <cellStyle name="asd 34 5 2 4" xfId="9395"/>
    <cellStyle name="asd 34 5 2 5" xfId="12524"/>
    <cellStyle name="asd 34 5 2 6" xfId="14007"/>
    <cellStyle name="asd 34 5 2 7" xfId="15908"/>
    <cellStyle name="asd 34 5 2 8" xfId="17014"/>
    <cellStyle name="asd 34 5 2 9" xfId="18921"/>
    <cellStyle name="asd 34 5 20" xfId="35602"/>
    <cellStyle name="asd 34 5 21" xfId="37481"/>
    <cellStyle name="asd 34 5 22" xfId="38843"/>
    <cellStyle name="asd 34 5 23" xfId="40529"/>
    <cellStyle name="asd 34 5 24" xfId="42473"/>
    <cellStyle name="asd 34 5 3" xfId="4727"/>
    <cellStyle name="asd 34 5 4" xfId="6175"/>
    <cellStyle name="asd 34 5 5" xfId="7626"/>
    <cellStyle name="asd 34 5 6" xfId="9536"/>
    <cellStyle name="asd 34 5 7" xfId="11412"/>
    <cellStyle name="asd 34 5 8" xfId="13134"/>
    <cellStyle name="asd 34 5 9" xfId="15039"/>
    <cellStyle name="asd 34 6" xfId="3156"/>
    <cellStyle name="asd 34 6 10" xfId="19168"/>
    <cellStyle name="asd 34 6 11" xfId="21080"/>
    <cellStyle name="asd 34 6 12" xfId="23427"/>
    <cellStyle name="asd 34 6 13" xfId="24882"/>
    <cellStyle name="asd 34 6 14" xfId="27184"/>
    <cellStyle name="asd 34 6 15" xfId="29323"/>
    <cellStyle name="asd 34 6 16" xfId="30775"/>
    <cellStyle name="asd 34 6 17" xfId="32462"/>
    <cellStyle name="asd 34 6 18" xfId="34806"/>
    <cellStyle name="asd 34 6 19" xfId="35709"/>
    <cellStyle name="asd 34 6 2" xfId="4268"/>
    <cellStyle name="asd 34 6 2 10" xfId="20459"/>
    <cellStyle name="asd 34 6 2 11" xfId="22608"/>
    <cellStyle name="asd 34 6 2 12" xfId="24261"/>
    <cellStyle name="asd 34 6 2 13" xfId="27339"/>
    <cellStyle name="asd 34 6 2 14" xfId="29599"/>
    <cellStyle name="asd 34 6 2 15" xfId="30928"/>
    <cellStyle name="asd 34 6 2 16" xfId="32497"/>
    <cellStyle name="asd 34 6 2 17" xfId="34986"/>
    <cellStyle name="asd 34 6 2 18" xfId="35089"/>
    <cellStyle name="asd 34 6 2 19" xfId="36967"/>
    <cellStyle name="asd 34 6 2 2" xfId="5343"/>
    <cellStyle name="asd 34 6 2 20" xfId="39712"/>
    <cellStyle name="asd 34 6 2 21" xfId="41384"/>
    <cellStyle name="asd 34 6 2 22" xfId="42415"/>
    <cellStyle name="asd 34 6 2 3" xfId="6699"/>
    <cellStyle name="asd 34 6 2 4" xfId="9021"/>
    <cellStyle name="asd 34 6 2 5" xfId="12722"/>
    <cellStyle name="asd 34 6 2 6" xfId="13075"/>
    <cellStyle name="asd 34 6 2 7" xfId="14980"/>
    <cellStyle name="asd 34 6 2 8" xfId="16640"/>
    <cellStyle name="asd 34 6 2 9" xfId="18547"/>
    <cellStyle name="asd 34 6 20" xfId="37588"/>
    <cellStyle name="asd 34 6 21" xfId="39680"/>
    <cellStyle name="asd 34 6 22" xfId="41353"/>
    <cellStyle name="asd 34 6 23" xfId="43194"/>
    <cellStyle name="asd 34 6 3" xfId="4832"/>
    <cellStyle name="asd 34 6 4" xfId="7733"/>
    <cellStyle name="asd 34 6 5" xfId="9643"/>
    <cellStyle name="asd 34 6 6" xfId="10984"/>
    <cellStyle name="asd 34 6 7" xfId="13899"/>
    <cellStyle name="asd 34 6 8" xfId="15800"/>
    <cellStyle name="asd 34 6 9" xfId="17262"/>
    <cellStyle name="asd 34 7" xfId="3724"/>
    <cellStyle name="asd 34 7 10" xfId="19500"/>
    <cellStyle name="asd 34 7 11" xfId="21412"/>
    <cellStyle name="asd 34 7 12" xfId="23219"/>
    <cellStyle name="asd 34 7 13" xfId="25214"/>
    <cellStyle name="asd 34 7 14" xfId="27809"/>
    <cellStyle name="asd 34 7 15" xfId="29373"/>
    <cellStyle name="asd 34 7 16" xfId="31387"/>
    <cellStyle name="asd 34 7 17" xfId="32577"/>
    <cellStyle name="asd 34 7 18" xfId="34667"/>
    <cellStyle name="asd 34 7 19" xfId="36041"/>
    <cellStyle name="asd 34 7 2" xfId="5770"/>
    <cellStyle name="asd 34 7 2 10" xfId="22020"/>
    <cellStyle name="asd 34 7 2 11" xfId="23452"/>
    <cellStyle name="asd 34 7 2 12" xfId="25822"/>
    <cellStyle name="asd 34 7 2 13" xfId="27605"/>
    <cellStyle name="asd 34 7 2 14" xfId="28241"/>
    <cellStyle name="asd 34 7 2 15" xfId="31183"/>
    <cellStyle name="asd 34 7 2 16" xfId="32153"/>
    <cellStyle name="asd 34 7 2 17" xfId="34708"/>
    <cellStyle name="asd 34 7 2 18" xfId="36649"/>
    <cellStyle name="asd 34 7 2 19" xfId="38528"/>
    <cellStyle name="asd 34 7 2 2" xfId="7219"/>
    <cellStyle name="asd 34 7 2 20" xfId="39376"/>
    <cellStyle name="asd 34 7 2 21" xfId="41052"/>
    <cellStyle name="asd 34 7 2 22" xfId="43219"/>
    <cellStyle name="asd 34 7 2 3" xfId="8673"/>
    <cellStyle name="asd 34 7 2 4" xfId="10583"/>
    <cellStyle name="asd 34 7 2 5" xfId="12584"/>
    <cellStyle name="asd 34 7 2 6" xfId="13924"/>
    <cellStyle name="asd 34 7 2 7" xfId="15825"/>
    <cellStyle name="asd 34 7 2 8" xfId="18202"/>
    <cellStyle name="asd 34 7 2 9" xfId="20108"/>
    <cellStyle name="asd 34 7 20" xfId="37920"/>
    <cellStyle name="asd 34 7 21" xfId="39787"/>
    <cellStyle name="asd 34 7 22" xfId="41457"/>
    <cellStyle name="asd 34 7 23" xfId="42996"/>
    <cellStyle name="asd 34 7 3" xfId="6614"/>
    <cellStyle name="asd 34 7 4" xfId="8065"/>
    <cellStyle name="asd 34 7 5" xfId="9975"/>
    <cellStyle name="asd 34 7 6" xfId="11096"/>
    <cellStyle name="asd 34 7 7" xfId="13691"/>
    <cellStyle name="asd 34 7 8" xfId="15593"/>
    <cellStyle name="asd 34 7 9" xfId="17594"/>
    <cellStyle name="asd 34 8" xfId="4279"/>
    <cellStyle name="asd 34 9" xfId="3279"/>
    <cellStyle name="asd 35" xfId="941"/>
    <cellStyle name="asd 35 10" xfId="2625"/>
    <cellStyle name="asd 35 11" xfId="2592"/>
    <cellStyle name="asd 35 12" xfId="12817"/>
    <cellStyle name="asd 35 13" xfId="11261"/>
    <cellStyle name="asd 35 14" xfId="16625"/>
    <cellStyle name="asd 35 15" xfId="18534"/>
    <cellStyle name="asd 35 16" xfId="14133"/>
    <cellStyle name="asd 35 17" xfId="11364"/>
    <cellStyle name="asd 35 18" xfId="23000"/>
    <cellStyle name="asd 35 19" xfId="10919"/>
    <cellStyle name="asd 35 2" xfId="3479"/>
    <cellStyle name="asd 35 2 10" xfId="14566"/>
    <cellStyle name="asd 35 2 11" xfId="16472"/>
    <cellStyle name="asd 35 2 12" xfId="16914"/>
    <cellStyle name="asd 35 2 13" xfId="18821"/>
    <cellStyle name="asd 35 2 14" xfId="20733"/>
    <cellStyle name="asd 35 2 15" xfId="24096"/>
    <cellStyle name="asd 35 2 16" xfId="24535"/>
    <cellStyle name="asd 35 2 17" xfId="27343"/>
    <cellStyle name="asd 35 2 18" xfId="28903"/>
    <cellStyle name="asd 35 2 19" xfId="30932"/>
    <cellStyle name="asd 35 2 2" xfId="3659"/>
    <cellStyle name="asd 35 2 2 10" xfId="17550"/>
    <cellStyle name="asd 35 2 2 11" xfId="19456"/>
    <cellStyle name="asd 35 2 2 12" xfId="21368"/>
    <cellStyle name="asd 35 2 2 13" xfId="22966"/>
    <cellStyle name="asd 35 2 2 14" xfId="25170"/>
    <cellStyle name="asd 35 2 2 15" xfId="27316"/>
    <cellStyle name="asd 35 2 2 16" xfId="2027"/>
    <cellStyle name="asd 35 2 2 17" xfId="30906"/>
    <cellStyle name="asd 35 2 2 18" xfId="31945"/>
    <cellStyle name="asd 35 2 2 19" xfId="33641"/>
    <cellStyle name="asd 35 2 2 2" xfId="4388"/>
    <cellStyle name="asd 35 2 2 2 10" xfId="20631"/>
    <cellStyle name="asd 35 2 2 2 11" xfId="22529"/>
    <cellStyle name="asd 35 2 2 2 12" xfId="24433"/>
    <cellStyle name="asd 35 2 2 2 13" xfId="26167"/>
    <cellStyle name="asd 35 2 2 2 14" xfId="28951"/>
    <cellStyle name="asd 35 2 2 2 15" xfId="29781"/>
    <cellStyle name="asd 35 2 2 2 16" xfId="32726"/>
    <cellStyle name="asd 35 2 2 2 17" xfId="34072"/>
    <cellStyle name="asd 35 2 2 2 18" xfId="35261"/>
    <cellStyle name="asd 35 2 2 2 19" xfId="37139"/>
    <cellStyle name="asd 35 2 2 2 2" xfId="5354"/>
    <cellStyle name="asd 35 2 2 2 20" xfId="39936"/>
    <cellStyle name="asd 35 2 2 2 21" xfId="41602"/>
    <cellStyle name="asd 35 2 2 2 22" xfId="42339"/>
    <cellStyle name="asd 35 2 2 2 3" xfId="6705"/>
    <cellStyle name="asd 35 2 2 2 4" xfId="9193"/>
    <cellStyle name="asd 35 2 2 2 5" xfId="11304"/>
    <cellStyle name="asd 35 2 2 2 6" xfId="12997"/>
    <cellStyle name="asd 35 2 2 2 7" xfId="14901"/>
    <cellStyle name="asd 35 2 2 2 8" xfId="16812"/>
    <cellStyle name="asd 35 2 2 2 9" xfId="18719"/>
    <cellStyle name="asd 35 2 2 20" xfId="35997"/>
    <cellStyle name="asd 35 2 2 21" xfId="37876"/>
    <cellStyle name="asd 35 2 2 22" xfId="39175"/>
    <cellStyle name="asd 35 2 2 23" xfId="40856"/>
    <cellStyle name="asd 35 2 2 24" xfId="42752"/>
    <cellStyle name="asd 35 2 2 3" xfId="5120"/>
    <cellStyle name="asd 35 2 2 4" xfId="6570"/>
    <cellStyle name="asd 35 2 2 5" xfId="8021"/>
    <cellStyle name="asd 35 2 2 6" xfId="9931"/>
    <cellStyle name="asd 35 2 2 7" xfId="12482"/>
    <cellStyle name="asd 35 2 2 8" xfId="13435"/>
    <cellStyle name="asd 35 2 2 9" xfId="15340"/>
    <cellStyle name="asd 35 2 20" xfId="33305"/>
    <cellStyle name="asd 35 2 21" xfId="34690"/>
    <cellStyle name="asd 35 2 22" xfId="35363"/>
    <cellStyle name="asd 35 2 23" xfId="37241"/>
    <cellStyle name="asd 35 2 24" xfId="40487"/>
    <cellStyle name="asd 35 2 25" xfId="42141"/>
    <cellStyle name="asd 35 2 26" xfId="43839"/>
    <cellStyle name="asd 35 2 3" xfId="2464"/>
    <cellStyle name="asd 35 2 3 10" xfId="19070"/>
    <cellStyle name="asd 35 2 3 11" xfId="20982"/>
    <cellStyle name="asd 35 2 3 12" xfId="22577"/>
    <cellStyle name="asd 35 2 3 13" xfId="24784"/>
    <cellStyle name="asd 35 2 3 14" xfId="27160"/>
    <cellStyle name="asd 35 2 3 15" xfId="29467"/>
    <cellStyle name="asd 35 2 3 16" xfId="30751"/>
    <cellStyle name="asd 35 2 3 17" xfId="33068"/>
    <cellStyle name="asd 35 2 3 18" xfId="34115"/>
    <cellStyle name="asd 35 2 3 19" xfId="35611"/>
    <cellStyle name="asd 35 2 3 2" xfId="3272"/>
    <cellStyle name="asd 35 2 3 2 10" xfId="20598"/>
    <cellStyle name="asd 35 2 3 2 11" xfId="2265"/>
    <cellStyle name="asd 35 2 3 2 12" xfId="24400"/>
    <cellStyle name="asd 35 2 3 2 13" xfId="3262"/>
    <cellStyle name="asd 35 2 3 2 14" xfId="2782"/>
    <cellStyle name="asd 35 2 3 2 15" xfId="1869"/>
    <cellStyle name="asd 35 2 3 2 16" xfId="28336"/>
    <cellStyle name="asd 35 2 3 2 17" xfId="32951"/>
    <cellStyle name="asd 35 2 3 2 18" xfId="35228"/>
    <cellStyle name="asd 35 2 3 2 19" xfId="37106"/>
    <cellStyle name="asd 35 2 3 2 2" xfId="4672"/>
    <cellStyle name="asd 35 2 3 2 20" xfId="29735"/>
    <cellStyle name="asd 35 2 3 2 21" xfId="3715"/>
    <cellStyle name="asd 35 2 3 2 22" xfId="2977"/>
    <cellStyle name="asd 35 2 3 2 3" xfId="6169"/>
    <cellStyle name="asd 35 2 3 2 4" xfId="9160"/>
    <cellStyle name="asd 35 2 3 2 5" xfId="12403"/>
    <cellStyle name="asd 35 2 3 2 6" xfId="2345"/>
    <cellStyle name="asd 35 2 3 2 7" xfId="4281"/>
    <cellStyle name="asd 35 2 3 2 8" xfId="16779"/>
    <cellStyle name="asd 35 2 3 2 9" xfId="18686"/>
    <cellStyle name="asd 35 2 3 20" xfId="37490"/>
    <cellStyle name="asd 35 2 3 21" xfId="40264"/>
    <cellStyle name="asd 35 2 3 22" xfId="41922"/>
    <cellStyle name="asd 35 2 3 23" xfId="42386"/>
    <cellStyle name="asd 35 2 3 3" xfId="4735"/>
    <cellStyle name="asd 35 2 3 4" xfId="7635"/>
    <cellStyle name="asd 35 2 3 5" xfId="9545"/>
    <cellStyle name="asd 35 2 3 6" xfId="11816"/>
    <cellStyle name="asd 35 2 3 7" xfId="13045"/>
    <cellStyle name="asd 35 2 3 8" xfId="14949"/>
    <cellStyle name="asd 35 2 3 9" xfId="17164"/>
    <cellStyle name="asd 35 2 4" xfId="4111"/>
    <cellStyle name="asd 35 2 4 10" xfId="19746"/>
    <cellStyle name="asd 35 2 4 11" xfId="21658"/>
    <cellStyle name="asd 35 2 4 12" xfId="23046"/>
    <cellStyle name="asd 35 2 4 13" xfId="25460"/>
    <cellStyle name="asd 35 2 4 14" xfId="27366"/>
    <cellStyle name="asd 35 2 4 15" xfId="29390"/>
    <cellStyle name="asd 35 2 4 16" xfId="30953"/>
    <cellStyle name="asd 35 2 4 17" xfId="32622"/>
    <cellStyle name="asd 35 2 4 18" xfId="34896"/>
    <cellStyle name="asd 35 2 4 19" xfId="36287"/>
    <cellStyle name="asd 35 2 4 2" xfId="6016"/>
    <cellStyle name="asd 35 2 4 2 10" xfId="22266"/>
    <cellStyle name="asd 35 2 4 2 11" xfId="23501"/>
    <cellStyle name="asd 35 2 4 2 12" xfId="26068"/>
    <cellStyle name="asd 35 2 4 2 13" xfId="26645"/>
    <cellStyle name="asd 35 2 4 2 14" xfId="29171"/>
    <cellStyle name="asd 35 2 4 2 15" xfId="30248"/>
    <cellStyle name="asd 35 2 4 2 16" xfId="32591"/>
    <cellStyle name="asd 35 2 4 2 17" xfId="33674"/>
    <cellStyle name="asd 35 2 4 2 18" xfId="36895"/>
    <cellStyle name="asd 35 2 4 2 19" xfId="38774"/>
    <cellStyle name="asd 35 2 4 2 2" xfId="7465"/>
    <cellStyle name="asd 35 2 4 2 20" xfId="39802"/>
    <cellStyle name="asd 35 2 4 2 21" xfId="41471"/>
    <cellStyle name="asd 35 2 4 2 22" xfId="43267"/>
    <cellStyle name="asd 35 2 4 2 3" xfId="8919"/>
    <cellStyle name="asd 35 2 4 2 4" xfId="10829"/>
    <cellStyle name="asd 35 2 4 2 5" xfId="12591"/>
    <cellStyle name="asd 35 2 4 2 6" xfId="13973"/>
    <cellStyle name="asd 35 2 4 2 7" xfId="15874"/>
    <cellStyle name="asd 35 2 4 2 8" xfId="18448"/>
    <cellStyle name="asd 35 2 4 2 9" xfId="20354"/>
    <cellStyle name="asd 35 2 4 20" xfId="38166"/>
    <cellStyle name="asd 35 2 4 21" xfId="39832"/>
    <cellStyle name="asd 35 2 4 22" xfId="41501"/>
    <cellStyle name="asd 35 2 4 23" xfId="42829"/>
    <cellStyle name="asd 35 2 4 3" xfId="6857"/>
    <cellStyle name="asd 35 2 4 4" xfId="8311"/>
    <cellStyle name="asd 35 2 4 5" xfId="10221"/>
    <cellStyle name="asd 35 2 4 6" xfId="11359"/>
    <cellStyle name="asd 35 2 4 7" xfId="13516"/>
    <cellStyle name="asd 35 2 4 8" xfId="15420"/>
    <cellStyle name="asd 35 2 4 9" xfId="17840"/>
    <cellStyle name="asd 35 2 5" xfId="4961"/>
    <cellStyle name="asd 35 2 5 10" xfId="21209"/>
    <cellStyle name="asd 35 2 5 11" xfId="24043"/>
    <cellStyle name="asd 35 2 5 12" xfId="25011"/>
    <cellStyle name="asd 35 2 5 13" xfId="27055"/>
    <cellStyle name="asd 35 2 5 14" xfId="29389"/>
    <cellStyle name="asd 35 2 5 15" xfId="30647"/>
    <cellStyle name="asd 35 2 5 16" xfId="32757"/>
    <cellStyle name="asd 35 2 5 17" xfId="33590"/>
    <cellStyle name="asd 35 2 5 18" xfId="35838"/>
    <cellStyle name="asd 35 2 5 19" xfId="37717"/>
    <cellStyle name="asd 35 2 5 2" xfId="6411"/>
    <cellStyle name="asd 35 2 5 20" xfId="39966"/>
    <cellStyle name="asd 35 2 5 21" xfId="41630"/>
    <cellStyle name="asd 35 2 5 22" xfId="43787"/>
    <cellStyle name="asd 35 2 5 3" xfId="7862"/>
    <cellStyle name="asd 35 2 5 4" xfId="9772"/>
    <cellStyle name="asd 35 2 5 5" xfId="12002"/>
    <cellStyle name="asd 35 2 5 6" xfId="14513"/>
    <cellStyle name="asd 35 2 5 7" xfId="16419"/>
    <cellStyle name="asd 35 2 5 8" xfId="17391"/>
    <cellStyle name="asd 35 2 5 9" xfId="19297"/>
    <cellStyle name="asd 35 2 6" xfId="5514"/>
    <cellStyle name="asd 35 2 6 10" xfId="21764"/>
    <cellStyle name="asd 35 2 6 11" xfId="22849"/>
    <cellStyle name="asd 35 2 6 12" xfId="25566"/>
    <cellStyle name="asd 35 2 6 13" xfId="27829"/>
    <cellStyle name="asd 35 2 6 14" xfId="29273"/>
    <cellStyle name="asd 35 2 6 15" xfId="31407"/>
    <cellStyle name="asd 35 2 6 16" xfId="32461"/>
    <cellStyle name="asd 35 2 6 17" xfId="34552"/>
    <cellStyle name="asd 35 2 6 18" xfId="36393"/>
    <cellStyle name="asd 35 2 6 19" xfId="38272"/>
    <cellStyle name="asd 35 2 6 2" xfId="6963"/>
    <cellStyle name="asd 35 2 6 20" xfId="39679"/>
    <cellStyle name="asd 35 2 6 21" xfId="41352"/>
    <cellStyle name="asd 35 2 6 22" xfId="42640"/>
    <cellStyle name="asd 35 2 6 3" xfId="8417"/>
    <cellStyle name="asd 35 2 6 4" xfId="10327"/>
    <cellStyle name="asd 35 2 6 5" xfId="12200"/>
    <cellStyle name="asd 35 2 6 6" xfId="13318"/>
    <cellStyle name="asd 35 2 6 7" xfId="15222"/>
    <cellStyle name="asd 35 2 6 8" xfId="17946"/>
    <cellStyle name="asd 35 2 6 9" xfId="19852"/>
    <cellStyle name="asd 35 2 7" xfId="2630"/>
    <cellStyle name="asd 35 2 8" xfId="9295"/>
    <cellStyle name="asd 35 2 9" xfId="12055"/>
    <cellStyle name="asd 35 20" xfId="29119"/>
    <cellStyle name="asd 35 21" xfId="26582"/>
    <cellStyle name="asd 35 22" xfId="2856"/>
    <cellStyle name="asd 35 23" xfId="2715"/>
    <cellStyle name="asd 35 24" xfId="35078"/>
    <cellStyle name="asd 35 25" xfId="3244"/>
    <cellStyle name="asd 35 26" xfId="28710"/>
    <cellStyle name="asd 35 27" xfId="28393"/>
    <cellStyle name="asd 35 3" xfId="3492"/>
    <cellStyle name="asd 35 3 10" xfId="14599"/>
    <cellStyle name="asd 35 3 11" xfId="16505"/>
    <cellStyle name="asd 35 3 12" xfId="16938"/>
    <cellStyle name="asd 35 3 13" xfId="18845"/>
    <cellStyle name="asd 35 3 14" xfId="20757"/>
    <cellStyle name="asd 35 3 15" xfId="24128"/>
    <cellStyle name="asd 35 3 16" xfId="24559"/>
    <cellStyle name="asd 35 3 17" xfId="27310"/>
    <cellStyle name="asd 35 3 18" xfId="18520"/>
    <cellStyle name="asd 35 3 19" xfId="30900"/>
    <cellStyle name="asd 35 3 2" xfId="3672"/>
    <cellStyle name="asd 35 3 2 10" xfId="17563"/>
    <cellStyle name="asd 35 3 2 11" xfId="19469"/>
    <cellStyle name="asd 35 3 2 12" xfId="21381"/>
    <cellStyle name="asd 35 3 2 13" xfId="23664"/>
    <cellStyle name="asd 35 3 2 14" xfId="25183"/>
    <cellStyle name="asd 35 3 2 15" xfId="27424"/>
    <cellStyle name="asd 35 3 2 16" xfId="29270"/>
    <cellStyle name="asd 35 3 2 17" xfId="31010"/>
    <cellStyle name="asd 35 3 2 18" xfId="33107"/>
    <cellStyle name="asd 35 3 2 19" xfId="34928"/>
    <cellStyle name="asd 35 3 2 2" xfId="4306"/>
    <cellStyle name="asd 35 3 2 2 10" xfId="20477"/>
    <cellStyle name="asd 35 3 2 2 11" xfId="11389"/>
    <cellStyle name="asd 35 3 2 2 12" xfId="24279"/>
    <cellStyle name="asd 35 3 2 2 13" xfId="22668"/>
    <cellStyle name="asd 35 3 2 2 14" xfId="5406"/>
    <cellStyle name="asd 35 3 2 2 15" xfId="22341"/>
    <cellStyle name="asd 35 3 2 2 16" xfId="28914"/>
    <cellStyle name="asd 35 3 2 2 17" xfId="33372"/>
    <cellStyle name="asd 35 3 2 2 18" xfId="35107"/>
    <cellStyle name="asd 35 3 2 2 19" xfId="36985"/>
    <cellStyle name="asd 35 3 2 2 2" xfId="3213"/>
    <cellStyle name="asd 35 3 2 2 20" xfId="30489"/>
    <cellStyle name="asd 35 3 2 2 21" xfId="31833"/>
    <cellStyle name="asd 35 3 2 2 22" xfId="29215"/>
    <cellStyle name="asd 35 3 2 2 3" xfId="1898"/>
    <cellStyle name="asd 35 3 2 2 4" xfId="9039"/>
    <cellStyle name="asd 35 3 2 2 5" xfId="2256"/>
    <cellStyle name="asd 35 3 2 2 6" xfId="2954"/>
    <cellStyle name="asd 35 3 2 2 7" xfId="2880"/>
    <cellStyle name="asd 35 3 2 2 8" xfId="16658"/>
    <cellStyle name="asd 35 3 2 2 9" xfId="18565"/>
    <cellStyle name="asd 35 3 2 20" xfId="36010"/>
    <cellStyle name="asd 35 3 2 21" xfId="37889"/>
    <cellStyle name="asd 35 3 2 22" xfId="40302"/>
    <cellStyle name="asd 35 3 2 23" xfId="41958"/>
    <cellStyle name="asd 35 3 2 24" xfId="43422"/>
    <cellStyle name="asd 35 3 2 3" xfId="5133"/>
    <cellStyle name="asd 35 3 2 4" xfId="6583"/>
    <cellStyle name="asd 35 3 2 5" xfId="8034"/>
    <cellStyle name="asd 35 3 2 6" xfId="9944"/>
    <cellStyle name="asd 35 3 2 7" xfId="11688"/>
    <cellStyle name="asd 35 3 2 8" xfId="14135"/>
    <cellStyle name="asd 35 3 2 9" xfId="16038"/>
    <cellStyle name="asd 35 3 20" xfId="33323"/>
    <cellStyle name="asd 35 3 21" xfId="26140"/>
    <cellStyle name="asd 35 3 22" xfId="35387"/>
    <cellStyle name="asd 35 3 23" xfId="37265"/>
    <cellStyle name="asd 35 3 24" xfId="40503"/>
    <cellStyle name="asd 35 3 25" xfId="42155"/>
    <cellStyle name="asd 35 3 26" xfId="43871"/>
    <cellStyle name="asd 35 3 3" xfId="3880"/>
    <cellStyle name="asd 35 3 3 10" xfId="19589"/>
    <cellStyle name="asd 35 3 3 11" xfId="21501"/>
    <cellStyle name="asd 35 3 3 12" xfId="23919"/>
    <cellStyle name="asd 35 3 3 13" xfId="25303"/>
    <cellStyle name="asd 35 3 3 14" xfId="27799"/>
    <cellStyle name="asd 35 3 3 15" xfId="2667"/>
    <cellStyle name="asd 35 3 3 16" xfId="31376"/>
    <cellStyle name="asd 35 3 3 17" xfId="12816"/>
    <cellStyle name="asd 35 3 3 18" xfId="32376"/>
    <cellStyle name="asd 35 3 3 19" xfId="36130"/>
    <cellStyle name="asd 35 3 3 2" xfId="5859"/>
    <cellStyle name="asd 35 3 3 2 10" xfId="22109"/>
    <cellStyle name="asd 35 3 3 2 11" xfId="24118"/>
    <cellStyle name="asd 35 3 3 2 12" xfId="25911"/>
    <cellStyle name="asd 35 3 3 2 13" xfId="26321"/>
    <cellStyle name="asd 35 3 3 2 14" xfId="28661"/>
    <cellStyle name="asd 35 3 3 2 15" xfId="29929"/>
    <cellStyle name="asd 35 3 3 2 16" xfId="32617"/>
    <cellStyle name="asd 35 3 3 2 17" xfId="33561"/>
    <cellStyle name="asd 35 3 3 2 18" xfId="36738"/>
    <cellStyle name="asd 35 3 3 2 19" xfId="38617"/>
    <cellStyle name="asd 35 3 3 2 2" xfId="7308"/>
    <cellStyle name="asd 35 3 3 2 20" xfId="39827"/>
    <cellStyle name="asd 35 3 3 2 21" xfId="41496"/>
    <cellStyle name="asd 35 3 3 2 22" xfId="43861"/>
    <cellStyle name="asd 35 3 3 2 3" xfId="8762"/>
    <cellStyle name="asd 35 3 3 2 4" xfId="10672"/>
    <cellStyle name="asd 35 3 3 2 5" xfId="12078"/>
    <cellStyle name="asd 35 3 3 2 6" xfId="14589"/>
    <cellStyle name="asd 35 3 3 2 7" xfId="16495"/>
    <cellStyle name="asd 35 3 3 2 8" xfId="18291"/>
    <cellStyle name="asd 35 3 3 2 9" xfId="20197"/>
    <cellStyle name="asd 35 3 3 20" xfId="38009"/>
    <cellStyle name="asd 35 3 3 21" xfId="33705"/>
    <cellStyle name="asd 35 3 3 22" xfId="33622"/>
    <cellStyle name="asd 35 3 3 23" xfId="43665"/>
    <cellStyle name="asd 35 3 3 3" xfId="5253"/>
    <cellStyle name="asd 35 3 3 4" xfId="8154"/>
    <cellStyle name="asd 35 3 3 5" xfId="10064"/>
    <cellStyle name="asd 35 3 3 6" xfId="11878"/>
    <cellStyle name="asd 35 3 3 7" xfId="14387"/>
    <cellStyle name="asd 35 3 3 8" xfId="16293"/>
    <cellStyle name="asd 35 3 3 9" xfId="17683"/>
    <cellStyle name="asd 35 3 4" xfId="4124"/>
    <cellStyle name="asd 35 3 4 10" xfId="19759"/>
    <cellStyle name="asd 35 3 4 11" xfId="21671"/>
    <cellStyle name="asd 35 3 4 12" xfId="24055"/>
    <cellStyle name="asd 35 3 4 13" xfId="25473"/>
    <cellStyle name="asd 35 3 4 14" xfId="27616"/>
    <cellStyle name="asd 35 3 4 15" xfId="29420"/>
    <cellStyle name="asd 35 3 4 16" xfId="31194"/>
    <cellStyle name="asd 35 3 4 17" xfId="31973"/>
    <cellStyle name="asd 35 3 4 18" xfId="34317"/>
    <cellStyle name="asd 35 3 4 19" xfId="36300"/>
    <cellStyle name="asd 35 3 4 2" xfId="6029"/>
    <cellStyle name="asd 35 3 4 2 10" xfId="22279"/>
    <cellStyle name="asd 35 3 4 2 11" xfId="23270"/>
    <cellStyle name="asd 35 3 4 2 12" xfId="26081"/>
    <cellStyle name="asd 35 3 4 2 13" xfId="27109"/>
    <cellStyle name="asd 35 3 4 2 14" xfId="29350"/>
    <cellStyle name="asd 35 3 4 2 15" xfId="30700"/>
    <cellStyle name="asd 35 3 4 2 16" xfId="32234"/>
    <cellStyle name="asd 35 3 4 2 17" xfId="34147"/>
    <cellStyle name="asd 35 3 4 2 18" xfId="36908"/>
    <cellStyle name="asd 35 3 4 2 19" xfId="38787"/>
    <cellStyle name="asd 35 3 4 2 2" xfId="7478"/>
    <cellStyle name="asd 35 3 4 2 20" xfId="39453"/>
    <cellStyle name="asd 35 3 4 2 21" xfId="41128"/>
    <cellStyle name="asd 35 3 4 2 22" xfId="43046"/>
    <cellStyle name="asd 35 3 4 2 3" xfId="8932"/>
    <cellStyle name="asd 35 3 4 2 4" xfId="10842"/>
    <cellStyle name="asd 35 3 4 2 5" xfId="11205"/>
    <cellStyle name="asd 35 3 4 2 6" xfId="13742"/>
    <cellStyle name="asd 35 3 4 2 7" xfId="15644"/>
    <cellStyle name="asd 35 3 4 2 8" xfId="18461"/>
    <cellStyle name="asd 35 3 4 2 9" xfId="20367"/>
    <cellStyle name="asd 35 3 4 20" xfId="38179"/>
    <cellStyle name="asd 35 3 4 21" xfId="39203"/>
    <cellStyle name="asd 35 3 4 22" xfId="40884"/>
    <cellStyle name="asd 35 3 4 23" xfId="43799"/>
    <cellStyle name="asd 35 3 4 3" xfId="6870"/>
    <cellStyle name="asd 35 3 4 4" xfId="8324"/>
    <cellStyle name="asd 35 3 4 5" xfId="10234"/>
    <cellStyle name="asd 35 3 4 6" xfId="12014"/>
    <cellStyle name="asd 35 3 4 7" xfId="14525"/>
    <cellStyle name="asd 35 3 4 8" xfId="16431"/>
    <cellStyle name="asd 35 3 4 9" xfId="17853"/>
    <cellStyle name="asd 35 3 5" xfId="4972"/>
    <cellStyle name="asd 35 3 5 10" xfId="21220"/>
    <cellStyle name="asd 35 3 5 11" xfId="23986"/>
    <cellStyle name="asd 35 3 5 12" xfId="25022"/>
    <cellStyle name="asd 35 3 5 13" xfId="27068"/>
    <cellStyle name="asd 35 3 5 14" xfId="28629"/>
    <cellStyle name="asd 35 3 5 15" xfId="30659"/>
    <cellStyle name="asd 35 3 5 16" xfId="33012"/>
    <cellStyle name="asd 35 3 5 17" xfId="34654"/>
    <cellStyle name="asd 35 3 5 18" xfId="35849"/>
    <cellStyle name="asd 35 3 5 19" xfId="37728"/>
    <cellStyle name="asd 35 3 5 2" xfId="6422"/>
    <cellStyle name="asd 35 3 5 20" xfId="40212"/>
    <cellStyle name="asd 35 3 5 21" xfId="41871"/>
    <cellStyle name="asd 35 3 5 22" xfId="43730"/>
    <cellStyle name="asd 35 3 5 3" xfId="7873"/>
    <cellStyle name="asd 35 3 5 4" xfId="9783"/>
    <cellStyle name="asd 35 3 5 5" xfId="11945"/>
    <cellStyle name="asd 35 3 5 6" xfId="14456"/>
    <cellStyle name="asd 35 3 5 7" xfId="16362"/>
    <cellStyle name="asd 35 3 5 8" xfId="17402"/>
    <cellStyle name="asd 35 3 5 9" xfId="19308"/>
    <cellStyle name="asd 35 3 6" xfId="5515"/>
    <cellStyle name="asd 35 3 6 10" xfId="21765"/>
    <cellStyle name="asd 35 3 6 11" xfId="23639"/>
    <cellStyle name="asd 35 3 6 12" xfId="25567"/>
    <cellStyle name="asd 35 3 6 13" xfId="27743"/>
    <cellStyle name="asd 35 3 6 14" xfId="28075"/>
    <cellStyle name="asd 35 3 6 15" xfId="31321"/>
    <cellStyle name="asd 35 3 6 16" xfId="33190"/>
    <cellStyle name="asd 35 3 6 17" xfId="33634"/>
    <cellStyle name="asd 35 3 6 18" xfId="36394"/>
    <cellStyle name="asd 35 3 6 19" xfId="38273"/>
    <cellStyle name="asd 35 3 6 2" xfId="6964"/>
    <cellStyle name="asd 35 3 6 20" xfId="40381"/>
    <cellStyle name="asd 35 3 6 21" xfId="42037"/>
    <cellStyle name="asd 35 3 6 22" xfId="43397"/>
    <cellStyle name="asd 35 3 6 3" xfId="8418"/>
    <cellStyle name="asd 35 3 6 4" xfId="10328"/>
    <cellStyle name="asd 35 3 6 5" xfId="11438"/>
    <cellStyle name="asd 35 3 6 6" xfId="14109"/>
    <cellStyle name="asd 35 3 6 7" xfId="16012"/>
    <cellStyle name="asd 35 3 6 8" xfId="17947"/>
    <cellStyle name="asd 35 3 6 9" xfId="19853"/>
    <cellStyle name="asd 35 3 7" xfId="2257"/>
    <cellStyle name="asd 35 3 8" xfId="9319"/>
    <cellStyle name="asd 35 3 9" xfId="12088"/>
    <cellStyle name="asd 35 4" xfId="3399"/>
    <cellStyle name="asd 35 4 10" xfId="16527"/>
    <cellStyle name="asd 35 4 11" xfId="16740"/>
    <cellStyle name="asd 35 4 12" xfId="18647"/>
    <cellStyle name="asd 35 4 13" xfId="20559"/>
    <cellStyle name="asd 35 4 14" xfId="24150"/>
    <cellStyle name="asd 35 4 15" xfId="24361"/>
    <cellStyle name="asd 35 4 16" xfId="26936"/>
    <cellStyle name="asd 35 4 17" xfId="29285"/>
    <cellStyle name="asd 35 4 18" xfId="30530"/>
    <cellStyle name="asd 35 4 19" xfId="32942"/>
    <cellStyle name="asd 35 4 2" xfId="3579"/>
    <cellStyle name="asd 35 4 2 10" xfId="17470"/>
    <cellStyle name="asd 35 4 2 11" xfId="19376"/>
    <cellStyle name="asd 35 4 2 12" xfId="21288"/>
    <cellStyle name="asd 35 4 2 13" xfId="23738"/>
    <cellStyle name="asd 35 4 2 14" xfId="25090"/>
    <cellStyle name="asd 35 4 2 15" xfId="26580"/>
    <cellStyle name="asd 35 4 2 16" xfId="28916"/>
    <cellStyle name="asd 35 4 2 17" xfId="30183"/>
    <cellStyle name="asd 35 4 2 18" xfId="32985"/>
    <cellStyle name="asd 35 4 2 19" xfId="34404"/>
    <cellStyle name="asd 35 4 2 2" xfId="5691"/>
    <cellStyle name="asd 35 4 2 2 10" xfId="21941"/>
    <cellStyle name="asd 35 4 2 2 11" xfId="22461"/>
    <cellStyle name="asd 35 4 2 2 12" xfId="25743"/>
    <cellStyle name="asd 35 4 2 2 13" xfId="27694"/>
    <cellStyle name="asd 35 4 2 2 14" xfId="29685"/>
    <cellStyle name="asd 35 4 2 2 15" xfId="31268"/>
    <cellStyle name="asd 35 4 2 2 16" xfId="31918"/>
    <cellStyle name="asd 35 4 2 2 17" xfId="35014"/>
    <cellStyle name="asd 35 4 2 2 18" xfId="36570"/>
    <cellStyle name="asd 35 4 2 2 19" xfId="38449"/>
    <cellStyle name="asd 35 4 2 2 2" xfId="7140"/>
    <cellStyle name="asd 35 4 2 2 20" xfId="39150"/>
    <cellStyle name="asd 35 4 2 2 21" xfId="40831"/>
    <cellStyle name="asd 35 4 2 2 22" xfId="42272"/>
    <cellStyle name="asd 35 4 2 2 3" xfId="8594"/>
    <cellStyle name="asd 35 4 2 2 4" xfId="10504"/>
    <cellStyle name="asd 35 4 2 2 5" xfId="12242"/>
    <cellStyle name="asd 35 4 2 2 6" xfId="12929"/>
    <cellStyle name="asd 35 4 2 2 7" xfId="14834"/>
    <cellStyle name="asd 35 4 2 2 8" xfId="18123"/>
    <cellStyle name="asd 35 4 2 2 9" xfId="20029"/>
    <cellStyle name="asd 35 4 2 20" xfId="35917"/>
    <cellStyle name="asd 35 4 2 21" xfId="37796"/>
    <cellStyle name="asd 35 4 2 22" xfId="40186"/>
    <cellStyle name="asd 35 4 2 23" xfId="41845"/>
    <cellStyle name="asd 35 4 2 24" xfId="43491"/>
    <cellStyle name="asd 35 4 2 3" xfId="5040"/>
    <cellStyle name="asd 35 4 2 4" xfId="6490"/>
    <cellStyle name="asd 35 4 2 5" xfId="7941"/>
    <cellStyle name="asd 35 4 2 6" xfId="9851"/>
    <cellStyle name="asd 35 4 2 7" xfId="11842"/>
    <cellStyle name="asd 35 4 2 8" xfId="14208"/>
    <cellStyle name="asd 35 4 2 9" xfId="16112"/>
    <cellStyle name="asd 35 4 20" xfId="33984"/>
    <cellStyle name="asd 35 4 21" xfId="35189"/>
    <cellStyle name="asd 35 4 22" xfId="37067"/>
    <cellStyle name="asd 35 4 23" xfId="40145"/>
    <cellStyle name="asd 35 4 24" xfId="41804"/>
    <cellStyle name="asd 35 4 25" xfId="43892"/>
    <cellStyle name="asd 35 4 3" xfId="2288"/>
    <cellStyle name="asd 35 4 3 10" xfId="19045"/>
    <cellStyle name="asd 35 4 3 11" xfId="20957"/>
    <cellStyle name="asd 35 4 3 12" xfId="23338"/>
    <cellStyle name="asd 35 4 3 13" xfId="24759"/>
    <cellStyle name="asd 35 4 3 14" xfId="26592"/>
    <cellStyle name="asd 35 4 3 15" xfId="28262"/>
    <cellStyle name="asd 35 4 3 16" xfId="30194"/>
    <cellStyle name="asd 35 4 3 17" xfId="32403"/>
    <cellStyle name="asd 35 4 3 18" xfId="33837"/>
    <cellStyle name="asd 35 4 3 19" xfId="35586"/>
    <cellStyle name="asd 35 4 3 2" xfId="5622"/>
    <cellStyle name="asd 35 4 3 2 10" xfId="21872"/>
    <cellStyle name="asd 35 4 3 2 11" xfId="22864"/>
    <cellStyle name="asd 35 4 3 2 12" xfId="25674"/>
    <cellStyle name="asd 35 4 3 2 13" xfId="26398"/>
    <cellStyle name="asd 35 4 3 2 14" xfId="28027"/>
    <cellStyle name="asd 35 4 3 2 15" xfId="30006"/>
    <cellStyle name="asd 35 4 3 2 16" xfId="32537"/>
    <cellStyle name="asd 35 4 3 2 17" xfId="34313"/>
    <cellStyle name="asd 35 4 3 2 18" xfId="36501"/>
    <cellStyle name="asd 35 4 3 2 19" xfId="38380"/>
    <cellStyle name="asd 35 4 3 2 2" xfId="7071"/>
    <cellStyle name="asd 35 4 3 2 20" xfId="39750"/>
    <cellStyle name="asd 35 4 3 2 21" xfId="41422"/>
    <cellStyle name="asd 35 4 3 2 22" xfId="42651"/>
    <cellStyle name="asd 35 4 3 2 3" xfId="8525"/>
    <cellStyle name="asd 35 4 3 2 4" xfId="10435"/>
    <cellStyle name="asd 35 4 3 2 5" xfId="12299"/>
    <cellStyle name="asd 35 4 3 2 6" xfId="13332"/>
    <cellStyle name="asd 35 4 3 2 7" xfId="15237"/>
    <cellStyle name="asd 35 4 3 2 8" xfId="18054"/>
    <cellStyle name="asd 35 4 3 2 9" xfId="19960"/>
    <cellStyle name="asd 35 4 3 20" xfId="37465"/>
    <cellStyle name="asd 35 4 3 21" xfId="39620"/>
    <cellStyle name="asd 35 4 3 22" xfId="41294"/>
    <cellStyle name="asd 35 4 3 23" xfId="43108"/>
    <cellStyle name="asd 35 4 3 3" xfId="4711"/>
    <cellStyle name="asd 35 4 3 4" xfId="7610"/>
    <cellStyle name="asd 35 4 3 5" xfId="9520"/>
    <cellStyle name="asd 35 4 3 6" xfId="11313"/>
    <cellStyle name="asd 35 4 3 7" xfId="13810"/>
    <cellStyle name="asd 35 4 3 8" xfId="15712"/>
    <cellStyle name="asd 35 4 3 9" xfId="17139"/>
    <cellStyle name="asd 35 4 4" xfId="4031"/>
    <cellStyle name="asd 35 4 4 10" xfId="19666"/>
    <cellStyle name="asd 35 4 4 11" xfId="21578"/>
    <cellStyle name="asd 35 4 4 12" xfId="22598"/>
    <cellStyle name="asd 35 4 4 13" xfId="25380"/>
    <cellStyle name="asd 35 4 4 14" xfId="27825"/>
    <cellStyle name="asd 35 4 4 15" xfId="29611"/>
    <cellStyle name="asd 35 4 4 16" xfId="31403"/>
    <cellStyle name="asd 35 4 4 17" xfId="32728"/>
    <cellStyle name="asd 35 4 4 18" xfId="34489"/>
    <cellStyle name="asd 35 4 4 19" xfId="36207"/>
    <cellStyle name="asd 35 4 4 2" xfId="5936"/>
    <cellStyle name="asd 35 4 4 2 10" xfId="22186"/>
    <cellStyle name="asd 35 4 4 2 11" xfId="23939"/>
    <cellStyle name="asd 35 4 4 2 12" xfId="25988"/>
    <cellStyle name="asd 35 4 4 2 13" xfId="27959"/>
    <cellStyle name="asd 35 4 4 2 14" xfId="23367"/>
    <cellStyle name="asd 35 4 4 2 15" xfId="31538"/>
    <cellStyle name="asd 35 4 4 2 16" xfId="10915"/>
    <cellStyle name="asd 35 4 4 2 17" xfId="29654"/>
    <cellStyle name="asd 35 4 4 2 18" xfId="36815"/>
    <cellStyle name="asd 35 4 4 2 19" xfId="38694"/>
    <cellStyle name="asd 35 4 4 2 2" xfId="7385"/>
    <cellStyle name="asd 35 4 4 2 20" xfId="26564"/>
    <cellStyle name="asd 35 4 4 2 21" xfId="26701"/>
    <cellStyle name="asd 35 4 4 2 22" xfId="43685"/>
    <cellStyle name="asd 35 4 4 2 3" xfId="8839"/>
    <cellStyle name="asd 35 4 4 2 4" xfId="10749"/>
    <cellStyle name="asd 35 4 4 2 5" xfId="11899"/>
    <cellStyle name="asd 35 4 4 2 6" xfId="14409"/>
    <cellStyle name="asd 35 4 4 2 7" xfId="16315"/>
    <cellStyle name="asd 35 4 4 2 8" xfId="18368"/>
    <cellStyle name="asd 35 4 4 2 9" xfId="20274"/>
    <cellStyle name="asd 35 4 4 20" xfId="38086"/>
    <cellStyle name="asd 35 4 4 21" xfId="39938"/>
    <cellStyle name="asd 35 4 4 22" xfId="41604"/>
    <cellStyle name="asd 35 4 4 23" xfId="42407"/>
    <cellStyle name="asd 35 4 4 3" xfId="6777"/>
    <cellStyle name="asd 35 4 4 4" xfId="8231"/>
    <cellStyle name="asd 35 4 4 5" xfId="10141"/>
    <cellStyle name="asd 35 4 4 6" xfId="12278"/>
    <cellStyle name="asd 35 4 4 7" xfId="13066"/>
    <cellStyle name="asd 35 4 4 8" xfId="14970"/>
    <cellStyle name="asd 35 4 4 9" xfId="17760"/>
    <cellStyle name="asd 35 4 5" xfId="5715"/>
    <cellStyle name="asd 35 4 5 10" xfId="21965"/>
    <cellStyle name="asd 35 4 5 11" xfId="23757"/>
    <cellStyle name="asd 35 4 5 12" xfId="25767"/>
    <cellStyle name="asd 35 4 5 13" xfId="26295"/>
    <cellStyle name="asd 35 4 5 14" xfId="28164"/>
    <cellStyle name="asd 35 4 5 15" xfId="29904"/>
    <cellStyle name="asd 35 4 5 16" xfId="31997"/>
    <cellStyle name="asd 35 4 5 17" xfId="34024"/>
    <cellStyle name="asd 35 4 5 18" xfId="36594"/>
    <cellStyle name="asd 35 4 5 19" xfId="38473"/>
    <cellStyle name="asd 35 4 5 2" xfId="7164"/>
    <cellStyle name="asd 35 4 5 20" xfId="39228"/>
    <cellStyle name="asd 35 4 5 21" xfId="40905"/>
    <cellStyle name="asd 35 4 5 22" xfId="43510"/>
    <cellStyle name="asd 35 4 5 3" xfId="8618"/>
    <cellStyle name="asd 35 4 5 4" xfId="10528"/>
    <cellStyle name="asd 35 4 5 5" xfId="11473"/>
    <cellStyle name="asd 35 4 5 6" xfId="14227"/>
    <cellStyle name="asd 35 4 5 7" xfId="16131"/>
    <cellStyle name="asd 35 4 5 8" xfId="18147"/>
    <cellStyle name="asd 35 4 5 9" xfId="20053"/>
    <cellStyle name="asd 35 4 6" xfId="6693"/>
    <cellStyle name="asd 35 4 7" xfId="9121"/>
    <cellStyle name="asd 35 4 8" xfId="12110"/>
    <cellStyle name="asd 35 4 9" xfId="14621"/>
    <cellStyle name="asd 35 5" xfId="3104"/>
    <cellStyle name="asd 35 5 10" xfId="17250"/>
    <cellStyle name="asd 35 5 11" xfId="19156"/>
    <cellStyle name="asd 35 5 12" xfId="21068"/>
    <cellStyle name="asd 35 5 13" xfId="22567"/>
    <cellStyle name="asd 35 5 14" xfId="24870"/>
    <cellStyle name="asd 35 5 15" xfId="27748"/>
    <cellStyle name="asd 35 5 16" xfId="29443"/>
    <cellStyle name="asd 35 5 17" xfId="31326"/>
    <cellStyle name="asd 35 5 18" xfId="32359"/>
    <cellStyle name="asd 35 5 19" xfId="34038"/>
    <cellStyle name="asd 35 5 2" xfId="3235"/>
    <cellStyle name="asd 35 5 2 10" xfId="20494"/>
    <cellStyle name="asd 35 5 2 11" xfId="23950"/>
    <cellStyle name="asd 35 5 2 12" xfId="24296"/>
    <cellStyle name="asd 35 5 2 13" xfId="27673"/>
    <cellStyle name="asd 35 5 2 14" xfId="28051"/>
    <cellStyle name="asd 35 5 2 15" xfId="31249"/>
    <cellStyle name="asd 35 5 2 16" xfId="32495"/>
    <cellStyle name="asd 35 5 2 17" xfId="33843"/>
    <cellStyle name="asd 35 5 2 18" xfId="35124"/>
    <cellStyle name="asd 35 5 2 19" xfId="37002"/>
    <cellStyle name="asd 35 5 2 2" xfId="4685"/>
    <cellStyle name="asd 35 5 2 20" xfId="39710"/>
    <cellStyle name="asd 35 5 2 21" xfId="41382"/>
    <cellStyle name="asd 35 5 2 22" xfId="43696"/>
    <cellStyle name="asd 35 5 2 3" xfId="6296"/>
    <cellStyle name="asd 35 5 2 4" xfId="9056"/>
    <cellStyle name="asd 35 5 2 5" xfId="11910"/>
    <cellStyle name="asd 35 5 2 6" xfId="14420"/>
    <cellStyle name="asd 35 5 2 7" xfId="16326"/>
    <cellStyle name="asd 35 5 2 8" xfId="16675"/>
    <cellStyle name="asd 35 5 2 9" xfId="18582"/>
    <cellStyle name="asd 35 5 20" xfId="35697"/>
    <cellStyle name="asd 35 5 21" xfId="37576"/>
    <cellStyle name="asd 35 5 22" xfId="39578"/>
    <cellStyle name="asd 35 5 23" xfId="41252"/>
    <cellStyle name="asd 35 5 24" xfId="42376"/>
    <cellStyle name="asd 35 5 3" xfId="4820"/>
    <cellStyle name="asd 35 5 4" xfId="6270"/>
    <cellStyle name="asd 35 5 5" xfId="7721"/>
    <cellStyle name="asd 35 5 6" xfId="9631"/>
    <cellStyle name="asd 35 5 7" xfId="5357"/>
    <cellStyle name="asd 35 5 8" xfId="13035"/>
    <cellStyle name="asd 35 5 9" xfId="14939"/>
    <cellStyle name="asd 35 6" xfId="3744"/>
    <cellStyle name="asd 35 6 10" xfId="19503"/>
    <cellStyle name="asd 35 6 11" xfId="21415"/>
    <cellStyle name="asd 35 6 12" xfId="23026"/>
    <cellStyle name="asd 35 6 13" xfId="25217"/>
    <cellStyle name="asd 35 6 14" xfId="26990"/>
    <cellStyle name="asd 35 6 15" xfId="29545"/>
    <cellStyle name="asd 35 6 16" xfId="30584"/>
    <cellStyle name="asd 35 6 17" xfId="33168"/>
    <cellStyle name="asd 35 6 18" xfId="35037"/>
    <cellStyle name="asd 35 6 19" xfId="36044"/>
    <cellStyle name="asd 35 6 2" xfId="5773"/>
    <cellStyle name="asd 35 6 2 10" xfId="22023"/>
    <cellStyle name="asd 35 6 2 11" xfId="23887"/>
    <cellStyle name="asd 35 6 2 12" xfId="25825"/>
    <cellStyle name="asd 35 6 2 13" xfId="26739"/>
    <cellStyle name="asd 35 6 2 14" xfId="28527"/>
    <cellStyle name="asd 35 6 2 15" xfId="30339"/>
    <cellStyle name="asd 35 6 2 16" xfId="32192"/>
    <cellStyle name="asd 35 6 2 17" xfId="34907"/>
    <cellStyle name="asd 35 6 2 18" xfId="36652"/>
    <cellStyle name="asd 35 6 2 19" xfId="38531"/>
    <cellStyle name="asd 35 6 2 2" xfId="7222"/>
    <cellStyle name="asd 35 6 2 20" xfId="39414"/>
    <cellStyle name="asd 35 6 2 21" xfId="41090"/>
    <cellStyle name="asd 35 6 2 22" xfId="43637"/>
    <cellStyle name="asd 35 6 2 3" xfId="8676"/>
    <cellStyle name="asd 35 6 2 4" xfId="10586"/>
    <cellStyle name="asd 35 6 2 5" xfId="11730"/>
    <cellStyle name="asd 35 6 2 6" xfId="14357"/>
    <cellStyle name="asd 35 6 2 7" xfId="16262"/>
    <cellStyle name="asd 35 6 2 8" xfId="18205"/>
    <cellStyle name="asd 35 6 2 9" xfId="20111"/>
    <cellStyle name="asd 35 6 20" xfId="37923"/>
    <cellStyle name="asd 35 6 21" xfId="40360"/>
    <cellStyle name="asd 35 6 22" xfId="42016"/>
    <cellStyle name="asd 35 6 23" xfId="42809"/>
    <cellStyle name="asd 35 6 3" xfId="5167"/>
    <cellStyle name="asd 35 6 4" xfId="8068"/>
    <cellStyle name="asd 35 6 5" xfId="9978"/>
    <cellStyle name="asd 35 6 6" xfId="12614"/>
    <cellStyle name="asd 35 6 7" xfId="13496"/>
    <cellStyle name="asd 35 6 8" xfId="15400"/>
    <cellStyle name="asd 35 6 9" xfId="17597"/>
    <cellStyle name="asd 35 7" xfId="3060"/>
    <cellStyle name="asd 35 7 10" xfId="19151"/>
    <cellStyle name="asd 35 7 11" xfId="21063"/>
    <cellStyle name="asd 35 7 12" xfId="23529"/>
    <cellStyle name="asd 35 7 13" xfId="24865"/>
    <cellStyle name="asd 35 7 14" xfId="26519"/>
    <cellStyle name="asd 35 7 15" xfId="2920"/>
    <cellStyle name="asd 35 7 16" xfId="30125"/>
    <cellStyle name="asd 35 7 17" xfId="31871"/>
    <cellStyle name="asd 35 7 18" xfId="22320"/>
    <cellStyle name="asd 35 7 19" xfId="35692"/>
    <cellStyle name="asd 35 7 2" xfId="5488"/>
    <cellStyle name="asd 35 7 2 10" xfId="21738"/>
    <cellStyle name="asd 35 7 2 11" xfId="23468"/>
    <cellStyle name="asd 35 7 2 12" xfId="25540"/>
    <cellStyle name="asd 35 7 2 13" xfId="26729"/>
    <cellStyle name="asd 35 7 2 14" xfId="28990"/>
    <cellStyle name="asd 35 7 2 15" xfId="30329"/>
    <cellStyle name="asd 35 7 2 16" xfId="32159"/>
    <cellStyle name="asd 35 7 2 17" xfId="34372"/>
    <cellStyle name="asd 35 7 2 18" xfId="36367"/>
    <cellStyle name="asd 35 7 2 19" xfId="38246"/>
    <cellStyle name="asd 35 7 2 2" xfId="6937"/>
    <cellStyle name="asd 35 7 2 20" xfId="39382"/>
    <cellStyle name="asd 35 7 2 21" xfId="41058"/>
    <cellStyle name="asd 35 7 2 22" xfId="43235"/>
    <cellStyle name="asd 35 7 2 3" xfId="8391"/>
    <cellStyle name="asd 35 7 2 4" xfId="10301"/>
    <cellStyle name="asd 35 7 2 5" xfId="12526"/>
    <cellStyle name="asd 35 7 2 6" xfId="13940"/>
    <cellStyle name="asd 35 7 2 7" xfId="15841"/>
    <cellStyle name="asd 35 7 2 8" xfId="17920"/>
    <cellStyle name="asd 35 7 2 9" xfId="19826"/>
    <cellStyle name="asd 35 7 20" xfId="37571"/>
    <cellStyle name="asd 35 7 21" xfId="39106"/>
    <cellStyle name="asd 35 7 22" xfId="40787"/>
    <cellStyle name="asd 35 7 23" xfId="43294"/>
    <cellStyle name="asd 35 7 3" xfId="6265"/>
    <cellStyle name="asd 35 7 4" xfId="7716"/>
    <cellStyle name="asd 35 7 5" xfId="9626"/>
    <cellStyle name="asd 35 7 6" xfId="12514"/>
    <cellStyle name="asd 35 7 7" xfId="14001"/>
    <cellStyle name="asd 35 7 8" xfId="15902"/>
    <cellStyle name="asd 35 7 9" xfId="17245"/>
    <cellStyle name="asd 35 8" xfId="2037"/>
    <cellStyle name="asd 35 9" xfId="6667"/>
    <cellStyle name="asd 36" xfId="949"/>
    <cellStyle name="asd 36 10" xfId="2572"/>
    <cellStyle name="asd 36 11" xfId="2780"/>
    <cellStyle name="asd 36 12" xfId="3707"/>
    <cellStyle name="asd 36 13" xfId="3241"/>
    <cellStyle name="asd 36 14" xfId="3860"/>
    <cellStyle name="asd 36 15" xfId="3108"/>
    <cellStyle name="asd 36 16" xfId="2683"/>
    <cellStyle name="asd 36 17" xfId="20407"/>
    <cellStyle name="asd 36 18" xfId="14699"/>
    <cellStyle name="asd 36 19" xfId="29491"/>
    <cellStyle name="asd 36 2" xfId="3514"/>
    <cellStyle name="asd 36 2 10" xfId="14424"/>
    <cellStyle name="asd 36 2 11" xfId="16330"/>
    <cellStyle name="asd 36 2 12" xfId="17006"/>
    <cellStyle name="asd 36 2 13" xfId="18913"/>
    <cellStyle name="asd 36 2 14" xfId="20825"/>
    <cellStyle name="asd 36 2 15" xfId="23954"/>
    <cellStyle name="asd 36 2 16" xfId="24627"/>
    <cellStyle name="asd 36 2 17" xfId="26312"/>
    <cellStyle name="asd 36 2 18" xfId="2442"/>
    <cellStyle name="asd 36 2 19" xfId="29920"/>
    <cellStyle name="asd 36 2 2" xfId="3694"/>
    <cellStyle name="asd 36 2 2 10" xfId="17585"/>
    <cellStyle name="asd 36 2 2 11" xfId="19491"/>
    <cellStyle name="asd 36 2 2 12" xfId="21403"/>
    <cellStyle name="asd 36 2 2 13" xfId="22983"/>
    <cellStyle name="asd 36 2 2 14" xfId="25205"/>
    <cellStyle name="asd 36 2 2 15" xfId="27215"/>
    <cellStyle name="asd 36 2 2 16" xfId="29451"/>
    <cellStyle name="asd 36 2 2 17" xfId="30806"/>
    <cellStyle name="asd 36 2 2 18" xfId="32578"/>
    <cellStyle name="asd 36 2 2 19" xfId="34216"/>
    <cellStyle name="asd 36 2 2 2" xfId="5761"/>
    <cellStyle name="asd 36 2 2 2 10" xfId="22011"/>
    <cellStyle name="asd 36 2 2 2 11" xfId="23460"/>
    <cellStyle name="asd 36 2 2 2 12" xfId="25813"/>
    <cellStyle name="asd 36 2 2 2 13" xfId="27152"/>
    <cellStyle name="asd 36 2 2 2 14" xfId="29198"/>
    <cellStyle name="asd 36 2 2 2 15" xfId="30743"/>
    <cellStyle name="asd 36 2 2 2 16" xfId="33093"/>
    <cellStyle name="asd 36 2 2 2 17" xfId="34425"/>
    <cellStyle name="asd 36 2 2 2 18" xfId="36640"/>
    <cellStyle name="asd 36 2 2 2 19" xfId="38519"/>
    <cellStyle name="asd 36 2 2 2 2" xfId="7210"/>
    <cellStyle name="asd 36 2 2 2 20" xfId="40289"/>
    <cellStyle name="asd 36 2 2 2 21" xfId="41945"/>
    <cellStyle name="asd 36 2 2 2 22" xfId="43227"/>
    <cellStyle name="asd 36 2 2 2 3" xfId="8664"/>
    <cellStyle name="asd 36 2 2 2 4" xfId="10574"/>
    <cellStyle name="asd 36 2 2 2 5" xfId="12576"/>
    <cellStyle name="asd 36 2 2 2 6" xfId="13932"/>
    <cellStyle name="asd 36 2 2 2 7" xfId="15833"/>
    <cellStyle name="asd 36 2 2 2 8" xfId="18193"/>
    <cellStyle name="asd 36 2 2 2 9" xfId="20099"/>
    <cellStyle name="asd 36 2 2 20" xfId="36032"/>
    <cellStyle name="asd 36 2 2 21" xfId="37911"/>
    <cellStyle name="asd 36 2 2 22" xfId="39788"/>
    <cellStyle name="asd 36 2 2 23" xfId="41458"/>
    <cellStyle name="asd 36 2 2 24" xfId="42769"/>
    <cellStyle name="asd 36 2 2 3" xfId="5155"/>
    <cellStyle name="asd 36 2 2 4" xfId="6605"/>
    <cellStyle name="asd 36 2 2 5" xfId="8056"/>
    <cellStyle name="asd 36 2 2 6" xfId="9966"/>
    <cellStyle name="asd 36 2 2 7" xfId="11303"/>
    <cellStyle name="asd 36 2 2 8" xfId="13452"/>
    <cellStyle name="asd 36 2 2 9" xfId="15357"/>
    <cellStyle name="asd 36 2 20" xfId="3191"/>
    <cellStyle name="asd 36 2 21" xfId="26270"/>
    <cellStyle name="asd 36 2 22" xfId="35455"/>
    <cellStyle name="asd 36 2 23" xfId="37333"/>
    <cellStyle name="asd 36 2 24" xfId="32522"/>
    <cellStyle name="asd 36 2 25" xfId="39975"/>
    <cellStyle name="asd 36 2 26" xfId="43700"/>
    <cellStyle name="asd 36 2 3" xfId="3227"/>
    <cellStyle name="asd 36 2 3 10" xfId="19183"/>
    <cellStyle name="asd 36 2 3 11" xfId="21095"/>
    <cellStyle name="asd 36 2 3 12" xfId="24123"/>
    <cellStyle name="asd 36 2 3 13" xfId="24897"/>
    <cellStyle name="asd 36 2 3 14" xfId="26772"/>
    <cellStyle name="asd 36 2 3 15" xfId="29498"/>
    <cellStyle name="asd 36 2 3 16" xfId="30371"/>
    <cellStyle name="asd 36 2 3 17" xfId="32137"/>
    <cellStyle name="asd 36 2 3 18" xfId="33853"/>
    <cellStyle name="asd 36 2 3 19" xfId="35724"/>
    <cellStyle name="asd 36 2 3 2" xfId="4468"/>
    <cellStyle name="asd 36 2 3 2 10" xfId="20713"/>
    <cellStyle name="asd 36 2 3 2 11" xfId="22868"/>
    <cellStyle name="asd 36 2 3 2 12" xfId="24515"/>
    <cellStyle name="asd 36 2 3 2 13" xfId="27249"/>
    <cellStyle name="asd 36 2 3 2 14" xfId="28999"/>
    <cellStyle name="asd 36 2 3 2 15" xfId="30840"/>
    <cellStyle name="asd 36 2 3 2 16" xfId="31637"/>
    <cellStyle name="asd 36 2 3 2 17" xfId="34229"/>
    <cellStyle name="asd 36 2 3 2 18" xfId="35343"/>
    <cellStyle name="asd 36 2 3 2 19" xfId="37221"/>
    <cellStyle name="asd 36 2 3 2 2" xfId="5378"/>
    <cellStyle name="asd 36 2 3 2 20" xfId="38884"/>
    <cellStyle name="asd 36 2 3 2 21" xfId="40569"/>
    <cellStyle name="asd 36 2 3 2 22" xfId="42655"/>
    <cellStyle name="asd 36 2 3 2 3" xfId="6729"/>
    <cellStyle name="asd 36 2 3 2 4" xfId="9275"/>
    <cellStyle name="asd 36 2 3 2 5" xfId="11292"/>
    <cellStyle name="asd 36 2 3 2 6" xfId="13336"/>
    <cellStyle name="asd 36 2 3 2 7" xfId="15241"/>
    <cellStyle name="asd 36 2 3 2 8" xfId="16894"/>
    <cellStyle name="asd 36 2 3 2 9" xfId="18801"/>
    <cellStyle name="asd 36 2 3 20" xfId="37603"/>
    <cellStyle name="asd 36 2 3 21" xfId="39360"/>
    <cellStyle name="asd 36 2 3 22" xfId="41036"/>
    <cellStyle name="asd 36 2 3 23" xfId="43866"/>
    <cellStyle name="asd 36 2 3 3" xfId="4847"/>
    <cellStyle name="asd 36 2 3 4" xfId="7748"/>
    <cellStyle name="asd 36 2 3 5" xfId="9658"/>
    <cellStyle name="asd 36 2 3 6" xfId="12083"/>
    <cellStyle name="asd 36 2 3 7" xfId="14594"/>
    <cellStyle name="asd 36 2 3 8" xfId="16500"/>
    <cellStyle name="asd 36 2 3 9" xfId="17277"/>
    <cellStyle name="asd 36 2 4" xfId="4146"/>
    <cellStyle name="asd 36 2 4 10" xfId="19781"/>
    <cellStyle name="asd 36 2 4 11" xfId="21693"/>
    <cellStyle name="asd 36 2 4 12" xfId="22590"/>
    <cellStyle name="asd 36 2 4 13" xfId="25495"/>
    <cellStyle name="asd 36 2 4 14" xfId="27271"/>
    <cellStyle name="asd 36 2 4 15" xfId="28079"/>
    <cellStyle name="asd 36 2 4 16" xfId="30863"/>
    <cellStyle name="asd 36 2 4 17" xfId="32588"/>
    <cellStyle name="asd 36 2 4 18" xfId="34436"/>
    <cellStyle name="asd 36 2 4 19" xfId="36322"/>
    <cellStyle name="asd 36 2 4 2" xfId="6051"/>
    <cellStyle name="asd 36 2 4 2 10" xfId="22301"/>
    <cellStyle name="asd 36 2 4 2 11" xfId="1891"/>
    <cellStyle name="asd 36 2 4 2 12" xfId="26103"/>
    <cellStyle name="asd 36 2 4 2 13" xfId="23734"/>
    <cellStyle name="asd 36 2 4 2 14" xfId="4162"/>
    <cellStyle name="asd 36 2 4 2 15" xfId="15152"/>
    <cellStyle name="asd 36 2 4 2 16" xfId="31557"/>
    <cellStyle name="asd 36 2 4 2 17" xfId="28008"/>
    <cellStyle name="asd 36 2 4 2 18" xfId="36930"/>
    <cellStyle name="asd 36 2 4 2 19" xfId="38809"/>
    <cellStyle name="asd 36 2 4 2 2" xfId="7500"/>
    <cellStyle name="asd 36 2 4 2 20" xfId="38819"/>
    <cellStyle name="asd 36 2 4 2 21" xfId="40514"/>
    <cellStyle name="asd 36 2 4 2 22" xfId="3968"/>
    <cellStyle name="asd 36 2 4 2 3" xfId="8954"/>
    <cellStyle name="asd 36 2 4 2 4" xfId="10864"/>
    <cellStyle name="asd 36 2 4 2 5" xfId="4230"/>
    <cellStyle name="asd 36 2 4 2 6" xfId="1913"/>
    <cellStyle name="asd 36 2 4 2 7" xfId="12771"/>
    <cellStyle name="asd 36 2 4 2 8" xfId="18483"/>
    <cellStyle name="asd 36 2 4 2 9" xfId="20389"/>
    <cellStyle name="asd 36 2 4 20" xfId="38201"/>
    <cellStyle name="asd 36 2 4 21" xfId="39799"/>
    <cellStyle name="asd 36 2 4 22" xfId="41468"/>
    <cellStyle name="asd 36 2 4 23" xfId="42399"/>
    <cellStyle name="asd 36 2 4 3" xfId="6892"/>
    <cellStyle name="asd 36 2 4 4" xfId="8346"/>
    <cellStyle name="asd 36 2 4 5" xfId="10256"/>
    <cellStyle name="asd 36 2 4 6" xfId="11779"/>
    <cellStyle name="asd 36 2 4 7" xfId="13058"/>
    <cellStyle name="asd 36 2 4 8" xfId="14962"/>
    <cellStyle name="asd 36 2 4 9" xfId="17875"/>
    <cellStyle name="asd 36 2 5" xfId="4987"/>
    <cellStyle name="asd 36 2 5 10" xfId="21235"/>
    <cellStyle name="asd 36 2 5 11" xfId="23667"/>
    <cellStyle name="asd 36 2 5 12" xfId="25037"/>
    <cellStyle name="asd 36 2 5 13" xfId="26678"/>
    <cellStyle name="asd 36 2 5 14" xfId="28486"/>
    <cellStyle name="asd 36 2 5 15" xfId="30278"/>
    <cellStyle name="asd 36 2 5 16" xfId="32533"/>
    <cellStyle name="asd 36 2 5 17" xfId="34050"/>
    <cellStyle name="asd 36 2 5 18" xfId="35864"/>
    <cellStyle name="asd 36 2 5 19" xfId="37743"/>
    <cellStyle name="asd 36 2 5 2" xfId="6437"/>
    <cellStyle name="asd 36 2 5 20" xfId="39746"/>
    <cellStyle name="asd 36 2 5 21" xfId="41418"/>
    <cellStyle name="asd 36 2 5 22" xfId="43425"/>
    <cellStyle name="asd 36 2 5 3" xfId="7888"/>
    <cellStyle name="asd 36 2 5 4" xfId="9798"/>
    <cellStyle name="asd 36 2 5 5" xfId="11478"/>
    <cellStyle name="asd 36 2 5 6" xfId="14138"/>
    <cellStyle name="asd 36 2 5 7" xfId="16041"/>
    <cellStyle name="asd 36 2 5 8" xfId="17417"/>
    <cellStyle name="asd 36 2 5 9" xfId="19323"/>
    <cellStyle name="asd 36 2 6" xfId="1845"/>
    <cellStyle name="asd 36 2 6 10" xfId="20542"/>
    <cellStyle name="asd 36 2 6 11" xfId="3187"/>
    <cellStyle name="asd 36 2 6 12" xfId="24344"/>
    <cellStyle name="asd 36 2 6 13" xfId="20412"/>
    <cellStyle name="asd 36 2 6 14" xfId="15750"/>
    <cellStyle name="asd 36 2 6 15" xfId="28965"/>
    <cellStyle name="asd 36 2 6 16" xfId="4640"/>
    <cellStyle name="asd 36 2 6 17" xfId="29752"/>
    <cellStyle name="asd 36 2 6 18" xfId="35172"/>
    <cellStyle name="asd 36 2 6 19" xfId="37050"/>
    <cellStyle name="asd 36 2 6 2" xfId="4705"/>
    <cellStyle name="asd 36 2 6 20" xfId="34148"/>
    <cellStyle name="asd 36 2 6 21" xfId="31658"/>
    <cellStyle name="asd 36 2 6 22" xfId="33245"/>
    <cellStyle name="asd 36 2 6 3" xfId="6199"/>
    <cellStyle name="asd 36 2 6 4" xfId="9104"/>
    <cellStyle name="asd 36 2 6 5" xfId="12202"/>
    <cellStyle name="asd 36 2 6 6" xfId="4220"/>
    <cellStyle name="asd 36 2 6 7" xfId="3111"/>
    <cellStyle name="asd 36 2 6 8" xfId="16723"/>
    <cellStyle name="asd 36 2 6 9" xfId="18630"/>
    <cellStyle name="asd 36 2 7" xfId="6273"/>
    <cellStyle name="asd 36 2 8" xfId="9387"/>
    <cellStyle name="asd 36 2 9" xfId="11914"/>
    <cellStyle name="asd 36 20" xfId="2132"/>
    <cellStyle name="asd 36 21" xfId="27560"/>
    <cellStyle name="asd 36 22" xfId="1943"/>
    <cellStyle name="asd 36 23" xfId="15199"/>
    <cellStyle name="asd 36 24" xfId="12810"/>
    <cellStyle name="asd 36 25" xfId="1761"/>
    <cellStyle name="asd 36 26" xfId="2582"/>
    <cellStyle name="asd 36 27" xfId="2253"/>
    <cellStyle name="asd 36 3" xfId="3412"/>
    <cellStyle name="asd 36 3 10" xfId="13295"/>
    <cellStyle name="asd 36 3 11" xfId="15200"/>
    <cellStyle name="asd 36 3 12" xfId="16778"/>
    <cellStyle name="asd 36 3 13" xfId="18685"/>
    <cellStyle name="asd 36 3 14" xfId="20597"/>
    <cellStyle name="asd 36 3 15" xfId="22826"/>
    <cellStyle name="asd 36 3 16" xfId="24399"/>
    <cellStyle name="asd 36 3 17" xfId="27365"/>
    <cellStyle name="asd 36 3 18" xfId="29038"/>
    <cellStyle name="asd 36 3 19" xfId="30952"/>
    <cellStyle name="asd 36 3 2" xfId="3592"/>
    <cellStyle name="asd 36 3 2 10" xfId="17483"/>
    <cellStyle name="asd 36 3 2 11" xfId="19389"/>
    <cellStyle name="asd 36 3 2 12" xfId="21301"/>
    <cellStyle name="asd 36 3 2 13" xfId="22445"/>
    <cellStyle name="asd 36 3 2 14" xfId="25103"/>
    <cellStyle name="asd 36 3 2 15" xfId="27170"/>
    <cellStyle name="asd 36 3 2 16" xfId="11784"/>
    <cellStyle name="asd 36 3 2 17" xfId="30762"/>
    <cellStyle name="asd 36 3 2 18" xfId="31617"/>
    <cellStyle name="asd 36 3 2 19" xfId="12938"/>
    <cellStyle name="asd 36 3 2 2" xfId="5556"/>
    <cellStyle name="asd 36 3 2 2 10" xfId="21806"/>
    <cellStyle name="asd 36 3 2 2 11" xfId="23390"/>
    <cellStyle name="asd 36 3 2 2 12" xfId="25608"/>
    <cellStyle name="asd 36 3 2 2 13" xfId="26905"/>
    <cellStyle name="asd 36 3 2 2 14" xfId="28645"/>
    <cellStyle name="asd 36 3 2 2 15" xfId="30501"/>
    <cellStyle name="asd 36 3 2 2 16" xfId="32620"/>
    <cellStyle name="asd 36 3 2 2 17" xfId="34951"/>
    <cellStyle name="asd 36 3 2 2 18" xfId="36435"/>
    <cellStyle name="asd 36 3 2 2 19" xfId="38314"/>
    <cellStyle name="asd 36 3 2 2 2" xfId="7005"/>
    <cellStyle name="asd 36 3 2 2 20" xfId="39830"/>
    <cellStyle name="asd 36 3 2 2 21" xfId="41499"/>
    <cellStyle name="asd 36 3 2 2 22" xfId="43157"/>
    <cellStyle name="asd 36 3 2 2 3" xfId="8459"/>
    <cellStyle name="asd 36 3 2 2 4" xfId="10369"/>
    <cellStyle name="asd 36 3 2 2 5" xfId="12227"/>
    <cellStyle name="asd 36 3 2 2 6" xfId="13862"/>
    <cellStyle name="asd 36 3 2 2 7" xfId="15763"/>
    <cellStyle name="asd 36 3 2 2 8" xfId="17988"/>
    <cellStyle name="asd 36 3 2 2 9" xfId="19894"/>
    <cellStyle name="asd 36 3 2 20" xfId="35930"/>
    <cellStyle name="asd 36 3 2 21" xfId="37809"/>
    <cellStyle name="asd 36 3 2 22" xfId="38864"/>
    <cellStyle name="asd 36 3 2 23" xfId="40550"/>
    <cellStyle name="asd 36 3 2 24" xfId="42256"/>
    <cellStyle name="asd 36 3 2 3" xfId="5053"/>
    <cellStyle name="asd 36 3 2 4" xfId="6503"/>
    <cellStyle name="asd 36 3 2 5" xfId="7954"/>
    <cellStyle name="asd 36 3 2 6" xfId="9864"/>
    <cellStyle name="asd 36 3 2 7" xfId="11385"/>
    <cellStyle name="asd 36 3 2 8" xfId="12913"/>
    <cellStyle name="asd 36 3 2 9" xfId="14818"/>
    <cellStyle name="asd 36 3 20" xfId="33183"/>
    <cellStyle name="asd 36 3 21" xfId="33489"/>
    <cellStyle name="asd 36 3 22" xfId="35227"/>
    <cellStyle name="asd 36 3 23" xfId="37105"/>
    <cellStyle name="asd 36 3 24" xfId="40374"/>
    <cellStyle name="asd 36 3 25" xfId="42030"/>
    <cellStyle name="asd 36 3 26" xfId="42618"/>
    <cellStyle name="asd 36 3 3" xfId="3797"/>
    <cellStyle name="asd 36 3 3 10" xfId="19532"/>
    <cellStyle name="asd 36 3 3 11" xfId="21444"/>
    <cellStyle name="asd 36 3 3 12" xfId="23843"/>
    <cellStyle name="asd 36 3 3 13" xfId="25246"/>
    <cellStyle name="asd 36 3 3 14" xfId="27963"/>
    <cellStyle name="asd 36 3 3 15" xfId="13593"/>
    <cellStyle name="asd 36 3 3 16" xfId="31543"/>
    <cellStyle name="asd 36 3 3 17" xfId="22330"/>
    <cellStyle name="asd 36 3 3 18" xfId="18524"/>
    <cellStyle name="asd 36 3 3 19" xfId="36073"/>
    <cellStyle name="asd 36 3 3 2" xfId="5802"/>
    <cellStyle name="asd 36 3 3 2 10" xfId="22052"/>
    <cellStyle name="asd 36 3 3 2 11" xfId="24102"/>
    <cellStyle name="asd 36 3 3 2 12" xfId="25854"/>
    <cellStyle name="asd 36 3 3 2 13" xfId="27457"/>
    <cellStyle name="asd 36 3 3 2 14" xfId="29269"/>
    <cellStyle name="asd 36 3 3 2 15" xfId="31044"/>
    <cellStyle name="asd 36 3 3 2 16" xfId="31875"/>
    <cellStyle name="asd 36 3 3 2 17" xfId="33765"/>
    <cellStyle name="asd 36 3 3 2 18" xfId="36681"/>
    <cellStyle name="asd 36 3 3 2 19" xfId="38560"/>
    <cellStyle name="asd 36 3 3 2 2" xfId="7251"/>
    <cellStyle name="asd 36 3 3 2 20" xfId="39110"/>
    <cellStyle name="asd 36 3 3 2 21" xfId="40791"/>
    <cellStyle name="asd 36 3 3 2 22" xfId="43845"/>
    <cellStyle name="asd 36 3 3 2 3" xfId="8705"/>
    <cellStyle name="asd 36 3 3 2 4" xfId="10615"/>
    <cellStyle name="asd 36 3 3 2 5" xfId="12061"/>
    <cellStyle name="asd 36 3 3 2 6" xfId="14572"/>
    <cellStyle name="asd 36 3 3 2 7" xfId="16478"/>
    <cellStyle name="asd 36 3 3 2 8" xfId="18234"/>
    <cellStyle name="asd 36 3 3 2 9" xfId="20140"/>
    <cellStyle name="asd 36 3 3 20" xfId="37952"/>
    <cellStyle name="asd 36 3 3 21" xfId="3053"/>
    <cellStyle name="asd 36 3 3 22" xfId="5437"/>
    <cellStyle name="asd 36 3 3 23" xfId="43594"/>
    <cellStyle name="asd 36 3 3 3" xfId="5196"/>
    <cellStyle name="asd 36 3 3 4" xfId="8097"/>
    <cellStyle name="asd 36 3 3 5" xfId="10007"/>
    <cellStyle name="asd 36 3 3 6" xfId="11780"/>
    <cellStyle name="asd 36 3 3 7" xfId="14313"/>
    <cellStyle name="asd 36 3 3 8" xfId="16217"/>
    <cellStyle name="asd 36 3 3 9" xfId="17626"/>
    <cellStyle name="asd 36 3 4" xfId="4044"/>
    <cellStyle name="asd 36 3 4 10" xfId="19679"/>
    <cellStyle name="asd 36 3 4 11" xfId="21591"/>
    <cellStyle name="asd 36 3 4 12" xfId="23516"/>
    <cellStyle name="asd 36 3 4 13" xfId="25393"/>
    <cellStyle name="asd 36 3 4 14" xfId="27707"/>
    <cellStyle name="asd 36 3 4 15" xfId="28641"/>
    <cellStyle name="asd 36 3 4 16" xfId="31283"/>
    <cellStyle name="asd 36 3 4 17" xfId="31994"/>
    <cellStyle name="asd 36 3 4 18" xfId="33802"/>
    <cellStyle name="asd 36 3 4 19" xfId="36220"/>
    <cellStyle name="asd 36 3 4 2" xfId="5949"/>
    <cellStyle name="asd 36 3 4 2 10" xfId="22199"/>
    <cellStyle name="asd 36 3 4 2 11" xfId="24159"/>
    <cellStyle name="asd 36 3 4 2 12" xfId="26001"/>
    <cellStyle name="asd 36 3 4 2 13" xfId="27606"/>
    <cellStyle name="asd 36 3 4 2 14" xfId="28031"/>
    <cellStyle name="asd 36 3 4 2 15" xfId="31184"/>
    <cellStyle name="asd 36 3 4 2 16" xfId="31717"/>
    <cellStyle name="asd 36 3 4 2 17" xfId="33490"/>
    <cellStyle name="asd 36 3 4 2 18" xfId="36828"/>
    <cellStyle name="asd 36 3 4 2 19" xfId="38707"/>
    <cellStyle name="asd 36 3 4 2 2" xfId="7398"/>
    <cellStyle name="asd 36 3 4 2 20" xfId="38958"/>
    <cellStyle name="asd 36 3 4 2 21" xfId="40641"/>
    <cellStyle name="asd 36 3 4 2 22" xfId="43901"/>
    <cellStyle name="asd 36 3 4 2 3" xfId="8852"/>
    <cellStyle name="asd 36 3 4 2 4" xfId="10762"/>
    <cellStyle name="asd 36 3 4 2 5" xfId="12119"/>
    <cellStyle name="asd 36 3 4 2 6" xfId="14630"/>
    <cellStyle name="asd 36 3 4 2 7" xfId="16536"/>
    <cellStyle name="asd 36 3 4 2 8" xfId="18381"/>
    <cellStyle name="asd 36 3 4 2 9" xfId="20287"/>
    <cellStyle name="asd 36 3 4 20" xfId="38099"/>
    <cellStyle name="asd 36 3 4 21" xfId="39225"/>
    <cellStyle name="asd 36 3 4 22" xfId="40903"/>
    <cellStyle name="asd 36 3 4 23" xfId="43281"/>
    <cellStyle name="asd 36 3 4 3" xfId="6790"/>
    <cellStyle name="asd 36 3 4 4" xfId="8244"/>
    <cellStyle name="asd 36 3 4 5" xfId="10154"/>
    <cellStyle name="asd 36 3 4 6" xfId="12500"/>
    <cellStyle name="asd 36 3 4 7" xfId="13988"/>
    <cellStyle name="asd 36 3 4 8" xfId="15889"/>
    <cellStyle name="asd 36 3 4 9" xfId="17773"/>
    <cellStyle name="asd 36 3 5" xfId="4906"/>
    <cellStyle name="asd 36 3 5 10" xfId="21154"/>
    <cellStyle name="asd 36 3 5 11" xfId="23924"/>
    <cellStyle name="asd 36 3 5 12" xfId="24956"/>
    <cellStyle name="asd 36 3 5 13" xfId="27418"/>
    <cellStyle name="asd 36 3 5 14" xfId="28539"/>
    <cellStyle name="asd 36 3 5 15" xfId="31004"/>
    <cellStyle name="asd 36 3 5 16" xfId="32092"/>
    <cellStyle name="asd 36 3 5 17" xfId="33967"/>
    <cellStyle name="asd 36 3 5 18" xfId="35783"/>
    <cellStyle name="asd 36 3 5 19" xfId="37662"/>
    <cellStyle name="asd 36 3 5 2" xfId="6356"/>
    <cellStyle name="asd 36 3 5 20" xfId="39316"/>
    <cellStyle name="asd 36 3 5 21" xfId="40992"/>
    <cellStyle name="asd 36 3 5 22" xfId="43670"/>
    <cellStyle name="asd 36 3 5 3" xfId="7807"/>
    <cellStyle name="asd 36 3 5 4" xfId="9717"/>
    <cellStyle name="asd 36 3 5 5" xfId="11883"/>
    <cellStyle name="asd 36 3 5 6" xfId="14393"/>
    <cellStyle name="asd 36 3 5 7" xfId="16299"/>
    <cellStyle name="asd 36 3 5 8" xfId="17336"/>
    <cellStyle name="asd 36 3 5 9" xfId="19242"/>
    <cellStyle name="asd 36 3 6" xfId="5521"/>
    <cellStyle name="asd 36 3 6 10" xfId="21771"/>
    <cellStyle name="asd 36 3 6 11" xfId="23455"/>
    <cellStyle name="asd 36 3 6 12" xfId="25573"/>
    <cellStyle name="asd 36 3 6 13" xfId="27503"/>
    <cellStyle name="asd 36 3 6 14" xfId="28615"/>
    <cellStyle name="asd 36 3 6 15" xfId="31088"/>
    <cellStyle name="asd 36 3 6 16" xfId="33257"/>
    <cellStyle name="asd 36 3 6 17" xfId="33576"/>
    <cellStyle name="asd 36 3 6 18" xfId="36400"/>
    <cellStyle name="asd 36 3 6 19" xfId="38279"/>
    <cellStyle name="asd 36 3 6 2" xfId="6970"/>
    <cellStyle name="asd 36 3 6 20" xfId="40443"/>
    <cellStyle name="asd 36 3 6 21" xfId="42098"/>
    <cellStyle name="asd 36 3 6 22" xfId="43222"/>
    <cellStyle name="asd 36 3 6 3" xfId="8424"/>
    <cellStyle name="asd 36 3 6 4" xfId="10334"/>
    <cellStyle name="asd 36 3 6 5" xfId="12493"/>
    <cellStyle name="asd 36 3 6 6" xfId="13927"/>
    <cellStyle name="asd 36 3 6 7" xfId="15828"/>
    <cellStyle name="asd 36 3 6 8" xfId="17953"/>
    <cellStyle name="asd 36 3 6 9" xfId="19859"/>
    <cellStyle name="asd 36 3 7" xfId="3304"/>
    <cellStyle name="asd 36 3 8" xfId="9159"/>
    <cellStyle name="asd 36 3 9" xfId="3971"/>
    <cellStyle name="asd 36 4" xfId="3499"/>
    <cellStyle name="asd 36 4 10" xfId="2668"/>
    <cellStyle name="asd 36 4 11" xfId="16954"/>
    <cellStyle name="asd 36 4 12" xfId="18861"/>
    <cellStyle name="asd 36 4 13" xfId="20773"/>
    <cellStyle name="asd 36 4 14" xfId="2951"/>
    <cellStyle name="asd 36 4 15" xfId="24575"/>
    <cellStyle name="asd 36 4 16" xfId="3750"/>
    <cellStyle name="asd 36 4 17" xfId="14201"/>
    <cellStyle name="asd 36 4 18" xfId="2626"/>
    <cellStyle name="asd 36 4 19" xfId="28026"/>
    <cellStyle name="asd 36 4 2" xfId="3679"/>
    <cellStyle name="asd 36 4 2 10" xfId="17570"/>
    <cellStyle name="asd 36 4 2 11" xfId="19476"/>
    <cellStyle name="asd 36 4 2 12" xfId="21388"/>
    <cellStyle name="asd 36 4 2 13" xfId="23281"/>
    <cellStyle name="asd 36 4 2 14" xfId="25190"/>
    <cellStyle name="asd 36 4 2 15" xfId="27449"/>
    <cellStyle name="asd 36 4 2 16" xfId="29621"/>
    <cellStyle name="asd 36 4 2 17" xfId="31036"/>
    <cellStyle name="asd 36 4 2 18" xfId="32801"/>
    <cellStyle name="asd 36 4 2 19" xfId="34846"/>
    <cellStyle name="asd 36 4 2 2" xfId="5746"/>
    <cellStyle name="asd 36 4 2 2 10" xfId="21996"/>
    <cellStyle name="asd 36 4 2 2 11" xfId="23646"/>
    <cellStyle name="asd 36 4 2 2 12" xfId="25798"/>
    <cellStyle name="asd 36 4 2 2 13" xfId="27839"/>
    <cellStyle name="asd 36 4 2 2 14" xfId="29147"/>
    <cellStyle name="asd 36 4 2 2 15" xfId="31417"/>
    <cellStyle name="asd 36 4 2 2 16" xfId="33197"/>
    <cellStyle name="asd 36 4 2 2 17" xfId="33806"/>
    <cellStyle name="asd 36 4 2 2 18" xfId="36625"/>
    <cellStyle name="asd 36 4 2 2 19" xfId="38504"/>
    <cellStyle name="asd 36 4 2 2 2" xfId="7195"/>
    <cellStyle name="asd 36 4 2 2 20" xfId="40387"/>
    <cellStyle name="asd 36 4 2 2 21" xfId="42043"/>
    <cellStyle name="asd 36 4 2 2 22" xfId="43404"/>
    <cellStyle name="asd 36 4 2 2 3" xfId="8649"/>
    <cellStyle name="asd 36 4 2 2 4" xfId="10559"/>
    <cellStyle name="asd 36 4 2 2 5" xfId="11505"/>
    <cellStyle name="asd 36 4 2 2 6" xfId="14116"/>
    <cellStyle name="asd 36 4 2 2 7" xfId="16019"/>
    <cellStyle name="asd 36 4 2 2 8" xfId="18178"/>
    <cellStyle name="asd 36 4 2 2 9" xfId="20084"/>
    <cellStyle name="asd 36 4 2 20" xfId="36017"/>
    <cellStyle name="asd 36 4 2 21" xfId="37896"/>
    <cellStyle name="asd 36 4 2 22" xfId="40010"/>
    <cellStyle name="asd 36 4 2 23" xfId="41674"/>
    <cellStyle name="asd 36 4 2 24" xfId="43057"/>
    <cellStyle name="asd 36 4 2 3" xfId="5140"/>
    <cellStyle name="asd 36 4 2 4" xfId="6590"/>
    <cellStyle name="asd 36 4 2 5" xfId="8041"/>
    <cellStyle name="asd 36 4 2 6" xfId="9951"/>
    <cellStyle name="asd 36 4 2 7" xfId="11227"/>
    <cellStyle name="asd 36 4 2 8" xfId="13753"/>
    <cellStyle name="asd 36 4 2 9" xfId="15655"/>
    <cellStyle name="asd 36 4 20" xfId="27362"/>
    <cellStyle name="asd 36 4 21" xfId="35403"/>
    <cellStyle name="asd 36 4 22" xfId="37281"/>
    <cellStyle name="asd 36 4 23" xfId="28002"/>
    <cellStyle name="asd 36 4 24" xfId="20449"/>
    <cellStyle name="asd 36 4 25" xfId="2772"/>
    <cellStyle name="asd 36 4 3" xfId="2029"/>
    <cellStyle name="asd 36 4 3 10" xfId="19000"/>
    <cellStyle name="asd 36 4 3 11" xfId="20912"/>
    <cellStyle name="asd 36 4 3 12" xfId="22765"/>
    <cellStyle name="asd 36 4 3 13" xfId="24714"/>
    <cellStyle name="asd 36 4 3 14" xfId="27654"/>
    <cellStyle name="asd 36 4 3 15" xfId="28673"/>
    <cellStyle name="asd 36 4 3 16" xfId="31231"/>
    <cellStyle name="asd 36 4 3 17" xfId="31607"/>
    <cellStyle name="asd 36 4 3 18" xfId="33633"/>
    <cellStyle name="asd 36 4 3 19" xfId="35541"/>
    <cellStyle name="asd 36 4 3 2" xfId="4992"/>
    <cellStyle name="asd 36 4 3 2 10" xfId="21240"/>
    <cellStyle name="asd 36 4 3 2 11" xfId="22933"/>
    <cellStyle name="asd 36 4 3 2 12" xfId="25042"/>
    <cellStyle name="asd 36 4 3 2 13" xfId="27911"/>
    <cellStyle name="asd 36 4 3 2 14" xfId="28585"/>
    <cellStyle name="asd 36 4 3 2 15" xfId="31493"/>
    <cellStyle name="asd 36 4 3 2 16" xfId="32654"/>
    <cellStyle name="asd 36 4 3 2 17" xfId="34903"/>
    <cellStyle name="asd 36 4 3 2 18" xfId="35869"/>
    <cellStyle name="asd 36 4 3 2 19" xfId="37748"/>
    <cellStyle name="asd 36 4 3 2 2" xfId="6442"/>
    <cellStyle name="asd 36 4 3 2 20" xfId="39861"/>
    <cellStyle name="asd 36 4 3 2 21" xfId="41530"/>
    <cellStyle name="asd 36 4 3 2 22" xfId="42719"/>
    <cellStyle name="asd 36 4 3 2 3" xfId="7893"/>
    <cellStyle name="asd 36 4 3 2 4" xfId="9803"/>
    <cellStyle name="asd 36 4 3 2 5" xfId="12352"/>
    <cellStyle name="asd 36 4 3 2 6" xfId="13401"/>
    <cellStyle name="asd 36 4 3 2 7" xfId="15306"/>
    <cellStyle name="asd 36 4 3 2 8" xfId="17422"/>
    <cellStyle name="asd 36 4 3 2 9" xfId="19328"/>
    <cellStyle name="asd 36 4 3 20" xfId="37420"/>
    <cellStyle name="asd 36 4 3 21" xfId="38854"/>
    <cellStyle name="asd 36 4 3 22" xfId="40540"/>
    <cellStyle name="asd 36 4 3 23" xfId="42561"/>
    <cellStyle name="asd 36 4 3 3" xfId="4667"/>
    <cellStyle name="asd 36 4 3 4" xfId="7565"/>
    <cellStyle name="asd 36 4 3 5" xfId="9475"/>
    <cellStyle name="asd 36 4 3 6" xfId="11512"/>
    <cellStyle name="asd 36 4 3 7" xfId="13234"/>
    <cellStyle name="asd 36 4 3 8" xfId="15137"/>
    <cellStyle name="asd 36 4 3 9" xfId="17094"/>
    <cellStyle name="asd 36 4 4" xfId="4131"/>
    <cellStyle name="asd 36 4 4 10" xfId="19766"/>
    <cellStyle name="asd 36 4 4 11" xfId="21678"/>
    <cellStyle name="asd 36 4 4 12" xfId="23776"/>
    <cellStyle name="asd 36 4 4 13" xfId="25480"/>
    <cellStyle name="asd 36 4 4 14" xfId="26911"/>
    <cellStyle name="asd 36 4 4 15" xfId="29369"/>
    <cellStyle name="asd 36 4 4 16" xfId="30507"/>
    <cellStyle name="asd 36 4 4 17" xfId="33006"/>
    <cellStyle name="asd 36 4 4 18" xfId="33385"/>
    <cellStyle name="asd 36 4 4 19" xfId="36307"/>
    <cellStyle name="asd 36 4 4 2" xfId="6036"/>
    <cellStyle name="asd 36 4 4 2 10" xfId="22286"/>
    <cellStyle name="asd 36 4 4 2 11" xfId="23426"/>
    <cellStyle name="asd 36 4 4 2 12" xfId="26088"/>
    <cellStyle name="asd 36 4 4 2 13" xfId="27778"/>
    <cellStyle name="asd 36 4 4 2 14" xfId="28472"/>
    <cellStyle name="asd 36 4 4 2 15" xfId="31355"/>
    <cellStyle name="asd 36 4 4 2 16" xfId="31675"/>
    <cellStyle name="asd 36 4 4 2 17" xfId="34865"/>
    <cellStyle name="asd 36 4 4 2 18" xfId="36915"/>
    <cellStyle name="asd 36 4 4 2 19" xfId="38794"/>
    <cellStyle name="asd 36 4 4 2 2" xfId="7485"/>
    <cellStyle name="asd 36 4 4 2 20" xfId="38918"/>
    <cellStyle name="asd 36 4 4 2 21" xfId="40602"/>
    <cellStyle name="asd 36 4 4 2 22" xfId="43193"/>
    <cellStyle name="asd 36 4 4 2 3" xfId="8939"/>
    <cellStyle name="asd 36 4 4 2 4" xfId="10849"/>
    <cellStyle name="asd 36 4 4 2 5" xfId="11126"/>
    <cellStyle name="asd 36 4 4 2 6" xfId="13898"/>
    <cellStyle name="asd 36 4 4 2 7" xfId="15799"/>
    <cellStyle name="asd 36 4 4 2 8" xfId="18468"/>
    <cellStyle name="asd 36 4 4 2 9" xfId="20374"/>
    <cellStyle name="asd 36 4 4 20" xfId="38186"/>
    <cellStyle name="asd 36 4 4 21" xfId="40206"/>
    <cellStyle name="asd 36 4 4 22" xfId="41865"/>
    <cellStyle name="asd 36 4 4 23" xfId="43529"/>
    <cellStyle name="asd 36 4 4 3" xfId="6877"/>
    <cellStyle name="asd 36 4 4 4" xfId="8331"/>
    <cellStyle name="asd 36 4 4 5" xfId="10241"/>
    <cellStyle name="asd 36 4 4 6" xfId="11588"/>
    <cellStyle name="asd 36 4 4 7" xfId="14246"/>
    <cellStyle name="asd 36 4 4 8" xfId="16150"/>
    <cellStyle name="asd 36 4 4 9" xfId="17860"/>
    <cellStyle name="asd 36 4 5" xfId="4441"/>
    <cellStyle name="asd 36 4 5 10" xfId="20686"/>
    <cellStyle name="asd 36 4 5 11" xfId="22388"/>
    <cellStyle name="asd 36 4 5 12" xfId="24488"/>
    <cellStyle name="asd 36 4 5 13" xfId="20436"/>
    <cellStyle name="asd 36 4 5 14" xfId="28532"/>
    <cellStyle name="asd 36 4 5 15" xfId="2740"/>
    <cellStyle name="asd 36 4 5 16" xfId="13979"/>
    <cellStyle name="asd 36 4 5 17" xfId="34692"/>
    <cellStyle name="asd 36 4 5 18" xfId="35316"/>
    <cellStyle name="asd 36 4 5 19" xfId="37194"/>
    <cellStyle name="asd 36 4 5 2" xfId="4849"/>
    <cellStyle name="asd 36 4 5 20" xfId="33238"/>
    <cellStyle name="asd 36 4 5 21" xfId="36947"/>
    <cellStyle name="asd 36 4 5 22" xfId="42199"/>
    <cellStyle name="asd 36 4 5 3" xfId="6161"/>
    <cellStyle name="asd 36 4 5 4" xfId="9248"/>
    <cellStyle name="asd 36 4 5 5" xfId="11761"/>
    <cellStyle name="asd 36 4 5 6" xfId="12855"/>
    <cellStyle name="asd 36 4 5 7" xfId="14760"/>
    <cellStyle name="asd 36 4 5 8" xfId="16867"/>
    <cellStyle name="asd 36 4 5 9" xfId="18774"/>
    <cellStyle name="asd 36 4 6" xfId="4224"/>
    <cellStyle name="asd 36 4 7" xfId="9335"/>
    <cellStyle name="asd 36 4 8" xfId="11330"/>
    <cellStyle name="asd 36 4 9" xfId="2164"/>
    <cellStyle name="asd 36 5" xfId="2916"/>
    <cellStyle name="asd 36 5 10" xfId="17220"/>
    <cellStyle name="asd 36 5 11" xfId="19126"/>
    <cellStyle name="asd 36 5 12" xfId="21038"/>
    <cellStyle name="asd 36 5 13" xfId="22893"/>
    <cellStyle name="asd 36 5 14" xfId="24840"/>
    <cellStyle name="asd 36 5 15" xfId="27705"/>
    <cellStyle name="asd 36 5 16" xfId="2568"/>
    <cellStyle name="asd 36 5 17" xfId="31280"/>
    <cellStyle name="asd 36 5 18" xfId="5436"/>
    <cellStyle name="asd 36 5 19" xfId="32123"/>
    <cellStyle name="asd 36 5 2" xfId="4544"/>
    <cellStyle name="asd 36 5 2 10" xfId="20789"/>
    <cellStyle name="asd 36 5 2 11" xfId="23094"/>
    <cellStyle name="asd 36 5 2 12" xfId="24591"/>
    <cellStyle name="asd 36 5 2 13" xfId="26829"/>
    <cellStyle name="asd 36 5 2 14" xfId="28775"/>
    <cellStyle name="asd 36 5 2 15" xfId="30427"/>
    <cellStyle name="asd 36 5 2 16" xfId="32450"/>
    <cellStyle name="asd 36 5 2 17" xfId="34832"/>
    <cellStyle name="asd 36 5 2 18" xfId="35419"/>
    <cellStyle name="asd 36 5 2 19" xfId="37297"/>
    <cellStyle name="asd 36 5 2 2" xfId="1885"/>
    <cellStyle name="asd 36 5 2 20" xfId="39667"/>
    <cellStyle name="asd 36 5 2 21" xfId="41341"/>
    <cellStyle name="asd 36 5 2 22" xfId="42876"/>
    <cellStyle name="asd 36 5 2 3" xfId="1839"/>
    <cellStyle name="asd 36 5 2 4" xfId="9351"/>
    <cellStyle name="asd 36 5 2 5" xfId="12705"/>
    <cellStyle name="asd 36 5 2 6" xfId="13565"/>
    <cellStyle name="asd 36 5 2 7" xfId="15468"/>
    <cellStyle name="asd 36 5 2 8" xfId="16970"/>
    <cellStyle name="asd 36 5 2 9" xfId="18877"/>
    <cellStyle name="asd 36 5 20" xfId="35667"/>
    <cellStyle name="asd 36 5 21" xfId="37546"/>
    <cellStyle name="asd 36 5 22" xfId="3286"/>
    <cellStyle name="asd 36 5 23" xfId="30759"/>
    <cellStyle name="asd 36 5 24" xfId="42679"/>
    <cellStyle name="asd 36 5 3" xfId="4791"/>
    <cellStyle name="asd 36 5 4" xfId="6240"/>
    <cellStyle name="asd 36 5 5" xfId="7691"/>
    <cellStyle name="asd 36 5 6" xfId="9601"/>
    <cellStyle name="asd 36 5 7" xfId="12376"/>
    <cellStyle name="asd 36 5 8" xfId="13361"/>
    <cellStyle name="asd 36 5 9" xfId="15266"/>
    <cellStyle name="asd 36 6" xfId="2759"/>
    <cellStyle name="asd 36 6 10" xfId="19104"/>
    <cellStyle name="asd 36 6 11" xfId="21016"/>
    <cellStyle name="asd 36 6 12" xfId="23149"/>
    <cellStyle name="asd 36 6 13" xfId="24818"/>
    <cellStyle name="asd 36 6 14" xfId="26202"/>
    <cellStyle name="asd 36 6 15" xfId="28862"/>
    <cellStyle name="asd 36 6 16" xfId="29815"/>
    <cellStyle name="asd 36 6 17" xfId="31901"/>
    <cellStyle name="asd 36 6 18" xfId="34108"/>
    <cellStyle name="asd 36 6 19" xfId="35645"/>
    <cellStyle name="asd 36 6 2" xfId="4444"/>
    <cellStyle name="asd 36 6 2 10" xfId="20689"/>
    <cellStyle name="asd 36 6 2 11" xfId="23697"/>
    <cellStyle name="asd 36 6 2 12" xfId="24491"/>
    <cellStyle name="asd 36 6 2 13" xfId="27464"/>
    <cellStyle name="asd 36 6 2 14" xfId="29417"/>
    <cellStyle name="asd 36 6 2 15" xfId="31051"/>
    <cellStyle name="asd 36 6 2 16" xfId="32611"/>
    <cellStyle name="asd 36 6 2 17" xfId="33498"/>
    <cellStyle name="asd 36 6 2 18" xfId="35319"/>
    <cellStyle name="asd 36 6 2 19" xfId="37197"/>
    <cellStyle name="asd 36 6 2 2" xfId="5293"/>
    <cellStyle name="asd 36 6 2 20" xfId="39821"/>
    <cellStyle name="asd 36 6 2 21" xfId="41490"/>
    <cellStyle name="asd 36 6 2 22" xfId="43454"/>
    <cellStyle name="asd 36 6 2 3" xfId="6691"/>
    <cellStyle name="asd 36 6 2 4" xfId="9251"/>
    <cellStyle name="asd 36 6 2 5" xfId="11589"/>
    <cellStyle name="asd 36 6 2 6" xfId="14167"/>
    <cellStyle name="asd 36 6 2 7" xfId="16071"/>
    <cellStyle name="asd 36 6 2 8" xfId="16870"/>
    <cellStyle name="asd 36 6 2 9" xfId="18777"/>
    <cellStyle name="asd 36 6 20" xfId="37524"/>
    <cellStyle name="asd 36 6 21" xfId="39134"/>
    <cellStyle name="asd 36 6 22" xfId="40815"/>
    <cellStyle name="asd 36 6 23" xfId="42927"/>
    <cellStyle name="asd 36 6 3" xfId="4769"/>
    <cellStyle name="asd 36 6 4" xfId="7669"/>
    <cellStyle name="asd 36 6 5" xfId="9579"/>
    <cellStyle name="asd 36 6 6" xfId="10941"/>
    <cellStyle name="asd 36 6 7" xfId="13620"/>
    <cellStyle name="asd 36 6 8" xfId="15523"/>
    <cellStyle name="asd 36 6 9" xfId="17198"/>
    <cellStyle name="asd 36 7" xfId="2100"/>
    <cellStyle name="asd 36 7 10" xfId="19017"/>
    <cellStyle name="asd 36 7 11" xfId="20929"/>
    <cellStyle name="asd 36 7 12" xfId="23073"/>
    <cellStyle name="asd 36 7 13" xfId="24731"/>
    <cellStyle name="asd 36 7 14" xfId="26634"/>
    <cellStyle name="asd 36 7 15" xfId="28863"/>
    <cellStyle name="asd 36 7 16" xfId="30237"/>
    <cellStyle name="asd 36 7 17" xfId="28681"/>
    <cellStyle name="asd 36 7 18" xfId="26651"/>
    <cellStyle name="asd 36 7 19" xfId="35558"/>
    <cellStyle name="asd 36 7 2" xfId="4891"/>
    <cellStyle name="asd 36 7 2 10" xfId="21139"/>
    <cellStyle name="asd 36 7 2 11" xfId="22925"/>
    <cellStyle name="asd 36 7 2 12" xfId="24941"/>
    <cellStyle name="asd 36 7 2 13" xfId="27376"/>
    <cellStyle name="asd 36 7 2 14" xfId="28009"/>
    <cellStyle name="asd 36 7 2 15" xfId="30962"/>
    <cellStyle name="asd 36 7 2 16" xfId="32882"/>
    <cellStyle name="asd 36 7 2 17" xfId="33550"/>
    <cellStyle name="asd 36 7 2 18" xfId="35768"/>
    <cellStyle name="asd 36 7 2 19" xfId="37647"/>
    <cellStyle name="asd 36 7 2 2" xfId="6341"/>
    <cellStyle name="asd 36 7 2 20" xfId="40087"/>
    <cellStyle name="asd 36 7 2 21" xfId="41750"/>
    <cellStyle name="asd 36 7 2 22" xfId="42711"/>
    <cellStyle name="asd 36 7 2 3" xfId="7792"/>
    <cellStyle name="asd 36 7 2 4" xfId="9702"/>
    <cellStyle name="asd 36 7 2 5" xfId="11247"/>
    <cellStyle name="asd 36 7 2 6" xfId="13393"/>
    <cellStyle name="asd 36 7 2 7" xfId="15298"/>
    <cellStyle name="asd 36 7 2 8" xfId="17321"/>
    <cellStyle name="asd 36 7 2 9" xfId="19227"/>
    <cellStyle name="asd 36 7 20" xfId="37437"/>
    <cellStyle name="asd 36 7 21" xfId="12811"/>
    <cellStyle name="asd 36 7 22" xfId="34741"/>
    <cellStyle name="asd 36 7 23" xfId="42855"/>
    <cellStyle name="asd 36 7 3" xfId="6131"/>
    <cellStyle name="asd 36 7 4" xfId="7582"/>
    <cellStyle name="asd 36 7 5" xfId="9492"/>
    <cellStyle name="asd 36 7 6" xfId="12681"/>
    <cellStyle name="asd 36 7 7" xfId="13544"/>
    <cellStyle name="asd 36 7 8" xfId="15447"/>
    <cellStyle name="asd 36 7 9" xfId="17111"/>
    <cellStyle name="asd 36 8" xfId="2505"/>
    <cellStyle name="asd 36 9" xfId="2369"/>
    <cellStyle name="asd 37" xfId="957"/>
    <cellStyle name="asd 37 10" xfId="3273"/>
    <cellStyle name="asd 37 11" xfId="2573"/>
    <cellStyle name="asd 37 12" xfId="4363"/>
    <cellStyle name="asd 37 13" xfId="2942"/>
    <cellStyle name="asd 37 14" xfId="3239"/>
    <cellStyle name="asd 37 15" xfId="16617"/>
    <cellStyle name="asd 37 16" xfId="2181"/>
    <cellStyle name="asd 37 17" xfId="3876"/>
    <cellStyle name="asd 37 18" xfId="18497"/>
    <cellStyle name="asd 37 19" xfId="2489"/>
    <cellStyle name="asd 37 2" xfId="3394"/>
    <cellStyle name="asd 37 2 10" xfId="14350"/>
    <cellStyle name="asd 37 2 11" xfId="16255"/>
    <cellStyle name="asd 37 2 12" xfId="16730"/>
    <cellStyle name="asd 37 2 13" xfId="18637"/>
    <cellStyle name="asd 37 2 14" xfId="20549"/>
    <cellStyle name="asd 37 2 15" xfId="23880"/>
    <cellStyle name="asd 37 2 16" xfId="24351"/>
    <cellStyle name="asd 37 2 17" xfId="27022"/>
    <cellStyle name="asd 37 2 18" xfId="29165"/>
    <cellStyle name="asd 37 2 19" xfId="30615"/>
    <cellStyle name="asd 37 2 2" xfId="3574"/>
    <cellStyle name="asd 37 2 2 10" xfId="17465"/>
    <cellStyle name="asd 37 2 2 11" xfId="19371"/>
    <cellStyle name="asd 37 2 2 12" xfId="21283"/>
    <cellStyle name="asd 37 2 2 13" xfId="23115"/>
    <cellStyle name="asd 37 2 2 14" xfId="25085"/>
    <cellStyle name="asd 37 2 2 15" xfId="26944"/>
    <cellStyle name="asd 37 2 2 16" xfId="28806"/>
    <cellStyle name="asd 37 2 2 17" xfId="30538"/>
    <cellStyle name="asd 37 2 2 18" xfId="32850"/>
    <cellStyle name="asd 37 2 2 19" xfId="34340"/>
    <cellStyle name="asd 37 2 2 2" xfId="4289"/>
    <cellStyle name="asd 37 2 2 2 10" xfId="20495"/>
    <cellStyle name="asd 37 2 2 2 11" xfId="23346"/>
    <cellStyle name="asd 37 2 2 2 12" xfId="24297"/>
    <cellStyle name="asd 37 2 2 2 13" xfId="26319"/>
    <cellStyle name="asd 37 2 2 2 14" xfId="28953"/>
    <cellStyle name="asd 37 2 2 2 15" xfId="29927"/>
    <cellStyle name="asd 37 2 2 2 16" xfId="31605"/>
    <cellStyle name="asd 37 2 2 2 17" xfId="34262"/>
    <cellStyle name="asd 37 2 2 2 18" xfId="35125"/>
    <cellStyle name="asd 37 2 2 2 19" xfId="37003"/>
    <cellStyle name="asd 37 2 2 2 2" xfId="5449"/>
    <cellStyle name="asd 37 2 2 2 20" xfId="38852"/>
    <cellStyle name="asd 37 2 2 2 21" xfId="40538"/>
    <cellStyle name="asd 37 2 2 2 22" xfId="43116"/>
    <cellStyle name="asd 37 2 2 2 3" xfId="6197"/>
    <cellStyle name="asd 37 2 2 2 4" xfId="9057"/>
    <cellStyle name="asd 37 2 2 2 5" xfId="12454"/>
    <cellStyle name="asd 37 2 2 2 6" xfId="13818"/>
    <cellStyle name="asd 37 2 2 2 7" xfId="15720"/>
    <cellStyle name="asd 37 2 2 2 8" xfId="16676"/>
    <cellStyle name="asd 37 2 2 2 9" xfId="18583"/>
    <cellStyle name="asd 37 2 2 20" xfId="35912"/>
    <cellStyle name="asd 37 2 2 21" xfId="37791"/>
    <cellStyle name="asd 37 2 2 22" xfId="40057"/>
    <cellStyle name="asd 37 2 2 23" xfId="41721"/>
    <cellStyle name="asd 37 2 2 24" xfId="42895"/>
    <cellStyle name="asd 37 2 2 3" xfId="5035"/>
    <cellStyle name="asd 37 2 2 4" xfId="6485"/>
    <cellStyle name="asd 37 2 2 5" xfId="7936"/>
    <cellStyle name="asd 37 2 2 6" xfId="9846"/>
    <cellStyle name="asd 37 2 2 7" xfId="12732"/>
    <cellStyle name="asd 37 2 2 8" xfId="13586"/>
    <cellStyle name="asd 37 2 2 9" xfId="15489"/>
    <cellStyle name="asd 37 2 20" xfId="32653"/>
    <cellStyle name="asd 37 2 21" xfId="34462"/>
    <cellStyle name="asd 37 2 22" xfId="35179"/>
    <cellStyle name="asd 37 2 23" xfId="37057"/>
    <cellStyle name="asd 37 2 24" xfId="39860"/>
    <cellStyle name="asd 37 2 25" xfId="41529"/>
    <cellStyle name="asd 37 2 26" xfId="43630"/>
    <cellStyle name="asd 37 2 3" xfId="3882"/>
    <cellStyle name="asd 37 2 3 10" xfId="19591"/>
    <cellStyle name="asd 37 2 3 11" xfId="21503"/>
    <cellStyle name="asd 37 2 3 12" xfId="23626"/>
    <cellStyle name="asd 37 2 3 13" xfId="25305"/>
    <cellStyle name="asd 37 2 3 14" xfId="27453"/>
    <cellStyle name="asd 37 2 3 15" xfId="28217"/>
    <cellStyle name="asd 37 2 3 16" xfId="31040"/>
    <cellStyle name="asd 37 2 3 17" xfId="32934"/>
    <cellStyle name="asd 37 2 3 18" xfId="34222"/>
    <cellStyle name="asd 37 2 3 19" xfId="36132"/>
    <cellStyle name="asd 37 2 3 2" xfId="5861"/>
    <cellStyle name="asd 37 2 3 2 10" xfId="22111"/>
    <cellStyle name="asd 37 2 3 2 11" xfId="23944"/>
    <cellStyle name="asd 37 2 3 2 12" xfId="25913"/>
    <cellStyle name="asd 37 2 3 2 13" xfId="27088"/>
    <cellStyle name="asd 37 2 3 2 14" xfId="3093"/>
    <cellStyle name="asd 37 2 3 2 15" xfId="30679"/>
    <cellStyle name="asd 37 2 3 2 16" xfId="31732"/>
    <cellStyle name="asd 37 2 3 2 17" xfId="2460"/>
    <cellStyle name="asd 37 2 3 2 18" xfId="36740"/>
    <cellStyle name="asd 37 2 3 2 19" xfId="38619"/>
    <cellStyle name="asd 37 2 3 2 2" xfId="7310"/>
    <cellStyle name="asd 37 2 3 2 20" xfId="38973"/>
    <cellStyle name="asd 37 2 3 2 21" xfId="40656"/>
    <cellStyle name="asd 37 2 3 2 22" xfId="43690"/>
    <cellStyle name="asd 37 2 3 2 3" xfId="8764"/>
    <cellStyle name="asd 37 2 3 2 4" xfId="10674"/>
    <cellStyle name="asd 37 2 3 2 5" xfId="11904"/>
    <cellStyle name="asd 37 2 3 2 6" xfId="14414"/>
    <cellStyle name="asd 37 2 3 2 7" xfId="16320"/>
    <cellStyle name="asd 37 2 3 2 8" xfId="18293"/>
    <cellStyle name="asd 37 2 3 2 9" xfId="20199"/>
    <cellStyle name="asd 37 2 3 20" xfId="38011"/>
    <cellStyle name="asd 37 2 3 21" xfId="40138"/>
    <cellStyle name="asd 37 2 3 22" xfId="41797"/>
    <cellStyle name="asd 37 2 3 23" xfId="43384"/>
    <cellStyle name="asd 37 2 3 3" xfId="5255"/>
    <cellStyle name="asd 37 2 3 4" xfId="8156"/>
    <cellStyle name="asd 37 2 3 5" xfId="10066"/>
    <cellStyle name="asd 37 2 3 6" xfId="11574"/>
    <cellStyle name="asd 37 2 3 7" xfId="14096"/>
    <cellStyle name="asd 37 2 3 8" xfId="15999"/>
    <cellStyle name="asd 37 2 3 9" xfId="17685"/>
    <cellStyle name="asd 37 2 4" xfId="4026"/>
    <cellStyle name="asd 37 2 4 10" xfId="19661"/>
    <cellStyle name="asd 37 2 4 11" xfId="21573"/>
    <cellStyle name="asd 37 2 4 12" xfId="23540"/>
    <cellStyle name="asd 37 2 4 13" xfId="25375"/>
    <cellStyle name="asd 37 2 4 14" xfId="27771"/>
    <cellStyle name="asd 37 2 4 15" xfId="28355"/>
    <cellStyle name="asd 37 2 4 16" xfId="31349"/>
    <cellStyle name="asd 37 2 4 17" xfId="32167"/>
    <cellStyle name="asd 37 2 4 18" xfId="35060"/>
    <cellStyle name="asd 37 2 4 19" xfId="36202"/>
    <cellStyle name="asd 37 2 4 2" xfId="5931"/>
    <cellStyle name="asd 37 2 4 2 10" xfId="22181"/>
    <cellStyle name="asd 37 2 4 2 11" xfId="22558"/>
    <cellStyle name="asd 37 2 4 2 12" xfId="25983"/>
    <cellStyle name="asd 37 2 4 2 13" xfId="27634"/>
    <cellStyle name="asd 37 2 4 2 14" xfId="1992"/>
    <cellStyle name="asd 37 2 4 2 15" xfId="31211"/>
    <cellStyle name="asd 37 2 4 2 16" xfId="32246"/>
    <cellStyle name="asd 37 2 4 2 17" xfId="34752"/>
    <cellStyle name="asd 37 2 4 2 18" xfId="36810"/>
    <cellStyle name="asd 37 2 4 2 19" xfId="38689"/>
    <cellStyle name="asd 37 2 4 2 2" xfId="7380"/>
    <cellStyle name="asd 37 2 4 2 20" xfId="39464"/>
    <cellStyle name="asd 37 2 4 2 21" xfId="41139"/>
    <cellStyle name="asd 37 2 4 2 22" xfId="42367"/>
    <cellStyle name="asd 37 2 4 2 3" xfId="8834"/>
    <cellStyle name="asd 37 2 4 2 4" xfId="10744"/>
    <cellStyle name="asd 37 2 4 2 5" xfId="12424"/>
    <cellStyle name="asd 37 2 4 2 6" xfId="13026"/>
    <cellStyle name="asd 37 2 4 2 7" xfId="14930"/>
    <cellStyle name="asd 37 2 4 2 8" xfId="18363"/>
    <cellStyle name="asd 37 2 4 2 9" xfId="20269"/>
    <cellStyle name="asd 37 2 4 20" xfId="38081"/>
    <cellStyle name="asd 37 2 4 21" xfId="39389"/>
    <cellStyle name="asd 37 2 4 22" xfId="41065"/>
    <cellStyle name="asd 37 2 4 23" xfId="43305"/>
    <cellStyle name="asd 37 2 4 3" xfId="6772"/>
    <cellStyle name="asd 37 2 4 4" xfId="8226"/>
    <cellStyle name="asd 37 2 4 5" xfId="10136"/>
    <cellStyle name="asd 37 2 4 6" xfId="12589"/>
    <cellStyle name="asd 37 2 4 7" xfId="14012"/>
    <cellStyle name="asd 37 2 4 8" xfId="15913"/>
    <cellStyle name="asd 37 2 4 9" xfId="17755"/>
    <cellStyle name="asd 37 2 5" xfId="4893"/>
    <cellStyle name="asd 37 2 5 10" xfId="21141"/>
    <cellStyle name="asd 37 2 5 11" xfId="22988"/>
    <cellStyle name="asd 37 2 5 12" xfId="24943"/>
    <cellStyle name="asd 37 2 5 13" xfId="26899"/>
    <cellStyle name="asd 37 2 5 14" xfId="29337"/>
    <cellStyle name="asd 37 2 5 15" xfId="30495"/>
    <cellStyle name="asd 37 2 5 16" xfId="31909"/>
    <cellStyle name="asd 37 2 5 17" xfId="33462"/>
    <cellStyle name="asd 37 2 5 18" xfId="35770"/>
    <cellStyle name="asd 37 2 5 19" xfId="37649"/>
    <cellStyle name="asd 37 2 5 2" xfId="6343"/>
    <cellStyle name="asd 37 2 5 20" xfId="39141"/>
    <cellStyle name="asd 37 2 5 21" xfId="40822"/>
    <cellStyle name="asd 37 2 5 22" xfId="42774"/>
    <cellStyle name="asd 37 2 5 3" xfId="7794"/>
    <cellStyle name="asd 37 2 5 4" xfId="9704"/>
    <cellStyle name="asd 37 2 5 5" xfId="12215"/>
    <cellStyle name="asd 37 2 5 6" xfId="13457"/>
    <cellStyle name="asd 37 2 5 7" xfId="15362"/>
    <cellStyle name="asd 37 2 5 8" xfId="17323"/>
    <cellStyle name="asd 37 2 5 9" xfId="19229"/>
    <cellStyle name="asd 37 2 6" xfId="5505"/>
    <cellStyle name="asd 37 2 6 10" xfId="21755"/>
    <cellStyle name="asd 37 2 6 11" xfId="24182"/>
    <cellStyle name="asd 37 2 6 12" xfId="25557"/>
    <cellStyle name="asd 37 2 6 13" xfId="26360"/>
    <cellStyle name="asd 37 2 6 14" xfId="28642"/>
    <cellStyle name="asd 37 2 6 15" xfId="29968"/>
    <cellStyle name="asd 37 2 6 16" xfId="31943"/>
    <cellStyle name="asd 37 2 6 17" xfId="33568"/>
    <cellStyle name="asd 37 2 6 18" xfId="36384"/>
    <cellStyle name="asd 37 2 6 19" xfId="38263"/>
    <cellStyle name="asd 37 2 6 2" xfId="6954"/>
    <cellStyle name="asd 37 2 6 20" xfId="39173"/>
    <cellStyle name="asd 37 2 6 21" xfId="40854"/>
    <cellStyle name="asd 37 2 6 22" xfId="43922"/>
    <cellStyle name="asd 37 2 6 3" xfId="8408"/>
    <cellStyle name="asd 37 2 6 4" xfId="10318"/>
    <cellStyle name="asd 37 2 6 5" xfId="12141"/>
    <cellStyle name="asd 37 2 6 6" xfId="14653"/>
    <cellStyle name="asd 37 2 6 7" xfId="16559"/>
    <cellStyle name="asd 37 2 6 8" xfId="17937"/>
    <cellStyle name="asd 37 2 6 9" xfId="19843"/>
    <cellStyle name="asd 37 2 7" xfId="4303"/>
    <cellStyle name="asd 37 2 8" xfId="9111"/>
    <cellStyle name="asd 37 2 9" xfId="12763"/>
    <cellStyle name="asd 37 20" xfId="16096"/>
    <cellStyle name="asd 37 21" xfId="28920"/>
    <cellStyle name="asd 37 22" xfId="1908"/>
    <cellStyle name="asd 37 23" xfId="33302"/>
    <cellStyle name="asd 37 24" xfId="15231"/>
    <cellStyle name="asd 37 25" xfId="28858"/>
    <cellStyle name="asd 37 26" xfId="38838"/>
    <cellStyle name="asd 37 27" xfId="18501"/>
    <cellStyle name="asd 37 3" xfId="3353"/>
    <cellStyle name="asd 37 3 10" xfId="10875"/>
    <cellStyle name="asd 37 3 11" xfId="8987"/>
    <cellStyle name="asd 37 3 12" xfId="16633"/>
    <cellStyle name="asd 37 3 13" xfId="18540"/>
    <cellStyle name="asd 37 3 14" xfId="20452"/>
    <cellStyle name="asd 37 3 15" xfId="6200"/>
    <cellStyle name="asd 37 3 16" xfId="24254"/>
    <cellStyle name="asd 37 3 17" xfId="8967"/>
    <cellStyle name="asd 37 3 18" xfId="28693"/>
    <cellStyle name="asd 37 3 19" xfId="28732"/>
    <cellStyle name="asd 37 3 2" xfId="3533"/>
    <cellStyle name="asd 37 3 2 10" xfId="17424"/>
    <cellStyle name="asd 37 3 2 11" xfId="19330"/>
    <cellStyle name="asd 37 3 2 12" xfId="21242"/>
    <cellStyle name="asd 37 3 2 13" xfId="24054"/>
    <cellStyle name="asd 37 3 2 14" xfId="25044"/>
    <cellStyle name="asd 37 3 2 15" xfId="1862"/>
    <cellStyle name="asd 37 3 2 16" xfId="15473"/>
    <cellStyle name="asd 37 3 2 17" xfId="12818"/>
    <cellStyle name="asd 37 3 2 18" xfId="4312"/>
    <cellStyle name="asd 37 3 2 19" xfId="9007"/>
    <cellStyle name="asd 37 3 2 2" xfId="5656"/>
    <cellStyle name="asd 37 3 2 2 10" xfId="21906"/>
    <cellStyle name="asd 37 3 2 2 11" xfId="23844"/>
    <cellStyle name="asd 37 3 2 2 12" xfId="25708"/>
    <cellStyle name="asd 37 3 2 2 13" xfId="27374"/>
    <cellStyle name="asd 37 3 2 2 14" xfId="28278"/>
    <cellStyle name="asd 37 3 2 2 15" xfId="30960"/>
    <cellStyle name="asd 37 3 2 2 16" xfId="33240"/>
    <cellStyle name="asd 37 3 2 2 17" xfId="33506"/>
    <cellStyle name="asd 37 3 2 2 18" xfId="36535"/>
    <cellStyle name="asd 37 3 2 2 19" xfId="38414"/>
    <cellStyle name="asd 37 3 2 2 2" xfId="7105"/>
    <cellStyle name="asd 37 3 2 2 20" xfId="40429"/>
    <cellStyle name="asd 37 3 2 2 21" xfId="42084"/>
    <cellStyle name="asd 37 3 2 2 22" xfId="43595"/>
    <cellStyle name="asd 37 3 2 2 3" xfId="8559"/>
    <cellStyle name="asd 37 3 2 2 4" xfId="10469"/>
    <cellStyle name="asd 37 3 2 2 5" xfId="11766"/>
    <cellStyle name="asd 37 3 2 2 6" xfId="14314"/>
    <cellStyle name="asd 37 3 2 2 7" xfId="16218"/>
    <cellStyle name="asd 37 3 2 2 8" xfId="18088"/>
    <cellStyle name="asd 37 3 2 2 9" xfId="19994"/>
    <cellStyle name="asd 37 3 2 20" xfId="35871"/>
    <cellStyle name="asd 37 3 2 21" xfId="37750"/>
    <cellStyle name="asd 37 3 2 22" xfId="36945"/>
    <cellStyle name="asd 37 3 2 23" xfId="1858"/>
    <cellStyle name="asd 37 3 2 24" xfId="43798"/>
    <cellStyle name="asd 37 3 2 3" xfId="4994"/>
    <cellStyle name="asd 37 3 2 4" xfId="6444"/>
    <cellStyle name="asd 37 3 2 5" xfId="7895"/>
    <cellStyle name="asd 37 3 2 6" xfId="9805"/>
    <cellStyle name="asd 37 3 2 7" xfId="12013"/>
    <cellStyle name="asd 37 3 2 8" xfId="14524"/>
    <cellStyle name="asd 37 3 2 9" xfId="16430"/>
    <cellStyle name="asd 37 3 20" xfId="12460"/>
    <cellStyle name="asd 37 3 21" xfId="2830"/>
    <cellStyle name="asd 37 3 22" xfId="35082"/>
    <cellStyle name="asd 37 3 23" xfId="36960"/>
    <cellStyle name="asd 37 3 24" xfId="33970"/>
    <cellStyle name="asd 37 3 25" xfId="33858"/>
    <cellStyle name="asd 37 3 26" xfId="12805"/>
    <cellStyle name="asd 37 3 3" xfId="3921"/>
    <cellStyle name="asd 37 3 3 10" xfId="19616"/>
    <cellStyle name="asd 37 3 3 11" xfId="21528"/>
    <cellStyle name="asd 37 3 3 12" xfId="22528"/>
    <cellStyle name="asd 37 3 3 13" xfId="25330"/>
    <cellStyle name="asd 37 3 3 14" xfId="26941"/>
    <cellStyle name="asd 37 3 3 15" xfId="29250"/>
    <cellStyle name="asd 37 3 3 16" xfId="30535"/>
    <cellStyle name="asd 37 3 3 17" xfId="32979"/>
    <cellStyle name="asd 37 3 3 18" xfId="34652"/>
    <cellStyle name="asd 37 3 3 19" xfId="36157"/>
    <cellStyle name="asd 37 3 3 2" xfId="5886"/>
    <cellStyle name="asd 37 3 3 2 10" xfId="22136"/>
    <cellStyle name="asd 37 3 3 2 11" xfId="23395"/>
    <cellStyle name="asd 37 3 3 2 12" xfId="25938"/>
    <cellStyle name="asd 37 3 3 2 13" xfId="27553"/>
    <cellStyle name="asd 37 3 3 2 14" xfId="29689"/>
    <cellStyle name="asd 37 3 3 2 15" xfId="31133"/>
    <cellStyle name="asd 37 3 3 2 16" xfId="31769"/>
    <cellStyle name="asd 37 3 3 2 17" xfId="34841"/>
    <cellStyle name="asd 37 3 3 2 18" xfId="36765"/>
    <cellStyle name="asd 37 3 3 2 19" xfId="38644"/>
    <cellStyle name="asd 37 3 3 2 2" xfId="7335"/>
    <cellStyle name="asd 37 3 3 2 20" xfId="39008"/>
    <cellStyle name="asd 37 3 3 2 21" xfId="40691"/>
    <cellStyle name="asd 37 3 3 2 22" xfId="43162"/>
    <cellStyle name="asd 37 3 3 2 3" xfId="8789"/>
    <cellStyle name="asd 37 3 3 2 4" xfId="10699"/>
    <cellStyle name="asd 37 3 3 2 5" xfId="11297"/>
    <cellStyle name="asd 37 3 3 2 6" xfId="13867"/>
    <cellStyle name="asd 37 3 3 2 7" xfId="15768"/>
    <cellStyle name="asd 37 3 3 2 8" xfId="18318"/>
    <cellStyle name="asd 37 3 3 2 9" xfId="20224"/>
    <cellStyle name="asd 37 3 3 20" xfId="38036"/>
    <cellStyle name="asd 37 3 3 21" xfId="40180"/>
    <cellStyle name="asd 37 3 3 22" xfId="41839"/>
    <cellStyle name="asd 37 3 3 23" xfId="42338"/>
    <cellStyle name="asd 37 3 3 3" xfId="5280"/>
    <cellStyle name="asd 37 3 3 4" xfId="8181"/>
    <cellStyle name="asd 37 3 3 5" xfId="10091"/>
    <cellStyle name="asd 37 3 3 6" xfId="11765"/>
    <cellStyle name="asd 37 3 3 7" xfId="12996"/>
    <cellStyle name="asd 37 3 3 8" xfId="14900"/>
    <cellStyle name="asd 37 3 3 9" xfId="17710"/>
    <cellStyle name="asd 37 3 4" xfId="3985"/>
    <cellStyle name="asd 37 3 4 10" xfId="19620"/>
    <cellStyle name="asd 37 3 4 11" xfId="21532"/>
    <cellStyle name="asd 37 3 4 12" xfId="23847"/>
    <cellStyle name="asd 37 3 4 13" xfId="25334"/>
    <cellStyle name="asd 37 3 4 14" xfId="27687"/>
    <cellStyle name="asd 37 3 4 15" xfId="28636"/>
    <cellStyle name="asd 37 3 4 16" xfId="31261"/>
    <cellStyle name="asd 37 3 4 17" xfId="31761"/>
    <cellStyle name="asd 37 3 4 18" xfId="33810"/>
    <cellStyle name="asd 37 3 4 19" xfId="36161"/>
    <cellStyle name="asd 37 3 4 2" xfId="5890"/>
    <cellStyle name="asd 37 3 4 2 10" xfId="22140"/>
    <cellStyle name="asd 37 3 4 2 11" xfId="23727"/>
    <cellStyle name="asd 37 3 4 2 12" xfId="25942"/>
    <cellStyle name="asd 37 3 4 2 13" xfId="2551"/>
    <cellStyle name="asd 37 3 4 2 14" xfId="29329"/>
    <cellStyle name="asd 37 3 4 2 15" xfId="27174"/>
    <cellStyle name="asd 37 3 4 2 16" xfId="22345"/>
    <cellStyle name="asd 37 3 4 2 17" xfId="33800"/>
    <cellStyle name="asd 37 3 4 2 18" xfId="36769"/>
    <cellStyle name="asd 37 3 4 2 19" xfId="38648"/>
    <cellStyle name="asd 37 3 4 2 2" xfId="7339"/>
    <cellStyle name="asd 37 3 4 2 20" xfId="16608"/>
    <cellStyle name="asd 37 3 4 2 21" xfId="7528"/>
    <cellStyle name="asd 37 3 4 2 22" xfId="43482"/>
    <cellStyle name="asd 37 3 4 2 3" xfId="8793"/>
    <cellStyle name="asd 37 3 4 2 4" xfId="10703"/>
    <cellStyle name="asd 37 3 4 2 5" xfId="11671"/>
    <cellStyle name="asd 37 3 4 2 6" xfId="14197"/>
    <cellStyle name="asd 37 3 4 2 7" xfId="16101"/>
    <cellStyle name="asd 37 3 4 2 8" xfId="18322"/>
    <cellStyle name="asd 37 3 4 2 9" xfId="20228"/>
    <cellStyle name="asd 37 3 4 20" xfId="38040"/>
    <cellStyle name="asd 37 3 4 21" xfId="39001"/>
    <cellStyle name="asd 37 3 4 22" xfId="40684"/>
    <cellStyle name="asd 37 3 4 23" xfId="43598"/>
    <cellStyle name="asd 37 3 4 3" xfId="6731"/>
    <cellStyle name="asd 37 3 4 4" xfId="8185"/>
    <cellStyle name="asd 37 3 4 5" xfId="10095"/>
    <cellStyle name="asd 37 3 4 6" xfId="11580"/>
    <cellStyle name="asd 37 3 4 7" xfId="14317"/>
    <cellStyle name="asd 37 3 4 8" xfId="16221"/>
    <cellStyle name="asd 37 3 4 9" xfId="17714"/>
    <cellStyle name="asd 37 3 5" xfId="4868"/>
    <cellStyle name="asd 37 3 5 10" xfId="21116"/>
    <cellStyle name="asd 37 3 5 11" xfId="22488"/>
    <cellStyle name="asd 37 3 5 12" xfId="24918"/>
    <cellStyle name="asd 37 3 5 13" xfId="26658"/>
    <cellStyle name="asd 37 3 5 14" xfId="3047"/>
    <cellStyle name="asd 37 3 5 15" xfId="30258"/>
    <cellStyle name="asd 37 3 5 16" xfId="32936"/>
    <cellStyle name="asd 37 3 5 17" xfId="34649"/>
    <cellStyle name="asd 37 3 5 18" xfId="35745"/>
    <cellStyle name="asd 37 3 5 19" xfId="37624"/>
    <cellStyle name="asd 37 3 5 2" xfId="6318"/>
    <cellStyle name="asd 37 3 5 20" xfId="40140"/>
    <cellStyle name="asd 37 3 5 21" xfId="41799"/>
    <cellStyle name="asd 37 3 5 22" xfId="42298"/>
    <cellStyle name="asd 37 3 5 3" xfId="7769"/>
    <cellStyle name="asd 37 3 5 4" xfId="9679"/>
    <cellStyle name="asd 37 3 5 5" xfId="12268"/>
    <cellStyle name="asd 37 3 5 6" xfId="12956"/>
    <cellStyle name="asd 37 3 5 7" xfId="14860"/>
    <cellStyle name="asd 37 3 5 8" xfId="17298"/>
    <cellStyle name="asd 37 3 5 9" xfId="19204"/>
    <cellStyle name="asd 37 3 6" xfId="5454"/>
    <cellStyle name="asd 37 3 6 10" xfId="21704"/>
    <cellStyle name="asd 37 3 6 11" xfId="24046"/>
    <cellStyle name="asd 37 3 6 12" xfId="25506"/>
    <cellStyle name="asd 37 3 6 13" xfId="26903"/>
    <cellStyle name="asd 37 3 6 14" xfId="28868"/>
    <cellStyle name="asd 37 3 6 15" xfId="30499"/>
    <cellStyle name="asd 37 3 6 16" xfId="31611"/>
    <cellStyle name="asd 37 3 6 17" xfId="34501"/>
    <cellStyle name="asd 37 3 6 18" xfId="36333"/>
    <cellStyle name="asd 37 3 6 19" xfId="38212"/>
    <cellStyle name="asd 37 3 6 2" xfId="6903"/>
    <cellStyle name="asd 37 3 6 20" xfId="38858"/>
    <cellStyle name="asd 37 3 6 21" xfId="40544"/>
    <cellStyle name="asd 37 3 6 22" xfId="43790"/>
    <cellStyle name="asd 37 3 6 3" xfId="8357"/>
    <cellStyle name="asd 37 3 6 4" xfId="10267"/>
    <cellStyle name="asd 37 3 6 5" xfId="12005"/>
    <cellStyle name="asd 37 3 6 6" xfId="14516"/>
    <cellStyle name="asd 37 3 6 7" xfId="16422"/>
    <cellStyle name="asd 37 3 6 8" xfId="17886"/>
    <cellStyle name="asd 37 3 6 9" xfId="19792"/>
    <cellStyle name="asd 37 3 7" xfId="3981"/>
    <cellStyle name="asd 37 3 8" xfId="9014"/>
    <cellStyle name="asd 37 3 9" xfId="11326"/>
    <cellStyle name="asd 37 4" xfId="3495"/>
    <cellStyle name="asd 37 4 10" xfId="14792"/>
    <cellStyle name="asd 37 4 11" xfId="16945"/>
    <cellStyle name="asd 37 4 12" xfId="18852"/>
    <cellStyle name="asd 37 4 13" xfId="20764"/>
    <cellStyle name="asd 37 4 14" xfId="22420"/>
    <cellStyle name="asd 37 4 15" xfId="24566"/>
    <cellStyle name="asd 37 4 16" xfId="26469"/>
    <cellStyle name="asd 37 4 17" xfId="29438"/>
    <cellStyle name="asd 37 4 18" xfId="30074"/>
    <cellStyle name="asd 37 4 19" xfId="32626"/>
    <cellStyle name="asd 37 4 2" xfId="3675"/>
    <cellStyle name="asd 37 4 2 10" xfId="17566"/>
    <cellStyle name="asd 37 4 2 11" xfId="19472"/>
    <cellStyle name="asd 37 4 2 12" xfId="21384"/>
    <cellStyle name="asd 37 4 2 13" xfId="23571"/>
    <cellStyle name="asd 37 4 2 14" xfId="25186"/>
    <cellStyle name="asd 37 4 2 15" xfId="27832"/>
    <cellStyle name="asd 37 4 2 16" xfId="28655"/>
    <cellStyle name="asd 37 4 2 17" xfId="31410"/>
    <cellStyle name="asd 37 4 2 18" xfId="32983"/>
    <cellStyle name="asd 37 4 2 19" xfId="33738"/>
    <cellStyle name="asd 37 4 2 2" xfId="4464"/>
    <cellStyle name="asd 37 4 2 2 10" xfId="20709"/>
    <cellStyle name="asd 37 4 2 2 11" xfId="22793"/>
    <cellStyle name="asd 37 4 2 2 12" xfId="24511"/>
    <cellStyle name="asd 37 4 2 2 13" xfId="27872"/>
    <cellStyle name="asd 37 4 2 2 14" xfId="28289"/>
    <cellStyle name="asd 37 4 2 2 15" xfId="31453"/>
    <cellStyle name="asd 37 4 2 2 16" xfId="32516"/>
    <cellStyle name="asd 37 4 2 2 17" xfId="33640"/>
    <cellStyle name="asd 37 4 2 2 18" xfId="35339"/>
    <cellStyle name="asd 37 4 2 2 19" xfId="37217"/>
    <cellStyle name="asd 37 4 2 2 2" xfId="2485"/>
    <cellStyle name="asd 37 4 2 2 20" xfId="39730"/>
    <cellStyle name="asd 37 4 2 2 21" xfId="41402"/>
    <cellStyle name="asd 37 4 2 2 22" xfId="42586"/>
    <cellStyle name="asd 37 4 2 2 3" xfId="2935"/>
    <cellStyle name="asd 37 4 2 2 4" xfId="9271"/>
    <cellStyle name="asd 37 4 2 2 5" xfId="12446"/>
    <cellStyle name="asd 37 4 2 2 6" xfId="13262"/>
    <cellStyle name="asd 37 4 2 2 7" xfId="15166"/>
    <cellStyle name="asd 37 4 2 2 8" xfId="16890"/>
    <cellStyle name="asd 37 4 2 2 9" xfId="18797"/>
    <cellStyle name="asd 37 4 2 20" xfId="36013"/>
    <cellStyle name="asd 37 4 2 21" xfId="37892"/>
    <cellStyle name="asd 37 4 2 22" xfId="40184"/>
    <cellStyle name="asd 37 4 2 23" xfId="41843"/>
    <cellStyle name="asd 37 4 2 24" xfId="43335"/>
    <cellStyle name="asd 37 4 2 3" xfId="5136"/>
    <cellStyle name="asd 37 4 2 4" xfId="6586"/>
    <cellStyle name="asd 37 4 2 5" xfId="8037"/>
    <cellStyle name="asd 37 4 2 6" xfId="9947"/>
    <cellStyle name="asd 37 4 2 7" xfId="12568"/>
    <cellStyle name="asd 37 4 2 8" xfId="14043"/>
    <cellStyle name="asd 37 4 2 9" xfId="15944"/>
    <cellStyle name="asd 37 4 20" xfId="33464"/>
    <cellStyle name="asd 37 4 21" xfId="35394"/>
    <cellStyle name="asd 37 4 22" xfId="37272"/>
    <cellStyle name="asd 37 4 23" xfId="39836"/>
    <cellStyle name="asd 37 4 24" xfId="41505"/>
    <cellStyle name="asd 37 4 25" xfId="42231"/>
    <cellStyle name="asd 37 4 3" xfId="2958"/>
    <cellStyle name="asd 37 4 3 10" xfId="19131"/>
    <cellStyle name="asd 37 4 3 11" xfId="21043"/>
    <cellStyle name="asd 37 4 3 12" xfId="23766"/>
    <cellStyle name="asd 37 4 3 13" xfId="24845"/>
    <cellStyle name="asd 37 4 3 14" xfId="26696"/>
    <cellStyle name="asd 37 4 3 15" xfId="28860"/>
    <cellStyle name="asd 37 4 3 16" xfId="30296"/>
    <cellStyle name="asd 37 4 3 17" xfId="32066"/>
    <cellStyle name="asd 37 4 3 18" xfId="34111"/>
    <cellStyle name="asd 37 4 3 19" xfId="35672"/>
    <cellStyle name="asd 37 4 3 2" xfId="5508"/>
    <cellStyle name="asd 37 4 3 2 10" xfId="21758"/>
    <cellStyle name="asd 37 4 3 2 11" xfId="23365"/>
    <cellStyle name="asd 37 4 3 2 12" xfId="25560"/>
    <cellStyle name="asd 37 4 3 2 13" xfId="11242"/>
    <cellStyle name="asd 37 4 3 2 14" xfId="2187"/>
    <cellStyle name="asd 37 4 3 2 15" xfId="11635"/>
    <cellStyle name="asd 37 4 3 2 16" xfId="27999"/>
    <cellStyle name="asd 37 4 3 2 17" xfId="26117"/>
    <cellStyle name="asd 37 4 3 2 18" xfId="36387"/>
    <cellStyle name="asd 37 4 3 2 19" xfId="38266"/>
    <cellStyle name="asd 37 4 3 2 2" xfId="6957"/>
    <cellStyle name="asd 37 4 3 2 20" xfId="32050"/>
    <cellStyle name="asd 37 4 3 2 21" xfId="24243"/>
    <cellStyle name="asd 37 4 3 2 22" xfId="43135"/>
    <cellStyle name="asd 37 4 3 2 3" xfId="8411"/>
    <cellStyle name="asd 37 4 3 2 4" xfId="10321"/>
    <cellStyle name="asd 37 4 3 2 5" xfId="12457"/>
    <cellStyle name="asd 37 4 3 2 6" xfId="13837"/>
    <cellStyle name="asd 37 4 3 2 7" xfId="15739"/>
    <cellStyle name="asd 37 4 3 2 8" xfId="17940"/>
    <cellStyle name="asd 37 4 3 2 9" xfId="19846"/>
    <cellStyle name="asd 37 4 3 20" xfId="37551"/>
    <cellStyle name="asd 37 4 3 21" xfId="39292"/>
    <cellStyle name="asd 37 4 3 22" xfId="40968"/>
    <cellStyle name="asd 37 4 3 23" xfId="43519"/>
    <cellStyle name="asd 37 4 3 3" xfId="4795"/>
    <cellStyle name="asd 37 4 3 4" xfId="7696"/>
    <cellStyle name="asd 37 4 3 5" xfId="9606"/>
    <cellStyle name="asd 37 4 3 6" xfId="12610"/>
    <cellStyle name="asd 37 4 3 7" xfId="14236"/>
    <cellStyle name="asd 37 4 3 8" xfId="16140"/>
    <cellStyle name="asd 37 4 3 9" xfId="17225"/>
    <cellStyle name="asd 37 4 4" xfId="4127"/>
    <cellStyle name="asd 37 4 4 10" xfId="19762"/>
    <cellStyle name="asd 37 4 4 11" xfId="21674"/>
    <cellStyle name="asd 37 4 4 12" xfId="23320"/>
    <cellStyle name="asd 37 4 4 13" xfId="25476"/>
    <cellStyle name="asd 37 4 4 14" xfId="26204"/>
    <cellStyle name="asd 37 4 4 15" xfId="28968"/>
    <cellStyle name="asd 37 4 4 16" xfId="29817"/>
    <cellStyle name="asd 37 4 4 17" xfId="32267"/>
    <cellStyle name="asd 37 4 4 18" xfId="34675"/>
    <cellStyle name="asd 37 4 4 19" xfId="36303"/>
    <cellStyle name="asd 37 4 4 2" xfId="6032"/>
    <cellStyle name="asd 37 4 4 2 10" xfId="22282"/>
    <cellStyle name="asd 37 4 4 2 11" xfId="23100"/>
    <cellStyle name="asd 37 4 4 2 12" xfId="26084"/>
    <cellStyle name="asd 37 4 4 2 13" xfId="26968"/>
    <cellStyle name="asd 37 4 4 2 14" xfId="29658"/>
    <cellStyle name="asd 37 4 4 2 15" xfId="30562"/>
    <cellStyle name="asd 37 4 4 2 16" xfId="32172"/>
    <cellStyle name="asd 37 4 4 2 17" xfId="34247"/>
    <cellStyle name="asd 37 4 4 2 18" xfId="36911"/>
    <cellStyle name="asd 37 4 4 2 19" xfId="38790"/>
    <cellStyle name="asd 37 4 4 2 2" xfId="7481"/>
    <cellStyle name="asd 37 4 4 2 20" xfId="39394"/>
    <cellStyle name="asd 37 4 4 2 21" xfId="41070"/>
    <cellStyle name="asd 37 4 4 2 22" xfId="42880"/>
    <cellStyle name="asd 37 4 4 2 3" xfId="8935"/>
    <cellStyle name="asd 37 4 4 2 4" xfId="10845"/>
    <cellStyle name="asd 37 4 4 2 5" xfId="12712"/>
    <cellStyle name="asd 37 4 4 2 6" xfId="13571"/>
    <cellStyle name="asd 37 4 4 2 7" xfId="15474"/>
    <cellStyle name="asd 37 4 4 2 8" xfId="18464"/>
    <cellStyle name="asd 37 4 4 2 9" xfId="20370"/>
    <cellStyle name="asd 37 4 4 20" xfId="38182"/>
    <cellStyle name="asd 37 4 4 21" xfId="39485"/>
    <cellStyle name="asd 37 4 4 22" xfId="41160"/>
    <cellStyle name="asd 37 4 4 23" xfId="43091"/>
    <cellStyle name="asd 37 4 4 3" xfId="6873"/>
    <cellStyle name="asd 37 4 4 4" xfId="8327"/>
    <cellStyle name="asd 37 4 4 5" xfId="10237"/>
    <cellStyle name="asd 37 4 4 6" xfId="11196"/>
    <cellStyle name="asd 37 4 4 7" xfId="13792"/>
    <cellStyle name="asd 37 4 4 8" xfId="15694"/>
    <cellStyle name="asd 37 4 4 9" xfId="17856"/>
    <cellStyle name="asd 37 4 5" xfId="5719"/>
    <cellStyle name="asd 37 4 5 10" xfId="21969"/>
    <cellStyle name="asd 37 4 5 11" xfId="23522"/>
    <cellStyle name="asd 37 4 5 12" xfId="25771"/>
    <cellStyle name="asd 37 4 5 13" xfId="26929"/>
    <cellStyle name="asd 37 4 5 14" xfId="22352"/>
    <cellStyle name="asd 37 4 5 15" xfId="30523"/>
    <cellStyle name="asd 37 4 5 16" xfId="2895"/>
    <cellStyle name="asd 37 4 5 17" xfId="2612"/>
    <cellStyle name="asd 37 4 5 18" xfId="36598"/>
    <cellStyle name="asd 37 4 5 19" xfId="38477"/>
    <cellStyle name="asd 37 4 5 2" xfId="7168"/>
    <cellStyle name="asd 37 4 5 20" xfId="16307"/>
    <cellStyle name="asd 37 4 5 21" xfId="31259"/>
    <cellStyle name="asd 37 4 5 22" xfId="43287"/>
    <cellStyle name="asd 37 4 5 3" xfId="8622"/>
    <cellStyle name="asd 37 4 5 4" xfId="10532"/>
    <cellStyle name="asd 37 4 5 5" xfId="12364"/>
    <cellStyle name="asd 37 4 5 6" xfId="13994"/>
    <cellStyle name="asd 37 4 5 7" xfId="15895"/>
    <cellStyle name="asd 37 4 5 8" xfId="18151"/>
    <cellStyle name="asd 37 4 5 9" xfId="20057"/>
    <cellStyle name="asd 37 4 6" xfId="1878"/>
    <cellStyle name="asd 37 4 7" xfId="9326"/>
    <cellStyle name="asd 37 4 8" xfId="11590"/>
    <cellStyle name="asd 37 4 9" xfId="12887"/>
    <cellStyle name="asd 37 5" xfId="2335"/>
    <cellStyle name="asd 37 5 10" xfId="17148"/>
    <cellStyle name="asd 37 5 11" xfId="19054"/>
    <cellStyle name="asd 37 5 12" xfId="20966"/>
    <cellStyle name="asd 37 5 13" xfId="23341"/>
    <cellStyle name="asd 37 5 14" xfId="24768"/>
    <cellStyle name="asd 37 5 15" xfId="27290"/>
    <cellStyle name="asd 37 5 16" xfId="29641"/>
    <cellStyle name="asd 37 5 17" xfId="30881"/>
    <cellStyle name="asd 37 5 18" xfId="32129"/>
    <cellStyle name="asd 37 5 19" xfId="33751"/>
    <cellStyle name="asd 37 5 2" xfId="5477"/>
    <cellStyle name="asd 37 5 2 10" xfId="21727"/>
    <cellStyle name="asd 37 5 2 11" xfId="23170"/>
    <cellStyle name="asd 37 5 2 12" xfId="25529"/>
    <cellStyle name="asd 37 5 2 13" xfId="26752"/>
    <cellStyle name="asd 37 5 2 14" xfId="1930"/>
    <cellStyle name="asd 37 5 2 15" xfId="30351"/>
    <cellStyle name="asd 37 5 2 16" xfId="31912"/>
    <cellStyle name="asd 37 5 2 17" xfId="34607"/>
    <cellStyle name="asd 37 5 2 18" xfId="36356"/>
    <cellStyle name="asd 37 5 2 19" xfId="38235"/>
    <cellStyle name="asd 37 5 2 2" xfId="6926"/>
    <cellStyle name="asd 37 5 2 20" xfId="39144"/>
    <cellStyle name="asd 37 5 2 21" xfId="40825"/>
    <cellStyle name="asd 37 5 2 22" xfId="42948"/>
    <cellStyle name="asd 37 5 2 3" xfId="8380"/>
    <cellStyle name="asd 37 5 2 4" xfId="10290"/>
    <cellStyle name="asd 37 5 2 5" xfId="10986"/>
    <cellStyle name="asd 37 5 2 6" xfId="13641"/>
    <cellStyle name="asd 37 5 2 7" xfId="15544"/>
    <cellStyle name="asd 37 5 2 8" xfId="17909"/>
    <cellStyle name="asd 37 5 2 9" xfId="19815"/>
    <cellStyle name="asd 37 5 20" xfId="35595"/>
    <cellStyle name="asd 37 5 21" xfId="37474"/>
    <cellStyle name="asd 37 5 22" xfId="39352"/>
    <cellStyle name="asd 37 5 23" xfId="41028"/>
    <cellStyle name="asd 37 5 24" xfId="43111"/>
    <cellStyle name="asd 37 5 3" xfId="4720"/>
    <cellStyle name="asd 37 5 4" xfId="6168"/>
    <cellStyle name="asd 37 5 5" xfId="7619"/>
    <cellStyle name="asd 37 5 6" xfId="9529"/>
    <cellStyle name="asd 37 5 7" xfId="12170"/>
    <cellStyle name="asd 37 5 8" xfId="13813"/>
    <cellStyle name="asd 37 5 9" xfId="15715"/>
    <cellStyle name="asd 37 6" xfId="2342"/>
    <cellStyle name="asd 37 6 10" xfId="19055"/>
    <cellStyle name="asd 37 6 11" xfId="20967"/>
    <cellStyle name="asd 37 6 12" xfId="23609"/>
    <cellStyle name="asd 37 6 13" xfId="24769"/>
    <cellStyle name="asd 37 6 14" xfId="26947"/>
    <cellStyle name="asd 37 6 15" xfId="28223"/>
    <cellStyle name="asd 37 6 16" xfId="30541"/>
    <cellStyle name="asd 37 6 17" xfId="32692"/>
    <cellStyle name="asd 37 6 18" xfId="33412"/>
    <cellStyle name="asd 37 6 19" xfId="35596"/>
    <cellStyle name="asd 37 6 2" xfId="4479"/>
    <cellStyle name="asd 37 6 2 10" xfId="20724"/>
    <cellStyle name="asd 37 6 2 11" xfId="24136"/>
    <cellStyle name="asd 37 6 2 12" xfId="24526"/>
    <cellStyle name="asd 37 6 2 13" xfId="27854"/>
    <cellStyle name="asd 37 6 2 14" xfId="28165"/>
    <cellStyle name="asd 37 6 2 15" xfId="31433"/>
    <cellStyle name="asd 37 6 2 16" xfId="33011"/>
    <cellStyle name="asd 37 6 2 17" xfId="33662"/>
    <cellStyle name="asd 37 6 2 18" xfId="35354"/>
    <cellStyle name="asd 37 6 2 19" xfId="37232"/>
    <cellStyle name="asd 37 6 2 2" xfId="4397"/>
    <cellStyle name="asd 37 6 2 20" xfId="40211"/>
    <cellStyle name="asd 37 6 2 21" xfId="41870"/>
    <cellStyle name="asd 37 6 2 22" xfId="43879"/>
    <cellStyle name="asd 37 6 2 3" xfId="5440"/>
    <cellStyle name="asd 37 6 2 4" xfId="9286"/>
    <cellStyle name="asd 37 6 2 5" xfId="12096"/>
    <cellStyle name="asd 37 6 2 6" xfId="14607"/>
    <cellStyle name="asd 37 6 2 7" xfId="16513"/>
    <cellStyle name="asd 37 6 2 8" xfId="16905"/>
    <cellStyle name="asd 37 6 2 9" xfId="18812"/>
    <cellStyle name="asd 37 6 20" xfId="37475"/>
    <cellStyle name="asd 37 6 21" xfId="39900"/>
    <cellStyle name="asd 37 6 22" xfId="41569"/>
    <cellStyle name="asd 37 6 23" xfId="43367"/>
    <cellStyle name="asd 37 6 3" xfId="4721"/>
    <cellStyle name="asd 37 6 4" xfId="7620"/>
    <cellStyle name="asd 37 6 5" xfId="9530"/>
    <cellStyle name="asd 37 6 6" xfId="11739"/>
    <cellStyle name="asd 37 6 7" xfId="14079"/>
    <cellStyle name="asd 37 6 8" xfId="15982"/>
    <cellStyle name="asd 37 6 9" xfId="17149"/>
    <cellStyle name="asd 37 7" xfId="2050"/>
    <cellStyle name="asd 37 7 10" xfId="19005"/>
    <cellStyle name="asd 37 7 11" xfId="20917"/>
    <cellStyle name="asd 37 7 12" xfId="22906"/>
    <cellStyle name="asd 37 7 13" xfId="24719"/>
    <cellStyle name="asd 37 7 14" xfId="26503"/>
    <cellStyle name="asd 37 7 15" xfId="29115"/>
    <cellStyle name="asd 37 7 16" xfId="30109"/>
    <cellStyle name="asd 37 7 17" xfId="31631"/>
    <cellStyle name="asd 37 7 18" xfId="34606"/>
    <cellStyle name="asd 37 7 19" xfId="35546"/>
    <cellStyle name="asd 37 7 2" xfId="2476"/>
    <cellStyle name="asd 37 7 2 10" xfId="20538"/>
    <cellStyle name="asd 37 7 2 11" xfId="23380"/>
    <cellStyle name="asd 37 7 2 12" xfId="24340"/>
    <cellStyle name="asd 37 7 2 13" xfId="26182"/>
    <cellStyle name="asd 37 7 2 14" xfId="8980"/>
    <cellStyle name="asd 37 7 2 15" xfId="29795"/>
    <cellStyle name="asd 37 7 2 16" xfId="28181"/>
    <cellStyle name="asd 37 7 2 17" xfId="31034"/>
    <cellStyle name="asd 37 7 2 18" xfId="35168"/>
    <cellStyle name="asd 37 7 2 19" xfId="37046"/>
    <cellStyle name="asd 37 7 2 2" xfId="4602"/>
    <cellStyle name="asd 37 7 2 20" xfId="33116"/>
    <cellStyle name="asd 37 7 2 21" xfId="28829"/>
    <cellStyle name="asd 37 7 2 22" xfId="43147"/>
    <cellStyle name="asd 37 7 2 3" xfId="1918"/>
    <cellStyle name="asd 37 7 2 4" xfId="9100"/>
    <cellStyle name="asd 37 7 2 5" xfId="11263"/>
    <cellStyle name="asd 37 7 2 6" xfId="13852"/>
    <cellStyle name="asd 37 7 2 7" xfId="15753"/>
    <cellStyle name="asd 37 7 2 8" xfId="16719"/>
    <cellStyle name="asd 37 7 2 9" xfId="18626"/>
    <cellStyle name="asd 37 7 20" xfId="37425"/>
    <cellStyle name="asd 37 7 21" xfId="38878"/>
    <cellStyle name="asd 37 7 22" xfId="40563"/>
    <cellStyle name="asd 37 7 23" xfId="42692"/>
    <cellStyle name="asd 37 7 3" xfId="6119"/>
    <cellStyle name="asd 37 7 4" xfId="7570"/>
    <cellStyle name="asd 37 7 5" xfId="9480"/>
    <cellStyle name="asd 37 7 6" xfId="2499"/>
    <cellStyle name="asd 37 7 7" xfId="13374"/>
    <cellStyle name="asd 37 7 8" xfId="15279"/>
    <cellStyle name="asd 37 7 9" xfId="17099"/>
    <cellStyle name="asd 37 8" xfId="2720"/>
    <cellStyle name="asd 37 9" xfId="1967"/>
    <cellStyle name="asd 38" xfId="965"/>
    <cellStyle name="asd 38 10" xfId="2803"/>
    <cellStyle name="asd 38 11" xfId="2030"/>
    <cellStyle name="asd 38 12" xfId="3769"/>
    <cellStyle name="asd 38 13" xfId="2978"/>
    <cellStyle name="asd 38 14" xfId="1780"/>
    <cellStyle name="asd 38 15" xfId="16610"/>
    <cellStyle name="asd 38 16" xfId="2734"/>
    <cellStyle name="asd 38 17" xfId="6619"/>
    <cellStyle name="asd 38 18" xfId="1986"/>
    <cellStyle name="asd 38 19" xfId="4546"/>
    <cellStyle name="asd 38 2" xfId="3390"/>
    <cellStyle name="asd 38 2 10" xfId="12844"/>
    <cellStyle name="asd 38 2 11" xfId="14749"/>
    <cellStyle name="asd 38 2 12" xfId="16722"/>
    <cellStyle name="asd 38 2 13" xfId="18629"/>
    <cellStyle name="asd 38 2 14" xfId="20541"/>
    <cellStyle name="asd 38 2 15" xfId="22377"/>
    <cellStyle name="asd 38 2 16" xfId="24343"/>
    <cellStyle name="asd 38 2 17" xfId="27961"/>
    <cellStyle name="asd 38 2 18" xfId="29636"/>
    <cellStyle name="asd 38 2 19" xfId="31540"/>
    <cellStyle name="asd 38 2 2" xfId="3570"/>
    <cellStyle name="asd 38 2 2 10" xfId="17461"/>
    <cellStyle name="asd 38 2 2 11" xfId="19367"/>
    <cellStyle name="asd 38 2 2 12" xfId="21279"/>
    <cellStyle name="asd 38 2 2 13" xfId="23916"/>
    <cellStyle name="asd 38 2 2 14" xfId="25081"/>
    <cellStyle name="asd 38 2 2 15" xfId="26822"/>
    <cellStyle name="asd 38 2 2 16" xfId="12819"/>
    <cellStyle name="asd 38 2 2 17" xfId="30421"/>
    <cellStyle name="asd 38 2 2 18" xfId="31975"/>
    <cellStyle name="asd 38 2 2 19" xfId="34119"/>
    <cellStyle name="asd 38 2 2 2" xfId="5533"/>
    <cellStyle name="asd 38 2 2 2 10" xfId="21783"/>
    <cellStyle name="asd 38 2 2 2 11" xfId="23888"/>
    <cellStyle name="asd 38 2 2 2 12" xfId="25585"/>
    <cellStyle name="asd 38 2 2 2 13" xfId="27693"/>
    <cellStyle name="asd 38 2 2 2 14" xfId="28029"/>
    <cellStyle name="asd 38 2 2 2 15" xfId="31267"/>
    <cellStyle name="asd 38 2 2 2 16" xfId="32590"/>
    <cellStyle name="asd 38 2 2 2 17" xfId="33833"/>
    <cellStyle name="asd 38 2 2 2 18" xfId="36412"/>
    <cellStyle name="asd 38 2 2 2 19" xfId="38291"/>
    <cellStyle name="asd 38 2 2 2 2" xfId="6982"/>
    <cellStyle name="asd 38 2 2 2 20" xfId="39801"/>
    <cellStyle name="asd 38 2 2 2 21" xfId="41470"/>
    <cellStyle name="asd 38 2 2 2 22" xfId="43638"/>
    <cellStyle name="asd 38 2 2 2 3" xfId="8436"/>
    <cellStyle name="asd 38 2 2 2 4" xfId="10346"/>
    <cellStyle name="asd 38 2 2 2 5" xfId="11804"/>
    <cellStyle name="asd 38 2 2 2 6" xfId="14358"/>
    <cellStyle name="asd 38 2 2 2 7" xfId="16263"/>
    <cellStyle name="asd 38 2 2 2 8" xfId="17965"/>
    <cellStyle name="asd 38 2 2 2 9" xfId="19871"/>
    <cellStyle name="asd 38 2 2 20" xfId="35908"/>
    <cellStyle name="asd 38 2 2 21" xfId="37787"/>
    <cellStyle name="asd 38 2 2 22" xfId="39205"/>
    <cellStyle name="asd 38 2 2 23" xfId="40886"/>
    <cellStyle name="asd 38 2 2 24" xfId="43662"/>
    <cellStyle name="asd 38 2 2 3" xfId="5031"/>
    <cellStyle name="asd 38 2 2 4" xfId="6481"/>
    <cellStyle name="asd 38 2 2 5" xfId="7932"/>
    <cellStyle name="asd 38 2 2 6" xfId="9842"/>
    <cellStyle name="asd 38 2 2 7" xfId="11875"/>
    <cellStyle name="asd 38 2 2 8" xfId="14384"/>
    <cellStyle name="asd 38 2 2 9" xfId="16290"/>
    <cellStyle name="asd 38 2 20" xfId="8988"/>
    <cellStyle name="asd 38 2 21" xfId="28371"/>
    <cellStyle name="asd 38 2 22" xfId="35171"/>
    <cellStyle name="asd 38 2 23" xfId="37049"/>
    <cellStyle name="asd 38 2 24" xfId="35073"/>
    <cellStyle name="asd 38 2 25" xfId="39493"/>
    <cellStyle name="asd 38 2 26" xfId="42188"/>
    <cellStyle name="asd 38 2 3" xfId="3917"/>
    <cellStyle name="asd 38 2 3 10" xfId="19613"/>
    <cellStyle name="asd 38 2 3 11" xfId="21525"/>
    <cellStyle name="asd 38 2 3 12" xfId="23488"/>
    <cellStyle name="asd 38 2 3 13" xfId="25327"/>
    <cellStyle name="asd 38 2 3 14" xfId="27589"/>
    <cellStyle name="asd 38 2 3 15" xfId="2155"/>
    <cellStyle name="asd 38 2 3 16" xfId="31168"/>
    <cellStyle name="asd 38 2 3 17" xfId="32398"/>
    <cellStyle name="asd 38 2 3 18" xfId="33459"/>
    <cellStyle name="asd 38 2 3 19" xfId="36154"/>
    <cellStyle name="asd 38 2 3 2" xfId="5883"/>
    <cellStyle name="asd 38 2 3 2 10" xfId="22133"/>
    <cellStyle name="asd 38 2 3 2 11" xfId="24172"/>
    <cellStyle name="asd 38 2 3 2 12" xfId="25935"/>
    <cellStyle name="asd 38 2 3 2 13" xfId="27166"/>
    <cellStyle name="asd 38 2 3 2 14" xfId="28294"/>
    <cellStyle name="asd 38 2 3 2 15" xfId="30757"/>
    <cellStyle name="asd 38 2 3 2 16" xfId="32848"/>
    <cellStyle name="asd 38 2 3 2 17" xfId="34456"/>
    <cellStyle name="asd 38 2 3 2 18" xfId="36762"/>
    <cellStyle name="asd 38 2 3 2 19" xfId="38641"/>
    <cellStyle name="asd 38 2 3 2 2" xfId="7332"/>
    <cellStyle name="asd 38 2 3 2 20" xfId="40055"/>
    <cellStyle name="asd 38 2 3 2 21" xfId="41719"/>
    <cellStyle name="asd 38 2 3 2 22" xfId="43914"/>
    <cellStyle name="asd 38 2 3 2 3" xfId="8786"/>
    <cellStyle name="asd 38 2 3 2 4" xfId="10696"/>
    <cellStyle name="asd 38 2 3 2 5" xfId="12132"/>
    <cellStyle name="asd 38 2 3 2 6" xfId="14643"/>
    <cellStyle name="asd 38 2 3 2 7" xfId="16549"/>
    <cellStyle name="asd 38 2 3 2 8" xfId="18315"/>
    <cellStyle name="asd 38 2 3 2 9" xfId="20221"/>
    <cellStyle name="asd 38 2 3 20" xfId="38033"/>
    <cellStyle name="asd 38 2 3 21" xfId="39615"/>
    <cellStyle name="asd 38 2 3 22" xfId="41289"/>
    <cellStyle name="asd 38 2 3 23" xfId="43254"/>
    <cellStyle name="asd 38 2 3 3" xfId="5277"/>
    <cellStyle name="asd 38 2 3 4" xfId="8178"/>
    <cellStyle name="asd 38 2 3 5" xfId="10088"/>
    <cellStyle name="asd 38 2 3 6" xfId="12563"/>
    <cellStyle name="asd 38 2 3 7" xfId="13960"/>
    <cellStyle name="asd 38 2 3 8" xfId="15861"/>
    <cellStyle name="asd 38 2 3 9" xfId="17707"/>
    <cellStyle name="asd 38 2 4" xfId="4022"/>
    <cellStyle name="asd 38 2 4 10" xfId="19657"/>
    <cellStyle name="asd 38 2 4 11" xfId="21569"/>
    <cellStyle name="asd 38 2 4 12" xfId="22574"/>
    <cellStyle name="asd 38 2 4 13" xfId="25371"/>
    <cellStyle name="asd 38 2 4 14" xfId="27816"/>
    <cellStyle name="asd 38 2 4 15" xfId="2762"/>
    <cellStyle name="asd 38 2 4 16" xfId="31394"/>
    <cellStyle name="asd 38 2 4 17" xfId="32721"/>
    <cellStyle name="asd 38 2 4 18" xfId="33823"/>
    <cellStyle name="asd 38 2 4 19" xfId="36198"/>
    <cellStyle name="asd 38 2 4 2" xfId="5927"/>
    <cellStyle name="asd 38 2 4 2 10" xfId="22177"/>
    <cellStyle name="asd 38 2 4 2 11" xfId="22363"/>
    <cellStyle name="asd 38 2 4 2 12" xfId="25979"/>
    <cellStyle name="asd 38 2 4 2 13" xfId="27494"/>
    <cellStyle name="asd 38 2 4 2 14" xfId="24180"/>
    <cellStyle name="asd 38 2 4 2 15" xfId="31080"/>
    <cellStyle name="asd 38 2 4 2 16" xfId="33212"/>
    <cellStyle name="asd 38 2 4 2 17" xfId="34777"/>
    <cellStyle name="asd 38 2 4 2 18" xfId="36806"/>
    <cellStyle name="asd 38 2 4 2 19" xfId="38685"/>
    <cellStyle name="asd 38 2 4 2 2" xfId="7376"/>
    <cellStyle name="asd 38 2 4 2 20" xfId="40401"/>
    <cellStyle name="asd 38 2 4 2 21" xfId="42057"/>
    <cellStyle name="asd 38 2 4 2 22" xfId="42175"/>
    <cellStyle name="asd 38 2 4 2 3" xfId="8830"/>
    <cellStyle name="asd 38 2 4 2 4" xfId="10740"/>
    <cellStyle name="asd 38 2 4 2 5" xfId="11464"/>
    <cellStyle name="asd 38 2 4 2 6" xfId="12830"/>
    <cellStyle name="asd 38 2 4 2 7" xfId="14735"/>
    <cellStyle name="asd 38 2 4 2 8" xfId="18359"/>
    <cellStyle name="asd 38 2 4 2 9" xfId="20265"/>
    <cellStyle name="asd 38 2 4 20" xfId="38077"/>
    <cellStyle name="asd 38 2 4 21" xfId="39931"/>
    <cellStyle name="asd 38 2 4 22" xfId="41597"/>
    <cellStyle name="asd 38 2 4 23" xfId="42383"/>
    <cellStyle name="asd 38 2 4 3" xfId="6768"/>
    <cellStyle name="asd 38 2 4 4" xfId="8222"/>
    <cellStyle name="asd 38 2 4 5" xfId="10132"/>
    <cellStyle name="asd 38 2 4 6" xfId="11363"/>
    <cellStyle name="asd 38 2 4 7" xfId="13042"/>
    <cellStyle name="asd 38 2 4 8" xfId="14946"/>
    <cellStyle name="asd 38 2 4 9" xfId="17751"/>
    <cellStyle name="asd 38 2 5" xfId="4890"/>
    <cellStyle name="asd 38 2 5 10" xfId="21138"/>
    <cellStyle name="asd 38 2 5 11" xfId="23649"/>
    <cellStyle name="asd 38 2 5 12" xfId="24940"/>
    <cellStyle name="asd 38 2 5 13" xfId="26700"/>
    <cellStyle name="asd 38 2 5 14" xfId="6688"/>
    <cellStyle name="asd 38 2 5 15" xfId="30300"/>
    <cellStyle name="asd 38 2 5 16" xfId="28197"/>
    <cellStyle name="asd 38 2 5 17" xfId="33371"/>
    <cellStyle name="asd 38 2 5 18" xfId="35767"/>
    <cellStyle name="asd 38 2 5 19" xfId="37646"/>
    <cellStyle name="asd 38 2 5 2" xfId="6340"/>
    <cellStyle name="asd 38 2 5 20" xfId="29229"/>
    <cellStyle name="asd 38 2 5 21" xfId="12806"/>
    <cellStyle name="asd 38 2 5 22" xfId="43407"/>
    <cellStyle name="asd 38 2 5 3" xfId="7791"/>
    <cellStyle name="asd 38 2 5 4" xfId="9701"/>
    <cellStyle name="asd 38 2 5 5" xfId="11489"/>
    <cellStyle name="asd 38 2 5 6" xfId="14119"/>
    <cellStyle name="asd 38 2 5 7" xfId="16022"/>
    <cellStyle name="asd 38 2 5 8" xfId="17320"/>
    <cellStyle name="asd 38 2 5 9" xfId="19226"/>
    <cellStyle name="asd 38 2 6" xfId="5549"/>
    <cellStyle name="asd 38 2 6 10" xfId="21799"/>
    <cellStyle name="asd 38 2 6 11" xfId="22965"/>
    <cellStyle name="asd 38 2 6 12" xfId="25601"/>
    <cellStyle name="asd 38 2 6 13" xfId="27906"/>
    <cellStyle name="asd 38 2 6 14" xfId="26474"/>
    <cellStyle name="asd 38 2 6 15" xfId="31488"/>
    <cellStyle name="asd 38 2 6 16" xfId="32431"/>
    <cellStyle name="asd 38 2 6 17" xfId="2595"/>
    <cellStyle name="asd 38 2 6 18" xfId="36428"/>
    <cellStyle name="asd 38 2 6 19" xfId="38307"/>
    <cellStyle name="asd 38 2 6 2" xfId="6998"/>
    <cellStyle name="asd 38 2 6 20" xfId="39648"/>
    <cellStyle name="asd 38 2 6 21" xfId="41322"/>
    <cellStyle name="asd 38 2 6 22" xfId="42751"/>
    <cellStyle name="asd 38 2 6 3" xfId="8452"/>
    <cellStyle name="asd 38 2 6 4" xfId="10362"/>
    <cellStyle name="asd 38 2 6 5" xfId="12276"/>
    <cellStyle name="asd 38 2 6 6" xfId="13434"/>
    <cellStyle name="asd 38 2 6 7" xfId="15339"/>
    <cellStyle name="asd 38 2 6 8" xfId="17981"/>
    <cellStyle name="asd 38 2 6 9" xfId="19887"/>
    <cellStyle name="asd 38 2 7" xfId="3049"/>
    <cellStyle name="asd 38 2 8" xfId="9103"/>
    <cellStyle name="asd 38 2 9" xfId="2108"/>
    <cellStyle name="asd 38 20" xfId="2066"/>
    <cellStyle name="asd 38 21" xfId="12797"/>
    <cellStyle name="asd 38 22" xfId="29214"/>
    <cellStyle name="asd 38 23" xfId="3955"/>
    <cellStyle name="asd 38 24" xfId="22853"/>
    <cellStyle name="asd 38 25" xfId="31472"/>
    <cellStyle name="asd 38 26" xfId="35064"/>
    <cellStyle name="asd 38 27" xfId="15153"/>
    <cellStyle name="asd 38 3" xfId="3486"/>
    <cellStyle name="asd 38 3 10" xfId="14118"/>
    <cellStyle name="asd 38 3 11" xfId="16021"/>
    <cellStyle name="asd 38 3 12" xfId="16924"/>
    <cellStyle name="asd 38 3 13" xfId="18831"/>
    <cellStyle name="asd 38 3 14" xfId="20743"/>
    <cellStyle name="asd 38 3 15" xfId="23648"/>
    <cellStyle name="asd 38 3 16" xfId="24545"/>
    <cellStyle name="asd 38 3 17" xfId="26377"/>
    <cellStyle name="asd 38 3 18" xfId="28643"/>
    <cellStyle name="asd 38 3 19" xfId="29985"/>
    <cellStyle name="asd 38 3 2" xfId="3666"/>
    <cellStyle name="asd 38 3 2 10" xfId="17557"/>
    <cellStyle name="asd 38 3 2 11" xfId="19463"/>
    <cellStyle name="asd 38 3 2 12" xfId="21375"/>
    <cellStyle name="asd 38 3 2 13" xfId="23478"/>
    <cellStyle name="asd 38 3 2 14" xfId="25177"/>
    <cellStyle name="asd 38 3 2 15" xfId="26395"/>
    <cellStyle name="asd 38 3 2 16" xfId="29072"/>
    <cellStyle name="asd 38 3 2 17" xfId="30003"/>
    <cellStyle name="asd 38 3 2 18" xfId="33186"/>
    <cellStyle name="asd 38 3 2 19" xfId="34479"/>
    <cellStyle name="asd 38 3 2 2" xfId="5589"/>
    <cellStyle name="asd 38 3 2 2 10" xfId="21839"/>
    <cellStyle name="asd 38 3 2 2 11" xfId="22786"/>
    <cellStyle name="asd 38 3 2 2 12" xfId="25641"/>
    <cellStyle name="asd 38 3 2 2 13" xfId="27618"/>
    <cellStyle name="asd 38 3 2 2 14" xfId="28095"/>
    <cellStyle name="asd 38 3 2 2 15" xfId="31196"/>
    <cellStyle name="asd 38 3 2 2 16" xfId="32656"/>
    <cellStyle name="asd 38 3 2 2 17" xfId="33449"/>
    <cellStyle name="asd 38 3 2 2 18" xfId="36468"/>
    <cellStyle name="asd 38 3 2 2 19" xfId="38347"/>
    <cellStyle name="asd 38 3 2 2 2" xfId="7038"/>
    <cellStyle name="asd 38 3 2 2 20" xfId="39863"/>
    <cellStyle name="asd 38 3 2 2 21" xfId="41532"/>
    <cellStyle name="asd 38 3 2 2 22" xfId="42579"/>
    <cellStyle name="asd 38 3 2 2 3" xfId="8492"/>
    <cellStyle name="asd 38 3 2 2 4" xfId="10402"/>
    <cellStyle name="asd 38 3 2 2 5" xfId="12478"/>
    <cellStyle name="asd 38 3 2 2 6" xfId="13255"/>
    <cellStyle name="asd 38 3 2 2 7" xfId="15159"/>
    <cellStyle name="asd 38 3 2 2 8" xfId="18021"/>
    <cellStyle name="asd 38 3 2 2 9" xfId="19927"/>
    <cellStyle name="asd 38 3 2 20" xfId="36004"/>
    <cellStyle name="asd 38 3 2 21" xfId="37883"/>
    <cellStyle name="asd 38 3 2 22" xfId="40377"/>
    <cellStyle name="asd 38 3 2 23" xfId="42033"/>
    <cellStyle name="asd 38 3 2 24" xfId="43245"/>
    <cellStyle name="asd 38 3 2 3" xfId="5127"/>
    <cellStyle name="asd 38 3 2 4" xfId="6577"/>
    <cellStyle name="asd 38 3 2 5" xfId="8028"/>
    <cellStyle name="asd 38 3 2 6" xfId="9938"/>
    <cellStyle name="asd 38 3 2 7" xfId="12333"/>
    <cellStyle name="asd 38 3 2 8" xfId="13950"/>
    <cellStyle name="asd 38 3 2 9" xfId="15851"/>
    <cellStyle name="asd 38 3 20" xfId="31602"/>
    <cellStyle name="asd 38 3 21" xfId="35028"/>
    <cellStyle name="asd 38 3 22" xfId="35373"/>
    <cellStyle name="asd 38 3 23" xfId="37251"/>
    <cellStyle name="asd 38 3 24" xfId="38849"/>
    <cellStyle name="asd 38 3 25" xfId="40535"/>
    <cellStyle name="asd 38 3 26" xfId="43406"/>
    <cellStyle name="asd 38 3 3" xfId="3881"/>
    <cellStyle name="asd 38 3 3 10" xfId="19590"/>
    <cellStyle name="asd 38 3 3 11" xfId="21502"/>
    <cellStyle name="asd 38 3 3 12" xfId="23313"/>
    <cellStyle name="asd 38 3 3 13" xfId="25304"/>
    <cellStyle name="asd 38 3 3 14" xfId="26330"/>
    <cellStyle name="asd 38 3 3 15" xfId="29002"/>
    <cellStyle name="asd 38 3 3 16" xfId="29938"/>
    <cellStyle name="asd 38 3 3 17" xfId="32681"/>
    <cellStyle name="asd 38 3 3 18" xfId="34398"/>
    <cellStyle name="asd 38 3 3 19" xfId="36131"/>
    <cellStyle name="asd 38 3 3 2" xfId="5860"/>
    <cellStyle name="asd 38 3 3 2 10" xfId="22110"/>
    <cellStyle name="asd 38 3 3 2 11" xfId="23515"/>
    <cellStyle name="asd 38 3 3 2 12" xfId="25912"/>
    <cellStyle name="asd 38 3 3 2 13" xfId="27295"/>
    <cellStyle name="asd 38 3 3 2 14" xfId="28237"/>
    <cellStyle name="asd 38 3 3 2 15" xfId="30885"/>
    <cellStyle name="asd 38 3 3 2 16" xfId="32090"/>
    <cellStyle name="asd 38 3 3 2 17" xfId="33815"/>
    <cellStyle name="asd 38 3 3 2 18" xfId="36739"/>
    <cellStyle name="asd 38 3 3 2 19" xfId="38618"/>
    <cellStyle name="asd 38 3 3 2 2" xfId="7309"/>
    <cellStyle name="asd 38 3 3 2 20" xfId="39314"/>
    <cellStyle name="asd 38 3 3 2 21" xfId="40990"/>
    <cellStyle name="asd 38 3 3 2 22" xfId="43280"/>
    <cellStyle name="asd 38 3 3 2 3" xfId="8763"/>
    <cellStyle name="asd 38 3 3 2 4" xfId="10673"/>
    <cellStyle name="asd 38 3 3 2 5" xfId="12507"/>
    <cellStyle name="asd 38 3 3 2 6" xfId="13987"/>
    <cellStyle name="asd 38 3 3 2 7" xfId="15888"/>
    <cellStyle name="asd 38 3 3 2 8" xfId="18292"/>
    <cellStyle name="asd 38 3 3 2 9" xfId="20198"/>
    <cellStyle name="asd 38 3 3 20" xfId="38010"/>
    <cellStyle name="asd 38 3 3 21" xfId="39889"/>
    <cellStyle name="asd 38 3 3 22" xfId="41558"/>
    <cellStyle name="asd 38 3 3 23" xfId="43085"/>
    <cellStyle name="asd 38 3 3 3" xfId="5254"/>
    <cellStyle name="asd 38 3 3 4" xfId="8155"/>
    <cellStyle name="asd 38 3 3 5" xfId="10065"/>
    <cellStyle name="asd 38 3 3 6" xfId="12187"/>
    <cellStyle name="asd 38 3 3 7" xfId="13785"/>
    <cellStyle name="asd 38 3 3 8" xfId="15687"/>
    <cellStyle name="asd 38 3 3 9" xfId="17684"/>
    <cellStyle name="asd 38 3 4" xfId="4118"/>
    <cellStyle name="asd 38 3 4 10" xfId="19753"/>
    <cellStyle name="asd 38 3 4 11" xfId="21665"/>
    <cellStyle name="asd 38 3 4 12" xfId="22999"/>
    <cellStyle name="asd 38 3 4 13" xfId="25467"/>
    <cellStyle name="asd 38 3 4 14" xfId="27768"/>
    <cellStyle name="asd 38 3 4 15" xfId="28973"/>
    <cellStyle name="asd 38 3 4 16" xfId="31346"/>
    <cellStyle name="asd 38 3 4 17" xfId="32911"/>
    <cellStyle name="asd 38 3 4 18" xfId="34137"/>
    <cellStyle name="asd 38 3 4 19" xfId="36294"/>
    <cellStyle name="asd 38 3 4 2" xfId="6023"/>
    <cellStyle name="asd 38 3 4 2 10" xfId="22273"/>
    <cellStyle name="asd 38 3 4 2 11" xfId="23112"/>
    <cellStyle name="asd 38 3 4 2 12" xfId="26075"/>
    <cellStyle name="asd 38 3 4 2 13" xfId="27738"/>
    <cellStyle name="asd 38 3 4 2 14" xfId="28954"/>
    <cellStyle name="asd 38 3 4 2 15" xfId="31316"/>
    <cellStyle name="asd 38 3 4 2 16" xfId="32974"/>
    <cellStyle name="asd 38 3 4 2 17" xfId="34218"/>
    <cellStyle name="asd 38 3 4 2 18" xfId="36902"/>
    <cellStyle name="asd 38 3 4 2 19" xfId="38781"/>
    <cellStyle name="asd 38 3 4 2 2" xfId="7472"/>
    <cellStyle name="asd 38 3 4 2 20" xfId="40175"/>
    <cellStyle name="asd 38 3 4 2 21" xfId="41834"/>
    <cellStyle name="asd 38 3 4 2 22" xfId="42892"/>
    <cellStyle name="asd 38 3 4 2 3" xfId="8926"/>
    <cellStyle name="asd 38 3 4 2 4" xfId="10836"/>
    <cellStyle name="asd 38 3 4 2 5" xfId="12727"/>
    <cellStyle name="asd 38 3 4 2 6" xfId="13583"/>
    <cellStyle name="asd 38 3 4 2 7" xfId="15486"/>
    <cellStyle name="asd 38 3 4 2 8" xfId="18455"/>
    <cellStyle name="asd 38 3 4 2 9" xfId="20361"/>
    <cellStyle name="asd 38 3 4 20" xfId="38173"/>
    <cellStyle name="asd 38 3 4 21" xfId="40115"/>
    <cellStyle name="asd 38 3 4 22" xfId="41775"/>
    <cellStyle name="asd 38 3 4 23" xfId="42784"/>
    <cellStyle name="asd 38 3 4 3" xfId="6864"/>
    <cellStyle name="asd 38 3 4 4" xfId="8318"/>
    <cellStyle name="asd 38 3 4 5" xfId="10228"/>
    <cellStyle name="asd 38 3 4 6" xfId="11271"/>
    <cellStyle name="asd 38 3 4 7" xfId="13469"/>
    <cellStyle name="asd 38 3 4 8" xfId="15374"/>
    <cellStyle name="asd 38 3 4 9" xfId="17847"/>
    <cellStyle name="asd 38 3 5" xfId="4966"/>
    <cellStyle name="asd 38 3 5 10" xfId="21214"/>
    <cellStyle name="asd 38 3 5 11" xfId="23150"/>
    <cellStyle name="asd 38 3 5 12" xfId="25016"/>
    <cellStyle name="asd 38 3 5 13" xfId="27473"/>
    <cellStyle name="asd 38 3 5 14" xfId="28036"/>
    <cellStyle name="asd 38 3 5 15" xfId="31060"/>
    <cellStyle name="asd 38 3 5 16" xfId="32592"/>
    <cellStyle name="asd 38 3 5 17" xfId="34172"/>
    <cellStyle name="asd 38 3 5 18" xfId="35843"/>
    <cellStyle name="asd 38 3 5 19" xfId="37722"/>
    <cellStyle name="asd 38 3 5 2" xfId="6416"/>
    <cellStyle name="asd 38 3 5 20" xfId="39803"/>
    <cellStyle name="asd 38 3 5 21" xfId="41472"/>
    <cellStyle name="asd 38 3 5 22" xfId="42928"/>
    <cellStyle name="asd 38 3 5 3" xfId="7867"/>
    <cellStyle name="asd 38 3 5 4" xfId="9777"/>
    <cellStyle name="asd 38 3 5 5" xfId="10942"/>
    <cellStyle name="asd 38 3 5 6" xfId="13621"/>
    <cellStyle name="asd 38 3 5 7" xfId="15524"/>
    <cellStyle name="asd 38 3 5 8" xfId="17396"/>
    <cellStyle name="asd 38 3 5 9" xfId="19302"/>
    <cellStyle name="asd 38 3 6" xfId="4524"/>
    <cellStyle name="asd 38 3 6 10" xfId="20769"/>
    <cellStyle name="asd 38 3 6 11" xfId="23399"/>
    <cellStyle name="asd 38 3 6 12" xfId="24571"/>
    <cellStyle name="asd 38 3 6 13" xfId="27414"/>
    <cellStyle name="asd 38 3 6 14" xfId="27957"/>
    <cellStyle name="asd 38 3 6 15" xfId="31000"/>
    <cellStyle name="asd 38 3 6 16" xfId="29444"/>
    <cellStyle name="asd 38 3 6 17" xfId="28025"/>
    <cellStyle name="asd 38 3 6 18" xfId="35399"/>
    <cellStyle name="asd 38 3 6 19" xfId="37277"/>
    <cellStyle name="asd 38 3 6 2" xfId="5312"/>
    <cellStyle name="asd 38 3 6 20" xfId="26171"/>
    <cellStyle name="asd 38 3 6 21" xfId="12778"/>
    <cellStyle name="asd 38 3 6 22" xfId="43166"/>
    <cellStyle name="asd 38 3 6 3" xfId="6708"/>
    <cellStyle name="asd 38 3 6 4" xfId="9331"/>
    <cellStyle name="asd 38 3 6 5" xfId="12365"/>
    <cellStyle name="asd 38 3 6 6" xfId="13871"/>
    <cellStyle name="asd 38 3 6 7" xfId="15772"/>
    <cellStyle name="asd 38 3 6 8" xfId="16950"/>
    <cellStyle name="asd 38 3 6 9" xfId="18857"/>
    <cellStyle name="asd 38 3 7" xfId="6656"/>
    <cellStyle name="asd 38 3 8" xfId="9305"/>
    <cellStyle name="asd 38 3 9" xfId="11350"/>
    <cellStyle name="asd 38 4" xfId="3521"/>
    <cellStyle name="asd 38 4 10" xfId="15021"/>
    <cellStyle name="asd 38 4 11" xfId="17032"/>
    <cellStyle name="asd 38 4 12" xfId="18939"/>
    <cellStyle name="asd 38 4 13" xfId="20851"/>
    <cellStyle name="asd 38 4 14" xfId="22649"/>
    <cellStyle name="asd 38 4 15" xfId="24653"/>
    <cellStyle name="asd 38 4 16" xfId="26710"/>
    <cellStyle name="asd 38 4 17" xfId="29143"/>
    <cellStyle name="asd 38 4 18" xfId="30310"/>
    <cellStyle name="asd 38 4 19" xfId="32952"/>
    <cellStyle name="asd 38 4 2" xfId="3701"/>
    <cellStyle name="asd 38 4 2 10" xfId="17592"/>
    <cellStyle name="asd 38 4 2 11" xfId="19498"/>
    <cellStyle name="asd 38 4 2 12" xfId="21410"/>
    <cellStyle name="asd 38 4 2 13" xfId="23366"/>
    <cellStyle name="asd 38 4 2 14" xfId="25212"/>
    <cellStyle name="asd 38 4 2 15" xfId="27403"/>
    <cellStyle name="asd 38 4 2 16" xfId="28334"/>
    <cellStyle name="asd 38 4 2 17" xfId="30989"/>
    <cellStyle name="asd 38 4 2 18" xfId="32396"/>
    <cellStyle name="asd 38 4 2 19" xfId="34590"/>
    <cellStyle name="asd 38 4 2 2" xfId="5768"/>
    <cellStyle name="asd 38 4 2 2 10" xfId="22018"/>
    <cellStyle name="asd 38 4 2 2 11" xfId="23028"/>
    <cellStyle name="asd 38 4 2 2 12" xfId="25820"/>
    <cellStyle name="asd 38 4 2 2 13" xfId="26551"/>
    <cellStyle name="asd 38 4 2 2 14" xfId="3838"/>
    <cellStyle name="asd 38 4 2 2 15" xfId="30156"/>
    <cellStyle name="asd 38 4 2 2 16" xfId="32367"/>
    <cellStyle name="asd 38 4 2 2 17" xfId="30752"/>
    <cellStyle name="asd 38 4 2 2 18" xfId="36647"/>
    <cellStyle name="asd 38 4 2 2 19" xfId="38526"/>
    <cellStyle name="asd 38 4 2 2 2" xfId="7217"/>
    <cellStyle name="asd 38 4 2 2 20" xfId="39585"/>
    <cellStyle name="asd 38 4 2 2 21" xfId="41259"/>
    <cellStyle name="asd 38 4 2 2 22" xfId="42811"/>
    <cellStyle name="asd 38 4 2 2 3" xfId="8671"/>
    <cellStyle name="asd 38 4 2 2 4" xfId="10581"/>
    <cellStyle name="asd 38 4 2 2 5" xfId="12619"/>
    <cellStyle name="asd 38 4 2 2 6" xfId="13498"/>
    <cellStyle name="asd 38 4 2 2 7" xfId="15402"/>
    <cellStyle name="asd 38 4 2 2 8" xfId="18200"/>
    <cellStyle name="asd 38 4 2 2 9" xfId="20106"/>
    <cellStyle name="asd 38 4 2 20" xfId="36039"/>
    <cellStyle name="asd 38 4 2 21" xfId="37918"/>
    <cellStyle name="asd 38 4 2 22" xfId="39613"/>
    <cellStyle name="asd 38 4 2 23" xfId="41287"/>
    <cellStyle name="asd 38 4 2 24" xfId="43136"/>
    <cellStyle name="asd 38 4 2 3" xfId="5162"/>
    <cellStyle name="asd 38 4 2 4" xfId="6612"/>
    <cellStyle name="asd 38 4 2 5" xfId="8063"/>
    <cellStyle name="asd 38 4 2 6" xfId="9973"/>
    <cellStyle name="asd 38 4 2 7" xfId="10974"/>
    <cellStyle name="asd 38 4 2 8" xfId="13838"/>
    <cellStyle name="asd 38 4 2 9" xfId="15740"/>
    <cellStyle name="asd 38 4 20" xfId="34617"/>
    <cellStyle name="asd 38 4 21" xfId="35481"/>
    <cellStyle name="asd 38 4 22" xfId="37359"/>
    <cellStyle name="asd 38 4 23" xfId="40154"/>
    <cellStyle name="asd 38 4 24" xfId="41813"/>
    <cellStyle name="asd 38 4 25" xfId="42455"/>
    <cellStyle name="asd 38 4 3" xfId="2725"/>
    <cellStyle name="asd 38 4 3 10" xfId="19099"/>
    <cellStyle name="asd 38 4 3 11" xfId="21011"/>
    <cellStyle name="asd 38 4 3 12" xfId="24042"/>
    <cellStyle name="asd 38 4 3 13" xfId="24813"/>
    <cellStyle name="asd 38 4 3 14" xfId="26499"/>
    <cellStyle name="asd 38 4 3 15" xfId="29124"/>
    <cellStyle name="asd 38 4 3 16" xfId="30105"/>
    <cellStyle name="asd 38 4 3 17" xfId="33262"/>
    <cellStyle name="asd 38 4 3 18" xfId="34999"/>
    <cellStyle name="asd 38 4 3 19" xfId="35640"/>
    <cellStyle name="asd 38 4 3 2" xfId="4626"/>
    <cellStyle name="asd 38 4 3 2 10" xfId="20871"/>
    <cellStyle name="asd 38 4 3 2 11" xfId="22537"/>
    <cellStyle name="asd 38 4 3 2 12" xfId="24673"/>
    <cellStyle name="asd 38 4 3 2 13" xfId="27011"/>
    <cellStyle name="asd 38 4 3 2 14" xfId="28679"/>
    <cellStyle name="asd 38 4 3 2 15" xfId="30604"/>
    <cellStyle name="asd 38 4 3 2 16" xfId="32227"/>
    <cellStyle name="asd 38 4 3 2 17" xfId="33493"/>
    <cellStyle name="asd 38 4 3 2 18" xfId="35501"/>
    <cellStyle name="asd 38 4 3 2 19" xfId="37379"/>
    <cellStyle name="asd 38 4 3 2 2" xfId="6074"/>
    <cellStyle name="asd 38 4 3 2 20" xfId="39446"/>
    <cellStyle name="asd 38 4 3 2 21" xfId="41121"/>
    <cellStyle name="asd 38 4 3 2 22" xfId="42346"/>
    <cellStyle name="asd 38 4 3 2 3" xfId="7523"/>
    <cellStyle name="asd 38 4 3 2 4" xfId="9433"/>
    <cellStyle name="asd 38 4 3 2 5" xfId="3090"/>
    <cellStyle name="asd 38 4 3 2 6" xfId="13005"/>
    <cellStyle name="asd 38 4 3 2 7" xfId="14909"/>
    <cellStyle name="asd 38 4 3 2 8" xfId="17052"/>
    <cellStyle name="asd 38 4 3 2 9" xfId="18959"/>
    <cellStyle name="asd 38 4 3 20" xfId="37519"/>
    <cellStyle name="asd 38 4 3 21" xfId="40448"/>
    <cellStyle name="asd 38 4 3 22" xfId="42103"/>
    <cellStyle name="asd 38 4 3 23" xfId="43786"/>
    <cellStyle name="asd 38 4 3 3" xfId="4764"/>
    <cellStyle name="asd 38 4 3 4" xfId="7664"/>
    <cellStyle name="asd 38 4 3 5" xfId="9574"/>
    <cellStyle name="asd 38 4 3 6" xfId="12001"/>
    <cellStyle name="asd 38 4 3 7" xfId="14512"/>
    <cellStyle name="asd 38 4 3 8" xfId="16418"/>
    <cellStyle name="asd 38 4 3 9" xfId="17193"/>
    <cellStyle name="asd 38 4 4" xfId="4153"/>
    <cellStyle name="asd 38 4 4 10" xfId="19788"/>
    <cellStyle name="asd 38 4 4 11" xfId="21700"/>
    <cellStyle name="asd 38 4 4 12" xfId="22785"/>
    <cellStyle name="asd 38 4 4 13" xfId="25502"/>
    <cellStyle name="asd 38 4 4 14" xfId="27384"/>
    <cellStyle name="asd 38 4 4 15" xfId="29544"/>
    <cellStyle name="asd 38 4 4 16" xfId="30970"/>
    <cellStyle name="asd 38 4 4 17" xfId="31757"/>
    <cellStyle name="asd 38 4 4 18" xfId="34021"/>
    <cellStyle name="asd 38 4 4 19" xfId="36329"/>
    <cellStyle name="asd 38 4 4 2" xfId="6058"/>
    <cellStyle name="asd 38 4 4 2 10" xfId="22308"/>
    <cellStyle name="asd 38 4 4 2 11" xfId="14707"/>
    <cellStyle name="asd 38 4 4 2 12" xfId="26110"/>
    <cellStyle name="asd 38 4 4 2 13" xfId="3806"/>
    <cellStyle name="asd 38 4 4 2 14" xfId="28460"/>
    <cellStyle name="asd 38 4 4 2 15" xfId="2172"/>
    <cellStyle name="asd 38 4 4 2 16" xfId="32071"/>
    <cellStyle name="asd 38 4 4 2 17" xfId="34463"/>
    <cellStyle name="asd 38 4 4 2 18" xfId="36937"/>
    <cellStyle name="asd 38 4 4 2 19" xfId="38816"/>
    <cellStyle name="asd 38 4 4 2 2" xfId="7507"/>
    <cellStyle name="asd 38 4 4 2 20" xfId="39296"/>
    <cellStyle name="asd 38 4 4 2 21" xfId="40972"/>
    <cellStyle name="asd 38 4 4 2 22" xfId="41452"/>
    <cellStyle name="asd 38 4 4 2 3" xfId="8961"/>
    <cellStyle name="asd 38 4 4 2 4" xfId="10871"/>
    <cellStyle name="asd 38 4 4 2 5" xfId="4709"/>
    <cellStyle name="asd 38 4 4 2 6" xfId="11256"/>
    <cellStyle name="asd 38 4 4 2 7" xfId="13328"/>
    <cellStyle name="asd 38 4 4 2 8" xfId="18490"/>
    <cellStyle name="asd 38 4 4 2 9" xfId="20396"/>
    <cellStyle name="asd 38 4 4 20" xfId="38208"/>
    <cellStyle name="asd 38 4 4 21" xfId="38997"/>
    <cellStyle name="asd 38 4 4 22" xfId="40680"/>
    <cellStyle name="asd 38 4 4 23" xfId="42578"/>
    <cellStyle name="asd 38 4 4 3" xfId="6899"/>
    <cellStyle name="asd 38 4 4 4" xfId="8353"/>
    <cellStyle name="asd 38 4 4 5" xfId="10263"/>
    <cellStyle name="asd 38 4 4 6" xfId="11072"/>
    <cellStyle name="asd 38 4 4 7" xfId="13254"/>
    <cellStyle name="asd 38 4 4 8" xfId="15158"/>
    <cellStyle name="asd 38 4 4 9" xfId="17882"/>
    <cellStyle name="asd 38 4 5" xfId="4433"/>
    <cellStyle name="asd 38 4 5 10" xfId="20677"/>
    <cellStyle name="asd 38 4 5 11" xfId="23920"/>
    <cellStyle name="asd 38 4 5 12" xfId="24479"/>
    <cellStyle name="asd 38 4 5 13" xfId="27205"/>
    <cellStyle name="asd 38 4 5 14" xfId="2206"/>
    <cellStyle name="asd 38 4 5 15" xfId="30796"/>
    <cellStyle name="asd 38 4 5 16" xfId="33076"/>
    <cellStyle name="asd 38 4 5 17" xfId="34839"/>
    <cellStyle name="asd 38 4 5 18" xfId="35307"/>
    <cellStyle name="asd 38 4 5 19" xfId="37185"/>
    <cellStyle name="asd 38 4 5 2" xfId="1945"/>
    <cellStyle name="asd 38 4 5 20" xfId="40273"/>
    <cellStyle name="asd 38 4 5 21" xfId="41929"/>
    <cellStyle name="asd 38 4 5 22" xfId="43666"/>
    <cellStyle name="asd 38 4 5 3" xfId="3321"/>
    <cellStyle name="asd 38 4 5 4" xfId="9239"/>
    <cellStyle name="asd 38 4 5 5" xfId="11879"/>
    <cellStyle name="asd 38 4 5 6" xfId="14388"/>
    <cellStyle name="asd 38 4 5 7" xfId="16294"/>
    <cellStyle name="asd 38 4 5 8" xfId="16858"/>
    <cellStyle name="asd 38 4 5 9" xfId="18765"/>
    <cellStyle name="asd 38 4 6" xfId="3180"/>
    <cellStyle name="asd 38 4 7" xfId="9413"/>
    <cellStyle name="asd 38 4 8" xfId="11735"/>
    <cellStyle name="asd 38 4 9" xfId="13116"/>
    <cellStyle name="asd 38 5" xfId="3051"/>
    <cellStyle name="asd 38 5 10" xfId="17240"/>
    <cellStyle name="asd 38 5 11" xfId="19146"/>
    <cellStyle name="asd 38 5 12" xfId="21058"/>
    <cellStyle name="asd 38 5 13" xfId="23308"/>
    <cellStyle name="asd 38 5 14" xfId="24860"/>
    <cellStyle name="asd 38 5 15" xfId="27296"/>
    <cellStyle name="asd 38 5 16" xfId="28035"/>
    <cellStyle name="asd 38 5 17" xfId="30886"/>
    <cellStyle name="asd 38 5 18" xfId="32846"/>
    <cellStyle name="asd 38 5 19" xfId="34041"/>
    <cellStyle name="asd 38 5 2" xfId="4571"/>
    <cellStyle name="asd 38 5 2 10" xfId="20816"/>
    <cellStyle name="asd 38 5 2 11" xfId="24001"/>
    <cellStyle name="asd 38 5 2 12" xfId="24618"/>
    <cellStyle name="asd 38 5 2 13" xfId="26959"/>
    <cellStyle name="asd 38 5 2 14" xfId="28141"/>
    <cellStyle name="asd 38 5 2 15" xfId="30553"/>
    <cellStyle name="asd 38 5 2 16" xfId="31812"/>
    <cellStyle name="asd 38 5 2 17" xfId="34528"/>
    <cellStyle name="asd 38 5 2 18" xfId="35446"/>
    <cellStyle name="asd 38 5 2 19" xfId="37324"/>
    <cellStyle name="asd 38 5 2 2" xfId="4486"/>
    <cellStyle name="asd 38 5 2 20" xfId="39050"/>
    <cellStyle name="asd 38 5 2 21" xfId="40732"/>
    <cellStyle name="asd 38 5 2 22" xfId="43745"/>
    <cellStyle name="asd 38 5 2 3" xfId="5326"/>
    <cellStyle name="asd 38 5 2 4" xfId="9378"/>
    <cellStyle name="asd 38 5 2 5" xfId="11960"/>
    <cellStyle name="asd 38 5 2 6" xfId="14471"/>
    <cellStyle name="asd 38 5 2 7" xfId="16377"/>
    <cellStyle name="asd 38 5 2 8" xfId="16997"/>
    <cellStyle name="asd 38 5 2 9" xfId="18904"/>
    <cellStyle name="asd 38 5 20" xfId="35687"/>
    <cellStyle name="asd 38 5 21" xfId="37566"/>
    <cellStyle name="asd 38 5 22" xfId="40053"/>
    <cellStyle name="asd 38 5 23" xfId="41717"/>
    <cellStyle name="asd 38 5 24" xfId="43080"/>
    <cellStyle name="asd 38 5 3" xfId="4810"/>
    <cellStyle name="asd 38 5 4" xfId="6260"/>
    <cellStyle name="asd 38 5 5" xfId="7711"/>
    <cellStyle name="asd 38 5 6" xfId="9621"/>
    <cellStyle name="asd 38 5 7" xfId="11316"/>
    <cellStyle name="asd 38 5 8" xfId="13780"/>
    <cellStyle name="asd 38 5 9" xfId="15682"/>
    <cellStyle name="asd 38 6" xfId="2837"/>
    <cellStyle name="asd 38 6 10" xfId="19115"/>
    <cellStyle name="asd 38 6 11" xfId="21027"/>
    <cellStyle name="asd 38 6 12" xfId="23749"/>
    <cellStyle name="asd 38 6 13" xfId="24829"/>
    <cellStyle name="asd 38 6 14" xfId="26972"/>
    <cellStyle name="asd 38 6 15" xfId="29268"/>
    <cellStyle name="asd 38 6 16" xfId="30566"/>
    <cellStyle name="asd 38 6 17" xfId="31991"/>
    <cellStyle name="asd 38 6 18" xfId="33540"/>
    <cellStyle name="asd 38 6 19" xfId="35656"/>
    <cellStyle name="asd 38 6 2" xfId="4235"/>
    <cellStyle name="asd 38 6 2 10" xfId="20527"/>
    <cellStyle name="asd 38 6 2 11" xfId="23585"/>
    <cellStyle name="asd 38 6 2 12" xfId="24329"/>
    <cellStyle name="asd 38 6 2 13" xfId="26946"/>
    <cellStyle name="asd 38 6 2 14" xfId="28830"/>
    <cellStyle name="asd 38 6 2 15" xfId="30540"/>
    <cellStyle name="asd 38 6 2 16" xfId="33256"/>
    <cellStyle name="asd 38 6 2 17" xfId="33779"/>
    <cellStyle name="asd 38 6 2 18" xfId="35157"/>
    <cellStyle name="asd 38 6 2 19" xfId="37035"/>
    <cellStyle name="asd 38 6 2 2" xfId="5290"/>
    <cellStyle name="asd 38 6 2 20" xfId="40442"/>
    <cellStyle name="asd 38 6 2 21" xfId="42097"/>
    <cellStyle name="asd 38 6 2 22" xfId="43345"/>
    <cellStyle name="asd 38 6 2 3" xfId="6278"/>
    <cellStyle name="asd 38 6 2 4" xfId="9089"/>
    <cellStyle name="asd 38 6 2 5" xfId="11332"/>
    <cellStyle name="asd 38 6 2 6" xfId="14056"/>
    <cellStyle name="asd 38 6 2 7" xfId="15958"/>
    <cellStyle name="asd 38 6 2 8" xfId="16708"/>
    <cellStyle name="asd 38 6 2 9" xfId="18615"/>
    <cellStyle name="asd 38 6 20" xfId="37535"/>
    <cellStyle name="asd 38 6 21" xfId="39222"/>
    <cellStyle name="asd 38 6 22" xfId="40900"/>
    <cellStyle name="asd 38 6 23" xfId="43502"/>
    <cellStyle name="asd 38 6 3" xfId="4780"/>
    <cellStyle name="asd 38 6 4" xfId="7680"/>
    <cellStyle name="asd 38 6 5" xfId="9590"/>
    <cellStyle name="asd 38 6 6" xfId="11657"/>
    <cellStyle name="asd 38 6 7" xfId="14219"/>
    <cellStyle name="asd 38 6 8" xfId="16123"/>
    <cellStyle name="asd 38 6 9" xfId="17209"/>
    <cellStyle name="asd 38 7" xfId="3030"/>
    <cellStyle name="asd 38 7 10" xfId="19143"/>
    <cellStyle name="asd 38 7 11" xfId="21055"/>
    <cellStyle name="asd 38 7 12" xfId="22690"/>
    <cellStyle name="asd 38 7 13" xfId="24857"/>
    <cellStyle name="asd 38 7 14" xfId="27483"/>
    <cellStyle name="asd 38 7 15" xfId="26118"/>
    <cellStyle name="asd 38 7 16" xfId="31070"/>
    <cellStyle name="asd 38 7 17" xfId="32022"/>
    <cellStyle name="asd 38 7 18" xfId="23012"/>
    <cellStyle name="asd 38 7 19" xfId="35684"/>
    <cellStyle name="asd 38 7 2" xfId="5652"/>
    <cellStyle name="asd 38 7 2 10" xfId="21902"/>
    <cellStyle name="asd 38 7 2 11" xfId="24093"/>
    <cellStyle name="asd 38 7 2 12" xfId="25704"/>
    <cellStyle name="asd 38 7 2 13" xfId="26793"/>
    <cellStyle name="asd 38 7 2 14" xfId="28972"/>
    <cellStyle name="asd 38 7 2 15" xfId="30391"/>
    <cellStyle name="asd 38 7 2 16" xfId="32694"/>
    <cellStyle name="asd 38 7 2 17" xfId="33535"/>
    <cellStyle name="asd 38 7 2 18" xfId="36531"/>
    <cellStyle name="asd 38 7 2 19" xfId="38410"/>
    <cellStyle name="asd 38 7 2 2" xfId="7101"/>
    <cellStyle name="asd 38 7 2 20" xfId="39902"/>
    <cellStyle name="asd 38 7 2 21" xfId="41571"/>
    <cellStyle name="asd 38 7 2 22" xfId="43836"/>
    <cellStyle name="asd 38 7 2 3" xfId="8555"/>
    <cellStyle name="asd 38 7 2 4" xfId="10465"/>
    <cellStyle name="asd 38 7 2 5" xfId="12052"/>
    <cellStyle name="asd 38 7 2 6" xfId="14563"/>
    <cellStyle name="asd 38 7 2 7" xfId="16469"/>
    <cellStyle name="asd 38 7 2 8" xfId="18084"/>
    <cellStyle name="asd 38 7 2 9" xfId="19990"/>
    <cellStyle name="asd 38 7 20" xfId="37563"/>
    <cellStyle name="asd 38 7 21" xfId="39252"/>
    <cellStyle name="asd 38 7 22" xfId="40929"/>
    <cellStyle name="asd 38 7 23" xfId="42493"/>
    <cellStyle name="asd 38 7 3" xfId="6257"/>
    <cellStyle name="asd 38 7 4" xfId="7708"/>
    <cellStyle name="asd 38 7 5" xfId="9618"/>
    <cellStyle name="asd 38 7 6" xfId="11480"/>
    <cellStyle name="asd 38 7 7" xfId="13157"/>
    <cellStyle name="asd 38 7 8" xfId="15062"/>
    <cellStyle name="asd 38 7 9" xfId="17237"/>
    <cellStyle name="asd 38 8" xfId="2574"/>
    <cellStyle name="asd 38 9" xfId="1835"/>
    <cellStyle name="asd 39" xfId="973"/>
    <cellStyle name="asd 39 10" xfId="2834"/>
    <cellStyle name="asd 39 11" xfId="1947"/>
    <cellStyle name="asd 39 12" xfId="3189"/>
    <cellStyle name="asd 39 13" xfId="15666"/>
    <cellStyle name="asd 39 14" xfId="14717"/>
    <cellStyle name="asd 39 15" xfId="2337"/>
    <cellStyle name="asd 39 16" xfId="2179"/>
    <cellStyle name="asd 39 17" xfId="23292"/>
    <cellStyle name="asd 39 18" xfId="26119"/>
    <cellStyle name="asd 39 19" xfId="13951"/>
    <cellStyle name="asd 39 2" xfId="3449"/>
    <cellStyle name="asd 39 2 10" xfId="13563"/>
    <cellStyle name="asd 39 2 11" xfId="15466"/>
    <cellStyle name="asd 39 2 12" xfId="16838"/>
    <cellStyle name="asd 39 2 13" xfId="18745"/>
    <cellStyle name="asd 39 2 14" xfId="20657"/>
    <cellStyle name="asd 39 2 15" xfId="23092"/>
    <cellStyle name="asd 39 2 16" xfId="24459"/>
    <cellStyle name="asd 39 2 17" xfId="26450"/>
    <cellStyle name="asd 39 2 18" xfId="29188"/>
    <cellStyle name="asd 39 2 19" xfId="30056"/>
    <cellStyle name="asd 39 2 2" xfId="3629"/>
    <cellStyle name="asd 39 2 2 10" xfId="17520"/>
    <cellStyle name="asd 39 2 2 11" xfId="19426"/>
    <cellStyle name="asd 39 2 2 12" xfId="21338"/>
    <cellStyle name="asd 39 2 2 13" xfId="22695"/>
    <cellStyle name="asd 39 2 2 14" xfId="25140"/>
    <cellStyle name="asd 39 2 2 15" xfId="26888"/>
    <cellStyle name="asd 39 2 2 16" xfId="28671"/>
    <cellStyle name="asd 39 2 2 17" xfId="30485"/>
    <cellStyle name="asd 39 2 2 18" xfId="32243"/>
    <cellStyle name="asd 39 2 2 19" xfId="34204"/>
    <cellStyle name="asd 39 2 2 2" xfId="4434"/>
    <cellStyle name="asd 39 2 2 2 10" xfId="20679"/>
    <cellStyle name="asd 39 2 2 2 11" xfId="23614"/>
    <cellStyle name="asd 39 2 2 2 12" xfId="24481"/>
    <cellStyle name="asd 39 2 2 2 13" xfId="27274"/>
    <cellStyle name="asd 39 2 2 2 14" xfId="29016"/>
    <cellStyle name="asd 39 2 2 2 15" xfId="30866"/>
    <cellStyle name="asd 39 2 2 2 16" xfId="31820"/>
    <cellStyle name="asd 39 2 2 2 17" xfId="34146"/>
    <cellStyle name="asd 39 2 2 2 18" xfId="35309"/>
    <cellStyle name="asd 39 2 2 2 19" xfId="37187"/>
    <cellStyle name="asd 39 2 2 2 2" xfId="5412"/>
    <cellStyle name="asd 39 2 2 2 20" xfId="39058"/>
    <cellStyle name="asd 39 2 2 2 21" xfId="40740"/>
    <cellStyle name="asd 39 2 2 2 22" xfId="43372"/>
    <cellStyle name="asd 39 2 2 2 3" xfId="6687"/>
    <cellStyle name="asd 39 2 2 2 4" xfId="9241"/>
    <cellStyle name="asd 39 2 2 2 5" xfId="11382"/>
    <cellStyle name="asd 39 2 2 2 6" xfId="14084"/>
    <cellStyle name="asd 39 2 2 2 7" xfId="15987"/>
    <cellStyle name="asd 39 2 2 2 8" xfId="16860"/>
    <cellStyle name="asd 39 2 2 2 9" xfId="18767"/>
    <cellStyle name="asd 39 2 2 20" xfId="35967"/>
    <cellStyle name="asd 39 2 2 21" xfId="37846"/>
    <cellStyle name="asd 39 2 2 22" xfId="39461"/>
    <cellStyle name="asd 39 2 2 23" xfId="41136"/>
    <cellStyle name="asd 39 2 2 24" xfId="42497"/>
    <cellStyle name="asd 39 2 2 3" xfId="5090"/>
    <cellStyle name="asd 39 2 2 4" xfId="6540"/>
    <cellStyle name="asd 39 2 2 5" xfId="7991"/>
    <cellStyle name="asd 39 2 2 6" xfId="9901"/>
    <cellStyle name="asd 39 2 2 7" xfId="11506"/>
    <cellStyle name="asd 39 2 2 8" xfId="13163"/>
    <cellStyle name="asd 39 2 2 9" xfId="15068"/>
    <cellStyle name="asd 39 2 20" xfId="33175"/>
    <cellStyle name="asd 39 2 21" xfId="34056"/>
    <cellStyle name="asd 39 2 22" xfId="35287"/>
    <cellStyle name="asd 39 2 23" xfId="37165"/>
    <cellStyle name="asd 39 2 24" xfId="40366"/>
    <cellStyle name="asd 39 2 25" xfId="42022"/>
    <cellStyle name="asd 39 2 26" xfId="42874"/>
    <cellStyle name="asd 39 2 3" xfId="3792"/>
    <cellStyle name="asd 39 2 3 10" xfId="19527"/>
    <cellStyle name="asd 39 2 3 11" xfId="21439"/>
    <cellStyle name="asd 39 2 3 12" xfId="22565"/>
    <cellStyle name="asd 39 2 3 13" xfId="25241"/>
    <cellStyle name="asd 39 2 3 14" xfId="27913"/>
    <cellStyle name="asd 39 2 3 15" xfId="28630"/>
    <cellStyle name="asd 39 2 3 16" xfId="31495"/>
    <cellStyle name="asd 39 2 3 17" xfId="32184"/>
    <cellStyle name="asd 39 2 3 18" xfId="33821"/>
    <cellStyle name="asd 39 2 3 19" xfId="36068"/>
    <cellStyle name="asd 39 2 3 2" xfId="5797"/>
    <cellStyle name="asd 39 2 3 2 10" xfId="22047"/>
    <cellStyle name="asd 39 2 3 2 11" xfId="23900"/>
    <cellStyle name="asd 39 2 3 2 12" xfId="25849"/>
    <cellStyle name="asd 39 2 3 2 13" xfId="27298"/>
    <cellStyle name="asd 39 2 3 2 14" xfId="28463"/>
    <cellStyle name="asd 39 2 3 2 15" xfId="30888"/>
    <cellStyle name="asd 39 2 3 2 16" xfId="31681"/>
    <cellStyle name="asd 39 2 3 2 17" xfId="34555"/>
    <cellStyle name="asd 39 2 3 2 18" xfId="36676"/>
    <cellStyle name="asd 39 2 3 2 19" xfId="38555"/>
    <cellStyle name="asd 39 2 3 2 2" xfId="7246"/>
    <cellStyle name="asd 39 2 3 2 20" xfId="38924"/>
    <cellStyle name="asd 39 2 3 2 21" xfId="40608"/>
    <cellStyle name="asd 39 2 3 2 22" xfId="43647"/>
    <cellStyle name="asd 39 2 3 2 3" xfId="8700"/>
    <cellStyle name="asd 39 2 3 2 4" xfId="10610"/>
    <cellStyle name="asd 39 2 3 2 5" xfId="11859"/>
    <cellStyle name="asd 39 2 3 2 6" xfId="14368"/>
    <cellStyle name="asd 39 2 3 2 7" xfId="16275"/>
    <cellStyle name="asd 39 2 3 2 8" xfId="18229"/>
    <cellStyle name="asd 39 2 3 2 9" xfId="20135"/>
    <cellStyle name="asd 39 2 3 20" xfId="37947"/>
    <cellStyle name="asd 39 2 3 21" xfId="39406"/>
    <cellStyle name="asd 39 2 3 22" xfId="41082"/>
    <cellStyle name="asd 39 2 3 23" xfId="42374"/>
    <cellStyle name="asd 39 2 3 3" xfId="5191"/>
    <cellStyle name="asd 39 2 3 4" xfId="8092"/>
    <cellStyle name="asd 39 2 3 5" xfId="10002"/>
    <cellStyle name="asd 39 2 3 6" xfId="12670"/>
    <cellStyle name="asd 39 2 3 7" xfId="13033"/>
    <cellStyle name="asd 39 2 3 8" xfId="14937"/>
    <cellStyle name="asd 39 2 3 9" xfId="17621"/>
    <cellStyle name="asd 39 2 4" xfId="4081"/>
    <cellStyle name="asd 39 2 4 10" xfId="19716"/>
    <cellStyle name="asd 39 2 4 11" xfId="21628"/>
    <cellStyle name="asd 39 2 4 12" xfId="23302"/>
    <cellStyle name="asd 39 2 4 13" xfId="25430"/>
    <cellStyle name="asd 39 2 4 14" xfId="26165"/>
    <cellStyle name="asd 39 2 4 15" xfId="29078"/>
    <cellStyle name="asd 39 2 4 16" xfId="29779"/>
    <cellStyle name="asd 39 2 4 17" xfId="31834"/>
    <cellStyle name="asd 39 2 4 18" xfId="34474"/>
    <cellStyle name="asd 39 2 4 19" xfId="36257"/>
    <cellStyle name="asd 39 2 4 2" xfId="5986"/>
    <cellStyle name="asd 39 2 4 2 10" xfId="22236"/>
    <cellStyle name="asd 39 2 4 2 11" xfId="23615"/>
    <cellStyle name="asd 39 2 4 2 12" xfId="26038"/>
    <cellStyle name="asd 39 2 4 2 13" xfId="27755"/>
    <cellStyle name="asd 39 2 4 2 14" xfId="28678"/>
    <cellStyle name="asd 39 2 4 2 15" xfId="31334"/>
    <cellStyle name="asd 39 2 4 2 16" xfId="31923"/>
    <cellStyle name="asd 39 2 4 2 17" xfId="34200"/>
    <cellStyle name="asd 39 2 4 2 18" xfId="36865"/>
    <cellStyle name="asd 39 2 4 2 19" xfId="38744"/>
    <cellStyle name="asd 39 2 4 2 2" xfId="7435"/>
    <cellStyle name="asd 39 2 4 2 20" xfId="39154"/>
    <cellStyle name="asd 39 2 4 2 21" xfId="40835"/>
    <cellStyle name="asd 39 2 4 2 22" xfId="43373"/>
    <cellStyle name="asd 39 2 4 2 3" xfId="8889"/>
    <cellStyle name="asd 39 2 4 2 4" xfId="10799"/>
    <cellStyle name="asd 39 2 4 2 5" xfId="11800"/>
    <cellStyle name="asd 39 2 4 2 6" xfId="14085"/>
    <cellStyle name="asd 39 2 4 2 7" xfId="15988"/>
    <cellStyle name="asd 39 2 4 2 8" xfId="18418"/>
    <cellStyle name="asd 39 2 4 2 9" xfId="20324"/>
    <cellStyle name="asd 39 2 4 20" xfId="38136"/>
    <cellStyle name="asd 39 2 4 21" xfId="39071"/>
    <cellStyle name="asd 39 2 4 22" xfId="40753"/>
    <cellStyle name="asd 39 2 4 23" xfId="43074"/>
    <cellStyle name="asd 39 2 4 3" xfId="6827"/>
    <cellStyle name="asd 39 2 4 4" xfId="8281"/>
    <cellStyle name="asd 39 2 4 5" xfId="10191"/>
    <cellStyle name="asd 39 2 4 6" xfId="11290"/>
    <cellStyle name="asd 39 2 4 7" xfId="13774"/>
    <cellStyle name="asd 39 2 4 8" xfId="15676"/>
    <cellStyle name="asd 39 2 4 9" xfId="17810"/>
    <cellStyle name="asd 39 2 5" xfId="4936"/>
    <cellStyle name="asd 39 2 5 10" xfId="21184"/>
    <cellStyle name="asd 39 2 5 11" xfId="23116"/>
    <cellStyle name="asd 39 2 5 12" xfId="24986"/>
    <cellStyle name="asd 39 2 5 13" xfId="26178"/>
    <cellStyle name="asd 39 2 5 14" xfId="29131"/>
    <cellStyle name="asd 39 2 5 15" xfId="29791"/>
    <cellStyle name="asd 39 2 5 16" xfId="32058"/>
    <cellStyle name="asd 39 2 5 17" xfId="33927"/>
    <cellStyle name="asd 39 2 5 18" xfId="35813"/>
    <cellStyle name="asd 39 2 5 19" xfId="37692"/>
    <cellStyle name="asd 39 2 5 2" xfId="6386"/>
    <cellStyle name="asd 39 2 5 20" xfId="39285"/>
    <cellStyle name="asd 39 2 5 21" xfId="40961"/>
    <cellStyle name="asd 39 2 5 22" xfId="42896"/>
    <cellStyle name="asd 39 2 5 3" xfId="7837"/>
    <cellStyle name="asd 39 2 5 4" xfId="9747"/>
    <cellStyle name="asd 39 2 5 5" xfId="12733"/>
    <cellStyle name="asd 39 2 5 6" xfId="13587"/>
    <cellStyle name="asd 39 2 5 7" xfId="15490"/>
    <cellStyle name="asd 39 2 5 8" xfId="17366"/>
    <cellStyle name="asd 39 2 5 9" xfId="19272"/>
    <cellStyle name="asd 39 2 6" xfId="5730"/>
    <cellStyle name="asd 39 2 6 10" xfId="21980"/>
    <cellStyle name="asd 39 2 6 11" xfId="23419"/>
    <cellStyle name="asd 39 2 6 12" xfId="25782"/>
    <cellStyle name="asd 39 2 6 13" xfId="26918"/>
    <cellStyle name="asd 39 2 6 14" xfId="29534"/>
    <cellStyle name="asd 39 2 6 15" xfId="30513"/>
    <cellStyle name="asd 39 2 6 16" xfId="32476"/>
    <cellStyle name="asd 39 2 6 17" xfId="34885"/>
    <cellStyle name="asd 39 2 6 18" xfId="36609"/>
    <cellStyle name="asd 39 2 6 19" xfId="38488"/>
    <cellStyle name="asd 39 2 6 2" xfId="7179"/>
    <cellStyle name="asd 39 2 6 20" xfId="39694"/>
    <cellStyle name="asd 39 2 6 21" xfId="41367"/>
    <cellStyle name="asd 39 2 6 22" xfId="43186"/>
    <cellStyle name="asd 39 2 6 3" xfId="8633"/>
    <cellStyle name="asd 39 2 6 4" xfId="10543"/>
    <cellStyle name="asd 39 2 6 5" xfId="11041"/>
    <cellStyle name="asd 39 2 6 6" xfId="13891"/>
    <cellStyle name="asd 39 2 6 7" xfId="15792"/>
    <cellStyle name="asd 39 2 6 8" xfId="18162"/>
    <cellStyle name="asd 39 2 6 9" xfId="20068"/>
    <cellStyle name="asd 39 2 7" xfId="6108"/>
    <cellStyle name="asd 39 2 8" xfId="9219"/>
    <cellStyle name="asd 39 2 9" xfId="12703"/>
    <cellStyle name="asd 39 20" xfId="29731"/>
    <cellStyle name="asd 39 21" xfId="29706"/>
    <cellStyle name="asd 39 22" xfId="29362"/>
    <cellStyle name="asd 39 23" xfId="33819"/>
    <cellStyle name="asd 39 24" xfId="30301"/>
    <cellStyle name="asd 39 25" xfId="31569"/>
    <cellStyle name="asd 39 26" xfId="2611"/>
    <cellStyle name="asd 39 27" xfId="34514"/>
    <cellStyle name="asd 39 3" xfId="3439"/>
    <cellStyle name="asd 39 3 10" xfId="12848"/>
    <cellStyle name="asd 39 3 11" xfId="14753"/>
    <cellStyle name="asd 39 3 12" xfId="16821"/>
    <cellStyle name="asd 39 3 13" xfId="18728"/>
    <cellStyle name="asd 39 3 14" xfId="20640"/>
    <cellStyle name="asd 39 3 15" xfId="22381"/>
    <cellStyle name="asd 39 3 16" xfId="24442"/>
    <cellStyle name="asd 39 3 17" xfId="27684"/>
    <cellStyle name="asd 39 3 18" xfId="28437"/>
    <cellStyle name="asd 39 3 19" xfId="31258"/>
    <cellStyle name="asd 39 3 2" xfId="3619"/>
    <cellStyle name="asd 39 3 2 10" xfId="17510"/>
    <cellStyle name="asd 39 3 2 11" xfId="19416"/>
    <cellStyle name="asd 39 3 2 12" xfId="21328"/>
    <cellStyle name="asd 39 3 2 13" xfId="24007"/>
    <cellStyle name="asd 39 3 2 14" xfId="25130"/>
    <cellStyle name="asd 39 3 2 15" xfId="27724"/>
    <cellStyle name="asd 39 3 2 16" xfId="2559"/>
    <cellStyle name="asd 39 3 2 17" xfId="31302"/>
    <cellStyle name="asd 39 3 2 18" xfId="32485"/>
    <cellStyle name="asd 39 3 2 19" xfId="33509"/>
    <cellStyle name="asd 39 3 2 2" xfId="5615"/>
    <cellStyle name="asd 39 3 2 2 10" xfId="21865"/>
    <cellStyle name="asd 39 3 2 2 11" xfId="22993"/>
    <cellStyle name="asd 39 3 2 2 12" xfId="25667"/>
    <cellStyle name="asd 39 3 2 2 13" xfId="27506"/>
    <cellStyle name="asd 39 3 2 2 14" xfId="29205"/>
    <cellStyle name="asd 39 3 2 2 15" xfId="31091"/>
    <cellStyle name="asd 39 3 2 2 16" xfId="32517"/>
    <cellStyle name="asd 39 3 2 2 17" xfId="33479"/>
    <cellStyle name="asd 39 3 2 2 18" xfId="36494"/>
    <cellStyle name="asd 39 3 2 2 19" xfId="38373"/>
    <cellStyle name="asd 39 3 2 2 2" xfId="7064"/>
    <cellStyle name="asd 39 3 2 2 20" xfId="39731"/>
    <cellStyle name="asd 39 3 2 2 21" xfId="41403"/>
    <cellStyle name="asd 39 3 2 2 22" xfId="42779"/>
    <cellStyle name="asd 39 3 2 2 3" xfId="8518"/>
    <cellStyle name="asd 39 3 2 2 4" xfId="10428"/>
    <cellStyle name="asd 39 3 2 2 5" xfId="10929"/>
    <cellStyle name="asd 39 3 2 2 6" xfId="13462"/>
    <cellStyle name="asd 39 3 2 2 7" xfId="15367"/>
    <cellStyle name="asd 39 3 2 2 8" xfId="18047"/>
    <cellStyle name="asd 39 3 2 2 9" xfId="19953"/>
    <cellStyle name="asd 39 3 2 20" xfId="35957"/>
    <cellStyle name="asd 39 3 2 21" xfId="37836"/>
    <cellStyle name="asd 39 3 2 22" xfId="39701"/>
    <cellStyle name="asd 39 3 2 23" xfId="41373"/>
    <cellStyle name="asd 39 3 2 24" xfId="43751"/>
    <cellStyle name="asd 39 3 2 3" xfId="5080"/>
    <cellStyle name="asd 39 3 2 4" xfId="6530"/>
    <cellStyle name="asd 39 3 2 5" xfId="7981"/>
    <cellStyle name="asd 39 3 2 6" xfId="9891"/>
    <cellStyle name="asd 39 3 2 7" xfId="11966"/>
    <cellStyle name="asd 39 3 2 8" xfId="14477"/>
    <cellStyle name="asd 39 3 2 9" xfId="16383"/>
    <cellStyle name="asd 39 3 20" xfId="32509"/>
    <cellStyle name="asd 39 3 21" xfId="33410"/>
    <cellStyle name="asd 39 3 22" xfId="35270"/>
    <cellStyle name="asd 39 3 23" xfId="37148"/>
    <cellStyle name="asd 39 3 24" xfId="39724"/>
    <cellStyle name="asd 39 3 25" xfId="41396"/>
    <cellStyle name="asd 39 3 26" xfId="42192"/>
    <cellStyle name="asd 39 3 3" xfId="2771"/>
    <cellStyle name="asd 39 3 3 10" xfId="19108"/>
    <cellStyle name="asd 39 3 3 11" xfId="21020"/>
    <cellStyle name="asd 39 3 3 12" xfId="24193"/>
    <cellStyle name="asd 39 3 3 13" xfId="24822"/>
    <cellStyle name="asd 39 3 3 14" xfId="11280"/>
    <cellStyle name="asd 39 3 3 15" xfId="3345"/>
    <cellStyle name="asd 39 3 3 16" xfId="26889"/>
    <cellStyle name="asd 39 3 3 17" xfId="11931"/>
    <cellStyle name="asd 39 3 3 18" xfId="3911"/>
    <cellStyle name="asd 39 3 3 19" xfId="35649"/>
    <cellStyle name="asd 39 3 3 2" xfId="4466"/>
    <cellStyle name="asd 39 3 3 2 10" xfId="20711"/>
    <cellStyle name="asd 39 3 3 2 11" xfId="22981"/>
    <cellStyle name="asd 39 3 3 2 12" xfId="24513"/>
    <cellStyle name="asd 39 3 3 2 13" xfId="27291"/>
    <cellStyle name="asd 39 3 3 2 14" xfId="29200"/>
    <cellStyle name="asd 39 3 3 2 15" xfId="30882"/>
    <cellStyle name="asd 39 3 3 2 16" xfId="31781"/>
    <cellStyle name="asd 39 3 3 2 17" xfId="34765"/>
    <cellStyle name="asd 39 3 3 2 18" xfId="35341"/>
    <cellStyle name="asd 39 3 3 2 19" xfId="37219"/>
    <cellStyle name="asd 39 3 3 2 2" xfId="5307"/>
    <cellStyle name="asd 39 3 3 2 20" xfId="39020"/>
    <cellStyle name="asd 39 3 3 2 21" xfId="40702"/>
    <cellStyle name="asd 39 3 3 2 22" xfId="42767"/>
    <cellStyle name="asd 39 3 3 2 3" xfId="6627"/>
    <cellStyle name="asd 39 3 3 2 4" xfId="9273"/>
    <cellStyle name="asd 39 3 3 2 5" xfId="12393"/>
    <cellStyle name="asd 39 3 3 2 6" xfId="13450"/>
    <cellStyle name="asd 39 3 3 2 7" xfId="15355"/>
    <cellStyle name="asd 39 3 3 2 8" xfId="16892"/>
    <cellStyle name="asd 39 3 3 2 9" xfId="18799"/>
    <cellStyle name="asd 39 3 3 20" xfId="37528"/>
    <cellStyle name="asd 39 3 3 21" xfId="33805"/>
    <cellStyle name="asd 39 3 3 22" xfId="2682"/>
    <cellStyle name="asd 39 3 3 23" xfId="43931"/>
    <cellStyle name="asd 39 3 3 3" xfId="4773"/>
    <cellStyle name="asd 39 3 3 4" xfId="7673"/>
    <cellStyle name="asd 39 3 3 5" xfId="9583"/>
    <cellStyle name="asd 39 3 3 6" xfId="12153"/>
    <cellStyle name="asd 39 3 3 7" xfId="14665"/>
    <cellStyle name="asd 39 3 3 8" xfId="16571"/>
    <cellStyle name="asd 39 3 3 9" xfId="17202"/>
    <cellStyle name="asd 39 3 4" xfId="4071"/>
    <cellStyle name="asd 39 3 4 10" xfId="19706"/>
    <cellStyle name="asd 39 3 4 11" xfId="21618"/>
    <cellStyle name="asd 39 3 4 12" xfId="22398"/>
    <cellStyle name="asd 39 3 4 13" xfId="25420"/>
    <cellStyle name="asd 39 3 4 14" xfId="26745"/>
    <cellStyle name="asd 39 3 4 15" xfId="29692"/>
    <cellStyle name="asd 39 3 4 16" xfId="30344"/>
    <cellStyle name="asd 39 3 4 17" xfId="32852"/>
    <cellStyle name="asd 39 3 4 18" xfId="34194"/>
    <cellStyle name="asd 39 3 4 19" xfId="36247"/>
    <cellStyle name="asd 39 3 4 2" xfId="5976"/>
    <cellStyle name="asd 39 3 4 2 10" xfId="22226"/>
    <cellStyle name="asd 39 3 4 2 11" xfId="22804"/>
    <cellStyle name="asd 39 3 4 2 12" xfId="26028"/>
    <cellStyle name="asd 39 3 4 2 13" xfId="26588"/>
    <cellStyle name="asd 39 3 4 2 14" xfId="29207"/>
    <cellStyle name="asd 39 3 4 2 15" xfId="30190"/>
    <cellStyle name="asd 39 3 4 2 16" xfId="32671"/>
    <cellStyle name="asd 39 3 4 2 17" xfId="34619"/>
    <cellStyle name="asd 39 3 4 2 18" xfId="36855"/>
    <cellStyle name="asd 39 3 4 2 19" xfId="38734"/>
    <cellStyle name="asd 39 3 4 2 2" xfId="7425"/>
    <cellStyle name="asd 39 3 4 2 20" xfId="39878"/>
    <cellStyle name="asd 39 3 4 2 21" xfId="41547"/>
    <cellStyle name="asd 39 3 4 2 22" xfId="42597"/>
    <cellStyle name="asd 39 3 4 2 3" xfId="8879"/>
    <cellStyle name="asd 39 3 4 2 4" xfId="10789"/>
    <cellStyle name="asd 39 3 4 2 5" xfId="11139"/>
    <cellStyle name="asd 39 3 4 2 6" xfId="13274"/>
    <cellStyle name="asd 39 3 4 2 7" xfId="15178"/>
    <cellStyle name="asd 39 3 4 2 8" xfId="18408"/>
    <cellStyle name="asd 39 3 4 2 9" xfId="20314"/>
    <cellStyle name="asd 39 3 4 20" xfId="38126"/>
    <cellStyle name="asd 39 3 4 21" xfId="40059"/>
    <cellStyle name="asd 39 3 4 22" xfId="41723"/>
    <cellStyle name="asd 39 3 4 23" xfId="42209"/>
    <cellStyle name="asd 39 3 4 3" xfId="6817"/>
    <cellStyle name="asd 39 3 4 4" xfId="8271"/>
    <cellStyle name="asd 39 3 4 5" xfId="10181"/>
    <cellStyle name="asd 39 3 4 6" xfId="11785"/>
    <cellStyle name="asd 39 3 4 7" xfId="12865"/>
    <cellStyle name="asd 39 3 4 8" xfId="14770"/>
    <cellStyle name="asd 39 3 4 9" xfId="17800"/>
    <cellStyle name="asd 39 3 5" xfId="4928"/>
    <cellStyle name="asd 39 3 5 10" xfId="21176"/>
    <cellStyle name="asd 39 3 5 11" xfId="22610"/>
    <cellStyle name="asd 39 3 5 12" xfId="24978"/>
    <cellStyle name="asd 39 3 5 13" xfId="27209"/>
    <cellStyle name="asd 39 3 5 14" xfId="6679"/>
    <cellStyle name="asd 39 3 5 15" xfId="30800"/>
    <cellStyle name="asd 39 3 5 16" xfId="31843"/>
    <cellStyle name="asd 39 3 5 17" xfId="34775"/>
    <cellStyle name="asd 39 3 5 18" xfId="35805"/>
    <cellStyle name="asd 39 3 5 19" xfId="37684"/>
    <cellStyle name="asd 39 3 5 2" xfId="6378"/>
    <cellStyle name="asd 39 3 5 20" xfId="39080"/>
    <cellStyle name="asd 39 3 5 21" xfId="40761"/>
    <cellStyle name="asd 39 3 5 22" xfId="42417"/>
    <cellStyle name="asd 39 3 5 3" xfId="7829"/>
    <cellStyle name="asd 39 3 5 4" xfId="9739"/>
    <cellStyle name="asd 39 3 5 5" xfId="11533"/>
    <cellStyle name="asd 39 3 5 6" xfId="13077"/>
    <cellStyle name="asd 39 3 5 7" xfId="14982"/>
    <cellStyle name="asd 39 3 5 8" xfId="17358"/>
    <cellStyle name="asd 39 3 5 9" xfId="19264"/>
    <cellStyle name="asd 39 3 6" xfId="5541"/>
    <cellStyle name="asd 39 3 6 10" xfId="21791"/>
    <cellStyle name="asd 39 3 6 11" xfId="23411"/>
    <cellStyle name="asd 39 3 6 12" xfId="25593"/>
    <cellStyle name="asd 39 3 6 13" xfId="27015"/>
    <cellStyle name="asd 39 3 6 14" xfId="28612"/>
    <cellStyle name="asd 39 3 6 15" xfId="30608"/>
    <cellStyle name="asd 39 3 6 16" xfId="32609"/>
    <cellStyle name="asd 39 3 6 17" xfId="33531"/>
    <cellStyle name="asd 39 3 6 18" xfId="36420"/>
    <cellStyle name="asd 39 3 6 19" xfId="38299"/>
    <cellStyle name="asd 39 3 6 2" xfId="6990"/>
    <cellStyle name="asd 39 3 6 20" xfId="39819"/>
    <cellStyle name="asd 39 3 6 21" xfId="41488"/>
    <cellStyle name="asd 39 3 6 22" xfId="43178"/>
    <cellStyle name="asd 39 3 6 3" xfId="8444"/>
    <cellStyle name="asd 39 3 6 4" xfId="10354"/>
    <cellStyle name="asd 39 3 6 5" xfId="11302"/>
    <cellStyle name="asd 39 3 6 6" xfId="13883"/>
    <cellStyle name="asd 39 3 6 7" xfId="15784"/>
    <cellStyle name="asd 39 3 6 8" xfId="17973"/>
    <cellStyle name="asd 39 3 6 9" xfId="19879"/>
    <cellStyle name="asd 39 3 7" xfId="4644"/>
    <cellStyle name="asd 39 3 8" xfId="9202"/>
    <cellStyle name="asd 39 3 9" xfId="1828"/>
    <cellStyle name="asd 39 4" xfId="3371"/>
    <cellStyle name="asd 39 4 10" xfId="15050"/>
    <cellStyle name="asd 39 4 11" xfId="16679"/>
    <cellStyle name="asd 39 4 12" xfId="18586"/>
    <cellStyle name="asd 39 4 13" xfId="20498"/>
    <cellStyle name="asd 39 4 14" xfId="22678"/>
    <cellStyle name="asd 39 4 15" xfId="24300"/>
    <cellStyle name="asd 39 4 16" xfId="26950"/>
    <cellStyle name="asd 39 4 17" xfId="14705"/>
    <cellStyle name="asd 39 4 18" xfId="30544"/>
    <cellStyle name="asd 39 4 19" xfId="32917"/>
    <cellStyle name="asd 39 4 2" xfId="3551"/>
    <cellStyle name="asd 39 4 2 10" xfId="17442"/>
    <cellStyle name="asd 39 4 2 11" xfId="19348"/>
    <cellStyle name="asd 39 4 2 12" xfId="21260"/>
    <cellStyle name="asd 39 4 2 13" xfId="24131"/>
    <cellStyle name="asd 39 4 2 14" xfId="25062"/>
    <cellStyle name="asd 39 4 2 15" xfId="27400"/>
    <cellStyle name="asd 39 4 2 16" xfId="29471"/>
    <cellStyle name="asd 39 4 2 17" xfId="30986"/>
    <cellStyle name="asd 39 4 2 18" xfId="33119"/>
    <cellStyle name="asd 39 4 2 19" xfId="33692"/>
    <cellStyle name="asd 39 4 2 2" xfId="5680"/>
    <cellStyle name="asd 39 4 2 2 10" xfId="21930"/>
    <cellStyle name="asd 39 4 2 2 11" xfId="23755"/>
    <cellStyle name="asd 39 4 2 2 12" xfId="25732"/>
    <cellStyle name="asd 39 4 2 2 13" xfId="27754"/>
    <cellStyle name="asd 39 4 2 2 14" xfId="28433"/>
    <cellStyle name="asd 39 4 2 2 15" xfId="31333"/>
    <cellStyle name="asd 39 4 2 2 16" xfId="32558"/>
    <cellStyle name="asd 39 4 2 2 17" xfId="34363"/>
    <cellStyle name="asd 39 4 2 2 18" xfId="36559"/>
    <cellStyle name="asd 39 4 2 2 19" xfId="38438"/>
    <cellStyle name="asd 39 4 2 2 2" xfId="7129"/>
    <cellStyle name="asd 39 4 2 2 20" xfId="39771"/>
    <cellStyle name="asd 39 4 2 2 21" xfId="41441"/>
    <cellStyle name="asd 39 4 2 2 22" xfId="43508"/>
    <cellStyle name="asd 39 4 2 2 3" xfId="8583"/>
    <cellStyle name="asd 39 4 2 2 4" xfId="10493"/>
    <cellStyle name="asd 39 4 2 2 5" xfId="11554"/>
    <cellStyle name="asd 39 4 2 2 6" xfId="14225"/>
    <cellStyle name="asd 39 4 2 2 7" xfId="16129"/>
    <cellStyle name="asd 39 4 2 2 8" xfId="18112"/>
    <cellStyle name="asd 39 4 2 2 9" xfId="20018"/>
    <cellStyle name="asd 39 4 2 20" xfId="35889"/>
    <cellStyle name="asd 39 4 2 21" xfId="37768"/>
    <cellStyle name="asd 39 4 2 22" xfId="40313"/>
    <cellStyle name="asd 39 4 2 23" xfId="41969"/>
    <cellStyle name="asd 39 4 2 24" xfId="43874"/>
    <cellStyle name="asd 39 4 2 3" xfId="5012"/>
    <cellStyle name="asd 39 4 2 4" xfId="6462"/>
    <cellStyle name="asd 39 4 2 5" xfId="7913"/>
    <cellStyle name="asd 39 4 2 6" xfId="9823"/>
    <cellStyle name="asd 39 4 2 7" xfId="12091"/>
    <cellStyle name="asd 39 4 2 8" xfId="14602"/>
    <cellStyle name="asd 39 4 2 9" xfId="16508"/>
    <cellStyle name="asd 39 4 20" xfId="33955"/>
    <cellStyle name="asd 39 4 21" xfId="35128"/>
    <cellStyle name="asd 39 4 22" xfId="37006"/>
    <cellStyle name="asd 39 4 23" xfId="40121"/>
    <cellStyle name="asd 39 4 24" xfId="41781"/>
    <cellStyle name="asd 39 4 25" xfId="42483"/>
    <cellStyle name="asd 39 4 3" xfId="2467"/>
    <cellStyle name="asd 39 4 3 10" xfId="19071"/>
    <cellStyle name="asd 39 4 3 11" xfId="20983"/>
    <cellStyle name="asd 39 4 3 12" xfId="23249"/>
    <cellStyle name="asd 39 4 3 13" xfId="24785"/>
    <cellStyle name="asd 39 4 3 14" xfId="26850"/>
    <cellStyle name="asd 39 4 3 15" xfId="28577"/>
    <cellStyle name="asd 39 4 3 16" xfId="30447"/>
    <cellStyle name="asd 39 4 3 17" xfId="33070"/>
    <cellStyle name="asd 39 4 3 18" xfId="34547"/>
    <cellStyle name="asd 39 4 3 19" xfId="35612"/>
    <cellStyle name="asd 39 4 3 2" xfId="5570"/>
    <cellStyle name="asd 39 4 3 2 10" xfId="21820"/>
    <cellStyle name="asd 39 4 3 2 11" xfId="23078"/>
    <cellStyle name="asd 39 4 3 2 12" xfId="25622"/>
    <cellStyle name="asd 39 4 3 2 13" xfId="26762"/>
    <cellStyle name="asd 39 4 3 2 14" xfId="28133"/>
    <cellStyle name="asd 39 4 3 2 15" xfId="30361"/>
    <cellStyle name="asd 39 4 3 2 16" xfId="32532"/>
    <cellStyle name="asd 39 4 3 2 17" xfId="33425"/>
    <cellStyle name="asd 39 4 3 2 18" xfId="36449"/>
    <cellStyle name="asd 39 4 3 2 19" xfId="38328"/>
    <cellStyle name="asd 39 4 3 2 2" xfId="7019"/>
    <cellStyle name="asd 39 4 3 2 20" xfId="39745"/>
    <cellStyle name="asd 39 4 3 2 21" xfId="41417"/>
    <cellStyle name="asd 39 4 3 2 22" xfId="42860"/>
    <cellStyle name="asd 39 4 3 2 3" xfId="8473"/>
    <cellStyle name="asd 39 4 3 2 4" xfId="10383"/>
    <cellStyle name="asd 39 4 3 2 5" xfId="12686"/>
    <cellStyle name="asd 39 4 3 2 6" xfId="13549"/>
    <cellStyle name="asd 39 4 3 2 7" xfId="15452"/>
    <cellStyle name="asd 39 4 3 2 8" xfId="18002"/>
    <cellStyle name="asd 39 4 3 2 9" xfId="19908"/>
    <cellStyle name="asd 39 4 3 20" xfId="37491"/>
    <cellStyle name="asd 39 4 3 21" xfId="40266"/>
    <cellStyle name="asd 39 4 3 22" xfId="41924"/>
    <cellStyle name="asd 39 4 3 23" xfId="43026"/>
    <cellStyle name="asd 39 4 3 3" xfId="4736"/>
    <cellStyle name="asd 39 4 3 4" xfId="7636"/>
    <cellStyle name="asd 39 4 3 5" xfId="9546"/>
    <cellStyle name="asd 39 4 3 6" xfId="11160"/>
    <cellStyle name="asd 39 4 3 7" xfId="13721"/>
    <cellStyle name="asd 39 4 3 8" xfId="15623"/>
    <cellStyle name="asd 39 4 3 9" xfId="17165"/>
    <cellStyle name="asd 39 4 4" xfId="4003"/>
    <cellStyle name="asd 39 4 4 10" xfId="19638"/>
    <cellStyle name="asd 39 4 4 11" xfId="21550"/>
    <cellStyle name="asd 39 4 4 12" xfId="22688"/>
    <cellStyle name="asd 39 4 4 13" xfId="25352"/>
    <cellStyle name="asd 39 4 4 14" xfId="27923"/>
    <cellStyle name="asd 39 4 4 15" xfId="2313"/>
    <cellStyle name="asd 39 4 4 16" xfId="31505"/>
    <cellStyle name="asd 39 4 4 17" xfId="32823"/>
    <cellStyle name="asd 39 4 4 18" xfId="3951"/>
    <cellStyle name="asd 39 4 4 19" xfId="36179"/>
    <cellStyle name="asd 39 4 4 2" xfId="5908"/>
    <cellStyle name="asd 39 4 4 2 10" xfId="22158"/>
    <cellStyle name="asd 39 4 4 2 11" xfId="16603"/>
    <cellStyle name="asd 39 4 4 2 12" xfId="25960"/>
    <cellStyle name="asd 39 4 4 2 13" xfId="2747"/>
    <cellStyle name="asd 39 4 4 2 14" xfId="18521"/>
    <cellStyle name="asd 39 4 4 2 15" xfId="29286"/>
    <cellStyle name="asd 39 4 4 2 16" xfId="2890"/>
    <cellStyle name="asd 39 4 4 2 17" xfId="26267"/>
    <cellStyle name="asd 39 4 4 2 18" xfId="36787"/>
    <cellStyle name="asd 39 4 4 2 19" xfId="38666"/>
    <cellStyle name="asd 39 4 4 2 2" xfId="7357"/>
    <cellStyle name="asd 39 4 4 2 20" xfId="6676"/>
    <cellStyle name="asd 39 4 4 2 21" xfId="6697"/>
    <cellStyle name="asd 39 4 4 2 22" xfId="27120"/>
    <cellStyle name="asd 39 4 4 2 3" xfId="8811"/>
    <cellStyle name="asd 39 4 4 2 4" xfId="10721"/>
    <cellStyle name="asd 39 4 4 2 5" xfId="12395"/>
    <cellStyle name="asd 39 4 4 2 6" xfId="4316"/>
    <cellStyle name="asd 39 4 4 2 7" xfId="3720"/>
    <cellStyle name="asd 39 4 4 2 8" xfId="18340"/>
    <cellStyle name="asd 39 4 4 2 9" xfId="20246"/>
    <cellStyle name="asd 39 4 4 20" xfId="38058"/>
    <cellStyle name="asd 39 4 4 21" xfId="40032"/>
    <cellStyle name="asd 39 4 4 22" xfId="41696"/>
    <cellStyle name="asd 39 4 4 23" xfId="42491"/>
    <cellStyle name="asd 39 4 4 3" xfId="6749"/>
    <cellStyle name="asd 39 4 4 4" xfId="8203"/>
    <cellStyle name="asd 39 4 4 5" xfId="10113"/>
    <cellStyle name="asd 39 4 4 6" xfId="11374"/>
    <cellStyle name="asd 39 4 4 7" xfId="13155"/>
    <cellStyle name="asd 39 4 4 8" xfId="15060"/>
    <cellStyle name="asd 39 4 4 9" xfId="17732"/>
    <cellStyle name="asd 39 4 5" xfId="5641"/>
    <cellStyle name="asd 39 4 5 10" xfId="21891"/>
    <cellStyle name="asd 39 4 5 11" xfId="23030"/>
    <cellStyle name="asd 39 4 5 12" xfId="25693"/>
    <cellStyle name="asd 39 4 5 13" xfId="27919"/>
    <cellStyle name="asd 39 4 5 14" xfId="29629"/>
    <cellStyle name="asd 39 4 5 15" xfId="31501"/>
    <cellStyle name="asd 39 4 5 16" xfId="33174"/>
    <cellStyle name="asd 39 4 5 17" xfId="33653"/>
    <cellStyle name="asd 39 4 5 18" xfId="36520"/>
    <cellStyle name="asd 39 4 5 19" xfId="38399"/>
    <cellStyle name="asd 39 4 5 2" xfId="7090"/>
    <cellStyle name="asd 39 4 5 20" xfId="40365"/>
    <cellStyle name="asd 39 4 5 21" xfId="42021"/>
    <cellStyle name="asd 39 4 5 22" xfId="42813"/>
    <cellStyle name="asd 39 4 5 3" xfId="8544"/>
    <cellStyle name="asd 39 4 5 4" xfId="10454"/>
    <cellStyle name="asd 39 4 5 5" xfId="11772"/>
    <cellStyle name="asd 39 4 5 6" xfId="13500"/>
    <cellStyle name="asd 39 4 5 7" xfId="15404"/>
    <cellStyle name="asd 39 4 5 8" xfId="18073"/>
    <cellStyle name="asd 39 4 5 9" xfId="19979"/>
    <cellStyle name="asd 39 4 6" xfId="5324"/>
    <cellStyle name="asd 39 4 7" xfId="9060"/>
    <cellStyle name="asd 39 4 8" xfId="11045"/>
    <cellStyle name="asd 39 4 9" xfId="13145"/>
    <cellStyle name="asd 39 5" xfId="2847"/>
    <cellStyle name="asd 39 5 10" xfId="17211"/>
    <cellStyle name="asd 39 5 11" xfId="19117"/>
    <cellStyle name="asd 39 5 12" xfId="21029"/>
    <cellStyle name="asd 39 5 13" xfId="24137"/>
    <cellStyle name="asd 39 5 14" xfId="24831"/>
    <cellStyle name="asd 39 5 15" xfId="27262"/>
    <cellStyle name="asd 39 5 16" xfId="29257"/>
    <cellStyle name="asd 39 5 17" xfId="30853"/>
    <cellStyle name="asd 39 5 18" xfId="33165"/>
    <cellStyle name="asd 39 5 19" xfId="34664"/>
    <cellStyle name="asd 39 5 2" xfId="5535"/>
    <cellStyle name="asd 39 5 2 10" xfId="21785"/>
    <cellStyle name="asd 39 5 2 11" xfId="22559"/>
    <cellStyle name="asd 39 5 2 12" xfId="25587"/>
    <cellStyle name="asd 39 5 2 13" xfId="26781"/>
    <cellStyle name="asd 39 5 2 14" xfId="29632"/>
    <cellStyle name="asd 39 5 2 15" xfId="30380"/>
    <cellStyle name="asd 39 5 2 16" xfId="31699"/>
    <cellStyle name="asd 39 5 2 17" xfId="34858"/>
    <cellStyle name="asd 39 5 2 18" xfId="36414"/>
    <cellStyle name="asd 39 5 2 19" xfId="38293"/>
    <cellStyle name="asd 39 5 2 2" xfId="6984"/>
    <cellStyle name="asd 39 5 2 20" xfId="38940"/>
    <cellStyle name="asd 39 5 2 21" xfId="40624"/>
    <cellStyle name="asd 39 5 2 22" xfId="42368"/>
    <cellStyle name="asd 39 5 2 3" xfId="8438"/>
    <cellStyle name="asd 39 5 2 4" xfId="10348"/>
    <cellStyle name="asd 39 5 2 5" xfId="11134"/>
    <cellStyle name="asd 39 5 2 6" xfId="13027"/>
    <cellStyle name="asd 39 5 2 7" xfId="14931"/>
    <cellStyle name="asd 39 5 2 8" xfId="17967"/>
    <cellStyle name="asd 39 5 2 9" xfId="19873"/>
    <cellStyle name="asd 39 5 20" xfId="35658"/>
    <cellStyle name="asd 39 5 21" xfId="37537"/>
    <cellStyle name="asd 39 5 22" xfId="40357"/>
    <cellStyle name="asd 39 5 23" xfId="42013"/>
    <cellStyle name="asd 39 5 24" xfId="43880"/>
    <cellStyle name="asd 39 5 3" xfId="4782"/>
    <cellStyle name="asd 39 5 4" xfId="6231"/>
    <cellStyle name="asd 39 5 5" xfId="7682"/>
    <cellStyle name="asd 39 5 6" xfId="9592"/>
    <cellStyle name="asd 39 5 7" xfId="12097"/>
    <cellStyle name="asd 39 5 8" xfId="14608"/>
    <cellStyle name="asd 39 5 9" xfId="16514"/>
    <cellStyle name="asd 39 6" xfId="2821"/>
    <cellStyle name="asd 39 6 10" xfId="19113"/>
    <cellStyle name="asd 39 6 11" xfId="21025"/>
    <cellStyle name="asd 39 6 12" xfId="23301"/>
    <cellStyle name="asd 39 6 13" xfId="24827"/>
    <cellStyle name="asd 39 6 14" xfId="27106"/>
    <cellStyle name="asd 39 6 15" xfId="28493"/>
    <cellStyle name="asd 39 6 16" xfId="30697"/>
    <cellStyle name="asd 39 6 17" xfId="32417"/>
    <cellStyle name="asd 39 6 18" xfId="34908"/>
    <cellStyle name="asd 39 6 19" xfId="35654"/>
    <cellStyle name="asd 39 6 2" xfId="4496"/>
    <cellStyle name="asd 39 6 2 10" xfId="20741"/>
    <cellStyle name="asd 39 6 2 11" xfId="23882"/>
    <cellStyle name="asd 39 6 2 12" xfId="24543"/>
    <cellStyle name="asd 39 6 2 13" xfId="27599"/>
    <cellStyle name="asd 39 6 2 14" xfId="29643"/>
    <cellStyle name="asd 39 6 2 15" xfId="31177"/>
    <cellStyle name="asd 39 6 2 16" xfId="31742"/>
    <cellStyle name="asd 39 6 2 17" xfId="33661"/>
    <cellStyle name="asd 39 6 2 18" xfId="35371"/>
    <cellStyle name="asd 39 6 2 19" xfId="37249"/>
    <cellStyle name="asd 39 6 2 2" xfId="2730"/>
    <cellStyle name="asd 39 6 2 20" xfId="38983"/>
    <cellStyle name="asd 39 6 2 21" xfId="40666"/>
    <cellStyle name="asd 39 6 2 22" xfId="43632"/>
    <cellStyle name="asd 39 6 2 3" xfId="2773"/>
    <cellStyle name="asd 39 6 2 4" xfId="9303"/>
    <cellStyle name="asd 39 6 2 5" xfId="11481"/>
    <cellStyle name="asd 39 6 2 6" xfId="14352"/>
    <cellStyle name="asd 39 6 2 7" xfId="16257"/>
    <cellStyle name="asd 39 6 2 8" xfId="16922"/>
    <cellStyle name="asd 39 6 2 9" xfId="18829"/>
    <cellStyle name="asd 39 6 20" xfId="37533"/>
    <cellStyle name="asd 39 6 21" xfId="39634"/>
    <cellStyle name="asd 39 6 22" xfId="41308"/>
    <cellStyle name="asd 39 6 23" xfId="43073"/>
    <cellStyle name="asd 39 6 3" xfId="4778"/>
    <cellStyle name="asd 39 6 4" xfId="7678"/>
    <cellStyle name="asd 39 6 5" xfId="9588"/>
    <cellStyle name="asd 39 6 6" xfId="11283"/>
    <cellStyle name="asd 39 6 7" xfId="13773"/>
    <cellStyle name="asd 39 6 8" xfId="15675"/>
    <cellStyle name="asd 39 6 9" xfId="17207"/>
    <cellStyle name="asd 39 7" xfId="2723"/>
    <cellStyle name="asd 39 7 10" xfId="19098"/>
    <cellStyle name="asd 39 7 11" xfId="21010"/>
    <cellStyle name="asd 39 7 12" xfId="22736"/>
    <cellStyle name="asd 39 7 13" xfId="24812"/>
    <cellStyle name="asd 39 7 14" xfId="26885"/>
    <cellStyle name="asd 39 7 15" xfId="28043"/>
    <cellStyle name="asd 39 7 16" xfId="30482"/>
    <cellStyle name="asd 39 7 17" xfId="32469"/>
    <cellStyle name="asd 39 7 18" xfId="34668"/>
    <cellStyle name="asd 39 7 19" xfId="35639"/>
    <cellStyle name="asd 39 7 2" xfId="5518"/>
    <cellStyle name="asd 39 7 2 10" xfId="21768"/>
    <cellStyle name="asd 39 7 2 11" xfId="22885"/>
    <cellStyle name="asd 39 7 2 12" xfId="25570"/>
    <cellStyle name="asd 39 7 2 13" xfId="27140"/>
    <cellStyle name="asd 39 7 2 14" xfId="29217"/>
    <cellStyle name="asd 39 7 2 15" xfId="30731"/>
    <cellStyle name="asd 39 7 2 16" xfId="32301"/>
    <cellStyle name="asd 39 7 2 17" xfId="34345"/>
    <cellStyle name="asd 39 7 2 18" xfId="36397"/>
    <cellStyle name="asd 39 7 2 19" xfId="38276"/>
    <cellStyle name="asd 39 7 2 2" xfId="6967"/>
    <cellStyle name="asd 39 7 2 20" xfId="39520"/>
    <cellStyle name="asd 39 7 2 21" xfId="41194"/>
    <cellStyle name="asd 39 7 2 22" xfId="42671"/>
    <cellStyle name="asd 39 7 2 3" xfId="8421"/>
    <cellStyle name="asd 39 7 2 4" xfId="10331"/>
    <cellStyle name="asd 39 7 2 5" xfId="12344"/>
    <cellStyle name="asd 39 7 2 6" xfId="13353"/>
    <cellStyle name="asd 39 7 2 7" xfId="15258"/>
    <cellStyle name="asd 39 7 2 8" xfId="17950"/>
    <cellStyle name="asd 39 7 2 9" xfId="19856"/>
    <cellStyle name="asd 39 7 20" xfId="37518"/>
    <cellStyle name="asd 39 7 21" xfId="39687"/>
    <cellStyle name="asd 39 7 22" xfId="41360"/>
    <cellStyle name="asd 39 7 23" xfId="42534"/>
    <cellStyle name="asd 39 7 3" xfId="6212"/>
    <cellStyle name="asd 39 7 4" xfId="7663"/>
    <cellStyle name="asd 39 7 5" xfId="9573"/>
    <cellStyle name="asd 39 7 6" xfId="12605"/>
    <cellStyle name="asd 39 7 7" xfId="13205"/>
    <cellStyle name="asd 39 7 8" xfId="15108"/>
    <cellStyle name="asd 39 7 9" xfId="17192"/>
    <cellStyle name="asd 39 8" xfId="2094"/>
    <cellStyle name="asd 39 9" xfId="3208"/>
    <cellStyle name="asd 4" xfId="697"/>
    <cellStyle name="asd 4 10" xfId="3061"/>
    <cellStyle name="asd 4 11" xfId="3962"/>
    <cellStyle name="asd 4 12" xfId="5428"/>
    <cellStyle name="asd 4 13" xfId="1926"/>
    <cellStyle name="asd 4 14" xfId="2053"/>
    <cellStyle name="asd 4 15" xfId="4527"/>
    <cellStyle name="asd 4 16" xfId="11562"/>
    <cellStyle name="asd 4 17" xfId="2988"/>
    <cellStyle name="asd 4 18" xfId="3146"/>
    <cellStyle name="asd 4 19" xfId="2436"/>
    <cellStyle name="asd 4 2" xfId="3433"/>
    <cellStyle name="asd 4 2 10" xfId="13142"/>
    <cellStyle name="asd 4 2 11" xfId="15047"/>
    <cellStyle name="asd 4 2 12" xfId="16810"/>
    <cellStyle name="asd 4 2 13" xfId="18717"/>
    <cellStyle name="asd 4 2 14" xfId="20629"/>
    <cellStyle name="asd 4 2 15" xfId="22675"/>
    <cellStyle name="asd 4 2 16" xfId="24431"/>
    <cellStyle name="asd 4 2 17" xfId="27781"/>
    <cellStyle name="asd 4 2 18" xfId="28073"/>
    <cellStyle name="asd 4 2 19" xfId="31358"/>
    <cellStyle name="asd 4 2 2" xfId="3613"/>
    <cellStyle name="asd 4 2 2 10" xfId="17504"/>
    <cellStyle name="asd 4 2 2 11" xfId="19410"/>
    <cellStyle name="asd 4 2 2 12" xfId="21322"/>
    <cellStyle name="asd 4 2 2 13" xfId="23143"/>
    <cellStyle name="asd 4 2 2 14" xfId="25124"/>
    <cellStyle name="asd 4 2 2 15" xfId="27831"/>
    <cellStyle name="asd 4 2 2 16" xfId="16268"/>
    <cellStyle name="asd 4 2 2 17" xfId="31409"/>
    <cellStyle name="asd 4 2 2 18" xfId="3114"/>
    <cellStyle name="asd 4 2 2 19" xfId="2284"/>
    <cellStyle name="asd 4 2 2 2" xfId="5558"/>
    <cellStyle name="asd 4 2 2 2 10" xfId="21808"/>
    <cellStyle name="asd 4 2 2 2 11" xfId="23206"/>
    <cellStyle name="asd 4 2 2 2 12" xfId="25610"/>
    <cellStyle name="asd 4 2 2 2 13" xfId="26663"/>
    <cellStyle name="asd 4 2 2 2 14" xfId="28927"/>
    <cellStyle name="asd 4 2 2 2 15" xfId="30263"/>
    <cellStyle name="asd 4 2 2 2 16" xfId="32526"/>
    <cellStyle name="asd 4 2 2 2 17" xfId="34429"/>
    <cellStyle name="asd 4 2 2 2 18" xfId="36437"/>
    <cellStyle name="asd 4 2 2 2 19" xfId="38316"/>
    <cellStyle name="asd 4 2 2 2 2" xfId="7007"/>
    <cellStyle name="asd 4 2 2 2 20" xfId="39739"/>
    <cellStyle name="asd 4 2 2 2 21" xfId="41411"/>
    <cellStyle name="asd 4 2 2 2 22" xfId="42984"/>
    <cellStyle name="asd 4 2 2 2 3" xfId="8461"/>
    <cellStyle name="asd 4 2 2 2 4" xfId="10371"/>
    <cellStyle name="asd 4 2 2 2 5" xfId="11076"/>
    <cellStyle name="asd 4 2 2 2 6" xfId="13678"/>
    <cellStyle name="asd 4 2 2 2 7" xfId="15580"/>
    <cellStyle name="asd 4 2 2 2 8" xfId="17990"/>
    <cellStyle name="asd 4 2 2 2 9" xfId="19896"/>
    <cellStyle name="asd 4 2 2 20" xfId="35951"/>
    <cellStyle name="asd 4 2 2 21" xfId="37830"/>
    <cellStyle name="asd 4 2 2 22" xfId="16622"/>
    <cellStyle name="asd 4 2 2 23" xfId="12145"/>
    <cellStyle name="asd 4 2 2 24" xfId="42921"/>
    <cellStyle name="asd 4 2 2 3" xfId="5074"/>
    <cellStyle name="asd 4 2 2 4" xfId="6524"/>
    <cellStyle name="asd 4 2 2 5" xfId="7975"/>
    <cellStyle name="asd 4 2 2 6" xfId="9885"/>
    <cellStyle name="asd 4 2 2 7" xfId="10923"/>
    <cellStyle name="asd 4 2 2 8" xfId="13614"/>
    <cellStyle name="asd 4 2 2 9" xfId="15517"/>
    <cellStyle name="asd 4 2 20" xfId="32795"/>
    <cellStyle name="asd 4 2 21" xfId="34557"/>
    <cellStyle name="asd 4 2 22" xfId="35259"/>
    <cellStyle name="asd 4 2 23" xfId="37137"/>
    <cellStyle name="asd 4 2 24" xfId="40004"/>
    <cellStyle name="asd 4 2 25" xfId="41668"/>
    <cellStyle name="asd 4 2 26" xfId="42480"/>
    <cellStyle name="asd 4 2 3" xfId="3812"/>
    <cellStyle name="asd 4 2 3 10" xfId="19543"/>
    <cellStyle name="asd 4 2 3 11" xfId="21455"/>
    <cellStyle name="asd 4 2 3 12" xfId="22603"/>
    <cellStyle name="asd 4 2 3 13" xfId="25257"/>
    <cellStyle name="asd 4 2 3 14" xfId="26949"/>
    <cellStyle name="asd 4 2 3 15" xfId="16487"/>
    <cellStyle name="asd 4 2 3 16" xfId="30543"/>
    <cellStyle name="asd 4 2 3 17" xfId="32134"/>
    <cellStyle name="asd 4 2 3 18" xfId="35054"/>
    <cellStyle name="asd 4 2 3 19" xfId="36084"/>
    <cellStyle name="asd 4 2 3 2" xfId="5813"/>
    <cellStyle name="asd 4 2 3 2 10" xfId="22063"/>
    <cellStyle name="asd 4 2 3 2 11" xfId="22827"/>
    <cellStyle name="asd 4 2 3 2 12" xfId="25865"/>
    <cellStyle name="asd 4 2 3 2 13" xfId="27787"/>
    <cellStyle name="asd 4 2 3 2 14" xfId="29413"/>
    <cellStyle name="asd 4 2 3 2 15" xfId="31364"/>
    <cellStyle name="asd 4 2 3 2 16" xfId="32799"/>
    <cellStyle name="asd 4 2 3 2 17" xfId="34947"/>
    <cellStyle name="asd 4 2 3 2 18" xfId="36692"/>
    <cellStyle name="asd 4 2 3 2 19" xfId="38571"/>
    <cellStyle name="asd 4 2 3 2 2" xfId="7262"/>
    <cellStyle name="asd 4 2 3 2 20" xfId="40008"/>
    <cellStyle name="asd 4 2 3 2 21" xfId="41672"/>
    <cellStyle name="asd 4 2 3 2 22" xfId="42619"/>
    <cellStyle name="asd 4 2 3 2 3" xfId="8716"/>
    <cellStyle name="asd 4 2 3 2 4" xfId="10626"/>
    <cellStyle name="asd 4 2 3 2 5" xfId="12212"/>
    <cellStyle name="asd 4 2 3 2 6" xfId="13296"/>
    <cellStyle name="asd 4 2 3 2 7" xfId="15201"/>
    <cellStyle name="asd 4 2 3 2 8" xfId="18245"/>
    <cellStyle name="asd 4 2 3 2 9" xfId="20151"/>
    <cellStyle name="asd 4 2 3 20" xfId="37963"/>
    <cellStyle name="asd 4 2 3 21" xfId="39357"/>
    <cellStyle name="asd 4 2 3 22" xfId="41033"/>
    <cellStyle name="asd 4 2 3 23" xfId="42412"/>
    <cellStyle name="asd 4 2 3 3" xfId="5207"/>
    <cellStyle name="asd 4 2 3 4" xfId="8108"/>
    <cellStyle name="asd 4 2 3 5" xfId="10018"/>
    <cellStyle name="asd 4 2 3 6" xfId="12306"/>
    <cellStyle name="asd 4 2 3 7" xfId="13071"/>
    <cellStyle name="asd 4 2 3 8" xfId="14975"/>
    <cellStyle name="asd 4 2 3 9" xfId="17637"/>
    <cellStyle name="asd 4 2 4" xfId="4065"/>
    <cellStyle name="asd 4 2 4 10" xfId="19700"/>
    <cellStyle name="asd 4 2 4 11" xfId="21612"/>
    <cellStyle name="asd 4 2 4 12" xfId="23815"/>
    <cellStyle name="asd 4 2 4 13" xfId="25414"/>
    <cellStyle name="asd 4 2 4 14" xfId="27004"/>
    <cellStyle name="asd 4 2 4 15" xfId="28722"/>
    <cellStyle name="asd 4 2 4 16" xfId="30598"/>
    <cellStyle name="asd 4 2 4 17" xfId="32742"/>
    <cellStyle name="asd 4 2 4 18" xfId="34257"/>
    <cellStyle name="asd 4 2 4 19" xfId="36241"/>
    <cellStyle name="asd 4 2 4 2" xfId="5970"/>
    <cellStyle name="asd 4 2 4 2 10" xfId="22220"/>
    <cellStyle name="asd 4 2 4 2 11" xfId="23413"/>
    <cellStyle name="asd 4 2 4 2 12" xfId="26022"/>
    <cellStyle name="asd 4 2 4 2 13" xfId="27575"/>
    <cellStyle name="asd 4 2 4 2 14" xfId="29379"/>
    <cellStyle name="asd 4 2 4 2 15" xfId="31154"/>
    <cellStyle name="asd 4 2 4 2 16" xfId="31738"/>
    <cellStyle name="asd 4 2 4 2 17" xfId="33915"/>
    <cellStyle name="asd 4 2 4 2 18" xfId="36849"/>
    <cellStyle name="asd 4 2 4 2 19" xfId="38728"/>
    <cellStyle name="asd 4 2 4 2 2" xfId="7419"/>
    <cellStyle name="asd 4 2 4 2 20" xfId="38979"/>
    <cellStyle name="asd 4 2 4 2 21" xfId="40662"/>
    <cellStyle name="asd 4 2 4 2 22" xfId="43180"/>
    <cellStyle name="asd 4 2 4 2 3" xfId="8873"/>
    <cellStyle name="asd 4 2 4 2 4" xfId="10783"/>
    <cellStyle name="asd 4 2 4 2 5" xfId="12370"/>
    <cellStyle name="asd 4 2 4 2 6" xfId="13885"/>
    <cellStyle name="asd 4 2 4 2 7" xfId="15786"/>
    <cellStyle name="asd 4 2 4 2 8" xfId="18402"/>
    <cellStyle name="asd 4 2 4 2 9" xfId="20308"/>
    <cellStyle name="asd 4 2 4 20" xfId="38120"/>
    <cellStyle name="asd 4 2 4 21" xfId="39950"/>
    <cellStyle name="asd 4 2 4 22" xfId="41615"/>
    <cellStyle name="asd 4 2 4 23" xfId="43566"/>
    <cellStyle name="asd 4 2 4 3" xfId="6811"/>
    <cellStyle name="asd 4 2 4 4" xfId="8265"/>
    <cellStyle name="asd 4 2 4 5" xfId="10175"/>
    <cellStyle name="asd 4 2 4 6" xfId="11636"/>
    <cellStyle name="asd 4 2 4 7" xfId="14285"/>
    <cellStyle name="asd 4 2 4 8" xfId="16189"/>
    <cellStyle name="asd 4 2 4 9" xfId="17794"/>
    <cellStyle name="asd 4 2 5" xfId="4922"/>
    <cellStyle name="asd 4 2 5 10" xfId="21170"/>
    <cellStyle name="asd 4 2 5 11" xfId="23383"/>
    <cellStyle name="asd 4 2 5 12" xfId="24972"/>
    <cellStyle name="asd 4 2 5 13" xfId="27375"/>
    <cellStyle name="asd 4 2 5 14" xfId="29304"/>
    <cellStyle name="asd 4 2 5 15" xfId="30961"/>
    <cellStyle name="asd 4 2 5 16" xfId="32677"/>
    <cellStyle name="asd 4 2 5 17" xfId="34614"/>
    <cellStyle name="asd 4 2 5 18" xfId="35799"/>
    <cellStyle name="asd 4 2 5 19" xfId="37678"/>
    <cellStyle name="asd 4 2 5 2" xfId="6372"/>
    <cellStyle name="asd 4 2 5 20" xfId="39885"/>
    <cellStyle name="asd 4 2 5 21" xfId="41554"/>
    <cellStyle name="asd 4 2 5 22" xfId="43150"/>
    <cellStyle name="asd 4 2 5 3" xfId="7823"/>
    <cellStyle name="asd 4 2 5 4" xfId="9733"/>
    <cellStyle name="asd 4 2 5 5" xfId="12271"/>
    <cellStyle name="asd 4 2 5 6" xfId="13855"/>
    <cellStyle name="asd 4 2 5 7" xfId="15756"/>
    <cellStyle name="asd 4 2 5 8" xfId="17352"/>
    <cellStyle name="asd 4 2 5 9" xfId="19258"/>
    <cellStyle name="asd 4 2 6" xfId="5717"/>
    <cellStyle name="asd 4 2 6 10" xfId="21967"/>
    <cellStyle name="asd 4 2 6 11" xfId="22527"/>
    <cellStyle name="asd 4 2 6 12" xfId="25769"/>
    <cellStyle name="asd 4 2 6 13" xfId="26181"/>
    <cellStyle name="asd 4 2 6 14" xfId="28798"/>
    <cellStyle name="asd 4 2 6 15" xfId="29794"/>
    <cellStyle name="asd 4 2 6 16" xfId="31924"/>
    <cellStyle name="asd 4 2 6 17" xfId="33595"/>
    <cellStyle name="asd 4 2 6 18" xfId="36596"/>
    <cellStyle name="asd 4 2 6 19" xfId="38475"/>
    <cellStyle name="asd 4 2 6 2" xfId="7166"/>
    <cellStyle name="asd 4 2 6 20" xfId="39155"/>
    <cellStyle name="asd 4 2 6 21" xfId="40836"/>
    <cellStyle name="asd 4 2 6 22" xfId="42337"/>
    <cellStyle name="asd 4 2 6 3" xfId="8620"/>
    <cellStyle name="asd 4 2 6 4" xfId="10530"/>
    <cellStyle name="asd 4 2 6 5" xfId="12689"/>
    <cellStyle name="asd 4 2 6 6" xfId="12995"/>
    <cellStyle name="asd 4 2 6 7" xfId="14899"/>
    <cellStyle name="asd 4 2 6 8" xfId="18149"/>
    <cellStyle name="asd 4 2 6 9" xfId="20055"/>
    <cellStyle name="asd 4 2 7" xfId="4368"/>
    <cellStyle name="asd 4 2 8" xfId="9191"/>
    <cellStyle name="asd 4 2 9" xfId="11783"/>
    <cellStyle name="asd 4 20" xfId="28347"/>
    <cellStyle name="asd 4 21" xfId="29223"/>
    <cellStyle name="asd 4 22" xfId="2979"/>
    <cellStyle name="asd 4 23" xfId="31560"/>
    <cellStyle name="asd 4 24" xfId="28446"/>
    <cellStyle name="asd 4 25" xfId="2255"/>
    <cellStyle name="asd 4 26" xfId="4701"/>
    <cellStyle name="asd 4 27" xfId="31422"/>
    <cellStyle name="asd 4 3" xfId="3496"/>
    <cellStyle name="asd 4 3 10" xfId="14519"/>
    <cellStyle name="asd 4 3 11" xfId="16425"/>
    <cellStyle name="asd 4 3 12" xfId="16947"/>
    <cellStyle name="asd 4 3 13" xfId="18854"/>
    <cellStyle name="asd 4 3 14" xfId="20766"/>
    <cellStyle name="asd 4 3 15" xfId="24049"/>
    <cellStyle name="asd 4 3 16" xfId="24568"/>
    <cellStyle name="asd 4 3 17" xfId="27790"/>
    <cellStyle name="asd 4 3 18" xfId="29094"/>
    <cellStyle name="asd 4 3 19" xfId="31367"/>
    <cellStyle name="asd 4 3 2" xfId="3676"/>
    <cellStyle name="asd 4 3 2 10" xfId="17567"/>
    <cellStyle name="asd 4 3 2 11" xfId="19473"/>
    <cellStyle name="asd 4 3 2 12" xfId="21385"/>
    <cellStyle name="asd 4 3 2 13" xfId="24005"/>
    <cellStyle name="asd 4 3 2 14" xfId="25187"/>
    <cellStyle name="asd 4 3 2 15" xfId="27892"/>
    <cellStyle name="asd 4 3 2 16" xfId="28135"/>
    <cellStyle name="asd 4 3 2 17" xfId="31474"/>
    <cellStyle name="asd 4 3 2 18" xfId="31750"/>
    <cellStyle name="asd 4 3 2 19" xfId="34365"/>
    <cellStyle name="asd 4 3 2 2" xfId="1880"/>
    <cellStyle name="asd 4 3 2 2 10" xfId="20562"/>
    <cellStyle name="asd 4 3 2 2 11" xfId="23373"/>
    <cellStyle name="asd 4 3 2 2 12" xfId="24364"/>
    <cellStyle name="asd 4 3 2 2 13" xfId="27815"/>
    <cellStyle name="asd 4 3 2 2 14" xfId="29604"/>
    <cellStyle name="asd 4 3 2 2 15" xfId="31393"/>
    <cellStyle name="asd 4 3 2 2 16" xfId="33288"/>
    <cellStyle name="asd 4 3 2 2 17" xfId="33499"/>
    <cellStyle name="asd 4 3 2 2 18" xfId="35192"/>
    <cellStyle name="asd 4 3 2 2 19" xfId="37070"/>
    <cellStyle name="asd 4 3 2 2 2" xfId="4361"/>
    <cellStyle name="asd 4 3 2 2 20" xfId="40472"/>
    <cellStyle name="asd 4 3 2 2 21" xfId="42127"/>
    <cellStyle name="asd 4 3 2 2 22" xfId="43141"/>
    <cellStyle name="asd 4 3 2 2 3" xfId="4348"/>
    <cellStyle name="asd 4 3 2 2 4" xfId="9124"/>
    <cellStyle name="asd 4 3 2 2 5" xfId="12233"/>
    <cellStyle name="asd 4 3 2 2 6" xfId="13845"/>
    <cellStyle name="asd 4 3 2 2 7" xfId="15746"/>
    <cellStyle name="asd 4 3 2 2 8" xfId="16743"/>
    <cellStyle name="asd 4 3 2 2 9" xfId="18650"/>
    <cellStyle name="asd 4 3 2 20" xfId="36014"/>
    <cellStyle name="asd 4 3 2 21" xfId="37893"/>
    <cellStyle name="asd 4 3 2 22" xfId="38990"/>
    <cellStyle name="asd 4 3 2 23" xfId="40673"/>
    <cellStyle name="asd 4 3 2 24" xfId="43749"/>
    <cellStyle name="asd 4 3 2 3" xfId="5137"/>
    <cellStyle name="asd 4 3 2 4" xfId="6587"/>
    <cellStyle name="asd 4 3 2 5" xfId="8038"/>
    <cellStyle name="asd 4 3 2 6" xfId="9948"/>
    <cellStyle name="asd 4 3 2 7" xfId="11964"/>
    <cellStyle name="asd 4 3 2 8" xfId="14475"/>
    <cellStyle name="asd 4 3 2 9" xfId="16381"/>
    <cellStyle name="asd 4 3 20" xfId="32898"/>
    <cellStyle name="asd 4 3 21" xfId="33993"/>
    <cellStyle name="asd 4 3 22" xfId="35396"/>
    <cellStyle name="asd 4 3 23" xfId="37274"/>
    <cellStyle name="asd 4 3 24" xfId="40101"/>
    <cellStyle name="asd 4 3 25" xfId="41762"/>
    <cellStyle name="asd 4 3 26" xfId="43793"/>
    <cellStyle name="asd 4 3 3" xfId="3848"/>
    <cellStyle name="asd 4 3 3 10" xfId="19570"/>
    <cellStyle name="asd 4 3 3 11" xfId="21482"/>
    <cellStyle name="asd 4 3 3 12" xfId="24192"/>
    <cellStyle name="asd 4 3 3 13" xfId="25284"/>
    <cellStyle name="asd 4 3 3 14" xfId="24222"/>
    <cellStyle name="asd 4 3 3 15" xfId="13322"/>
    <cellStyle name="asd 4 3 3 16" xfId="22766"/>
    <cellStyle name="asd 4 3 3 17" xfId="31570"/>
    <cellStyle name="asd 4 3 3 18" xfId="31950"/>
    <cellStyle name="asd 4 3 3 19" xfId="36111"/>
    <cellStyle name="asd 4 3 3 2" xfId="5840"/>
    <cellStyle name="asd 4 3 3 2 10" xfId="22090"/>
    <cellStyle name="asd 4 3 3 2 11" xfId="23273"/>
    <cellStyle name="asd 4 3 3 2 12" xfId="25892"/>
    <cellStyle name="asd 4 3 3 2 13" xfId="27647"/>
    <cellStyle name="asd 4 3 3 2 14" xfId="28971"/>
    <cellStyle name="asd 4 3 3 2 15" xfId="31224"/>
    <cellStyle name="asd 4 3 3 2 16" xfId="32910"/>
    <cellStyle name="asd 4 3 3 2 17" xfId="33503"/>
    <cellStyle name="asd 4 3 3 2 18" xfId="36719"/>
    <cellStyle name="asd 4 3 3 2 19" xfId="38598"/>
    <cellStyle name="asd 4 3 3 2 2" xfId="7289"/>
    <cellStyle name="asd 4 3 3 2 20" xfId="40114"/>
    <cellStyle name="asd 4 3 3 2 21" xfId="41774"/>
    <cellStyle name="asd 4 3 3 2 22" xfId="43049"/>
    <cellStyle name="asd 4 3 3 2 3" xfId="8743"/>
    <cellStyle name="asd 4 3 3 2 4" xfId="10653"/>
    <cellStyle name="asd 4 3 3 2 5" xfId="11208"/>
    <cellStyle name="asd 4 3 3 2 6" xfId="13745"/>
    <cellStyle name="asd 4 3 3 2 7" xfId="15647"/>
    <cellStyle name="asd 4 3 3 2 8" xfId="18272"/>
    <cellStyle name="asd 4 3 3 2 9" xfId="20178"/>
    <cellStyle name="asd 4 3 3 20" xfId="37990"/>
    <cellStyle name="asd 4 3 3 21" xfId="38827"/>
    <cellStyle name="asd 4 3 3 22" xfId="40519"/>
    <cellStyle name="asd 4 3 3 23" xfId="43930"/>
    <cellStyle name="asd 4 3 3 3" xfId="5234"/>
    <cellStyle name="asd 4 3 3 4" xfId="8135"/>
    <cellStyle name="asd 4 3 3 5" xfId="10045"/>
    <cellStyle name="asd 4 3 3 6" xfId="12152"/>
    <cellStyle name="asd 4 3 3 7" xfId="14664"/>
    <cellStyle name="asd 4 3 3 8" xfId="16570"/>
    <cellStyle name="asd 4 3 3 9" xfId="17664"/>
    <cellStyle name="asd 4 3 4" xfId="4128"/>
    <cellStyle name="asd 4 3 4 10" xfId="19763"/>
    <cellStyle name="asd 4 3 4 11" xfId="21675"/>
    <cellStyle name="asd 4 3 4 12" xfId="22633"/>
    <cellStyle name="asd 4 3 4 13" xfId="25477"/>
    <cellStyle name="asd 4 3 4 14" xfId="27745"/>
    <cellStyle name="asd 4 3 4 15" xfId="28976"/>
    <cellStyle name="asd 4 3 4 16" xfId="31323"/>
    <cellStyle name="asd 4 3 4 17" xfId="33084"/>
    <cellStyle name="asd 4 3 4 18" xfId="34499"/>
    <cellStyle name="asd 4 3 4 19" xfId="36304"/>
    <cellStyle name="asd 4 3 4 2" xfId="6033"/>
    <cellStyle name="asd 4 3 4 2 10" xfId="22283"/>
    <cellStyle name="asd 4 3 4 2 11" xfId="24148"/>
    <cellStyle name="asd 4 3 4 2 12" xfId="26085"/>
    <cellStyle name="asd 4 3 4 2 13" xfId="27116"/>
    <cellStyle name="asd 4 3 4 2 14" xfId="28657"/>
    <cellStyle name="asd 4 3 4 2 15" xfId="30707"/>
    <cellStyle name="asd 4 3 4 2 16" xfId="32833"/>
    <cellStyle name="asd 4 3 4 2 17" xfId="34263"/>
    <cellStyle name="asd 4 3 4 2 18" xfId="36912"/>
    <cellStyle name="asd 4 3 4 2 19" xfId="38791"/>
    <cellStyle name="asd 4 3 4 2 2" xfId="7482"/>
    <cellStyle name="asd 4 3 4 2 20" xfId="40041"/>
    <cellStyle name="asd 4 3 4 2 21" xfId="41705"/>
    <cellStyle name="asd 4 3 4 2 22" xfId="43890"/>
    <cellStyle name="asd 4 3 4 2 3" xfId="8936"/>
    <cellStyle name="asd 4 3 4 2 4" xfId="10846"/>
    <cellStyle name="asd 4 3 4 2 5" xfId="12108"/>
    <cellStyle name="asd 4 3 4 2 6" xfId="14619"/>
    <cellStyle name="asd 4 3 4 2 7" xfId="16525"/>
    <cellStyle name="asd 4 3 4 2 8" xfId="18465"/>
    <cellStyle name="asd 4 3 4 2 9" xfId="20371"/>
    <cellStyle name="asd 4 3 4 20" xfId="38183"/>
    <cellStyle name="asd 4 3 4 21" xfId="40280"/>
    <cellStyle name="asd 4 3 4 22" xfId="41936"/>
    <cellStyle name="asd 4 3 4 23" xfId="42439"/>
    <cellStyle name="asd 4 3 4 3" xfId="6874"/>
    <cellStyle name="asd 4 3 4 4" xfId="8328"/>
    <cellStyle name="asd 4 3 4 5" xfId="10238"/>
    <cellStyle name="asd 4 3 4 6" xfId="11729"/>
    <cellStyle name="asd 4 3 4 7" xfId="13100"/>
    <cellStyle name="asd 4 3 4 8" xfId="15005"/>
    <cellStyle name="asd 4 3 4 9" xfId="17857"/>
    <cellStyle name="asd 4 3 5" xfId="4974"/>
    <cellStyle name="asd 4 3 5 10" xfId="21222"/>
    <cellStyle name="asd 4 3 5 11" xfId="22469"/>
    <cellStyle name="asd 4 3 5 12" xfId="25024"/>
    <cellStyle name="asd 4 3 5 13" xfId="27164"/>
    <cellStyle name="asd 4 3 5 14" xfId="29104"/>
    <cellStyle name="asd 4 3 5 15" xfId="30755"/>
    <cellStyle name="asd 4 3 5 16" xfId="33176"/>
    <cellStyle name="asd 4 3 5 17" xfId="35024"/>
    <cellStyle name="asd 4 3 5 18" xfId="35851"/>
    <cellStyle name="asd 4 3 5 19" xfId="37730"/>
    <cellStyle name="asd 4 3 5 2" xfId="6424"/>
    <cellStyle name="asd 4 3 5 20" xfId="40367"/>
    <cellStyle name="asd 4 3 5 21" xfId="42023"/>
    <cellStyle name="asd 4 3 5 22" xfId="42280"/>
    <cellStyle name="asd 4 3 5 3" xfId="7875"/>
    <cellStyle name="asd 4 3 5 4" xfId="9785"/>
    <cellStyle name="asd 4 3 5 5" xfId="11851"/>
    <cellStyle name="asd 4 3 5 6" xfId="12937"/>
    <cellStyle name="asd 4 3 5 7" xfId="14842"/>
    <cellStyle name="asd 4 3 5 8" xfId="17404"/>
    <cellStyle name="asd 4 3 5 9" xfId="19310"/>
    <cellStyle name="asd 4 3 6" xfId="5707"/>
    <cellStyle name="asd 4 3 6 10" xfId="21957"/>
    <cellStyle name="asd 4 3 6 11" xfId="22370"/>
    <cellStyle name="asd 4 3 6 12" xfId="25759"/>
    <cellStyle name="asd 4 3 6 13" xfId="27711"/>
    <cellStyle name="asd 4 3 6 14" xfId="28510"/>
    <cellStyle name="asd 4 3 6 15" xfId="31287"/>
    <cellStyle name="asd 4 3 6 16" xfId="31813"/>
    <cellStyle name="asd 4 3 6 17" xfId="33791"/>
    <cellStyle name="asd 4 3 6 18" xfId="36586"/>
    <cellStyle name="asd 4 3 6 19" xfId="38465"/>
    <cellStyle name="asd 4 3 6 2" xfId="7156"/>
    <cellStyle name="asd 4 3 6 20" xfId="39051"/>
    <cellStyle name="asd 4 3 6 21" xfId="40733"/>
    <cellStyle name="asd 4 3 6 22" xfId="42182"/>
    <cellStyle name="asd 4 3 6 3" xfId="8610"/>
    <cellStyle name="asd 4 3 6 4" xfId="10520"/>
    <cellStyle name="asd 4 3 6 5" xfId="11744"/>
    <cellStyle name="asd 4 3 6 6" xfId="12837"/>
    <cellStyle name="asd 4 3 6 7" xfId="14742"/>
    <cellStyle name="asd 4 3 6 8" xfId="18139"/>
    <cellStyle name="asd 4 3 6 9" xfId="20045"/>
    <cellStyle name="asd 4 3 7" xfId="6239"/>
    <cellStyle name="asd 4 3 8" xfId="9328"/>
    <cellStyle name="asd 4 3 9" xfId="12008"/>
    <cellStyle name="asd 4 4" xfId="3360"/>
    <cellStyle name="asd 4 4 10" xfId="15218"/>
    <cellStyle name="asd 4 4 11" xfId="16653"/>
    <cellStyle name="asd 4 4 12" xfId="18560"/>
    <cellStyle name="asd 4 4 13" xfId="20472"/>
    <cellStyle name="asd 4 4 14" xfId="22845"/>
    <cellStyle name="asd 4 4 15" xfId="24274"/>
    <cellStyle name="asd 4 4 16" xfId="26758"/>
    <cellStyle name="asd 4 4 17" xfId="29064"/>
    <cellStyle name="asd 4 4 18" xfId="30357"/>
    <cellStyle name="asd 4 4 19" xfId="32290"/>
    <cellStyle name="asd 4 4 2" xfId="3540"/>
    <cellStyle name="asd 4 4 2 10" xfId="17431"/>
    <cellStyle name="asd 4 4 2 11" xfId="19337"/>
    <cellStyle name="asd 4 4 2 12" xfId="21249"/>
    <cellStyle name="asd 4 4 2 13" xfId="23690"/>
    <cellStyle name="asd 4 4 2 14" xfId="25051"/>
    <cellStyle name="asd 4 4 2 15" xfId="27199"/>
    <cellStyle name="asd 4 4 2 16" xfId="28770"/>
    <cellStyle name="asd 4 4 2 17" xfId="30790"/>
    <cellStyle name="asd 4 4 2 18" xfId="32418"/>
    <cellStyle name="asd 4 4 2 19" xfId="34357"/>
    <cellStyle name="asd 4 4 2 2" xfId="5586"/>
    <cellStyle name="asd 4 4 2 2 10" xfId="21836"/>
    <cellStyle name="asd 4 4 2 2 11" xfId="24203"/>
    <cellStyle name="asd 4 4 2 2 12" xfId="25638"/>
    <cellStyle name="asd 4 4 2 2 13" xfId="18529"/>
    <cellStyle name="asd 4 4 2 2 14" xfId="28456"/>
    <cellStyle name="asd 4 4 2 2 15" xfId="29199"/>
    <cellStyle name="asd 4 4 2 2 16" xfId="2379"/>
    <cellStyle name="asd 4 4 2 2 17" xfId="29707"/>
    <cellStyle name="asd 4 4 2 2 18" xfId="36465"/>
    <cellStyle name="asd 4 4 2 2 19" xfId="38344"/>
    <cellStyle name="asd 4 4 2 2 2" xfId="7035"/>
    <cellStyle name="asd 4 4 2 2 20" xfId="31571"/>
    <cellStyle name="asd 4 4 2 2 21" xfId="2801"/>
    <cellStyle name="asd 4 4 2 2 22" xfId="43941"/>
    <cellStyle name="asd 4 4 2 2 3" xfId="8489"/>
    <cellStyle name="asd 4 4 2 2 4" xfId="10399"/>
    <cellStyle name="asd 4 4 2 2 5" xfId="12163"/>
    <cellStyle name="asd 4 4 2 2 6" xfId="14675"/>
    <cellStyle name="asd 4 4 2 2 7" xfId="16581"/>
    <cellStyle name="asd 4 4 2 2 8" xfId="18018"/>
    <cellStyle name="asd 4 4 2 2 9" xfId="19924"/>
    <cellStyle name="asd 4 4 2 20" xfId="35878"/>
    <cellStyle name="asd 4 4 2 21" xfId="37757"/>
    <cellStyle name="asd 4 4 2 22" xfId="39635"/>
    <cellStyle name="asd 4 4 2 23" xfId="41309"/>
    <cellStyle name="asd 4 4 2 24" xfId="43447"/>
    <cellStyle name="asd 4 4 2 3" xfId="5001"/>
    <cellStyle name="asd 4 4 2 4" xfId="6451"/>
    <cellStyle name="asd 4 4 2 5" xfId="7902"/>
    <cellStyle name="asd 4 4 2 6" xfId="9812"/>
    <cellStyle name="asd 4 4 2 7" xfId="11644"/>
    <cellStyle name="asd 4 4 2 8" xfId="14160"/>
    <cellStyle name="asd 4 4 2 9" xfId="16064"/>
    <cellStyle name="asd 4 4 20" xfId="35035"/>
    <cellStyle name="asd 4 4 21" xfId="35102"/>
    <cellStyle name="asd 4 4 22" xfId="36980"/>
    <cellStyle name="asd 4 4 23" xfId="39510"/>
    <cellStyle name="asd 4 4 24" xfId="41184"/>
    <cellStyle name="asd 4 4 25" xfId="42636"/>
    <cellStyle name="asd 4 4 3" xfId="3811"/>
    <cellStyle name="asd 4 4 3 10" xfId="19542"/>
    <cellStyle name="asd 4 4 3 11" xfId="21454"/>
    <cellStyle name="asd 4 4 3 12" xfId="23253"/>
    <cellStyle name="asd 4 4 3 13" xfId="25256"/>
    <cellStyle name="asd 4 4 3 14" xfId="27136"/>
    <cellStyle name="asd 4 4 3 15" xfId="3862"/>
    <cellStyle name="asd 4 4 3 16" xfId="30727"/>
    <cellStyle name="asd 4 4 3 17" xfId="32993"/>
    <cellStyle name="asd 4 4 3 18" xfId="35053"/>
    <cellStyle name="asd 4 4 3 19" xfId="36083"/>
    <cellStyle name="asd 4 4 3 2" xfId="5812"/>
    <cellStyle name="asd 4 4 3 2 10" xfId="22062"/>
    <cellStyle name="asd 4 4 3 2 11" xfId="23824"/>
    <cellStyle name="asd 4 4 3 2 12" xfId="25864"/>
    <cellStyle name="asd 4 4 3 2 13" xfId="27067"/>
    <cellStyle name="asd 4 4 3 2 14" xfId="29655"/>
    <cellStyle name="asd 4 4 3 2 15" xfId="30658"/>
    <cellStyle name="asd 4 4 3 2 16" xfId="32181"/>
    <cellStyle name="asd 4 4 3 2 17" xfId="33567"/>
    <cellStyle name="asd 4 4 3 2 18" xfId="36691"/>
    <cellStyle name="asd 4 4 3 2 19" xfId="38570"/>
    <cellStyle name="asd 4 4 3 2 2" xfId="7261"/>
    <cellStyle name="asd 4 4 3 2 20" xfId="39403"/>
    <cellStyle name="asd 4 4 3 2 21" xfId="41079"/>
    <cellStyle name="asd 4 4 3 2 22" xfId="43575"/>
    <cellStyle name="asd 4 4 3 2 3" xfId="8715"/>
    <cellStyle name="asd 4 4 3 2 4" xfId="10625"/>
    <cellStyle name="asd 4 4 3 2 5" xfId="11391"/>
    <cellStyle name="asd 4 4 3 2 6" xfId="14294"/>
    <cellStyle name="asd 4 4 3 2 7" xfId="16198"/>
    <cellStyle name="asd 4 4 3 2 8" xfId="18244"/>
    <cellStyle name="asd 4 4 3 2 9" xfId="20150"/>
    <cellStyle name="asd 4 4 3 20" xfId="37962"/>
    <cellStyle name="asd 4 4 3 21" xfId="40194"/>
    <cellStyle name="asd 4 4 3 22" xfId="41853"/>
    <cellStyle name="asd 4 4 3 23" xfId="43030"/>
    <cellStyle name="asd 4 4 3 3" xfId="5206"/>
    <cellStyle name="asd 4 4 3 4" xfId="8107"/>
    <cellStyle name="asd 4 4 3 5" xfId="10017"/>
    <cellStyle name="asd 4 4 3 6" xfId="11166"/>
    <cellStyle name="asd 4 4 3 7" xfId="13725"/>
    <cellStyle name="asd 4 4 3 8" xfId="15627"/>
    <cellStyle name="asd 4 4 3 9" xfId="17636"/>
    <cellStyle name="asd 4 4 4" xfId="3992"/>
    <cellStyle name="asd 4 4 4 10" xfId="19627"/>
    <cellStyle name="asd 4 4 4 11" xfId="21539"/>
    <cellStyle name="asd 4 4 4 12" xfId="24076"/>
    <cellStyle name="asd 4 4 4 13" xfId="25341"/>
    <cellStyle name="asd 4 4 4 14" xfId="27031"/>
    <cellStyle name="asd 4 4 4 15" xfId="3343"/>
    <cellStyle name="asd 4 4 4 16" xfId="30624"/>
    <cellStyle name="asd 4 4 4 17" xfId="31822"/>
    <cellStyle name="asd 4 4 4 18" xfId="34604"/>
    <cellStyle name="asd 4 4 4 19" xfId="36168"/>
    <cellStyle name="asd 4 4 4 2" xfId="5897"/>
    <cellStyle name="asd 4 4 4 2 10" xfId="22147"/>
    <cellStyle name="asd 4 4 4 2 11" xfId="23260"/>
    <cellStyle name="asd 4 4 4 2 12" xfId="25949"/>
    <cellStyle name="asd 4 4 4 2 13" xfId="27378"/>
    <cellStyle name="asd 4 4 4 2 14" xfId="28112"/>
    <cellStyle name="asd 4 4 4 2 15" xfId="30964"/>
    <cellStyle name="asd 4 4 4 2 16" xfId="31816"/>
    <cellStyle name="asd 4 4 4 2 17" xfId="34411"/>
    <cellStyle name="asd 4 4 4 2 18" xfId="36776"/>
    <cellStyle name="asd 4 4 4 2 19" xfId="38655"/>
    <cellStyle name="asd 4 4 4 2 2" xfId="7346"/>
    <cellStyle name="asd 4 4 4 2 20" xfId="39054"/>
    <cellStyle name="asd 4 4 4 2 21" xfId="40736"/>
    <cellStyle name="asd 4 4 4 2 22" xfId="43036"/>
    <cellStyle name="asd 4 4 4 2 3" xfId="8800"/>
    <cellStyle name="asd 4 4 4 2 4" xfId="10710"/>
    <cellStyle name="asd 4 4 4 2 5" xfId="11185"/>
    <cellStyle name="asd 4 4 4 2 6" xfId="13732"/>
    <cellStyle name="asd 4 4 4 2 7" xfId="15634"/>
    <cellStyle name="asd 4 4 4 2 8" xfId="18329"/>
    <cellStyle name="asd 4 4 4 2 9" xfId="20235"/>
    <cellStyle name="asd 4 4 4 20" xfId="38047"/>
    <cellStyle name="asd 4 4 4 21" xfId="39060"/>
    <cellStyle name="asd 4 4 4 22" xfId="40742"/>
    <cellStyle name="asd 4 4 4 23" xfId="43820"/>
    <cellStyle name="asd 4 4 4 3" xfId="6738"/>
    <cellStyle name="asd 4 4 4 4" xfId="8192"/>
    <cellStyle name="asd 4 4 4 5" xfId="10102"/>
    <cellStyle name="asd 4 4 4 6" xfId="12035"/>
    <cellStyle name="asd 4 4 4 7" xfId="14546"/>
    <cellStyle name="asd 4 4 4 8" xfId="16452"/>
    <cellStyle name="asd 4 4 4 9" xfId="17721"/>
    <cellStyle name="asd 4 4 5" xfId="2175"/>
    <cellStyle name="asd 4 4 5 10" xfId="20470"/>
    <cellStyle name="asd 4 4 5 11" xfId="23586"/>
    <cellStyle name="asd 4 4 5 12" xfId="24272"/>
    <cellStyle name="asd 4 4 5 13" xfId="26180"/>
    <cellStyle name="asd 4 4 5 14" xfId="29470"/>
    <cellStyle name="asd 4 4 5 15" xfId="29793"/>
    <cellStyle name="asd 4 4 5 16" xfId="32487"/>
    <cellStyle name="asd 4 4 5 17" xfId="33541"/>
    <cellStyle name="asd 4 4 5 18" xfId="35100"/>
    <cellStyle name="asd 4 4 5 19" xfId="36978"/>
    <cellStyle name="asd 4 4 5 2" xfId="4834"/>
    <cellStyle name="asd 4 4 5 20" xfId="39703"/>
    <cellStyle name="asd 4 4 5 21" xfId="41375"/>
    <cellStyle name="asd 4 4 5 22" xfId="43346"/>
    <cellStyle name="asd 4 4 5 3" xfId="6266"/>
    <cellStyle name="asd 4 4 5 4" xfId="9032"/>
    <cellStyle name="asd 4 4 5 5" xfId="12287"/>
    <cellStyle name="asd 4 4 5 6" xfId="14057"/>
    <cellStyle name="asd 4 4 5 7" xfId="15959"/>
    <cellStyle name="asd 4 4 5 8" xfId="16651"/>
    <cellStyle name="asd 4 4 5 9" xfId="18558"/>
    <cellStyle name="asd 4 4 6" xfId="4305"/>
    <cellStyle name="asd 4 4 7" xfId="9034"/>
    <cellStyle name="asd 4 4 8" xfId="12463"/>
    <cellStyle name="asd 4 4 9" xfId="13314"/>
    <cellStyle name="asd 4 5" xfId="1827"/>
    <cellStyle name="asd 4 5 10" xfId="17068"/>
    <cellStyle name="asd 4 5 11" xfId="18974"/>
    <cellStyle name="asd 4 5 12" xfId="20886"/>
    <cellStyle name="asd 4 5 13" xfId="23616"/>
    <cellStyle name="asd 4 5 14" xfId="24688"/>
    <cellStyle name="asd 4 5 15" xfId="27163"/>
    <cellStyle name="asd 4 5 16" xfId="2902"/>
    <cellStyle name="asd 4 5 17" xfId="30754"/>
    <cellStyle name="asd 4 5 18" xfId="32797"/>
    <cellStyle name="asd 4 5 19" xfId="33701"/>
    <cellStyle name="asd 4 5 2" xfId="4525"/>
    <cellStyle name="asd 4 5 2 10" xfId="20770"/>
    <cellStyle name="asd 4 5 2 11" xfId="23803"/>
    <cellStyle name="asd 4 5 2 12" xfId="24572"/>
    <cellStyle name="asd 4 5 2 13" xfId="27740"/>
    <cellStyle name="asd 4 5 2 14" xfId="29302"/>
    <cellStyle name="asd 4 5 2 15" xfId="31318"/>
    <cellStyle name="asd 4 5 2 16" xfId="32813"/>
    <cellStyle name="asd 4 5 2 17" xfId="34120"/>
    <cellStyle name="asd 4 5 2 18" xfId="35400"/>
    <cellStyle name="asd 4 5 2 19" xfId="37278"/>
    <cellStyle name="asd 4 5 2 2" xfId="4295"/>
    <cellStyle name="asd 4 5 2 20" xfId="40022"/>
    <cellStyle name="asd 4 5 2 21" xfId="41686"/>
    <cellStyle name="asd 4 5 2 22" xfId="43555"/>
    <cellStyle name="asd 4 5 2 3" xfId="3299"/>
    <cellStyle name="asd 4 5 2 4" xfId="9332"/>
    <cellStyle name="asd 4 5 2 5" xfId="11723"/>
    <cellStyle name="asd 4 5 2 6" xfId="14273"/>
    <cellStyle name="asd 4 5 2 7" xfId="16177"/>
    <cellStyle name="asd 4 5 2 8" xfId="16951"/>
    <cellStyle name="asd 4 5 2 9" xfId="18858"/>
    <cellStyle name="asd 4 5 20" xfId="35515"/>
    <cellStyle name="asd 4 5 21" xfId="37394"/>
    <cellStyle name="asd 4 5 22" xfId="40006"/>
    <cellStyle name="asd 4 5 23" xfId="41670"/>
    <cellStyle name="asd 4 5 24" xfId="43374"/>
    <cellStyle name="asd 4 5 3" xfId="4642"/>
    <cellStyle name="asd 4 5 4" xfId="6089"/>
    <cellStyle name="asd 4 5 5" xfId="7539"/>
    <cellStyle name="asd 4 5 6" xfId="9449"/>
    <cellStyle name="asd 4 5 7" xfId="11625"/>
    <cellStyle name="asd 4 5 8" xfId="14086"/>
    <cellStyle name="asd 4 5 9" xfId="15989"/>
    <cellStyle name="asd 4 6" xfId="3012"/>
    <cellStyle name="asd 4 6 10" xfId="19138"/>
    <cellStyle name="asd 4 6 11" xfId="21050"/>
    <cellStyle name="asd 4 6 12" xfId="22387"/>
    <cellStyle name="asd 4 6 13" xfId="24852"/>
    <cellStyle name="asd 4 6 14" xfId="3174"/>
    <cellStyle name="asd 4 6 15" xfId="28809"/>
    <cellStyle name="asd 4 6 16" xfId="29496"/>
    <cellStyle name="asd 4 6 17" xfId="2974"/>
    <cellStyle name="asd 4 6 18" xfId="26487"/>
    <cellStyle name="asd 4 6 19" xfId="35679"/>
    <cellStyle name="asd 4 6 2" xfId="4535"/>
    <cellStyle name="asd 4 6 2 10" xfId="20780"/>
    <cellStyle name="asd 4 6 2 11" xfId="22451"/>
    <cellStyle name="asd 4 6 2 12" xfId="24582"/>
    <cellStyle name="asd 4 6 2 13" xfId="26727"/>
    <cellStyle name="asd 4 6 2 14" xfId="28888"/>
    <cellStyle name="asd 4 6 2 15" xfId="30327"/>
    <cellStyle name="asd 4 6 2 16" xfId="32708"/>
    <cellStyle name="asd 4 6 2 17" xfId="33811"/>
    <cellStyle name="asd 4 6 2 18" xfId="35410"/>
    <cellStyle name="asd 4 6 2 19" xfId="37288"/>
    <cellStyle name="asd 4 6 2 2" xfId="1965"/>
    <cellStyle name="asd 4 6 2 20" xfId="39916"/>
    <cellStyle name="asd 4 6 2 21" xfId="41585"/>
    <cellStyle name="asd 4 6 2 22" xfId="42262"/>
    <cellStyle name="asd 4 6 2 3" xfId="4528"/>
    <cellStyle name="asd 4 6 2 4" xfId="9342"/>
    <cellStyle name="asd 4 6 2 5" xfId="12713"/>
    <cellStyle name="asd 4 6 2 6" xfId="12919"/>
    <cellStyle name="asd 4 6 2 7" xfId="14824"/>
    <cellStyle name="asd 4 6 2 8" xfId="16961"/>
    <cellStyle name="asd 4 6 2 9" xfId="18868"/>
    <cellStyle name="asd 4 6 20" xfId="37558"/>
    <cellStyle name="asd 4 6 21" xfId="2388"/>
    <cellStyle name="asd 4 6 22" xfId="3909"/>
    <cellStyle name="asd 4 6 23" xfId="42198"/>
    <cellStyle name="asd 4 6 3" xfId="4802"/>
    <cellStyle name="asd 4 6 4" xfId="7703"/>
    <cellStyle name="asd 4 6 5" xfId="9613"/>
    <cellStyle name="asd 4 6 6" xfId="11049"/>
    <cellStyle name="asd 4 6 7" xfId="12854"/>
    <cellStyle name="asd 4 6 8" xfId="14759"/>
    <cellStyle name="asd 4 6 9" xfId="17232"/>
    <cellStyle name="asd 4 7" xfId="2425"/>
    <cellStyle name="asd 4 7 10" xfId="19066"/>
    <cellStyle name="asd 4 7 11" xfId="20978"/>
    <cellStyle name="asd 4 7 12" xfId="24142"/>
    <cellStyle name="asd 4 7 13" xfId="24780"/>
    <cellStyle name="asd 4 7 14" xfId="26254"/>
    <cellStyle name="asd 4 7 15" xfId="3042"/>
    <cellStyle name="asd 4 7 16" xfId="29864"/>
    <cellStyle name="asd 4 7 17" xfId="33327"/>
    <cellStyle name="asd 4 7 18" xfId="31888"/>
    <cellStyle name="asd 4 7 19" xfId="35607"/>
    <cellStyle name="asd 4 7 2" xfId="5604"/>
    <cellStyle name="asd 4 7 2 10" xfId="21854"/>
    <cellStyle name="asd 4 7 2 11" xfId="24079"/>
    <cellStyle name="asd 4 7 2 12" xfId="25656"/>
    <cellStyle name="asd 4 7 2 13" xfId="26896"/>
    <cellStyle name="asd 4 7 2 14" xfId="2639"/>
    <cellStyle name="asd 4 7 2 15" xfId="30492"/>
    <cellStyle name="asd 4 7 2 16" xfId="27921"/>
    <cellStyle name="asd 4 7 2 17" xfId="28119"/>
    <cellStyle name="asd 4 7 2 18" xfId="36483"/>
    <cellStyle name="asd 4 7 2 19" xfId="38362"/>
    <cellStyle name="asd 4 7 2 2" xfId="7053"/>
    <cellStyle name="asd 4 7 2 20" xfId="3169"/>
    <cellStyle name="asd 4 7 2 21" xfId="34274"/>
    <cellStyle name="asd 4 7 2 22" xfId="43823"/>
    <cellStyle name="asd 4 7 2 3" xfId="8507"/>
    <cellStyle name="asd 4 7 2 4" xfId="10417"/>
    <cellStyle name="asd 4 7 2 5" xfId="12038"/>
    <cellStyle name="asd 4 7 2 6" xfId="14549"/>
    <cellStyle name="asd 4 7 2 7" xfId="16455"/>
    <cellStyle name="asd 4 7 2 8" xfId="18036"/>
    <cellStyle name="asd 4 7 2 9" xfId="19942"/>
    <cellStyle name="asd 4 7 20" xfId="37486"/>
    <cellStyle name="asd 4 7 21" xfId="40507"/>
    <cellStyle name="asd 4 7 22" xfId="42159"/>
    <cellStyle name="asd 4 7 23" xfId="43885"/>
    <cellStyle name="asd 4 7 3" xfId="6180"/>
    <cellStyle name="asd 4 7 4" xfId="7631"/>
    <cellStyle name="asd 4 7 5" xfId="9541"/>
    <cellStyle name="asd 4 7 6" xfId="12102"/>
    <cellStyle name="asd 4 7 7" xfId="14613"/>
    <cellStyle name="asd 4 7 8" xfId="16519"/>
    <cellStyle name="asd 4 7 9" xfId="17160"/>
    <cellStyle name="asd 4 8" xfId="2477"/>
    <cellStyle name="asd 4 9" xfId="2071"/>
    <cellStyle name="asd 40" xfId="981"/>
    <cellStyle name="asd 40 10" xfId="1987"/>
    <cellStyle name="asd 40 11" xfId="3261"/>
    <cellStyle name="asd 40 12" xfId="2741"/>
    <cellStyle name="asd 40 13" xfId="3341"/>
    <cellStyle name="asd 40 14" xfId="3252"/>
    <cellStyle name="asd 40 15" xfId="4266"/>
    <cellStyle name="asd 40 16" xfId="3043"/>
    <cellStyle name="asd 40 17" xfId="2491"/>
    <cellStyle name="asd 40 18" xfId="3324"/>
    <cellStyle name="asd 40 19" xfId="27986"/>
    <cellStyle name="asd 40 2" xfId="3384"/>
    <cellStyle name="asd 40 2 10" xfId="13599"/>
    <cellStyle name="asd 40 2 11" xfId="15502"/>
    <cellStyle name="asd 40 2 12" xfId="16706"/>
    <cellStyle name="asd 40 2 13" xfId="18613"/>
    <cellStyle name="asd 40 2 14" xfId="20525"/>
    <cellStyle name="asd 40 2 15" xfId="23128"/>
    <cellStyle name="asd 40 2 16" xfId="24327"/>
    <cellStyle name="asd 40 2 17" xfId="27889"/>
    <cellStyle name="asd 40 2 18" xfId="28054"/>
    <cellStyle name="asd 40 2 19" xfId="31471"/>
    <cellStyle name="asd 40 2 2" xfId="3564"/>
    <cellStyle name="asd 40 2 2 10" xfId="17455"/>
    <cellStyle name="asd 40 2 2 11" xfId="19361"/>
    <cellStyle name="asd 40 2 2 12" xfId="21273"/>
    <cellStyle name="asd 40 2 2 13" xfId="22961"/>
    <cellStyle name="asd 40 2 2 14" xfId="25075"/>
    <cellStyle name="asd 40 2 2 15" xfId="27102"/>
    <cellStyle name="asd 40 2 2 16" xfId="16273"/>
    <cellStyle name="asd 40 2 2 17" xfId="30693"/>
    <cellStyle name="asd 40 2 2 18" xfId="32683"/>
    <cellStyle name="asd 40 2 2 19" xfId="34594"/>
    <cellStyle name="asd 40 2 2 2" xfId="5620"/>
    <cellStyle name="asd 40 2 2 2 10" xfId="21870"/>
    <cellStyle name="asd 40 2 2 2 11" xfId="23490"/>
    <cellStyle name="asd 40 2 2 2 12" xfId="25672"/>
    <cellStyle name="asd 40 2 2 2 13" xfId="27893"/>
    <cellStyle name="asd 40 2 2 2 14" xfId="11891"/>
    <cellStyle name="asd 40 2 2 2 15" xfId="31475"/>
    <cellStyle name="asd 40 2 2 2 16" xfId="29066"/>
    <cellStyle name="asd 40 2 2 2 17" xfId="31851"/>
    <cellStyle name="asd 40 2 2 2 18" xfId="36499"/>
    <cellStyle name="asd 40 2 2 2 19" xfId="38378"/>
    <cellStyle name="asd 40 2 2 2 2" xfId="7069"/>
    <cellStyle name="asd 40 2 2 2 20" xfId="1770"/>
    <cellStyle name="asd 40 2 2 2 21" xfId="34702"/>
    <cellStyle name="asd 40 2 2 2 22" xfId="43256"/>
    <cellStyle name="asd 40 2 2 2 3" xfId="8523"/>
    <cellStyle name="asd 40 2 2 2 4" xfId="10433"/>
    <cellStyle name="asd 40 2 2 2 5" xfId="11106"/>
    <cellStyle name="asd 40 2 2 2 6" xfId="13962"/>
    <cellStyle name="asd 40 2 2 2 7" xfId="15863"/>
    <cellStyle name="asd 40 2 2 2 8" xfId="18052"/>
    <cellStyle name="asd 40 2 2 2 9" xfId="19958"/>
    <cellStyle name="asd 40 2 2 20" xfId="35902"/>
    <cellStyle name="asd 40 2 2 21" xfId="37781"/>
    <cellStyle name="asd 40 2 2 22" xfId="39891"/>
    <cellStyle name="asd 40 2 2 23" xfId="41560"/>
    <cellStyle name="asd 40 2 2 24" xfId="42747"/>
    <cellStyle name="asd 40 2 2 3" xfId="5025"/>
    <cellStyle name="asd 40 2 2 4" xfId="6475"/>
    <cellStyle name="asd 40 2 2 5" xfId="7926"/>
    <cellStyle name="asd 40 2 2 6" xfId="9836"/>
    <cellStyle name="asd 40 2 2 7" xfId="11147"/>
    <cellStyle name="asd 40 2 2 8" xfId="13430"/>
    <cellStyle name="asd 40 2 2 9" xfId="15335"/>
    <cellStyle name="asd 40 2 20" xfId="32594"/>
    <cellStyle name="asd 40 2 21" xfId="34687"/>
    <cellStyle name="asd 40 2 22" xfId="35155"/>
    <cellStyle name="asd 40 2 23" xfId="37033"/>
    <cellStyle name="asd 40 2 24" xfId="39805"/>
    <cellStyle name="asd 40 2 25" xfId="41474"/>
    <cellStyle name="asd 40 2 26" xfId="42907"/>
    <cellStyle name="asd 40 2 3" xfId="3898"/>
    <cellStyle name="asd 40 2 3 10" xfId="19604"/>
    <cellStyle name="asd 40 2 3 11" xfId="21516"/>
    <cellStyle name="asd 40 2 3 12" xfId="23549"/>
    <cellStyle name="asd 40 2 3 13" xfId="25318"/>
    <cellStyle name="asd 40 2 3 14" xfId="27425"/>
    <cellStyle name="asd 40 2 3 15" xfId="29093"/>
    <cellStyle name="asd 40 2 3 16" xfId="31011"/>
    <cellStyle name="asd 40 2 3 17" xfId="32544"/>
    <cellStyle name="asd 40 2 3 18" xfId="34393"/>
    <cellStyle name="asd 40 2 3 19" xfId="36145"/>
    <cellStyle name="asd 40 2 3 2" xfId="5874"/>
    <cellStyle name="asd 40 2 3 2 10" xfId="22124"/>
    <cellStyle name="asd 40 2 3 2 11" xfId="22570"/>
    <cellStyle name="asd 40 2 3 2 12" xfId="25926"/>
    <cellStyle name="asd 40 2 3 2 13" xfId="27041"/>
    <cellStyle name="asd 40 2 3 2 14" xfId="28949"/>
    <cellStyle name="asd 40 2 3 2 15" xfId="30634"/>
    <cellStyle name="asd 40 2 3 2 16" xfId="32479"/>
    <cellStyle name="asd 40 2 3 2 17" xfId="34226"/>
    <cellStyle name="asd 40 2 3 2 18" xfId="36753"/>
    <cellStyle name="asd 40 2 3 2 19" xfId="38632"/>
    <cellStyle name="asd 40 2 3 2 2" xfId="7323"/>
    <cellStyle name="asd 40 2 3 2 20" xfId="39697"/>
    <cellStyle name="asd 40 2 3 2 21" xfId="41370"/>
    <cellStyle name="asd 40 2 3 2 22" xfId="42379"/>
    <cellStyle name="asd 40 2 3 2 3" xfId="8777"/>
    <cellStyle name="asd 40 2 3 2 4" xfId="10687"/>
    <cellStyle name="asd 40 2 3 2 5" xfId="2615"/>
    <cellStyle name="asd 40 2 3 2 6" xfId="13038"/>
    <cellStyle name="asd 40 2 3 2 7" xfId="14942"/>
    <cellStyle name="asd 40 2 3 2 8" xfId="18306"/>
    <cellStyle name="asd 40 2 3 2 9" xfId="20212"/>
    <cellStyle name="asd 40 2 3 20" xfId="38024"/>
    <cellStyle name="asd 40 2 3 21" xfId="39757"/>
    <cellStyle name="asd 40 2 3 22" xfId="41429"/>
    <cellStyle name="asd 40 2 3 23" xfId="43313"/>
    <cellStyle name="asd 40 2 3 3" xfId="5268"/>
    <cellStyle name="asd 40 2 3 4" xfId="8169"/>
    <cellStyle name="asd 40 2 3 5" xfId="10079"/>
    <cellStyle name="asd 40 2 3 6" xfId="12495"/>
    <cellStyle name="asd 40 2 3 7" xfId="14021"/>
    <cellStyle name="asd 40 2 3 8" xfId="15922"/>
    <cellStyle name="asd 40 2 3 9" xfId="17698"/>
    <cellStyle name="asd 40 2 4" xfId="4016"/>
    <cellStyle name="asd 40 2 4 10" xfId="19651"/>
    <cellStyle name="asd 40 2 4 11" xfId="21563"/>
    <cellStyle name="asd 40 2 4 12" xfId="22508"/>
    <cellStyle name="asd 40 2 4 13" xfId="25365"/>
    <cellStyle name="asd 40 2 4 14" xfId="27968"/>
    <cellStyle name="asd 40 2 4 15" xfId="28291"/>
    <cellStyle name="asd 40 2 4 16" xfId="31548"/>
    <cellStyle name="asd 40 2 4 17" xfId="30578"/>
    <cellStyle name="asd 40 2 4 18" xfId="28766"/>
    <cellStyle name="asd 40 2 4 19" xfId="36192"/>
    <cellStyle name="asd 40 2 4 2" xfId="5921"/>
    <cellStyle name="asd 40 2 4 2 10" xfId="22171"/>
    <cellStyle name="asd 40 2 4 2 11" xfId="23167"/>
    <cellStyle name="asd 40 2 4 2 12" xfId="25973"/>
    <cellStyle name="asd 40 2 4 2 13" xfId="26361"/>
    <cellStyle name="asd 40 2 4 2 14" xfId="28324"/>
    <cellStyle name="asd 40 2 4 2 15" xfId="29969"/>
    <cellStyle name="asd 40 2 4 2 16" xfId="32296"/>
    <cellStyle name="asd 40 2 4 2 17" xfId="33649"/>
    <cellStyle name="asd 40 2 4 2 18" xfId="36800"/>
    <cellStyle name="asd 40 2 4 2 19" xfId="38679"/>
    <cellStyle name="asd 40 2 4 2 2" xfId="7370"/>
    <cellStyle name="asd 40 2 4 2 20" xfId="39516"/>
    <cellStyle name="asd 40 2 4 2 21" xfId="41190"/>
    <cellStyle name="asd 40 2 4 2 22" xfId="42945"/>
    <cellStyle name="asd 40 2 4 2 3" xfId="8824"/>
    <cellStyle name="asd 40 2 4 2 4" xfId="10734"/>
    <cellStyle name="asd 40 2 4 2 5" xfId="10979"/>
    <cellStyle name="asd 40 2 4 2 6" xfId="13638"/>
    <cellStyle name="asd 40 2 4 2 7" xfId="15541"/>
    <cellStyle name="asd 40 2 4 2 8" xfId="18353"/>
    <cellStyle name="asd 40 2 4 2 9" xfId="20259"/>
    <cellStyle name="asd 40 2 4 20" xfId="38071"/>
    <cellStyle name="asd 40 2 4 21" xfId="28270"/>
    <cellStyle name="asd 40 2 4 22" xfId="39686"/>
    <cellStyle name="asd 40 2 4 23" xfId="42318"/>
    <cellStyle name="asd 40 2 4 3" xfId="6762"/>
    <cellStyle name="asd 40 2 4 4" xfId="8216"/>
    <cellStyle name="asd 40 2 4 5" xfId="10126"/>
    <cellStyle name="asd 40 2 4 6" xfId="2865"/>
    <cellStyle name="asd 40 2 4 7" xfId="12976"/>
    <cellStyle name="asd 40 2 4 8" xfId="14880"/>
    <cellStyle name="asd 40 2 4 9" xfId="17745"/>
    <cellStyle name="asd 40 2 5" xfId="4885"/>
    <cellStyle name="asd 40 2 5 10" xfId="21133"/>
    <cellStyle name="asd 40 2 5 11" xfId="23252"/>
    <cellStyle name="asd 40 2 5 12" xfId="24935"/>
    <cellStyle name="asd 40 2 5 13" xfId="27728"/>
    <cellStyle name="asd 40 2 5 14" xfId="29455"/>
    <cellStyle name="asd 40 2 5 15" xfId="31306"/>
    <cellStyle name="asd 40 2 5 16" xfId="33236"/>
    <cellStyle name="asd 40 2 5 17" xfId="34583"/>
    <cellStyle name="asd 40 2 5 18" xfId="35762"/>
    <cellStyle name="asd 40 2 5 19" xfId="37641"/>
    <cellStyle name="asd 40 2 5 2" xfId="6335"/>
    <cellStyle name="asd 40 2 5 20" xfId="40426"/>
    <cellStyle name="asd 40 2 5 21" xfId="42081"/>
    <cellStyle name="asd 40 2 5 22" xfId="43029"/>
    <cellStyle name="asd 40 2 5 3" xfId="7786"/>
    <cellStyle name="asd 40 2 5 4" xfId="9696"/>
    <cellStyle name="asd 40 2 5 5" xfId="11165"/>
    <cellStyle name="asd 40 2 5 6" xfId="13724"/>
    <cellStyle name="asd 40 2 5 7" xfId="15626"/>
    <cellStyle name="asd 40 2 5 8" xfId="17315"/>
    <cellStyle name="asd 40 2 5 9" xfId="19221"/>
    <cellStyle name="asd 40 2 6" xfId="5572"/>
    <cellStyle name="asd 40 2 6 10" xfId="21822"/>
    <cellStyle name="asd 40 2 6 11" xfId="23519"/>
    <cellStyle name="asd 40 2 6 12" xfId="25624"/>
    <cellStyle name="asd 40 2 6 13" xfId="27013"/>
    <cellStyle name="asd 40 2 6 14" xfId="28313"/>
    <cellStyle name="asd 40 2 6 15" xfId="30606"/>
    <cellStyle name="asd 40 2 6 16" xfId="32613"/>
    <cellStyle name="asd 40 2 6 17" xfId="34740"/>
    <cellStyle name="asd 40 2 6 18" xfId="36451"/>
    <cellStyle name="asd 40 2 6 19" xfId="38330"/>
    <cellStyle name="asd 40 2 6 2" xfId="7021"/>
    <cellStyle name="asd 40 2 6 20" xfId="39823"/>
    <cellStyle name="asd 40 2 6 21" xfId="41492"/>
    <cellStyle name="asd 40 2 6 22" xfId="43284"/>
    <cellStyle name="asd 40 2 6 3" xfId="8475"/>
    <cellStyle name="asd 40 2 6 4" xfId="10385"/>
    <cellStyle name="asd 40 2 6 5" xfId="12498"/>
    <cellStyle name="asd 40 2 6 6" xfId="13991"/>
    <cellStyle name="asd 40 2 6 7" xfId="15892"/>
    <cellStyle name="asd 40 2 6 8" xfId="18004"/>
    <cellStyle name="asd 40 2 6 9" xfId="19910"/>
    <cellStyle name="asd 40 2 7" xfId="2852"/>
    <cellStyle name="asd 40 2 8" xfId="9087"/>
    <cellStyle name="asd 40 2 9" xfId="12752"/>
    <cellStyle name="asd 40 20" xfId="22340"/>
    <cellStyle name="asd 40 21" xfId="2114"/>
    <cellStyle name="asd 40 22" xfId="27676"/>
    <cellStyle name="asd 40 23" xfId="4190"/>
    <cellStyle name="asd 40 24" xfId="3000"/>
    <cellStyle name="asd 40 25" xfId="4516"/>
    <cellStyle name="asd 40 26" xfId="26124"/>
    <cellStyle name="asd 40 27" xfId="34451"/>
    <cellStyle name="asd 40 3" xfId="3487"/>
    <cellStyle name="asd 40 3 10" xfId="14507"/>
    <cellStyle name="asd 40 3 11" xfId="16413"/>
    <cellStyle name="asd 40 3 12" xfId="16929"/>
    <cellStyle name="asd 40 3 13" xfId="18836"/>
    <cellStyle name="asd 40 3 14" xfId="20748"/>
    <cellStyle name="asd 40 3 15" xfId="24037"/>
    <cellStyle name="asd 40 3 16" xfId="24550"/>
    <cellStyle name="asd 40 3 17" xfId="26898"/>
    <cellStyle name="asd 40 3 18" xfId="9001"/>
    <cellStyle name="asd 40 3 19" xfId="30494"/>
    <cellStyle name="asd 40 3 2" xfId="3667"/>
    <cellStyle name="asd 40 3 2 10" xfId="17558"/>
    <cellStyle name="asd 40 3 2 11" xfId="19464"/>
    <cellStyle name="asd 40 3 2 12" xfId="21376"/>
    <cellStyle name="asd 40 3 2 13" xfId="23771"/>
    <cellStyle name="asd 40 3 2 14" xfId="25178"/>
    <cellStyle name="asd 40 3 2 15" xfId="26657"/>
    <cellStyle name="asd 40 3 2 16" xfId="28190"/>
    <cellStyle name="asd 40 3 2 17" xfId="30257"/>
    <cellStyle name="asd 40 3 2 18" xfId="31827"/>
    <cellStyle name="asd 40 3 2 19" xfId="34289"/>
    <cellStyle name="asd 40 3 2 2" xfId="5605"/>
    <cellStyle name="asd 40 3 2 2 10" xfId="21855"/>
    <cellStyle name="asd 40 3 2 2 11" xfId="23475"/>
    <cellStyle name="asd 40 3 2 2 12" xfId="25657"/>
    <cellStyle name="asd 40 3 2 2 13" xfId="27210"/>
    <cellStyle name="asd 40 3 2 2 14" xfId="29252"/>
    <cellStyle name="asd 40 3 2 2 15" xfId="30801"/>
    <cellStyle name="asd 40 3 2 2 16" xfId="32843"/>
    <cellStyle name="asd 40 3 2 2 17" xfId="34189"/>
    <cellStyle name="asd 40 3 2 2 18" xfId="36484"/>
    <cellStyle name="asd 40 3 2 2 19" xfId="38363"/>
    <cellStyle name="asd 40 3 2 2 2" xfId="7054"/>
    <cellStyle name="asd 40 3 2 2 20" xfId="40050"/>
    <cellStyle name="asd 40 3 2 2 21" xfId="41714"/>
    <cellStyle name="asd 40 3 2 2 22" xfId="43242"/>
    <cellStyle name="asd 40 3 2 2 3" xfId="8508"/>
    <cellStyle name="asd 40 3 2 2 4" xfId="10418"/>
    <cellStyle name="asd 40 3 2 2 5" xfId="12538"/>
    <cellStyle name="asd 40 3 2 2 6" xfId="13947"/>
    <cellStyle name="asd 40 3 2 2 7" xfId="15848"/>
    <cellStyle name="asd 40 3 2 2 8" xfId="18037"/>
    <cellStyle name="asd 40 3 2 2 9" xfId="19943"/>
    <cellStyle name="asd 40 3 2 20" xfId="36005"/>
    <cellStyle name="asd 40 3 2 21" xfId="37884"/>
    <cellStyle name="asd 40 3 2 22" xfId="39065"/>
    <cellStyle name="asd 40 3 2 23" xfId="40747"/>
    <cellStyle name="asd 40 3 2 24" xfId="43524"/>
    <cellStyle name="asd 40 3 2 3" xfId="5128"/>
    <cellStyle name="asd 40 3 2 4" xfId="6578"/>
    <cellStyle name="asd 40 3 2 5" xfId="8029"/>
    <cellStyle name="asd 40 3 2 6" xfId="9939"/>
    <cellStyle name="asd 40 3 2 7" xfId="11425"/>
    <cellStyle name="asd 40 3 2 8" xfId="14241"/>
    <cellStyle name="asd 40 3 2 9" xfId="16145"/>
    <cellStyle name="asd 40 3 20" xfId="32094"/>
    <cellStyle name="asd 40 3 21" xfId="35015"/>
    <cellStyle name="asd 40 3 22" xfId="35378"/>
    <cellStyle name="asd 40 3 23" xfId="37256"/>
    <cellStyle name="asd 40 3 24" xfId="39318"/>
    <cellStyle name="asd 40 3 25" xfId="40994"/>
    <cellStyle name="asd 40 3 26" xfId="43781"/>
    <cellStyle name="asd 40 3 3" xfId="3196"/>
    <cellStyle name="asd 40 3 3 10" xfId="19176"/>
    <cellStyle name="asd 40 3 3 11" xfId="21088"/>
    <cellStyle name="asd 40 3 3 12" xfId="24019"/>
    <cellStyle name="asd 40 3 3 13" xfId="24890"/>
    <cellStyle name="asd 40 3 3 14" xfId="27036"/>
    <cellStyle name="asd 40 3 3 15" xfId="28969"/>
    <cellStyle name="asd 40 3 3 16" xfId="30629"/>
    <cellStyle name="asd 40 3 3 17" xfId="33311"/>
    <cellStyle name="asd 40 3 3 18" xfId="34355"/>
    <cellStyle name="asd 40 3 3 19" xfId="35717"/>
    <cellStyle name="asd 40 3 3 2" xfId="4593"/>
    <cellStyle name="asd 40 3 3 2 10" xfId="20838"/>
    <cellStyle name="asd 40 3 3 2 11" xfId="22579"/>
    <cellStyle name="asd 40 3 3 2 12" xfId="24640"/>
    <cellStyle name="asd 40 3 3 2 13" xfId="26940"/>
    <cellStyle name="asd 40 3 3 2 14" xfId="28435"/>
    <cellStyle name="asd 40 3 3 2 15" xfId="30534"/>
    <cellStyle name="asd 40 3 3 2 16" xfId="32098"/>
    <cellStyle name="asd 40 3 3 2 17" xfId="34201"/>
    <cellStyle name="asd 40 3 3 2 18" xfId="35468"/>
    <cellStyle name="asd 40 3 3 2 19" xfId="37346"/>
    <cellStyle name="asd 40 3 3 2 2" xfId="1813"/>
    <cellStyle name="asd 40 3 3 2 20" xfId="39322"/>
    <cellStyle name="asd 40 3 3 2 21" xfId="40998"/>
    <cellStyle name="asd 40 3 3 2 22" xfId="42388"/>
    <cellStyle name="asd 40 3 3 2 3" xfId="1963"/>
    <cellStyle name="asd 40 3 3 2 4" xfId="9400"/>
    <cellStyle name="asd 40 3 3 2 5" xfId="3278"/>
    <cellStyle name="asd 40 3 3 2 6" xfId="13047"/>
    <cellStyle name="asd 40 3 3 2 7" xfId="14951"/>
    <cellStyle name="asd 40 3 3 2 8" xfId="17019"/>
    <cellStyle name="asd 40 3 3 2 9" xfId="18926"/>
    <cellStyle name="asd 40 3 3 20" xfId="37596"/>
    <cellStyle name="asd 40 3 3 21" xfId="40493"/>
    <cellStyle name="asd 40 3 3 22" xfId="42146"/>
    <cellStyle name="asd 40 3 3 23" xfId="43763"/>
    <cellStyle name="asd 40 3 3 3" xfId="4840"/>
    <cellStyle name="asd 40 3 3 4" xfId="7741"/>
    <cellStyle name="asd 40 3 3 5" xfId="9651"/>
    <cellStyle name="asd 40 3 3 6" xfId="11978"/>
    <cellStyle name="asd 40 3 3 7" xfId="14489"/>
    <cellStyle name="asd 40 3 3 8" xfId="16395"/>
    <cellStyle name="asd 40 3 3 9" xfId="17270"/>
    <cellStyle name="asd 40 3 4" xfId="4119"/>
    <cellStyle name="asd 40 3 4 10" xfId="19754"/>
    <cellStyle name="asd 40 3 4 11" xfId="21666"/>
    <cellStyle name="asd 40 3 4 12" xfId="22707"/>
    <cellStyle name="asd 40 3 4 13" xfId="25468"/>
    <cellStyle name="asd 40 3 4 14" xfId="27727"/>
    <cellStyle name="asd 40 3 4 15" xfId="28946"/>
    <cellStyle name="asd 40 3 4 16" xfId="31305"/>
    <cellStyle name="asd 40 3 4 17" xfId="32268"/>
    <cellStyle name="asd 40 3 4 18" xfId="34059"/>
    <cellStyle name="asd 40 3 4 19" xfId="36295"/>
    <cellStyle name="asd 40 3 4 2" xfId="6024"/>
    <cellStyle name="asd 40 3 4 2 10" xfId="22274"/>
    <cellStyle name="asd 40 3 4 2 11" xfId="24163"/>
    <cellStyle name="asd 40 3 4 2 12" xfId="26076"/>
    <cellStyle name="asd 40 3 4 2 13" xfId="27212"/>
    <cellStyle name="asd 40 3 4 2 14" xfId="29043"/>
    <cellStyle name="asd 40 3 4 2 15" xfId="30803"/>
    <cellStyle name="asd 40 3 4 2 16" xfId="33228"/>
    <cellStyle name="asd 40 3 4 2 17" xfId="34566"/>
    <cellStyle name="asd 40 3 4 2 18" xfId="36903"/>
    <cellStyle name="asd 40 3 4 2 19" xfId="38782"/>
    <cellStyle name="asd 40 3 4 2 2" xfId="7473"/>
    <cellStyle name="asd 40 3 4 2 20" xfId="40417"/>
    <cellStyle name="asd 40 3 4 2 21" xfId="42073"/>
    <cellStyle name="asd 40 3 4 2 22" xfId="43905"/>
    <cellStyle name="asd 40 3 4 2 3" xfId="8927"/>
    <cellStyle name="asd 40 3 4 2 4" xfId="10837"/>
    <cellStyle name="asd 40 3 4 2 5" xfId="12123"/>
    <cellStyle name="asd 40 3 4 2 6" xfId="14634"/>
    <cellStyle name="asd 40 3 4 2 7" xfId="16540"/>
    <cellStyle name="asd 40 3 4 2 8" xfId="18456"/>
    <cellStyle name="asd 40 3 4 2 9" xfId="20362"/>
    <cellStyle name="asd 40 3 4 20" xfId="38174"/>
    <cellStyle name="asd 40 3 4 21" xfId="39486"/>
    <cellStyle name="asd 40 3 4 22" xfId="41161"/>
    <cellStyle name="asd 40 3 4 23" xfId="42507"/>
    <cellStyle name="asd 40 3 4 3" xfId="6865"/>
    <cellStyle name="asd 40 3 4 4" xfId="8319"/>
    <cellStyle name="asd 40 3 4 5" xfId="10229"/>
    <cellStyle name="asd 40 3 4 6" xfId="11427"/>
    <cellStyle name="asd 40 3 4 7" xfId="13175"/>
    <cellStyle name="asd 40 3 4 8" xfId="15079"/>
    <cellStyle name="asd 40 3 4 9" xfId="17848"/>
    <cellStyle name="asd 40 3 5" xfId="4967"/>
    <cellStyle name="asd 40 3 5 10" xfId="21215"/>
    <cellStyle name="asd 40 3 5 11" xfId="22380"/>
    <cellStyle name="asd 40 3 5 12" xfId="25017"/>
    <cellStyle name="asd 40 3 5 13" xfId="26638"/>
    <cellStyle name="asd 40 3 5 14" xfId="29265"/>
    <cellStyle name="asd 40 3 5 15" xfId="30241"/>
    <cellStyle name="asd 40 3 5 16" xfId="32175"/>
    <cellStyle name="asd 40 3 5 17" xfId="34039"/>
    <cellStyle name="asd 40 3 5 18" xfId="35844"/>
    <cellStyle name="asd 40 3 5 19" xfId="37723"/>
    <cellStyle name="asd 40 3 5 2" xfId="6417"/>
    <cellStyle name="asd 40 3 5 20" xfId="39397"/>
    <cellStyle name="asd 40 3 5 21" xfId="41073"/>
    <cellStyle name="asd 40 3 5 22" xfId="42191"/>
    <cellStyle name="asd 40 3 5 3" xfId="7868"/>
    <cellStyle name="asd 40 3 5 4" xfId="9778"/>
    <cellStyle name="asd 40 3 5 5" xfId="12418"/>
    <cellStyle name="asd 40 3 5 6" xfId="12847"/>
    <cellStyle name="asd 40 3 5 7" xfId="14752"/>
    <cellStyle name="asd 40 3 5 8" xfId="17397"/>
    <cellStyle name="asd 40 3 5 9" xfId="19303"/>
    <cellStyle name="asd 40 3 6" xfId="5638"/>
    <cellStyle name="asd 40 3 6 10" xfId="21888"/>
    <cellStyle name="asd 40 3 6 11" xfId="23495"/>
    <cellStyle name="asd 40 3 6 12" xfId="25690"/>
    <cellStyle name="asd 40 3 6 13" xfId="27021"/>
    <cellStyle name="asd 40 3 6 14" xfId="28443"/>
    <cellStyle name="asd 40 3 6 15" xfId="30614"/>
    <cellStyle name="asd 40 3 6 16" xfId="33214"/>
    <cellStyle name="asd 40 3 6 17" xfId="33559"/>
    <cellStyle name="asd 40 3 6 18" xfId="36517"/>
    <cellStyle name="asd 40 3 6 19" xfId="38396"/>
    <cellStyle name="asd 40 3 6 2" xfId="7087"/>
    <cellStyle name="asd 40 3 6 20" xfId="40403"/>
    <cellStyle name="asd 40 3 6 21" xfId="42059"/>
    <cellStyle name="asd 40 3 6 22" xfId="43261"/>
    <cellStyle name="asd 40 3 6 3" xfId="8541"/>
    <cellStyle name="asd 40 3 6 4" xfId="10451"/>
    <cellStyle name="asd 40 3 6 5" xfId="12558"/>
    <cellStyle name="asd 40 3 6 6" xfId="13967"/>
    <cellStyle name="asd 40 3 6 7" xfId="15868"/>
    <cellStyle name="asd 40 3 6 8" xfId="18070"/>
    <cellStyle name="asd 40 3 6 9" xfId="19976"/>
    <cellStyle name="asd 40 3 7" xfId="5418"/>
    <cellStyle name="asd 40 3 8" xfId="9310"/>
    <cellStyle name="asd 40 3 9" xfId="11996"/>
    <cellStyle name="asd 40 4" xfId="3077"/>
    <cellStyle name="asd 40 4 10" xfId="2215"/>
    <cellStyle name="asd 40 4 11" xfId="3128"/>
    <cellStyle name="asd 40 4 12" xfId="3116"/>
    <cellStyle name="asd 40 4 13" xfId="2624"/>
    <cellStyle name="asd 40 4 14" xfId="4789"/>
    <cellStyle name="asd 40 4 15" xfId="3704"/>
    <cellStyle name="asd 40 4 16" xfId="26141"/>
    <cellStyle name="asd 40 4 17" xfId="26652"/>
    <cellStyle name="asd 40 4 18" xfId="29756"/>
    <cellStyle name="asd 40 4 19" xfId="22858"/>
    <cellStyle name="asd 40 4 2" xfId="1800"/>
    <cellStyle name="asd 40 4 2 10" xfId="17061"/>
    <cellStyle name="asd 40 4 2 11" xfId="18967"/>
    <cellStyle name="asd 40 4 2 12" xfId="20879"/>
    <cellStyle name="asd 40 4 2 13" xfId="24201"/>
    <cellStyle name="asd 40 4 2 14" xfId="24681"/>
    <cellStyle name="asd 40 4 2 15" xfId="4313"/>
    <cellStyle name="asd 40 4 2 16" xfId="2552"/>
    <cellStyle name="asd 40 4 2 17" xfId="2065"/>
    <cellStyle name="asd 40 4 2 18" xfId="2189"/>
    <cellStyle name="asd 40 4 2 19" xfId="33368"/>
    <cellStyle name="asd 40 4 2 2" xfId="5663"/>
    <cellStyle name="asd 40 4 2 2 10" xfId="21913"/>
    <cellStyle name="asd 40 4 2 2 11" xfId="23946"/>
    <cellStyle name="asd 40 4 2 2 12" xfId="25715"/>
    <cellStyle name="asd 40 4 2 2 13" xfId="26448"/>
    <cellStyle name="asd 40 4 2 2 14" xfId="28933"/>
    <cellStyle name="asd 40 4 2 2 15" xfId="30054"/>
    <cellStyle name="asd 40 4 2 2 16" xfId="32020"/>
    <cellStyle name="asd 40 4 2 2 17" xfId="34109"/>
    <cellStyle name="asd 40 4 2 2 18" xfId="36542"/>
    <cellStyle name="asd 40 4 2 2 19" xfId="38421"/>
    <cellStyle name="asd 40 4 2 2 2" xfId="7112"/>
    <cellStyle name="asd 40 4 2 2 20" xfId="39250"/>
    <cellStyle name="asd 40 4 2 2 21" xfId="40927"/>
    <cellStyle name="asd 40 4 2 2 22" xfId="43692"/>
    <cellStyle name="asd 40 4 2 2 3" xfId="8566"/>
    <cellStyle name="asd 40 4 2 2 4" xfId="10476"/>
    <cellStyle name="asd 40 4 2 2 5" xfId="11906"/>
    <cellStyle name="asd 40 4 2 2 6" xfId="14416"/>
    <cellStyle name="asd 40 4 2 2 7" xfId="16322"/>
    <cellStyle name="asd 40 4 2 2 8" xfId="18095"/>
    <cellStyle name="asd 40 4 2 2 9" xfId="20001"/>
    <cellStyle name="asd 40 4 2 20" xfId="35508"/>
    <cellStyle name="asd 40 4 2 21" xfId="37387"/>
    <cellStyle name="asd 40 4 2 22" xfId="34992"/>
    <cellStyle name="asd 40 4 2 23" xfId="31926"/>
    <cellStyle name="asd 40 4 2 24" xfId="43939"/>
    <cellStyle name="asd 40 4 2 3" xfId="4635"/>
    <cellStyle name="asd 40 4 2 4" xfId="6082"/>
    <cellStyle name="asd 40 4 2 5" xfId="7532"/>
    <cellStyle name="asd 40 4 2 6" xfId="9442"/>
    <cellStyle name="asd 40 4 2 7" xfId="12161"/>
    <cellStyle name="asd 40 4 2 8" xfId="14673"/>
    <cellStyle name="asd 40 4 2 9" xfId="16579"/>
    <cellStyle name="asd 40 4 20" xfId="15976"/>
    <cellStyle name="asd 40 4 21" xfId="3718"/>
    <cellStyle name="asd 40 4 22" xfId="30176"/>
    <cellStyle name="asd 40 4 23" xfId="32628"/>
    <cellStyle name="asd 40 4 24" xfId="29750"/>
    <cellStyle name="asd 40 4 25" xfId="28745"/>
    <cellStyle name="asd 40 4 3" xfId="3312"/>
    <cellStyle name="asd 40 4 3 10" xfId="19196"/>
    <cellStyle name="asd 40 4 3 11" xfId="21108"/>
    <cellStyle name="asd 40 4 3 12" xfId="22954"/>
    <cellStyle name="asd 40 4 3 13" xfId="24910"/>
    <cellStyle name="asd 40 4 3 14" xfId="26283"/>
    <cellStyle name="asd 40 4 3 15" xfId="28167"/>
    <cellStyle name="asd 40 4 3 16" xfId="29892"/>
    <cellStyle name="asd 40 4 3 17" xfId="32173"/>
    <cellStyle name="asd 40 4 3 18" xfId="33735"/>
    <cellStyle name="asd 40 4 3 19" xfId="35737"/>
    <cellStyle name="asd 40 4 3 2" xfId="4513"/>
    <cellStyle name="asd 40 4 3 2 10" xfId="20758"/>
    <cellStyle name="asd 40 4 3 2 11" xfId="23525"/>
    <cellStyle name="asd 40 4 3 2 12" xfId="24560"/>
    <cellStyle name="asd 40 4 3 2 13" xfId="27474"/>
    <cellStyle name="asd 40 4 3 2 14" xfId="29613"/>
    <cellStyle name="asd 40 4 3 2 15" xfId="31061"/>
    <cellStyle name="asd 40 4 3 2 16" xfId="31957"/>
    <cellStyle name="asd 40 4 3 2 17" xfId="35011"/>
    <cellStyle name="asd 40 4 3 2 18" xfId="35388"/>
    <cellStyle name="asd 40 4 3 2 19" xfId="37266"/>
    <cellStyle name="asd 40 4 3 2 2" xfId="4761"/>
    <cellStyle name="asd 40 4 3 2 20" xfId="39186"/>
    <cellStyle name="asd 40 4 3 2 21" xfId="40867"/>
    <cellStyle name="asd 40 4 3 2 22" xfId="43290"/>
    <cellStyle name="asd 40 4 3 2 3" xfId="6305"/>
    <cellStyle name="asd 40 4 3 2 4" xfId="9320"/>
    <cellStyle name="asd 40 4 3 2 5" xfId="12546"/>
    <cellStyle name="asd 40 4 3 2 6" xfId="13997"/>
    <cellStyle name="asd 40 4 3 2 7" xfId="15898"/>
    <cellStyle name="asd 40 4 3 2 8" xfId="16939"/>
    <cellStyle name="asd 40 4 3 2 9" xfId="18846"/>
    <cellStyle name="asd 40 4 3 20" xfId="37616"/>
    <cellStyle name="asd 40 4 3 21" xfId="39395"/>
    <cellStyle name="asd 40 4 3 22" xfId="41071"/>
    <cellStyle name="asd 40 4 3 23" xfId="42740"/>
    <cellStyle name="asd 40 4 3 3" xfId="4860"/>
    <cellStyle name="asd 40 4 3 4" xfId="7761"/>
    <cellStyle name="asd 40 4 3 5" xfId="9671"/>
    <cellStyle name="asd 40 4 3 6" xfId="11197"/>
    <cellStyle name="asd 40 4 3 7" xfId="13423"/>
    <cellStyle name="asd 40 4 3 8" xfId="15328"/>
    <cellStyle name="asd 40 4 3 9" xfId="17290"/>
    <cellStyle name="asd 40 4 4" xfId="3095"/>
    <cellStyle name="asd 40 4 4 10" xfId="19153"/>
    <cellStyle name="asd 40 4 4 11" xfId="21065"/>
    <cellStyle name="asd 40 4 4 12" xfId="23347"/>
    <cellStyle name="asd 40 4 4 13" xfId="24867"/>
    <cellStyle name="asd 40 4 4 14" xfId="26209"/>
    <cellStyle name="asd 40 4 4 15" xfId="28956"/>
    <cellStyle name="asd 40 4 4 16" xfId="29821"/>
    <cellStyle name="asd 40 4 4 17" xfId="33003"/>
    <cellStyle name="asd 40 4 4 18" xfId="34394"/>
    <cellStyle name="asd 40 4 4 19" xfId="35694"/>
    <cellStyle name="asd 40 4 4 2" xfId="4458"/>
    <cellStyle name="asd 40 4 4 2 10" xfId="20703"/>
    <cellStyle name="asd 40 4 4 2 11" xfId="23421"/>
    <cellStyle name="asd 40 4 4 2 12" xfId="24505"/>
    <cellStyle name="asd 40 4 4 2 13" xfId="26413"/>
    <cellStyle name="asd 40 4 4 2 14" xfId="28686"/>
    <cellStyle name="asd 40 4 4 2 15" xfId="30020"/>
    <cellStyle name="asd 40 4 4 2 16" xfId="33032"/>
    <cellStyle name="asd 40 4 4 2 17" xfId="35057"/>
    <cellStyle name="asd 40 4 4 2 18" xfId="35333"/>
    <cellStyle name="asd 40 4 4 2 19" xfId="37211"/>
    <cellStyle name="asd 40 4 4 2 2" xfId="5319"/>
    <cellStyle name="asd 40 4 4 2 20" xfId="40231"/>
    <cellStyle name="asd 40 4 4 2 21" xfId="41890"/>
    <cellStyle name="asd 40 4 4 2 22" xfId="43188"/>
    <cellStyle name="asd 40 4 4 2 3" xfId="6659"/>
    <cellStyle name="asd 40 4 4 2 4" xfId="9265"/>
    <cellStyle name="asd 40 4 4 2 5" xfId="12308"/>
    <cellStyle name="asd 40 4 4 2 6" xfId="13893"/>
    <cellStyle name="asd 40 4 4 2 7" xfId="15794"/>
    <cellStyle name="asd 40 4 4 2 8" xfId="16884"/>
    <cellStyle name="asd 40 4 4 2 9" xfId="18791"/>
    <cellStyle name="asd 40 4 4 20" xfId="37573"/>
    <cellStyle name="asd 40 4 4 21" xfId="40203"/>
    <cellStyle name="asd 40 4 4 22" xfId="41862"/>
    <cellStyle name="asd 40 4 4 23" xfId="43117"/>
    <cellStyle name="asd 40 4 4 3" xfId="6267"/>
    <cellStyle name="asd 40 4 4 4" xfId="7718"/>
    <cellStyle name="asd 40 4 4 5" xfId="9628"/>
    <cellStyle name="asd 40 4 4 6" xfId="11178"/>
    <cellStyle name="asd 40 4 4 7" xfId="13819"/>
    <cellStyle name="asd 40 4 4 8" xfId="15721"/>
    <cellStyle name="asd 40 4 4 9" xfId="17247"/>
    <cellStyle name="asd 40 4 5" xfId="4621"/>
    <cellStyle name="asd 40 4 5 10" xfId="20866"/>
    <cellStyle name="asd 40 4 5 11" xfId="23513"/>
    <cellStyle name="asd 40 4 5 12" xfId="24668"/>
    <cellStyle name="asd 40 4 5 13" xfId="26864"/>
    <cellStyle name="asd 40 4 5 14" xfId="23675"/>
    <cellStyle name="asd 40 4 5 15" xfId="30460"/>
    <cellStyle name="asd 40 4 5 16" xfId="29073"/>
    <cellStyle name="asd 40 4 5 17" xfId="20406"/>
    <cellStyle name="asd 40 4 5 18" xfId="35496"/>
    <cellStyle name="asd 40 4 5 19" xfId="37374"/>
    <cellStyle name="asd 40 4 5 2" xfId="6069"/>
    <cellStyle name="asd 40 4 5 20" xfId="28978"/>
    <cellStyle name="asd 40 4 5 21" xfId="29743"/>
    <cellStyle name="asd 40 4 5 22" xfId="43278"/>
    <cellStyle name="asd 40 4 5 3" xfId="7518"/>
    <cellStyle name="asd 40 4 5 4" xfId="9428"/>
    <cellStyle name="asd 40 4 5 5" xfId="12501"/>
    <cellStyle name="asd 40 4 5 6" xfId="13985"/>
    <cellStyle name="asd 40 4 5 7" xfId="15886"/>
    <cellStyle name="asd 40 4 5 8" xfId="17047"/>
    <cellStyle name="asd 40 4 5 9" xfId="18954"/>
    <cellStyle name="asd 40 4 6" xfId="2807"/>
    <cellStyle name="asd 40 4 7" xfId="2585"/>
    <cellStyle name="asd 40 4 8" xfId="3150"/>
    <cellStyle name="asd 40 4 9" xfId="2376"/>
    <cellStyle name="asd 40 5" xfId="2371"/>
    <cellStyle name="asd 40 5 10" xfId="17154"/>
    <cellStyle name="asd 40 5 11" xfId="19060"/>
    <cellStyle name="asd 40 5 12" xfId="20972"/>
    <cellStyle name="asd 40 5 13" xfId="22937"/>
    <cellStyle name="asd 40 5 14" xfId="24774"/>
    <cellStyle name="asd 40 5 15" xfId="27495"/>
    <cellStyle name="asd 40 5 16" xfId="29099"/>
    <cellStyle name="asd 40 5 17" xfId="31081"/>
    <cellStyle name="asd 40 5 18" xfId="32651"/>
    <cellStyle name="asd 40 5 19" xfId="34748"/>
    <cellStyle name="asd 40 5 2" xfId="4502"/>
    <cellStyle name="asd 40 5 2 10" xfId="20747"/>
    <cellStyle name="asd 40 5 2 11" xfId="22722"/>
    <cellStyle name="asd 40 5 2 12" xfId="24549"/>
    <cellStyle name="asd 40 5 2 13" xfId="27185"/>
    <cellStyle name="asd 40 5 2 14" xfId="29625"/>
    <cellStyle name="asd 40 5 2 15" xfId="30776"/>
    <cellStyle name="asd 40 5 2 16" xfId="31866"/>
    <cellStyle name="asd 40 5 2 17" xfId="34419"/>
    <cellStyle name="asd 40 5 2 18" xfId="35377"/>
    <cellStyle name="asd 40 5 2 19" xfId="37255"/>
    <cellStyle name="asd 40 5 2 2" xfId="5413"/>
    <cellStyle name="asd 40 5 2 20" xfId="39101"/>
    <cellStyle name="asd 40 5 2 21" xfId="40782"/>
    <cellStyle name="asd 40 5 2 22" xfId="42520"/>
    <cellStyle name="asd 40 5 2 3" xfId="6241"/>
    <cellStyle name="asd 40 5 2 4" xfId="9309"/>
    <cellStyle name="asd 40 5 2 5" xfId="12600"/>
    <cellStyle name="asd 40 5 2 6" xfId="13191"/>
    <cellStyle name="asd 40 5 2 7" xfId="15094"/>
    <cellStyle name="asd 40 5 2 8" xfId="16928"/>
    <cellStyle name="asd 40 5 2 9" xfId="18835"/>
    <cellStyle name="asd 40 5 20" xfId="35601"/>
    <cellStyle name="asd 40 5 21" xfId="37480"/>
    <cellStyle name="asd 40 5 22" xfId="39858"/>
    <cellStyle name="asd 40 5 23" xfId="41527"/>
    <cellStyle name="asd 40 5 24" xfId="42723"/>
    <cellStyle name="asd 40 5 3" xfId="4726"/>
    <cellStyle name="asd 40 5 4" xfId="6174"/>
    <cellStyle name="asd 40 5 5" xfId="7625"/>
    <cellStyle name="asd 40 5 6" xfId="9535"/>
    <cellStyle name="asd 40 5 7" xfId="11230"/>
    <cellStyle name="asd 40 5 8" xfId="13405"/>
    <cellStyle name="asd 40 5 9" xfId="15310"/>
    <cellStyle name="asd 40 6" xfId="2143"/>
    <cellStyle name="asd 40 6 10" xfId="19025"/>
    <cellStyle name="asd 40 6 11" xfId="20937"/>
    <cellStyle name="asd 40 6 12" xfId="1757"/>
    <cellStyle name="asd 40 6 13" xfId="24739"/>
    <cellStyle name="asd 40 6 14" xfId="16586"/>
    <cellStyle name="asd 40 6 15" xfId="28466"/>
    <cellStyle name="asd 40 6 16" xfId="22325"/>
    <cellStyle name="asd 40 6 17" xfId="31915"/>
    <cellStyle name="asd 40 6 18" xfId="33609"/>
    <cellStyle name="asd 40 6 19" xfId="35566"/>
    <cellStyle name="asd 40 6 2" xfId="5560"/>
    <cellStyle name="asd 40 6 2 10" xfId="21810"/>
    <cellStyle name="asd 40 6 2 11" xfId="22491"/>
    <cellStyle name="asd 40 6 2 12" xfId="25612"/>
    <cellStyle name="asd 40 6 2 13" xfId="27308"/>
    <cellStyle name="asd 40 6 2 14" xfId="28508"/>
    <cellStyle name="asd 40 6 2 15" xfId="30898"/>
    <cellStyle name="asd 40 6 2 16" xfId="32768"/>
    <cellStyle name="asd 40 6 2 17" xfId="34371"/>
    <cellStyle name="asd 40 6 2 18" xfId="36439"/>
    <cellStyle name="asd 40 6 2 19" xfId="38318"/>
    <cellStyle name="asd 40 6 2 2" xfId="7009"/>
    <cellStyle name="asd 40 6 2 20" xfId="39977"/>
    <cellStyle name="asd 40 6 2 21" xfId="41641"/>
    <cellStyle name="asd 40 6 2 22" xfId="42301"/>
    <cellStyle name="asd 40 6 2 3" xfId="8463"/>
    <cellStyle name="asd 40 6 2 4" xfId="10373"/>
    <cellStyle name="asd 40 6 2 5" xfId="11608"/>
    <cellStyle name="asd 40 6 2 6" xfId="12959"/>
    <cellStyle name="asd 40 6 2 7" xfId="14863"/>
    <cellStyle name="asd 40 6 2 8" xfId="17992"/>
    <cellStyle name="asd 40 6 2 9" xfId="19898"/>
    <cellStyle name="asd 40 6 20" xfId="37445"/>
    <cellStyle name="asd 40 6 21" xfId="39147"/>
    <cellStyle name="asd 40 6 22" xfId="40828"/>
    <cellStyle name="asd 40 6 23" xfId="29211"/>
    <cellStyle name="asd 40 6 3" xfId="4691"/>
    <cellStyle name="asd 40 6 4" xfId="7590"/>
    <cellStyle name="asd 40 6 5" xfId="9500"/>
    <cellStyle name="asd 40 6 6" xfId="12414"/>
    <cellStyle name="asd 40 6 7" xfId="1931"/>
    <cellStyle name="asd 40 6 8" xfId="1848"/>
    <cellStyle name="asd 40 6 9" xfId="17119"/>
    <cellStyle name="asd 40 7" xfId="3849"/>
    <cellStyle name="asd 40 7 10" xfId="19571"/>
    <cellStyle name="asd 40 7 11" xfId="21483"/>
    <cellStyle name="asd 40 7 12" xfId="23590"/>
    <cellStyle name="asd 40 7 13" xfId="25285"/>
    <cellStyle name="asd 40 7 14" xfId="27289"/>
    <cellStyle name="asd 40 7 15" xfId="28939"/>
    <cellStyle name="asd 40 7 16" xfId="30880"/>
    <cellStyle name="asd 40 7 17" xfId="32868"/>
    <cellStyle name="asd 40 7 18" xfId="33996"/>
    <cellStyle name="asd 40 7 19" xfId="36112"/>
    <cellStyle name="asd 40 7 2" xfId="5841"/>
    <cellStyle name="asd 40 7 2 10" xfId="22091"/>
    <cellStyle name="asd 40 7 2 11" xfId="22645"/>
    <cellStyle name="asd 40 7 2 12" xfId="25893"/>
    <cellStyle name="asd 40 7 2 13" xfId="26997"/>
    <cellStyle name="asd 40 7 2 14" xfId="29700"/>
    <cellStyle name="asd 40 7 2 15" xfId="30591"/>
    <cellStyle name="asd 40 7 2 16" xfId="32034"/>
    <cellStyle name="asd 40 7 2 17" xfId="33869"/>
    <cellStyle name="asd 40 7 2 18" xfId="36720"/>
    <cellStyle name="asd 40 7 2 19" xfId="38599"/>
    <cellStyle name="asd 40 7 2 2" xfId="7290"/>
    <cellStyle name="asd 40 7 2 20" xfId="39264"/>
    <cellStyle name="asd 40 7 2 21" xfId="40941"/>
    <cellStyle name="asd 40 7 2 22" xfId="42451"/>
    <cellStyle name="asd 40 7 2 3" xfId="8744"/>
    <cellStyle name="asd 40 7 2 4" xfId="10654"/>
    <cellStyle name="asd 40 7 2 5" xfId="2919"/>
    <cellStyle name="asd 40 7 2 6" xfId="13112"/>
    <cellStyle name="asd 40 7 2 7" xfId="15017"/>
    <cellStyle name="asd 40 7 2 8" xfId="18273"/>
    <cellStyle name="asd 40 7 2 9" xfId="20179"/>
    <cellStyle name="asd 40 7 20" xfId="37991"/>
    <cellStyle name="asd 40 7 21" xfId="40074"/>
    <cellStyle name="asd 40 7 22" xfId="41738"/>
    <cellStyle name="asd 40 7 23" xfId="43349"/>
    <cellStyle name="asd 40 7 3" xfId="6682"/>
    <cellStyle name="asd 40 7 4" xfId="8136"/>
    <cellStyle name="asd 40 7 5" xfId="10046"/>
    <cellStyle name="asd 40 7 6" xfId="10985"/>
    <cellStyle name="asd 40 7 7" xfId="14060"/>
    <cellStyle name="asd 40 7 8" xfId="15963"/>
    <cellStyle name="asd 40 7 9" xfId="17665"/>
    <cellStyle name="asd 40 8" xfId="3216"/>
    <cellStyle name="asd 40 9" xfId="3242"/>
    <cellStyle name="asd 41" xfId="989"/>
    <cellStyle name="asd 41 10" xfId="3119"/>
    <cellStyle name="asd 41 11" xfId="2603"/>
    <cellStyle name="asd 41 12" xfId="3912"/>
    <cellStyle name="asd 41 13" xfId="13301"/>
    <cellStyle name="asd 41 14" xfId="6143"/>
    <cellStyle name="asd 41 15" xfId="2432"/>
    <cellStyle name="asd 41 16" xfId="12824"/>
    <cellStyle name="asd 41 17" xfId="2623"/>
    <cellStyle name="asd 41 18" xfId="22693"/>
    <cellStyle name="asd 41 19" xfId="29404"/>
    <cellStyle name="asd 41 2" xfId="3474"/>
    <cellStyle name="asd 41 2 10" xfId="13139"/>
    <cellStyle name="asd 41 2 11" xfId="15044"/>
    <cellStyle name="asd 41 2 12" xfId="16909"/>
    <cellStyle name="asd 41 2 13" xfId="18816"/>
    <cellStyle name="asd 41 2 14" xfId="20728"/>
    <cellStyle name="asd 41 2 15" xfId="22672"/>
    <cellStyle name="asd 41 2 16" xfId="24530"/>
    <cellStyle name="asd 41 2 17" xfId="26818"/>
    <cellStyle name="asd 41 2 18" xfId="29510"/>
    <cellStyle name="asd 41 2 19" xfId="30417"/>
    <cellStyle name="asd 41 2 2" xfId="3654"/>
    <cellStyle name="asd 41 2 2 10" xfId="17545"/>
    <cellStyle name="asd 41 2 2 11" xfId="19451"/>
    <cellStyle name="asd 41 2 2 12" xfId="21363"/>
    <cellStyle name="asd 41 2 2 13" xfId="23909"/>
    <cellStyle name="asd 41 2 2 14" xfId="25165"/>
    <cellStyle name="asd 41 2 2 15" xfId="27248"/>
    <cellStyle name="asd 41 2 2 16" xfId="28157"/>
    <cellStyle name="asd 41 2 2 17" xfId="30839"/>
    <cellStyle name="asd 41 2 2 18" xfId="32545"/>
    <cellStyle name="asd 41 2 2 19" xfId="34833"/>
    <cellStyle name="asd 41 2 2 2" xfId="5634"/>
    <cellStyle name="asd 41 2 2 2 10" xfId="21884"/>
    <cellStyle name="asd 41 2 2 2 11" xfId="22656"/>
    <cellStyle name="asd 41 2 2 2 12" xfId="25686"/>
    <cellStyle name="asd 41 2 2 2 13" xfId="27221"/>
    <cellStyle name="asd 41 2 2 2 14" xfId="29061"/>
    <cellStyle name="asd 41 2 2 2 15" xfId="30812"/>
    <cellStyle name="asd 41 2 2 2 16" xfId="32223"/>
    <cellStyle name="asd 41 2 2 2 17" xfId="33726"/>
    <cellStyle name="asd 41 2 2 2 18" xfId="36513"/>
    <cellStyle name="asd 41 2 2 2 19" xfId="38392"/>
    <cellStyle name="asd 41 2 2 2 2" xfId="7083"/>
    <cellStyle name="asd 41 2 2 2 20" xfId="39442"/>
    <cellStyle name="asd 41 2 2 2 21" xfId="41118"/>
    <cellStyle name="asd 41 2 2 2 22" xfId="42462"/>
    <cellStyle name="asd 41 2 2 2 3" xfId="8537"/>
    <cellStyle name="asd 41 2 2 2 4" xfId="10447"/>
    <cellStyle name="asd 41 2 2 2 5" xfId="12314"/>
    <cellStyle name="asd 41 2 2 2 6" xfId="13123"/>
    <cellStyle name="asd 41 2 2 2 7" xfId="15028"/>
    <cellStyle name="asd 41 2 2 2 8" xfId="18066"/>
    <cellStyle name="asd 41 2 2 2 9" xfId="19972"/>
    <cellStyle name="asd 41 2 2 20" xfId="35992"/>
    <cellStyle name="asd 41 2 2 21" xfId="37871"/>
    <cellStyle name="asd 41 2 2 22" xfId="39758"/>
    <cellStyle name="asd 41 2 2 23" xfId="41430"/>
    <cellStyle name="asd 41 2 2 24" xfId="43655"/>
    <cellStyle name="asd 41 2 2 3" xfId="5115"/>
    <cellStyle name="asd 41 2 2 4" xfId="6565"/>
    <cellStyle name="asd 41 2 2 5" xfId="8016"/>
    <cellStyle name="asd 41 2 2 6" xfId="9926"/>
    <cellStyle name="asd 41 2 2 7" xfId="11868"/>
    <cellStyle name="asd 41 2 2 8" xfId="14377"/>
    <cellStyle name="asd 41 2 2 9" xfId="16283"/>
    <cellStyle name="asd 41 2 20" xfId="32585"/>
    <cellStyle name="asd 41 2 21" xfId="33966"/>
    <cellStyle name="asd 41 2 22" xfId="35358"/>
    <cellStyle name="asd 41 2 23" xfId="37236"/>
    <cellStyle name="asd 41 2 24" xfId="39796"/>
    <cellStyle name="asd 41 2 25" xfId="41465"/>
    <cellStyle name="asd 41 2 26" xfId="42477"/>
    <cellStyle name="asd 41 2 3" xfId="3823"/>
    <cellStyle name="asd 41 2 3 10" xfId="19551"/>
    <cellStyle name="asd 41 2 3 11" xfId="21463"/>
    <cellStyle name="asd 41 2 3 12" xfId="23176"/>
    <cellStyle name="asd 41 2 3 13" xfId="25265"/>
    <cellStyle name="asd 41 2 3 14" xfId="27974"/>
    <cellStyle name="asd 41 2 3 15" xfId="28361"/>
    <cellStyle name="asd 41 2 3 16" xfId="31554"/>
    <cellStyle name="asd 41 2 3 17" xfId="30917"/>
    <cellStyle name="asd 41 2 3 18" xfId="28020"/>
    <cellStyle name="asd 41 2 3 19" xfId="36092"/>
    <cellStyle name="asd 41 2 3 2" xfId="5821"/>
    <cellStyle name="asd 41 2 3 2 10" xfId="22071"/>
    <cellStyle name="asd 41 2 3 2 11" xfId="22583"/>
    <cellStyle name="asd 41 2 3 2 12" xfId="25873"/>
    <cellStyle name="asd 41 2 3 2 13" xfId="26606"/>
    <cellStyle name="asd 41 2 3 2 14" xfId="29375"/>
    <cellStyle name="asd 41 2 3 2 15" xfId="30208"/>
    <cellStyle name="asd 41 2 3 2 16" xfId="31677"/>
    <cellStyle name="asd 41 2 3 2 17" xfId="33690"/>
    <cellStyle name="asd 41 2 3 2 18" xfId="36700"/>
    <cellStyle name="asd 41 2 3 2 19" xfId="38579"/>
    <cellStyle name="asd 41 2 3 2 2" xfId="7270"/>
    <cellStyle name="asd 41 2 3 2 20" xfId="38920"/>
    <cellStyle name="asd 41 2 3 2 21" xfId="40604"/>
    <cellStyle name="asd 41 2 3 2 22" xfId="42392"/>
    <cellStyle name="asd 41 2 3 2 3" xfId="8724"/>
    <cellStyle name="asd 41 2 3 2 4" xfId="10634"/>
    <cellStyle name="asd 41 2 3 2 5" xfId="11727"/>
    <cellStyle name="asd 41 2 3 2 6" xfId="13051"/>
    <cellStyle name="asd 41 2 3 2 7" xfId="14955"/>
    <cellStyle name="asd 41 2 3 2 8" xfId="18253"/>
    <cellStyle name="asd 41 2 3 2 9" xfId="20159"/>
    <cellStyle name="asd 41 2 3 20" xfId="37971"/>
    <cellStyle name="asd 41 2 3 21" xfId="31792"/>
    <cellStyle name="asd 41 2 3 22" xfId="39782"/>
    <cellStyle name="asd 41 2 3 23" xfId="42954"/>
    <cellStyle name="asd 41 2 3 3" xfId="5215"/>
    <cellStyle name="asd 41 2 3 4" xfId="8116"/>
    <cellStyle name="asd 41 2 3 5" xfId="10026"/>
    <cellStyle name="asd 41 2 3 6" xfId="11003"/>
    <cellStyle name="asd 41 2 3 7" xfId="13647"/>
    <cellStyle name="asd 41 2 3 8" xfId="15550"/>
    <cellStyle name="asd 41 2 3 9" xfId="17645"/>
    <cellStyle name="asd 41 2 4" xfId="4106"/>
    <cellStyle name="asd 41 2 4 10" xfId="19741"/>
    <cellStyle name="asd 41 2 4 11" xfId="21653"/>
    <cellStyle name="asd 41 2 4 12" xfId="22750"/>
    <cellStyle name="asd 41 2 4 13" xfId="25455"/>
    <cellStyle name="asd 41 2 4 14" xfId="26624"/>
    <cellStyle name="asd 41 2 4 15" xfId="28666"/>
    <cellStyle name="asd 41 2 4 16" xfId="30227"/>
    <cellStyle name="asd 41 2 4 17" xfId="31908"/>
    <cellStyle name="asd 41 2 4 18" xfId="33792"/>
    <cellStyle name="asd 41 2 4 19" xfId="36282"/>
    <cellStyle name="asd 41 2 4 2" xfId="6011"/>
    <cellStyle name="asd 41 2 4 2 10" xfId="22261"/>
    <cellStyle name="asd 41 2 4 2 11" xfId="22860"/>
    <cellStyle name="asd 41 2 4 2 12" xfId="26063"/>
    <cellStyle name="asd 41 2 4 2 13" xfId="27722"/>
    <cellStyle name="asd 41 2 4 2 14" xfId="29253"/>
    <cellStyle name="asd 41 2 4 2 15" xfId="31300"/>
    <cellStyle name="asd 41 2 4 2 16" xfId="32017"/>
    <cellStyle name="asd 41 2 4 2 17" xfId="34375"/>
    <cellStyle name="asd 41 2 4 2 18" xfId="36890"/>
    <cellStyle name="asd 41 2 4 2 19" xfId="38769"/>
    <cellStyle name="asd 41 2 4 2 2" xfId="7460"/>
    <cellStyle name="asd 41 2 4 2 20" xfId="39247"/>
    <cellStyle name="asd 41 2 4 2 21" xfId="40924"/>
    <cellStyle name="asd 41 2 4 2 22" xfId="42648"/>
    <cellStyle name="asd 41 2 4 2 3" xfId="8914"/>
    <cellStyle name="asd 41 2 4 2 4" xfId="10824"/>
    <cellStyle name="asd 41 2 4 2 5" xfId="12375"/>
    <cellStyle name="asd 41 2 4 2 6" xfId="13329"/>
    <cellStyle name="asd 41 2 4 2 7" xfId="15233"/>
    <cellStyle name="asd 41 2 4 2 8" xfId="18443"/>
    <cellStyle name="asd 41 2 4 2 9" xfId="20349"/>
    <cellStyle name="asd 41 2 4 20" xfId="38161"/>
    <cellStyle name="asd 41 2 4 21" xfId="39140"/>
    <cellStyle name="asd 41 2 4 22" xfId="40821"/>
    <cellStyle name="asd 41 2 4 23" xfId="42547"/>
    <cellStyle name="asd 41 2 4 3" xfId="6852"/>
    <cellStyle name="asd 41 2 4 4" xfId="8306"/>
    <cellStyle name="asd 41 2 4 5" xfId="10216"/>
    <cellStyle name="asd 41 2 4 6" xfId="12383"/>
    <cellStyle name="asd 41 2 4 7" xfId="13219"/>
    <cellStyle name="asd 41 2 4 8" xfId="15122"/>
    <cellStyle name="asd 41 2 4 9" xfId="17835"/>
    <cellStyle name="asd 41 2 5" xfId="4958"/>
    <cellStyle name="asd 41 2 5 10" xfId="21206"/>
    <cellStyle name="asd 41 2 5 11" xfId="22677"/>
    <cellStyle name="asd 41 2 5 12" xfId="25008"/>
    <cellStyle name="asd 41 2 5 13" xfId="27586"/>
    <cellStyle name="asd 41 2 5 14" xfId="29065"/>
    <cellStyle name="asd 41 2 5 15" xfId="31165"/>
    <cellStyle name="asd 41 2 5 16" xfId="33104"/>
    <cellStyle name="asd 41 2 5 17" xfId="34565"/>
    <cellStyle name="asd 41 2 5 18" xfId="35835"/>
    <cellStyle name="asd 41 2 5 19" xfId="37714"/>
    <cellStyle name="asd 41 2 5 2" xfId="6408"/>
    <cellStyle name="asd 41 2 5 20" xfId="40299"/>
    <cellStyle name="asd 41 2 5 21" xfId="41955"/>
    <cellStyle name="asd 41 2 5 22" xfId="42482"/>
    <cellStyle name="asd 41 2 5 3" xfId="7859"/>
    <cellStyle name="asd 41 2 5 4" xfId="9769"/>
    <cellStyle name="asd 41 2 5 5" xfId="11354"/>
    <cellStyle name="asd 41 2 5 6" xfId="13144"/>
    <cellStyle name="asd 41 2 5 7" xfId="15049"/>
    <cellStyle name="asd 41 2 5 8" xfId="17388"/>
    <cellStyle name="asd 41 2 5 9" xfId="19294"/>
    <cellStyle name="asd 41 2 6" xfId="5630"/>
    <cellStyle name="asd 41 2 6 10" xfId="21880"/>
    <cellStyle name="asd 41 2 6 11" xfId="23936"/>
    <cellStyle name="asd 41 2 6 12" xfId="25682"/>
    <cellStyle name="asd 41 2 6 13" xfId="26461"/>
    <cellStyle name="asd 41 2 6 14" xfId="29206"/>
    <cellStyle name="asd 41 2 6 15" xfId="30067"/>
    <cellStyle name="asd 41 2 6 16" xfId="33125"/>
    <cellStyle name="asd 41 2 6 17" xfId="34895"/>
    <cellStyle name="asd 41 2 6 18" xfId="36509"/>
    <cellStyle name="asd 41 2 6 19" xfId="38388"/>
    <cellStyle name="asd 41 2 6 2" xfId="7079"/>
    <cellStyle name="asd 41 2 6 20" xfId="40319"/>
    <cellStyle name="asd 41 2 6 21" xfId="41975"/>
    <cellStyle name="asd 41 2 6 22" xfId="43682"/>
    <cellStyle name="asd 41 2 6 3" xfId="8533"/>
    <cellStyle name="asd 41 2 6 4" xfId="10443"/>
    <cellStyle name="asd 41 2 6 5" xfId="11896"/>
    <cellStyle name="asd 41 2 6 6" xfId="14406"/>
    <cellStyle name="asd 41 2 6 7" xfId="16312"/>
    <cellStyle name="asd 41 2 6 8" xfId="18062"/>
    <cellStyle name="asd 41 2 6 9" xfId="19968"/>
    <cellStyle name="asd 41 2 7" xfId="3868"/>
    <cellStyle name="asd 41 2 8" xfId="9290"/>
    <cellStyle name="asd 41 2 9" xfId="11810"/>
    <cellStyle name="asd 41 20" xfId="8965"/>
    <cellStyle name="asd 41 21" xfId="30974"/>
    <cellStyle name="asd 41 22" xfId="3130"/>
    <cellStyle name="asd 41 23" xfId="3122"/>
    <cellStyle name="asd 41 24" xfId="30097"/>
    <cellStyle name="asd 41 25" xfId="32576"/>
    <cellStyle name="asd 41 26" xfId="38944"/>
    <cellStyle name="asd 41 27" xfId="39792"/>
    <cellStyle name="asd 41 3" xfId="3404"/>
    <cellStyle name="asd 41 3 10" xfId="13197"/>
    <cellStyle name="asd 41 3 11" xfId="15100"/>
    <cellStyle name="asd 41 3 12" xfId="16753"/>
    <cellStyle name="asd 41 3 13" xfId="18660"/>
    <cellStyle name="asd 41 3 14" xfId="20572"/>
    <cellStyle name="asd 41 3 15" xfId="22728"/>
    <cellStyle name="asd 41 3 16" xfId="24374"/>
    <cellStyle name="asd 41 3 17" xfId="27857"/>
    <cellStyle name="asd 41 3 18" xfId="28560"/>
    <cellStyle name="asd 41 3 19" xfId="31436"/>
    <cellStyle name="asd 41 3 2" xfId="3584"/>
    <cellStyle name="asd 41 3 2 10" xfId="17475"/>
    <cellStyle name="asd 41 3 2 11" xfId="19381"/>
    <cellStyle name="asd 41 3 2 12" xfId="21293"/>
    <cellStyle name="asd 41 3 2 13" xfId="24073"/>
    <cellStyle name="asd 41 3 2 14" xfId="25095"/>
    <cellStyle name="asd 41 3 2 15" xfId="26161"/>
    <cellStyle name="asd 41 3 2 16" xfId="29652"/>
    <cellStyle name="asd 41 3 2 17" xfId="29775"/>
    <cellStyle name="asd 41 3 2 18" xfId="32869"/>
    <cellStyle name="asd 41 3 2 19" xfId="34950"/>
    <cellStyle name="asd 41 3 2 2" xfId="5559"/>
    <cellStyle name="asd 41 3 2 2 10" xfId="21809"/>
    <cellStyle name="asd 41 3 2 2 11" xfId="22513"/>
    <cellStyle name="asd 41 3 2 2 12" xfId="25611"/>
    <cellStyle name="asd 41 3 2 2 13" xfId="27098"/>
    <cellStyle name="asd 41 3 2 2 14" xfId="29195"/>
    <cellStyle name="asd 41 3 2 2 15" xfId="30689"/>
    <cellStyle name="asd 41 3 2 2 16" xfId="31958"/>
    <cellStyle name="asd 41 3 2 2 17" xfId="34459"/>
    <cellStyle name="asd 41 3 2 2 18" xfId="36438"/>
    <cellStyle name="asd 41 3 2 2 19" xfId="38317"/>
    <cellStyle name="asd 41 3 2 2 2" xfId="7008"/>
    <cellStyle name="asd 41 3 2 2 20" xfId="39187"/>
    <cellStyle name="asd 41 3 2 2 21" xfId="40868"/>
    <cellStyle name="asd 41 3 2 2 22" xfId="42323"/>
    <cellStyle name="asd 41 3 2 2 3" xfId="8462"/>
    <cellStyle name="asd 41 3 2 2 4" xfId="10372"/>
    <cellStyle name="asd 41 3 2 2 5" xfId="11054"/>
    <cellStyle name="asd 41 3 2 2 6" xfId="12981"/>
    <cellStyle name="asd 41 3 2 2 7" xfId="14885"/>
    <cellStyle name="asd 41 3 2 2 8" xfId="17991"/>
    <cellStyle name="asd 41 3 2 2 9" xfId="19897"/>
    <cellStyle name="asd 41 3 2 20" xfId="35922"/>
    <cellStyle name="asd 41 3 2 21" xfId="37801"/>
    <cellStyle name="asd 41 3 2 22" xfId="40075"/>
    <cellStyle name="asd 41 3 2 23" xfId="41739"/>
    <cellStyle name="asd 41 3 2 24" xfId="43817"/>
    <cellStyle name="asd 41 3 2 3" xfId="5045"/>
    <cellStyle name="asd 41 3 2 4" xfId="6495"/>
    <cellStyle name="asd 41 3 2 5" xfId="7946"/>
    <cellStyle name="asd 41 3 2 6" xfId="9856"/>
    <cellStyle name="asd 41 3 2 7" xfId="12032"/>
    <cellStyle name="asd 41 3 2 8" xfId="14543"/>
    <cellStyle name="asd 41 3 2 9" xfId="16449"/>
    <cellStyle name="asd 41 3 20" xfId="32719"/>
    <cellStyle name="asd 41 3 21" xfId="34511"/>
    <cellStyle name="asd 41 3 22" xfId="35202"/>
    <cellStyle name="asd 41 3 23" xfId="37080"/>
    <cellStyle name="asd 41 3 24" xfId="39929"/>
    <cellStyle name="asd 41 3 25" xfId="41595"/>
    <cellStyle name="asd 41 3 26" xfId="42526"/>
    <cellStyle name="asd 41 3 3" xfId="3760"/>
    <cellStyle name="asd 41 3 3 10" xfId="19507"/>
    <cellStyle name="asd 41 3 3 11" xfId="21419"/>
    <cellStyle name="asd 41 3 3 12" xfId="22996"/>
    <cellStyle name="asd 41 3 3 13" xfId="25221"/>
    <cellStyle name="asd 41 3 3 14" xfId="26323"/>
    <cellStyle name="asd 41 3 3 15" xfId="24176"/>
    <cellStyle name="asd 41 3 3 16" xfId="29931"/>
    <cellStyle name="asd 41 3 3 17" xfId="32580"/>
    <cellStyle name="asd 41 3 3 18" xfId="1842"/>
    <cellStyle name="asd 41 3 3 19" xfId="36048"/>
    <cellStyle name="asd 41 3 3 2" xfId="5777"/>
    <cellStyle name="asd 41 3 3 2 10" xfId="22027"/>
    <cellStyle name="asd 41 3 3 2 11" xfId="23633"/>
    <cellStyle name="asd 41 3 3 2 12" xfId="25829"/>
    <cellStyle name="asd 41 3 3 2 13" xfId="26673"/>
    <cellStyle name="asd 41 3 3 2 14" xfId="28099"/>
    <cellStyle name="asd 41 3 3 2 15" xfId="30273"/>
    <cellStyle name="asd 41 3 3 2 16" xfId="32219"/>
    <cellStyle name="asd 41 3 3 2 17" xfId="34564"/>
    <cellStyle name="asd 41 3 3 2 18" xfId="36656"/>
    <cellStyle name="asd 41 3 3 2 19" xfId="38535"/>
    <cellStyle name="asd 41 3 3 2 2" xfId="7226"/>
    <cellStyle name="asd 41 3 3 2 20" xfId="39438"/>
    <cellStyle name="asd 41 3 3 2 21" xfId="41114"/>
    <cellStyle name="asd 41 3 3 2 22" xfId="43391"/>
    <cellStyle name="asd 41 3 3 2 3" xfId="8680"/>
    <cellStyle name="asd 41 3 3 2 4" xfId="10590"/>
    <cellStyle name="asd 41 3 3 2 5" xfId="11369"/>
    <cellStyle name="asd 41 3 3 2 6" xfId="14103"/>
    <cellStyle name="asd 41 3 3 2 7" xfId="16006"/>
    <cellStyle name="asd 41 3 3 2 8" xfId="18209"/>
    <cellStyle name="asd 41 3 3 2 9" xfId="20115"/>
    <cellStyle name="asd 41 3 3 20" xfId="37927"/>
    <cellStyle name="asd 41 3 3 21" xfId="39790"/>
    <cellStyle name="asd 41 3 3 22" xfId="41460"/>
    <cellStyle name="asd 41 3 3 23" xfId="42781"/>
    <cellStyle name="asd 41 3 3 3" xfId="5171"/>
    <cellStyle name="asd 41 3 3 4" xfId="8072"/>
    <cellStyle name="asd 41 3 3 5" xfId="9982"/>
    <cellStyle name="asd 41 3 3 6" xfId="10970"/>
    <cellStyle name="asd 41 3 3 7" xfId="13465"/>
    <cellStyle name="asd 41 3 3 8" xfId="15370"/>
    <cellStyle name="asd 41 3 3 9" xfId="17601"/>
    <cellStyle name="asd 41 3 4" xfId="4036"/>
    <cellStyle name="asd 41 3 4 10" xfId="19671"/>
    <cellStyle name="asd 41 3 4 11" xfId="21583"/>
    <cellStyle name="asd 41 3 4 12" xfId="24011"/>
    <cellStyle name="asd 41 3 4 13" xfId="25385"/>
    <cellStyle name="asd 41 3 4 14" xfId="26338"/>
    <cellStyle name="asd 41 3 4 15" xfId="29717"/>
    <cellStyle name="asd 41 3 4 16" xfId="29946"/>
    <cellStyle name="asd 41 3 4 17" xfId="33182"/>
    <cellStyle name="asd 41 3 4 18" xfId="33619"/>
    <cellStyle name="asd 41 3 4 19" xfId="36212"/>
    <cellStyle name="asd 41 3 4 2" xfId="5941"/>
    <cellStyle name="asd 41 3 4 2 10" xfId="22191"/>
    <cellStyle name="asd 41 3 4 2 11" xfId="15591"/>
    <cellStyle name="asd 41 3 4 2 12" xfId="25993"/>
    <cellStyle name="asd 41 3 4 2 13" xfId="2735"/>
    <cellStyle name="asd 41 3 4 2 14" xfId="3900"/>
    <cellStyle name="asd 41 3 4 2 15" xfId="27533"/>
    <cellStyle name="asd 41 3 4 2 16" xfId="29764"/>
    <cellStyle name="asd 41 3 4 2 17" xfId="6722"/>
    <cellStyle name="asd 41 3 4 2 18" xfId="36820"/>
    <cellStyle name="asd 41 3 4 2 19" xfId="38699"/>
    <cellStyle name="asd 41 3 4 2 2" xfId="7390"/>
    <cellStyle name="asd 41 3 4 2 20" xfId="33788"/>
    <cellStyle name="asd 41 3 4 2 21" xfId="38826"/>
    <cellStyle name="asd 41 3 4 2 22" xfId="29116"/>
    <cellStyle name="asd 41 3 4 2 3" xfId="8844"/>
    <cellStyle name="asd 41 3 4 2 4" xfId="10754"/>
    <cellStyle name="asd 41 3 4 2 5" xfId="11063"/>
    <cellStyle name="asd 41 3 4 2 6" xfId="2134"/>
    <cellStyle name="asd 41 3 4 2 7" xfId="2319"/>
    <cellStyle name="asd 41 3 4 2 8" xfId="18373"/>
    <cellStyle name="asd 41 3 4 2 9" xfId="20279"/>
    <cellStyle name="asd 41 3 4 20" xfId="38091"/>
    <cellStyle name="asd 41 3 4 21" xfId="40373"/>
    <cellStyle name="asd 41 3 4 22" xfId="42029"/>
    <cellStyle name="asd 41 3 4 23" xfId="43755"/>
    <cellStyle name="asd 41 3 4 3" xfId="6782"/>
    <cellStyle name="asd 41 3 4 4" xfId="8236"/>
    <cellStyle name="asd 41 3 4 5" xfId="10146"/>
    <cellStyle name="asd 41 3 4 6" xfId="11970"/>
    <cellStyle name="asd 41 3 4 7" xfId="14481"/>
    <cellStyle name="asd 41 3 4 8" xfId="16387"/>
    <cellStyle name="asd 41 3 4 9" xfId="17765"/>
    <cellStyle name="asd 41 3 5" xfId="4901"/>
    <cellStyle name="asd 41 3 5 10" xfId="21149"/>
    <cellStyle name="asd 41 3 5 11" xfId="22691"/>
    <cellStyle name="asd 41 3 5 12" xfId="24951"/>
    <cellStyle name="asd 41 3 5 13" xfId="26607"/>
    <cellStyle name="asd 41 3 5 14" xfId="29710"/>
    <cellStyle name="asd 41 3 5 15" xfId="30209"/>
    <cellStyle name="asd 41 3 5 16" xfId="32101"/>
    <cellStyle name="asd 41 3 5 17" xfId="33990"/>
    <cellStyle name="asd 41 3 5 18" xfId="35778"/>
    <cellStyle name="asd 41 3 5 19" xfId="37657"/>
    <cellStyle name="asd 41 3 5 2" xfId="6351"/>
    <cellStyle name="asd 41 3 5 20" xfId="39325"/>
    <cellStyle name="asd 41 3 5 21" xfId="41001"/>
    <cellStyle name="asd 41 3 5 22" xfId="42494"/>
    <cellStyle name="asd 41 3 5 3" xfId="7802"/>
    <cellStyle name="asd 41 3 5 4" xfId="9712"/>
    <cellStyle name="asd 41 3 5 5" xfId="11299"/>
    <cellStyle name="asd 41 3 5 6" xfId="13158"/>
    <cellStyle name="asd 41 3 5 7" xfId="15063"/>
    <cellStyle name="asd 41 3 5 8" xfId="17331"/>
    <cellStyle name="asd 41 3 5 9" xfId="19237"/>
    <cellStyle name="asd 41 3 6" xfId="4584"/>
    <cellStyle name="asd 41 3 6 10" xfId="20829"/>
    <cellStyle name="asd 41 3 6 11" xfId="22465"/>
    <cellStyle name="asd 41 3 6 12" xfId="24631"/>
    <cellStyle name="asd 41 3 6 13" xfId="26895"/>
    <cellStyle name="asd 41 3 6 14" xfId="28718"/>
    <cellStyle name="asd 41 3 6 15" xfId="30491"/>
    <cellStyle name="asd 41 3 6 16" xfId="31663"/>
    <cellStyle name="asd 41 3 6 17" xfId="34080"/>
    <cellStyle name="asd 41 3 6 18" xfId="35459"/>
    <cellStyle name="asd 41 3 6 19" xfId="37337"/>
    <cellStyle name="asd 41 3 6 2" xfId="2011"/>
    <cellStyle name="asd 41 3 6 20" xfId="38907"/>
    <cellStyle name="asd 41 3 6 21" xfId="40591"/>
    <cellStyle name="asd 41 3 6 22" xfId="42276"/>
    <cellStyle name="asd 41 3 6 3" xfId="3740"/>
    <cellStyle name="asd 41 3 6 4" xfId="9391"/>
    <cellStyle name="asd 41 3 6 5" xfId="11069"/>
    <cellStyle name="asd 41 3 6 6" xfId="12933"/>
    <cellStyle name="asd 41 3 6 7" xfId="14838"/>
    <cellStyle name="asd 41 3 6 8" xfId="17010"/>
    <cellStyle name="asd 41 3 6 9" xfId="18917"/>
    <cellStyle name="asd 41 3 7" xfId="2679"/>
    <cellStyle name="asd 41 3 8" xfId="9134"/>
    <cellStyle name="asd 41 3 9" xfId="11845"/>
    <cellStyle name="asd 41 4" xfId="3502"/>
    <cellStyle name="asd 41 4 10" xfId="15186"/>
    <cellStyle name="asd 41 4 11" xfId="16965"/>
    <cellStyle name="asd 41 4 12" xfId="18872"/>
    <cellStyle name="asd 41 4 13" xfId="20784"/>
    <cellStyle name="asd 41 4 14" xfId="22812"/>
    <cellStyle name="asd 41 4 15" xfId="24586"/>
    <cellStyle name="asd 41 4 16" xfId="26683"/>
    <cellStyle name="asd 41 4 17" xfId="29497"/>
    <cellStyle name="asd 41 4 18" xfId="30283"/>
    <cellStyle name="asd 41 4 19" xfId="32244"/>
    <cellStyle name="asd 41 4 2" xfId="3682"/>
    <cellStyle name="asd 41 4 2 10" xfId="17573"/>
    <cellStyle name="asd 41 4 2 11" xfId="19479"/>
    <cellStyle name="asd 41 4 2 12" xfId="21391"/>
    <cellStyle name="asd 41 4 2 13" xfId="23110"/>
    <cellStyle name="asd 41 4 2 14" xfId="25193"/>
    <cellStyle name="asd 41 4 2 15" xfId="27820"/>
    <cellStyle name="asd 41 4 2 16" xfId="29183"/>
    <cellStyle name="asd 41 4 2 17" xfId="31398"/>
    <cellStyle name="asd 41 4 2 18" xfId="32455"/>
    <cellStyle name="asd 41 4 2 19" xfId="34507"/>
    <cellStyle name="asd 41 4 2 2" xfId="5749"/>
    <cellStyle name="asd 41 4 2 2 10" xfId="21999"/>
    <cellStyle name="asd 41 4 2 2 11" xfId="22829"/>
    <cellStyle name="asd 41 4 2 2 12" xfId="25801"/>
    <cellStyle name="asd 41 4 2 2 13" xfId="27679"/>
    <cellStyle name="asd 41 4 2 2 14" xfId="10920"/>
    <cellStyle name="asd 41 4 2 2 15" xfId="31254"/>
    <cellStyle name="asd 41 4 2 2 16" xfId="31976"/>
    <cellStyle name="asd 41 4 2 2 17" xfId="33430"/>
    <cellStyle name="asd 41 4 2 2 18" xfId="36628"/>
    <cellStyle name="asd 41 4 2 2 19" xfId="38507"/>
    <cellStyle name="asd 41 4 2 2 2" xfId="7198"/>
    <cellStyle name="asd 41 4 2 2 20" xfId="39206"/>
    <cellStyle name="asd 41 4 2 2 21" xfId="40887"/>
    <cellStyle name="asd 41 4 2 2 22" xfId="42621"/>
    <cellStyle name="asd 41 4 2 2 3" xfId="8652"/>
    <cellStyle name="asd 41 4 2 2 4" xfId="10562"/>
    <cellStyle name="asd 41 4 2 2 5" xfId="12279"/>
    <cellStyle name="asd 41 4 2 2 6" xfId="13298"/>
    <cellStyle name="asd 41 4 2 2 7" xfId="15203"/>
    <cellStyle name="asd 41 4 2 2 8" xfId="18181"/>
    <cellStyle name="asd 41 4 2 2 9" xfId="20087"/>
    <cellStyle name="asd 41 4 2 20" xfId="36020"/>
    <cellStyle name="asd 41 4 2 21" xfId="37899"/>
    <cellStyle name="asd 41 4 2 22" xfId="39673"/>
    <cellStyle name="asd 41 4 2 23" xfId="41346"/>
    <cellStyle name="asd 41 4 2 24" xfId="42890"/>
    <cellStyle name="asd 41 4 2 3" xfId="5143"/>
    <cellStyle name="asd 41 4 2 4" xfId="6593"/>
    <cellStyle name="asd 41 4 2 5" xfId="8044"/>
    <cellStyle name="asd 41 4 2 6" xfId="9954"/>
    <cellStyle name="asd 41 4 2 7" xfId="12725"/>
    <cellStyle name="asd 41 4 2 8" xfId="13581"/>
    <cellStyle name="asd 41 4 2 9" xfId="15484"/>
    <cellStyle name="asd 41 4 20" xfId="33601"/>
    <cellStyle name="asd 41 4 21" xfId="35414"/>
    <cellStyle name="asd 41 4 22" xfId="37292"/>
    <cellStyle name="asd 41 4 23" xfId="39462"/>
    <cellStyle name="asd 41 4 24" xfId="41137"/>
    <cellStyle name="asd 41 4 25" xfId="42605"/>
    <cellStyle name="asd 41 4 3" xfId="3869"/>
    <cellStyle name="asd 41 4 3 10" xfId="19582"/>
    <cellStyle name="asd 41 4 3 11" xfId="21494"/>
    <cellStyle name="asd 41 4 3 12" xfId="23330"/>
    <cellStyle name="asd 41 4 3 13" xfId="25296"/>
    <cellStyle name="asd 41 4 3 14" xfId="26985"/>
    <cellStyle name="asd 41 4 3 15" xfId="29126"/>
    <cellStyle name="asd 41 4 3 16" xfId="30579"/>
    <cellStyle name="asd 41 4 3 17" xfId="31874"/>
    <cellStyle name="asd 41 4 3 18" xfId="34562"/>
    <cellStyle name="asd 41 4 3 19" xfId="36123"/>
    <cellStyle name="asd 41 4 3 2" xfId="5852"/>
    <cellStyle name="asd 41 4 3 2 10" xfId="22102"/>
    <cellStyle name="asd 41 4 3 2 11" xfId="23832"/>
    <cellStyle name="asd 41 4 3 2 12" xfId="25904"/>
    <cellStyle name="asd 41 4 3 2 13" xfId="26767"/>
    <cellStyle name="asd 41 4 3 2 14" xfId="28866"/>
    <cellStyle name="asd 41 4 3 2 15" xfId="30366"/>
    <cellStyle name="asd 41 4 3 2 16" xfId="32849"/>
    <cellStyle name="asd 41 4 3 2 17" xfId="34894"/>
    <cellStyle name="asd 41 4 3 2 18" xfId="36731"/>
    <cellStyle name="asd 41 4 3 2 19" xfId="38610"/>
    <cellStyle name="asd 41 4 3 2 2" xfId="7301"/>
    <cellStyle name="asd 41 4 3 2 20" xfId="40056"/>
    <cellStyle name="asd 41 4 3 2 21" xfId="41720"/>
    <cellStyle name="asd 41 4 3 2 22" xfId="43583"/>
    <cellStyle name="asd 41 4 3 2 3" xfId="8755"/>
    <cellStyle name="asd 41 4 3 2 4" xfId="10665"/>
    <cellStyle name="asd 41 4 3 2 5" xfId="11540"/>
    <cellStyle name="asd 41 4 3 2 6" xfId="14302"/>
    <cellStyle name="asd 41 4 3 2 7" xfId="16206"/>
    <cellStyle name="asd 41 4 3 2 8" xfId="18284"/>
    <cellStyle name="asd 41 4 3 2 9" xfId="20190"/>
    <cellStyle name="asd 41 4 3 20" xfId="38002"/>
    <cellStyle name="asd 41 4 3 21" xfId="39109"/>
    <cellStyle name="asd 41 4 3 22" xfId="40790"/>
    <cellStyle name="asd 41 4 3 23" xfId="43100"/>
    <cellStyle name="asd 41 4 3 3" xfId="5246"/>
    <cellStyle name="asd 41 4 3 4" xfId="8147"/>
    <cellStyle name="asd 41 4 3 5" xfId="10057"/>
    <cellStyle name="asd 41 4 3 6" xfId="12332"/>
    <cellStyle name="asd 41 4 3 7" xfId="13802"/>
    <cellStyle name="asd 41 4 3 8" xfId="15704"/>
    <cellStyle name="asd 41 4 3 9" xfId="17676"/>
    <cellStyle name="asd 41 4 4" xfId="4134"/>
    <cellStyle name="asd 41 4 4 10" xfId="19769"/>
    <cellStyle name="asd 41 4 4 11" xfId="21681"/>
    <cellStyle name="asd 41 4 4 12" xfId="23441"/>
    <cellStyle name="asd 41 4 4 13" xfId="25483"/>
    <cellStyle name="asd 41 4 4 14" xfId="27796"/>
    <cellStyle name="asd 41 4 4 15" xfId="29547"/>
    <cellStyle name="asd 41 4 4 16" xfId="31373"/>
    <cellStyle name="asd 41 4 4 17" xfId="31930"/>
    <cellStyle name="asd 41 4 4 18" xfId="34280"/>
    <cellStyle name="asd 41 4 4 19" xfId="36310"/>
    <cellStyle name="asd 41 4 4 2" xfId="6039"/>
    <cellStyle name="asd 41 4 4 2 10" xfId="22289"/>
    <cellStyle name="asd 41 4 4 2 11" xfId="22605"/>
    <cellStyle name="asd 41 4 4 2 12" xfId="26091"/>
    <cellStyle name="asd 41 4 4 2 13" xfId="26190"/>
    <cellStyle name="asd 41 4 4 2 14" xfId="28038"/>
    <cellStyle name="asd 41 4 4 2 15" xfId="29803"/>
    <cellStyle name="asd 41 4 4 2 16" xfId="32091"/>
    <cellStyle name="asd 41 4 4 2 17" xfId="34776"/>
    <cellStyle name="asd 41 4 4 2 18" xfId="36918"/>
    <cellStyle name="asd 41 4 4 2 19" xfId="38797"/>
    <cellStyle name="asd 41 4 4 2 2" xfId="7488"/>
    <cellStyle name="asd 41 4 4 2 20" xfId="39315"/>
    <cellStyle name="asd 41 4 4 2 21" xfId="40991"/>
    <cellStyle name="asd 41 4 4 2 22" xfId="42413"/>
    <cellStyle name="asd 41 4 4 2 3" xfId="8942"/>
    <cellStyle name="asd 41 4 4 2 4" xfId="10852"/>
    <cellStyle name="asd 41 4 4 2 5" xfId="3067"/>
    <cellStyle name="asd 41 4 4 2 6" xfId="13073"/>
    <cellStyle name="asd 41 4 4 2 7" xfId="14977"/>
    <cellStyle name="asd 41 4 4 2 8" xfId="18471"/>
    <cellStyle name="asd 41 4 4 2 9" xfId="20377"/>
    <cellStyle name="asd 41 4 4 20" xfId="38189"/>
    <cellStyle name="asd 41 4 4 21" xfId="39160"/>
    <cellStyle name="asd 41 4 4 22" xfId="40841"/>
    <cellStyle name="asd 41 4 4 23" xfId="43208"/>
    <cellStyle name="asd 41 4 4 3" xfId="6880"/>
    <cellStyle name="asd 41 4 4 4" xfId="8334"/>
    <cellStyle name="asd 41 4 4 5" xfId="10244"/>
    <cellStyle name="asd 41 4 4 6" xfId="12559"/>
    <cellStyle name="asd 41 4 4 7" xfId="13913"/>
    <cellStyle name="asd 41 4 4 8" xfId="15814"/>
    <cellStyle name="asd 41 4 4 9" xfId="17863"/>
    <cellStyle name="asd 41 4 5" xfId="5504"/>
    <cellStyle name="asd 41 4 5 10" xfId="21754"/>
    <cellStyle name="asd 41 4 5 11" xfId="23125"/>
    <cellStyle name="asd 41 4 5 12" xfId="25556"/>
    <cellStyle name="asd 41 4 5 13" xfId="26468"/>
    <cellStyle name="asd 41 4 5 14" xfId="29213"/>
    <cellStyle name="asd 41 4 5 15" xfId="30073"/>
    <cellStyle name="asd 41 4 5 16" xfId="33187"/>
    <cellStyle name="asd 41 4 5 17" xfId="34892"/>
    <cellStyle name="asd 41 4 5 18" xfId="36383"/>
    <cellStyle name="asd 41 4 5 19" xfId="38262"/>
    <cellStyle name="asd 41 4 5 2" xfId="6953"/>
    <cellStyle name="asd 41 4 5 20" xfId="40378"/>
    <cellStyle name="asd 41 4 5 21" xfId="42034"/>
    <cellStyle name="asd 41 4 5 22" xfId="42904"/>
    <cellStyle name="asd 41 4 5 3" xfId="8407"/>
    <cellStyle name="asd 41 4 5 4" xfId="10317"/>
    <cellStyle name="asd 41 4 5 5" xfId="12746"/>
    <cellStyle name="asd 41 4 5 6" xfId="13596"/>
    <cellStyle name="asd 41 4 5 7" xfId="15499"/>
    <cellStyle name="asd 41 4 5 8" xfId="17936"/>
    <cellStyle name="asd 41 4 5 9" xfId="19842"/>
    <cellStyle name="asd 41 4 6" xfId="4604"/>
    <cellStyle name="asd 41 4 7" xfId="9346"/>
    <cellStyle name="asd 41 4 8" xfId="12408"/>
    <cellStyle name="asd 41 4 9" xfId="13282"/>
    <cellStyle name="asd 41 5" xfId="3176"/>
    <cellStyle name="asd 41 5 10" xfId="17267"/>
    <cellStyle name="asd 41 5 11" xfId="19173"/>
    <cellStyle name="asd 41 5 12" xfId="21085"/>
    <cellStyle name="asd 41 5 13" xfId="23105"/>
    <cellStyle name="asd 41 5 14" xfId="24887"/>
    <cellStyle name="asd 41 5 15" xfId="26481"/>
    <cellStyle name="asd 41 5 16" xfId="28587"/>
    <cellStyle name="asd 41 5 17" xfId="30087"/>
    <cellStyle name="asd 41 5 18" xfId="31682"/>
    <cellStyle name="asd 41 5 19" xfId="33897"/>
    <cellStyle name="asd 41 5 2" xfId="4532"/>
    <cellStyle name="asd 41 5 2 10" xfId="20777"/>
    <cellStyle name="asd 41 5 2 11" xfId="22967"/>
    <cellStyle name="asd 41 5 2 12" xfId="24579"/>
    <cellStyle name="asd 41 5 2 13" xfId="27731"/>
    <cellStyle name="asd 41 5 2 14" xfId="28794"/>
    <cellStyle name="asd 41 5 2 15" xfId="31309"/>
    <cellStyle name="asd 41 5 2 16" xfId="32136"/>
    <cellStyle name="asd 41 5 2 17" xfId="33620"/>
    <cellStyle name="asd 41 5 2 18" xfId="35407"/>
    <cellStyle name="asd 41 5 2 19" xfId="37285"/>
    <cellStyle name="asd 41 5 2 2" xfId="5434"/>
    <cellStyle name="asd 41 5 2 20" xfId="39359"/>
    <cellStyle name="asd 41 5 2 21" xfId="41035"/>
    <cellStyle name="asd 41 5 2 22" xfId="42753"/>
    <cellStyle name="asd 41 5 2 3" xfId="6101"/>
    <cellStyle name="asd 41 5 2 4" xfId="9339"/>
    <cellStyle name="asd 41 5 2 5" xfId="12309"/>
    <cellStyle name="asd 41 5 2 6" xfId="13436"/>
    <cellStyle name="asd 41 5 2 7" xfId="15341"/>
    <cellStyle name="asd 41 5 2 8" xfId="16958"/>
    <cellStyle name="asd 41 5 2 9" xfId="18865"/>
    <cellStyle name="asd 41 5 20" xfId="35714"/>
    <cellStyle name="asd 41 5 21" xfId="37593"/>
    <cellStyle name="asd 41 5 22" xfId="38925"/>
    <cellStyle name="asd 41 5 23" xfId="40609"/>
    <cellStyle name="asd 41 5 24" xfId="42885"/>
    <cellStyle name="asd 41 5 3" xfId="4837"/>
    <cellStyle name="asd 41 5 4" xfId="6287"/>
    <cellStyle name="asd 41 5 5" xfId="7738"/>
    <cellStyle name="asd 41 5 6" xfId="9648"/>
    <cellStyle name="asd 41 5 7" xfId="12718"/>
    <cellStyle name="asd 41 5 8" xfId="13576"/>
    <cellStyle name="asd 41 5 9" xfId="15479"/>
    <cellStyle name="asd 41 6" xfId="2781"/>
    <cellStyle name="asd 41 6 10" xfId="19109"/>
    <cellStyle name="asd 41 6 11" xfId="21021"/>
    <cellStyle name="asd 41 6 12" xfId="23591"/>
    <cellStyle name="asd 41 6 13" xfId="24823"/>
    <cellStyle name="asd 41 6 14" xfId="27509"/>
    <cellStyle name="asd 41 6 15" xfId="3253"/>
    <cellStyle name="asd 41 6 16" xfId="31094"/>
    <cellStyle name="asd 41 6 17" xfId="31774"/>
    <cellStyle name="asd 41 6 18" xfId="33204"/>
    <cellStyle name="asd 41 6 19" xfId="35650"/>
    <cellStyle name="asd 41 6 2" xfId="5499"/>
    <cellStyle name="asd 41 6 2 10" xfId="21749"/>
    <cellStyle name="asd 41 6 2 11" xfId="22907"/>
    <cellStyle name="asd 41 6 2 12" xfId="25551"/>
    <cellStyle name="asd 41 6 2 13" xfId="2359"/>
    <cellStyle name="asd 41 6 2 14" xfId="26408"/>
    <cellStyle name="asd 41 6 2 15" xfId="26555"/>
    <cellStyle name="asd 41 6 2 16" xfId="31588"/>
    <cellStyle name="asd 41 6 2 17" xfId="31840"/>
    <cellStyle name="asd 41 6 2 18" xfId="36378"/>
    <cellStyle name="asd 41 6 2 19" xfId="38257"/>
    <cellStyle name="asd 41 6 2 2" xfId="6948"/>
    <cellStyle name="asd 41 6 2 20" xfId="38837"/>
    <cellStyle name="asd 41 6 2 21" xfId="40524"/>
    <cellStyle name="asd 41 6 2 22" xfId="42693"/>
    <cellStyle name="asd 41 6 2 3" xfId="8402"/>
    <cellStyle name="asd 41 6 2 4" xfId="10312"/>
    <cellStyle name="asd 41 6 2 5" xfId="12358"/>
    <cellStyle name="asd 41 6 2 6" xfId="13375"/>
    <cellStyle name="asd 41 6 2 7" xfId="15280"/>
    <cellStyle name="asd 41 6 2 8" xfId="17931"/>
    <cellStyle name="asd 41 6 2 9" xfId="19837"/>
    <cellStyle name="asd 41 6 20" xfId="37529"/>
    <cellStyle name="asd 41 6 21" xfId="39013"/>
    <cellStyle name="asd 41 6 22" xfId="40695"/>
    <cellStyle name="asd 41 6 23" xfId="43350"/>
    <cellStyle name="asd 41 6 3" xfId="4774"/>
    <cellStyle name="asd 41 6 4" xfId="7674"/>
    <cellStyle name="asd 41 6 5" xfId="9584"/>
    <cellStyle name="asd 41 6 6" xfId="11186"/>
    <cellStyle name="asd 41 6 7" xfId="14061"/>
    <cellStyle name="asd 41 6 8" xfId="15964"/>
    <cellStyle name="asd 41 6 9" xfId="17203"/>
    <cellStyle name="asd 41 7" xfId="1996"/>
    <cellStyle name="asd 41 7 10" xfId="18997"/>
    <cellStyle name="asd 41 7 11" xfId="20909"/>
    <cellStyle name="asd 41 7 12" xfId="23867"/>
    <cellStyle name="asd 41 7 13" xfId="24711"/>
    <cellStyle name="asd 41 7 14" xfId="27899"/>
    <cellStyle name="asd 41 7 15" xfId="28703"/>
    <cellStyle name="asd 41 7 16" xfId="31481"/>
    <cellStyle name="asd 41 7 17" xfId="32028"/>
    <cellStyle name="asd 41 7 18" xfId="33796"/>
    <cellStyle name="asd 41 7 19" xfId="35538"/>
    <cellStyle name="asd 41 7 2" xfId="5710"/>
    <cellStyle name="asd 41 7 2 10" xfId="21960"/>
    <cellStyle name="asd 41 7 2 11" xfId="1999"/>
    <cellStyle name="asd 41 7 2 12" xfId="25762"/>
    <cellStyle name="asd 41 7 2 13" xfId="2684"/>
    <cellStyle name="asd 41 7 2 14" xfId="1983"/>
    <cellStyle name="asd 41 7 2 15" xfId="3066"/>
    <cellStyle name="asd 41 7 2 16" xfId="26123"/>
    <cellStyle name="asd 41 7 2 17" xfId="29719"/>
    <cellStyle name="asd 41 7 2 18" xfId="36589"/>
    <cellStyle name="asd 41 7 2 19" xfId="38468"/>
    <cellStyle name="asd 41 7 2 2" xfId="7159"/>
    <cellStyle name="asd 41 7 2 20" xfId="29574"/>
    <cellStyle name="asd 41 7 2 21" xfId="38821"/>
    <cellStyle name="asd 41 7 2 22" xfId="39672"/>
    <cellStyle name="asd 41 7 2 3" xfId="8613"/>
    <cellStyle name="asd 41 7 2 4" xfId="10523"/>
    <cellStyle name="asd 41 7 2 5" xfId="12369"/>
    <cellStyle name="asd 41 7 2 6" xfId="2922"/>
    <cellStyle name="asd 41 7 2 7" xfId="2173"/>
    <cellStyle name="asd 41 7 2 8" xfId="18142"/>
    <cellStyle name="asd 41 7 2 9" xfId="20048"/>
    <cellStyle name="asd 41 7 20" xfId="37417"/>
    <cellStyle name="asd 41 7 21" xfId="39258"/>
    <cellStyle name="asd 41 7 22" xfId="40935"/>
    <cellStyle name="asd 41 7 23" xfId="43617"/>
    <cellStyle name="asd 41 7 3" xfId="6111"/>
    <cellStyle name="asd 41 7 4" xfId="7562"/>
    <cellStyle name="asd 41 7 5" xfId="9472"/>
    <cellStyle name="asd 41 7 6" xfId="11392"/>
    <cellStyle name="asd 41 7 7" xfId="14337"/>
    <cellStyle name="asd 41 7 8" xfId="16241"/>
    <cellStyle name="asd 41 7 9" xfId="17091"/>
    <cellStyle name="asd 41 8" xfId="3938"/>
    <cellStyle name="asd 41 9" xfId="2328"/>
    <cellStyle name="asd 42" xfId="997"/>
    <cellStyle name="asd 42 10" xfId="2411"/>
    <cellStyle name="asd 42 11" xfId="12825"/>
    <cellStyle name="asd 42 12" xfId="14730"/>
    <cellStyle name="asd 42 13" xfId="6236"/>
    <cellStyle name="asd 42 14" xfId="3703"/>
    <cellStyle name="asd 42 15" xfId="16357"/>
    <cellStyle name="asd 42 16" xfId="22358"/>
    <cellStyle name="asd 42 17" xfId="14902"/>
    <cellStyle name="asd 42 18" xfId="3831"/>
    <cellStyle name="asd 42 19" xfId="3002"/>
    <cellStyle name="asd 42 2" xfId="3463"/>
    <cellStyle name="asd 42 2 10" xfId="12843"/>
    <cellStyle name="asd 42 2 11" xfId="14748"/>
    <cellStyle name="asd 42 2 12" xfId="16876"/>
    <cellStyle name="asd 42 2 13" xfId="18783"/>
    <cellStyle name="asd 42 2 14" xfId="20695"/>
    <cellStyle name="asd 42 2 15" xfId="22376"/>
    <cellStyle name="asd 42 2 16" xfId="24497"/>
    <cellStyle name="asd 42 2 17" xfId="26923"/>
    <cellStyle name="asd 42 2 18" xfId="28277"/>
    <cellStyle name="asd 42 2 19" xfId="30518"/>
    <cellStyle name="asd 42 2 2" xfId="3643"/>
    <cellStyle name="asd 42 2 2 10" xfId="17534"/>
    <cellStyle name="asd 42 2 2 11" xfId="19440"/>
    <cellStyle name="asd 42 2 2 12" xfId="21352"/>
    <cellStyle name="asd 42 2 2 13" xfId="23948"/>
    <cellStyle name="asd 42 2 2 14" xfId="25154"/>
    <cellStyle name="asd 42 2 2 15" xfId="27876"/>
    <cellStyle name="asd 42 2 2 16" xfId="29712"/>
    <cellStyle name="asd 42 2 2 17" xfId="31457"/>
    <cellStyle name="asd 42 2 2 18" xfId="32834"/>
    <cellStyle name="asd 42 2 2 19" xfId="33645"/>
    <cellStyle name="asd 42 2 2 2" xfId="5452"/>
    <cellStyle name="asd 42 2 2 2 10" xfId="21702"/>
    <cellStyle name="asd 42 2 2 2 11" xfId="23002"/>
    <cellStyle name="asd 42 2 2 2 12" xfId="25504"/>
    <cellStyle name="asd 42 2 2 2 13" xfId="27025"/>
    <cellStyle name="asd 42 2 2 2 14" xfId="29425"/>
    <cellStyle name="asd 42 2 2 2 15" xfId="30618"/>
    <cellStyle name="asd 42 2 2 2 16" xfId="31635"/>
    <cellStyle name="asd 42 2 2 2 17" xfId="34283"/>
    <cellStyle name="asd 42 2 2 2 18" xfId="36331"/>
    <cellStyle name="asd 42 2 2 2 19" xfId="38210"/>
    <cellStyle name="asd 42 2 2 2 2" xfId="6901"/>
    <cellStyle name="asd 42 2 2 2 20" xfId="38882"/>
    <cellStyle name="asd 42 2 2 2 21" xfId="40567"/>
    <cellStyle name="asd 42 2 2 2 22" xfId="42786"/>
    <cellStyle name="asd 42 2 2 2 3" xfId="8355"/>
    <cellStyle name="asd 42 2 2 2 4" xfId="10265"/>
    <cellStyle name="asd 42 2 2 2 5" xfId="11036"/>
    <cellStyle name="asd 42 2 2 2 6" xfId="13472"/>
    <cellStyle name="asd 42 2 2 2 7" xfId="15377"/>
    <cellStyle name="asd 42 2 2 2 8" xfId="17884"/>
    <cellStyle name="asd 42 2 2 2 9" xfId="19790"/>
    <cellStyle name="asd 42 2 2 20" xfId="35981"/>
    <cellStyle name="asd 42 2 2 21" xfId="37860"/>
    <cellStyle name="asd 42 2 2 22" xfId="40042"/>
    <cellStyle name="asd 42 2 2 23" xfId="41706"/>
    <cellStyle name="asd 42 2 2 24" xfId="43694"/>
    <cellStyle name="asd 42 2 2 3" xfId="5104"/>
    <cellStyle name="asd 42 2 2 4" xfId="6554"/>
    <cellStyle name="asd 42 2 2 5" xfId="8005"/>
    <cellStyle name="asd 42 2 2 6" xfId="9915"/>
    <cellStyle name="asd 42 2 2 7" xfId="11908"/>
    <cellStyle name="asd 42 2 2 8" xfId="14418"/>
    <cellStyle name="asd 42 2 2 9" xfId="16324"/>
    <cellStyle name="asd 42 2 20" xfId="32686"/>
    <cellStyle name="asd 42 2 21" xfId="34709"/>
    <cellStyle name="asd 42 2 22" xfId="35325"/>
    <cellStyle name="asd 42 2 23" xfId="37203"/>
    <cellStyle name="asd 42 2 24" xfId="39894"/>
    <cellStyle name="asd 42 2 25" xfId="41563"/>
    <cellStyle name="asd 42 2 26" xfId="42187"/>
    <cellStyle name="asd 42 2 3" xfId="1831"/>
    <cellStyle name="asd 42 2 3 10" xfId="18975"/>
    <cellStyle name="asd 42 2 3 11" xfId="20887"/>
    <cellStyle name="asd 42 2 3 12" xfId="23058"/>
    <cellStyle name="asd 42 2 3 13" xfId="24689"/>
    <cellStyle name="asd 42 2 3 14" xfId="26988"/>
    <cellStyle name="asd 42 2 3 15" xfId="28840"/>
    <cellStyle name="asd 42 2 3 16" xfId="30582"/>
    <cellStyle name="asd 42 2 3 17" xfId="33210"/>
    <cellStyle name="asd 42 2 3 18" xfId="33378"/>
    <cellStyle name="asd 42 2 3 19" xfId="35516"/>
    <cellStyle name="asd 42 2 3 2" xfId="3199"/>
    <cellStyle name="asd 42 2 3 2 10" xfId="20502"/>
    <cellStyle name="asd 42 2 3 2 11" xfId="23497"/>
    <cellStyle name="asd 42 2 3 2 12" xfId="24304"/>
    <cellStyle name="asd 42 2 3 2 13" xfId="2888"/>
    <cellStyle name="asd 42 2 3 2 14" xfId="14049"/>
    <cellStyle name="asd 42 2 3 2 15" xfId="27681"/>
    <cellStyle name="asd 42 2 3 2 16" xfId="28383"/>
    <cellStyle name="asd 42 2 3 2 17" xfId="34230"/>
    <cellStyle name="asd 42 2 3 2 18" xfId="35132"/>
    <cellStyle name="asd 42 2 3 2 19" xfId="37010"/>
    <cellStyle name="asd 42 2 3 2 2" xfId="4648"/>
    <cellStyle name="asd 42 2 3 2 20" xfId="33363"/>
    <cellStyle name="asd 42 2 3 2 21" xfId="31085"/>
    <cellStyle name="asd 42 2 3 2 22" xfId="43263"/>
    <cellStyle name="asd 42 2 3 2 3" xfId="6188"/>
    <cellStyle name="asd 42 2 3 2 4" xfId="9064"/>
    <cellStyle name="asd 42 2 3 2 5" xfId="12543"/>
    <cellStyle name="asd 42 2 3 2 6" xfId="13969"/>
    <cellStyle name="asd 42 2 3 2 7" xfId="15870"/>
    <cellStyle name="asd 42 2 3 2 8" xfId="16683"/>
    <cellStyle name="asd 42 2 3 2 9" xfId="18590"/>
    <cellStyle name="asd 42 2 3 20" xfId="37395"/>
    <cellStyle name="asd 42 2 3 21" xfId="40399"/>
    <cellStyle name="asd 42 2 3 22" xfId="42055"/>
    <cellStyle name="asd 42 2 3 23" xfId="42841"/>
    <cellStyle name="asd 42 2 3 3" xfId="4643"/>
    <cellStyle name="asd 42 2 3 4" xfId="7540"/>
    <cellStyle name="asd 42 2 3 5" xfId="9450"/>
    <cellStyle name="asd 42 2 3 6" xfId="12661"/>
    <cellStyle name="asd 42 2 3 7" xfId="13529"/>
    <cellStyle name="asd 42 2 3 8" xfId="15432"/>
    <cellStyle name="asd 42 2 3 9" xfId="17069"/>
    <cellStyle name="asd 42 2 4" xfId="4095"/>
    <cellStyle name="asd 42 2 4 10" xfId="19730"/>
    <cellStyle name="asd 42 2 4 11" xfId="21642"/>
    <cellStyle name="asd 42 2 4 12" xfId="22726"/>
    <cellStyle name="asd 42 2 4 13" xfId="25444"/>
    <cellStyle name="asd 42 2 4 14" xfId="27633"/>
    <cellStyle name="asd 42 2 4 15" xfId="28341"/>
    <cellStyle name="asd 42 2 4 16" xfId="31210"/>
    <cellStyle name="asd 42 2 4 17" xfId="32880"/>
    <cellStyle name="asd 42 2 4 18" xfId="34751"/>
    <cellStyle name="asd 42 2 4 19" xfId="36271"/>
    <cellStyle name="asd 42 2 4 2" xfId="6000"/>
    <cellStyle name="asd 42 2 4 2 10" xfId="22250"/>
    <cellStyle name="asd 42 2 4 2 11" xfId="24035"/>
    <cellStyle name="asd 42 2 4 2 12" xfId="26052"/>
    <cellStyle name="asd 42 2 4 2 13" xfId="26454"/>
    <cellStyle name="asd 42 2 4 2 14" xfId="29371"/>
    <cellStyle name="asd 42 2 4 2 15" xfId="30060"/>
    <cellStyle name="asd 42 2 4 2 16" xfId="32896"/>
    <cellStyle name="asd 42 2 4 2 17" xfId="33743"/>
    <cellStyle name="asd 42 2 4 2 18" xfId="36879"/>
    <cellStyle name="asd 42 2 4 2 19" xfId="38758"/>
    <cellStyle name="asd 42 2 4 2 2" xfId="7449"/>
    <cellStyle name="asd 42 2 4 2 20" xfId="40099"/>
    <cellStyle name="asd 42 2 4 2 21" xfId="41761"/>
    <cellStyle name="asd 42 2 4 2 22" xfId="43779"/>
    <cellStyle name="asd 42 2 4 2 3" xfId="8903"/>
    <cellStyle name="asd 42 2 4 2 4" xfId="10813"/>
    <cellStyle name="asd 42 2 4 2 5" xfId="11994"/>
    <cellStyle name="asd 42 2 4 2 6" xfId="14505"/>
    <cellStyle name="asd 42 2 4 2 7" xfId="16411"/>
    <cellStyle name="asd 42 2 4 2 8" xfId="18432"/>
    <cellStyle name="asd 42 2 4 2 9" xfId="20338"/>
    <cellStyle name="asd 42 2 4 20" xfId="38150"/>
    <cellStyle name="asd 42 2 4 21" xfId="40085"/>
    <cellStyle name="asd 42 2 4 22" xfId="41748"/>
    <cellStyle name="asd 42 2 4 23" xfId="42524"/>
    <cellStyle name="asd 42 2 4 3" xfId="6841"/>
    <cellStyle name="asd 42 2 4 4" xfId="8295"/>
    <cellStyle name="asd 42 2 4 5" xfId="10205"/>
    <cellStyle name="asd 42 2 4 6" xfId="11838"/>
    <cellStyle name="asd 42 2 4 7" xfId="13195"/>
    <cellStyle name="asd 42 2 4 8" xfId="15098"/>
    <cellStyle name="asd 42 2 4 9" xfId="17824"/>
    <cellStyle name="asd 42 2 5" xfId="4948"/>
    <cellStyle name="asd 42 2 5 10" xfId="21196"/>
    <cellStyle name="asd 42 2 5 11" xfId="24020"/>
    <cellStyle name="asd 42 2 5 12" xfId="24998"/>
    <cellStyle name="asd 42 2 5 13" xfId="26367"/>
    <cellStyle name="asd 42 2 5 14" xfId="28501"/>
    <cellStyle name="asd 42 2 5 15" xfId="29975"/>
    <cellStyle name="asd 42 2 5 16" xfId="32444"/>
    <cellStyle name="asd 42 2 5 17" xfId="34231"/>
    <cellStyle name="asd 42 2 5 18" xfId="35825"/>
    <cellStyle name="asd 42 2 5 19" xfId="37704"/>
    <cellStyle name="asd 42 2 5 2" xfId="6398"/>
    <cellStyle name="asd 42 2 5 20" xfId="39661"/>
    <cellStyle name="asd 42 2 5 21" xfId="41335"/>
    <cellStyle name="asd 42 2 5 22" xfId="43764"/>
    <cellStyle name="asd 42 2 5 3" xfId="7849"/>
    <cellStyle name="asd 42 2 5 4" xfId="9759"/>
    <cellStyle name="asd 42 2 5 5" xfId="11979"/>
    <cellStyle name="asd 42 2 5 6" xfId="14490"/>
    <cellStyle name="asd 42 2 5 7" xfId="16396"/>
    <cellStyle name="asd 42 2 5 8" xfId="17378"/>
    <cellStyle name="asd 42 2 5 9" xfId="19284"/>
    <cellStyle name="asd 42 2 6" xfId="4607"/>
    <cellStyle name="asd 42 2 6 10" xfId="20852"/>
    <cellStyle name="asd 42 2 6 11" xfId="23168"/>
    <cellStyle name="asd 42 2 6 12" xfId="24654"/>
    <cellStyle name="asd 42 2 6 13" xfId="22348"/>
    <cellStyle name="asd 42 2 6 14" xfId="2580"/>
    <cellStyle name="asd 42 2 6 15" xfId="29288"/>
    <cellStyle name="asd 42 2 6 16" xfId="3121"/>
    <cellStyle name="asd 42 2 6 17" xfId="33338"/>
    <cellStyle name="asd 42 2 6 18" xfId="35482"/>
    <cellStyle name="asd 42 2 6 19" xfId="37360"/>
    <cellStyle name="asd 42 2 6 2" xfId="3973"/>
    <cellStyle name="asd 42 2 6 20" xfId="3092"/>
    <cellStyle name="asd 42 2 6 21" xfId="35079"/>
    <cellStyle name="asd 42 2 6 22" xfId="42946"/>
    <cellStyle name="asd 42 2 6 3" xfId="2372"/>
    <cellStyle name="asd 42 2 6 4" xfId="9414"/>
    <cellStyle name="asd 42 2 6 5" xfId="10980"/>
    <cellStyle name="asd 42 2 6 6" xfId="13639"/>
    <cellStyle name="asd 42 2 6 7" xfId="15542"/>
    <cellStyle name="asd 42 2 6 8" xfId="17033"/>
    <cellStyle name="asd 42 2 6 9" xfId="18940"/>
    <cellStyle name="asd 42 2 7" xfId="6134"/>
    <cellStyle name="asd 42 2 8" xfId="9257"/>
    <cellStyle name="asd 42 2 9" xfId="11722"/>
    <cellStyle name="asd 42 20" xfId="1884"/>
    <cellStyle name="asd 42 21" xfId="31830"/>
    <cellStyle name="asd 42 22" xfId="33405"/>
    <cellStyle name="asd 42 23" xfId="2749"/>
    <cellStyle name="asd 42 24" xfId="23587"/>
    <cellStyle name="asd 42 25" xfId="39068"/>
    <cellStyle name="asd 42 26" xfId="40750"/>
    <cellStyle name="asd 42 27" xfId="42170"/>
    <cellStyle name="asd 42 3" xfId="3406"/>
    <cellStyle name="asd 42 3 10" xfId="13125"/>
    <cellStyle name="asd 42 3 11" xfId="15030"/>
    <cellStyle name="asd 42 3 12" xfId="16755"/>
    <cellStyle name="asd 42 3 13" xfId="18662"/>
    <cellStyle name="asd 42 3 14" xfId="20574"/>
    <cellStyle name="asd 42 3 15" xfId="22658"/>
    <cellStyle name="asd 42 3 16" xfId="24376"/>
    <cellStyle name="asd 42 3 17" xfId="27176"/>
    <cellStyle name="asd 42 3 18" xfId="28149"/>
    <cellStyle name="asd 42 3 19" xfId="30767"/>
    <cellStyle name="asd 42 3 2" xfId="3586"/>
    <cellStyle name="asd 42 3 2 10" xfId="17477"/>
    <cellStyle name="asd 42 3 2 11" xfId="19383"/>
    <cellStyle name="asd 42 3 2 12" xfId="21295"/>
    <cellStyle name="asd 42 3 2 13" xfId="24029"/>
    <cellStyle name="asd 42 3 2 14" xfId="25097"/>
    <cellStyle name="asd 42 3 2 15" xfId="27945"/>
    <cellStyle name="asd 42 3 2 16" xfId="28934"/>
    <cellStyle name="asd 42 3 2 17" xfId="31525"/>
    <cellStyle name="asd 42 3 2 18" xfId="32559"/>
    <cellStyle name="asd 42 3 2 19" xfId="34596"/>
    <cellStyle name="asd 42 3 2 2" xfId="5544"/>
    <cellStyle name="asd 42 3 2 2 10" xfId="21794"/>
    <cellStyle name="asd 42 3 2 2 11" xfId="22572"/>
    <cellStyle name="asd 42 3 2 2 12" xfId="25596"/>
    <cellStyle name="asd 42 3 2 2 13" xfId="26534"/>
    <cellStyle name="asd 42 3 2 2 14" xfId="12544"/>
    <cellStyle name="asd 42 3 2 2 15" xfId="30140"/>
    <cellStyle name="asd 42 3 2 2 16" xfId="32542"/>
    <cellStyle name="asd 42 3 2 2 17" xfId="33991"/>
    <cellStyle name="asd 42 3 2 2 18" xfId="36423"/>
    <cellStyle name="asd 42 3 2 2 19" xfId="38302"/>
    <cellStyle name="asd 42 3 2 2 2" xfId="6993"/>
    <cellStyle name="asd 42 3 2 2 20" xfId="39755"/>
    <cellStyle name="asd 42 3 2 2 21" xfId="41427"/>
    <cellStyle name="asd 42 3 2 2 22" xfId="42381"/>
    <cellStyle name="asd 42 3 2 2 3" xfId="8447"/>
    <cellStyle name="asd 42 3 2 2 4" xfId="10357"/>
    <cellStyle name="asd 42 3 2 2 5" xfId="2133"/>
    <cellStyle name="asd 42 3 2 2 6" xfId="13040"/>
    <cellStyle name="asd 42 3 2 2 7" xfId="14944"/>
    <cellStyle name="asd 42 3 2 2 8" xfId="17976"/>
    <cellStyle name="asd 42 3 2 2 9" xfId="19882"/>
    <cellStyle name="asd 42 3 2 20" xfId="35924"/>
    <cellStyle name="asd 42 3 2 21" xfId="37803"/>
    <cellStyle name="asd 42 3 2 22" xfId="39772"/>
    <cellStyle name="asd 42 3 2 23" xfId="41442"/>
    <cellStyle name="asd 42 3 2 24" xfId="43773"/>
    <cellStyle name="asd 42 3 2 3" xfId="5047"/>
    <cellStyle name="asd 42 3 2 4" xfId="6497"/>
    <cellStyle name="asd 42 3 2 5" xfId="7948"/>
    <cellStyle name="asd 42 3 2 6" xfId="9858"/>
    <cellStyle name="asd 42 3 2 7" xfId="11988"/>
    <cellStyle name="asd 42 3 2 8" xfId="14499"/>
    <cellStyle name="asd 42 3 2 9" xfId="16405"/>
    <cellStyle name="asd 42 3 20" xfId="32490"/>
    <cellStyle name="asd 42 3 21" xfId="34803"/>
    <cellStyle name="asd 42 3 22" xfId="35204"/>
    <cellStyle name="asd 42 3 23" xfId="37082"/>
    <cellStyle name="asd 42 3 24" xfId="39705"/>
    <cellStyle name="asd 42 3 25" xfId="41377"/>
    <cellStyle name="asd 42 3 26" xfId="42464"/>
    <cellStyle name="asd 42 3 3" xfId="3883"/>
    <cellStyle name="asd 42 3 3 10" xfId="19592"/>
    <cellStyle name="asd 42 3 3 11" xfId="21504"/>
    <cellStyle name="asd 42 3 3 12" xfId="23008"/>
    <cellStyle name="asd 42 3 3 13" xfId="25306"/>
    <cellStyle name="asd 42 3 3 14" xfId="26732"/>
    <cellStyle name="asd 42 3 3 15" xfId="10921"/>
    <cellStyle name="asd 42 3 3 16" xfId="30332"/>
    <cellStyle name="asd 42 3 3 17" xfId="31801"/>
    <cellStyle name="asd 42 3 3 18" xfId="34364"/>
    <cellStyle name="asd 42 3 3 19" xfId="36133"/>
    <cellStyle name="asd 42 3 3 2" xfId="5862"/>
    <cellStyle name="asd 42 3 3 2 10" xfId="22112"/>
    <cellStyle name="asd 42 3 3 2 11" xfId="23340"/>
    <cellStyle name="asd 42 3 3 2 12" xfId="25914"/>
    <cellStyle name="asd 42 3 3 2 13" xfId="27881"/>
    <cellStyle name="asd 42 3 3 2 14" xfId="29074"/>
    <cellStyle name="asd 42 3 3 2 15" xfId="31462"/>
    <cellStyle name="asd 42 3 3 2 16" xfId="32030"/>
    <cellStyle name="asd 42 3 3 2 17" xfId="33911"/>
    <cellStyle name="asd 42 3 3 2 18" xfId="36741"/>
    <cellStyle name="asd 42 3 3 2 19" xfId="38620"/>
    <cellStyle name="asd 42 3 3 2 2" xfId="7311"/>
    <cellStyle name="asd 42 3 3 2 20" xfId="39260"/>
    <cellStyle name="asd 42 3 3 2 21" xfId="40937"/>
    <cellStyle name="asd 42 3 3 2 22" xfId="43110"/>
    <cellStyle name="asd 42 3 3 2 3" xfId="8765"/>
    <cellStyle name="asd 42 3 3 2 4" xfId="10675"/>
    <cellStyle name="asd 42 3 3 2 5" xfId="12198"/>
    <cellStyle name="asd 42 3 3 2 6" xfId="13812"/>
    <cellStyle name="asd 42 3 3 2 7" xfId="15714"/>
    <cellStyle name="asd 42 3 3 2 8" xfId="18294"/>
    <cellStyle name="asd 42 3 3 2 9" xfId="20200"/>
    <cellStyle name="asd 42 3 3 20" xfId="38012"/>
    <cellStyle name="asd 42 3 3 21" xfId="39039"/>
    <cellStyle name="asd 42 3 3 22" xfId="40721"/>
    <cellStyle name="asd 42 3 3 23" xfId="42792"/>
    <cellStyle name="asd 42 3 3 3" xfId="5256"/>
    <cellStyle name="asd 42 3 3 4" xfId="8157"/>
    <cellStyle name="asd 42 3 3 5" xfId="10067"/>
    <cellStyle name="asd 42 3 3 6" xfId="12247"/>
    <cellStyle name="asd 42 3 3 7" xfId="13478"/>
    <cellStyle name="asd 42 3 3 8" xfId="15383"/>
    <cellStyle name="asd 42 3 3 9" xfId="17686"/>
    <cellStyle name="asd 42 3 4" xfId="4038"/>
    <cellStyle name="asd 42 3 4 10" xfId="19673"/>
    <cellStyle name="asd 42 3 4 11" xfId="21585"/>
    <cellStyle name="asd 42 3 4 12" xfId="23617"/>
    <cellStyle name="asd 42 3 4 13" xfId="25387"/>
    <cellStyle name="asd 42 3 4 14" xfId="26498"/>
    <cellStyle name="asd 42 3 4 15" xfId="29588"/>
    <cellStyle name="asd 42 3 4 16" xfId="30103"/>
    <cellStyle name="asd 42 3 4 17" xfId="31775"/>
    <cellStyle name="asd 42 3 4 18" xfId="34683"/>
    <cellStyle name="asd 42 3 4 19" xfId="36214"/>
    <cellStyle name="asd 42 3 4 2" xfId="5943"/>
    <cellStyle name="asd 42 3 4 2 10" xfId="22193"/>
    <cellStyle name="asd 42 3 4 2 11" xfId="22928"/>
    <cellStyle name="asd 42 3 4 2 12" xfId="25995"/>
    <cellStyle name="asd 42 3 4 2 13" xfId="27689"/>
    <cellStyle name="asd 42 3 4 2 14" xfId="29047"/>
    <cellStyle name="asd 42 3 4 2 15" xfId="31263"/>
    <cellStyle name="asd 42 3 4 2 16" xfId="32241"/>
    <cellStyle name="asd 42 3 4 2 17" xfId="33769"/>
    <cellStyle name="asd 42 3 4 2 18" xfId="36822"/>
    <cellStyle name="asd 42 3 4 2 19" xfId="38701"/>
    <cellStyle name="asd 42 3 4 2 2" xfId="7392"/>
    <cellStyle name="asd 42 3 4 2 20" xfId="39459"/>
    <cellStyle name="asd 42 3 4 2 21" xfId="41134"/>
    <cellStyle name="asd 42 3 4 2 22" xfId="42714"/>
    <cellStyle name="asd 42 3 4 2 3" xfId="8846"/>
    <cellStyle name="asd 42 3 4 2 4" xfId="10756"/>
    <cellStyle name="asd 42 3 4 2 5" xfId="12196"/>
    <cellStyle name="asd 42 3 4 2 6" xfId="13396"/>
    <cellStyle name="asd 42 3 4 2 7" xfId="15301"/>
    <cellStyle name="asd 42 3 4 2 8" xfId="18375"/>
    <cellStyle name="asd 42 3 4 2 9" xfId="20281"/>
    <cellStyle name="asd 42 3 4 20" xfId="38093"/>
    <cellStyle name="asd 42 3 4 21" xfId="39014"/>
    <cellStyle name="asd 42 3 4 22" xfId="40696"/>
    <cellStyle name="asd 42 3 4 23" xfId="43375"/>
    <cellStyle name="asd 42 3 4 3" xfId="6784"/>
    <cellStyle name="asd 42 3 4 4" xfId="8238"/>
    <cellStyle name="asd 42 3 4 5" xfId="10148"/>
    <cellStyle name="asd 42 3 4 6" xfId="11814"/>
    <cellStyle name="asd 42 3 4 7" xfId="14087"/>
    <cellStyle name="asd 42 3 4 8" xfId="15990"/>
    <cellStyle name="asd 42 3 4 9" xfId="17767"/>
    <cellStyle name="asd 42 3 5" xfId="4902"/>
    <cellStyle name="asd 42 3 5 10" xfId="21150"/>
    <cellStyle name="asd 42 3 5 11" xfId="22734"/>
    <cellStyle name="asd 42 3 5 12" xfId="24952"/>
    <cellStyle name="asd 42 3 5 13" xfId="26262"/>
    <cellStyle name="asd 42 3 5 14" xfId="29360"/>
    <cellStyle name="asd 42 3 5 15" xfId="29872"/>
    <cellStyle name="asd 42 3 5 16" xfId="32303"/>
    <cellStyle name="asd 42 3 5 17" xfId="33444"/>
    <cellStyle name="asd 42 3 5 18" xfId="35779"/>
    <cellStyle name="asd 42 3 5 19" xfId="37658"/>
    <cellStyle name="asd 42 3 5 2" xfId="6352"/>
    <cellStyle name="asd 42 3 5 20" xfId="39522"/>
    <cellStyle name="asd 42 3 5 21" xfId="41196"/>
    <cellStyle name="asd 42 3 5 22" xfId="42532"/>
    <cellStyle name="asd 42 3 5 3" xfId="7803"/>
    <cellStyle name="asd 42 3 5 4" xfId="9713"/>
    <cellStyle name="asd 42 3 5 5" xfId="11617"/>
    <cellStyle name="asd 42 3 5 6" xfId="13203"/>
    <cellStyle name="asd 42 3 5 7" xfId="15106"/>
    <cellStyle name="asd 42 3 5 8" xfId="17332"/>
    <cellStyle name="asd 42 3 5 9" xfId="19238"/>
    <cellStyle name="asd 42 3 6" xfId="5557"/>
    <cellStyle name="asd 42 3 6 10" xfId="21807"/>
    <cellStyle name="asd 42 3 6 11" xfId="23665"/>
    <cellStyle name="asd 42 3 6 12" xfId="25609"/>
    <cellStyle name="asd 42 3 6 13" xfId="26667"/>
    <cellStyle name="asd 42 3 6 14" xfId="1960"/>
    <cellStyle name="asd 42 3 6 15" xfId="30267"/>
    <cellStyle name="asd 42 3 6 16" xfId="29097"/>
    <cellStyle name="asd 42 3 6 17" xfId="32715"/>
    <cellStyle name="asd 42 3 6 18" xfId="36436"/>
    <cellStyle name="asd 42 3 6 19" xfId="38315"/>
    <cellStyle name="asd 42 3 6 2" xfId="7006"/>
    <cellStyle name="asd 42 3 6 20" xfId="35070"/>
    <cellStyle name="asd 42 3 6 21" xfId="32886"/>
    <cellStyle name="asd 42 3 6 22" xfId="43423"/>
    <cellStyle name="asd 42 3 6 3" xfId="8460"/>
    <cellStyle name="asd 42 3 6 4" xfId="10370"/>
    <cellStyle name="asd 42 3 6 5" xfId="11773"/>
    <cellStyle name="asd 42 3 6 6" xfId="14136"/>
    <cellStyle name="asd 42 3 6 7" xfId="16039"/>
    <cellStyle name="asd 42 3 6 8" xfId="17989"/>
    <cellStyle name="asd 42 3 6 9" xfId="19895"/>
    <cellStyle name="asd 42 3 7" xfId="6252"/>
    <cellStyle name="asd 42 3 8" xfId="9136"/>
    <cellStyle name="asd 42 3 9" xfId="2230"/>
    <cellStyle name="asd 42 4" xfId="3407"/>
    <cellStyle name="asd 42 4 10" xfId="15238"/>
    <cellStyle name="asd 42 4 11" xfId="16762"/>
    <cellStyle name="asd 42 4 12" xfId="18669"/>
    <cellStyle name="asd 42 4 13" xfId="20581"/>
    <cellStyle name="asd 42 4 14" xfId="22865"/>
    <cellStyle name="asd 42 4 15" xfId="24383"/>
    <cellStyle name="asd 42 4 16" xfId="27567"/>
    <cellStyle name="asd 42 4 17" xfId="28721"/>
    <cellStyle name="asd 42 4 18" xfId="31147"/>
    <cellStyle name="asd 42 4 19" xfId="32905"/>
    <cellStyle name="asd 42 4 2" xfId="3587"/>
    <cellStyle name="asd 42 4 2 10" xfId="17478"/>
    <cellStyle name="asd 42 4 2 11" xfId="19384"/>
    <cellStyle name="asd 42 4 2 12" xfId="21296"/>
    <cellStyle name="asd 42 4 2 13" xfId="23425"/>
    <cellStyle name="asd 42 4 2 14" xfId="25098"/>
    <cellStyle name="asd 42 4 2 15" xfId="27275"/>
    <cellStyle name="asd 42 4 2 16" xfId="29154"/>
    <cellStyle name="asd 42 4 2 17" xfId="30867"/>
    <cellStyle name="asd 42 4 2 18" xfId="32958"/>
    <cellStyle name="asd 42 4 2 19" xfId="34151"/>
    <cellStyle name="asd 42 4 2 2" xfId="5645"/>
    <cellStyle name="asd 42 4 2 2 10" xfId="21895"/>
    <cellStyle name="asd 42 4 2 2 11" xfId="23628"/>
    <cellStyle name="asd 42 4 2 2 12" xfId="25697"/>
    <cellStyle name="asd 42 4 2 2 13" xfId="26220"/>
    <cellStyle name="asd 42 4 2 2 14" xfId="28891"/>
    <cellStyle name="asd 42 4 2 2 15" xfId="29831"/>
    <cellStyle name="asd 42 4 2 2 16" xfId="32995"/>
    <cellStyle name="asd 42 4 2 2 17" xfId="34730"/>
    <cellStyle name="asd 42 4 2 2 18" xfId="36524"/>
    <cellStyle name="asd 42 4 2 2 19" xfId="38403"/>
    <cellStyle name="asd 42 4 2 2 2" xfId="7094"/>
    <cellStyle name="asd 42 4 2 2 20" xfId="40196"/>
    <cellStyle name="asd 42 4 2 2 21" xfId="41855"/>
    <cellStyle name="asd 42 4 2 2 22" xfId="43386"/>
    <cellStyle name="asd 42 4 2 2 3" xfId="8548"/>
    <cellStyle name="asd 42 4 2 2 4" xfId="10458"/>
    <cellStyle name="asd 42 4 2 2 5" xfId="11555"/>
    <cellStyle name="asd 42 4 2 2 6" xfId="14098"/>
    <cellStyle name="asd 42 4 2 2 7" xfId="16001"/>
    <cellStyle name="asd 42 4 2 2 8" xfId="18077"/>
    <cellStyle name="asd 42 4 2 2 9" xfId="19983"/>
    <cellStyle name="asd 42 4 2 20" xfId="35925"/>
    <cellStyle name="asd 42 4 2 21" xfId="37804"/>
    <cellStyle name="asd 42 4 2 22" xfId="40160"/>
    <cellStyle name="asd 42 4 2 23" xfId="41819"/>
    <cellStyle name="asd 42 4 2 24" xfId="43192"/>
    <cellStyle name="asd 42 4 2 3" xfId="5048"/>
    <cellStyle name="asd 42 4 2 4" xfId="6498"/>
    <cellStyle name="asd 42 4 2 5" xfId="7949"/>
    <cellStyle name="asd 42 4 2 6" xfId="9859"/>
    <cellStyle name="asd 42 4 2 7" xfId="12244"/>
    <cellStyle name="asd 42 4 2 8" xfId="13897"/>
    <cellStyle name="asd 42 4 2 9" xfId="15798"/>
    <cellStyle name="asd 42 4 20" xfId="33999"/>
    <cellStyle name="asd 42 4 21" xfId="35211"/>
    <cellStyle name="asd 42 4 22" xfId="37089"/>
    <cellStyle name="asd 42 4 23" xfId="40109"/>
    <cellStyle name="asd 42 4 24" xfId="41769"/>
    <cellStyle name="asd 42 4 25" xfId="42652"/>
    <cellStyle name="asd 42 4 3" xfId="2617"/>
    <cellStyle name="asd 42 4 3 10" xfId="19089"/>
    <cellStyle name="asd 42 4 3 11" xfId="21001"/>
    <cellStyle name="asd 42 4 3 12" xfId="23298"/>
    <cellStyle name="asd 42 4 3 13" xfId="24803"/>
    <cellStyle name="asd 42 4 3 14" xfId="26435"/>
    <cellStyle name="asd 42 4 3 15" xfId="28379"/>
    <cellStyle name="asd 42 4 3 16" xfId="30041"/>
    <cellStyle name="asd 42 4 3 17" xfId="33232"/>
    <cellStyle name="asd 42 4 3 18" xfId="34478"/>
    <cellStyle name="asd 42 4 3 19" xfId="35630"/>
    <cellStyle name="asd 42 4 3 2" xfId="4591"/>
    <cellStyle name="asd 42 4 3 2 10" xfId="20836"/>
    <cellStyle name="asd 42 4 3 2 11" xfId="22751"/>
    <cellStyle name="asd 42 4 3 2 12" xfId="24638"/>
    <cellStyle name="asd 42 4 3 2 13" xfId="26386"/>
    <cellStyle name="asd 42 4 3 2 14" xfId="29103"/>
    <cellStyle name="asd 42 4 3 2 15" xfId="29994"/>
    <cellStyle name="asd 42 4 3 2 16" xfId="33224"/>
    <cellStyle name="asd 42 4 3 2 17" xfId="33505"/>
    <cellStyle name="asd 42 4 3 2 18" xfId="35466"/>
    <cellStyle name="asd 42 4 3 2 19" xfId="37344"/>
    <cellStyle name="asd 42 4 3 2 2" xfId="4453"/>
    <cellStyle name="asd 42 4 3 2 20" xfId="40414"/>
    <cellStyle name="asd 42 4 3 2 21" xfId="42070"/>
    <cellStyle name="asd 42 4 3 2 22" xfId="42548"/>
    <cellStyle name="asd 42 4 3 2 3" xfId="4335"/>
    <cellStyle name="asd 42 4 3 2 4" xfId="9398"/>
    <cellStyle name="asd 42 4 3 2 5" xfId="11812"/>
    <cellStyle name="asd 42 4 3 2 6" xfId="13220"/>
    <cellStyle name="asd 42 4 3 2 7" xfId="15123"/>
    <cellStyle name="asd 42 4 3 2 8" xfId="17017"/>
    <cellStyle name="asd 42 4 3 2 9" xfId="18924"/>
    <cellStyle name="asd 42 4 3 20" xfId="37509"/>
    <cellStyle name="asd 42 4 3 21" xfId="40421"/>
    <cellStyle name="asd 42 4 3 22" xfId="42077"/>
    <cellStyle name="asd 42 4 3 23" xfId="43070"/>
    <cellStyle name="asd 42 4 3 3" xfId="4754"/>
    <cellStyle name="asd 42 4 3 4" xfId="7654"/>
    <cellStyle name="asd 42 4 3 5" xfId="9564"/>
    <cellStyle name="asd 42 4 3 6" xfId="11273"/>
    <cellStyle name="asd 42 4 3 7" xfId="13770"/>
    <cellStyle name="asd 42 4 3 8" xfId="15672"/>
    <cellStyle name="asd 42 4 3 9" xfId="17183"/>
    <cellStyle name="asd 42 4 4" xfId="4039"/>
    <cellStyle name="asd 42 4 4 10" xfId="19674"/>
    <cellStyle name="asd 42 4 4 11" xfId="21586"/>
    <cellStyle name="asd 42 4 4 12" xfId="23247"/>
    <cellStyle name="asd 42 4 4 13" xfId="25388"/>
    <cellStyle name="asd 42 4 4 14" xfId="26475"/>
    <cellStyle name="asd 42 4 4 15" xfId="26154"/>
    <cellStyle name="asd 42 4 4 16" xfId="30080"/>
    <cellStyle name="asd 42 4 4 17" xfId="2675"/>
    <cellStyle name="asd 42 4 4 18" xfId="3024"/>
    <cellStyle name="asd 42 4 4 19" xfId="36215"/>
    <cellStyle name="asd 42 4 4 2" xfId="5944"/>
    <cellStyle name="asd 42 4 4 2 10" xfId="22194"/>
    <cellStyle name="asd 42 4 4 2 11" xfId="23635"/>
    <cellStyle name="asd 42 4 4 2 12" xfId="25996"/>
    <cellStyle name="asd 42 4 4 2 13" xfId="26674"/>
    <cellStyle name="asd 42 4 4 2 14" xfId="28561"/>
    <cellStyle name="asd 42 4 4 2 15" xfId="30274"/>
    <cellStyle name="asd 42 4 4 2 16" xfId="32921"/>
    <cellStyle name="asd 42 4 4 2 17" xfId="34968"/>
    <cellStyle name="asd 42 4 4 2 18" xfId="36823"/>
    <cellStyle name="asd 42 4 4 2 19" xfId="38702"/>
    <cellStyle name="asd 42 4 4 2 2" xfId="7393"/>
    <cellStyle name="asd 42 4 4 2 20" xfId="40125"/>
    <cellStyle name="asd 42 4 4 2 21" xfId="41785"/>
    <cellStyle name="asd 42 4 4 2 22" xfId="43393"/>
    <cellStyle name="asd 42 4 4 2 3" xfId="8847"/>
    <cellStyle name="asd 42 4 4 2 4" xfId="10757"/>
    <cellStyle name="asd 42 4 4 2 5" xfId="11420"/>
    <cellStyle name="asd 42 4 4 2 6" xfId="14105"/>
    <cellStyle name="asd 42 4 4 2 7" xfId="16008"/>
    <cellStyle name="asd 42 4 4 2 8" xfId="18376"/>
    <cellStyle name="asd 42 4 4 2 9" xfId="20282"/>
    <cellStyle name="asd 42 4 4 20" xfId="38094"/>
    <cellStyle name="asd 42 4 4 21" xfId="33623"/>
    <cellStyle name="asd 42 4 4 22" xfId="2633"/>
    <cellStyle name="asd 42 4 4 23" xfId="43024"/>
    <cellStyle name="asd 42 4 4 3" xfId="6785"/>
    <cellStyle name="asd 42 4 4 4" xfId="8239"/>
    <cellStyle name="asd 42 4 4 5" xfId="10149"/>
    <cellStyle name="asd 42 4 4 6" xfId="11157"/>
    <cellStyle name="asd 42 4 4 7" xfId="13719"/>
    <cellStyle name="asd 42 4 4 8" xfId="15621"/>
    <cellStyle name="asd 42 4 4 9" xfId="17768"/>
    <cellStyle name="asd 42 4 5" xfId="4482"/>
    <cellStyle name="asd 42 4 5 10" xfId="20727"/>
    <cellStyle name="asd 42 4 5 11" xfId="23361"/>
    <cellStyle name="asd 42 4 5 12" xfId="24529"/>
    <cellStyle name="asd 42 4 5 13" xfId="27137"/>
    <cellStyle name="asd 42 4 5 14" xfId="28521"/>
    <cellStyle name="asd 42 4 5 15" xfId="30728"/>
    <cellStyle name="asd 42 4 5 16" xfId="32411"/>
    <cellStyle name="asd 42 4 5 17" xfId="34227"/>
    <cellStyle name="asd 42 4 5 18" xfId="35357"/>
    <cellStyle name="asd 42 4 5 19" xfId="37235"/>
    <cellStyle name="asd 42 4 5 2" xfId="5451"/>
    <cellStyle name="asd 42 4 5 20" xfId="39628"/>
    <cellStyle name="asd 42 4 5 21" xfId="41302"/>
    <cellStyle name="asd 42 4 5 22" xfId="43131"/>
    <cellStyle name="asd 42 4 5 3" xfId="6084"/>
    <cellStyle name="asd 42 4 5 4" xfId="9289"/>
    <cellStyle name="asd 42 4 5 5" xfId="11235"/>
    <cellStyle name="asd 42 4 5 6" xfId="13833"/>
    <cellStyle name="asd 42 4 5 7" xfId="15735"/>
    <cellStyle name="asd 42 4 5 8" xfId="16908"/>
    <cellStyle name="asd 42 4 5 9" xfId="18815"/>
    <cellStyle name="asd 42 4 6" xfId="2824"/>
    <cellStyle name="asd 42 4 7" xfId="9143"/>
    <cellStyle name="asd 42 4 8" xfId="11047"/>
    <cellStyle name="asd 42 4 9" xfId="13333"/>
    <cellStyle name="asd 42 5" xfId="3016"/>
    <cellStyle name="asd 42 5 10" xfId="17233"/>
    <cellStyle name="asd 42 5 11" xfId="19139"/>
    <cellStyle name="asd 42 5 12" xfId="21051"/>
    <cellStyle name="asd 42 5 13" xfId="22486"/>
    <cellStyle name="asd 42 5 14" xfId="24853"/>
    <cellStyle name="asd 42 5 15" xfId="26756"/>
    <cellStyle name="asd 42 5 16" xfId="28497"/>
    <cellStyle name="asd 42 5 17" xfId="30355"/>
    <cellStyle name="asd 42 5 18" xfId="31970"/>
    <cellStyle name="asd 42 5 19" xfId="34936"/>
    <cellStyle name="asd 42 5 2" xfId="5500"/>
    <cellStyle name="asd 42 5 2 10" xfId="21750"/>
    <cellStyle name="asd 42 5 2 11" xfId="23796"/>
    <cellStyle name="asd 42 5 2 12" xfId="25552"/>
    <cellStyle name="asd 42 5 2 13" xfId="26540"/>
    <cellStyle name="asd 42 5 2 14" xfId="28106"/>
    <cellStyle name="asd 42 5 2 15" xfId="30146"/>
    <cellStyle name="asd 42 5 2 16" xfId="32084"/>
    <cellStyle name="asd 42 5 2 17" xfId="34123"/>
    <cellStyle name="asd 42 5 2 18" xfId="36379"/>
    <cellStyle name="asd 42 5 2 19" xfId="38258"/>
    <cellStyle name="asd 42 5 2 2" xfId="6949"/>
    <cellStyle name="asd 42 5 2 20" xfId="39308"/>
    <cellStyle name="asd 42 5 2 21" xfId="40984"/>
    <cellStyle name="asd 42 5 2 22" xfId="43549"/>
    <cellStyle name="asd 42 5 2 3" xfId="8403"/>
    <cellStyle name="asd 42 5 2 4" xfId="10313"/>
    <cellStyle name="asd 42 5 2 5" xfId="11736"/>
    <cellStyle name="asd 42 5 2 6" xfId="14266"/>
    <cellStyle name="asd 42 5 2 7" xfId="16170"/>
    <cellStyle name="asd 42 5 2 8" xfId="17932"/>
    <cellStyle name="asd 42 5 2 9" xfId="19838"/>
    <cellStyle name="asd 42 5 20" xfId="35680"/>
    <cellStyle name="asd 42 5 21" xfId="37559"/>
    <cellStyle name="asd 42 5 22" xfId="39200"/>
    <cellStyle name="asd 42 5 23" xfId="40881"/>
    <cellStyle name="asd 42 5 24" xfId="42296"/>
    <cellStyle name="asd 42 5 3" xfId="4803"/>
    <cellStyle name="asd 42 5 4" xfId="6253"/>
    <cellStyle name="asd 42 5 5" xfId="7704"/>
    <cellStyle name="asd 42 5 6" xfId="9614"/>
    <cellStyle name="asd 42 5 7" xfId="11707"/>
    <cellStyle name="asd 42 5 8" xfId="12954"/>
    <cellStyle name="asd 42 5 9" xfId="14858"/>
    <cellStyle name="asd 42 6" xfId="2897"/>
    <cellStyle name="asd 42 6 10" xfId="19123"/>
    <cellStyle name="asd 42 6 11" xfId="21035"/>
    <cellStyle name="asd 42 6 12" xfId="22575"/>
    <cellStyle name="asd 42 6 13" xfId="24837"/>
    <cellStyle name="asd 42 6 14" xfId="27223"/>
    <cellStyle name="asd 42 6 15" xfId="29507"/>
    <cellStyle name="asd 42 6 16" xfId="30814"/>
    <cellStyle name="asd 42 6 17" xfId="32060"/>
    <cellStyle name="asd 42 6 18" xfId="33963"/>
    <cellStyle name="asd 42 6 19" xfId="35664"/>
    <cellStyle name="asd 42 6 2" xfId="5644"/>
    <cellStyle name="asd 42 6 2 10" xfId="21894"/>
    <cellStyle name="asd 42 6 2 11" xfId="13482"/>
    <cellStyle name="asd 42 6 2 12" xfId="25696"/>
    <cellStyle name="asd 42 6 2 13" xfId="2627"/>
    <cellStyle name="asd 42 6 2 14" xfId="4203"/>
    <cellStyle name="asd 42 6 2 15" xfId="15671"/>
    <cellStyle name="asd 42 6 2 16" xfId="22780"/>
    <cellStyle name="asd 42 6 2 17" xfId="27929"/>
    <cellStyle name="asd 42 6 2 18" xfId="36523"/>
    <cellStyle name="asd 42 6 2 19" xfId="38402"/>
    <cellStyle name="asd 42 6 2 2" xfId="7093"/>
    <cellStyle name="asd 42 6 2 20" xfId="31566"/>
    <cellStyle name="asd 42 6 2 21" xfId="38820"/>
    <cellStyle name="asd 42 6 2 22" xfId="10909"/>
    <cellStyle name="asd 42 6 2 3" xfId="8547"/>
    <cellStyle name="asd 42 6 2 4" xfId="10457"/>
    <cellStyle name="asd 42 6 2 5" xfId="12189"/>
    <cellStyle name="asd 42 6 2 6" xfId="2445"/>
    <cellStyle name="asd 42 6 2 7" xfId="2878"/>
    <cellStyle name="asd 42 6 2 8" xfId="18076"/>
    <cellStyle name="asd 42 6 2 9" xfId="19982"/>
    <cellStyle name="asd 42 6 20" xfId="37543"/>
    <cellStyle name="asd 42 6 21" xfId="39286"/>
    <cellStyle name="asd 42 6 22" xfId="40962"/>
    <cellStyle name="asd 42 6 23" xfId="42384"/>
    <cellStyle name="asd 42 6 3" xfId="4788"/>
    <cellStyle name="asd 42 6 4" xfId="7688"/>
    <cellStyle name="asd 42 6 5" xfId="9598"/>
    <cellStyle name="asd 42 6 6" xfId="2070"/>
    <cellStyle name="asd 42 6 7" xfId="13043"/>
    <cellStyle name="asd 42 6 8" xfId="14947"/>
    <cellStyle name="asd 42 6 9" xfId="17217"/>
    <cellStyle name="asd 42 7" xfId="1902"/>
    <cellStyle name="asd 42 7 10" xfId="18985"/>
    <cellStyle name="asd 42 7 11" xfId="20897"/>
    <cellStyle name="asd 42 7 12" xfId="24050"/>
    <cellStyle name="asd 42 7 13" xfId="24699"/>
    <cellStyle name="asd 42 7 14" xfId="27196"/>
    <cellStyle name="asd 42 7 15" xfId="29412"/>
    <cellStyle name="asd 42 7 16" xfId="30787"/>
    <cellStyle name="asd 42 7 17" xfId="32992"/>
    <cellStyle name="asd 42 7 18" xfId="34084"/>
    <cellStyle name="asd 42 7 19" xfId="35526"/>
    <cellStyle name="asd 42 7 2" xfId="4391"/>
    <cellStyle name="asd 42 7 2 10" xfId="20635"/>
    <cellStyle name="asd 42 7 2 11" xfId="23440"/>
    <cellStyle name="asd 42 7 2 12" xfId="24437"/>
    <cellStyle name="asd 42 7 2 13" xfId="27260"/>
    <cellStyle name="asd 42 7 2 14" xfId="28797"/>
    <cellStyle name="asd 42 7 2 15" xfId="30851"/>
    <cellStyle name="asd 42 7 2 16" xfId="33278"/>
    <cellStyle name="asd 42 7 2 17" xfId="34538"/>
    <cellStyle name="asd 42 7 2 18" xfId="35265"/>
    <cellStyle name="asd 42 7 2 19" xfId="37143"/>
    <cellStyle name="asd 42 7 2 2" xfId="5316"/>
    <cellStyle name="asd 42 7 2 20" xfId="40464"/>
    <cellStyle name="asd 42 7 2 21" xfId="42119"/>
    <cellStyle name="asd 42 7 2 22" xfId="43207"/>
    <cellStyle name="asd 42 7 2 3" xfId="6645"/>
    <cellStyle name="asd 42 7 2 4" xfId="9197"/>
    <cellStyle name="asd 42 7 2 5" xfId="12520"/>
    <cellStyle name="asd 42 7 2 6" xfId="13912"/>
    <cellStyle name="asd 42 7 2 7" xfId="15813"/>
    <cellStyle name="asd 42 7 2 8" xfId="16816"/>
    <cellStyle name="asd 42 7 2 9" xfId="18723"/>
    <cellStyle name="asd 42 7 20" xfId="37405"/>
    <cellStyle name="asd 42 7 21" xfId="40193"/>
    <cellStyle name="asd 42 7 22" xfId="41852"/>
    <cellStyle name="asd 42 7 23" xfId="43794"/>
    <cellStyle name="asd 42 7 3" xfId="6100"/>
    <cellStyle name="asd 42 7 4" xfId="7550"/>
    <cellStyle name="asd 42 7 5" xfId="9460"/>
    <cellStyle name="asd 42 7 6" xfId="12009"/>
    <cellStyle name="asd 42 7 7" xfId="14520"/>
    <cellStyle name="asd 42 7 8" xfId="16426"/>
    <cellStyle name="asd 42 7 9" xfId="17079"/>
    <cellStyle name="asd 42 8" xfId="2269"/>
    <cellStyle name="asd 42 9" xfId="2570"/>
    <cellStyle name="asd 43" xfId="1005"/>
    <cellStyle name="asd 43 10" xfId="2510"/>
    <cellStyle name="asd 43 11" xfId="12770"/>
    <cellStyle name="asd 43 12" xfId="14676"/>
    <cellStyle name="asd 43 13" xfId="5435"/>
    <cellStyle name="asd 43 14" xfId="2185"/>
    <cellStyle name="asd 43 15" xfId="14714"/>
    <cellStyle name="asd 43 16" xfId="22311"/>
    <cellStyle name="asd 43 17" xfId="14054"/>
    <cellStyle name="asd 43 18" xfId="3044"/>
    <cellStyle name="asd 43 19" xfId="8993"/>
    <cellStyle name="asd 43 2" xfId="3441"/>
    <cellStyle name="asd 43 2 10" xfId="14126"/>
    <cellStyle name="asd 43 2 11" xfId="16029"/>
    <cellStyle name="asd 43 2 12" xfId="16825"/>
    <cellStyle name="asd 43 2 13" xfId="18732"/>
    <cellStyle name="asd 43 2 14" xfId="20644"/>
    <cellStyle name="asd 43 2 15" xfId="23656"/>
    <cellStyle name="asd 43 2 16" xfId="24446"/>
    <cellStyle name="asd 43 2 17" xfId="27364"/>
    <cellStyle name="asd 43 2 18" xfId="28696"/>
    <cellStyle name="asd 43 2 19" xfId="30951"/>
    <cellStyle name="asd 43 2 2" xfId="3621"/>
    <cellStyle name="asd 43 2 2 10" xfId="17512"/>
    <cellStyle name="asd 43 2 2 11" xfId="19418"/>
    <cellStyle name="asd 43 2 2 12" xfId="21330"/>
    <cellStyle name="asd 43 2 2 13" xfId="22403"/>
    <cellStyle name="asd 43 2 2 14" xfId="25132"/>
    <cellStyle name="asd 43 2 2 15" xfId="27138"/>
    <cellStyle name="asd 43 2 2 16" xfId="28859"/>
    <cellStyle name="asd 43 2 2 17" xfId="30729"/>
    <cellStyle name="asd 43 2 2 18" xfId="31748"/>
    <cellStyle name="asd 43 2 2 19" xfId="33386"/>
    <cellStyle name="asd 43 2 2 2" xfId="5462"/>
    <cellStyle name="asd 43 2 2 2 10" xfId="21712"/>
    <cellStyle name="asd 43 2 2 2 11" xfId="23052"/>
    <cellStyle name="asd 43 2 2 2 12" xfId="25514"/>
    <cellStyle name="asd 43 2 2 2 13" xfId="26845"/>
    <cellStyle name="asd 43 2 2 2 14" xfId="2656"/>
    <cellStyle name="asd 43 2 2 2 15" xfId="30442"/>
    <cellStyle name="asd 43 2 2 2 16" xfId="31913"/>
    <cellStyle name="asd 43 2 2 2 17" xfId="33785"/>
    <cellStyle name="asd 43 2 2 2 18" xfId="36341"/>
    <cellStyle name="asd 43 2 2 2 19" xfId="38220"/>
    <cellStyle name="asd 43 2 2 2 2" xfId="6911"/>
    <cellStyle name="asd 43 2 2 2 20" xfId="39145"/>
    <cellStyle name="asd 43 2 2 2 21" xfId="40826"/>
    <cellStyle name="asd 43 2 2 2 22" xfId="42835"/>
    <cellStyle name="asd 43 2 2 2 3" xfId="8365"/>
    <cellStyle name="asd 43 2 2 2 4" xfId="10275"/>
    <cellStyle name="asd 43 2 2 2 5" xfId="12654"/>
    <cellStyle name="asd 43 2 2 2 6" xfId="13523"/>
    <cellStyle name="asd 43 2 2 2 7" xfId="15426"/>
    <cellStyle name="asd 43 2 2 2 8" xfId="17894"/>
    <cellStyle name="asd 43 2 2 2 9" xfId="19800"/>
    <cellStyle name="asd 43 2 2 20" xfId="35959"/>
    <cellStyle name="asd 43 2 2 21" xfId="37838"/>
    <cellStyle name="asd 43 2 2 22" xfId="38988"/>
    <cellStyle name="asd 43 2 2 23" xfId="40671"/>
    <cellStyle name="asd 43 2 2 24" xfId="42214"/>
    <cellStyle name="asd 43 2 2 3" xfId="5082"/>
    <cellStyle name="asd 43 2 2 4" xfId="6532"/>
    <cellStyle name="asd 43 2 2 5" xfId="7983"/>
    <cellStyle name="asd 43 2 2 6" xfId="9893"/>
    <cellStyle name="asd 43 2 2 7" xfId="11751"/>
    <cellStyle name="asd 43 2 2 8" xfId="12870"/>
    <cellStyle name="asd 43 2 2 9" xfId="14775"/>
    <cellStyle name="asd 43 2 20" xfId="32231"/>
    <cellStyle name="asd 43 2 21" xfId="34412"/>
    <cellStyle name="asd 43 2 22" xfId="35274"/>
    <cellStyle name="asd 43 2 23" xfId="37152"/>
    <cellStyle name="asd 43 2 24" xfId="39450"/>
    <cellStyle name="asd 43 2 25" xfId="41125"/>
    <cellStyle name="asd 43 2 26" xfId="43414"/>
    <cellStyle name="asd 43 2 3" xfId="3851"/>
    <cellStyle name="asd 43 2 3 10" xfId="19573"/>
    <cellStyle name="asd 43 2 3 11" xfId="21485"/>
    <cellStyle name="asd 43 2 3 12" xfId="22994"/>
    <cellStyle name="asd 43 2 3 13" xfId="25287"/>
    <cellStyle name="asd 43 2 3 14" xfId="27056"/>
    <cellStyle name="asd 43 2 3 15" xfId="28315"/>
    <cellStyle name="asd 43 2 3 16" xfId="30648"/>
    <cellStyle name="asd 43 2 3 17" xfId="31846"/>
    <cellStyle name="asd 43 2 3 18" xfId="33834"/>
    <cellStyle name="asd 43 2 3 19" xfId="36114"/>
    <cellStyle name="asd 43 2 3 2" xfId="5843"/>
    <cellStyle name="asd 43 2 3 2 10" xfId="22093"/>
    <cellStyle name="asd 43 2 3 2 11" xfId="23758"/>
    <cellStyle name="asd 43 2 3 2 12" xfId="25895"/>
    <cellStyle name="asd 43 2 3 2 13" xfId="26980"/>
    <cellStyle name="asd 43 2 3 2 14" xfId="28121"/>
    <cellStyle name="asd 43 2 3 2 15" xfId="30574"/>
    <cellStyle name="asd 43 2 3 2 16" xfId="32734"/>
    <cellStyle name="asd 43 2 3 2 17" xfId="33960"/>
    <cellStyle name="asd 43 2 3 2 18" xfId="36722"/>
    <cellStyle name="asd 43 2 3 2 19" xfId="38601"/>
    <cellStyle name="asd 43 2 3 2 2" xfId="7292"/>
    <cellStyle name="asd 43 2 3 2 20" xfId="39943"/>
    <cellStyle name="asd 43 2 3 2 21" xfId="41609"/>
    <cellStyle name="asd 43 2 3 2 22" xfId="43511"/>
    <cellStyle name="asd 43 2 3 2 3" xfId="8746"/>
    <cellStyle name="asd 43 2 3 2 4" xfId="10656"/>
    <cellStyle name="asd 43 2 3 2 5" xfId="11487"/>
    <cellStyle name="asd 43 2 3 2 6" xfId="14228"/>
    <cellStyle name="asd 43 2 3 2 7" xfId="16132"/>
    <cellStyle name="asd 43 2 3 2 8" xfId="18275"/>
    <cellStyle name="asd 43 2 3 2 9" xfId="20181"/>
    <cellStyle name="asd 43 2 3 20" xfId="37993"/>
    <cellStyle name="asd 43 2 3 21" xfId="39083"/>
    <cellStyle name="asd 43 2 3 22" xfId="40764"/>
    <cellStyle name="asd 43 2 3 23" xfId="42780"/>
    <cellStyle name="asd 43 2 3 3" xfId="5237"/>
    <cellStyle name="asd 43 2 3 4" xfId="8138"/>
    <cellStyle name="asd 43 2 3 5" xfId="10048"/>
    <cellStyle name="asd 43 2 3 6" xfId="12467"/>
    <cellStyle name="asd 43 2 3 7" xfId="13463"/>
    <cellStyle name="asd 43 2 3 8" xfId="15368"/>
    <cellStyle name="asd 43 2 3 9" xfId="17667"/>
    <cellStyle name="asd 43 2 4" xfId="4073"/>
    <cellStyle name="asd 43 2 4 10" xfId="19708"/>
    <cellStyle name="asd 43 2 4 11" xfId="21620"/>
    <cellStyle name="asd 43 2 4 12" xfId="22532"/>
    <cellStyle name="asd 43 2 4 13" xfId="25422"/>
    <cellStyle name="asd 43 2 4 14" xfId="27884"/>
    <cellStyle name="asd 43 2 4 15" xfId="14204"/>
    <cellStyle name="asd 43 2 4 16" xfId="31465"/>
    <cellStyle name="asd 43 2 4 17" xfId="31706"/>
    <cellStyle name="asd 43 2 4 18" xfId="34869"/>
    <cellStyle name="asd 43 2 4 19" xfId="36249"/>
    <cellStyle name="asd 43 2 4 2" xfId="5978"/>
    <cellStyle name="asd 43 2 4 2 10" xfId="22228"/>
    <cellStyle name="asd 43 2 4 2 11" xfId="22978"/>
    <cellStyle name="asd 43 2 4 2 12" xfId="26030"/>
    <cellStyle name="asd 43 2 4 2 13" xfId="26720"/>
    <cellStyle name="asd 43 2 4 2 14" xfId="29645"/>
    <cellStyle name="asd 43 2 4 2 15" xfId="30320"/>
    <cellStyle name="asd 43 2 4 2 16" xfId="32100"/>
    <cellStyle name="asd 43 2 4 2 17" xfId="34761"/>
    <cellStyle name="asd 43 2 4 2 18" xfId="36857"/>
    <cellStyle name="asd 43 2 4 2 19" xfId="38736"/>
    <cellStyle name="asd 43 2 4 2 2" xfId="7427"/>
    <cellStyle name="asd 43 2 4 2 20" xfId="39324"/>
    <cellStyle name="asd 43 2 4 2 21" xfId="41000"/>
    <cellStyle name="asd 43 2 4 2 22" xfId="42764"/>
    <cellStyle name="asd 43 2 4 2 3" xfId="8881"/>
    <cellStyle name="asd 43 2 4 2 4" xfId="10791"/>
    <cellStyle name="asd 43 2 4 2 5" xfId="11163"/>
    <cellStyle name="asd 43 2 4 2 6" xfId="13447"/>
    <cellStyle name="asd 43 2 4 2 7" xfId="15352"/>
    <cellStyle name="asd 43 2 4 2 8" xfId="18410"/>
    <cellStyle name="asd 43 2 4 2 9" xfId="20316"/>
    <cellStyle name="asd 43 2 4 20" xfId="38128"/>
    <cellStyle name="asd 43 2 4 21" xfId="38947"/>
    <cellStyle name="asd 43 2 4 22" xfId="40630"/>
    <cellStyle name="asd 43 2 4 23" xfId="42341"/>
    <cellStyle name="asd 43 2 4 3" xfId="6819"/>
    <cellStyle name="asd 43 2 4 4" xfId="8273"/>
    <cellStyle name="asd 43 2 4 5" xfId="10183"/>
    <cellStyle name="asd 43 2 4 6" xfId="12166"/>
    <cellStyle name="asd 43 2 4 7" xfId="13000"/>
    <cellStyle name="asd 43 2 4 8" xfId="14904"/>
    <cellStyle name="asd 43 2 4 9" xfId="17802"/>
    <cellStyle name="asd 43 2 5" xfId="4930"/>
    <cellStyle name="asd 43 2 5 10" xfId="21178"/>
    <cellStyle name="asd 43 2 5 11" xfId="22665"/>
    <cellStyle name="asd 43 2 5 12" xfId="24980"/>
    <cellStyle name="asd 43 2 5 13" xfId="27312"/>
    <cellStyle name="asd 43 2 5 14" xfId="28674"/>
    <cellStyle name="asd 43 2 5 15" xfId="30902"/>
    <cellStyle name="asd 43 2 5 16" xfId="32851"/>
    <cellStyle name="asd 43 2 5 17" xfId="33722"/>
    <cellStyle name="asd 43 2 5 18" xfId="35807"/>
    <cellStyle name="asd 43 2 5 19" xfId="37686"/>
    <cellStyle name="asd 43 2 5 2" xfId="6380"/>
    <cellStyle name="asd 43 2 5 20" xfId="40058"/>
    <cellStyle name="asd 43 2 5 21" xfId="41722"/>
    <cellStyle name="asd 43 2 5 22" xfId="42471"/>
    <cellStyle name="asd 43 2 5 3" xfId="7831"/>
    <cellStyle name="asd 43 2 5 4" xfId="9741"/>
    <cellStyle name="asd 43 2 5 5" xfId="11576"/>
    <cellStyle name="asd 43 2 5 6" xfId="13132"/>
    <cellStyle name="asd 43 2 5 7" xfId="15037"/>
    <cellStyle name="asd 43 2 5 8" xfId="17360"/>
    <cellStyle name="asd 43 2 5 9" xfId="19266"/>
    <cellStyle name="asd 43 2 6" xfId="3035"/>
    <cellStyle name="asd 43 2 6 10" xfId="20619"/>
    <cellStyle name="asd 43 2 6 11" xfId="23398"/>
    <cellStyle name="asd 43 2 6 12" xfId="24421"/>
    <cellStyle name="asd 43 2 6 13" xfId="6285"/>
    <cellStyle name="asd 43 2 6 14" xfId="22344"/>
    <cellStyle name="asd 43 2 6 15" xfId="22333"/>
    <cellStyle name="asd 43 2 6 16" xfId="28436"/>
    <cellStyle name="asd 43 2 6 17" xfId="29530"/>
    <cellStyle name="asd 43 2 6 18" xfId="35249"/>
    <cellStyle name="asd 43 2 6 19" xfId="37127"/>
    <cellStyle name="asd 43 2 6 2" xfId="5409"/>
    <cellStyle name="asd 43 2 6 20" xfId="26916"/>
    <cellStyle name="asd 43 2 6 21" xfId="2750"/>
    <cellStyle name="asd 43 2 6 22" xfId="43165"/>
    <cellStyle name="asd 43 2 6 3" xfId="6184"/>
    <cellStyle name="asd 43 2 6 4" xfId="9181"/>
    <cellStyle name="asd 43 2 6 5" xfId="10945"/>
    <cellStyle name="asd 43 2 6 6" xfId="13870"/>
    <cellStyle name="asd 43 2 6 7" xfId="15771"/>
    <cellStyle name="asd 43 2 6 8" xfId="16800"/>
    <cellStyle name="asd 43 2 6 9" xfId="18707"/>
    <cellStyle name="asd 43 2 7" xfId="4793"/>
    <cellStyle name="asd 43 2 8" xfId="9206"/>
    <cellStyle name="asd 43 2 9" xfId="11545"/>
    <cellStyle name="asd 43 20" xfId="2775"/>
    <cellStyle name="asd 43 21" xfId="16582"/>
    <cellStyle name="asd 43 22" xfId="29363"/>
    <cellStyle name="asd 43 23" xfId="27935"/>
    <cellStyle name="asd 43 24" xfId="28825"/>
    <cellStyle name="asd 43 25" xfId="13769"/>
    <cellStyle name="asd 43 26" xfId="29245"/>
    <cellStyle name="asd 43 27" xfId="42165"/>
    <cellStyle name="asd 43 3" xfId="3472"/>
    <cellStyle name="asd 43 3 10" xfId="14147"/>
    <cellStyle name="asd 43 3 11" xfId="16051"/>
    <cellStyle name="asd 43 3 12" xfId="16900"/>
    <cellStyle name="asd 43 3 13" xfId="18807"/>
    <cellStyle name="asd 43 3 14" xfId="20719"/>
    <cellStyle name="asd 43 3 15" xfId="23677"/>
    <cellStyle name="asd 43 3 16" xfId="24521"/>
    <cellStyle name="asd 43 3 17" xfId="26878"/>
    <cellStyle name="asd 43 3 18" xfId="29406"/>
    <cellStyle name="asd 43 3 19" xfId="30475"/>
    <cellStyle name="asd 43 3 2" xfId="3652"/>
    <cellStyle name="asd 43 3 2 10" xfId="17543"/>
    <cellStyle name="asd 43 3 2 11" xfId="19449"/>
    <cellStyle name="asd 43 3 2 12" xfId="21361"/>
    <cellStyle name="asd 43 3 2 13" xfId="22620"/>
    <cellStyle name="asd 43 3 2 14" xfId="25163"/>
    <cellStyle name="asd 43 3 2 15" xfId="26661"/>
    <cellStyle name="asd 43 3 2 16" xfId="28908"/>
    <cellStyle name="asd 43 3 2 17" xfId="30261"/>
    <cellStyle name="asd 43 3 2 18" xfId="32641"/>
    <cellStyle name="asd 43 3 2 19" xfId="33419"/>
    <cellStyle name="asd 43 3 2 2" xfId="5574"/>
    <cellStyle name="asd 43 3 2 2 10" xfId="21824"/>
    <cellStyle name="asd 43 3 2 2 11" xfId="23331"/>
    <cellStyle name="asd 43 3 2 2 12" xfId="25626"/>
    <cellStyle name="asd 43 3 2 2 13" xfId="26268"/>
    <cellStyle name="asd 43 3 2 2 14" xfId="2122"/>
    <cellStyle name="asd 43 3 2 2 15" xfId="29877"/>
    <cellStyle name="asd 43 3 2 2 16" xfId="32453"/>
    <cellStyle name="asd 43 3 2 2 17" xfId="33460"/>
    <cellStyle name="asd 43 3 2 2 18" xfId="36453"/>
    <cellStyle name="asd 43 3 2 2 19" xfId="38332"/>
    <cellStyle name="asd 43 3 2 2 2" xfId="7023"/>
    <cellStyle name="asd 43 3 2 2 20" xfId="39670"/>
    <cellStyle name="asd 43 3 2 2 21" xfId="41344"/>
    <cellStyle name="asd 43 3 2 2 22" xfId="43101"/>
    <cellStyle name="asd 43 3 2 2 3" xfId="8477"/>
    <cellStyle name="asd 43 3 2 2 4" xfId="10387"/>
    <cellStyle name="asd 43 3 2 2 5" xfId="12420"/>
    <cellStyle name="asd 43 3 2 2 6" xfId="13803"/>
    <cellStyle name="asd 43 3 2 2 7" xfId="15705"/>
    <cellStyle name="asd 43 3 2 2 8" xfId="18006"/>
    <cellStyle name="asd 43 3 2 2 9" xfId="19912"/>
    <cellStyle name="asd 43 3 2 20" xfId="35990"/>
    <cellStyle name="asd 43 3 2 21" xfId="37869"/>
    <cellStyle name="asd 43 3 2 22" xfId="39848"/>
    <cellStyle name="asd 43 3 2 23" xfId="41517"/>
    <cellStyle name="asd 43 3 2 24" xfId="42426"/>
    <cellStyle name="asd 43 3 2 3" xfId="5113"/>
    <cellStyle name="asd 43 3 2 4" xfId="6563"/>
    <cellStyle name="asd 43 3 2 5" xfId="8014"/>
    <cellStyle name="asd 43 3 2 6" xfId="9924"/>
    <cellStyle name="asd 43 3 2 7" xfId="11563"/>
    <cellStyle name="asd 43 3 2 8" xfId="13087"/>
    <cellStyle name="asd 43 3 2 9" xfId="14992"/>
    <cellStyle name="asd 43 3 20" xfId="32939"/>
    <cellStyle name="asd 43 3 21" xfId="34422"/>
    <cellStyle name="asd 43 3 22" xfId="35349"/>
    <cellStyle name="asd 43 3 23" xfId="37227"/>
    <cellStyle name="asd 43 3 24" xfId="40142"/>
    <cellStyle name="asd 43 3 25" xfId="41801"/>
    <cellStyle name="asd 43 3 26" xfId="43434"/>
    <cellStyle name="asd 43 3 3" xfId="3896"/>
    <cellStyle name="asd 43 3 3 10" xfId="19603"/>
    <cellStyle name="asd 43 3 3 11" xfId="21515"/>
    <cellStyle name="asd 43 3 3 12" xfId="24152"/>
    <cellStyle name="asd 43 3 3 13" xfId="25317"/>
    <cellStyle name="asd 43 3 3 14" xfId="12107"/>
    <cellStyle name="asd 43 3 3 15" xfId="2534"/>
    <cellStyle name="asd 43 3 3 16" xfId="2972"/>
    <cellStyle name="asd 43 3 3 17" xfId="31217"/>
    <cellStyle name="asd 43 3 3 18" xfId="30654"/>
    <cellStyle name="asd 43 3 3 19" xfId="36144"/>
    <cellStyle name="asd 43 3 3 2" xfId="5873"/>
    <cellStyle name="asd 43 3 3 2 10" xfId="22123"/>
    <cellStyle name="asd 43 3 3 2 11" xfId="23241"/>
    <cellStyle name="asd 43 3 3 2 12" xfId="25925"/>
    <cellStyle name="asd 43 3 3 2 13" xfId="27953"/>
    <cellStyle name="asd 43 3 3 2 14" xfId="28268"/>
    <cellStyle name="asd 43 3 3 2 15" xfId="31533"/>
    <cellStyle name="asd 43 3 3 2 16" xfId="32607"/>
    <cellStyle name="asd 43 3 3 2 17" xfId="34880"/>
    <cellStyle name="asd 43 3 3 2 18" xfId="36752"/>
    <cellStyle name="asd 43 3 3 2 19" xfId="38631"/>
    <cellStyle name="asd 43 3 3 2 2" xfId="7322"/>
    <cellStyle name="asd 43 3 3 2 20" xfId="39817"/>
    <cellStyle name="asd 43 3 3 2 21" xfId="41486"/>
    <cellStyle name="asd 43 3 3 2 22" xfId="43018"/>
    <cellStyle name="asd 43 3 3 2 3" xfId="8776"/>
    <cellStyle name="asd 43 3 3 2 4" xfId="10686"/>
    <cellStyle name="asd 43 3 3 2 5" xfId="11133"/>
    <cellStyle name="asd 43 3 3 2 6" xfId="13713"/>
    <cellStyle name="asd 43 3 3 2 7" xfId="15615"/>
    <cellStyle name="asd 43 3 3 2 8" xfId="18305"/>
    <cellStyle name="asd 43 3 3 2 9" xfId="20211"/>
    <cellStyle name="asd 43 3 3 20" xfId="38023"/>
    <cellStyle name="asd 43 3 3 21" xfId="16092"/>
    <cellStyle name="asd 43 3 3 22" xfId="39594"/>
    <cellStyle name="asd 43 3 3 23" xfId="43894"/>
    <cellStyle name="asd 43 3 3 3" xfId="5267"/>
    <cellStyle name="asd 43 3 3 4" xfId="8168"/>
    <cellStyle name="asd 43 3 3 5" xfId="10078"/>
    <cellStyle name="asd 43 3 3 6" xfId="12112"/>
    <cellStyle name="asd 43 3 3 7" xfId="14623"/>
    <cellStyle name="asd 43 3 3 8" xfId="16529"/>
    <cellStyle name="asd 43 3 3 9" xfId="17697"/>
    <cellStyle name="asd 43 3 4" xfId="4104"/>
    <cellStyle name="asd 43 3 4 10" xfId="19739"/>
    <cellStyle name="asd 43 3 4 11" xfId="21651"/>
    <cellStyle name="asd 43 3 4 12" xfId="23913"/>
    <cellStyle name="asd 43 3 4 13" xfId="25453"/>
    <cellStyle name="asd 43 3 4 14" xfId="26965"/>
    <cellStyle name="asd 43 3 4 15" xfId="28226"/>
    <cellStyle name="asd 43 3 4 16" xfId="30559"/>
    <cellStyle name="asd 43 3 4 17" xfId="31665"/>
    <cellStyle name="asd 43 3 4 18" xfId="34500"/>
    <cellStyle name="asd 43 3 4 19" xfId="36280"/>
    <cellStyle name="asd 43 3 4 2" xfId="6009"/>
    <cellStyle name="asd 43 3 4 2 10" xfId="22259"/>
    <cellStyle name="asd 43 3 4 2 11" xfId="22969"/>
    <cellStyle name="asd 43 3 4 2 12" xfId="26061"/>
    <cellStyle name="asd 43 3 4 2 13" xfId="26411"/>
    <cellStyle name="asd 43 3 4 2 14" xfId="28966"/>
    <cellStyle name="asd 43 3 4 2 15" xfId="30018"/>
    <cellStyle name="asd 43 3 4 2 16" xfId="31625"/>
    <cellStyle name="asd 43 3 4 2 17" xfId="34629"/>
    <cellStyle name="asd 43 3 4 2 18" xfId="36888"/>
    <cellStyle name="asd 43 3 4 2 19" xfId="38767"/>
    <cellStyle name="asd 43 3 4 2 2" xfId="7458"/>
    <cellStyle name="asd 43 3 4 2 20" xfId="38872"/>
    <cellStyle name="asd 43 3 4 2 21" xfId="40557"/>
    <cellStyle name="asd 43 3 4 2 22" xfId="42755"/>
    <cellStyle name="asd 43 3 4 2 3" xfId="8912"/>
    <cellStyle name="asd 43 3 4 2 4" xfId="10822"/>
    <cellStyle name="asd 43 3 4 2 5" xfId="12425"/>
    <cellStyle name="asd 43 3 4 2 6" xfId="13438"/>
    <cellStyle name="asd 43 3 4 2 7" xfId="15343"/>
    <cellStyle name="asd 43 3 4 2 8" xfId="18441"/>
    <cellStyle name="asd 43 3 4 2 9" xfId="20347"/>
    <cellStyle name="asd 43 3 4 20" xfId="38159"/>
    <cellStyle name="asd 43 3 4 21" xfId="38909"/>
    <cellStyle name="asd 43 3 4 22" xfId="40593"/>
    <cellStyle name="asd 43 3 4 23" xfId="43659"/>
    <cellStyle name="asd 43 3 4 3" xfId="6850"/>
    <cellStyle name="asd 43 3 4 4" xfId="8304"/>
    <cellStyle name="asd 43 3 4 5" xfId="10214"/>
    <cellStyle name="asd 43 3 4 6" xfId="11872"/>
    <cellStyle name="asd 43 3 4 7" xfId="14381"/>
    <cellStyle name="asd 43 3 4 8" xfId="16287"/>
    <cellStyle name="asd 43 3 4 9" xfId="17833"/>
    <cellStyle name="asd 43 3 5" xfId="4956"/>
    <cellStyle name="asd 43 3 5 10" xfId="21204"/>
    <cellStyle name="asd 43 3 5 11" xfId="22687"/>
    <cellStyle name="asd 43 3 5 12" xfId="25006"/>
    <cellStyle name="asd 43 3 5 13" xfId="26248"/>
    <cellStyle name="asd 43 3 5 14" xfId="28229"/>
    <cellStyle name="asd 43 3 5 15" xfId="29858"/>
    <cellStyle name="asd 43 3 5 16" xfId="32144"/>
    <cellStyle name="asd 43 3 5 17" xfId="34458"/>
    <cellStyle name="asd 43 3 5 18" xfId="35833"/>
    <cellStyle name="asd 43 3 5 19" xfId="37712"/>
    <cellStyle name="asd 43 3 5 2" xfId="6406"/>
    <cellStyle name="asd 43 3 5 20" xfId="39367"/>
    <cellStyle name="asd 43 3 5 21" xfId="41043"/>
    <cellStyle name="asd 43 3 5 22" xfId="42490"/>
    <cellStyle name="asd 43 3 5 3" xfId="7857"/>
    <cellStyle name="asd 43 3 5 4" xfId="9767"/>
    <cellStyle name="asd 43 3 5 5" xfId="11518"/>
    <cellStyle name="asd 43 3 5 6" xfId="13154"/>
    <cellStyle name="asd 43 3 5 7" xfId="15059"/>
    <cellStyle name="asd 43 3 5 8" xfId="17386"/>
    <cellStyle name="asd 43 3 5 9" xfId="19292"/>
    <cellStyle name="asd 43 3 6" xfId="4248"/>
    <cellStyle name="asd 43 3 6 10" xfId="20561"/>
    <cellStyle name="asd 43 3 6 11" xfId="23977"/>
    <cellStyle name="asd 43 3 6 12" xfId="24363"/>
    <cellStyle name="asd 43 3 6 13" xfId="26958"/>
    <cellStyle name="asd 43 3 6 14" xfId="29291"/>
    <cellStyle name="asd 43 3 6 15" xfId="30552"/>
    <cellStyle name="asd 43 3 6 16" xfId="32524"/>
    <cellStyle name="asd 43 3 6 17" xfId="33566"/>
    <cellStyle name="asd 43 3 6 18" xfId="35191"/>
    <cellStyle name="asd 43 3 6 19" xfId="37069"/>
    <cellStyle name="asd 43 3 6 2" xfId="5334"/>
    <cellStyle name="asd 43 3 6 20" xfId="39737"/>
    <cellStyle name="asd 43 3 6 21" xfId="41409"/>
    <cellStyle name="asd 43 3 6 22" xfId="43722"/>
    <cellStyle name="asd 43 3 6 3" xfId="6621"/>
    <cellStyle name="asd 43 3 6 4" xfId="9123"/>
    <cellStyle name="asd 43 3 6 5" xfId="11937"/>
    <cellStyle name="asd 43 3 6 6" xfId="14447"/>
    <cellStyle name="asd 43 3 6 7" xfId="16353"/>
    <cellStyle name="asd 43 3 6 8" xfId="16742"/>
    <cellStyle name="asd 43 3 6 9" xfId="18649"/>
    <cellStyle name="asd 43 3 7" xfId="6689"/>
    <cellStyle name="asd 43 3 8" xfId="9281"/>
    <cellStyle name="asd 43 3 9" xfId="11758"/>
    <cellStyle name="asd 43 4" xfId="3425"/>
    <cellStyle name="asd 43 4 10" xfId="16416"/>
    <cellStyle name="asd 43 4 11" xfId="16797"/>
    <cellStyle name="asd 43 4 12" xfId="18704"/>
    <cellStyle name="asd 43 4 13" xfId="20616"/>
    <cellStyle name="asd 43 4 14" xfId="24040"/>
    <cellStyle name="asd 43 4 15" xfId="24418"/>
    <cellStyle name="asd 43 4 16" xfId="26567"/>
    <cellStyle name="asd 43 4 17" xfId="29419"/>
    <cellStyle name="asd 43 4 18" xfId="30169"/>
    <cellStyle name="asd 43 4 19" xfId="32520"/>
    <cellStyle name="asd 43 4 2" xfId="3605"/>
    <cellStyle name="asd 43 4 2 10" xfId="17496"/>
    <cellStyle name="asd 43 4 2 11" xfId="19402"/>
    <cellStyle name="asd 43 4 2 12" xfId="21314"/>
    <cellStyle name="asd 43 4 2 13" xfId="22671"/>
    <cellStyle name="asd 43 4 2 14" xfId="25116"/>
    <cellStyle name="asd 43 4 2 15" xfId="26216"/>
    <cellStyle name="asd 43 4 2 16" xfId="28225"/>
    <cellStyle name="asd 43 4 2 17" xfId="29827"/>
    <cellStyle name="asd 43 4 2 18" xfId="31897"/>
    <cellStyle name="asd 43 4 2 19" xfId="34374"/>
    <cellStyle name="asd 43 4 2 2" xfId="2610"/>
    <cellStyle name="asd 43 4 2 2 10" xfId="20514"/>
    <cellStyle name="asd 43 4 2 2 11" xfId="22427"/>
    <cellStyle name="asd 43 4 2 2 12" xfId="24316"/>
    <cellStyle name="asd 43 4 2 2 13" xfId="27544"/>
    <cellStyle name="asd 43 4 2 2 14" xfId="29422"/>
    <cellStyle name="asd 43 4 2 2 15" xfId="31125"/>
    <cellStyle name="asd 43 4 2 2 16" xfId="33025"/>
    <cellStyle name="asd 43 4 2 2 17" xfId="34443"/>
    <cellStyle name="asd 43 4 2 2 18" xfId="35144"/>
    <cellStyle name="asd 43 4 2 2 19" xfId="37022"/>
    <cellStyle name="asd 43 4 2 2 2" xfId="4449"/>
    <cellStyle name="asd 43 4 2 2 20" xfId="40225"/>
    <cellStyle name="asd 43 4 2 2 21" xfId="41884"/>
    <cellStyle name="asd 43 4 2 2 22" xfId="42238"/>
    <cellStyle name="asd 43 4 2 2 3" xfId="4865"/>
    <cellStyle name="asd 43 4 2 2 4" xfId="9076"/>
    <cellStyle name="asd 43 4 2 2 5" xfId="11579"/>
    <cellStyle name="asd 43 4 2 2 6" xfId="12894"/>
    <cellStyle name="asd 43 4 2 2 7" xfId="14799"/>
    <cellStyle name="asd 43 4 2 2 8" xfId="16695"/>
    <cellStyle name="asd 43 4 2 2 9" xfId="18602"/>
    <cellStyle name="asd 43 4 2 20" xfId="35943"/>
    <cellStyle name="asd 43 4 2 21" xfId="37822"/>
    <cellStyle name="asd 43 4 2 22" xfId="39130"/>
    <cellStyle name="asd 43 4 2 23" xfId="40811"/>
    <cellStyle name="asd 43 4 2 24" xfId="42476"/>
    <cellStyle name="asd 43 4 2 3" xfId="5066"/>
    <cellStyle name="asd 43 4 2 4" xfId="6516"/>
    <cellStyle name="asd 43 4 2 5" xfId="7967"/>
    <cellStyle name="asd 43 4 2 6" xfId="9877"/>
    <cellStyle name="asd 43 4 2 7" xfId="12165"/>
    <cellStyle name="asd 43 4 2 8" xfId="13138"/>
    <cellStyle name="asd 43 4 2 9" xfId="15043"/>
    <cellStyle name="asd 43 4 20" xfId="33969"/>
    <cellStyle name="asd 43 4 21" xfId="35246"/>
    <cellStyle name="asd 43 4 22" xfId="37124"/>
    <cellStyle name="asd 43 4 23" xfId="39734"/>
    <cellStyle name="asd 43 4 24" xfId="41406"/>
    <cellStyle name="asd 43 4 25" xfId="43784"/>
    <cellStyle name="asd 43 4 3" xfId="3920"/>
    <cellStyle name="asd 43 4 3 10" xfId="19615"/>
    <cellStyle name="asd 43 4 3 11" xfId="21527"/>
    <cellStyle name="asd 43 4 3 12" xfId="23396"/>
    <cellStyle name="asd 43 4 3 13" xfId="25329"/>
    <cellStyle name="asd 43 4 3 14" xfId="27064"/>
    <cellStyle name="asd 43 4 3 15" xfId="29008"/>
    <cellStyle name="asd 43 4 3 16" xfId="30655"/>
    <cellStyle name="asd 43 4 3 17" xfId="33067"/>
    <cellStyle name="asd 43 4 3 18" xfId="34778"/>
    <cellStyle name="asd 43 4 3 19" xfId="36156"/>
    <cellStyle name="asd 43 4 3 2" xfId="5885"/>
    <cellStyle name="asd 43 4 3 2 10" xfId="22135"/>
    <cellStyle name="asd 43 4 3 2 11" xfId="23999"/>
    <cellStyle name="asd 43 4 3 2 12" xfId="25937"/>
    <cellStyle name="asd 43 4 3 2 13" xfId="26769"/>
    <cellStyle name="asd 43 4 3 2 14" xfId="29352"/>
    <cellStyle name="asd 43 4 3 2 15" xfId="30368"/>
    <cellStyle name="asd 43 4 3 2 16" xfId="32888"/>
    <cellStyle name="asd 43 4 3 2 17" xfId="33862"/>
    <cellStyle name="asd 43 4 3 2 18" xfId="36764"/>
    <cellStyle name="asd 43 4 3 2 19" xfId="38643"/>
    <cellStyle name="asd 43 4 3 2 2" xfId="7334"/>
    <cellStyle name="asd 43 4 3 2 20" xfId="40093"/>
    <cellStyle name="asd 43 4 3 2 21" xfId="41755"/>
    <cellStyle name="asd 43 4 3 2 22" xfId="43743"/>
    <cellStyle name="asd 43 4 3 2 3" xfId="8788"/>
    <cellStyle name="asd 43 4 3 2 4" xfId="10698"/>
    <cellStyle name="asd 43 4 3 2 5" xfId="11958"/>
    <cellStyle name="asd 43 4 3 2 6" xfId="14469"/>
    <cellStyle name="asd 43 4 3 2 7" xfId="16375"/>
    <cellStyle name="asd 43 4 3 2 8" xfId="18317"/>
    <cellStyle name="asd 43 4 3 2 9" xfId="20223"/>
    <cellStyle name="asd 43 4 3 20" xfId="38035"/>
    <cellStyle name="asd 43 4 3 21" xfId="40263"/>
    <cellStyle name="asd 43 4 3 22" xfId="41921"/>
    <cellStyle name="asd 43 4 3 23" xfId="43163"/>
    <cellStyle name="asd 43 4 3 3" xfId="5279"/>
    <cellStyle name="asd 43 4 3 4" xfId="8180"/>
    <cellStyle name="asd 43 4 3 5" xfId="10090"/>
    <cellStyle name="asd 43 4 3 6" xfId="11091"/>
    <cellStyle name="asd 43 4 3 7" xfId="13868"/>
    <cellStyle name="asd 43 4 3 8" xfId="15769"/>
    <cellStyle name="asd 43 4 3 9" xfId="17709"/>
    <cellStyle name="asd 43 4 4" xfId="4057"/>
    <cellStyle name="asd 43 4 4 10" xfId="19692"/>
    <cellStyle name="asd 43 4 4 11" xfId="21604"/>
    <cellStyle name="asd 43 4 4 12" xfId="22555"/>
    <cellStyle name="asd 43 4 4 13" xfId="25406"/>
    <cellStyle name="asd 43 4 4 14" xfId="27656"/>
    <cellStyle name="asd 43 4 4 15" xfId="29334"/>
    <cellStyle name="asd 43 4 4 16" xfId="31233"/>
    <cellStyle name="asd 43 4 4 17" xfId="31779"/>
    <cellStyle name="asd 43 4 4 18" xfId="33473"/>
    <cellStyle name="asd 43 4 4 19" xfId="36233"/>
    <cellStyle name="asd 43 4 4 2" xfId="5962"/>
    <cellStyle name="asd 43 4 4 2 10" xfId="22212"/>
    <cellStyle name="asd 43 4 4 2 11" xfId="22774"/>
    <cellStyle name="asd 43 4 4 2 12" xfId="26014"/>
    <cellStyle name="asd 43 4 4 2 13" xfId="27018"/>
    <cellStyle name="asd 43 4 4 2 14" xfId="3822"/>
    <cellStyle name="asd 43 4 4 2 15" xfId="30611"/>
    <cellStyle name="asd 43 4 4 2 16" xfId="31594"/>
    <cellStyle name="asd 43 4 4 2 17" xfId="28602"/>
    <cellStyle name="asd 43 4 4 2 18" xfId="36841"/>
    <cellStyle name="asd 43 4 4 2 19" xfId="38720"/>
    <cellStyle name="asd 43 4 4 2 2" xfId="7411"/>
    <cellStyle name="asd 43 4 4 2 20" xfId="38841"/>
    <cellStyle name="asd 43 4 4 2 21" xfId="40527"/>
    <cellStyle name="asd 43 4 4 2 22" xfId="42569"/>
    <cellStyle name="asd 43 4 4 2 3" xfId="8865"/>
    <cellStyle name="asd 43 4 4 2 4" xfId="10775"/>
    <cellStyle name="asd 43 4 4 2 5" xfId="11759"/>
    <cellStyle name="asd 43 4 4 2 6" xfId="13244"/>
    <cellStyle name="asd 43 4 4 2 7" xfId="15147"/>
    <cellStyle name="asd 43 4 4 2 8" xfId="18394"/>
    <cellStyle name="asd 43 4 4 2 9" xfId="20300"/>
    <cellStyle name="asd 43 4 4 20" xfId="38112"/>
    <cellStyle name="asd 43 4 4 21" xfId="39018"/>
    <cellStyle name="asd 43 4 4 22" xfId="40700"/>
    <cellStyle name="asd 43 4 4 23" xfId="42364"/>
    <cellStyle name="asd 43 4 4 3" xfId="6803"/>
    <cellStyle name="asd 43 4 4 4" xfId="8257"/>
    <cellStyle name="asd 43 4 4 5" xfId="10167"/>
    <cellStyle name="asd 43 4 4 6" xfId="12637"/>
    <cellStyle name="asd 43 4 4 7" xfId="13023"/>
    <cellStyle name="asd 43 4 4 8" xfId="14927"/>
    <cellStyle name="asd 43 4 4 9" xfId="17786"/>
    <cellStyle name="asd 43 4 5" xfId="5456"/>
    <cellStyle name="asd 43 4 5 10" xfId="21706"/>
    <cellStyle name="asd 43 4 5 11" xfId="23674"/>
    <cellStyle name="asd 43 4 5 12" xfId="25508"/>
    <cellStyle name="asd 43 4 5 13" xfId="26960"/>
    <cellStyle name="asd 43 4 5 14" xfId="28250"/>
    <cellStyle name="asd 43 4 5 15" xfId="30554"/>
    <cellStyle name="asd 43 4 5 16" xfId="32436"/>
    <cellStyle name="asd 43 4 5 17" xfId="33687"/>
    <cellStyle name="asd 43 4 5 18" xfId="36335"/>
    <cellStyle name="asd 43 4 5 19" xfId="38214"/>
    <cellStyle name="asd 43 4 5 2" xfId="6905"/>
    <cellStyle name="asd 43 4 5 20" xfId="39653"/>
    <cellStyle name="asd 43 4 5 21" xfId="41327"/>
    <cellStyle name="asd 43 4 5 22" xfId="43432"/>
    <cellStyle name="asd 43 4 5 3" xfId="8359"/>
    <cellStyle name="asd 43 4 5 4" xfId="10269"/>
    <cellStyle name="asd 43 4 5 5" xfId="11400"/>
    <cellStyle name="asd 43 4 5 6" xfId="14145"/>
    <cellStyle name="asd 43 4 5 7" xfId="16048"/>
    <cellStyle name="asd 43 4 5 8" xfId="17888"/>
    <cellStyle name="asd 43 4 5 9" xfId="19794"/>
    <cellStyle name="asd 43 4 6" xfId="5431"/>
    <cellStyle name="asd 43 4 7" xfId="9178"/>
    <cellStyle name="asd 43 4 8" xfId="11999"/>
    <cellStyle name="asd 43 4 9" xfId="14510"/>
    <cellStyle name="asd 43 5" xfId="2800"/>
    <cellStyle name="asd 43 5 10" xfId="17205"/>
    <cellStyle name="asd 43 5 11" xfId="19111"/>
    <cellStyle name="asd 43 5 12" xfId="21023"/>
    <cellStyle name="asd 43 5 13" xfId="22889"/>
    <cellStyle name="asd 43 5 14" xfId="24825"/>
    <cellStyle name="asd 43 5 15" xfId="27652"/>
    <cellStyle name="asd 43 5 16" xfId="28307"/>
    <cellStyle name="asd 43 5 17" xfId="31229"/>
    <cellStyle name="asd 43 5 18" xfId="32954"/>
    <cellStyle name="asd 43 5 19" xfId="34416"/>
    <cellStyle name="asd 43 5 2" xfId="5742"/>
    <cellStyle name="asd 43 5 2 10" xfId="21992"/>
    <cellStyle name="asd 43 5 2 11" xfId="22744"/>
    <cellStyle name="asd 43 5 2 12" xfId="25794"/>
    <cellStyle name="asd 43 5 2 13" xfId="16524"/>
    <cellStyle name="asd 43 5 2 14" xfId="11170"/>
    <cellStyle name="asd 43 5 2 15" xfId="8997"/>
    <cellStyle name="asd 43 5 2 16" xfId="27181"/>
    <cellStyle name="asd 43 5 2 17" xfId="30253"/>
    <cellStyle name="asd 43 5 2 18" xfId="36621"/>
    <cellStyle name="asd 43 5 2 19" xfId="38500"/>
    <cellStyle name="asd 43 5 2 2" xfId="7191"/>
    <cellStyle name="asd 43 5 2 20" xfId="11426"/>
    <cellStyle name="asd 43 5 2 21" xfId="33406"/>
    <cellStyle name="asd 43 5 2 22" xfId="42542"/>
    <cellStyle name="asd 43 5 2 3" xfId="8645"/>
    <cellStyle name="asd 43 5 2 4" xfId="10555"/>
    <cellStyle name="asd 43 5 2 5" xfId="3327"/>
    <cellStyle name="asd 43 5 2 6" xfId="13213"/>
    <cellStyle name="asd 43 5 2 7" xfId="15116"/>
    <cellStyle name="asd 43 5 2 8" xfId="18174"/>
    <cellStyle name="asd 43 5 2 9" xfId="20080"/>
    <cellStyle name="asd 43 5 20" xfId="35652"/>
    <cellStyle name="asd 43 5 21" xfId="37531"/>
    <cellStyle name="asd 43 5 22" xfId="40156"/>
    <cellStyle name="asd 43 5 23" xfId="41815"/>
    <cellStyle name="asd 43 5 24" xfId="42675"/>
    <cellStyle name="asd 43 5 3" xfId="4776"/>
    <cellStyle name="asd 43 5 4" xfId="6225"/>
    <cellStyle name="asd 43 5 5" xfId="7676"/>
    <cellStyle name="asd 43 5 6" xfId="9586"/>
    <cellStyle name="asd 43 5 7" xfId="12468"/>
    <cellStyle name="asd 43 5 8" xfId="13357"/>
    <cellStyle name="asd 43 5 9" xfId="15262"/>
    <cellStyle name="asd 43 6" xfId="2577"/>
    <cellStyle name="asd 43 6 10" xfId="19085"/>
    <cellStyle name="asd 43 6 11" xfId="20997"/>
    <cellStyle name="asd 43 6 12" xfId="23588"/>
    <cellStyle name="asd 43 6 13" xfId="24799"/>
    <cellStyle name="asd 43 6 14" xfId="26860"/>
    <cellStyle name="asd 43 6 15" xfId="12296"/>
    <cellStyle name="asd 43 6 16" xfId="30457"/>
    <cellStyle name="asd 43 6 17" xfId="32548"/>
    <cellStyle name="asd 43 6 18" xfId="34127"/>
    <cellStyle name="asd 43 6 19" xfId="35626"/>
    <cellStyle name="asd 43 6 2" xfId="5584"/>
    <cellStyle name="asd 43 6 2 10" xfId="21834"/>
    <cellStyle name="asd 43 6 2 11" xfId="22898"/>
    <cellStyle name="asd 43 6 2 12" xfId="25636"/>
    <cellStyle name="asd 43 6 2 13" xfId="27563"/>
    <cellStyle name="asd 43 6 2 14" xfId="2809"/>
    <cellStyle name="asd 43 6 2 15" xfId="31143"/>
    <cellStyle name="asd 43 6 2 16" xfId="32518"/>
    <cellStyle name="asd 43 6 2 17" xfId="28306"/>
    <cellStyle name="asd 43 6 2 18" xfId="36463"/>
    <cellStyle name="asd 43 6 2 19" xfId="38342"/>
    <cellStyle name="asd 43 6 2 2" xfId="7033"/>
    <cellStyle name="asd 43 6 2 20" xfId="39732"/>
    <cellStyle name="asd 43 6 2 21" xfId="41404"/>
    <cellStyle name="asd 43 6 2 22" xfId="42684"/>
    <cellStyle name="asd 43 6 2 3" xfId="8487"/>
    <cellStyle name="asd 43 6 2 4" xfId="10397"/>
    <cellStyle name="asd 43 6 2 5" xfId="12453"/>
    <cellStyle name="asd 43 6 2 6" xfId="13366"/>
    <cellStyle name="asd 43 6 2 7" xfId="15271"/>
    <cellStyle name="asd 43 6 2 8" xfId="18016"/>
    <cellStyle name="asd 43 6 2 9" xfId="19922"/>
    <cellStyle name="asd 43 6 20" xfId="37505"/>
    <cellStyle name="asd 43 6 21" xfId="39761"/>
    <cellStyle name="asd 43 6 22" xfId="41433"/>
    <cellStyle name="asd 43 6 23" xfId="43347"/>
    <cellStyle name="asd 43 6 3" xfId="4750"/>
    <cellStyle name="asd 43 6 4" xfId="7650"/>
    <cellStyle name="asd 43 6 5" xfId="9560"/>
    <cellStyle name="asd 43 6 6" xfId="12231"/>
    <cellStyle name="asd 43 6 7" xfId="14058"/>
    <cellStyle name="asd 43 6 8" xfId="15961"/>
    <cellStyle name="asd 43 6 9" xfId="17179"/>
    <cellStyle name="asd 43 7" xfId="2247"/>
    <cellStyle name="asd 43 7 10" xfId="19039"/>
    <cellStyle name="asd 43 7 11" xfId="20951"/>
    <cellStyle name="asd 43 7 12" xfId="22397"/>
    <cellStyle name="asd 43 7 13" xfId="24753"/>
    <cellStyle name="asd 43 7 14" xfId="26163"/>
    <cellStyle name="asd 43 7 15" xfId="28831"/>
    <cellStyle name="asd 43 7 16" xfId="29777"/>
    <cellStyle name="asd 43 7 17" xfId="32827"/>
    <cellStyle name="asd 43 7 18" xfId="33651"/>
    <cellStyle name="asd 43 7 19" xfId="35580"/>
    <cellStyle name="asd 43 7 2" xfId="5540"/>
    <cellStyle name="asd 43 7 2 10" xfId="21790"/>
    <cellStyle name="asd 43 7 2 11" xfId="24015"/>
    <cellStyle name="asd 43 7 2 12" xfId="25592"/>
    <cellStyle name="asd 43 7 2 13" xfId="27318"/>
    <cellStyle name="asd 43 7 2 14" xfId="29647"/>
    <cellStyle name="asd 43 7 2 15" xfId="30908"/>
    <cellStyle name="asd 43 7 2 16" xfId="31606"/>
    <cellStyle name="asd 43 7 2 17" xfId="34773"/>
    <cellStyle name="asd 43 7 2 18" xfId="36419"/>
    <cellStyle name="asd 43 7 2 19" xfId="38298"/>
    <cellStyle name="asd 43 7 2 2" xfId="6989"/>
    <cellStyle name="asd 43 7 2 20" xfId="38853"/>
    <cellStyle name="asd 43 7 2 21" xfId="40539"/>
    <cellStyle name="asd 43 7 2 22" xfId="43759"/>
    <cellStyle name="asd 43 7 2 3" xfId="8443"/>
    <cellStyle name="asd 43 7 2 4" xfId="10353"/>
    <cellStyle name="asd 43 7 2 5" xfId="11974"/>
    <cellStyle name="asd 43 7 2 6" xfId="14485"/>
    <cellStyle name="asd 43 7 2 7" xfId="16391"/>
    <cellStyle name="asd 43 7 2 8" xfId="17972"/>
    <cellStyle name="asd 43 7 2 9" xfId="19878"/>
    <cellStyle name="asd 43 7 20" xfId="37459"/>
    <cellStyle name="asd 43 7 21" xfId="40036"/>
    <cellStyle name="asd 43 7 22" xfId="41700"/>
    <cellStyle name="asd 43 7 23" xfId="42208"/>
    <cellStyle name="asd 43 7 3" xfId="6153"/>
    <cellStyle name="asd 43 7 4" xfId="7604"/>
    <cellStyle name="asd 43 7 5" xfId="9514"/>
    <cellStyle name="asd 43 7 6" xfId="12321"/>
    <cellStyle name="asd 43 7 7" xfId="12864"/>
    <cellStyle name="asd 43 7 8" xfId="14769"/>
    <cellStyle name="asd 43 7 9" xfId="17133"/>
    <cellStyle name="asd 43 8" xfId="4595"/>
    <cellStyle name="asd 43 9" xfId="2716"/>
    <cellStyle name="asd 44" xfId="1013"/>
    <cellStyle name="asd 44 10" xfId="4195"/>
    <cellStyle name="asd 44 11" xfId="2575"/>
    <cellStyle name="asd 44 12" xfId="3716"/>
    <cellStyle name="asd 44 13" xfId="3298"/>
    <cellStyle name="asd 44 14" xfId="14073"/>
    <cellStyle name="asd 44 15" xfId="13841"/>
    <cellStyle name="asd 44 16" xfId="16613"/>
    <cellStyle name="asd 44 17" xfId="1871"/>
    <cellStyle name="asd 44 18" xfId="15174"/>
    <cellStyle name="asd 44 19" xfId="3952"/>
    <cellStyle name="asd 44 2" xfId="3450"/>
    <cellStyle name="asd 44 2 10" xfId="14438"/>
    <cellStyle name="asd 44 2 11" xfId="16344"/>
    <cellStyle name="asd 44 2 12" xfId="16841"/>
    <cellStyle name="asd 44 2 13" xfId="18748"/>
    <cellStyle name="asd 44 2 14" xfId="20660"/>
    <cellStyle name="asd 44 2 15" xfId="23968"/>
    <cellStyle name="asd 44 2 16" xfId="24462"/>
    <cellStyle name="asd 44 2 17" xfId="26954"/>
    <cellStyle name="asd 44 2 18" xfId="29427"/>
    <cellStyle name="asd 44 2 19" xfId="30548"/>
    <cellStyle name="asd 44 2 2" xfId="3630"/>
    <cellStyle name="asd 44 2 2 10" xfId="17521"/>
    <cellStyle name="asd 44 2 2 11" xfId="19427"/>
    <cellStyle name="asd 44 2 2 12" xfId="21339"/>
    <cellStyle name="asd 44 2 2 13" xfId="22942"/>
    <cellStyle name="asd 44 2 2 14" xfId="25141"/>
    <cellStyle name="asd 44 2 2 15" xfId="26686"/>
    <cellStyle name="asd 44 2 2 16" xfId="1776"/>
    <cellStyle name="asd 44 2 2 17" xfId="30286"/>
    <cellStyle name="asd 44 2 2 18" xfId="33069"/>
    <cellStyle name="asd 44 2 2 19" xfId="1793"/>
    <cellStyle name="asd 44 2 2 2" xfId="4463"/>
    <cellStyle name="asd 44 2 2 2 10" xfId="20708"/>
    <cellStyle name="asd 44 2 2 2 11" xfId="22393"/>
    <cellStyle name="asd 44 2 2 2 12" xfId="24510"/>
    <cellStyle name="asd 44 2 2 2 13" xfId="27511"/>
    <cellStyle name="asd 44 2 2 2 14" xfId="28760"/>
    <cellStyle name="asd 44 2 2 2 15" xfId="31096"/>
    <cellStyle name="asd 44 2 2 2 16" xfId="32806"/>
    <cellStyle name="asd 44 2 2 2 17" xfId="33423"/>
    <cellStyle name="asd 44 2 2 2 18" xfId="35338"/>
    <cellStyle name="asd 44 2 2 2 19" xfId="37216"/>
    <cellStyle name="asd 44 2 2 2 2" xfId="4529"/>
    <cellStyle name="asd 44 2 2 2 20" xfId="40015"/>
    <cellStyle name="asd 44 2 2 2 21" xfId="41679"/>
    <cellStyle name="asd 44 2 2 2 22" xfId="42204"/>
    <cellStyle name="asd 44 2 2 2 3" xfId="4657"/>
    <cellStyle name="asd 44 2 2 2 4" xfId="9270"/>
    <cellStyle name="asd 44 2 2 2 5" xfId="11356"/>
    <cellStyle name="asd 44 2 2 2 6" xfId="12860"/>
    <cellStyle name="asd 44 2 2 2 7" xfId="14765"/>
    <cellStyle name="asd 44 2 2 2 8" xfId="16889"/>
    <cellStyle name="asd 44 2 2 2 9" xfId="18796"/>
    <cellStyle name="asd 44 2 2 20" xfId="35968"/>
    <cellStyle name="asd 44 2 2 21" xfId="37847"/>
    <cellStyle name="asd 44 2 2 22" xfId="40265"/>
    <cellStyle name="asd 44 2 2 23" xfId="41923"/>
    <cellStyle name="asd 44 2 2 24" xfId="42728"/>
    <cellStyle name="asd 44 2 2 3" xfId="5091"/>
    <cellStyle name="asd 44 2 2 4" xfId="6541"/>
    <cellStyle name="asd 44 2 2 5" xfId="7992"/>
    <cellStyle name="asd 44 2 2 6" xfId="9902"/>
    <cellStyle name="asd 44 2 2 7" xfId="11156"/>
    <cellStyle name="asd 44 2 2 8" xfId="13410"/>
    <cellStyle name="asd 44 2 2 9" xfId="15315"/>
    <cellStyle name="asd 44 2 20" xfId="32289"/>
    <cellStyle name="asd 44 2 21" xfId="34068"/>
    <cellStyle name="asd 44 2 22" xfId="35290"/>
    <cellStyle name="asd 44 2 23" xfId="37168"/>
    <cellStyle name="asd 44 2 24" xfId="39509"/>
    <cellStyle name="asd 44 2 25" xfId="41183"/>
    <cellStyle name="asd 44 2 26" xfId="43714"/>
    <cellStyle name="asd 44 2 3" xfId="3800"/>
    <cellStyle name="asd 44 2 3 10" xfId="19535"/>
    <cellStyle name="asd 44 2 3 11" xfId="21447"/>
    <cellStyle name="asd 44 2 3 12" xfId="22413"/>
    <cellStyle name="asd 44 2 3 13" xfId="25249"/>
    <cellStyle name="asd 44 2 3 14" xfId="27636"/>
    <cellStyle name="asd 44 2 3 15" xfId="28651"/>
    <cellStyle name="asd 44 2 3 16" xfId="31213"/>
    <cellStyle name="asd 44 2 3 17" xfId="32646"/>
    <cellStyle name="asd 44 2 3 18" xfId="33767"/>
    <cellStyle name="asd 44 2 3 19" xfId="36076"/>
    <cellStyle name="asd 44 2 3 2" xfId="5805"/>
    <cellStyle name="asd 44 2 3 2 10" xfId="22055"/>
    <cellStyle name="asd 44 2 3 2 11" xfId="22926"/>
    <cellStyle name="asd 44 2 3 2 12" xfId="25857"/>
    <cellStyle name="asd 44 2 3 2 13" xfId="26419"/>
    <cellStyle name="asd 44 2 3 2 14" xfId="28108"/>
    <cellStyle name="asd 44 2 3 2 15" xfId="30026"/>
    <cellStyle name="asd 44 2 3 2 16" xfId="32659"/>
    <cellStyle name="asd 44 2 3 2 17" xfId="35013"/>
    <cellStyle name="asd 44 2 3 2 18" xfId="36684"/>
    <cellStyle name="asd 44 2 3 2 19" xfId="38563"/>
    <cellStyle name="asd 44 2 3 2 2" xfId="7254"/>
    <cellStyle name="asd 44 2 3 2 20" xfId="39866"/>
    <cellStyle name="asd 44 2 3 2 21" xfId="41535"/>
    <cellStyle name="asd 44 2 3 2 22" xfId="42712"/>
    <cellStyle name="asd 44 2 3 2 3" xfId="8708"/>
    <cellStyle name="asd 44 2 3 2 4" xfId="10618"/>
    <cellStyle name="asd 44 2 3 2 5" xfId="11296"/>
    <cellStyle name="asd 44 2 3 2 6" xfId="13394"/>
    <cellStyle name="asd 44 2 3 2 7" xfId="15299"/>
    <cellStyle name="asd 44 2 3 2 8" xfId="18237"/>
    <cellStyle name="asd 44 2 3 2 9" xfId="20143"/>
    <cellStyle name="asd 44 2 3 20" xfId="37955"/>
    <cellStyle name="asd 44 2 3 21" xfId="39853"/>
    <cellStyle name="asd 44 2 3 22" xfId="41522"/>
    <cellStyle name="asd 44 2 3 23" xfId="42224"/>
    <cellStyle name="asd 44 2 3 3" xfId="5199"/>
    <cellStyle name="asd 44 2 3 4" xfId="8100"/>
    <cellStyle name="asd 44 2 3 5" xfId="10010"/>
    <cellStyle name="asd 44 2 3 6" xfId="11665"/>
    <cellStyle name="asd 44 2 3 7" xfId="12880"/>
    <cellStyle name="asd 44 2 3 8" xfId="14785"/>
    <cellStyle name="asd 44 2 3 9" xfId="17629"/>
    <cellStyle name="asd 44 2 4" xfId="4082"/>
    <cellStyle name="asd 44 2 4 10" xfId="19717"/>
    <cellStyle name="asd 44 2 4 11" xfId="21629"/>
    <cellStyle name="asd 44 2 4 12" xfId="22725"/>
    <cellStyle name="asd 44 2 4 13" xfId="25431"/>
    <cellStyle name="asd 44 2 4 14" xfId="26442"/>
    <cellStyle name="asd 44 2 4 15" xfId="2036"/>
    <cellStyle name="asd 44 2 4 16" xfId="30048"/>
    <cellStyle name="asd 44 2 4 17" xfId="10899"/>
    <cellStyle name="asd 44 2 4 18" xfId="2726"/>
    <cellStyle name="asd 44 2 4 19" xfId="36258"/>
    <cellStyle name="asd 44 2 4 2" xfId="5987"/>
    <cellStyle name="asd 44 2 4 2 10" xfId="22237"/>
    <cellStyle name="asd 44 2 4 2 11" xfId="23233"/>
    <cellStyle name="asd 44 2 4 2 12" xfId="26039"/>
    <cellStyle name="asd 44 2 4 2 13" xfId="14698"/>
    <cellStyle name="asd 44 2 4 2 14" xfId="14618"/>
    <cellStyle name="asd 44 2 4 2 15" xfId="22329"/>
    <cellStyle name="asd 44 2 4 2 16" xfId="2678"/>
    <cellStyle name="asd 44 2 4 2 17" xfId="28402"/>
    <cellStyle name="asd 44 2 4 2 18" xfId="36866"/>
    <cellStyle name="asd 44 2 4 2 19" xfId="38745"/>
    <cellStyle name="asd 44 2 4 2 2" xfId="7436"/>
    <cellStyle name="asd 44 2 4 2 20" xfId="2119"/>
    <cellStyle name="asd 44 2 4 2 21" xfId="34082"/>
    <cellStyle name="asd 44 2 4 2 22" xfId="43010"/>
    <cellStyle name="asd 44 2 4 2 3" xfId="8890"/>
    <cellStyle name="asd 44 2 4 2 4" xfId="10800"/>
    <cellStyle name="asd 44 2 4 2 5" xfId="11117"/>
    <cellStyle name="asd 44 2 4 2 6" xfId="13705"/>
    <cellStyle name="asd 44 2 4 2 7" xfId="15607"/>
    <cellStyle name="asd 44 2 4 2 8" xfId="18419"/>
    <cellStyle name="asd 44 2 4 2 9" xfId="20325"/>
    <cellStyle name="asd 44 2 4 20" xfId="38137"/>
    <cellStyle name="asd 44 2 4 21" xfId="16599"/>
    <cellStyle name="asd 44 2 4 22" xfId="18503"/>
    <cellStyle name="asd 44 2 4 23" xfId="42523"/>
    <cellStyle name="asd 44 2 4 3" xfId="6828"/>
    <cellStyle name="asd 44 2 4 4" xfId="8282"/>
    <cellStyle name="asd 44 2 4 5" xfId="10192"/>
    <cellStyle name="asd 44 2 4 6" xfId="3236"/>
    <cellStyle name="asd 44 2 4 7" xfId="13194"/>
    <cellStyle name="asd 44 2 4 8" xfId="15097"/>
    <cellStyle name="asd 44 2 4 9" xfId="17811"/>
    <cellStyle name="asd 44 2 5" xfId="4937"/>
    <cellStyle name="asd 44 2 5 10" xfId="21185"/>
    <cellStyle name="asd 44 2 5 11" xfId="24169"/>
    <cellStyle name="asd 44 2 5 12" xfId="24987"/>
    <cellStyle name="asd 44 2 5 13" xfId="27937"/>
    <cellStyle name="asd 44 2 5 14" xfId="28312"/>
    <cellStyle name="asd 44 2 5 15" xfId="31518"/>
    <cellStyle name="asd 44 2 5 16" xfId="32605"/>
    <cellStyle name="asd 44 2 5 17" xfId="34966"/>
    <cellStyle name="asd 44 2 5 18" xfId="35814"/>
    <cellStyle name="asd 44 2 5 19" xfId="37693"/>
    <cellStyle name="asd 44 2 5 2" xfId="6387"/>
    <cellStyle name="asd 44 2 5 20" xfId="39815"/>
    <cellStyle name="asd 44 2 5 21" xfId="41484"/>
    <cellStyle name="asd 44 2 5 22" xfId="43911"/>
    <cellStyle name="asd 44 2 5 3" xfId="7838"/>
    <cellStyle name="asd 44 2 5 4" xfId="9748"/>
    <cellStyle name="asd 44 2 5 5" xfId="12129"/>
    <cellStyle name="asd 44 2 5 6" xfId="14640"/>
    <cellStyle name="asd 44 2 5 7" xfId="16546"/>
    <cellStyle name="asd 44 2 5 8" xfId="17367"/>
    <cellStyle name="asd 44 2 5 9" xfId="19273"/>
    <cellStyle name="asd 44 2 6" xfId="1864"/>
    <cellStyle name="asd 44 2 6 10" xfId="20590"/>
    <cellStyle name="asd 44 2 6 11" xfId="22401"/>
    <cellStyle name="asd 44 2 6 12" xfId="24392"/>
    <cellStyle name="asd 44 2 6 13" xfId="27361"/>
    <cellStyle name="asd 44 2 6 14" xfId="29681"/>
    <cellStyle name="asd 44 2 6 15" xfId="30949"/>
    <cellStyle name="asd 44 2 6 16" xfId="32361"/>
    <cellStyle name="asd 44 2 6 17" xfId="34453"/>
    <cellStyle name="asd 44 2 6 18" xfId="35220"/>
    <cellStyle name="asd 44 2 6 19" xfId="37098"/>
    <cellStyle name="asd 44 2 6 2" xfId="4807"/>
    <cellStyle name="asd 44 2 6 20" xfId="39580"/>
    <cellStyle name="asd 44 2 6 21" xfId="41254"/>
    <cellStyle name="asd 44 2 6 22" xfId="42212"/>
    <cellStyle name="asd 44 2 6 3" xfId="6229"/>
    <cellStyle name="asd 44 2 6 4" xfId="9152"/>
    <cellStyle name="asd 44 2 6 5" xfId="11344"/>
    <cellStyle name="asd 44 2 6 6" xfId="12868"/>
    <cellStyle name="asd 44 2 6 7" xfId="14773"/>
    <cellStyle name="asd 44 2 6 8" xfId="16771"/>
    <cellStyle name="asd 44 2 6 9" xfId="18678"/>
    <cellStyle name="asd 44 2 7" xfId="5284"/>
    <cellStyle name="asd 44 2 8" xfId="9222"/>
    <cellStyle name="asd 44 2 9" xfId="11928"/>
    <cellStyle name="asd 44 20" xfId="3308"/>
    <cellStyle name="asd 44 21" xfId="16624"/>
    <cellStyle name="asd 44 22" xfId="28397"/>
    <cellStyle name="asd 44 23" xfId="31098"/>
    <cellStyle name="asd 44 24" xfId="33249"/>
    <cellStyle name="asd 44 25" xfId="6156"/>
    <cellStyle name="asd 44 26" xfId="18508"/>
    <cellStyle name="asd 44 27" xfId="29014"/>
    <cellStyle name="asd 44 3" xfId="3519"/>
    <cellStyle name="asd 44 3 10" xfId="14531"/>
    <cellStyle name="asd 44 3 11" xfId="16437"/>
    <cellStyle name="asd 44 3 12" xfId="17028"/>
    <cellStyle name="asd 44 3 13" xfId="18935"/>
    <cellStyle name="asd 44 3 14" xfId="20847"/>
    <cellStyle name="asd 44 3 15" xfId="24061"/>
    <cellStyle name="asd 44 3 16" xfId="24649"/>
    <cellStyle name="asd 44 3 17" xfId="27574"/>
    <cellStyle name="asd 44 3 18" xfId="28542"/>
    <cellStyle name="asd 44 3 19" xfId="31153"/>
    <cellStyle name="asd 44 3 2" xfId="3699"/>
    <cellStyle name="asd 44 3 2 10" xfId="17590"/>
    <cellStyle name="asd 44 3 2 11" xfId="19496"/>
    <cellStyle name="asd 44 3 2 12" xfId="21408"/>
    <cellStyle name="asd 44 3 2 13" xfId="23509"/>
    <cellStyle name="asd 44 3 2 14" xfId="25210"/>
    <cellStyle name="asd 44 3 2 15" xfId="27469"/>
    <cellStyle name="asd 44 3 2 16" xfId="29377"/>
    <cellStyle name="asd 44 3 2 17" xfId="31056"/>
    <cellStyle name="asd 44 3 2 18" xfId="32292"/>
    <cellStyle name="asd 44 3 2 19" xfId="33728"/>
    <cellStyle name="asd 44 3 2 2" xfId="5766"/>
    <cellStyle name="asd 44 3 2 2 10" xfId="22016"/>
    <cellStyle name="asd 44 3 2 2 11" xfId="22425"/>
    <cellStyle name="asd 44 3 2 2 12" xfId="25818"/>
    <cellStyle name="asd 44 3 2 2 13" xfId="27907"/>
    <cellStyle name="asd 44 3 2 2 14" xfId="16607"/>
    <cellStyle name="asd 44 3 2 2 15" xfId="31489"/>
    <cellStyle name="asd 44 3 2 2 16" xfId="31780"/>
    <cellStyle name="asd 44 3 2 2 17" xfId="33841"/>
    <cellStyle name="asd 44 3 2 2 18" xfId="36645"/>
    <cellStyle name="asd 44 3 2 2 19" xfId="38524"/>
    <cellStyle name="asd 44 3 2 2 2" xfId="7215"/>
    <cellStyle name="asd 44 3 2 2 20" xfId="39019"/>
    <cellStyle name="asd 44 3 2 2 21" xfId="40701"/>
    <cellStyle name="asd 44 3 2 2 22" xfId="42236"/>
    <cellStyle name="asd 44 3 2 2 3" xfId="8669"/>
    <cellStyle name="asd 44 3 2 2 4" xfId="10579"/>
    <cellStyle name="asd 44 3 2 2 5" xfId="12388"/>
    <cellStyle name="asd 44 3 2 2 6" xfId="12892"/>
    <cellStyle name="asd 44 3 2 2 7" xfId="14797"/>
    <cellStyle name="asd 44 3 2 2 8" xfId="18198"/>
    <cellStyle name="asd 44 3 2 2 9" xfId="20104"/>
    <cellStyle name="asd 44 3 2 20" xfId="36037"/>
    <cellStyle name="asd 44 3 2 21" xfId="37916"/>
    <cellStyle name="asd 44 3 2 22" xfId="39512"/>
    <cellStyle name="asd 44 3 2 23" xfId="41186"/>
    <cellStyle name="asd 44 3 2 24" xfId="43274"/>
    <cellStyle name="asd 44 3 2 3" xfId="5160"/>
    <cellStyle name="asd 44 3 2 4" xfId="6610"/>
    <cellStyle name="asd 44 3 2 5" xfId="8061"/>
    <cellStyle name="asd 44 3 2 6" xfId="9971"/>
    <cellStyle name="asd 44 3 2 7" xfId="12533"/>
    <cellStyle name="asd 44 3 2 8" xfId="13981"/>
    <cellStyle name="asd 44 3 2 9" xfId="15882"/>
    <cellStyle name="asd 44 3 20" xfId="32404"/>
    <cellStyle name="asd 44 3 21" xfId="34541"/>
    <cellStyle name="asd 44 3 22" xfId="35477"/>
    <cellStyle name="asd 44 3 23" xfId="37355"/>
    <cellStyle name="asd 44 3 24" xfId="39621"/>
    <cellStyle name="asd 44 3 25" xfId="41295"/>
    <cellStyle name="asd 44 3 26" xfId="43805"/>
    <cellStyle name="asd 44 3 3" xfId="2731"/>
    <cellStyle name="asd 44 3 3 10" xfId="19100"/>
    <cellStyle name="asd 44 3 3 11" xfId="21012"/>
    <cellStyle name="asd 44 3 3 12" xfId="23438"/>
    <cellStyle name="asd 44 3 3 13" xfId="24814"/>
    <cellStyle name="asd 44 3 3 14" xfId="27587"/>
    <cellStyle name="asd 44 3 3 15" xfId="28952"/>
    <cellStyle name="asd 44 3 3 16" xfId="31166"/>
    <cellStyle name="asd 44 3 3 17" xfId="32541"/>
    <cellStyle name="asd 44 3 3 18" xfId="34642"/>
    <cellStyle name="asd 44 3 3 19" xfId="35641"/>
    <cellStyle name="asd 44 3 3 2" xfId="4538"/>
    <cellStyle name="asd 44 3 3 2 10" xfId="20783"/>
    <cellStyle name="asd 44 3 3 2 11" xfId="23700"/>
    <cellStyle name="asd 44 3 3 2 12" xfId="24585"/>
    <cellStyle name="asd 44 3 3 2 13" xfId="26603"/>
    <cellStyle name="asd 44 3 3 2 14" xfId="2415"/>
    <cellStyle name="asd 44 3 3 2 15" xfId="30205"/>
    <cellStyle name="asd 44 3 3 2 16" xfId="31074"/>
    <cellStyle name="asd 44 3 3 2 17" xfId="33340"/>
    <cellStyle name="asd 44 3 3 2 18" xfId="35413"/>
    <cellStyle name="asd 44 3 3 2 19" xfId="37291"/>
    <cellStyle name="asd 44 3 3 2 2" xfId="5301"/>
    <cellStyle name="asd 44 3 3 2 20" xfId="33366"/>
    <cellStyle name="asd 44 3 3 2 21" xfId="39784"/>
    <cellStyle name="asd 44 3 3 2 22" xfId="43457"/>
    <cellStyle name="asd 44 3 3 2 3" xfId="6636"/>
    <cellStyle name="asd 44 3 3 2 4" xfId="9345"/>
    <cellStyle name="asd 44 3 3 2 5" xfId="11376"/>
    <cellStyle name="asd 44 3 3 2 6" xfId="14170"/>
    <cellStyle name="asd 44 3 3 2 7" xfId="16074"/>
    <cellStyle name="asd 44 3 3 2 8" xfId="16964"/>
    <cellStyle name="asd 44 3 3 2 9" xfId="18871"/>
    <cellStyle name="asd 44 3 3 20" xfId="37520"/>
    <cellStyle name="asd 44 3 3 21" xfId="39754"/>
    <cellStyle name="asd 44 3 3 22" xfId="41426"/>
    <cellStyle name="asd 44 3 3 23" xfId="43205"/>
    <cellStyle name="asd 44 3 3 3" xfId="4765"/>
    <cellStyle name="asd 44 3 3 4" xfId="7665"/>
    <cellStyle name="asd 44 3 3 5" xfId="9575"/>
    <cellStyle name="asd 44 3 3 6" xfId="12362"/>
    <cellStyle name="asd 44 3 3 7" xfId="13910"/>
    <cellStyle name="asd 44 3 3 8" xfId="15811"/>
    <cellStyle name="asd 44 3 3 9" xfId="17194"/>
    <cellStyle name="asd 44 3 4" xfId="4151"/>
    <cellStyle name="asd 44 3 4 10" xfId="19786"/>
    <cellStyle name="asd 44 3 4 11" xfId="21698"/>
    <cellStyle name="asd 44 3 4 12" xfId="23015"/>
    <cellStyle name="asd 44 3 4 13" xfId="25500"/>
    <cellStyle name="asd 44 3 4 14" xfId="26698"/>
    <cellStyle name="asd 44 3 4 15" xfId="29139"/>
    <cellStyle name="asd 44 3 4 16" xfId="30298"/>
    <cellStyle name="asd 44 3 4 17" xfId="32489"/>
    <cellStyle name="asd 44 3 4 18" xfId="33635"/>
    <cellStyle name="asd 44 3 4 19" xfId="36327"/>
    <cellStyle name="asd 44 3 4 2" xfId="6056"/>
    <cellStyle name="asd 44 3 4 2 10" xfId="22306"/>
    <cellStyle name="asd 44 3 4 2 11" xfId="3960"/>
    <cellStyle name="asd 44 3 4 2 12" xfId="26108"/>
    <cellStyle name="asd 44 3 4 2 13" xfId="10913"/>
    <cellStyle name="asd 44 3 4 2 14" xfId="29039"/>
    <cellStyle name="asd 44 3 4 2 15" xfId="27331"/>
    <cellStyle name="asd 44 3 4 2 16" xfId="31756"/>
    <cellStyle name="asd 44 3 4 2 17" xfId="34587"/>
    <cellStyle name="asd 44 3 4 2 18" xfId="36935"/>
    <cellStyle name="asd 44 3 4 2 19" xfId="38814"/>
    <cellStyle name="asd 44 3 4 2 2" xfId="7505"/>
    <cellStyle name="asd 44 3 4 2 20" xfId="38996"/>
    <cellStyle name="asd 44 3 4 2 21" xfId="40679"/>
    <cellStyle name="asd 44 3 4 2 22" xfId="41578"/>
    <cellStyle name="asd 44 3 4 2 3" xfId="8959"/>
    <cellStyle name="asd 44 3 4 2 4" xfId="10869"/>
    <cellStyle name="asd 44 3 4 2 5" xfId="2238"/>
    <cellStyle name="asd 44 3 4 2 6" xfId="11285"/>
    <cellStyle name="asd 44 3 4 2 7" xfId="12998"/>
    <cellStyle name="asd 44 3 4 2 8" xfId="18488"/>
    <cellStyle name="asd 44 3 4 2 9" xfId="20394"/>
    <cellStyle name="asd 44 3 4 20" xfId="38206"/>
    <cellStyle name="asd 44 3 4 21" xfId="39704"/>
    <cellStyle name="asd 44 3 4 22" xfId="41376"/>
    <cellStyle name="asd 44 3 4 23" xfId="42798"/>
    <cellStyle name="asd 44 3 4 3" xfId="6897"/>
    <cellStyle name="asd 44 3 4 4" xfId="8351"/>
    <cellStyle name="asd 44 3 4 5" xfId="10261"/>
    <cellStyle name="asd 44 3 4 6" xfId="11094"/>
    <cellStyle name="asd 44 3 4 7" xfId="13485"/>
    <cellStyle name="asd 44 3 4 8" xfId="15389"/>
    <cellStyle name="asd 44 3 4 9" xfId="17880"/>
    <cellStyle name="asd 44 3 5" xfId="4991"/>
    <cellStyle name="asd 44 3 5 10" xfId="21239"/>
    <cellStyle name="asd 44 3 5 11" xfId="23684"/>
    <cellStyle name="asd 44 3 5 12" xfId="25041"/>
    <cellStyle name="asd 44 3 5 13" xfId="26356"/>
    <cellStyle name="asd 44 3 5 14" xfId="28236"/>
    <cellStyle name="asd 44 3 5 15" xfId="29964"/>
    <cellStyle name="asd 44 3 5 16" xfId="32197"/>
    <cellStyle name="asd 44 3 5 17" xfId="33477"/>
    <cellStyle name="asd 44 3 5 18" xfId="35868"/>
    <cellStyle name="asd 44 3 5 19" xfId="37747"/>
    <cellStyle name="asd 44 3 5 2" xfId="6441"/>
    <cellStyle name="asd 44 3 5 20" xfId="39419"/>
    <cellStyle name="asd 44 3 5 21" xfId="41095"/>
    <cellStyle name="asd 44 3 5 22" xfId="43441"/>
    <cellStyle name="asd 44 3 5 3" xfId="7892"/>
    <cellStyle name="asd 44 3 5 4" xfId="9802"/>
    <cellStyle name="asd 44 3 5 5" xfId="11497"/>
    <cellStyle name="asd 44 3 5 6" xfId="14154"/>
    <cellStyle name="asd 44 3 5 7" xfId="16058"/>
    <cellStyle name="asd 44 3 5 8" xfId="17421"/>
    <cellStyle name="asd 44 3 5 9" xfId="19327"/>
    <cellStyle name="asd 44 3 6" xfId="4238"/>
    <cellStyle name="asd 44 3 6 10" xfId="20579"/>
    <cellStyle name="asd 44 3 6 11" xfId="22962"/>
    <cellStyle name="asd 44 3 6 12" xfId="24381"/>
    <cellStyle name="asd 44 3 6 13" xfId="26546"/>
    <cellStyle name="asd 44 3 6 14" xfId="28089"/>
    <cellStyle name="asd 44 3 6 15" xfId="30151"/>
    <cellStyle name="asd 44 3 6 16" xfId="33198"/>
    <cellStyle name="asd 44 3 6 17" xfId="34686"/>
    <cellStyle name="asd 44 3 6 18" xfId="35209"/>
    <cellStyle name="asd 44 3 6 19" xfId="37087"/>
    <cellStyle name="asd 44 3 6 2" xfId="5363"/>
    <cellStyle name="asd 44 3 6 20" xfId="40388"/>
    <cellStyle name="asd 44 3 6 21" xfId="42044"/>
    <cellStyle name="asd 44 3 6 22" xfId="42748"/>
    <cellStyle name="asd 44 3 6 3" xfId="6655"/>
    <cellStyle name="asd 44 3 6 4" xfId="9141"/>
    <cellStyle name="asd 44 3 6 5" xfId="11027"/>
    <cellStyle name="asd 44 3 6 6" xfId="13431"/>
    <cellStyle name="asd 44 3 6 7" xfId="15336"/>
    <cellStyle name="asd 44 3 6 8" xfId="16760"/>
    <cellStyle name="asd 44 3 6 9" xfId="18667"/>
    <cellStyle name="asd 44 3 7" xfId="2896"/>
    <cellStyle name="asd 44 3 8" xfId="9409"/>
    <cellStyle name="asd 44 3 9" xfId="12020"/>
    <cellStyle name="asd 44 4" xfId="3364"/>
    <cellStyle name="asd 44 4 10" xfId="3976"/>
    <cellStyle name="asd 44 4 11" xfId="16660"/>
    <cellStyle name="asd 44 4 12" xfId="18567"/>
    <cellStyle name="asd 44 4 13" xfId="20479"/>
    <cellStyle name="asd 44 4 14" xfId="2991"/>
    <cellStyle name="asd 44 4 15" xfId="24281"/>
    <cellStyle name="asd 44 4 16" xfId="12814"/>
    <cellStyle name="asd 44 4 17" xfId="29230"/>
    <cellStyle name="asd 44 4 18" xfId="1980"/>
    <cellStyle name="asd 44 4 19" xfId="28998"/>
    <cellStyle name="asd 44 4 2" xfId="3544"/>
    <cellStyle name="asd 44 4 2 10" xfId="17435"/>
    <cellStyle name="asd 44 4 2 11" xfId="19341"/>
    <cellStyle name="asd 44 4 2 12" xfId="21253"/>
    <cellStyle name="asd 44 4 2 13" xfId="22618"/>
    <cellStyle name="asd 44 4 2 14" xfId="25055"/>
    <cellStyle name="asd 44 4 2 15" xfId="26775"/>
    <cellStyle name="asd 44 4 2 16" xfId="28502"/>
    <cellStyle name="asd 44 4 2 17" xfId="30374"/>
    <cellStyle name="asd 44 4 2 18" xfId="32679"/>
    <cellStyle name="asd 44 4 2 19" xfId="33557"/>
    <cellStyle name="asd 44 4 2 2" xfId="5543"/>
    <cellStyle name="asd 44 4 2 2 10" xfId="21793"/>
    <cellStyle name="asd 44 4 2 2 11" xfId="23242"/>
    <cellStyle name="asd 44 4 2 2 12" xfId="25595"/>
    <cellStyle name="asd 44 4 2 2 13" xfId="27363"/>
    <cellStyle name="asd 44 4 2 2 14" xfId="28919"/>
    <cellStyle name="asd 44 4 2 2 15" xfId="30950"/>
    <cellStyle name="asd 44 4 2 2 16" xfId="32929"/>
    <cellStyle name="asd 44 4 2 2 17" xfId="34069"/>
    <cellStyle name="asd 44 4 2 2 18" xfId="36422"/>
    <cellStyle name="asd 44 4 2 2 19" xfId="38301"/>
    <cellStyle name="asd 44 4 2 2 2" xfId="6992"/>
    <cellStyle name="asd 44 4 2 2 20" xfId="40133"/>
    <cellStyle name="asd 44 4 2 2 21" xfId="41792"/>
    <cellStyle name="asd 44 4 2 2 22" xfId="43019"/>
    <cellStyle name="asd 44 4 2 2 3" xfId="8446"/>
    <cellStyle name="asd 44 4 2 2 4" xfId="10356"/>
    <cellStyle name="asd 44 4 2 2 5" xfId="11135"/>
    <cellStyle name="asd 44 4 2 2 6" xfId="13714"/>
    <cellStyle name="asd 44 4 2 2 7" xfId="15616"/>
    <cellStyle name="asd 44 4 2 2 8" xfId="17975"/>
    <cellStyle name="asd 44 4 2 2 9" xfId="19881"/>
    <cellStyle name="asd 44 4 2 20" xfId="35882"/>
    <cellStyle name="asd 44 4 2 21" xfId="37761"/>
    <cellStyle name="asd 44 4 2 22" xfId="39887"/>
    <cellStyle name="asd 44 4 2 23" xfId="41556"/>
    <cellStyle name="asd 44 4 2 24" xfId="42424"/>
    <cellStyle name="asd 44 4 2 3" xfId="5005"/>
    <cellStyle name="asd 44 4 2 4" xfId="6455"/>
    <cellStyle name="asd 44 4 2 5" xfId="7906"/>
    <cellStyle name="asd 44 4 2 6" xfId="9816"/>
    <cellStyle name="asd 44 4 2 7" xfId="11488"/>
    <cellStyle name="asd 44 4 2 8" xfId="13085"/>
    <cellStyle name="asd 44 4 2 9" xfId="14990"/>
    <cellStyle name="asd 44 4 20" xfId="3719"/>
    <cellStyle name="asd 44 4 21" xfId="35109"/>
    <cellStyle name="asd 44 4 22" xfId="36987"/>
    <cellStyle name="asd 44 4 23" xfId="2339"/>
    <cellStyle name="asd 44 4 24" xfId="31572"/>
    <cellStyle name="asd 44 4 25" xfId="41343"/>
    <cellStyle name="asd 44 4 3" xfId="3905"/>
    <cellStyle name="asd 44 4 3 10" xfId="19608"/>
    <cellStyle name="asd 44 4 3 11" xfId="21520"/>
    <cellStyle name="asd 44 4 3 12" xfId="23259"/>
    <cellStyle name="asd 44 4 3 13" xfId="25322"/>
    <cellStyle name="asd 44 4 3 14" xfId="27967"/>
    <cellStyle name="asd 44 4 3 15" xfId="2002"/>
    <cellStyle name="asd 44 4 3 16" xfId="31547"/>
    <cellStyle name="asd 44 4 3 17" xfId="23971"/>
    <cellStyle name="asd 44 4 3 18" xfId="5358"/>
    <cellStyle name="asd 44 4 3 19" xfId="36149"/>
    <cellStyle name="asd 44 4 3 2" xfId="5878"/>
    <cellStyle name="asd 44 4 3 2 10" xfId="22128"/>
    <cellStyle name="asd 44 4 3 2 11" xfId="23818"/>
    <cellStyle name="asd 44 4 3 2 12" xfId="25930"/>
    <cellStyle name="asd 44 4 3 2 13" xfId="26907"/>
    <cellStyle name="asd 44 4 3 2 14" xfId="29157"/>
    <cellStyle name="asd 44 4 3 2 15" xfId="30503"/>
    <cellStyle name="asd 44 4 3 2 16" xfId="32539"/>
    <cellStyle name="asd 44 4 3 2 17" xfId="34205"/>
    <cellStyle name="asd 44 4 3 2 18" xfId="36757"/>
    <cellStyle name="asd 44 4 3 2 19" xfId="38636"/>
    <cellStyle name="asd 44 4 3 2 2" xfId="7327"/>
    <cellStyle name="asd 44 4 3 2 20" xfId="39752"/>
    <cellStyle name="asd 44 4 3 2 21" xfId="41424"/>
    <cellStyle name="asd 44 4 3 2 22" xfId="43569"/>
    <cellStyle name="asd 44 4 3 2 3" xfId="8781"/>
    <cellStyle name="asd 44 4 3 2 4" xfId="10691"/>
    <cellStyle name="asd 44 4 3 2 5" xfId="11542"/>
    <cellStyle name="asd 44 4 3 2 6" xfId="14288"/>
    <cellStyle name="asd 44 4 3 2 7" xfId="16192"/>
    <cellStyle name="asd 44 4 3 2 8" xfId="18310"/>
    <cellStyle name="asd 44 4 3 2 9" xfId="20216"/>
    <cellStyle name="asd 44 4 3 20" xfId="38028"/>
    <cellStyle name="asd 44 4 3 21" xfId="31537"/>
    <cellStyle name="asd 44 4 3 22" xfId="26819"/>
    <cellStyle name="asd 44 4 3 23" xfId="43035"/>
    <cellStyle name="asd 44 4 3 3" xfId="5272"/>
    <cellStyle name="asd 44 4 3 4" xfId="8173"/>
    <cellStyle name="asd 44 4 3 5" xfId="10083"/>
    <cellStyle name="asd 44 4 3 6" xfId="11180"/>
    <cellStyle name="asd 44 4 3 7" xfId="13731"/>
    <cellStyle name="asd 44 4 3 8" xfId="15633"/>
    <cellStyle name="asd 44 4 3 9" xfId="17702"/>
    <cellStyle name="asd 44 4 4" xfId="3996"/>
    <cellStyle name="asd 44 4 4 10" xfId="19631"/>
    <cellStyle name="asd 44 4 4 11" xfId="21543"/>
    <cellStyle name="asd 44 4 4 12" xfId="23054"/>
    <cellStyle name="asd 44 4 4 13" xfId="25345"/>
    <cellStyle name="asd 44 4 4 14" xfId="27270"/>
    <cellStyle name="asd 44 4 4 15" xfId="29058"/>
    <cellStyle name="asd 44 4 4 16" xfId="30862"/>
    <cellStyle name="asd 44 4 4 17" xfId="33151"/>
    <cellStyle name="asd 44 4 4 18" xfId="33543"/>
    <cellStyle name="asd 44 4 4 19" xfId="36172"/>
    <cellStyle name="asd 44 4 4 2" xfId="5901"/>
    <cellStyle name="asd 44 4 4 2 10" xfId="22151"/>
    <cellStyle name="asd 44 4 4 2 11" xfId="24160"/>
    <cellStyle name="asd 44 4 4 2 12" xfId="25953"/>
    <cellStyle name="asd 44 4 4 2 13" xfId="27879"/>
    <cellStyle name="asd 44 4 4 2 14" xfId="3135"/>
    <cellStyle name="asd 44 4 4 2 15" xfId="31460"/>
    <cellStyle name="asd 44 4 4 2 16" xfId="32660"/>
    <cellStyle name="asd 44 4 4 2 17" xfId="34461"/>
    <cellStyle name="asd 44 4 4 2 18" xfId="36780"/>
    <cellStyle name="asd 44 4 4 2 19" xfId="38659"/>
    <cellStyle name="asd 44 4 4 2 2" xfId="7350"/>
    <cellStyle name="asd 44 4 4 2 20" xfId="39867"/>
    <cellStyle name="asd 44 4 4 2 21" xfId="41536"/>
    <cellStyle name="asd 44 4 4 2 22" xfId="43902"/>
    <cellStyle name="asd 44 4 4 2 3" xfId="8804"/>
    <cellStyle name="asd 44 4 4 2 4" xfId="10714"/>
    <cellStyle name="asd 44 4 4 2 5" xfId="12120"/>
    <cellStyle name="asd 44 4 4 2 6" xfId="14631"/>
    <cellStyle name="asd 44 4 4 2 7" xfId="16537"/>
    <cellStyle name="asd 44 4 4 2 8" xfId="18333"/>
    <cellStyle name="asd 44 4 4 2 9" xfId="20239"/>
    <cellStyle name="asd 44 4 4 20" xfId="38051"/>
    <cellStyle name="asd 44 4 4 21" xfId="40344"/>
    <cellStyle name="asd 44 4 4 22" xfId="42000"/>
    <cellStyle name="asd 44 4 4 23" xfId="42837"/>
    <cellStyle name="asd 44 4 4 3" xfId="6742"/>
    <cellStyle name="asd 44 4 4 4" xfId="8196"/>
    <cellStyle name="asd 44 4 4 5" xfId="10106"/>
    <cellStyle name="asd 44 4 4 6" xfId="11750"/>
    <cellStyle name="asd 44 4 4 7" xfId="13525"/>
    <cellStyle name="asd 44 4 4 8" xfId="15428"/>
    <cellStyle name="asd 44 4 4 9" xfId="17725"/>
    <cellStyle name="asd 44 4 5" xfId="5617"/>
    <cellStyle name="asd 44 4 5 10" xfId="21867"/>
    <cellStyle name="asd 44 4 5 11" xfId="22903"/>
    <cellStyle name="asd 44 4 5 12" xfId="25669"/>
    <cellStyle name="asd 44 4 5 13" xfId="26647"/>
    <cellStyle name="asd 44 4 5 14" xfId="28311"/>
    <cellStyle name="asd 44 4 5 15" xfId="30249"/>
    <cellStyle name="asd 44 4 5 16" xfId="32358"/>
    <cellStyle name="asd 44 4 5 17" xfId="34770"/>
    <cellStyle name="asd 44 4 5 18" xfId="36496"/>
    <cellStyle name="asd 44 4 5 19" xfId="38375"/>
    <cellStyle name="asd 44 4 5 2" xfId="7066"/>
    <cellStyle name="asd 44 4 5 20" xfId="39577"/>
    <cellStyle name="asd 44 4 5 21" xfId="41251"/>
    <cellStyle name="asd 44 4 5 22" xfId="42689"/>
    <cellStyle name="asd 44 4 5 3" xfId="8520"/>
    <cellStyle name="asd 44 4 5 4" xfId="10430"/>
    <cellStyle name="asd 44 4 5 5" xfId="11048"/>
    <cellStyle name="asd 44 4 5 6" xfId="13371"/>
    <cellStyle name="asd 44 4 5 7" xfId="15276"/>
    <cellStyle name="asd 44 4 5 8" xfId="18049"/>
    <cellStyle name="asd 44 4 5 9" xfId="19955"/>
    <cellStyle name="asd 44 4 6" xfId="6696"/>
    <cellStyle name="asd 44 4 7" xfId="9041"/>
    <cellStyle name="asd 44 4 8" xfId="1787"/>
    <cellStyle name="asd 44 4 9" xfId="10912"/>
    <cellStyle name="asd 44 5" xfId="3155"/>
    <cellStyle name="asd 44 5 10" xfId="17261"/>
    <cellStyle name="asd 44 5 11" xfId="19167"/>
    <cellStyle name="asd 44 5 12" xfId="21079"/>
    <cellStyle name="asd 44 5 13" xfId="24031"/>
    <cellStyle name="asd 44 5 14" xfId="24881"/>
    <cellStyle name="asd 44 5 15" xfId="27777"/>
    <cellStyle name="asd 44 5 16" xfId="28231"/>
    <cellStyle name="asd 44 5 17" xfId="31354"/>
    <cellStyle name="asd 44 5 18" xfId="32185"/>
    <cellStyle name="asd 44 5 19" xfId="34632"/>
    <cellStyle name="asd 44 5 2" xfId="4269"/>
    <cellStyle name="asd 44 5 2 10" xfId="20532"/>
    <cellStyle name="asd 44 5 2 11" xfId="22700"/>
    <cellStyle name="asd 44 5 2 12" xfId="24334"/>
    <cellStyle name="asd 44 5 2 13" xfId="27613"/>
    <cellStyle name="asd 44 5 2 14" xfId="28424"/>
    <cellStyle name="asd 44 5 2 15" xfId="31191"/>
    <cellStyle name="asd 44 5 2 16" xfId="32199"/>
    <cellStyle name="asd 44 5 2 17" xfId="35025"/>
    <cellStyle name="asd 44 5 2 18" xfId="35162"/>
    <cellStyle name="asd 44 5 2 19" xfId="37040"/>
    <cellStyle name="asd 44 5 2 2" xfId="4424"/>
    <cellStyle name="asd 44 5 2 20" xfId="39421"/>
    <cellStyle name="asd 44 5 2 21" xfId="41097"/>
    <cellStyle name="asd 44 5 2 22" xfId="42501"/>
    <cellStyle name="asd 44 5 2 3" xfId="4394"/>
    <cellStyle name="asd 44 5 2 4" xfId="9094"/>
    <cellStyle name="asd 44 5 2 5" xfId="10927"/>
    <cellStyle name="asd 44 5 2 6" xfId="13168"/>
    <cellStyle name="asd 44 5 2 7" xfId="15072"/>
    <cellStyle name="asd 44 5 2 8" xfId="16713"/>
    <cellStyle name="asd 44 5 2 9" xfId="18620"/>
    <cellStyle name="asd 44 5 20" xfId="35708"/>
    <cellStyle name="asd 44 5 21" xfId="37587"/>
    <cellStyle name="asd 44 5 22" xfId="39407"/>
    <cellStyle name="asd 44 5 23" xfId="41083"/>
    <cellStyle name="asd 44 5 24" xfId="43775"/>
    <cellStyle name="asd 44 5 3" xfId="4831"/>
    <cellStyle name="asd 44 5 4" xfId="6281"/>
    <cellStyle name="asd 44 5 5" xfId="7732"/>
    <cellStyle name="asd 44 5 6" xfId="9642"/>
    <cellStyle name="asd 44 5 7" xfId="11990"/>
    <cellStyle name="asd 44 5 8" xfId="14501"/>
    <cellStyle name="asd 44 5 9" xfId="16407"/>
    <cellStyle name="asd 44 6" xfId="3101"/>
    <cellStyle name="asd 44 6 10" xfId="19155"/>
    <cellStyle name="asd 44 6 11" xfId="21067"/>
    <cellStyle name="asd 44 6 12" xfId="23239"/>
    <cellStyle name="asd 44 6 13" xfId="24869"/>
    <cellStyle name="asd 44 6 14" xfId="26735"/>
    <cellStyle name="asd 44 6 15" xfId="3068"/>
    <cellStyle name="asd 44 6 16" xfId="30335"/>
    <cellStyle name="asd 44 6 17" xfId="32104"/>
    <cellStyle name="asd 44 6 18" xfId="34809"/>
    <cellStyle name="asd 44 6 19" xfId="35696"/>
    <cellStyle name="asd 44 6 2" xfId="5665"/>
    <cellStyle name="asd 44 6 2 10" xfId="21915"/>
    <cellStyle name="asd 44 6 2 11" xfId="22578"/>
    <cellStyle name="asd 44 6 2 12" xfId="25717"/>
    <cellStyle name="asd 44 6 2 13" xfId="27477"/>
    <cellStyle name="asd 44 6 2 14" xfId="2883"/>
    <cellStyle name="asd 44 6 2 15" xfId="31064"/>
    <cellStyle name="asd 44 6 2 16" xfId="29704"/>
    <cellStyle name="asd 44 6 2 17" xfId="33365"/>
    <cellStyle name="asd 44 6 2 18" xfId="36544"/>
    <cellStyle name="asd 44 6 2 19" xfId="38423"/>
    <cellStyle name="asd 44 6 2 2" xfId="7114"/>
    <cellStyle name="asd 44 6 2 20" xfId="3033"/>
    <cellStyle name="asd 44 6 2 21" xfId="33980"/>
    <cellStyle name="asd 44 6 2 22" xfId="42387"/>
    <cellStyle name="asd 44 6 2 3" xfId="8568"/>
    <cellStyle name="asd 44 6 2 4" xfId="10478"/>
    <cellStyle name="asd 44 6 2 5" xfId="11776"/>
    <cellStyle name="asd 44 6 2 6" xfId="13046"/>
    <cellStyle name="asd 44 6 2 7" xfId="14950"/>
    <cellStyle name="asd 44 6 2 8" xfId="18097"/>
    <cellStyle name="asd 44 6 2 9" xfId="20003"/>
    <cellStyle name="asd 44 6 20" xfId="37575"/>
    <cellStyle name="asd 44 6 21" xfId="39328"/>
    <cellStyle name="asd 44 6 22" xfId="41004"/>
    <cellStyle name="asd 44 6 23" xfId="43016"/>
    <cellStyle name="asd 44 6 3" xfId="4819"/>
    <cellStyle name="asd 44 6 4" xfId="7720"/>
    <cellStyle name="asd 44 6 5" xfId="9630"/>
    <cellStyle name="asd 44 6 6" xfId="11130"/>
    <cellStyle name="asd 44 6 7" xfId="13711"/>
    <cellStyle name="asd 44 6 8" xfId="15613"/>
    <cellStyle name="asd 44 6 9" xfId="17249"/>
    <cellStyle name="asd 44 7" xfId="2530"/>
    <cellStyle name="asd 44 7 10" xfId="19077"/>
    <cellStyle name="asd 44 7 11" xfId="20989"/>
    <cellStyle name="asd 44 7 12" xfId="23923"/>
    <cellStyle name="asd 44 7 13" xfId="24791"/>
    <cellStyle name="asd 44 7 14" xfId="1928"/>
    <cellStyle name="asd 44 7 15" xfId="27640"/>
    <cellStyle name="asd 44 7 16" xfId="14391"/>
    <cellStyle name="asd 44 7 17" xfId="10916"/>
    <cellStyle name="asd 44 7 18" xfId="31282"/>
    <cellStyle name="asd 44 7 19" xfId="35618"/>
    <cellStyle name="asd 44 7 2" xfId="5636"/>
    <cellStyle name="asd 44 7 2 10" xfId="21886"/>
    <cellStyle name="asd 44 7 2 11" xfId="23059"/>
    <cellStyle name="asd 44 7 2 12" xfId="25688"/>
    <cellStyle name="asd 44 7 2 13" xfId="26276"/>
    <cellStyle name="asd 44 7 2 14" xfId="28638"/>
    <cellStyle name="asd 44 7 2 15" xfId="29885"/>
    <cellStyle name="asd 44 7 2 16" xfId="31948"/>
    <cellStyle name="asd 44 7 2 17" xfId="34956"/>
    <cellStyle name="asd 44 7 2 18" xfId="36515"/>
    <cellStyle name="asd 44 7 2 19" xfId="38394"/>
    <cellStyle name="asd 44 7 2 2" xfId="7085"/>
    <cellStyle name="asd 44 7 2 20" xfId="39178"/>
    <cellStyle name="asd 44 7 2 21" xfId="40859"/>
    <cellStyle name="asd 44 7 2 22" xfId="42842"/>
    <cellStyle name="asd 44 7 2 3" xfId="8539"/>
    <cellStyle name="asd 44 7 2 4" xfId="10449"/>
    <cellStyle name="asd 44 7 2 5" xfId="12662"/>
    <cellStyle name="asd 44 7 2 6" xfId="13530"/>
    <cellStyle name="asd 44 7 2 7" xfId="15433"/>
    <cellStyle name="asd 44 7 2 8" xfId="18068"/>
    <cellStyle name="asd 44 7 2 9" xfId="19974"/>
    <cellStyle name="asd 44 7 20" xfId="37497"/>
    <cellStyle name="asd 44 7 21" xfId="8970"/>
    <cellStyle name="asd 44 7 22" xfId="2120"/>
    <cellStyle name="asd 44 7 23" xfId="43669"/>
    <cellStyle name="asd 44 7 3" xfId="6191"/>
    <cellStyle name="asd 44 7 4" xfId="7642"/>
    <cellStyle name="asd 44 7 5" xfId="9552"/>
    <cellStyle name="asd 44 7 6" xfId="11882"/>
    <cellStyle name="asd 44 7 7" xfId="14392"/>
    <cellStyle name="asd 44 7 8" xfId="16298"/>
    <cellStyle name="asd 44 7 9" xfId="17171"/>
    <cellStyle name="asd 44 8" xfId="2831"/>
    <cellStyle name="asd 44 9" xfId="2146"/>
    <cellStyle name="asd 45" xfId="1020"/>
    <cellStyle name="asd 45 10" xfId="1979"/>
    <cellStyle name="asd 45 11" xfId="2506"/>
    <cellStyle name="asd 45 12" xfId="3315"/>
    <cellStyle name="asd 45 13" xfId="2545"/>
    <cellStyle name="asd 45 14" xfId="11862"/>
    <cellStyle name="asd 45 15" xfId="12674"/>
    <cellStyle name="asd 45 16" xfId="2643"/>
    <cellStyle name="asd 45 17" xfId="3329"/>
    <cellStyle name="asd 45 18" xfId="23898"/>
    <cellStyle name="asd 45 19" xfId="16590"/>
    <cellStyle name="asd 45 2" xfId="3455"/>
    <cellStyle name="asd 45 2 10" xfId="13907"/>
    <cellStyle name="asd 45 2 11" xfId="15808"/>
    <cellStyle name="asd 45 2 12" xfId="16849"/>
    <cellStyle name="asd 45 2 13" xfId="18756"/>
    <cellStyle name="asd 45 2 14" xfId="20668"/>
    <cellStyle name="asd 45 2 15" xfId="23435"/>
    <cellStyle name="asd 45 2 16" xfId="24470"/>
    <cellStyle name="asd 45 2 17" xfId="26640"/>
    <cellStyle name="asd 45 2 18" xfId="29573"/>
    <cellStyle name="asd 45 2 19" xfId="30243"/>
    <cellStyle name="asd 45 2 2" xfId="3635"/>
    <cellStyle name="asd 45 2 2 10" xfId="17526"/>
    <cellStyle name="asd 45 2 2 11" xfId="19432"/>
    <cellStyle name="asd 45 2 2 12" xfId="21344"/>
    <cellStyle name="asd 45 2 2 13" xfId="22816"/>
    <cellStyle name="asd 45 2 2 14" xfId="25146"/>
    <cellStyle name="asd 45 2 2 15" xfId="26559"/>
    <cellStyle name="asd 45 2 2 16" xfId="29567"/>
    <cellStyle name="asd 45 2 2 17" xfId="30163"/>
    <cellStyle name="asd 45 2 2 18" xfId="33019"/>
    <cellStyle name="asd 45 2 2 19" xfId="33388"/>
    <cellStyle name="asd 45 2 2 2" xfId="5563"/>
    <cellStyle name="asd 45 2 2 2 10" xfId="21813"/>
    <cellStyle name="asd 45 2 2 2 11" xfId="23471"/>
    <cellStyle name="asd 45 2 2 2 12" xfId="25615"/>
    <cellStyle name="asd 45 2 2 2 13" xfId="27638"/>
    <cellStyle name="asd 45 2 2 2 14" xfId="28785"/>
    <cellStyle name="asd 45 2 2 2 15" xfId="31215"/>
    <cellStyle name="asd 45 2 2 2 16" xfId="32018"/>
    <cellStyle name="asd 45 2 2 2 17" xfId="34586"/>
    <cellStyle name="asd 45 2 2 2 18" xfId="36442"/>
    <cellStyle name="asd 45 2 2 2 19" xfId="38321"/>
    <cellStyle name="asd 45 2 2 2 2" xfId="7012"/>
    <cellStyle name="asd 45 2 2 2 20" xfId="39248"/>
    <cellStyle name="asd 45 2 2 2 21" xfId="40925"/>
    <cellStyle name="asd 45 2 2 2 22" xfId="43238"/>
    <cellStyle name="asd 45 2 2 2 3" xfId="8466"/>
    <cellStyle name="asd 45 2 2 2 4" xfId="10376"/>
    <cellStyle name="asd 45 2 2 2 5" xfId="12516"/>
    <cellStyle name="asd 45 2 2 2 6" xfId="13943"/>
    <cellStyle name="asd 45 2 2 2 7" xfId="15844"/>
    <cellStyle name="asd 45 2 2 2 8" xfId="17995"/>
    <cellStyle name="asd 45 2 2 2 9" xfId="19901"/>
    <cellStyle name="asd 45 2 2 20" xfId="35973"/>
    <cellStyle name="asd 45 2 2 21" xfId="37852"/>
    <cellStyle name="asd 45 2 2 22" xfId="40219"/>
    <cellStyle name="asd 45 2 2 23" xfId="41878"/>
    <cellStyle name="asd 45 2 2 24" xfId="42609"/>
    <cellStyle name="asd 45 2 2 3" xfId="5096"/>
    <cellStyle name="asd 45 2 2 4" xfId="6546"/>
    <cellStyle name="asd 45 2 2 5" xfId="7997"/>
    <cellStyle name="asd 45 2 2 6" xfId="9907"/>
    <cellStyle name="asd 45 2 2 7" xfId="12456"/>
    <cellStyle name="asd 45 2 2 8" xfId="13286"/>
    <cellStyle name="asd 45 2 2 9" xfId="15190"/>
    <cellStyle name="asd 45 2 20" xfId="32213"/>
    <cellStyle name="asd 45 2 21" xfId="33553"/>
    <cellStyle name="asd 45 2 22" xfId="35298"/>
    <cellStyle name="asd 45 2 23" xfId="37176"/>
    <cellStyle name="asd 45 2 24" xfId="39433"/>
    <cellStyle name="asd 45 2 25" xfId="41109"/>
    <cellStyle name="asd 45 2 26" xfId="43202"/>
    <cellStyle name="asd 45 2 3" xfId="2968"/>
    <cellStyle name="asd 45 2 3 10" xfId="19133"/>
    <cellStyle name="asd 45 2 3 11" xfId="21045"/>
    <cellStyle name="asd 45 2 3 12" xfId="23443"/>
    <cellStyle name="asd 45 2 3 13" xfId="24847"/>
    <cellStyle name="asd 45 2 3 14" xfId="26849"/>
    <cellStyle name="asd 45 2 3 15" xfId="28143"/>
    <cellStyle name="asd 45 2 3 16" xfId="30446"/>
    <cellStyle name="asd 45 2 3 17" xfId="32661"/>
    <cellStyle name="asd 45 2 3 18" xfId="34891"/>
    <cellStyle name="asd 45 2 3 19" xfId="35674"/>
    <cellStyle name="asd 45 2 3 2" xfId="2455"/>
    <cellStyle name="asd 45 2 3 2 10" xfId="20618"/>
    <cellStyle name="asd 45 2 3 2 11" xfId="24002"/>
    <cellStyle name="asd 45 2 3 2 12" xfId="24420"/>
    <cellStyle name="asd 45 2 3 2 13" xfId="26211"/>
    <cellStyle name="asd 45 2 3 2 14" xfId="29190"/>
    <cellStyle name="asd 45 2 3 2 15" xfId="29823"/>
    <cellStyle name="asd 45 2 3 2 16" xfId="31740"/>
    <cellStyle name="asd 45 2 3 2 17" xfId="33718"/>
    <cellStyle name="asd 45 2 3 2 18" xfId="35248"/>
    <cellStyle name="asd 45 2 3 2 19" xfId="37126"/>
    <cellStyle name="asd 45 2 3 2 2" xfId="4512"/>
    <cellStyle name="asd 45 2 3 2 20" xfId="38981"/>
    <cellStyle name="asd 45 2 3 2 21" xfId="40664"/>
    <cellStyle name="asd 45 2 3 2 22" xfId="43746"/>
    <cellStyle name="asd 45 2 3 2 3" xfId="1903"/>
    <cellStyle name="asd 45 2 3 2 4" xfId="9180"/>
    <cellStyle name="asd 45 2 3 2 5" xfId="11961"/>
    <cellStyle name="asd 45 2 3 2 6" xfId="14472"/>
    <cellStyle name="asd 45 2 3 2 7" xfId="16378"/>
    <cellStyle name="asd 45 2 3 2 8" xfId="16799"/>
    <cellStyle name="asd 45 2 3 2 9" xfId="18706"/>
    <cellStyle name="asd 45 2 3 20" xfId="37553"/>
    <cellStyle name="asd 45 2 3 21" xfId="39868"/>
    <cellStyle name="asd 45 2 3 22" xfId="41537"/>
    <cellStyle name="asd 45 2 3 23" xfId="43210"/>
    <cellStyle name="asd 45 2 3 3" xfId="4797"/>
    <cellStyle name="asd 45 2 3 4" xfId="7698"/>
    <cellStyle name="asd 45 2 3 5" xfId="9608"/>
    <cellStyle name="asd 45 2 3 6" xfId="12587"/>
    <cellStyle name="asd 45 2 3 7" xfId="13915"/>
    <cellStyle name="asd 45 2 3 8" xfId="15816"/>
    <cellStyle name="asd 45 2 3 9" xfId="17227"/>
    <cellStyle name="asd 45 2 4" xfId="4087"/>
    <cellStyle name="asd 45 2 4 10" xfId="19722"/>
    <cellStyle name="asd 45 2 4 11" xfId="21634"/>
    <cellStyle name="asd 45 2 4 12" xfId="22844"/>
    <cellStyle name="asd 45 2 4 13" xfId="25436"/>
    <cellStyle name="asd 45 2 4 14" xfId="26536"/>
    <cellStyle name="asd 45 2 4 15" xfId="29035"/>
    <cellStyle name="asd 45 2 4 16" xfId="30142"/>
    <cellStyle name="asd 45 2 4 17" xfId="32443"/>
    <cellStyle name="asd 45 2 4 18" xfId="34783"/>
    <cellStyle name="asd 45 2 4 19" xfId="36263"/>
    <cellStyle name="asd 45 2 4 2" xfId="5992"/>
    <cellStyle name="asd 45 2 4 2 10" xfId="22242"/>
    <cellStyle name="asd 45 2 4 2 11" xfId="23474"/>
    <cellStyle name="asd 45 2 4 2 12" xfId="26044"/>
    <cellStyle name="asd 45 2 4 2 13" xfId="27804"/>
    <cellStyle name="asd 45 2 4 2 14" xfId="28625"/>
    <cellStyle name="asd 45 2 4 2 15" xfId="31381"/>
    <cellStyle name="asd 45 2 4 2 16" xfId="32920"/>
    <cellStyle name="asd 45 2 4 2 17" xfId="33491"/>
    <cellStyle name="asd 45 2 4 2 18" xfId="36871"/>
    <cellStyle name="asd 45 2 4 2 19" xfId="38750"/>
    <cellStyle name="asd 45 2 4 2 2" xfId="7441"/>
    <cellStyle name="asd 45 2 4 2 20" xfId="40124"/>
    <cellStyle name="asd 45 2 4 2 21" xfId="41784"/>
    <cellStyle name="asd 45 2 4 2 22" xfId="43241"/>
    <cellStyle name="asd 45 2 4 2 3" xfId="8895"/>
    <cellStyle name="asd 45 2 4 2 4" xfId="10805"/>
    <cellStyle name="asd 45 2 4 2 5" xfId="12172"/>
    <cellStyle name="asd 45 2 4 2 6" xfId="13946"/>
    <cellStyle name="asd 45 2 4 2 7" xfId="15847"/>
    <cellStyle name="asd 45 2 4 2 8" xfId="18424"/>
    <cellStyle name="asd 45 2 4 2 9" xfId="20330"/>
    <cellStyle name="asd 45 2 4 20" xfId="38142"/>
    <cellStyle name="asd 45 2 4 21" xfId="39660"/>
    <cellStyle name="asd 45 2 4 22" xfId="41334"/>
    <cellStyle name="asd 45 2 4 23" xfId="42635"/>
    <cellStyle name="asd 45 2 4 3" xfId="6833"/>
    <cellStyle name="asd 45 2 4 4" xfId="8287"/>
    <cellStyle name="asd 45 2 4 5" xfId="10197"/>
    <cellStyle name="asd 45 2 4 6" xfId="12343"/>
    <cellStyle name="asd 45 2 4 7" xfId="13313"/>
    <cellStyle name="asd 45 2 4 8" xfId="15217"/>
    <cellStyle name="asd 45 2 4 9" xfId="17816"/>
    <cellStyle name="asd 45 2 5" xfId="4941"/>
    <cellStyle name="asd 45 2 5 10" xfId="21189"/>
    <cellStyle name="asd 45 2 5 11" xfId="23754"/>
    <cellStyle name="asd 45 2 5 12" xfId="24991"/>
    <cellStyle name="asd 45 2 5 13" xfId="27263"/>
    <cellStyle name="asd 45 2 5 14" xfId="28046"/>
    <cellStyle name="asd 45 2 5 15" xfId="30854"/>
    <cellStyle name="asd 45 2 5 16" xfId="32603"/>
    <cellStyle name="asd 45 2 5 17" xfId="34591"/>
    <cellStyle name="asd 45 2 5 18" xfId="35818"/>
    <cellStyle name="asd 45 2 5 19" xfId="37697"/>
    <cellStyle name="asd 45 2 5 2" xfId="6391"/>
    <cellStyle name="asd 45 2 5 20" xfId="39813"/>
    <cellStyle name="asd 45 2 5 21" xfId="41482"/>
    <cellStyle name="asd 45 2 5 22" xfId="43507"/>
    <cellStyle name="asd 45 2 5 3" xfId="7842"/>
    <cellStyle name="asd 45 2 5 4" xfId="9752"/>
    <cellStyle name="asd 45 2 5 5" xfId="11843"/>
    <cellStyle name="asd 45 2 5 6" xfId="14224"/>
    <cellStyle name="asd 45 2 5 7" xfId="16128"/>
    <cellStyle name="asd 45 2 5 8" xfId="17371"/>
    <cellStyle name="asd 45 2 5 9" xfId="19277"/>
    <cellStyle name="asd 45 2 6" xfId="5600"/>
    <cellStyle name="asd 45 2 6 10" xfId="21850"/>
    <cellStyle name="asd 45 2 6 11" xfId="23178"/>
    <cellStyle name="asd 45 2 6 12" xfId="25652"/>
    <cellStyle name="asd 45 2 6 13" xfId="26570"/>
    <cellStyle name="asd 45 2 6 14" xfId="28144"/>
    <cellStyle name="asd 45 2 6 15" xfId="30172"/>
    <cellStyle name="asd 45 2 6 16" xfId="31763"/>
    <cellStyle name="asd 45 2 6 17" xfId="34168"/>
    <cellStyle name="asd 45 2 6 18" xfId="36479"/>
    <cellStyle name="asd 45 2 6 19" xfId="38358"/>
    <cellStyle name="asd 45 2 6 2" xfId="7049"/>
    <cellStyle name="asd 45 2 6 20" xfId="39003"/>
    <cellStyle name="asd 45 2 6 21" xfId="40686"/>
    <cellStyle name="asd 45 2 6 22" xfId="42956"/>
    <cellStyle name="asd 45 2 6 3" xfId="8503"/>
    <cellStyle name="asd 45 2 6 4" xfId="10413"/>
    <cellStyle name="asd 45 2 6 5" xfId="11006"/>
    <cellStyle name="asd 45 2 6 6" xfId="13649"/>
    <cellStyle name="asd 45 2 6 7" xfId="15552"/>
    <cellStyle name="asd 45 2 6 8" xfId="18032"/>
    <cellStyle name="asd 45 2 6 9" xfId="19938"/>
    <cellStyle name="asd 45 2 7" xfId="4639"/>
    <cellStyle name="asd 45 2 8" xfId="9230"/>
    <cellStyle name="asd 45 2 9" xfId="12535"/>
    <cellStyle name="asd 45 20" xfId="2589"/>
    <cellStyle name="asd 45 21" xfId="18502"/>
    <cellStyle name="asd 45 22" xfId="5446"/>
    <cellStyle name="asd 45 23" xfId="27940"/>
    <cellStyle name="asd 45 24" xfId="34301"/>
    <cellStyle name="asd 45 25" xfId="29164"/>
    <cellStyle name="asd 45 26" xfId="32388"/>
    <cellStyle name="asd 45 27" xfId="38828"/>
    <cellStyle name="asd 45 3" xfId="3512"/>
    <cellStyle name="asd 45 3 10" xfId="14112"/>
    <cellStyle name="asd 45 3 11" xfId="16015"/>
    <cellStyle name="asd 45 3 12" xfId="16994"/>
    <cellStyle name="asd 45 3 13" xfId="18901"/>
    <cellStyle name="asd 45 3 14" xfId="20813"/>
    <cellStyle name="asd 45 3 15" xfId="23642"/>
    <cellStyle name="asd 45 3 16" xfId="24615"/>
    <cellStyle name="asd 45 3 17" xfId="26973"/>
    <cellStyle name="asd 45 3 18" xfId="29095"/>
    <cellStyle name="asd 45 3 19" xfId="30567"/>
    <cellStyle name="asd 45 3 2" xfId="3692"/>
    <cellStyle name="asd 45 3 2 10" xfId="17583"/>
    <cellStyle name="asd 45 3 2 11" xfId="19489"/>
    <cellStyle name="asd 45 3 2 12" xfId="21401"/>
    <cellStyle name="asd 45 3 2 13" xfId="23312"/>
    <cellStyle name="asd 45 3 2 14" xfId="25203"/>
    <cellStyle name="asd 45 3 2 15" xfId="27014"/>
    <cellStyle name="asd 45 3 2 16" xfId="28943"/>
    <cellStyle name="asd 45 3 2 17" xfId="30607"/>
    <cellStyle name="asd 45 3 2 18" xfId="33171"/>
    <cellStyle name="asd 45 3 2 19" xfId="34325"/>
    <cellStyle name="asd 45 3 2 2" xfId="5759"/>
    <cellStyle name="asd 45 3 2 2 10" xfId="22009"/>
    <cellStyle name="asd 45 3 2 2 11" xfId="23033"/>
    <cellStyle name="asd 45 3 2 2 12" xfId="25811"/>
    <cellStyle name="asd 45 3 2 2 13" xfId="26586"/>
    <cellStyle name="asd 45 3 2 2 14" xfId="28544"/>
    <cellStyle name="asd 45 3 2 2 15" xfId="30188"/>
    <cellStyle name="asd 45 3 2 2 16" xfId="32265"/>
    <cellStyle name="asd 45 3 2 2 17" xfId="34145"/>
    <cellStyle name="asd 45 3 2 2 18" xfId="36638"/>
    <cellStyle name="asd 45 3 2 2 19" xfId="38517"/>
    <cellStyle name="asd 45 3 2 2 2" xfId="7208"/>
    <cellStyle name="asd 45 3 2 2 20" xfId="39483"/>
    <cellStyle name="asd 45 3 2 2 21" xfId="41158"/>
    <cellStyle name="asd 45 3 2 2 22" xfId="42816"/>
    <cellStyle name="asd 45 3 2 2 3" xfId="8662"/>
    <cellStyle name="asd 45 3 2 2 4" xfId="10572"/>
    <cellStyle name="asd 45 3 2 2 5" xfId="12627"/>
    <cellStyle name="asd 45 3 2 2 6" xfId="13503"/>
    <cellStyle name="asd 45 3 2 2 7" xfId="15407"/>
    <cellStyle name="asd 45 3 2 2 8" xfId="18191"/>
    <cellStyle name="asd 45 3 2 2 9" xfId="20097"/>
    <cellStyle name="asd 45 3 2 20" xfId="36030"/>
    <cellStyle name="asd 45 3 2 21" xfId="37909"/>
    <cellStyle name="asd 45 3 2 22" xfId="40362"/>
    <cellStyle name="asd 45 3 2 23" xfId="42018"/>
    <cellStyle name="asd 45 3 2 24" xfId="43084"/>
    <cellStyle name="asd 45 3 2 3" xfId="5153"/>
    <cellStyle name="asd 45 3 2 4" xfId="6603"/>
    <cellStyle name="asd 45 3 2 5" xfId="8054"/>
    <cellStyle name="asd 45 3 2 6" xfId="9964"/>
    <cellStyle name="asd 45 3 2 7" xfId="10930"/>
    <cellStyle name="asd 45 3 2 8" xfId="13784"/>
    <cellStyle name="asd 45 3 2 9" xfId="15686"/>
    <cellStyle name="asd 45 3 20" xfId="32125"/>
    <cellStyle name="asd 45 3 21" xfId="34918"/>
    <cellStyle name="asd 45 3 22" xfId="35443"/>
    <cellStyle name="asd 45 3 23" xfId="37321"/>
    <cellStyle name="asd 45 3 24" xfId="39348"/>
    <cellStyle name="asd 45 3 25" xfId="41024"/>
    <cellStyle name="asd 45 3 26" xfId="43400"/>
    <cellStyle name="asd 45 3 3" xfId="2502"/>
    <cellStyle name="asd 45 3 3 10" xfId="19073"/>
    <cellStyle name="asd 45 3 3 11" xfId="20985"/>
    <cellStyle name="asd 45 3 3 12" xfId="23869"/>
    <cellStyle name="asd 45 3 3 13" xfId="24787"/>
    <cellStyle name="asd 45 3 3 14" xfId="27585"/>
    <cellStyle name="asd 45 3 3 15" xfId="28847"/>
    <cellStyle name="asd 45 3 3 16" xfId="31164"/>
    <cellStyle name="asd 45 3 3 17" xfId="32667"/>
    <cellStyle name="asd 45 3 3 18" xfId="34029"/>
    <cellStyle name="asd 45 3 3 19" xfId="35614"/>
    <cellStyle name="asd 45 3 3 2" xfId="4471"/>
    <cellStyle name="asd 45 3 3 2 10" xfId="20716"/>
    <cellStyle name="asd 45 3 3 2 11" xfId="23481"/>
    <cellStyle name="asd 45 3 3 2 12" xfId="24518"/>
    <cellStyle name="asd 45 3 3 2 13" xfId="27914"/>
    <cellStyle name="asd 45 3 3 2 14" xfId="1794"/>
    <cellStyle name="asd 45 3 3 2 15" xfId="31496"/>
    <cellStyle name="asd 45 3 3 2 16" xfId="32926"/>
    <cellStyle name="asd 45 3 3 2 17" xfId="34152"/>
    <cellStyle name="asd 45 3 3 2 18" xfId="35346"/>
    <cellStyle name="asd 45 3 3 2 19" xfId="37224"/>
    <cellStyle name="asd 45 3 3 2 2" xfId="4421"/>
    <cellStyle name="asd 45 3 3 2 20" xfId="40130"/>
    <cellStyle name="asd 45 3 3 2 21" xfId="41789"/>
    <cellStyle name="asd 45 3 3 2 22" xfId="43247"/>
    <cellStyle name="asd 45 3 3 2 3" xfId="5388"/>
    <cellStyle name="asd 45 3 3 2 4" xfId="9278"/>
    <cellStyle name="asd 45 3 3 2 5" xfId="12504"/>
    <cellStyle name="asd 45 3 3 2 6" xfId="13953"/>
    <cellStyle name="asd 45 3 3 2 7" xfId="15854"/>
    <cellStyle name="asd 45 3 3 2 8" xfId="16897"/>
    <cellStyle name="asd 45 3 3 2 9" xfId="18804"/>
    <cellStyle name="asd 45 3 3 20" xfId="37493"/>
    <cellStyle name="asd 45 3 3 21" xfId="39874"/>
    <cellStyle name="asd 45 3 3 22" xfId="41543"/>
    <cellStyle name="asd 45 3 3 23" xfId="43619"/>
    <cellStyle name="asd 45 3 3 3" xfId="4738"/>
    <cellStyle name="asd 45 3 3 4" xfId="7638"/>
    <cellStyle name="asd 45 3 3 5" xfId="9548"/>
    <cellStyle name="asd 45 3 3 6" xfId="11602"/>
    <cellStyle name="asd 45 3 3 7" xfId="14339"/>
    <cellStyle name="asd 45 3 3 8" xfId="16243"/>
    <cellStyle name="asd 45 3 3 9" xfId="17167"/>
    <cellStyle name="asd 45 3 4" xfId="4144"/>
    <cellStyle name="asd 45 3 4 10" xfId="19779"/>
    <cellStyle name="asd 45 3 4 11" xfId="21691"/>
    <cellStyle name="asd 45 3 4 12" xfId="23726"/>
    <cellStyle name="asd 45 3 4 13" xfId="25493"/>
    <cellStyle name="asd 45 3 4 14" xfId="26345"/>
    <cellStyle name="asd 45 3 4 15" xfId="4219"/>
    <cellStyle name="asd 45 3 4 16" xfId="29953"/>
    <cellStyle name="asd 45 3 4 17" xfId="15076"/>
    <cellStyle name="asd 45 3 4 18" xfId="29738"/>
    <cellStyle name="asd 45 3 4 19" xfId="36320"/>
    <cellStyle name="asd 45 3 4 2" xfId="6049"/>
    <cellStyle name="asd 45 3 4 2 10" xfId="22299"/>
    <cellStyle name="asd 45 3 4 2 11" xfId="20414"/>
    <cellStyle name="asd 45 3 4 2 12" xfId="26101"/>
    <cellStyle name="asd 45 3 4 2 13" xfId="12895"/>
    <cellStyle name="asd 45 3 4 2 14" xfId="6616"/>
    <cellStyle name="asd 45 3 4 2 15" xfId="12774"/>
    <cellStyle name="asd 45 3 4 2 16" xfId="3245"/>
    <cellStyle name="asd 45 3 4 2 17" xfId="20426"/>
    <cellStyle name="asd 45 3 4 2 18" xfId="36928"/>
    <cellStyle name="asd 45 3 4 2 19" xfId="38807"/>
    <cellStyle name="asd 45 3 4 2 2" xfId="7498"/>
    <cellStyle name="asd 45 3 4 2 20" xfId="32300"/>
    <cellStyle name="asd 45 3 4 2 21" xfId="3270"/>
    <cellStyle name="asd 45 3 4 2 22" xfId="34142"/>
    <cellStyle name="asd 45 3 4 2 3" xfId="8952"/>
    <cellStyle name="asd 45 3 4 2 4" xfId="10862"/>
    <cellStyle name="asd 45 3 4 2 5" xfId="1818"/>
    <cellStyle name="asd 45 3 4 2 6" xfId="2671"/>
    <cellStyle name="asd 45 3 4 2 7" xfId="2653"/>
    <cellStyle name="asd 45 3 4 2 8" xfId="18481"/>
    <cellStyle name="asd 45 3 4 2 9" xfId="20387"/>
    <cellStyle name="asd 45 3 4 20" xfId="38199"/>
    <cellStyle name="asd 45 3 4 21" xfId="30044"/>
    <cellStyle name="asd 45 3 4 22" xfId="33039"/>
    <cellStyle name="asd 45 3 4 23" xfId="43481"/>
    <cellStyle name="asd 45 3 4 3" xfId="6890"/>
    <cellStyle name="asd 45 3 4 4" xfId="8344"/>
    <cellStyle name="asd 45 3 4 5" xfId="10254"/>
    <cellStyle name="asd 45 3 4 6" xfId="11524"/>
    <cellStyle name="asd 45 3 4 7" xfId="14196"/>
    <cellStyle name="asd 45 3 4 8" xfId="16100"/>
    <cellStyle name="asd 45 3 4 9" xfId="17873"/>
    <cellStyle name="asd 45 3 5" xfId="4985"/>
    <cellStyle name="asd 45 3 5 10" xfId="21233"/>
    <cellStyle name="asd 45 3 5 11" xfId="22536"/>
    <cellStyle name="asd 45 3 5 12" xfId="25035"/>
    <cellStyle name="asd 45 3 5 13" xfId="26470"/>
    <cellStyle name="asd 45 3 5 14" xfId="28044"/>
    <cellStyle name="asd 45 3 5 15" xfId="30075"/>
    <cellStyle name="asd 45 3 5 16" xfId="33143"/>
    <cellStyle name="asd 45 3 5 17" xfId="34546"/>
    <cellStyle name="asd 45 3 5 18" xfId="35862"/>
    <cellStyle name="asd 45 3 5 19" xfId="37741"/>
    <cellStyle name="asd 45 3 5 2" xfId="6435"/>
    <cellStyle name="asd 45 3 5 20" xfId="40336"/>
    <cellStyle name="asd 45 3 5 21" xfId="41992"/>
    <cellStyle name="asd 45 3 5 22" xfId="42345"/>
    <cellStyle name="asd 45 3 5 3" xfId="7886"/>
    <cellStyle name="asd 45 3 5 4" xfId="9796"/>
    <cellStyle name="asd 45 3 5 5" xfId="2084"/>
    <cellStyle name="asd 45 3 5 6" xfId="13004"/>
    <cellStyle name="asd 45 3 5 7" xfId="14908"/>
    <cellStyle name="asd 45 3 5 8" xfId="17415"/>
    <cellStyle name="asd 45 3 5 9" xfId="19321"/>
    <cellStyle name="asd 45 3 6" xfId="5507"/>
    <cellStyle name="asd 45 3 6 10" xfId="21757"/>
    <cellStyle name="asd 45 3 6 11" xfId="23969"/>
    <cellStyle name="asd 45 3 6 12" xfId="25559"/>
    <cellStyle name="asd 45 3 6 13" xfId="26200"/>
    <cellStyle name="asd 45 3 6 14" xfId="28111"/>
    <cellStyle name="asd 45 3 6 15" xfId="29813"/>
    <cellStyle name="asd 45 3 6 16" xfId="33040"/>
    <cellStyle name="asd 45 3 6 17" xfId="34539"/>
    <cellStyle name="asd 45 3 6 18" xfId="36386"/>
    <cellStyle name="asd 45 3 6 19" xfId="38265"/>
    <cellStyle name="asd 45 3 6 2" xfId="6956"/>
    <cellStyle name="asd 45 3 6 20" xfId="40238"/>
    <cellStyle name="asd 45 3 6 21" xfId="41897"/>
    <cellStyle name="asd 45 3 6 22" xfId="43715"/>
    <cellStyle name="asd 45 3 6 3" xfId="8410"/>
    <cellStyle name="asd 45 3 6 4" xfId="10320"/>
    <cellStyle name="asd 45 3 6 5" xfId="11929"/>
    <cellStyle name="asd 45 3 6 6" xfId="14439"/>
    <cellStyle name="asd 45 3 6 7" xfId="16345"/>
    <cellStyle name="asd 45 3 6 8" xfId="17939"/>
    <cellStyle name="asd 45 3 6 9" xfId="19845"/>
    <cellStyle name="asd 45 3 7" xfId="3247"/>
    <cellStyle name="asd 45 3 8" xfId="9375"/>
    <cellStyle name="asd 45 3 9" xfId="12731"/>
    <cellStyle name="asd 45 4" xfId="3359"/>
    <cellStyle name="asd 45 4 10" xfId="16099"/>
    <cellStyle name="asd 45 4 11" xfId="16652"/>
    <cellStyle name="asd 45 4 12" xfId="18559"/>
    <cellStyle name="asd 45 4 13" xfId="20471"/>
    <cellStyle name="asd 45 4 14" xfId="23725"/>
    <cellStyle name="asd 45 4 15" xfId="24273"/>
    <cellStyle name="asd 45 4 16" xfId="27024"/>
    <cellStyle name="asd 45 4 17" xfId="28297"/>
    <cellStyle name="asd 45 4 18" xfId="30617"/>
    <cellStyle name="asd 45 4 19" xfId="32584"/>
    <cellStyle name="asd 45 4 2" xfId="3539"/>
    <cellStyle name="asd 45 4 2 10" xfId="17430"/>
    <cellStyle name="asd 45 4 2 11" xfId="19336"/>
    <cellStyle name="asd 45 4 2 12" xfId="21248"/>
    <cellStyle name="asd 45 4 2 13" xfId="22406"/>
    <cellStyle name="asd 45 4 2 14" xfId="25050"/>
    <cellStyle name="asd 45 4 2 15" xfId="26473"/>
    <cellStyle name="asd 45 4 2 16" xfId="29402"/>
    <cellStyle name="asd 45 4 2 17" xfId="30078"/>
    <cellStyle name="asd 45 4 2 18" xfId="32355"/>
    <cellStyle name="asd 45 4 2 19" xfId="34661"/>
    <cellStyle name="asd 45 4 2 2" xfId="4622"/>
    <cellStyle name="asd 45 4 2 2 10" xfId="20867"/>
    <cellStyle name="asd 45 4 2 2 11" xfId="23938"/>
    <cellStyle name="asd 45 4 2 2 12" xfId="24669"/>
    <cellStyle name="asd 45 4 2 2 13" xfId="26921"/>
    <cellStyle name="asd 45 4 2 2 14" xfId="28545"/>
    <cellStyle name="asd 45 4 2 2 15" xfId="30516"/>
    <cellStyle name="asd 45 4 2 2 16" xfId="32277"/>
    <cellStyle name="asd 45 4 2 2 17" xfId="34315"/>
    <cellStyle name="asd 45 4 2 2 18" xfId="35497"/>
    <cellStyle name="asd 45 4 2 2 19" xfId="37375"/>
    <cellStyle name="asd 45 4 2 2 2" xfId="6070"/>
    <cellStyle name="asd 45 4 2 2 20" xfId="39496"/>
    <cellStyle name="asd 45 4 2 2 21" xfId="41171"/>
    <cellStyle name="asd 45 4 2 2 22" xfId="43684"/>
    <cellStyle name="asd 45 4 2 2 3" xfId="7519"/>
    <cellStyle name="asd 45 4 2 2 4" xfId="9429"/>
    <cellStyle name="asd 45 4 2 2 5" xfId="11898"/>
    <cellStyle name="asd 45 4 2 2 6" xfId="14408"/>
    <cellStyle name="asd 45 4 2 2 7" xfId="16314"/>
    <cellStyle name="asd 45 4 2 2 8" xfId="17048"/>
    <cellStyle name="asd 45 4 2 2 9" xfId="18955"/>
    <cellStyle name="asd 45 4 2 20" xfId="35877"/>
    <cellStyle name="asd 45 4 2 21" xfId="37756"/>
    <cellStyle name="asd 45 4 2 22" xfId="39574"/>
    <cellStyle name="asd 45 4 2 23" xfId="41248"/>
    <cellStyle name="asd 45 4 2 24" xfId="42217"/>
    <cellStyle name="asd 45 4 2 3" xfId="5000"/>
    <cellStyle name="asd 45 4 2 4" xfId="6450"/>
    <cellStyle name="asd 45 4 2 5" xfId="7901"/>
    <cellStyle name="asd 45 4 2 6" xfId="9811"/>
    <cellStyle name="asd 45 4 2 7" xfId="12252"/>
    <cellStyle name="asd 45 4 2 8" xfId="12873"/>
    <cellStyle name="asd 45 4 2 9" xfId="14778"/>
    <cellStyle name="asd 45 4 20" xfId="34540"/>
    <cellStyle name="asd 45 4 21" xfId="35101"/>
    <cellStyle name="asd 45 4 22" xfId="36979"/>
    <cellStyle name="asd 45 4 23" xfId="39795"/>
    <cellStyle name="asd 45 4 24" xfId="41464"/>
    <cellStyle name="asd 45 4 25" xfId="43480"/>
    <cellStyle name="asd 45 4 3" xfId="3148"/>
    <cellStyle name="asd 45 4 3 10" xfId="19164"/>
    <cellStyle name="asd 45 4 3 11" xfId="21076"/>
    <cellStyle name="asd 45 4 3 12" xfId="23606"/>
    <cellStyle name="asd 45 4 3 13" xfId="24878"/>
    <cellStyle name="asd 45 4 3 14" xfId="27458"/>
    <cellStyle name="asd 45 4 3 15" xfId="29593"/>
    <cellStyle name="asd 45 4 3 16" xfId="31045"/>
    <cellStyle name="asd 45 4 3 17" xfId="32365"/>
    <cellStyle name="asd 45 4 3 18" xfId="34190"/>
    <cellStyle name="asd 45 4 3 19" xfId="35705"/>
    <cellStyle name="asd 45 4 3 2" xfId="5651"/>
    <cellStyle name="asd 45 4 3 2 10" xfId="21901"/>
    <cellStyle name="asd 45 4 3 2 11" xfId="23713"/>
    <cellStyle name="asd 45 4 3 2 12" xfId="25703"/>
    <cellStyle name="asd 45 4 3 2 13" xfId="27733"/>
    <cellStyle name="asd 45 4 3 2 14" xfId="28234"/>
    <cellStyle name="asd 45 4 3 2 15" xfId="31311"/>
    <cellStyle name="asd 45 4 3 2 16" xfId="32407"/>
    <cellStyle name="asd 45 4 3 2 17" xfId="35040"/>
    <cellStyle name="asd 45 4 3 2 18" xfId="36530"/>
    <cellStyle name="asd 45 4 3 2 19" xfId="38409"/>
    <cellStyle name="asd 45 4 3 2 2" xfId="7100"/>
    <cellStyle name="asd 45 4 3 2 20" xfId="39624"/>
    <cellStyle name="asd 45 4 3 2 21" xfId="41298"/>
    <cellStyle name="asd 45 4 3 2 22" xfId="43470"/>
    <cellStyle name="asd 45 4 3 2 3" xfId="8554"/>
    <cellStyle name="asd 45 4 3 2 4" xfId="10464"/>
    <cellStyle name="asd 45 4 3 2 5" xfId="12656"/>
    <cellStyle name="asd 45 4 3 2 6" xfId="14183"/>
    <cellStyle name="asd 45 4 3 2 7" xfId="16087"/>
    <cellStyle name="asd 45 4 3 2 8" xfId="18083"/>
    <cellStyle name="asd 45 4 3 2 9" xfId="19989"/>
    <cellStyle name="asd 45 4 3 20" xfId="37584"/>
    <cellStyle name="asd 45 4 3 21" xfId="39584"/>
    <cellStyle name="asd 45 4 3 22" xfId="41258"/>
    <cellStyle name="asd 45 4 3 23" xfId="43364"/>
    <cellStyle name="asd 45 4 3 3" xfId="4828"/>
    <cellStyle name="asd 45 4 3 4" xfId="7729"/>
    <cellStyle name="asd 45 4 3 5" xfId="9639"/>
    <cellStyle name="asd 45 4 3 6" xfId="12671"/>
    <cellStyle name="asd 45 4 3 7" xfId="14076"/>
    <cellStyle name="asd 45 4 3 8" xfId="15979"/>
    <cellStyle name="asd 45 4 3 9" xfId="17258"/>
    <cellStyle name="asd 45 4 4" xfId="3991"/>
    <cellStyle name="asd 45 4 4 10" xfId="19626"/>
    <cellStyle name="asd 45 4 4 11" xfId="21538"/>
    <cellStyle name="asd 45 4 4 12" xfId="23804"/>
    <cellStyle name="asd 45 4 4 13" xfId="25340"/>
    <cellStyle name="asd 45 4 4 14" xfId="27148"/>
    <cellStyle name="asd 45 4 4 15" xfId="28233"/>
    <cellStyle name="asd 45 4 4 16" xfId="30739"/>
    <cellStyle name="asd 45 4 4 17" xfId="32899"/>
    <cellStyle name="asd 45 4 4 18" xfId="34946"/>
    <cellStyle name="asd 45 4 4 19" xfId="36167"/>
    <cellStyle name="asd 45 4 4 2" xfId="5896"/>
    <cellStyle name="asd 45 4 4 2 10" xfId="22146"/>
    <cellStyle name="asd 45 4 4 2 11" xfId="22705"/>
    <cellStyle name="asd 45 4 4 2 12" xfId="25948"/>
    <cellStyle name="asd 45 4 4 2 13" xfId="27901"/>
    <cellStyle name="asd 45 4 4 2 14" xfId="29365"/>
    <cellStyle name="asd 45 4 4 2 15" xfId="31483"/>
    <cellStyle name="asd 45 4 4 2 16" xfId="33261"/>
    <cellStyle name="asd 45 4 4 2 17" xfId="34703"/>
    <cellStyle name="asd 45 4 4 2 18" xfId="36775"/>
    <cellStyle name="asd 45 4 4 2 19" xfId="38654"/>
    <cellStyle name="asd 45 4 4 2 2" xfId="7345"/>
    <cellStyle name="asd 45 4 4 2 20" xfId="40447"/>
    <cellStyle name="asd 45 4 4 2 21" xfId="42102"/>
    <cellStyle name="asd 45 4 4 2 22" xfId="42505"/>
    <cellStyle name="asd 45 4 4 2 3" xfId="8799"/>
    <cellStyle name="asd 45 4 4 2 4" xfId="10709"/>
    <cellStyle name="asd 45 4 4 2 5" xfId="11827"/>
    <cellStyle name="asd 45 4 4 2 6" xfId="13173"/>
    <cellStyle name="asd 45 4 4 2 7" xfId="15077"/>
    <cellStyle name="asd 45 4 4 2 8" xfId="18328"/>
    <cellStyle name="asd 45 4 4 2 9" xfId="20234"/>
    <cellStyle name="asd 45 4 4 20" xfId="38046"/>
    <cellStyle name="asd 45 4 4 21" xfId="40102"/>
    <cellStyle name="asd 45 4 4 22" xfId="41763"/>
    <cellStyle name="asd 45 4 4 23" xfId="43556"/>
    <cellStyle name="asd 45 4 4 3" xfId="6737"/>
    <cellStyle name="asd 45 4 4 4" xfId="8191"/>
    <cellStyle name="asd 45 4 4 5" xfId="10101"/>
    <cellStyle name="asd 45 4 4 6" xfId="12639"/>
    <cellStyle name="asd 45 4 4 7" xfId="14274"/>
    <cellStyle name="asd 45 4 4 8" xfId="16178"/>
    <cellStyle name="asd 45 4 4 9" xfId="17720"/>
    <cellStyle name="asd 45 4 5" xfId="4586"/>
    <cellStyle name="asd 45 4 5 10" xfId="20831"/>
    <cellStyle name="asd 45 4 5 11" xfId="23091"/>
    <cellStyle name="asd 45 4 5 12" xfId="24633"/>
    <cellStyle name="asd 45 4 5 13" xfId="27070"/>
    <cellStyle name="asd 45 4 5 14" xfId="28395"/>
    <cellStyle name="asd 45 4 5 15" xfId="30661"/>
    <cellStyle name="asd 45 4 5 16" xfId="32924"/>
    <cellStyle name="asd 45 4 5 17" xfId="33830"/>
    <cellStyle name="asd 45 4 5 18" xfId="35461"/>
    <cellStyle name="asd 45 4 5 19" xfId="37339"/>
    <cellStyle name="asd 45 4 5 2" xfId="5352"/>
    <cellStyle name="asd 45 4 5 20" xfId="40128"/>
    <cellStyle name="asd 45 4 5 21" xfId="41787"/>
    <cellStyle name="asd 45 4 5 22" xfId="42873"/>
    <cellStyle name="asd 45 4 5 3" xfId="6723"/>
    <cellStyle name="asd 45 4 5 4" xfId="9393"/>
    <cellStyle name="asd 45 4 5 5" xfId="12702"/>
    <cellStyle name="asd 45 4 5 6" xfId="13562"/>
    <cellStyle name="asd 45 4 5 7" xfId="15465"/>
    <cellStyle name="asd 45 4 5 8" xfId="17012"/>
    <cellStyle name="asd 45 4 5 9" xfId="18919"/>
    <cellStyle name="asd 45 4 6" xfId="6110"/>
    <cellStyle name="asd 45 4 7" xfId="9033"/>
    <cellStyle name="asd 45 4 8" xfId="11409"/>
    <cellStyle name="asd 45 4 9" xfId="14195"/>
    <cellStyle name="asd 45 5" xfId="2046"/>
    <cellStyle name="asd 45 5 10" xfId="17098"/>
    <cellStyle name="asd 45 5 11" xfId="19004"/>
    <cellStyle name="asd 45 5 12" xfId="20916"/>
    <cellStyle name="asd 45 5 13" xfId="23729"/>
    <cellStyle name="asd 45 5 14" xfId="24718"/>
    <cellStyle name="asd 45 5 15" xfId="26799"/>
    <cellStyle name="asd 45 5 16" xfId="2757"/>
    <cellStyle name="asd 45 5 17" xfId="30397"/>
    <cellStyle name="asd 45 5 18" xfId="29424"/>
    <cellStyle name="asd 45 5 19" xfId="33334"/>
    <cellStyle name="asd 45 5 2" xfId="4283"/>
    <cellStyle name="asd 45 5 2 10" xfId="20529"/>
    <cellStyle name="asd 45 5 2 11" xfId="22986"/>
    <cellStyle name="asd 45 5 2 12" xfId="24331"/>
    <cellStyle name="asd 45 5 2 13" xfId="26320"/>
    <cellStyle name="asd 45 5 2 14" xfId="29615"/>
    <cellStyle name="asd 45 5 2 15" xfId="29928"/>
    <cellStyle name="asd 45 5 2 16" xfId="33178"/>
    <cellStyle name="asd 45 5 2 17" xfId="33752"/>
    <cellStyle name="asd 45 5 2 18" xfId="35159"/>
    <cellStyle name="asd 45 5 2 19" xfId="37037"/>
    <cellStyle name="asd 45 5 2 2" xfId="5441"/>
    <cellStyle name="asd 45 5 2 20" xfId="40369"/>
    <cellStyle name="asd 45 5 2 21" xfId="42025"/>
    <cellStyle name="asd 45 5 2 22" xfId="42772"/>
    <cellStyle name="asd 45 5 2 3" xfId="6187"/>
    <cellStyle name="asd 45 5 2 4" xfId="9091"/>
    <cellStyle name="asd 45 5 2 5" xfId="12462"/>
    <cellStyle name="asd 45 5 2 6" xfId="13455"/>
    <cellStyle name="asd 45 5 2 7" xfId="15360"/>
    <cellStyle name="asd 45 5 2 8" xfId="16710"/>
    <cellStyle name="asd 45 5 2 9" xfId="18617"/>
    <cellStyle name="asd 45 5 20" xfId="35545"/>
    <cellStyle name="asd 45 5 21" xfId="37424"/>
    <cellStyle name="asd 45 5 22" xfId="34977"/>
    <cellStyle name="asd 45 5 23" xfId="32566"/>
    <cellStyle name="asd 45 5 24" xfId="43484"/>
    <cellStyle name="asd 45 5 3" xfId="4671"/>
    <cellStyle name="asd 45 5 4" xfId="6118"/>
    <cellStyle name="asd 45 5 5" xfId="7569"/>
    <cellStyle name="asd 45 5 6" xfId="9479"/>
    <cellStyle name="asd 45 5 7" xfId="11470"/>
    <cellStyle name="asd 45 5 8" xfId="14199"/>
    <cellStyle name="asd 45 5 9" xfId="16103"/>
    <cellStyle name="asd 45 6" xfId="2548"/>
    <cellStyle name="asd 45 6 10" xfId="19081"/>
    <cellStyle name="asd 45 6 11" xfId="20993"/>
    <cellStyle name="asd 45 6 12" xfId="22438"/>
    <cellStyle name="asd 45 6 13" xfId="24795"/>
    <cellStyle name="asd 45 6 14" xfId="27089"/>
    <cellStyle name="asd 45 6 15" xfId="28076"/>
    <cellStyle name="asd 45 6 16" xfId="30680"/>
    <cellStyle name="asd 45 6 17" xfId="32097"/>
    <cellStyle name="asd 45 6 18" xfId="33577"/>
    <cellStyle name="asd 45 6 19" xfId="35622"/>
    <cellStyle name="asd 45 6 2" xfId="4559"/>
    <cellStyle name="asd 45 6 2 10" xfId="20804"/>
    <cellStyle name="asd 45 6 2 11" xfId="23234"/>
    <cellStyle name="asd 45 6 2 12" xfId="24606"/>
    <cellStyle name="asd 45 6 2 13" xfId="26835"/>
    <cellStyle name="asd 45 6 2 14" xfId="29344"/>
    <cellStyle name="asd 45 6 2 15" xfId="30433"/>
    <cellStyle name="asd 45 6 2 16" xfId="32135"/>
    <cellStyle name="asd 45 6 2 17" xfId="34505"/>
    <cellStyle name="asd 45 6 2 18" xfId="35434"/>
    <cellStyle name="asd 45 6 2 19" xfId="37312"/>
    <cellStyle name="asd 45 6 2 2" xfId="4487"/>
    <cellStyle name="asd 45 6 2 20" xfId="39358"/>
    <cellStyle name="asd 45 6 2 21" xfId="41034"/>
    <cellStyle name="asd 45 6 2 22" xfId="43011"/>
    <cellStyle name="asd 45 6 2 3" xfId="4276"/>
    <cellStyle name="asd 45 6 2 4" xfId="9366"/>
    <cellStyle name="asd 45 6 2 5" xfId="11119"/>
    <cellStyle name="asd 45 6 2 6" xfId="13706"/>
    <cellStyle name="asd 45 6 2 7" xfId="15608"/>
    <cellStyle name="asd 45 6 2 8" xfId="16985"/>
    <cellStyle name="asd 45 6 2 9" xfId="18892"/>
    <cellStyle name="asd 45 6 20" xfId="37501"/>
    <cellStyle name="asd 45 6 21" xfId="39321"/>
    <cellStyle name="asd 45 6 22" xfId="40997"/>
    <cellStyle name="asd 45 6 23" xfId="42249"/>
    <cellStyle name="asd 45 6 3" xfId="4746"/>
    <cellStyle name="asd 45 6 4" xfId="7646"/>
    <cellStyle name="asd 45 6 5" xfId="9556"/>
    <cellStyle name="asd 45 6 6" xfId="12342"/>
    <cellStyle name="asd 45 6 7" xfId="12906"/>
    <cellStyle name="asd 45 6 8" xfId="14811"/>
    <cellStyle name="asd 45 6 9" xfId="17175"/>
    <cellStyle name="asd 45 7" xfId="2608"/>
    <cellStyle name="asd 45 7 10" xfId="19088"/>
    <cellStyle name="asd 45 7 11" xfId="21000"/>
    <cellStyle name="asd 45 7 12" xfId="23904"/>
    <cellStyle name="asd 45 7 13" xfId="24802"/>
    <cellStyle name="asd 45 7 14" xfId="27016"/>
    <cellStyle name="asd 45 7 15" xfId="28447"/>
    <cellStyle name="asd 45 7 16" xfId="30609"/>
    <cellStyle name="asd 45 7 17" xfId="32957"/>
    <cellStyle name="asd 45 7 18" xfId="34737"/>
    <cellStyle name="asd 45 7 19" xfId="35629"/>
    <cellStyle name="asd 45 7 2" xfId="4366"/>
    <cellStyle name="asd 45 7 2 10" xfId="20560"/>
    <cellStyle name="asd 45 7 2 11" xfId="23547"/>
    <cellStyle name="asd 45 7 2 12" xfId="24362"/>
    <cellStyle name="asd 45 7 2 13" xfId="27971"/>
    <cellStyle name="asd 45 7 2 14" xfId="10914"/>
    <cellStyle name="asd 45 7 2 15" xfId="31551"/>
    <cellStyle name="asd 45 7 2 16" xfId="14684"/>
    <cellStyle name="asd 45 7 2 17" xfId="16604"/>
    <cellStyle name="asd 45 7 2 18" xfId="35190"/>
    <cellStyle name="asd 45 7 2 19" xfId="37068"/>
    <cellStyle name="asd 45 7 2 2" xfId="4539"/>
    <cellStyle name="asd 45 7 2 20" xfId="33355"/>
    <cellStyle name="asd 45 7 2 21" xfId="14713"/>
    <cellStyle name="asd 45 7 2 22" xfId="43311"/>
    <cellStyle name="asd 45 7 2 3" xfId="4231"/>
    <cellStyle name="asd 45 7 2 4" xfId="9122"/>
    <cellStyle name="asd 45 7 2 5" xfId="12540"/>
    <cellStyle name="asd 45 7 2 6" xfId="14019"/>
    <cellStyle name="asd 45 7 2 7" xfId="15920"/>
    <cellStyle name="asd 45 7 2 8" xfId="16741"/>
    <cellStyle name="asd 45 7 2 9" xfId="18648"/>
    <cellStyle name="asd 45 7 20" xfId="37508"/>
    <cellStyle name="asd 45 7 21" xfId="40159"/>
    <cellStyle name="asd 45 7 22" xfId="41818"/>
    <cellStyle name="asd 45 7 23" xfId="43650"/>
    <cellStyle name="asd 45 7 3" xfId="6202"/>
    <cellStyle name="asd 45 7 4" xfId="7653"/>
    <cellStyle name="asd 45 7 5" xfId="9563"/>
    <cellStyle name="asd 45 7 6" xfId="11863"/>
    <cellStyle name="asd 45 7 7" xfId="14372"/>
    <cellStyle name="asd 45 7 8" xfId="16278"/>
    <cellStyle name="asd 45 7 9" xfId="17182"/>
    <cellStyle name="asd 45 8" xfId="3977"/>
    <cellStyle name="asd 45 9" xfId="3954"/>
    <cellStyle name="asd 46" xfId="1027"/>
    <cellStyle name="asd 46 10" xfId="1932"/>
    <cellStyle name="asd 46 11" xfId="12821"/>
    <cellStyle name="asd 46 12" xfId="14726"/>
    <cellStyle name="asd 46 13" xfId="4553"/>
    <cellStyle name="asd 46 14" xfId="3098"/>
    <cellStyle name="asd 46 15" xfId="2600"/>
    <cellStyle name="asd 46 16" xfId="22356"/>
    <cellStyle name="asd 46 17" xfId="3906"/>
    <cellStyle name="asd 46 18" xfId="3953"/>
    <cellStyle name="asd 46 19" xfId="18510"/>
    <cellStyle name="asd 46 2" xfId="3509"/>
    <cellStyle name="asd 46 2 10" xfId="12866"/>
    <cellStyle name="asd 46 2 11" xfId="14771"/>
    <cellStyle name="asd 46 2 12" xfId="16984"/>
    <cellStyle name="asd 46 2 13" xfId="18891"/>
    <cellStyle name="asd 46 2 14" xfId="20803"/>
    <cellStyle name="asd 46 2 15" xfId="22399"/>
    <cellStyle name="asd 46 2 16" xfId="24605"/>
    <cellStyle name="asd 46 2 17" xfId="27482"/>
    <cellStyle name="asd 46 2 18" xfId="29394"/>
    <cellStyle name="asd 46 2 19" xfId="31069"/>
    <cellStyle name="asd 46 2 2" xfId="3689"/>
    <cellStyle name="asd 46 2 2 10" xfId="17580"/>
    <cellStyle name="asd 46 2 2 11" xfId="19486"/>
    <cellStyle name="asd 46 2 2 12" xfId="21398"/>
    <cellStyle name="asd 46 2 2 13" xfId="22640"/>
    <cellStyle name="asd 46 2 2 14" xfId="25200"/>
    <cellStyle name="asd 46 2 2 15" xfId="27870"/>
    <cellStyle name="asd 46 2 2 16" xfId="29549"/>
    <cellStyle name="asd 46 2 2 17" xfId="31451"/>
    <cellStyle name="asd 46 2 2 18" xfId="32727"/>
    <cellStyle name="asd 46 2 2 19" xfId="35038"/>
    <cellStyle name="asd 46 2 2 2" xfId="5756"/>
    <cellStyle name="asd 46 2 2 2 10" xfId="22006"/>
    <cellStyle name="asd 46 2 2 2 11" xfId="23221"/>
    <cellStyle name="asd 46 2 2 2 12" xfId="25808"/>
    <cellStyle name="asd 46 2 2 2 13" xfId="27588"/>
    <cellStyle name="asd 46 2 2 2 14" xfId="28471"/>
    <cellStyle name="asd 46 2 2 2 15" xfId="31167"/>
    <cellStyle name="asd 46 2 2 2 16" xfId="32994"/>
    <cellStyle name="asd 46 2 2 2 17" xfId="34503"/>
    <cellStyle name="asd 46 2 2 2 18" xfId="36635"/>
    <cellStyle name="asd 46 2 2 2 19" xfId="38514"/>
    <cellStyle name="asd 46 2 2 2 2" xfId="7205"/>
    <cellStyle name="asd 46 2 2 2 20" xfId="40195"/>
    <cellStyle name="asd 46 2 2 2 21" xfId="41854"/>
    <cellStyle name="asd 46 2 2 2 22" xfId="42998"/>
    <cellStyle name="asd 46 2 2 2 3" xfId="8659"/>
    <cellStyle name="asd 46 2 2 2 4" xfId="10569"/>
    <cellStyle name="asd 46 2 2 2 5" xfId="11098"/>
    <cellStyle name="asd 46 2 2 2 6" xfId="13693"/>
    <cellStyle name="asd 46 2 2 2 7" xfId="15595"/>
    <cellStyle name="asd 46 2 2 2 8" xfId="18188"/>
    <cellStyle name="asd 46 2 2 2 9" xfId="20094"/>
    <cellStyle name="asd 46 2 2 20" xfId="36027"/>
    <cellStyle name="asd 46 2 2 21" xfId="37906"/>
    <cellStyle name="asd 46 2 2 22" xfId="39937"/>
    <cellStyle name="asd 46 2 2 23" xfId="41603"/>
    <cellStyle name="asd 46 2 2 24" xfId="42446"/>
    <cellStyle name="asd 46 2 2 3" xfId="5150"/>
    <cellStyle name="asd 46 2 2 4" xfId="6600"/>
    <cellStyle name="asd 46 2 2 5" xfId="8051"/>
    <cellStyle name="asd 46 2 2 6" xfId="9961"/>
    <cellStyle name="asd 46 2 2 7" xfId="2091"/>
    <cellStyle name="asd 46 2 2 8" xfId="13107"/>
    <cellStyle name="asd 46 2 2 9" xfId="15012"/>
    <cellStyle name="asd 46 2 20" xfId="32872"/>
    <cellStyle name="asd 46 2 21" xfId="34286"/>
    <cellStyle name="asd 46 2 22" xfId="35433"/>
    <cellStyle name="asd 46 2 23" xfId="37311"/>
    <cellStyle name="asd 46 2 24" xfId="40078"/>
    <cellStyle name="asd 46 2 25" xfId="41742"/>
    <cellStyle name="asd 46 2 26" xfId="42210"/>
    <cellStyle name="asd 46 2 3" xfId="2246"/>
    <cellStyle name="asd 46 2 3 10" xfId="19038"/>
    <cellStyle name="asd 46 2 3 11" xfId="20950"/>
    <cellStyle name="asd 46 2 3 12" xfId="23159"/>
    <cellStyle name="asd 46 2 3 13" xfId="24752"/>
    <cellStyle name="asd 46 2 3 14" xfId="27662"/>
    <cellStyle name="asd 46 2 3 15" xfId="29087"/>
    <cellStyle name="asd 46 2 3 16" xfId="31238"/>
    <cellStyle name="asd 46 2 3 17" xfId="32600"/>
    <cellStyle name="asd 46 2 3 18" xfId="34076"/>
    <cellStyle name="asd 46 2 3 19" xfId="35579"/>
    <cellStyle name="asd 46 2 3 2" xfId="5520"/>
    <cellStyle name="asd 46 2 3 2 10" xfId="21770"/>
    <cellStyle name="asd 46 2 3 2 11" xfId="24059"/>
    <cellStyle name="asd 46 2 3 2 12" xfId="25572"/>
    <cellStyle name="asd 46 2 3 2 13" xfId="27460"/>
    <cellStyle name="asd 46 2 3 2 14" xfId="29356"/>
    <cellStyle name="asd 46 2 3 2 15" xfId="31046"/>
    <cellStyle name="asd 46 2 3 2 16" xfId="31825"/>
    <cellStyle name="asd 46 2 3 2 17" xfId="34373"/>
    <cellStyle name="asd 46 2 3 2 18" xfId="36399"/>
    <cellStyle name="asd 46 2 3 2 19" xfId="38278"/>
    <cellStyle name="asd 46 2 3 2 2" xfId="6969"/>
    <cellStyle name="asd 46 2 3 2 20" xfId="39063"/>
    <cellStyle name="asd 46 2 3 2 21" xfId="40745"/>
    <cellStyle name="asd 46 2 3 2 22" xfId="43803"/>
    <cellStyle name="asd 46 2 3 2 3" xfId="8423"/>
    <cellStyle name="asd 46 2 3 2 4" xfId="10333"/>
    <cellStyle name="asd 46 2 3 2 5" xfId="12018"/>
    <cellStyle name="asd 46 2 3 2 6" xfId="14529"/>
    <cellStyle name="asd 46 2 3 2 7" xfId="16435"/>
    <cellStyle name="asd 46 2 3 2 8" xfId="17952"/>
    <cellStyle name="asd 46 2 3 2 9" xfId="19858"/>
    <cellStyle name="asd 46 2 3 20" xfId="37458"/>
    <cellStyle name="asd 46 2 3 21" xfId="39811"/>
    <cellStyle name="asd 46 2 3 22" xfId="41480"/>
    <cellStyle name="asd 46 2 3 23" xfId="42937"/>
    <cellStyle name="asd 46 2 3 3" xfId="4704"/>
    <cellStyle name="asd 46 2 3 4" xfId="7603"/>
    <cellStyle name="asd 46 2 3 5" xfId="9513"/>
    <cellStyle name="asd 46 2 3 6" xfId="10959"/>
    <cellStyle name="asd 46 2 3 7" xfId="13630"/>
    <cellStyle name="asd 46 2 3 8" xfId="15533"/>
    <cellStyle name="asd 46 2 3 9" xfId="17132"/>
    <cellStyle name="asd 46 2 4" xfId="4141"/>
    <cellStyle name="asd 46 2 4 10" xfId="19776"/>
    <cellStyle name="asd 46 2 4 11" xfId="21688"/>
    <cellStyle name="asd 46 2 4 12" xfId="23065"/>
    <cellStyle name="asd 46 2 4 13" xfId="25490"/>
    <cellStyle name="asd 46 2 4 14" xfId="27155"/>
    <cellStyle name="asd 46 2 4 15" xfId="28330"/>
    <cellStyle name="asd 46 2 4 16" xfId="30746"/>
    <cellStyle name="asd 46 2 4 17" xfId="32375"/>
    <cellStyle name="asd 46 2 4 18" xfId="35062"/>
    <cellStyle name="asd 46 2 4 19" xfId="36317"/>
    <cellStyle name="asd 46 2 4 2" xfId="6046"/>
    <cellStyle name="asd 46 2 4 2 10" xfId="22296"/>
    <cellStyle name="asd 46 2 4 2 11" xfId="14690"/>
    <cellStyle name="asd 46 2 4 2 12" xfId="26098"/>
    <cellStyle name="asd 46 2 4 2 13" xfId="2522"/>
    <cellStyle name="asd 46 2 4 2 14" xfId="20430"/>
    <cellStyle name="asd 46 2 4 2 15" xfId="15371"/>
    <cellStyle name="asd 46 2 4 2 16" xfId="3332"/>
    <cellStyle name="asd 46 2 4 2 17" xfId="31698"/>
    <cellStyle name="asd 46 2 4 2 18" xfId="36925"/>
    <cellStyle name="asd 46 2 4 2 19" xfId="38804"/>
    <cellStyle name="asd 46 2 4 2 2" xfId="7495"/>
    <cellStyle name="asd 46 2 4 2 20" xfId="29070"/>
    <cellStyle name="asd 46 2 4 2 21" xfId="3865"/>
    <cellStyle name="asd 46 2 4 2 22" xfId="31536"/>
    <cellStyle name="asd 46 2 4 2 3" xfId="8949"/>
    <cellStyle name="asd 46 2 4 2 4" xfId="10859"/>
    <cellStyle name="asd 46 2 4 2 5" xfId="2860"/>
    <cellStyle name="asd 46 2 4 2 6" xfId="3947"/>
    <cellStyle name="asd 46 2 4 2 7" xfId="3963"/>
    <cellStyle name="asd 46 2 4 2 8" xfId="18478"/>
    <cellStyle name="asd 46 2 4 2 9" xfId="20384"/>
    <cellStyle name="asd 46 2 4 20" xfId="38196"/>
    <cellStyle name="asd 46 2 4 21" xfId="39593"/>
    <cellStyle name="asd 46 2 4 22" xfId="41267"/>
    <cellStyle name="asd 46 2 4 23" xfId="42848"/>
    <cellStyle name="asd 46 2 4 3" xfId="6887"/>
    <cellStyle name="asd 46 2 4 4" xfId="8341"/>
    <cellStyle name="asd 46 2 4 5" xfId="10251"/>
    <cellStyle name="asd 46 2 4 6" xfId="12669"/>
    <cellStyle name="asd 46 2 4 7" xfId="13536"/>
    <cellStyle name="asd 46 2 4 8" xfId="15439"/>
    <cellStyle name="asd 46 2 4 9" xfId="17870"/>
    <cellStyle name="asd 46 2 5" xfId="4982"/>
    <cellStyle name="asd 46 2 5 10" xfId="21230"/>
    <cellStyle name="asd 46 2 5 11" xfId="23355"/>
    <cellStyle name="asd 46 2 5 12" xfId="25032"/>
    <cellStyle name="asd 46 2 5 13" xfId="26400"/>
    <cellStyle name="asd 46 2 5 14" xfId="27989"/>
    <cellStyle name="asd 46 2 5 15" xfId="30008"/>
    <cellStyle name="asd 46 2 5 16" xfId="32354"/>
    <cellStyle name="asd 46 2 5 17" xfId="33887"/>
    <cellStyle name="asd 46 2 5 18" xfId="35859"/>
    <cellStyle name="asd 46 2 5 19" xfId="37738"/>
    <cellStyle name="asd 46 2 5 2" xfId="6432"/>
    <cellStyle name="asd 46 2 5 20" xfId="39573"/>
    <cellStyle name="asd 46 2 5 21" xfId="41247"/>
    <cellStyle name="asd 46 2 5 22" xfId="43125"/>
    <cellStyle name="asd 46 2 5 3" xfId="7883"/>
    <cellStyle name="asd 46 2 5 4" xfId="9793"/>
    <cellStyle name="asd 46 2 5 5" xfId="12269"/>
    <cellStyle name="asd 46 2 5 6" xfId="13827"/>
    <cellStyle name="asd 46 2 5 7" xfId="15729"/>
    <cellStyle name="asd 46 2 5 8" xfId="17412"/>
    <cellStyle name="asd 46 2 5 9" xfId="19318"/>
    <cellStyle name="asd 46 2 6" xfId="5631"/>
    <cellStyle name="asd 46 2 6 10" xfId="21881"/>
    <cellStyle name="asd 46 2 6 11" xfId="23332"/>
    <cellStyle name="asd 46 2 6 12" xfId="25683"/>
    <cellStyle name="asd 46 2 6 13" xfId="3097"/>
    <cellStyle name="asd 46 2 6 14" xfId="4300"/>
    <cellStyle name="asd 46 2 6 15" xfId="29145"/>
    <cellStyle name="asd 46 2 6 16" xfId="29763"/>
    <cellStyle name="asd 46 2 6 17" xfId="28650"/>
    <cellStyle name="asd 46 2 6 18" xfId="36510"/>
    <cellStyle name="asd 46 2 6 19" xfId="38389"/>
    <cellStyle name="asd 46 2 6 2" xfId="7080"/>
    <cellStyle name="asd 46 2 6 20" xfId="31561"/>
    <cellStyle name="asd 46 2 6 21" xfId="33671"/>
    <cellStyle name="asd 46 2 6 22" xfId="43102"/>
    <cellStyle name="asd 46 2 6 3" xfId="8534"/>
    <cellStyle name="asd 46 2 6 4" xfId="10444"/>
    <cellStyle name="asd 46 2 6 5" xfId="11144"/>
    <cellStyle name="asd 46 2 6 6" xfId="13804"/>
    <cellStyle name="asd 46 2 6 7" xfId="15706"/>
    <cellStyle name="asd 46 2 6 8" xfId="18063"/>
    <cellStyle name="asd 46 2 6 9" xfId="19969"/>
    <cellStyle name="asd 46 2 7" xfId="6707"/>
    <cellStyle name="asd 46 2 8" xfId="9365"/>
    <cellStyle name="asd 46 2 9" xfId="11801"/>
    <cellStyle name="asd 46 20" xfId="5404"/>
    <cellStyle name="asd 46 21" xfId="13661"/>
    <cellStyle name="asd 46 22" xfId="26135"/>
    <cellStyle name="asd 46 23" xfId="28543"/>
    <cellStyle name="asd 46 24" xfId="3897"/>
    <cellStyle name="asd 46 25" xfId="28812"/>
    <cellStyle name="asd 46 26" xfId="23293"/>
    <cellStyle name="asd 46 27" xfId="42169"/>
    <cellStyle name="asd 46 3" xfId="3385"/>
    <cellStyle name="asd 46 3 10" xfId="13767"/>
    <cellStyle name="asd 46 3 11" xfId="15669"/>
    <cellStyle name="asd 46 3 12" xfId="16712"/>
    <cellStyle name="asd 46 3 13" xfId="18619"/>
    <cellStyle name="asd 46 3 14" xfId="20531"/>
    <cellStyle name="asd 46 3 15" xfId="23295"/>
    <cellStyle name="asd 46 3 16" xfId="24333"/>
    <cellStyle name="asd 46 3 17" xfId="26679"/>
    <cellStyle name="asd 46 3 18" xfId="28932"/>
    <cellStyle name="asd 46 3 19" xfId="30279"/>
    <cellStyle name="asd 46 3 2" xfId="3565"/>
    <cellStyle name="asd 46 3 2 10" xfId="17456"/>
    <cellStyle name="asd 46 3 2 11" xfId="19362"/>
    <cellStyle name="asd 46 3 2 12" xfId="21274"/>
    <cellStyle name="asd 46 3 2 13" xfId="22584"/>
    <cellStyle name="asd 46 3 2 14" xfId="25076"/>
    <cellStyle name="asd 46 3 2 15" xfId="27702"/>
    <cellStyle name="asd 46 3 2 16" xfId="2095"/>
    <cellStyle name="asd 46 3 2 17" xfId="31276"/>
    <cellStyle name="asd 46 3 2 18" xfId="32598"/>
    <cellStyle name="asd 46 3 2 19" xfId="34817"/>
    <cellStyle name="asd 46 3 2 2" xfId="4454"/>
    <cellStyle name="asd 46 3 2 2 10" xfId="20699"/>
    <cellStyle name="asd 46 3 2 2 11" xfId="23106"/>
    <cellStyle name="asd 46 3 2 2 12" xfId="24501"/>
    <cellStyle name="asd 46 3 2 2 13" xfId="26747"/>
    <cellStyle name="asd 46 3 2 2 14" xfId="22322"/>
    <cellStyle name="asd 46 3 2 2 15" xfId="30346"/>
    <cellStyle name="asd 46 3 2 2 16" xfId="31620"/>
    <cellStyle name="asd 46 3 2 2 17" xfId="32883"/>
    <cellStyle name="asd 46 3 2 2 18" xfId="35329"/>
    <cellStyle name="asd 46 3 2 2 19" xfId="37207"/>
    <cellStyle name="asd 46 3 2 2 2" xfId="5311"/>
    <cellStyle name="asd 46 3 2 2 20" xfId="38867"/>
    <cellStyle name="asd 46 3 2 2 21" xfId="40553"/>
    <cellStyle name="asd 46 3 2 2 22" xfId="42886"/>
    <cellStyle name="asd 46 3 2 2 3" xfId="6728"/>
    <cellStyle name="asd 46 3 2 2 4" xfId="9261"/>
    <cellStyle name="asd 46 3 2 2 5" xfId="12719"/>
    <cellStyle name="asd 46 3 2 2 6" xfId="13577"/>
    <cellStyle name="asd 46 3 2 2 7" xfId="15480"/>
    <cellStyle name="asd 46 3 2 2 8" xfId="16880"/>
    <cellStyle name="asd 46 3 2 2 9" xfId="18787"/>
    <cellStyle name="asd 46 3 2 20" xfId="35903"/>
    <cellStyle name="asd 46 3 2 21" xfId="37782"/>
    <cellStyle name="asd 46 3 2 22" xfId="39809"/>
    <cellStyle name="asd 46 3 2 23" xfId="41478"/>
    <cellStyle name="asd 46 3 2 24" xfId="42393"/>
    <cellStyle name="asd 46 3 2 3" xfId="5026"/>
    <cellStyle name="asd 46 3 2 4" xfId="6476"/>
    <cellStyle name="asd 46 3 2 5" xfId="7927"/>
    <cellStyle name="asd 46 3 2 6" xfId="9837"/>
    <cellStyle name="asd 46 3 2 7" xfId="12767"/>
    <cellStyle name="asd 46 3 2 8" xfId="13052"/>
    <cellStyle name="asd 46 3 2 9" xfId="14956"/>
    <cellStyle name="asd 46 3 20" xfId="31803"/>
    <cellStyle name="asd 46 3 21" xfId="34302"/>
    <cellStyle name="asd 46 3 22" xfId="35161"/>
    <cellStyle name="asd 46 3 23" xfId="37039"/>
    <cellStyle name="asd 46 3 24" xfId="39041"/>
    <cellStyle name="asd 46 3 25" xfId="40723"/>
    <cellStyle name="asd 46 3 26" xfId="43068"/>
    <cellStyle name="asd 46 3 3" xfId="3758"/>
    <cellStyle name="asd 46 3 3 10" xfId="19506"/>
    <cellStyle name="asd 46 3 3 11" xfId="21418"/>
    <cellStyle name="asd 46 3 3 12" xfId="23860"/>
    <cellStyle name="asd 46 3 3 13" xfId="25220"/>
    <cellStyle name="asd 46 3 3 14" xfId="27590"/>
    <cellStyle name="asd 46 3 3 15" xfId="28802"/>
    <cellStyle name="asd 46 3 3 16" xfId="31169"/>
    <cellStyle name="asd 46 3 3 17" xfId="31724"/>
    <cellStyle name="asd 46 3 3 18" xfId="33554"/>
    <cellStyle name="asd 46 3 3 19" xfId="36047"/>
    <cellStyle name="asd 46 3 3 2" xfId="5776"/>
    <cellStyle name="asd 46 3 3 2 10" xfId="22026"/>
    <cellStyle name="asd 46 3 3 2 11" xfId="2743"/>
    <cellStyle name="asd 46 3 3 2 12" xfId="25828"/>
    <cellStyle name="asd 46 3 3 2 13" xfId="2310"/>
    <cellStyle name="asd 46 3 3 2 14" xfId="1995"/>
    <cellStyle name="asd 46 3 3 2 15" xfId="29684"/>
    <cellStyle name="asd 46 3 3 2 16" xfId="13570"/>
    <cellStyle name="asd 46 3 3 2 17" xfId="29737"/>
    <cellStyle name="asd 46 3 3 2 18" xfId="36655"/>
    <cellStyle name="asd 46 3 3 2 19" xfId="38534"/>
    <cellStyle name="asd 46 3 3 2 2" xfId="7225"/>
    <cellStyle name="asd 46 3 3 2 20" xfId="4183"/>
    <cellStyle name="asd 46 3 3 2 21" xfId="26212"/>
    <cellStyle name="asd 46 3 3 2 22" xfId="32632"/>
    <cellStyle name="asd 46 3 3 2 3" xfId="8679"/>
    <cellStyle name="asd 46 3 3 2 4" xfId="10589"/>
    <cellStyle name="asd 46 3 3 2 5" xfId="12194"/>
    <cellStyle name="asd 46 3 3 2 6" xfId="3178"/>
    <cellStyle name="asd 46 3 3 2 7" xfId="3246"/>
    <cellStyle name="asd 46 3 3 2 8" xfId="18208"/>
    <cellStyle name="asd 46 3 3 2 9" xfId="20114"/>
    <cellStyle name="asd 46 3 3 20" xfId="37926"/>
    <cellStyle name="asd 46 3 3 21" xfId="38965"/>
    <cellStyle name="asd 46 3 3 22" xfId="40648"/>
    <cellStyle name="asd 46 3 3 23" xfId="43610"/>
    <cellStyle name="asd 46 3 3 3" xfId="5170"/>
    <cellStyle name="asd 46 3 3 4" xfId="8071"/>
    <cellStyle name="asd 46 3 3 5" xfId="9981"/>
    <cellStyle name="asd 46 3 3 6" xfId="11561"/>
    <cellStyle name="asd 46 3 3 7" xfId="14330"/>
    <cellStyle name="asd 46 3 3 8" xfId="16234"/>
    <cellStyle name="asd 46 3 3 9" xfId="17600"/>
    <cellStyle name="asd 46 3 4" xfId="4017"/>
    <cellStyle name="asd 46 3 4 10" xfId="19652"/>
    <cellStyle name="asd 46 3 4 11" xfId="21564"/>
    <cellStyle name="asd 46 3 4 12" xfId="1830"/>
    <cellStyle name="asd 46 3 4 13" xfId="25366"/>
    <cellStyle name="asd 46 3 4 14" xfId="2827"/>
    <cellStyle name="asd 46 3 4 15" xfId="2228"/>
    <cellStyle name="asd 46 3 4 16" xfId="16588"/>
    <cellStyle name="asd 46 3 4 17" xfId="6668"/>
    <cellStyle name="asd 46 3 4 18" xfId="18511"/>
    <cellStyle name="asd 46 3 4 19" xfId="36193"/>
    <cellStyle name="asd 46 3 4 2" xfId="5922"/>
    <cellStyle name="asd 46 3 4 2 10" xfId="22172"/>
    <cellStyle name="asd 46 3 4 2 11" xfId="22417"/>
    <cellStyle name="asd 46 3 4 2 12" xfId="25974"/>
    <cellStyle name="asd 46 3 4 2 13" xfId="8969"/>
    <cellStyle name="asd 46 3 4 2 14" xfId="16557"/>
    <cellStyle name="asd 46 3 4 2 15" xfId="4169"/>
    <cellStyle name="asd 46 3 4 2 16" xfId="29026"/>
    <cellStyle name="asd 46 3 4 2 17" xfId="23095"/>
    <cellStyle name="asd 46 3 4 2 18" xfId="36801"/>
    <cellStyle name="asd 46 3 4 2 19" xfId="38680"/>
    <cellStyle name="asd 46 3 4 2 2" xfId="7371"/>
    <cellStyle name="asd 46 3 4 2 20" xfId="31674"/>
    <cellStyle name="asd 46 3 4 2 21" xfId="18515"/>
    <cellStyle name="asd 46 3 4 2 22" xfId="42228"/>
    <cellStyle name="asd 46 3 4 2 3" xfId="8825"/>
    <cellStyle name="asd 46 3 4 2 4" xfId="10735"/>
    <cellStyle name="asd 46 3 4 2 5" xfId="12382"/>
    <cellStyle name="asd 46 3 4 2 6" xfId="12884"/>
    <cellStyle name="asd 46 3 4 2 7" xfId="14789"/>
    <cellStyle name="asd 46 3 4 2 8" xfId="18354"/>
    <cellStyle name="asd 46 3 4 2 9" xfId="20260"/>
    <cellStyle name="asd 46 3 4 20" xfId="38072"/>
    <cellStyle name="asd 46 3 4 21" xfId="2157"/>
    <cellStyle name="asd 46 3 4 22" xfId="36939"/>
    <cellStyle name="asd 46 3 4 23" xfId="33675"/>
    <cellStyle name="asd 46 3 4 3" xfId="6763"/>
    <cellStyle name="asd 46 3 4 4" xfId="8217"/>
    <cellStyle name="asd 46 3 4 5" xfId="10127"/>
    <cellStyle name="asd 46 3 4 6" xfId="11017"/>
    <cellStyle name="asd 46 3 4 7" xfId="2526"/>
    <cellStyle name="asd 46 3 4 8" xfId="2169"/>
    <cellStyle name="asd 46 3 4 9" xfId="17746"/>
    <cellStyle name="asd 46 3 5" xfId="4886"/>
    <cellStyle name="asd 46 3 5 10" xfId="21134"/>
    <cellStyle name="asd 46 3 5 11" xfId="22602"/>
    <cellStyle name="asd 46 3 5 12" xfId="24936"/>
    <cellStyle name="asd 46 3 5 13" xfId="26174"/>
    <cellStyle name="asd 46 3 5 14" xfId="29222"/>
    <cellStyle name="asd 46 3 5 15" xfId="29787"/>
    <cellStyle name="asd 46 3 5 16" xfId="32329"/>
    <cellStyle name="asd 46 3 5 17" xfId="34438"/>
    <cellStyle name="asd 46 3 5 18" xfId="35763"/>
    <cellStyle name="asd 46 3 5 19" xfId="37642"/>
    <cellStyle name="asd 46 3 5 2" xfId="6336"/>
    <cellStyle name="asd 46 3 5 20" xfId="39548"/>
    <cellStyle name="asd 46 3 5 21" xfId="41222"/>
    <cellStyle name="asd 46 3 5 22" xfId="42411"/>
    <cellStyle name="asd 46 3 5 3" xfId="7787"/>
    <cellStyle name="asd 46 3 5 4" xfId="9697"/>
    <cellStyle name="asd 46 3 5 5" xfId="4324"/>
    <cellStyle name="asd 46 3 5 6" xfId="13070"/>
    <cellStyle name="asd 46 3 5 7" xfId="14974"/>
    <cellStyle name="asd 46 3 5 8" xfId="17316"/>
    <cellStyle name="asd 46 3 5 9" xfId="19222"/>
    <cellStyle name="asd 46 3 6" xfId="5720"/>
    <cellStyle name="asd 46 3 6 10" xfId="21970"/>
    <cellStyle name="asd 46 3 6 11" xfId="23802"/>
    <cellStyle name="asd 46 3 6 12" xfId="25772"/>
    <cellStyle name="asd 46 3 6 13" xfId="27276"/>
    <cellStyle name="asd 46 3 6 14" xfId="29492"/>
    <cellStyle name="asd 46 3 6 15" xfId="30868"/>
    <cellStyle name="asd 46 3 6 16" xfId="32281"/>
    <cellStyle name="asd 46 3 6 17" xfId="33842"/>
    <cellStyle name="asd 46 3 6 18" xfId="36599"/>
    <cellStyle name="asd 46 3 6 19" xfId="38478"/>
    <cellStyle name="asd 46 3 6 2" xfId="7169"/>
    <cellStyle name="asd 46 3 6 20" xfId="39500"/>
    <cellStyle name="asd 46 3 6 21" xfId="41175"/>
    <cellStyle name="asd 46 3 6 22" xfId="43554"/>
    <cellStyle name="asd 46 3 6 3" xfId="8623"/>
    <cellStyle name="asd 46 3 6 4" xfId="10533"/>
    <cellStyle name="asd 46 3 6 5" xfId="11460"/>
    <cellStyle name="asd 46 3 6 6" xfId="14272"/>
    <cellStyle name="asd 46 3 6 7" xfId="16176"/>
    <cellStyle name="asd 46 3 6 8" xfId="18152"/>
    <cellStyle name="asd 46 3 6 9" xfId="20058"/>
    <cellStyle name="asd 46 3 7" xfId="6247"/>
    <cellStyle name="asd 46 3 8" xfId="9093"/>
    <cellStyle name="asd 46 3 9" xfId="11264"/>
    <cellStyle name="asd 46 4" xfId="3460"/>
    <cellStyle name="asd 46 4 10" xfId="15397"/>
    <cellStyle name="asd 46 4 11" xfId="16871"/>
    <cellStyle name="asd 46 4 12" xfId="18778"/>
    <cellStyle name="asd 46 4 13" xfId="20690"/>
    <cellStyle name="asd 46 4 14" xfId="23023"/>
    <cellStyle name="asd 46 4 15" xfId="24492"/>
    <cellStyle name="asd 46 4 16" xfId="27786"/>
    <cellStyle name="asd 46 4 17" xfId="29023"/>
    <cellStyle name="asd 46 4 18" xfId="31363"/>
    <cellStyle name="asd 46 4 19" xfId="32525"/>
    <cellStyle name="asd 46 4 2" xfId="3640"/>
    <cellStyle name="asd 46 4 2 10" xfId="17531"/>
    <cellStyle name="asd 46 4 2 11" xfId="19437"/>
    <cellStyle name="asd 46 4 2 12" xfId="21349"/>
    <cellStyle name="asd 46 4 2 13" xfId="23055"/>
    <cellStyle name="asd 46 4 2 14" xfId="25151"/>
    <cellStyle name="asd 46 4 2 15" xfId="27706"/>
    <cellStyle name="asd 46 4 2 16" xfId="28778"/>
    <cellStyle name="asd 46 4 2 17" xfId="31281"/>
    <cellStyle name="asd 46 4 2 18" xfId="32796"/>
    <cellStyle name="asd 46 4 2 19" xfId="33846"/>
    <cellStyle name="asd 46 4 2 2" xfId="4426"/>
    <cellStyle name="asd 46 4 2 2 10" xfId="20670"/>
    <cellStyle name="asd 46 4 2 2 11" xfId="23368"/>
    <cellStyle name="asd 46 4 2 2 12" xfId="24472"/>
    <cellStyle name="asd 46 4 2 2 13" xfId="27704"/>
    <cellStyle name="asd 46 4 2 2 14" xfId="29367"/>
    <cellStyle name="asd 46 4 2 2 15" xfId="31278"/>
    <cellStyle name="asd 46 4 2 2 16" xfId="32362"/>
    <cellStyle name="asd 46 4 2 2 17" xfId="34828"/>
    <cellStyle name="asd 46 4 2 2 18" xfId="35300"/>
    <cellStyle name="asd 46 4 2 2 19" xfId="37178"/>
    <cellStyle name="asd 46 4 2 2 2" xfId="4688"/>
    <cellStyle name="asd 46 4 2 2 20" xfId="39581"/>
    <cellStyle name="asd 46 4 2 2 21" xfId="41255"/>
    <cellStyle name="asd 46 4 2 2 22" xfId="43137"/>
    <cellStyle name="asd 46 4 2 2 3" xfId="6150"/>
    <cellStyle name="asd 46 4 2 2 4" xfId="9232"/>
    <cellStyle name="asd 46 4 2 2 5" xfId="12256"/>
    <cellStyle name="asd 46 4 2 2 6" xfId="13840"/>
    <cellStyle name="asd 46 4 2 2 7" xfId="15741"/>
    <cellStyle name="asd 46 4 2 2 8" xfId="16851"/>
    <cellStyle name="asd 46 4 2 2 9" xfId="18758"/>
    <cellStyle name="asd 46 4 2 20" xfId="35978"/>
    <cellStyle name="asd 46 4 2 21" xfId="37857"/>
    <cellStyle name="asd 46 4 2 22" xfId="40005"/>
    <cellStyle name="asd 46 4 2 23" xfId="41669"/>
    <cellStyle name="asd 46 4 2 24" xfId="42838"/>
    <cellStyle name="asd 46 4 2 3" xfId="5101"/>
    <cellStyle name="asd 46 4 2 4" xfId="6551"/>
    <cellStyle name="asd 46 4 2 5" xfId="8002"/>
    <cellStyle name="asd 46 4 2 6" xfId="9912"/>
    <cellStyle name="asd 46 4 2 7" xfId="12658"/>
    <cellStyle name="asd 46 4 2 8" xfId="13526"/>
    <cellStyle name="asd 46 4 2 9" xfId="15429"/>
    <cellStyle name="asd 46 4 20" xfId="34980"/>
    <cellStyle name="asd 46 4 21" xfId="35320"/>
    <cellStyle name="asd 46 4 22" xfId="37198"/>
    <cellStyle name="asd 46 4 23" xfId="39738"/>
    <cellStyle name="asd 46 4 24" xfId="41410"/>
    <cellStyle name="asd 46 4 25" xfId="42806"/>
    <cellStyle name="asd 46 4 3" xfId="3801"/>
    <cellStyle name="asd 46 4 3 10" xfId="19536"/>
    <cellStyle name="asd 46 4 3 11" xfId="21448"/>
    <cellStyle name="asd 46 4 3 12" xfId="23098"/>
    <cellStyle name="asd 46 4 3 13" xfId="25250"/>
    <cellStyle name="asd 46 4 3 14" xfId="27204"/>
    <cellStyle name="asd 46 4 3 15" xfId="28420"/>
    <cellStyle name="asd 46 4 3 16" xfId="30795"/>
    <cellStyle name="asd 46 4 3 17" xfId="32720"/>
    <cellStyle name="asd 46 4 3 18" xfId="34554"/>
    <cellStyle name="asd 46 4 3 19" xfId="36077"/>
    <cellStyle name="asd 46 4 3 2" xfId="5806"/>
    <cellStyle name="asd 46 4 3 2 10" xfId="22056"/>
    <cellStyle name="asd 46 4 3 2 11" xfId="22731"/>
    <cellStyle name="asd 46 4 3 2 12" xfId="25858"/>
    <cellStyle name="asd 46 4 3 2 13" xfId="27142"/>
    <cellStyle name="asd 46 4 3 2 14" xfId="28551"/>
    <cellStyle name="asd 46 4 3 2 15" xfId="30733"/>
    <cellStyle name="asd 46 4 3 2 16" xfId="32714"/>
    <cellStyle name="asd 46 4 3 2 17" xfId="34217"/>
    <cellStyle name="asd 46 4 3 2 18" xfId="36685"/>
    <cellStyle name="asd 46 4 3 2 19" xfId="38564"/>
    <cellStyle name="asd 46 4 3 2 2" xfId="7255"/>
    <cellStyle name="asd 46 4 3 2 20" xfId="39925"/>
    <cellStyle name="asd 46 4 3 2 21" xfId="41591"/>
    <cellStyle name="asd 46 4 3 2 22" xfId="42529"/>
    <cellStyle name="asd 46 4 3 2 3" xfId="8709"/>
    <cellStyle name="asd 46 4 3 2 4" xfId="10619"/>
    <cellStyle name="asd 46 4 3 2 5" xfId="11775"/>
    <cellStyle name="asd 46 4 3 2 6" xfId="13200"/>
    <cellStyle name="asd 46 4 3 2 7" xfId="15103"/>
    <cellStyle name="asd 46 4 3 2 8" xfId="18238"/>
    <cellStyle name="asd 46 4 3 2 9" xfId="20144"/>
    <cellStyle name="asd 46 4 3 20" xfId="37956"/>
    <cellStyle name="asd 46 4 3 21" xfId="39930"/>
    <cellStyle name="asd 46 4 3 22" xfId="41596"/>
    <cellStyle name="asd 46 4 3 23" xfId="42879"/>
    <cellStyle name="asd 46 4 3 3" xfId="5200"/>
    <cellStyle name="asd 46 4 3 4" xfId="8101"/>
    <cellStyle name="asd 46 4 3 5" xfId="10011"/>
    <cellStyle name="asd 46 4 3 6" xfId="12710"/>
    <cellStyle name="asd 46 4 3 7" xfId="13569"/>
    <cellStyle name="asd 46 4 3 8" xfId="15472"/>
    <cellStyle name="asd 46 4 3 9" xfId="17630"/>
    <cellStyle name="asd 46 4 4" xfId="4092"/>
    <cellStyle name="asd 46 4 4 10" xfId="19727"/>
    <cellStyle name="asd 46 4 4 11" xfId="21639"/>
    <cellStyle name="asd 46 4 4 12" xfId="23561"/>
    <cellStyle name="asd 46 4 4 13" xfId="25441"/>
    <cellStyle name="asd 46 4 4 14" xfId="27074"/>
    <cellStyle name="asd 46 4 4 15" xfId="28813"/>
    <cellStyle name="asd 46 4 4 16" xfId="30665"/>
    <cellStyle name="asd 46 4 4 17" xfId="31697"/>
    <cellStyle name="asd 46 4 4 18" xfId="35021"/>
    <cellStyle name="asd 46 4 4 19" xfId="36268"/>
    <cellStyle name="asd 46 4 4 2" xfId="5997"/>
    <cellStyle name="asd 46 4 4 2 10" xfId="22247"/>
    <cellStyle name="asd 46 4 4 2 11" xfId="22457"/>
    <cellStyle name="asd 46 4 4 2 12" xfId="26049"/>
    <cellStyle name="asd 46 4 4 2 13" xfId="27970"/>
    <cellStyle name="asd 46 4 4 2 14" xfId="3062"/>
    <cellStyle name="asd 46 4 4 2 15" xfId="31550"/>
    <cellStyle name="asd 46 4 4 2 16" xfId="3743"/>
    <cellStyle name="asd 46 4 4 2 17" xfId="31279"/>
    <cellStyle name="asd 46 4 4 2 18" xfId="36876"/>
    <cellStyle name="asd 46 4 4 2 19" xfId="38755"/>
    <cellStyle name="asd 46 4 4 2 2" xfId="7446"/>
    <cellStyle name="asd 46 4 4 2 20" xfId="37383"/>
    <cellStyle name="asd 46 4 4 2 21" xfId="35045"/>
    <cellStyle name="asd 46 4 4 2 22" xfId="42268"/>
    <cellStyle name="asd 46 4 4 2 3" xfId="8900"/>
    <cellStyle name="asd 46 4 4 2 4" xfId="10810"/>
    <cellStyle name="asd 46 4 4 2 5" xfId="12185"/>
    <cellStyle name="asd 46 4 4 2 6" xfId="12925"/>
    <cellStyle name="asd 46 4 4 2 7" xfId="14830"/>
    <cellStyle name="asd 46 4 4 2 8" xfId="18429"/>
    <cellStyle name="asd 46 4 4 2 9" xfId="20335"/>
    <cellStyle name="asd 46 4 4 20" xfId="38147"/>
    <cellStyle name="asd 46 4 4 21" xfId="38939"/>
    <cellStyle name="asd 46 4 4 22" xfId="40623"/>
    <cellStyle name="asd 46 4 4 23" xfId="43325"/>
    <cellStyle name="asd 46 4 4 3" xfId="6838"/>
    <cellStyle name="asd 46 4 4 4" xfId="8292"/>
    <cellStyle name="asd 46 4 4 5" xfId="10202"/>
    <cellStyle name="asd 46 4 4 6" xfId="12555"/>
    <cellStyle name="asd 46 4 4 7" xfId="14033"/>
    <cellStyle name="asd 46 4 4 8" xfId="15934"/>
    <cellStyle name="asd 46 4 4 9" xfId="17821"/>
    <cellStyle name="asd 46 4 5" xfId="5619"/>
    <cellStyle name="asd 46 4 5 10" xfId="21869"/>
    <cellStyle name="asd 46 4 5 11" xfId="24094"/>
    <cellStyle name="asd 46 4 5 12" xfId="25671"/>
    <cellStyle name="asd 46 4 5 13" xfId="27528"/>
    <cellStyle name="asd 46 4 5 14" xfId="29449"/>
    <cellStyle name="asd 46 4 5 15" xfId="31110"/>
    <cellStyle name="asd 46 4 5 16" xfId="32647"/>
    <cellStyle name="asd 46 4 5 17" xfId="33480"/>
    <cellStyle name="asd 46 4 5 18" xfId="36498"/>
    <cellStyle name="asd 46 4 5 19" xfId="38377"/>
    <cellStyle name="asd 46 4 5 2" xfId="7068"/>
    <cellStyle name="asd 46 4 5 20" xfId="39854"/>
    <cellStyle name="asd 46 4 5 21" xfId="41523"/>
    <cellStyle name="asd 46 4 5 22" xfId="43837"/>
    <cellStyle name="asd 46 4 5 3" xfId="8522"/>
    <cellStyle name="asd 46 4 5 4" xfId="10432"/>
    <cellStyle name="asd 46 4 5 5" xfId="12053"/>
    <cellStyle name="asd 46 4 5 6" xfId="14564"/>
    <cellStyle name="asd 46 4 5 7" xfId="16470"/>
    <cellStyle name="asd 46 4 5 8" xfId="18051"/>
    <cellStyle name="asd 46 4 5 9" xfId="19957"/>
    <cellStyle name="asd 46 4 6" xfId="4443"/>
    <cellStyle name="asd 46 4 7" xfId="9252"/>
    <cellStyle name="asd 46 4 8" xfId="12611"/>
    <cellStyle name="asd 46 4 9" xfId="13493"/>
    <cellStyle name="asd 46 5" xfId="3309"/>
    <cellStyle name="asd 46 5 10" xfId="17289"/>
    <cellStyle name="asd 46 5 11" xfId="19195"/>
    <cellStyle name="asd 46 5 12" xfId="21107"/>
    <cellStyle name="asd 46 5 13" xfId="23650"/>
    <cellStyle name="asd 46 5 14" xfId="24909"/>
    <cellStyle name="asd 46 5 15" xfId="27579"/>
    <cellStyle name="asd 46 5 16" xfId="28705"/>
    <cellStyle name="asd 46 5 17" xfId="31158"/>
    <cellStyle name="asd 46 5 18" xfId="31966"/>
    <cellStyle name="asd 46 5 19" xfId="33838"/>
    <cellStyle name="asd 46 5 2" xfId="5737"/>
    <cellStyle name="asd 46 5 2 10" xfId="21987"/>
    <cellStyle name="asd 46 5 2 11" xfId="23595"/>
    <cellStyle name="asd 46 5 2 12" xfId="25789"/>
    <cellStyle name="asd 46 5 2 13" xfId="26318"/>
    <cellStyle name="asd 46 5 2 14" xfId="2965"/>
    <cellStyle name="asd 46 5 2 15" xfId="29926"/>
    <cellStyle name="asd 46 5 2 16" xfId="32013"/>
    <cellStyle name="asd 46 5 2 17" xfId="33514"/>
    <cellStyle name="asd 46 5 2 18" xfId="36616"/>
    <cellStyle name="asd 46 5 2 19" xfId="38495"/>
    <cellStyle name="asd 46 5 2 2" xfId="7186"/>
    <cellStyle name="asd 46 5 2 20" xfId="39244"/>
    <cellStyle name="asd 46 5 2 21" xfId="40921"/>
    <cellStyle name="asd 46 5 2 22" xfId="43354"/>
    <cellStyle name="asd 46 5 2 3" xfId="8640"/>
    <cellStyle name="asd 46 5 2 4" xfId="10550"/>
    <cellStyle name="asd 46 5 2 5" xfId="11226"/>
    <cellStyle name="asd 46 5 2 6" xfId="14065"/>
    <cellStyle name="asd 46 5 2 7" xfId="15968"/>
    <cellStyle name="asd 46 5 2 8" xfId="18169"/>
    <cellStyle name="asd 46 5 2 9" xfId="20075"/>
    <cellStyle name="asd 46 5 20" xfId="35736"/>
    <cellStyle name="asd 46 5 21" xfId="37615"/>
    <cellStyle name="asd 46 5 22" xfId="39195"/>
    <cellStyle name="asd 46 5 23" xfId="40876"/>
    <cellStyle name="asd 46 5 24" xfId="43408"/>
    <cellStyle name="asd 46 5 3" xfId="4859"/>
    <cellStyle name="asd 46 5 4" xfId="6309"/>
    <cellStyle name="asd 46 5 5" xfId="7760"/>
    <cellStyle name="asd 46 5 6" xfId="9670"/>
    <cellStyle name="asd 46 5 7" xfId="11519"/>
    <cellStyle name="asd 46 5 8" xfId="14120"/>
    <cellStyle name="asd 46 5 9" xfId="16023"/>
    <cellStyle name="asd 46 6" xfId="2205"/>
    <cellStyle name="asd 46 6 10" xfId="19032"/>
    <cellStyle name="asd 46 6 11" xfId="20944"/>
    <cellStyle name="asd 46 6 12" xfId="23836"/>
    <cellStyle name="asd 46 6 13" xfId="24746"/>
    <cellStyle name="asd 46 6 14" xfId="27710"/>
    <cellStyle name="asd 46 6 15" xfId="12822"/>
    <cellStyle name="asd 46 6 16" xfId="31286"/>
    <cellStyle name="asd 46 6 17" xfId="32182"/>
    <cellStyle name="asd 46 6 18" xfId="28364"/>
    <cellStyle name="asd 46 6 19" xfId="35573"/>
    <cellStyle name="asd 46 6 2" xfId="4515"/>
    <cellStyle name="asd 46 6 2 10" xfId="20760"/>
    <cellStyle name="asd 46 6 2 11" xfId="23379"/>
    <cellStyle name="asd 46 6 2 12" xfId="24562"/>
    <cellStyle name="asd 46 6 2 13" xfId="26160"/>
    <cellStyle name="asd 46 6 2 14" xfId="28368"/>
    <cellStyle name="asd 46 6 2 15" xfId="29774"/>
    <cellStyle name="asd 46 6 2 16" xfId="32211"/>
    <cellStyle name="asd 46 6 2 17" xfId="34526"/>
    <cellStyle name="asd 46 6 2 18" xfId="35390"/>
    <cellStyle name="asd 46 6 2 19" xfId="37268"/>
    <cellStyle name="asd 46 6 2 2" xfId="4402"/>
    <cellStyle name="asd 46 6 2 20" xfId="39431"/>
    <cellStyle name="asd 46 6 2 21" xfId="41107"/>
    <cellStyle name="asd 46 6 2 22" xfId="43146"/>
    <cellStyle name="asd 46 6 2 3" xfId="4743"/>
    <cellStyle name="asd 46 6 2 4" xfId="9322"/>
    <cellStyle name="asd 46 6 2 5" xfId="12266"/>
    <cellStyle name="asd 46 6 2 6" xfId="13851"/>
    <cellStyle name="asd 46 6 2 7" xfId="15752"/>
    <cellStyle name="asd 46 6 2 8" xfId="16941"/>
    <cellStyle name="asd 46 6 2 9" xfId="18848"/>
    <cellStyle name="asd 46 6 20" xfId="37452"/>
    <cellStyle name="asd 46 6 21" xfId="39404"/>
    <cellStyle name="asd 46 6 22" xfId="41080"/>
    <cellStyle name="asd 46 6 23" xfId="43587"/>
    <cellStyle name="asd 46 6 3" xfId="4698"/>
    <cellStyle name="asd 46 6 4" xfId="7597"/>
    <cellStyle name="asd 46 6 5" xfId="9507"/>
    <cellStyle name="asd 46 6 6" xfId="12615"/>
    <cellStyle name="asd 46 6 7" xfId="14306"/>
    <cellStyle name="asd 46 6 8" xfId="16210"/>
    <cellStyle name="asd 46 6 9" xfId="17126"/>
    <cellStyle name="asd 46 7" xfId="2868"/>
    <cellStyle name="asd 46 7 10" xfId="19121"/>
    <cellStyle name="asd 46 7 11" xfId="21033"/>
    <cellStyle name="asd 46 7 12" xfId="23712"/>
    <cellStyle name="asd 46 7 13" xfId="24835"/>
    <cellStyle name="asd 46 7 14" xfId="27259"/>
    <cellStyle name="asd 46 7 15" xfId="29181"/>
    <cellStyle name="asd 46 7 16" xfId="30850"/>
    <cellStyle name="asd 46 7 17" xfId="33005"/>
    <cellStyle name="asd 46 7 18" xfId="33778"/>
    <cellStyle name="asd 46 7 19" xfId="35662"/>
    <cellStyle name="asd 46 7 2" xfId="2272"/>
    <cellStyle name="asd 46 7 2 10" xfId="20482"/>
    <cellStyle name="asd 46 7 2 11" xfId="2527"/>
    <cellStyle name="asd 46 7 2 12" xfId="24284"/>
    <cellStyle name="asd 46 7 2 13" xfId="3080"/>
    <cellStyle name="asd 46 7 2 14" xfId="23899"/>
    <cellStyle name="asd 46 7 2 15" xfId="22349"/>
    <cellStyle name="asd 46 7 2 16" xfId="30226"/>
    <cellStyle name="asd 46 7 2 17" xfId="2353"/>
    <cellStyle name="asd 46 7 2 18" xfId="35112"/>
    <cellStyle name="asd 46 7 2 19" xfId="36990"/>
    <cellStyle name="asd 46 7 2 2" xfId="3078"/>
    <cellStyle name="asd 46 7 2 20" xfId="33358"/>
    <cellStyle name="asd 46 7 2 21" xfId="39699"/>
    <cellStyle name="asd 46 7 2 22" xfId="26115"/>
    <cellStyle name="asd 46 7 2 3" xfId="4664"/>
    <cellStyle name="asd 46 7 2 4" xfId="9044"/>
    <cellStyle name="asd 46 7 2 5" xfId="2475"/>
    <cellStyle name="asd 46 7 2 6" xfId="4159"/>
    <cellStyle name="asd 46 7 2 7" xfId="11566"/>
    <cellStyle name="asd 46 7 2 8" xfId="16663"/>
    <cellStyle name="asd 46 7 2 9" xfId="18570"/>
    <cellStyle name="asd 46 7 20" xfId="37541"/>
    <cellStyle name="asd 46 7 21" xfId="40205"/>
    <cellStyle name="asd 46 7 22" xfId="41864"/>
    <cellStyle name="asd 46 7 23" xfId="43469"/>
    <cellStyle name="asd 46 7 3" xfId="6235"/>
    <cellStyle name="asd 46 7 4" xfId="7686"/>
    <cellStyle name="asd 46 7 5" xfId="9596"/>
    <cellStyle name="asd 46 7 6" xfId="11811"/>
    <cellStyle name="asd 46 7 7" xfId="14182"/>
    <cellStyle name="asd 46 7 8" xfId="16086"/>
    <cellStyle name="asd 46 7 9" xfId="17215"/>
    <cellStyle name="asd 46 8" xfId="2733"/>
    <cellStyle name="asd 46 9" xfId="4193"/>
    <cellStyle name="asd 47" xfId="1034"/>
    <cellStyle name="asd 47 10" xfId="3925"/>
    <cellStyle name="asd 47 11" xfId="2739"/>
    <cellStyle name="asd 47 12" xfId="3525"/>
    <cellStyle name="asd 47 13" xfId="2692"/>
    <cellStyle name="asd 47 14" xfId="11033"/>
    <cellStyle name="asd 47 15" xfId="14680"/>
    <cellStyle name="asd 47 16" xfId="20410"/>
    <cellStyle name="asd 47 17" xfId="18519"/>
    <cellStyle name="asd 47 18" xfId="2939"/>
    <cellStyle name="asd 47 19" xfId="2366"/>
    <cellStyle name="asd 47 2" xfId="3382"/>
    <cellStyle name="asd 47 2 10" xfId="13712"/>
    <cellStyle name="asd 47 2 11" xfId="15614"/>
    <cellStyle name="asd 47 2 12" xfId="16703"/>
    <cellStyle name="asd 47 2 13" xfId="18610"/>
    <cellStyle name="asd 47 2 14" xfId="20522"/>
    <cellStyle name="asd 47 2 15" xfId="23240"/>
    <cellStyle name="asd 47 2 16" xfId="24324"/>
    <cellStyle name="asd 47 2 17" xfId="26390"/>
    <cellStyle name="asd 47 2 18" xfId="29185"/>
    <cellStyle name="asd 47 2 19" xfId="29998"/>
    <cellStyle name="asd 47 2 2" xfId="3562"/>
    <cellStyle name="asd 47 2 2 10" xfId="17453"/>
    <cellStyle name="asd 47 2 2 11" xfId="19359"/>
    <cellStyle name="asd 47 2 2 12" xfId="21271"/>
    <cellStyle name="asd 47 2 2 13" xfId="22931"/>
    <cellStyle name="asd 47 2 2 14" xfId="25073"/>
    <cellStyle name="asd 47 2 2 15" xfId="27532"/>
    <cellStyle name="asd 47 2 2 16" xfId="29565"/>
    <cellStyle name="asd 47 2 2 17" xfId="31114"/>
    <cellStyle name="asd 47 2 2 18" xfId="32377"/>
    <cellStyle name="asd 47 2 2 19" xfId="33755"/>
    <cellStyle name="asd 47 2 2 2" xfId="5459"/>
    <cellStyle name="asd 47 2 2 2 10" xfId="21709"/>
    <cellStyle name="asd 47 2 2 2 11" xfId="23153"/>
    <cellStyle name="asd 47 2 2 2 12" xfId="25511"/>
    <cellStyle name="asd 47 2 2 2 13" xfId="27305"/>
    <cellStyle name="asd 47 2 2 2 14" xfId="28752"/>
    <cellStyle name="asd 47 2 2 2 15" xfId="30895"/>
    <cellStyle name="asd 47 2 2 2 16" xfId="31630"/>
    <cellStyle name="asd 47 2 2 2 17" xfId="33914"/>
    <cellStyle name="asd 47 2 2 2 18" xfId="36338"/>
    <cellStyle name="asd 47 2 2 2 19" xfId="38217"/>
    <cellStyle name="asd 47 2 2 2 2" xfId="6908"/>
    <cellStyle name="asd 47 2 2 2 20" xfId="38877"/>
    <cellStyle name="asd 47 2 2 2 21" xfId="40562"/>
    <cellStyle name="asd 47 2 2 2 22" xfId="42931"/>
    <cellStyle name="asd 47 2 2 2 3" xfId="8362"/>
    <cellStyle name="asd 47 2 2 2 4" xfId="10272"/>
    <cellStyle name="asd 47 2 2 2 5" xfId="10948"/>
    <cellStyle name="asd 47 2 2 2 6" xfId="13624"/>
    <cellStyle name="asd 47 2 2 2 7" xfId="15527"/>
    <cellStyle name="asd 47 2 2 2 8" xfId="17891"/>
    <cellStyle name="asd 47 2 2 2 9" xfId="19797"/>
    <cellStyle name="asd 47 2 2 20" xfId="35900"/>
    <cellStyle name="asd 47 2 2 21" xfId="37779"/>
    <cellStyle name="asd 47 2 2 22" xfId="39595"/>
    <cellStyle name="asd 47 2 2 23" xfId="41269"/>
    <cellStyle name="asd 47 2 2 24" xfId="42717"/>
    <cellStyle name="asd 47 2 2 3" xfId="5023"/>
    <cellStyle name="asd 47 2 2 4" xfId="6473"/>
    <cellStyle name="asd 47 2 2 5" xfId="7924"/>
    <cellStyle name="asd 47 2 2 6" xfId="9834"/>
    <cellStyle name="asd 47 2 2 7" xfId="11286"/>
    <cellStyle name="asd 47 2 2 8" xfId="13399"/>
    <cellStyle name="asd 47 2 2 9" xfId="15304"/>
    <cellStyle name="asd 47 2 20" xfId="31621"/>
    <cellStyle name="asd 47 2 21" xfId="32452"/>
    <cellStyle name="asd 47 2 22" xfId="35152"/>
    <cellStyle name="asd 47 2 23" xfId="37030"/>
    <cellStyle name="asd 47 2 24" xfId="38868"/>
    <cellStyle name="asd 47 2 25" xfId="40554"/>
    <cellStyle name="asd 47 2 26" xfId="43017"/>
    <cellStyle name="asd 47 2 3" xfId="3794"/>
    <cellStyle name="asd 47 2 3 10" xfId="19529"/>
    <cellStyle name="asd 47 2 3 11" xfId="21441"/>
    <cellStyle name="asd 47 2 3 12" xfId="23503"/>
    <cellStyle name="asd 47 2 3 13" xfId="25243"/>
    <cellStyle name="asd 47 2 3 14" xfId="26712"/>
    <cellStyle name="asd 47 2 3 15" xfId="29271"/>
    <cellStyle name="asd 47 2 3 16" xfId="30312"/>
    <cellStyle name="asd 47 2 3 17" xfId="31987"/>
    <cellStyle name="asd 47 2 3 18" xfId="34823"/>
    <cellStyle name="asd 47 2 3 19" xfId="36070"/>
    <cellStyle name="asd 47 2 3 2" xfId="5799"/>
    <cellStyle name="asd 47 2 3 2 10" xfId="22049"/>
    <cellStyle name="asd 47 2 3 2 11" xfId="22698"/>
    <cellStyle name="asd 47 2 3 2 12" xfId="25851"/>
    <cellStyle name="asd 47 2 3 2 13" xfId="26425"/>
    <cellStyle name="asd 47 2 3 2 14" xfId="29146"/>
    <cellStyle name="asd 47 2 3 2 15" xfId="30031"/>
    <cellStyle name="asd 47 2 3 2 16" xfId="32293"/>
    <cellStyle name="asd 47 2 3 2 17" xfId="33953"/>
    <cellStyle name="asd 47 2 3 2 18" xfId="36678"/>
    <cellStyle name="asd 47 2 3 2 19" xfId="38557"/>
    <cellStyle name="asd 47 2 3 2 2" xfId="7248"/>
    <cellStyle name="asd 47 2 3 2 20" xfId="39513"/>
    <cellStyle name="asd 47 2 3 2 21" xfId="41187"/>
    <cellStyle name="asd 47 2 3 2 22" xfId="42499"/>
    <cellStyle name="asd 47 2 3 2 3" xfId="8702"/>
    <cellStyle name="asd 47 2 3 2 4" xfId="10612"/>
    <cellStyle name="asd 47 2 3 2 5" xfId="11216"/>
    <cellStyle name="asd 47 2 3 2 6" xfId="13166"/>
    <cellStyle name="asd 47 2 3 2 7" xfId="15070"/>
    <cellStyle name="asd 47 2 3 2 8" xfId="18231"/>
    <cellStyle name="asd 47 2 3 2 9" xfId="20137"/>
    <cellStyle name="asd 47 2 3 20" xfId="37949"/>
    <cellStyle name="asd 47 2 3 21" xfId="39218"/>
    <cellStyle name="asd 47 2 3 22" xfId="40896"/>
    <cellStyle name="asd 47 2 3 23" xfId="43269"/>
    <cellStyle name="asd 47 2 3 3" xfId="5193"/>
    <cellStyle name="asd 47 2 3 4" xfId="8094"/>
    <cellStyle name="asd 47 2 3 5" xfId="10004"/>
    <cellStyle name="asd 47 2 3 6" xfId="12573"/>
    <cellStyle name="asd 47 2 3 7" xfId="13975"/>
    <cellStyle name="asd 47 2 3 8" xfId="15876"/>
    <cellStyle name="asd 47 2 3 9" xfId="17623"/>
    <cellStyle name="asd 47 2 4" xfId="4014"/>
    <cellStyle name="asd 47 2 4 10" xfId="19649"/>
    <cellStyle name="asd 47 2 4 11" xfId="21561"/>
    <cellStyle name="asd 47 2 4 12" xfId="22405"/>
    <cellStyle name="asd 47 2 4 13" xfId="25363"/>
    <cellStyle name="asd 47 2 4 14" xfId="27080"/>
    <cellStyle name="asd 47 2 4 15" xfId="15051"/>
    <cellStyle name="asd 47 2 4 16" xfId="30671"/>
    <cellStyle name="asd 47 2 4 17" xfId="32582"/>
    <cellStyle name="asd 47 2 4 18" xfId="34804"/>
    <cellStyle name="asd 47 2 4 19" xfId="36190"/>
    <cellStyle name="asd 47 2 4 2" xfId="5919"/>
    <cellStyle name="asd 47 2 4 2 10" xfId="22169"/>
    <cellStyle name="asd 47 2 4 2 11" xfId="23378"/>
    <cellStyle name="asd 47 2 4 2 12" xfId="25971"/>
    <cellStyle name="asd 47 2 4 2 13" xfId="26939"/>
    <cellStyle name="asd 47 2 4 2 14" xfId="28713"/>
    <cellStyle name="asd 47 2 4 2 15" xfId="30533"/>
    <cellStyle name="asd 47 2 4 2 16" xfId="32876"/>
    <cellStyle name="asd 47 2 4 2 17" xfId="34032"/>
    <cellStyle name="asd 47 2 4 2 18" xfId="36798"/>
    <cellStyle name="asd 47 2 4 2 19" xfId="38677"/>
    <cellStyle name="asd 47 2 4 2 2" xfId="7368"/>
    <cellStyle name="asd 47 2 4 2 20" xfId="40081"/>
    <cellStyle name="asd 47 2 4 2 21" xfId="41744"/>
    <cellStyle name="asd 47 2 4 2 22" xfId="43145"/>
    <cellStyle name="asd 47 2 4 2 3" xfId="8822"/>
    <cellStyle name="asd 47 2 4 2 4" xfId="10732"/>
    <cellStyle name="asd 47 2 4 2 5" xfId="12336"/>
    <cellStyle name="asd 47 2 4 2 6" xfId="13850"/>
    <cellStyle name="asd 47 2 4 2 7" xfId="15751"/>
    <cellStyle name="asd 47 2 4 2 8" xfId="18351"/>
    <cellStyle name="asd 47 2 4 2 9" xfId="20257"/>
    <cellStyle name="asd 47 2 4 20" xfId="38069"/>
    <cellStyle name="asd 47 2 4 21" xfId="39793"/>
    <cellStyle name="asd 47 2 4 22" xfId="41462"/>
    <cellStyle name="asd 47 2 4 23" xfId="42216"/>
    <cellStyle name="asd 47 2 4 3" xfId="6760"/>
    <cellStyle name="asd 47 2 4 4" xfId="8214"/>
    <cellStyle name="asd 47 2 4 5" xfId="10124"/>
    <cellStyle name="asd 47 2 4 6" xfId="11770"/>
    <cellStyle name="asd 47 2 4 7" xfId="12872"/>
    <cellStyle name="asd 47 2 4 8" xfId="14777"/>
    <cellStyle name="asd 47 2 4 9" xfId="17743"/>
    <cellStyle name="asd 47 2 5" xfId="4884"/>
    <cellStyle name="asd 47 2 5 10" xfId="21132"/>
    <cellStyle name="asd 47 2 5 11" xfId="23602"/>
    <cellStyle name="asd 47 2 5 12" xfId="24934"/>
    <cellStyle name="asd 47 2 5 13" xfId="26797"/>
    <cellStyle name="asd 47 2 5 14" xfId="29568"/>
    <cellStyle name="asd 47 2 5 15" xfId="30395"/>
    <cellStyle name="asd 47 2 5 16" xfId="32428"/>
    <cellStyle name="asd 47 2 5 17" xfId="33417"/>
    <cellStyle name="asd 47 2 5 18" xfId="35761"/>
    <cellStyle name="asd 47 2 5 19" xfId="37640"/>
    <cellStyle name="asd 47 2 5 2" xfId="6334"/>
    <cellStyle name="asd 47 2 5 20" xfId="39645"/>
    <cellStyle name="asd 47 2 5 21" xfId="41319"/>
    <cellStyle name="asd 47 2 5 22" xfId="43361"/>
    <cellStyle name="asd 47 2 5 3" xfId="7785"/>
    <cellStyle name="asd 47 2 5 4" xfId="9695"/>
    <cellStyle name="asd 47 2 5 5" xfId="11819"/>
    <cellStyle name="asd 47 2 5 6" xfId="14072"/>
    <cellStyle name="asd 47 2 5 7" xfId="15975"/>
    <cellStyle name="asd 47 2 5 8" xfId="17314"/>
    <cellStyle name="asd 47 2 5 9" xfId="19220"/>
    <cellStyle name="asd 47 2 6" xfId="5635"/>
    <cellStyle name="asd 47 2 6 10" xfId="21885"/>
    <cellStyle name="asd 47 2 6 11" xfId="23752"/>
    <cellStyle name="asd 47 2 6 12" xfId="25687"/>
    <cellStyle name="asd 47 2 6 13" xfId="26839"/>
    <cellStyle name="asd 47 2 6 14" xfId="28632"/>
    <cellStyle name="asd 47 2 6 15" xfId="30437"/>
    <cellStyle name="asd 47 2 6 16" xfId="33314"/>
    <cellStyle name="asd 47 2 6 17" xfId="33604"/>
    <cellStyle name="asd 47 2 6 18" xfId="36514"/>
    <cellStyle name="asd 47 2 6 19" xfId="38393"/>
    <cellStyle name="asd 47 2 6 2" xfId="7084"/>
    <cellStyle name="asd 47 2 6 20" xfId="40495"/>
    <cellStyle name="asd 47 2 6 21" xfId="42148"/>
    <cellStyle name="asd 47 2 6 22" xfId="43505"/>
    <cellStyle name="asd 47 2 6 3" xfId="8538"/>
    <cellStyle name="asd 47 2 6 4" xfId="10448"/>
    <cellStyle name="asd 47 2 6 5" xfId="11626"/>
    <cellStyle name="asd 47 2 6 6" xfId="14222"/>
    <cellStyle name="asd 47 2 6 7" xfId="16126"/>
    <cellStyle name="asd 47 2 6 8" xfId="18067"/>
    <cellStyle name="asd 47 2 6 9" xfId="19973"/>
    <cellStyle name="asd 47 2 7" xfId="5385"/>
    <cellStyle name="asd 47 2 8" xfId="9084"/>
    <cellStyle name="asd 47 2 9" xfId="11132"/>
    <cellStyle name="asd 47 20" xfId="29212"/>
    <cellStyle name="asd 47 21" xfId="28122"/>
    <cellStyle name="asd 47 22" xfId="26122"/>
    <cellStyle name="asd 47 23" xfId="12494"/>
    <cellStyle name="asd 47 24" xfId="29866"/>
    <cellStyle name="asd 47 25" xfId="14678"/>
    <cellStyle name="asd 47 26" xfId="2438"/>
    <cellStyle name="asd 47 27" xfId="34267"/>
    <cellStyle name="asd 47 3" xfId="3462"/>
    <cellStyle name="asd 47 3 10" xfId="13824"/>
    <cellStyle name="asd 47 3 11" xfId="15726"/>
    <cellStyle name="asd 47 3 12" xfId="16875"/>
    <cellStyle name="asd 47 3 13" xfId="18782"/>
    <cellStyle name="asd 47 3 14" xfId="20694"/>
    <cellStyle name="asd 47 3 15" xfId="23352"/>
    <cellStyle name="asd 47 3 16" xfId="24496"/>
    <cellStyle name="asd 47 3 17" xfId="27171"/>
    <cellStyle name="asd 47 3 18" xfId="29381"/>
    <cellStyle name="asd 47 3 19" xfId="30763"/>
    <cellStyle name="asd 47 3 2" xfId="3642"/>
    <cellStyle name="asd 47 3 2 10" xfId="17533"/>
    <cellStyle name="asd 47 3 2 11" xfId="19439"/>
    <cellStyle name="asd 47 3 2 12" xfId="21351"/>
    <cellStyle name="asd 47 3 2 13" xfId="23491"/>
    <cellStyle name="asd 47 3 2 14" xfId="25153"/>
    <cellStyle name="asd 47 3 2 15" xfId="27303"/>
    <cellStyle name="asd 47 3 2 16" xfId="28178"/>
    <cellStyle name="asd 47 3 2 17" xfId="30893"/>
    <cellStyle name="asd 47 3 2 18" xfId="33071"/>
    <cellStyle name="asd 47 3 2 19" xfId="33758"/>
    <cellStyle name="asd 47 3 2 2" xfId="4599"/>
    <cellStyle name="asd 47 3 2 2 10" xfId="20844"/>
    <cellStyle name="asd 47 3 2 2 11" xfId="22566"/>
    <cellStyle name="asd 47 3 2 2 12" xfId="24646"/>
    <cellStyle name="asd 47 3 2 2 13" xfId="27323"/>
    <cellStyle name="asd 47 3 2 2 14" xfId="28074"/>
    <cellStyle name="asd 47 3 2 2 15" xfId="30913"/>
    <cellStyle name="asd 47 3 2 2 16" xfId="32174"/>
    <cellStyle name="asd 47 3 2 2 17" xfId="33502"/>
    <cellStyle name="asd 47 3 2 2 18" xfId="35474"/>
    <cellStyle name="asd 47 3 2 2 19" xfId="37352"/>
    <cellStyle name="asd 47 3 2 2 2" xfId="2121"/>
    <cellStyle name="asd 47 3 2 2 20" xfId="39396"/>
    <cellStyle name="asd 47 3 2 2 21" xfId="41072"/>
    <cellStyle name="asd 47 3 2 2 22" xfId="42375"/>
    <cellStyle name="asd 47 3 2 2 3" xfId="3230"/>
    <cellStyle name="asd 47 3 2 2 4" xfId="9406"/>
    <cellStyle name="asd 47 3 2 2 5" xfId="11395"/>
    <cellStyle name="asd 47 3 2 2 6" xfId="13034"/>
    <cellStyle name="asd 47 3 2 2 7" xfId="14938"/>
    <cellStyle name="asd 47 3 2 2 8" xfId="17025"/>
    <cellStyle name="asd 47 3 2 2 9" xfId="18932"/>
    <cellStyle name="asd 47 3 2 20" xfId="35980"/>
    <cellStyle name="asd 47 3 2 21" xfId="37859"/>
    <cellStyle name="asd 47 3 2 22" xfId="40267"/>
    <cellStyle name="asd 47 3 2 23" xfId="41925"/>
    <cellStyle name="asd 47 3 2 24" xfId="43257"/>
    <cellStyle name="asd 47 3 2 3" xfId="5103"/>
    <cellStyle name="asd 47 3 2 4" xfId="6553"/>
    <cellStyle name="asd 47 3 2 5" xfId="8004"/>
    <cellStyle name="asd 47 3 2 6" xfId="9914"/>
    <cellStyle name="asd 47 3 2 7" xfId="12511"/>
    <cellStyle name="asd 47 3 2 8" xfId="13963"/>
    <cellStyle name="asd 47 3 2 9" xfId="15864"/>
    <cellStyle name="asd 47 3 20" xfId="32332"/>
    <cellStyle name="asd 47 3 21" xfId="34174"/>
    <cellStyle name="asd 47 3 22" xfId="35324"/>
    <cellStyle name="asd 47 3 23" xfId="37202"/>
    <cellStyle name="asd 47 3 24" xfId="39551"/>
    <cellStyle name="asd 47 3 25" xfId="41225"/>
    <cellStyle name="asd 47 3 26" xfId="43122"/>
    <cellStyle name="asd 47 3 3" xfId="3791"/>
    <cellStyle name="asd 47 3 3 10" xfId="19526"/>
    <cellStyle name="asd 47 3 3 11" xfId="21438"/>
    <cellStyle name="asd 47 3 3 12" xfId="22798"/>
    <cellStyle name="asd 47 3 3 13" xfId="25240"/>
    <cellStyle name="asd 47 3 3 14" xfId="26999"/>
    <cellStyle name="asd 47 3 3 15" xfId="28824"/>
    <cellStyle name="asd 47 3 3 16" xfId="30593"/>
    <cellStyle name="asd 47 3 3 17" xfId="32083"/>
    <cellStyle name="asd 47 3 3 18" xfId="34523"/>
    <cellStyle name="asd 47 3 3 19" xfId="36067"/>
    <cellStyle name="asd 47 3 3 2" xfId="5796"/>
    <cellStyle name="asd 47 3 3 2 10" xfId="22046"/>
    <cellStyle name="asd 47 3 3 2 11" xfId="22802"/>
    <cellStyle name="asd 47 3 3 2 12" xfId="25848"/>
    <cellStyle name="asd 47 3 3 2 13" xfId="27234"/>
    <cellStyle name="asd 47 3 3 2 14" xfId="29454"/>
    <cellStyle name="asd 47 3 3 2 15" xfId="30825"/>
    <cellStyle name="asd 47 3 3 2 16" xfId="31928"/>
    <cellStyle name="asd 47 3 3 2 17" xfId="34450"/>
    <cellStyle name="asd 47 3 3 2 18" xfId="36675"/>
    <cellStyle name="asd 47 3 3 2 19" xfId="38554"/>
    <cellStyle name="asd 47 3 3 2 2" xfId="7245"/>
    <cellStyle name="asd 47 3 3 2 20" xfId="39158"/>
    <cellStyle name="asd 47 3 3 2 21" xfId="40839"/>
    <cellStyle name="asd 47 3 3 2 22" xfId="42595"/>
    <cellStyle name="asd 47 3 3 2 3" xfId="8699"/>
    <cellStyle name="asd 47 3 3 2 4" xfId="10609"/>
    <cellStyle name="asd 47 3 3 2 5" xfId="12461"/>
    <cellStyle name="asd 47 3 3 2 6" xfId="13272"/>
    <cellStyle name="asd 47 3 3 2 7" xfId="15176"/>
    <cellStyle name="asd 47 3 3 2 8" xfId="18228"/>
    <cellStyle name="asd 47 3 3 2 9" xfId="20134"/>
    <cellStyle name="asd 47 3 3 20" xfId="37946"/>
    <cellStyle name="asd 47 3 3 21" xfId="39307"/>
    <cellStyle name="asd 47 3 3 22" xfId="40983"/>
    <cellStyle name="asd 47 3 3 23" xfId="42591"/>
    <cellStyle name="asd 47 3 3 3" xfId="5190"/>
    <cellStyle name="asd 47 3 3 4" xfId="8091"/>
    <cellStyle name="asd 47 3 3 5" xfId="10001"/>
    <cellStyle name="asd 47 3 3 6" xfId="11128"/>
    <cellStyle name="asd 47 3 3 7" xfId="13267"/>
    <cellStyle name="asd 47 3 3 8" xfId="15171"/>
    <cellStyle name="asd 47 3 3 9" xfId="17620"/>
    <cellStyle name="asd 47 3 4" xfId="4094"/>
    <cellStyle name="asd 47 3 4 10" xfId="19729"/>
    <cellStyle name="asd 47 3 4 11" xfId="21641"/>
    <cellStyle name="asd 47 3 4 12" xfId="23388"/>
    <cellStyle name="asd 47 3 4 13" xfId="25443"/>
    <cellStyle name="asd 47 3 4 14" xfId="26509"/>
    <cellStyle name="asd 47 3 4 15" xfId="28470"/>
    <cellStyle name="asd 47 3 4 16" xfId="30115"/>
    <cellStyle name="asd 47 3 4 17" xfId="31967"/>
    <cellStyle name="asd 47 3 4 18" xfId="33447"/>
    <cellStyle name="asd 47 3 4 19" xfId="36270"/>
    <cellStyle name="asd 47 3 4 2" xfId="5999"/>
    <cellStyle name="asd 47 3 4 2 10" xfId="22249"/>
    <cellStyle name="asd 47 3 4 2 11" xfId="23017"/>
    <cellStyle name="asd 47 3 4 2 12" xfId="26051"/>
    <cellStyle name="asd 47 3 4 2 13" xfId="26991"/>
    <cellStyle name="asd 47 3 4 2 14" xfId="3311"/>
    <cellStyle name="asd 47 3 4 2 15" xfId="30585"/>
    <cellStyle name="asd 47 3 4 2 16" xfId="32606"/>
    <cellStyle name="asd 47 3 4 2 17" xfId="34415"/>
    <cellStyle name="asd 47 3 4 2 18" xfId="36878"/>
    <cellStyle name="asd 47 3 4 2 19" xfId="38757"/>
    <cellStyle name="asd 47 3 4 2 2" xfId="7448"/>
    <cellStyle name="asd 47 3 4 2 20" xfId="39816"/>
    <cellStyle name="asd 47 3 4 2 21" xfId="41485"/>
    <cellStyle name="asd 47 3 4 2 22" xfId="42800"/>
    <cellStyle name="asd 47 3 4 2 3" xfId="8902"/>
    <cellStyle name="asd 47 3 4 2 4" xfId="10812"/>
    <cellStyle name="asd 47 3 4 2 5" xfId="12598"/>
    <cellStyle name="asd 47 3 4 2 6" xfId="13487"/>
    <cellStyle name="asd 47 3 4 2 7" xfId="15391"/>
    <cellStyle name="asd 47 3 4 2 8" xfId="18431"/>
    <cellStyle name="asd 47 3 4 2 9" xfId="20337"/>
    <cellStyle name="asd 47 3 4 20" xfId="38149"/>
    <cellStyle name="asd 47 3 4 21" xfId="39196"/>
    <cellStyle name="asd 47 3 4 22" xfId="40877"/>
    <cellStyle name="asd 47 3 4 23" xfId="43155"/>
    <cellStyle name="asd 47 3 4 3" xfId="6840"/>
    <cellStyle name="asd 47 3 4 4" xfId="8294"/>
    <cellStyle name="asd 47 3 4 5" xfId="10204"/>
    <cellStyle name="asd 47 3 4 6" xfId="11291"/>
    <cellStyle name="asd 47 3 4 7" xfId="13860"/>
    <cellStyle name="asd 47 3 4 8" xfId="15761"/>
    <cellStyle name="asd 47 3 4 9" xfId="17823"/>
    <cellStyle name="asd 47 3 5" xfId="4947"/>
    <cellStyle name="asd 47 3 5 10" xfId="21195"/>
    <cellStyle name="asd 47 3 5 11" xfId="23463"/>
    <cellStyle name="asd 47 3 5 12" xfId="24997"/>
    <cellStyle name="asd 47 3 5 13" xfId="26305"/>
    <cellStyle name="asd 47 3 5 14" xfId="28131"/>
    <cellStyle name="asd 47 3 5 15" xfId="29914"/>
    <cellStyle name="asd 47 3 5 16" xfId="33325"/>
    <cellStyle name="asd 47 3 5 17" xfId="12809"/>
    <cellStyle name="asd 47 3 5 18" xfId="35824"/>
    <cellStyle name="asd 47 3 5 19" xfId="37703"/>
    <cellStyle name="asd 47 3 5 2" xfId="6397"/>
    <cellStyle name="asd 47 3 5 20" xfId="40505"/>
    <cellStyle name="asd 47 3 5 21" xfId="42157"/>
    <cellStyle name="asd 47 3 5 22" xfId="43230"/>
    <cellStyle name="asd 47 3 5 3" xfId="7848"/>
    <cellStyle name="asd 47 3 5 4" xfId="9758"/>
    <cellStyle name="asd 47 3 5 5" xfId="12583"/>
    <cellStyle name="asd 47 3 5 6" xfId="13935"/>
    <cellStyle name="asd 47 3 5 7" xfId="15836"/>
    <cellStyle name="asd 47 3 5 8" xfId="17377"/>
    <cellStyle name="asd 47 3 5 9" xfId="19283"/>
    <cellStyle name="asd 47 3 6" xfId="5610"/>
    <cellStyle name="asd 47 3 6 10" xfId="21860"/>
    <cellStyle name="asd 47 3 6 11" xfId="22460"/>
    <cellStyle name="asd 47 3 6 12" xfId="25662"/>
    <cellStyle name="asd 47 3 6 13" xfId="26743"/>
    <cellStyle name="asd 47 3 6 14" xfId="28251"/>
    <cellStyle name="asd 47 3 6 15" xfId="30343"/>
    <cellStyle name="asd 47 3 6 16" xfId="33163"/>
    <cellStyle name="asd 47 3 6 17" xfId="34712"/>
    <cellStyle name="asd 47 3 6 18" xfId="36489"/>
    <cellStyle name="asd 47 3 6 19" xfId="38368"/>
    <cellStyle name="asd 47 3 6 2" xfId="7059"/>
    <cellStyle name="asd 47 3 6 20" xfId="40355"/>
    <cellStyle name="asd 47 3 6 21" xfId="42011"/>
    <cellStyle name="asd 47 3 6 22" xfId="42271"/>
    <cellStyle name="asd 47 3 6 3" xfId="8513"/>
    <cellStyle name="asd 47 3 6 4" xfId="10423"/>
    <cellStyle name="asd 47 3 6 5" xfId="1977"/>
    <cellStyle name="asd 47 3 6 6" xfId="12928"/>
    <cellStyle name="asd 47 3 6 7" xfId="14833"/>
    <cellStyle name="asd 47 3 6 8" xfId="18042"/>
    <cellStyle name="asd 47 3 6 9" xfId="19948"/>
    <cellStyle name="asd 47 3 7" xfId="6083"/>
    <cellStyle name="asd 47 3 8" xfId="9256"/>
    <cellStyle name="asd 47 3 9" xfId="10938"/>
    <cellStyle name="asd 47 4" xfId="3369"/>
    <cellStyle name="asd 47 4 10" xfId="14737"/>
    <cellStyle name="asd 47 4 11" xfId="16670"/>
    <cellStyle name="asd 47 4 12" xfId="18577"/>
    <cellStyle name="asd 47 4 13" xfId="20489"/>
    <cellStyle name="asd 47 4 14" xfId="22365"/>
    <cellStyle name="asd 47 4 15" xfId="24291"/>
    <cellStyle name="asd 47 4 16" xfId="27451"/>
    <cellStyle name="asd 47 4 17" xfId="28362"/>
    <cellStyle name="asd 47 4 18" xfId="31038"/>
    <cellStyle name="asd 47 4 19" xfId="31880"/>
    <cellStyle name="asd 47 4 2" xfId="3549"/>
    <cellStyle name="asd 47 4 2 10" xfId="17440"/>
    <cellStyle name="asd 47 4 2 11" xfId="19346"/>
    <cellStyle name="asd 47 4 2 12" xfId="21258"/>
    <cellStyle name="asd 47 4 2 13" xfId="23878"/>
    <cellStyle name="asd 47 4 2 14" xfId="25060"/>
    <cellStyle name="asd 47 4 2 15" xfId="27207"/>
    <cellStyle name="asd 47 4 2 16" xfId="22355"/>
    <cellStyle name="asd 47 4 2 17" xfId="30798"/>
    <cellStyle name="asd 47 4 2 18" xfId="32324"/>
    <cellStyle name="asd 47 4 2 19" xfId="34228"/>
    <cellStyle name="asd 47 4 2 2" xfId="5637"/>
    <cellStyle name="asd 47 4 2 2 10" xfId="21887"/>
    <cellStyle name="asd 47 4 2 2 11" xfId="24099"/>
    <cellStyle name="asd 47 4 2 2 12" xfId="25689"/>
    <cellStyle name="asd 47 4 2 2 13" xfId="26252"/>
    <cellStyle name="asd 47 4 2 2 14" xfId="10880"/>
    <cellStyle name="asd 47 4 2 2 15" xfId="29862"/>
    <cellStyle name="asd 47 4 2 2 16" xfId="32036"/>
    <cellStyle name="asd 47 4 2 2 17" xfId="33468"/>
    <cellStyle name="asd 47 4 2 2 18" xfId="36516"/>
    <cellStyle name="asd 47 4 2 2 19" xfId="38395"/>
    <cellStyle name="asd 47 4 2 2 2" xfId="7086"/>
    <cellStyle name="asd 47 4 2 2 20" xfId="39266"/>
    <cellStyle name="asd 47 4 2 2 21" xfId="40943"/>
    <cellStyle name="asd 47 4 2 2 22" xfId="43842"/>
    <cellStyle name="asd 47 4 2 2 3" xfId="8540"/>
    <cellStyle name="asd 47 4 2 2 4" xfId="10450"/>
    <cellStyle name="asd 47 4 2 2 5" xfId="12058"/>
    <cellStyle name="asd 47 4 2 2 6" xfId="14569"/>
    <cellStyle name="asd 47 4 2 2 7" xfId="16475"/>
    <cellStyle name="asd 47 4 2 2 8" xfId="18069"/>
    <cellStyle name="asd 47 4 2 2 9" xfId="19975"/>
    <cellStyle name="asd 47 4 2 20" xfId="35887"/>
    <cellStyle name="asd 47 4 2 21" xfId="37766"/>
    <cellStyle name="asd 47 4 2 22" xfId="39543"/>
    <cellStyle name="asd 47 4 2 23" xfId="41217"/>
    <cellStyle name="asd 47 4 2 24" xfId="43628"/>
    <cellStyle name="asd 47 4 2 3" xfId="5010"/>
    <cellStyle name="asd 47 4 2 4" xfId="6460"/>
    <cellStyle name="asd 47 4 2 5" xfId="7911"/>
    <cellStyle name="asd 47 4 2 6" xfId="9821"/>
    <cellStyle name="asd 47 4 2 7" xfId="11652"/>
    <cellStyle name="asd 47 4 2 8" xfId="14348"/>
    <cellStyle name="asd 47 4 2 9" xfId="16253"/>
    <cellStyle name="asd 47 4 20" xfId="34872"/>
    <cellStyle name="asd 47 4 21" xfId="35119"/>
    <cellStyle name="asd 47 4 22" xfId="36997"/>
    <cellStyle name="asd 47 4 23" xfId="39115"/>
    <cellStyle name="asd 47 4 24" xfId="40796"/>
    <cellStyle name="asd 47 4 25" xfId="42177"/>
    <cellStyle name="asd 47 4 3" xfId="3890"/>
    <cellStyle name="asd 47 4 3 10" xfId="19598"/>
    <cellStyle name="asd 47 4 3 11" xfId="21510"/>
    <cellStyle name="asd 47 4 3 12" xfId="22682"/>
    <cellStyle name="asd 47 4 3 13" xfId="25312"/>
    <cellStyle name="asd 47 4 3 14" xfId="26779"/>
    <cellStyle name="asd 47 4 3 15" xfId="29535"/>
    <cellStyle name="asd 47 4 3 16" xfId="30378"/>
    <cellStyle name="asd 47 4 3 17" xfId="32412"/>
    <cellStyle name="asd 47 4 3 18" xfId="33663"/>
    <cellStyle name="asd 47 4 3 19" xfId="36139"/>
    <cellStyle name="asd 47 4 3 2" xfId="5868"/>
    <cellStyle name="asd 47 4 3 2 10" xfId="22118"/>
    <cellStyle name="asd 47 4 3 2 11" xfId="24134"/>
    <cellStyle name="asd 47 4 3 2 12" xfId="25920"/>
    <cellStyle name="asd 47 4 3 2 13" xfId="26225"/>
    <cellStyle name="asd 47 4 3 2 14" xfId="28528"/>
    <cellStyle name="asd 47 4 3 2 15" xfId="29835"/>
    <cellStyle name="asd 47 4 3 2 16" xfId="32822"/>
    <cellStyle name="asd 47 4 3 2 17" xfId="33673"/>
    <cellStyle name="asd 47 4 3 2 18" xfId="36747"/>
    <cellStyle name="asd 47 4 3 2 19" xfId="38626"/>
    <cellStyle name="asd 47 4 3 2 2" xfId="7317"/>
    <cellStyle name="asd 47 4 3 2 20" xfId="40031"/>
    <cellStyle name="asd 47 4 3 2 21" xfId="41695"/>
    <cellStyle name="asd 47 4 3 2 22" xfId="43877"/>
    <cellStyle name="asd 47 4 3 2 3" xfId="8771"/>
    <cellStyle name="asd 47 4 3 2 4" xfId="10681"/>
    <cellStyle name="asd 47 4 3 2 5" xfId="12094"/>
    <cellStyle name="asd 47 4 3 2 6" xfId="14605"/>
    <cellStyle name="asd 47 4 3 2 7" xfId="16511"/>
    <cellStyle name="asd 47 4 3 2 8" xfId="18300"/>
    <cellStyle name="asd 47 4 3 2 9" xfId="20206"/>
    <cellStyle name="asd 47 4 3 20" xfId="38018"/>
    <cellStyle name="asd 47 4 3 21" xfId="39629"/>
    <cellStyle name="asd 47 4 3 22" xfId="41303"/>
    <cellStyle name="asd 47 4 3 23" xfId="42486"/>
    <cellStyle name="asd 47 4 3 3" xfId="5262"/>
    <cellStyle name="asd 47 4 3 4" xfId="8163"/>
    <cellStyle name="asd 47 4 3 5" xfId="10073"/>
    <cellStyle name="asd 47 4 3 6" xfId="11787"/>
    <cellStyle name="asd 47 4 3 7" xfId="13149"/>
    <cellStyle name="asd 47 4 3 8" xfId="15054"/>
    <cellStyle name="asd 47 4 3 9" xfId="17692"/>
    <cellStyle name="asd 47 4 4" xfId="4001"/>
    <cellStyle name="asd 47 4 4 10" xfId="19636"/>
    <cellStyle name="asd 47 4 4 11" xfId="21548"/>
    <cellStyle name="asd 47 4 4 12" xfId="24157"/>
    <cellStyle name="asd 47 4 4 13" xfId="25350"/>
    <cellStyle name="asd 47 4 4 14" xfId="27596"/>
    <cellStyle name="asd 47 4 4 15" xfId="29218"/>
    <cellStyle name="asd 47 4 4 16" xfId="31174"/>
    <cellStyle name="asd 47 4 4 17" xfId="32527"/>
    <cellStyle name="asd 47 4 4 18" xfId="34890"/>
    <cellStyle name="asd 47 4 4 19" xfId="36177"/>
    <cellStyle name="asd 47 4 4 2" xfId="5906"/>
    <cellStyle name="asd 47 4 4 2 10" xfId="22156"/>
    <cellStyle name="asd 47 4 4 2 11" xfId="23267"/>
    <cellStyle name="asd 47 4 4 2 12" xfId="25958"/>
    <cellStyle name="asd 47 4 4 2 13" xfId="27423"/>
    <cellStyle name="asd 47 4 4 2 14" xfId="28792"/>
    <cellStyle name="asd 47 4 4 2 15" xfId="31009"/>
    <cellStyle name="asd 47 4 4 2 16" xfId="32648"/>
    <cellStyle name="asd 47 4 4 2 17" xfId="33899"/>
    <cellStyle name="asd 47 4 4 2 18" xfId="36785"/>
    <cellStyle name="asd 47 4 4 2 19" xfId="38664"/>
    <cellStyle name="asd 47 4 4 2 2" xfId="7355"/>
    <cellStyle name="asd 47 4 4 2 20" xfId="39855"/>
    <cellStyle name="asd 47 4 4 2 21" xfId="41524"/>
    <cellStyle name="asd 47 4 4 2 22" xfId="43043"/>
    <cellStyle name="asd 47 4 4 2 3" xfId="8809"/>
    <cellStyle name="asd 47 4 4 2 4" xfId="10719"/>
    <cellStyle name="asd 47 4 4 2 5" xfId="11202"/>
    <cellStyle name="asd 47 4 4 2 6" xfId="13739"/>
    <cellStyle name="asd 47 4 4 2 7" xfId="15641"/>
    <cellStyle name="asd 47 4 4 2 8" xfId="18338"/>
    <cellStyle name="asd 47 4 4 2 9" xfId="20244"/>
    <cellStyle name="asd 47 4 4 20" xfId="38056"/>
    <cellStyle name="asd 47 4 4 21" xfId="39740"/>
    <cellStyle name="asd 47 4 4 22" xfId="41412"/>
    <cellStyle name="asd 47 4 4 23" xfId="43899"/>
    <cellStyle name="asd 47 4 4 3" xfId="6747"/>
    <cellStyle name="asd 47 4 4 4" xfId="8201"/>
    <cellStyle name="asd 47 4 4 5" xfId="10111"/>
    <cellStyle name="asd 47 4 4 6" xfId="12117"/>
    <cellStyle name="asd 47 4 4 7" xfId="14628"/>
    <cellStyle name="asd 47 4 4 8" xfId="16534"/>
    <cellStyle name="asd 47 4 4 9" xfId="17730"/>
    <cellStyle name="asd 47 4 5" xfId="5687"/>
    <cellStyle name="asd 47 4 5 10" xfId="21937"/>
    <cellStyle name="asd 47 4 5 11" xfId="23929"/>
    <cellStyle name="asd 47 4 5 12" xfId="25739"/>
    <cellStyle name="asd 47 4 5 13" xfId="26766"/>
    <cellStyle name="asd 47 4 5 14" xfId="23068"/>
    <cellStyle name="asd 47 4 5 15" xfId="30365"/>
    <cellStyle name="asd 47 4 5 16" xfId="27345"/>
    <cellStyle name="asd 47 4 5 17" xfId="30920"/>
    <cellStyle name="asd 47 4 5 18" xfId="36566"/>
    <cellStyle name="asd 47 4 5 19" xfId="38445"/>
    <cellStyle name="asd 47 4 5 2" xfId="7136"/>
    <cellStyle name="asd 47 4 5 20" xfId="2184"/>
    <cellStyle name="asd 47 4 5 21" xfId="4158"/>
    <cellStyle name="asd 47 4 5 22" xfId="43675"/>
    <cellStyle name="asd 47 4 5 3" xfId="8590"/>
    <cellStyle name="asd 47 4 5 4" xfId="10500"/>
    <cellStyle name="asd 47 4 5 5" xfId="11888"/>
    <cellStyle name="asd 47 4 5 6" xfId="14398"/>
    <cellStyle name="asd 47 4 5 7" xfId="16304"/>
    <cellStyle name="asd 47 4 5 8" xfId="18119"/>
    <cellStyle name="asd 47 4 5 9" xfId="20025"/>
    <cellStyle name="asd 47 4 6" xfId="6669"/>
    <cellStyle name="asd 47 4 7" xfId="9051"/>
    <cellStyle name="asd 47 4 8" xfId="11516"/>
    <cellStyle name="asd 47 4 9" xfId="12832"/>
    <cellStyle name="asd 47 5" xfId="3260"/>
    <cellStyle name="asd 47 5 10" xfId="17283"/>
    <cellStyle name="asd 47 5 11" xfId="19189"/>
    <cellStyle name="asd 47 5 12" xfId="21101"/>
    <cellStyle name="asd 47 5 13" xfId="22551"/>
    <cellStyle name="asd 47 5 14" xfId="24903"/>
    <cellStyle name="asd 47 5 15" xfId="27441"/>
    <cellStyle name="asd 47 5 16" xfId="28805"/>
    <cellStyle name="asd 47 5 17" xfId="31027"/>
    <cellStyle name="asd 47 5 18" xfId="32746"/>
    <cellStyle name="asd 47 5 19" xfId="33978"/>
    <cellStyle name="asd 47 5 2" xfId="5735"/>
    <cellStyle name="asd 47 5 2 10" xfId="21985"/>
    <cellStyle name="asd 47 5 2 11" xfId="23138"/>
    <cellStyle name="asd 47 5 2 12" xfId="25787"/>
    <cellStyle name="asd 47 5 2 13" xfId="26443"/>
    <cellStyle name="asd 47 5 2 14" xfId="28210"/>
    <cellStyle name="asd 47 5 2 15" xfId="30049"/>
    <cellStyle name="asd 47 5 2 16" xfId="33030"/>
    <cellStyle name="asd 47 5 2 17" xfId="34710"/>
    <cellStyle name="asd 47 5 2 18" xfId="36614"/>
    <cellStyle name="asd 47 5 2 19" xfId="38493"/>
    <cellStyle name="asd 47 5 2 2" xfId="7184"/>
    <cellStyle name="asd 47 5 2 20" xfId="40230"/>
    <cellStyle name="asd 47 5 2 21" xfId="41889"/>
    <cellStyle name="asd 47 5 2 22" xfId="42916"/>
    <cellStyle name="asd 47 5 2 3" xfId="8638"/>
    <cellStyle name="asd 47 5 2 4" xfId="10548"/>
    <cellStyle name="asd 47 5 2 5" xfId="12762"/>
    <cellStyle name="asd 47 5 2 6" xfId="13609"/>
    <cellStyle name="asd 47 5 2 7" xfId="15512"/>
    <cellStyle name="asd 47 5 2 8" xfId="18167"/>
    <cellStyle name="asd 47 5 2 9" xfId="20073"/>
    <cellStyle name="asd 47 5 20" xfId="35730"/>
    <cellStyle name="asd 47 5 21" xfId="37609"/>
    <cellStyle name="asd 47 5 22" xfId="39955"/>
    <cellStyle name="asd 47 5 23" xfId="41619"/>
    <cellStyle name="asd 47 5 24" xfId="42360"/>
    <cellStyle name="asd 47 5 3" xfId="4853"/>
    <cellStyle name="asd 47 5 4" xfId="6303"/>
    <cellStyle name="asd 47 5 5" xfId="7754"/>
    <cellStyle name="asd 47 5 6" xfId="9664"/>
    <cellStyle name="asd 47 5 7" xfId="2707"/>
    <cellStyle name="asd 47 5 8" xfId="13019"/>
    <cellStyle name="asd 47 5 9" xfId="14923"/>
    <cellStyle name="asd 47 6" xfId="3057"/>
    <cellStyle name="asd 47 6 10" xfId="19149"/>
    <cellStyle name="asd 47 6 11" xfId="21061"/>
    <cellStyle name="asd 47 6 12" xfId="23086"/>
    <cellStyle name="asd 47 6 13" xfId="24863"/>
    <cellStyle name="asd 47 6 14" xfId="27942"/>
    <cellStyle name="asd 47 6 15" xfId="28410"/>
    <cellStyle name="asd 47 6 16" xfId="31522"/>
    <cellStyle name="asd 47 6 17" xfId="33297"/>
    <cellStyle name="asd 47 6 18" xfId="34353"/>
    <cellStyle name="asd 47 6 19" xfId="35690"/>
    <cellStyle name="asd 47 6 2" xfId="4592"/>
    <cellStyle name="asd 47 6 2 10" xfId="20837"/>
    <cellStyle name="asd 47 6 2 11" xfId="23245"/>
    <cellStyle name="asd 47 6 2 12" xfId="24639"/>
    <cellStyle name="asd 47 6 2 13" xfId="27677"/>
    <cellStyle name="asd 47 6 2 14" xfId="28193"/>
    <cellStyle name="asd 47 6 2 15" xfId="31252"/>
    <cellStyle name="asd 47 6 2 16" xfId="32808"/>
    <cellStyle name="asd 47 6 2 17" xfId="34937"/>
    <cellStyle name="asd 47 6 2 18" xfId="35467"/>
    <cellStyle name="asd 47 6 2 19" xfId="37345"/>
    <cellStyle name="asd 47 6 2 2" xfId="1876"/>
    <cellStyle name="asd 47 6 2 20" xfId="40017"/>
    <cellStyle name="asd 47 6 2 21" xfId="41681"/>
    <cellStyle name="asd 47 6 2 22" xfId="43022"/>
    <cellStyle name="asd 47 6 2 3" xfId="3922"/>
    <cellStyle name="asd 47 6 2 4" xfId="9399"/>
    <cellStyle name="asd 47 6 2 5" xfId="11142"/>
    <cellStyle name="asd 47 6 2 6" xfId="13717"/>
    <cellStyle name="asd 47 6 2 7" xfId="15619"/>
    <cellStyle name="asd 47 6 2 8" xfId="17018"/>
    <cellStyle name="asd 47 6 2 9" xfId="18925"/>
    <cellStyle name="asd 47 6 20" xfId="37569"/>
    <cellStyle name="asd 47 6 21" xfId="40481"/>
    <cellStyle name="asd 47 6 22" xfId="42135"/>
    <cellStyle name="asd 47 6 23" xfId="42868"/>
    <cellStyle name="asd 47 6 3" xfId="4813"/>
    <cellStyle name="asd 47 6 4" xfId="7714"/>
    <cellStyle name="asd 47 6 5" xfId="9624"/>
    <cellStyle name="asd 47 6 6" xfId="12696"/>
    <cellStyle name="asd 47 6 7" xfId="13557"/>
    <cellStyle name="asd 47 6 8" xfId="15460"/>
    <cellStyle name="asd 47 6 9" xfId="17243"/>
    <cellStyle name="asd 47 7" xfId="3158"/>
    <cellStyle name="asd 47 7 10" xfId="19169"/>
    <cellStyle name="asd 47 7 11" xfId="21081"/>
    <cellStyle name="asd 47 7 12" xfId="22422"/>
    <cellStyle name="asd 47 7 13" xfId="24883"/>
    <cellStyle name="asd 47 7 14" xfId="26223"/>
    <cellStyle name="asd 47 7 15" xfId="28063"/>
    <cellStyle name="asd 47 7 16" xfId="29834"/>
    <cellStyle name="asd 47 7 17" xfId="32914"/>
    <cellStyle name="asd 47 7 18" xfId="34769"/>
    <cellStyle name="asd 47 7 19" xfId="35710"/>
    <cellStyle name="asd 47 7 2" xfId="5703"/>
    <cellStyle name="asd 47 7 2 10" xfId="21953"/>
    <cellStyle name="asd 47 7 2 11" xfId="24070"/>
    <cellStyle name="asd 47 7 2 12" xfId="25755"/>
    <cellStyle name="asd 47 7 2 13" xfId="26877"/>
    <cellStyle name="asd 47 7 2 14" xfId="2167"/>
    <cellStyle name="asd 47 7 2 15" xfId="30474"/>
    <cellStyle name="asd 47 7 2 16" xfId="2504"/>
    <cellStyle name="asd 47 7 2 17" xfId="2331"/>
    <cellStyle name="asd 47 7 2 18" xfId="36582"/>
    <cellStyle name="asd 47 7 2 19" xfId="38461"/>
    <cellStyle name="asd 47 7 2 2" xfId="7152"/>
    <cellStyle name="asd 47 7 2 20" xfId="33798"/>
    <cellStyle name="asd 47 7 2 21" xfId="3839"/>
    <cellStyle name="asd 47 7 2 22" xfId="43814"/>
    <cellStyle name="asd 47 7 2 3" xfId="8606"/>
    <cellStyle name="asd 47 7 2 4" xfId="10516"/>
    <cellStyle name="asd 47 7 2 5" xfId="12029"/>
    <cellStyle name="asd 47 7 2 6" xfId="14540"/>
    <cellStyle name="asd 47 7 2 7" xfId="16446"/>
    <cellStyle name="asd 47 7 2 8" xfId="18135"/>
    <cellStyle name="asd 47 7 2 9" xfId="20041"/>
    <cellStyle name="asd 47 7 20" xfId="37589"/>
    <cellStyle name="asd 47 7 21" xfId="40118"/>
    <cellStyle name="asd 47 7 22" xfId="41778"/>
    <cellStyle name="asd 47 7 23" xfId="42233"/>
    <cellStyle name="asd 47 7 3" xfId="6283"/>
    <cellStyle name="asd 47 7 4" xfId="7734"/>
    <cellStyle name="asd 47 7 5" xfId="9644"/>
    <cellStyle name="asd 47 7 6" xfId="11781"/>
    <cellStyle name="asd 47 7 7" xfId="12889"/>
    <cellStyle name="asd 47 7 8" xfId="14794"/>
    <cellStyle name="asd 47 7 9" xfId="17263"/>
    <cellStyle name="asd 47 8" xfId="4245"/>
    <cellStyle name="asd 47 9" xfId="2508"/>
    <cellStyle name="asd 48" xfId="1041"/>
    <cellStyle name="asd 48 10" xfId="2609"/>
    <cellStyle name="asd 48 11" xfId="1909"/>
    <cellStyle name="asd 48 12" xfId="2584"/>
    <cellStyle name="asd 48 13" xfId="10892"/>
    <cellStyle name="asd 48 14" xfId="13172"/>
    <cellStyle name="asd 48 15" xfId="2823"/>
    <cellStyle name="asd 48 16" xfId="2409"/>
    <cellStyle name="asd 48 17" xfId="2793"/>
    <cellStyle name="asd 48 18" xfId="26488"/>
    <cellStyle name="asd 48 19" xfId="28704"/>
    <cellStyle name="asd 48 2" xfId="3435"/>
    <cellStyle name="asd 48 2 10" xfId="13208"/>
    <cellStyle name="asd 48 2 11" xfId="15111"/>
    <cellStyle name="asd 48 2 12" xfId="16813"/>
    <cellStyle name="asd 48 2 13" xfId="18720"/>
    <cellStyle name="asd 48 2 14" xfId="20632"/>
    <cellStyle name="asd 48 2 15" xfId="22739"/>
    <cellStyle name="asd 48 2 16" xfId="24434"/>
    <cellStyle name="asd 48 2 17" xfId="27741"/>
    <cellStyle name="asd 48 2 18" xfId="22679"/>
    <cellStyle name="asd 48 2 19" xfId="31319"/>
    <cellStyle name="asd 48 2 2" xfId="3615"/>
    <cellStyle name="asd 48 2 2 10" xfId="17506"/>
    <cellStyle name="asd 48 2 2 11" xfId="19412"/>
    <cellStyle name="asd 48 2 2 12" xfId="21324"/>
    <cellStyle name="asd 48 2 2 13" xfId="23655"/>
    <cellStyle name="asd 48 2 2 14" xfId="25126"/>
    <cellStyle name="asd 48 2 2 15" xfId="27954"/>
    <cellStyle name="asd 48 2 2 16" xfId="24147"/>
    <cellStyle name="asd 48 2 2 17" xfId="31534"/>
    <cellStyle name="asd 48 2 2 18" xfId="31789"/>
    <cellStyle name="asd 48 2 2 19" xfId="33711"/>
    <cellStyle name="asd 48 2 2 2" xfId="5670"/>
    <cellStyle name="asd 48 2 2 2 10" xfId="21920"/>
    <cellStyle name="asd 48 2 2 2 11" xfId="24165"/>
    <cellStyle name="asd 48 2 2 2 12" xfId="25722"/>
    <cellStyle name="asd 48 2 2 2 13" xfId="27006"/>
    <cellStyle name="asd 48 2 2 2 14" xfId="28064"/>
    <cellStyle name="asd 48 2 2 2 15" xfId="30599"/>
    <cellStyle name="asd 48 2 2 2 16" xfId="32157"/>
    <cellStyle name="asd 48 2 2 2 17" xfId="34663"/>
    <cellStyle name="asd 48 2 2 2 18" xfId="36549"/>
    <cellStyle name="asd 48 2 2 2 19" xfId="38428"/>
    <cellStyle name="asd 48 2 2 2 2" xfId="7119"/>
    <cellStyle name="asd 48 2 2 2 20" xfId="39380"/>
    <cellStyle name="asd 48 2 2 2 21" xfId="41056"/>
    <cellStyle name="asd 48 2 2 2 22" xfId="43907"/>
    <cellStyle name="asd 48 2 2 2 3" xfId="8573"/>
    <cellStyle name="asd 48 2 2 2 4" xfId="10483"/>
    <cellStyle name="asd 48 2 2 2 5" xfId="12125"/>
    <cellStyle name="asd 48 2 2 2 6" xfId="14636"/>
    <cellStyle name="asd 48 2 2 2 7" xfId="16542"/>
    <cellStyle name="asd 48 2 2 2 8" xfId="18102"/>
    <cellStyle name="asd 48 2 2 2 9" xfId="20008"/>
    <cellStyle name="asd 48 2 2 20" xfId="35953"/>
    <cellStyle name="asd 48 2 2 21" xfId="37832"/>
    <cellStyle name="asd 48 2 2 22" xfId="39028"/>
    <cellStyle name="asd 48 2 2 23" xfId="40710"/>
    <cellStyle name="asd 48 2 2 24" xfId="43413"/>
    <cellStyle name="asd 48 2 2 3" xfId="5076"/>
    <cellStyle name="asd 48 2 2 4" xfId="6526"/>
    <cellStyle name="asd 48 2 2 5" xfId="7977"/>
    <cellStyle name="asd 48 2 2 6" xfId="9887"/>
    <cellStyle name="asd 48 2 2 7" xfId="11609"/>
    <cellStyle name="asd 48 2 2 8" xfId="14125"/>
    <cellStyle name="asd 48 2 2 9" xfId="16028"/>
    <cellStyle name="asd 48 2 20" xfId="32103"/>
    <cellStyle name="asd 48 2 21" xfId="34392"/>
    <cellStyle name="asd 48 2 22" xfId="35262"/>
    <cellStyle name="asd 48 2 23" xfId="37140"/>
    <cellStyle name="asd 48 2 24" xfId="39327"/>
    <cellStyle name="asd 48 2 25" xfId="41003"/>
    <cellStyle name="asd 48 2 26" xfId="42537"/>
    <cellStyle name="asd 48 2 3" xfId="2058"/>
    <cellStyle name="asd 48 2 3 10" xfId="19008"/>
    <cellStyle name="asd 48 2 3 11" xfId="20920"/>
    <cellStyle name="asd 48 2 3 12" xfId="23126"/>
    <cellStyle name="asd 48 2 3 13" xfId="24722"/>
    <cellStyle name="asd 48 2 3 14" xfId="27649"/>
    <cellStyle name="asd 48 2 3 15" xfId="29259"/>
    <cellStyle name="asd 48 2 3 16" xfId="31226"/>
    <cellStyle name="asd 48 2 3 17" xfId="31753"/>
    <cellStyle name="asd 48 2 3 18" xfId="33397"/>
    <cellStyle name="asd 48 2 3 19" xfId="35549"/>
    <cellStyle name="asd 48 2 3 2" xfId="2484"/>
    <cellStyle name="asd 48 2 3 2 10" xfId="20613"/>
    <cellStyle name="asd 48 2 3 2 11" xfId="22773"/>
    <cellStyle name="asd 48 2 3 2 12" xfId="24415"/>
    <cellStyle name="asd 48 2 3 2 13" xfId="26547"/>
    <cellStyle name="asd 48 2 3 2 14" xfId="28970"/>
    <cellStyle name="asd 48 2 3 2 15" xfId="30152"/>
    <cellStyle name="asd 48 2 3 2 16" xfId="32637"/>
    <cellStyle name="asd 48 2 3 2 17" xfId="34971"/>
    <cellStyle name="asd 48 2 3 2 18" xfId="35243"/>
    <cellStyle name="asd 48 2 3 2 19" xfId="37121"/>
    <cellStyle name="asd 48 2 3 2 2" xfId="3127"/>
    <cellStyle name="asd 48 2 3 2 20" xfId="39844"/>
    <cellStyle name="asd 48 2 3 2 21" xfId="41513"/>
    <cellStyle name="asd 48 2 3 2 22" xfId="42568"/>
    <cellStyle name="asd 48 2 3 2 3" xfId="2096"/>
    <cellStyle name="asd 48 2 3 2 4" xfId="9175"/>
    <cellStyle name="asd 48 2 3 2 5" xfId="11362"/>
    <cellStyle name="asd 48 2 3 2 6" xfId="13243"/>
    <cellStyle name="asd 48 2 3 2 7" xfId="15146"/>
    <cellStyle name="asd 48 2 3 2 8" xfId="16794"/>
    <cellStyle name="asd 48 2 3 2 9" xfId="18701"/>
    <cellStyle name="asd 48 2 3 20" xfId="37428"/>
    <cellStyle name="asd 48 2 3 21" xfId="38993"/>
    <cellStyle name="asd 48 2 3 22" xfId="40676"/>
    <cellStyle name="asd 48 2 3 23" xfId="42905"/>
    <cellStyle name="asd 48 2 3 3" xfId="4675"/>
    <cellStyle name="asd 48 2 3 4" xfId="7573"/>
    <cellStyle name="asd 48 2 3 5" xfId="9483"/>
    <cellStyle name="asd 48 2 3 6" xfId="12747"/>
    <cellStyle name="asd 48 2 3 7" xfId="13597"/>
    <cellStyle name="asd 48 2 3 8" xfId="15500"/>
    <cellStyle name="asd 48 2 3 9" xfId="17102"/>
    <cellStyle name="asd 48 2 4" xfId="4067"/>
    <cellStyle name="asd 48 2 4 10" xfId="19702"/>
    <cellStyle name="asd 48 2 4 11" xfId="21614"/>
    <cellStyle name="asd 48 2 4 12" xfId="24111"/>
    <cellStyle name="asd 48 2 4 13" xfId="25416"/>
    <cellStyle name="asd 48 2 4 14" xfId="26861"/>
    <cellStyle name="asd 48 2 4 15" xfId="28531"/>
    <cellStyle name="asd 48 2 4 16" xfId="30458"/>
    <cellStyle name="asd 48 2 4 17" xfId="32935"/>
    <cellStyle name="asd 48 2 4 18" xfId="33650"/>
    <cellStyle name="asd 48 2 4 19" xfId="36243"/>
    <cellStyle name="asd 48 2 4 2" xfId="5972"/>
    <cellStyle name="asd 48 2 4 2 10" xfId="22222"/>
    <cellStyle name="asd 48 2 4 2 11" xfId="23215"/>
    <cellStyle name="asd 48 2 4 2 12" xfId="26024"/>
    <cellStyle name="asd 48 2 4 2 13" xfId="27389"/>
    <cellStyle name="asd 48 2 4 2 14" xfId="29395"/>
    <cellStyle name="asd 48 2 4 2 15" xfId="30975"/>
    <cellStyle name="asd 48 2 4 2 16" xfId="33184"/>
    <cellStyle name="asd 48 2 4 2 17" xfId="34061"/>
    <cellStyle name="asd 48 2 4 2 18" xfId="36851"/>
    <cellStyle name="asd 48 2 4 2 19" xfId="38730"/>
    <cellStyle name="asd 48 2 4 2 2" xfId="7421"/>
    <cellStyle name="asd 48 2 4 2 20" xfId="40375"/>
    <cellStyle name="asd 48 2 4 2 21" xfId="42031"/>
    <cellStyle name="asd 48 2 4 2 22" xfId="42993"/>
    <cellStyle name="asd 48 2 4 2 3" xfId="8875"/>
    <cellStyle name="asd 48 2 4 2 4" xfId="10785"/>
    <cellStyle name="asd 48 2 4 2 5" xfId="11087"/>
    <cellStyle name="asd 48 2 4 2 6" xfId="13687"/>
    <cellStyle name="asd 48 2 4 2 7" xfId="15589"/>
    <cellStyle name="asd 48 2 4 2 8" xfId="18404"/>
    <cellStyle name="asd 48 2 4 2 9" xfId="20310"/>
    <cellStyle name="asd 48 2 4 20" xfId="38122"/>
    <cellStyle name="asd 48 2 4 21" xfId="40139"/>
    <cellStyle name="asd 48 2 4 22" xfId="41798"/>
    <cellStyle name="asd 48 2 4 23" xfId="43854"/>
    <cellStyle name="asd 48 2 4 3" xfId="6813"/>
    <cellStyle name="asd 48 2 4 4" xfId="8267"/>
    <cellStyle name="asd 48 2 4 5" xfId="10177"/>
    <cellStyle name="asd 48 2 4 6" xfId="12071"/>
    <cellStyle name="asd 48 2 4 7" xfId="14582"/>
    <cellStyle name="asd 48 2 4 8" xfId="16488"/>
    <cellStyle name="asd 48 2 4 9" xfId="17796"/>
    <cellStyle name="asd 48 2 5" xfId="4924"/>
    <cellStyle name="asd 48 2 5 10" xfId="21172"/>
    <cellStyle name="asd 48 2 5 11" xfId="22841"/>
    <cellStyle name="asd 48 2 5 12" xfId="24974"/>
    <cellStyle name="asd 48 2 5 13" xfId="10879"/>
    <cellStyle name="asd 48 2 5 14" xfId="29000"/>
    <cellStyle name="asd 48 2 5 15" xfId="27760"/>
    <cellStyle name="asd 48 2 5 16" xfId="26138"/>
    <cellStyle name="asd 48 2 5 17" xfId="33685"/>
    <cellStyle name="asd 48 2 5 18" xfId="35801"/>
    <cellStyle name="asd 48 2 5 19" xfId="37680"/>
    <cellStyle name="asd 48 2 5 2" xfId="6374"/>
    <cellStyle name="asd 48 2 5 20" xfId="34272"/>
    <cellStyle name="asd 48 2 5 21" xfId="32015"/>
    <cellStyle name="asd 48 2 5 22" xfId="42632"/>
    <cellStyle name="asd 48 2 5 3" xfId="7825"/>
    <cellStyle name="asd 48 2 5 4" xfId="9735"/>
    <cellStyle name="asd 48 2 5 5" xfId="11217"/>
    <cellStyle name="asd 48 2 5 6" xfId="13310"/>
    <cellStyle name="asd 48 2 5 7" xfId="15214"/>
    <cellStyle name="asd 48 2 5 8" xfId="17354"/>
    <cellStyle name="asd 48 2 5 9" xfId="19260"/>
    <cellStyle name="asd 48 2 6" xfId="4345"/>
    <cellStyle name="asd 48 2 6 10" xfId="20552"/>
    <cellStyle name="asd 48 2 6 11" xfId="22544"/>
    <cellStyle name="asd 48 2 6 12" xfId="24354"/>
    <cellStyle name="asd 48 2 6 13" xfId="27145"/>
    <cellStyle name="asd 48 2 6 14" xfId="28169"/>
    <cellStyle name="asd 48 2 6 15" xfId="30736"/>
    <cellStyle name="asd 48 2 6 16" xfId="31980"/>
    <cellStyle name="asd 48 2 6 17" xfId="34855"/>
    <cellStyle name="asd 48 2 6 18" xfId="35182"/>
    <cellStyle name="asd 48 2 6 19" xfId="37060"/>
    <cellStyle name="asd 48 2 6 2" xfId="4309"/>
    <cellStyle name="asd 48 2 6 20" xfId="39211"/>
    <cellStyle name="asd 48 2 6 21" xfId="40891"/>
    <cellStyle name="asd 48 2 6 22" xfId="42353"/>
    <cellStyle name="asd 48 2 6 3" xfId="2329"/>
    <cellStyle name="asd 48 2 6 4" xfId="9114"/>
    <cellStyle name="asd 48 2 6 5" xfId="11514"/>
    <cellStyle name="asd 48 2 6 6" xfId="13012"/>
    <cellStyle name="asd 48 2 6 7" xfId="14916"/>
    <cellStyle name="asd 48 2 6 8" xfId="16733"/>
    <cellStyle name="asd 48 2 6 9" xfId="18640"/>
    <cellStyle name="asd 48 2 7" xfId="5329"/>
    <cellStyle name="asd 48 2 8" xfId="9194"/>
    <cellStyle name="asd 48 2 9" xfId="11587"/>
    <cellStyle name="asd 48 20" xfId="30093"/>
    <cellStyle name="asd 48 21" xfId="31837"/>
    <cellStyle name="asd 48 22" xfId="34644"/>
    <cellStyle name="asd 48 23" xfId="29327"/>
    <cellStyle name="asd 48 24" xfId="28180"/>
    <cellStyle name="asd 48 25" xfId="39074"/>
    <cellStyle name="asd 48 26" xfId="40756"/>
    <cellStyle name="asd 48 27" xfId="22779"/>
    <cellStyle name="asd 48 3" xfId="3501"/>
    <cellStyle name="asd 48 3 10" xfId="13289"/>
    <cellStyle name="asd 48 3 11" xfId="15193"/>
    <cellStyle name="asd 48 3 12" xfId="16960"/>
    <cellStyle name="asd 48 3 13" xfId="18867"/>
    <cellStyle name="asd 48 3 14" xfId="20779"/>
    <cellStyle name="asd 48 3 15" xfId="22819"/>
    <cellStyle name="asd 48 3 16" xfId="24581"/>
    <cellStyle name="asd 48 3 17" xfId="26589"/>
    <cellStyle name="asd 48 3 18" xfId="28672"/>
    <cellStyle name="asd 48 3 19" xfId="30191"/>
    <cellStyle name="asd 48 3 2" xfId="3681"/>
    <cellStyle name="asd 48 3 2 10" xfId="17572"/>
    <cellStyle name="asd 48 3 2 11" xfId="19478"/>
    <cellStyle name="asd 48 3 2 12" xfId="21390"/>
    <cellStyle name="asd 48 3 2 13" xfId="23663"/>
    <cellStyle name="asd 48 3 2 14" xfId="25192"/>
    <cellStyle name="asd 48 3 2 15" xfId="26642"/>
    <cellStyle name="asd 48 3 2 16" xfId="28224"/>
    <cellStyle name="asd 48 3 2 17" xfId="30245"/>
    <cellStyle name="asd 48 3 2 18" xfId="33189"/>
    <cellStyle name="asd 48 3 2 19" xfId="34215"/>
    <cellStyle name="asd 48 3 2 2" xfId="5748"/>
    <cellStyle name="asd 48 3 2 2 10" xfId="21998"/>
    <cellStyle name="asd 48 3 2 2 11" xfId="22758"/>
    <cellStyle name="asd 48 3 2 2 12" xfId="25800"/>
    <cellStyle name="asd 48 3 2 2 13" xfId="26214"/>
    <cellStyle name="asd 48 3 2 2 14" xfId="28184"/>
    <cellStyle name="asd 48 3 2 2 15" xfId="29825"/>
    <cellStyle name="asd 48 3 2 2 16" xfId="32773"/>
    <cellStyle name="asd 48 3 2 2 17" xfId="33400"/>
    <cellStyle name="asd 48 3 2 2 18" xfId="36627"/>
    <cellStyle name="asd 48 3 2 2 19" xfId="38506"/>
    <cellStyle name="asd 48 3 2 2 2" xfId="7197"/>
    <cellStyle name="asd 48 3 2 2 20" xfId="39982"/>
    <cellStyle name="asd 48 3 2 2 21" xfId="41646"/>
    <cellStyle name="asd 48 3 2 2 22" xfId="42555"/>
    <cellStyle name="asd 48 3 2 2 3" xfId="8651"/>
    <cellStyle name="asd 48 3 2 2 4" xfId="10561"/>
    <cellStyle name="asd 48 3 2 2 5" xfId="11393"/>
    <cellStyle name="asd 48 3 2 2 6" xfId="13227"/>
    <cellStyle name="asd 48 3 2 2 7" xfId="15130"/>
    <cellStyle name="asd 48 3 2 2 8" xfId="18180"/>
    <cellStyle name="asd 48 3 2 2 9" xfId="20086"/>
    <cellStyle name="asd 48 3 2 20" xfId="36019"/>
    <cellStyle name="asd 48 3 2 21" xfId="37898"/>
    <cellStyle name="asd 48 3 2 22" xfId="40380"/>
    <cellStyle name="asd 48 3 2 23" xfId="42036"/>
    <cellStyle name="asd 48 3 2 24" xfId="43421"/>
    <cellStyle name="asd 48 3 2 3" xfId="5142"/>
    <cellStyle name="asd 48 3 2 4" xfId="6592"/>
    <cellStyle name="asd 48 3 2 5" xfId="8043"/>
    <cellStyle name="asd 48 3 2 6" xfId="9953"/>
    <cellStyle name="asd 48 3 2 7" xfId="11677"/>
    <cellStyle name="asd 48 3 2 8" xfId="14134"/>
    <cellStyle name="asd 48 3 2 9" xfId="16037"/>
    <cellStyle name="asd 48 3 20" xfId="32904"/>
    <cellStyle name="asd 48 3 21" xfId="33453"/>
    <cellStyle name="asd 48 3 22" xfId="35409"/>
    <cellStyle name="asd 48 3 23" xfId="37287"/>
    <cellStyle name="asd 48 3 24" xfId="40108"/>
    <cellStyle name="asd 48 3 25" xfId="41768"/>
    <cellStyle name="asd 48 3 26" xfId="42612"/>
    <cellStyle name="asd 48 3 3" xfId="3884"/>
    <cellStyle name="asd 48 3 3 10" xfId="19593"/>
    <cellStyle name="asd 48 3 3 11" xfId="21505"/>
    <cellStyle name="asd 48 3 3 12" xfId="23685"/>
    <cellStyle name="asd 48 3 3 13" xfId="25307"/>
    <cellStyle name="asd 48 3 3 14" xfId="26368"/>
    <cellStyle name="asd 48 3 3 15" xfId="27087"/>
    <cellStyle name="asd 48 3 3 16" xfId="29976"/>
    <cellStyle name="asd 48 3 3 17" xfId="31811"/>
    <cellStyle name="asd 48 3 3 18" xfId="34252"/>
    <cellStyle name="asd 48 3 3 19" xfId="36134"/>
    <cellStyle name="asd 48 3 3 2" xfId="5863"/>
    <cellStyle name="asd 48 3 3 2 10" xfId="22113"/>
    <cellStyle name="asd 48 3 3 2 11" xfId="23637"/>
    <cellStyle name="asd 48 3 3 2 12" xfId="25915"/>
    <cellStyle name="asd 48 3 3 2 13" xfId="27848"/>
    <cellStyle name="asd 48 3 3 2 14" xfId="28987"/>
    <cellStyle name="asd 48 3 3 2 15" xfId="31427"/>
    <cellStyle name="asd 48 3 3 2 16" xfId="32700"/>
    <cellStyle name="asd 48 3 3 2 17" xfId="33852"/>
    <cellStyle name="asd 48 3 3 2 18" xfId="36742"/>
    <cellStyle name="asd 48 3 3 2 19" xfId="38621"/>
    <cellStyle name="asd 48 3 3 2 2" xfId="7312"/>
    <cellStyle name="asd 48 3 3 2 20" xfId="39908"/>
    <cellStyle name="asd 48 3 3 2 21" xfId="41577"/>
    <cellStyle name="asd 48 3 3 2 22" xfId="43395"/>
    <cellStyle name="asd 48 3 3 2 3" xfId="8766"/>
    <cellStyle name="asd 48 3 3 2 4" xfId="10676"/>
    <cellStyle name="asd 48 3 3 2 5" xfId="11792"/>
    <cellStyle name="asd 48 3 3 2 6" xfId="14107"/>
    <cellStyle name="asd 48 3 3 2 7" xfId="16010"/>
    <cellStyle name="asd 48 3 3 2 8" xfId="18295"/>
    <cellStyle name="asd 48 3 3 2 9" xfId="20201"/>
    <cellStyle name="asd 48 3 3 20" xfId="38013"/>
    <cellStyle name="asd 48 3 3 21" xfId="39049"/>
    <cellStyle name="asd 48 3 3 22" xfId="40731"/>
    <cellStyle name="asd 48 3 3 23" xfId="43442"/>
    <cellStyle name="asd 48 3 3 3" xfId="5257"/>
    <cellStyle name="asd 48 3 3 4" xfId="8158"/>
    <cellStyle name="asd 48 3 3 5" xfId="10068"/>
    <cellStyle name="asd 48 3 3 6" xfId="12677"/>
    <cellStyle name="asd 48 3 3 7" xfId="14155"/>
    <cellStyle name="asd 48 3 3 8" xfId="16059"/>
    <cellStyle name="asd 48 3 3 9" xfId="17687"/>
    <cellStyle name="asd 48 3 4" xfId="4133"/>
    <cellStyle name="asd 48 3 4 10" xfId="19768"/>
    <cellStyle name="asd 48 3 4 11" xfId="21680"/>
    <cellStyle name="asd 48 3 4 12" xfId="24045"/>
    <cellStyle name="asd 48 3 4 13" xfId="25482"/>
    <cellStyle name="asd 48 3 4 14" xfId="26280"/>
    <cellStyle name="asd 48 3 4 15" xfId="29622"/>
    <cellStyle name="asd 48 3 4 16" xfId="29889"/>
    <cellStyle name="asd 48 3 4 17" xfId="32793"/>
    <cellStyle name="asd 48 3 4 18" xfId="34536"/>
    <cellStyle name="asd 48 3 4 19" xfId="36309"/>
    <cellStyle name="asd 48 3 4 2" xfId="6038"/>
    <cellStyle name="asd 48 3 4 2 10" xfId="22288"/>
    <cellStyle name="asd 48 3 4 2 11" xfId="23255"/>
    <cellStyle name="asd 48 3 4 2 12" xfId="26090"/>
    <cellStyle name="asd 48 3 4 2 13" xfId="26996"/>
    <cellStyle name="asd 48 3 4 2 14" xfId="22342"/>
    <cellStyle name="asd 48 3 4 2 15" xfId="30590"/>
    <cellStyle name="asd 48 3 4 2 16" xfId="31676"/>
    <cellStyle name="asd 48 3 4 2 17" xfId="34312"/>
    <cellStyle name="asd 48 3 4 2 18" xfId="36917"/>
    <cellStyle name="asd 48 3 4 2 19" xfId="38796"/>
    <cellStyle name="asd 48 3 4 2 2" xfId="7487"/>
    <cellStyle name="asd 48 3 4 2 20" xfId="38919"/>
    <cellStyle name="asd 48 3 4 2 21" xfId="40603"/>
    <cellStyle name="asd 48 3 4 2 22" xfId="43031"/>
    <cellStyle name="asd 48 3 4 2 3" xfId="8941"/>
    <cellStyle name="asd 48 3 4 2 4" xfId="10851"/>
    <cellStyle name="asd 48 3 4 2 5" xfId="11168"/>
    <cellStyle name="asd 48 3 4 2 6" xfId="13727"/>
    <cellStyle name="asd 48 3 4 2 7" xfId="15629"/>
    <cellStyle name="asd 48 3 4 2 8" xfId="18470"/>
    <cellStyle name="asd 48 3 4 2 9" xfId="20376"/>
    <cellStyle name="asd 48 3 4 20" xfId="38188"/>
    <cellStyle name="asd 48 3 4 21" xfId="40002"/>
    <cellStyle name="asd 48 3 4 22" xfId="41666"/>
    <cellStyle name="asd 48 3 4 23" xfId="43789"/>
    <cellStyle name="asd 48 3 4 3" xfId="6879"/>
    <cellStyle name="asd 48 3 4 4" xfId="8333"/>
    <cellStyle name="asd 48 3 4 5" xfId="10243"/>
    <cellStyle name="asd 48 3 4 6" xfId="12004"/>
    <cellStyle name="asd 48 3 4 7" xfId="14515"/>
    <cellStyle name="asd 48 3 4 8" xfId="16421"/>
    <cellStyle name="asd 48 3 4 9" xfId="17862"/>
    <cellStyle name="asd 48 3 5" xfId="4977"/>
    <cellStyle name="asd 48 3 5 10" xfId="21225"/>
    <cellStyle name="asd 48 3 5 11" xfId="23866"/>
    <cellStyle name="asd 48 3 5 12" xfId="25027"/>
    <cellStyle name="asd 48 3 5 13" xfId="26324"/>
    <cellStyle name="asd 48 3 5 14" xfId="28299"/>
    <cellStyle name="asd 48 3 5 15" xfId="29932"/>
    <cellStyle name="asd 48 3 5 16" xfId="31616"/>
    <cellStyle name="asd 48 3 5 17" xfId="33693"/>
    <cellStyle name="asd 48 3 5 18" xfId="35854"/>
    <cellStyle name="asd 48 3 5 19" xfId="37733"/>
    <cellStyle name="asd 48 3 5 2" xfId="6427"/>
    <cellStyle name="asd 48 3 5 20" xfId="38863"/>
    <cellStyle name="asd 48 3 5 21" xfId="40549"/>
    <cellStyle name="asd 48 3 5 22" xfId="43616"/>
    <cellStyle name="asd 48 3 5 3" xfId="7878"/>
    <cellStyle name="asd 48 3 5 4" xfId="9788"/>
    <cellStyle name="asd 48 3 5 5" xfId="11638"/>
    <cellStyle name="asd 48 3 5 6" xfId="14336"/>
    <cellStyle name="asd 48 3 5 7" xfId="16240"/>
    <cellStyle name="asd 48 3 5 8" xfId="17407"/>
    <cellStyle name="asd 48 3 5 9" xfId="19313"/>
    <cellStyle name="asd 48 3 6" xfId="4272"/>
    <cellStyle name="asd 48 3 6 10" xfId="20551"/>
    <cellStyle name="asd 48 3 6 11" xfId="23596"/>
    <cellStyle name="asd 48 3 6 12" xfId="24353"/>
    <cellStyle name="asd 48 3 6 13" xfId="3734"/>
    <cellStyle name="asd 48 3 6 14" xfId="22334"/>
    <cellStyle name="asd 48 3 6 15" xfId="16612"/>
    <cellStyle name="asd 48 3 6 16" xfId="31564"/>
    <cellStyle name="asd 48 3 6 17" xfId="29421"/>
    <cellStyle name="asd 48 3 6 18" xfId="35181"/>
    <cellStyle name="asd 48 3 6 19" xfId="37059"/>
    <cellStyle name="asd 48 3 6 2" xfId="5337"/>
    <cellStyle name="asd 48 3 6 20" xfId="38823"/>
    <cellStyle name="asd 48 3 6 21" xfId="40516"/>
    <cellStyle name="asd 48 3 6 22" xfId="43355"/>
    <cellStyle name="asd 48 3 6 3" xfId="6203"/>
    <cellStyle name="asd 48 3 6 4" xfId="9113"/>
    <cellStyle name="asd 48 3 6 5" xfId="11107"/>
    <cellStyle name="asd 48 3 6 6" xfId="14066"/>
    <cellStyle name="asd 48 3 6 7" xfId="15969"/>
    <cellStyle name="asd 48 3 6 8" xfId="16732"/>
    <cellStyle name="asd 48 3 6 9" xfId="18639"/>
    <cellStyle name="asd 48 3 7" xfId="6224"/>
    <cellStyle name="asd 48 3 8" xfId="9341"/>
    <cellStyle name="asd 48 3 9" xfId="11014"/>
    <cellStyle name="asd 48 4" xfId="2004"/>
    <cellStyle name="asd 48 4 10" xfId="10910"/>
    <cellStyle name="asd 48 4 11" xfId="3330"/>
    <cellStyle name="asd 48 4 12" xfId="2348"/>
    <cellStyle name="asd 48 4 13" xfId="1892"/>
    <cellStyle name="asd 48 4 14" xfId="4204"/>
    <cellStyle name="asd 48 4 15" xfId="2193"/>
    <cellStyle name="asd 48 4 16" xfId="4354"/>
    <cellStyle name="asd 48 4 17" xfId="26514"/>
    <cellStyle name="asd 48 4 18" xfId="27709"/>
    <cellStyle name="asd 48 4 19" xfId="28282"/>
    <cellStyle name="asd 48 4 2" xfId="2622"/>
    <cellStyle name="asd 48 4 2 10" xfId="17184"/>
    <cellStyle name="asd 48 4 2 11" xfId="19090"/>
    <cellStyle name="asd 48 4 2 12" xfId="21002"/>
    <cellStyle name="asd 48 4 2 13" xfId="22709"/>
    <cellStyle name="asd 48 4 2 14" xfId="24804"/>
    <cellStyle name="asd 48 4 2 15" xfId="26195"/>
    <cellStyle name="asd 48 4 2 16" xfId="29468"/>
    <cellStyle name="asd 48 4 2 17" xfId="29808"/>
    <cellStyle name="asd 48 4 2 18" xfId="32858"/>
    <cellStyle name="asd 48 4 2 19" xfId="34618"/>
    <cellStyle name="asd 48 4 2 2" xfId="5580"/>
    <cellStyle name="asd 48 4 2 2 10" xfId="21830"/>
    <cellStyle name="asd 48 4 2 2 11" xfId="23004"/>
    <cellStyle name="asd 48 4 2 2 12" xfId="25632"/>
    <cellStyle name="asd 48 4 2 2 13" xfId="2488"/>
    <cellStyle name="asd 48 4 2 2 14" xfId="2818"/>
    <cellStyle name="asd 48 4 2 2 15" xfId="4210"/>
    <cellStyle name="asd 48 4 2 2 16" xfId="31556"/>
    <cellStyle name="asd 48 4 2 2 17" xfId="24207"/>
    <cellStyle name="asd 48 4 2 2 18" xfId="36459"/>
    <cellStyle name="asd 48 4 2 2 19" xfId="38338"/>
    <cellStyle name="asd 48 4 2 2 2" xfId="7029"/>
    <cellStyle name="asd 48 4 2 2 20" xfId="38818"/>
    <cellStyle name="asd 48 4 2 2 21" xfId="40513"/>
    <cellStyle name="asd 48 4 2 2 22" xfId="42788"/>
    <cellStyle name="asd 48 4 2 2 3" xfId="8483"/>
    <cellStyle name="asd 48 4 2 2 4" xfId="10393"/>
    <cellStyle name="asd 48 4 2 2 5" xfId="11275"/>
    <cellStyle name="asd 48 4 2 2 6" xfId="13474"/>
    <cellStyle name="asd 48 4 2 2 7" xfId="15379"/>
    <cellStyle name="asd 48 4 2 2 8" xfId="18012"/>
    <cellStyle name="asd 48 4 2 2 9" xfId="19918"/>
    <cellStyle name="asd 48 4 2 20" xfId="35631"/>
    <cellStyle name="asd 48 4 2 21" xfId="37510"/>
    <cellStyle name="asd 48 4 2 22" xfId="40065"/>
    <cellStyle name="asd 48 4 2 23" xfId="41729"/>
    <cellStyle name="asd 48 4 2 24" xfId="42509"/>
    <cellStyle name="asd 48 4 2 3" xfId="4755"/>
    <cellStyle name="asd 48 4 2 4" xfId="6204"/>
    <cellStyle name="asd 48 4 2 5" xfId="7655"/>
    <cellStyle name="asd 48 4 2 6" xfId="9565"/>
    <cellStyle name="asd 48 4 2 7" xfId="2520"/>
    <cellStyle name="asd 48 4 2 8" xfId="13177"/>
    <cellStyle name="asd 48 4 2 9" xfId="15081"/>
    <cellStyle name="asd 48 4 20" xfId="6141"/>
    <cellStyle name="asd 48 4 21" xfId="29516"/>
    <cellStyle name="asd 48 4 22" xfId="33364"/>
    <cellStyle name="asd 48 4 23" xfId="2826"/>
    <cellStyle name="asd 48 4 24" xfId="22604"/>
    <cellStyle name="asd 48 4 25" xfId="39953"/>
    <cellStyle name="asd 48 4 3" xfId="1849"/>
    <cellStyle name="asd 48 4 3 10" xfId="18978"/>
    <cellStyle name="asd 48 4 3 11" xfId="20890"/>
    <cellStyle name="asd 48 4 3 12" xfId="23751"/>
    <cellStyle name="asd 48 4 3 13" xfId="24692"/>
    <cellStyle name="asd 48 4 3 14" xfId="26238"/>
    <cellStyle name="asd 48 4 3 15" xfId="29673"/>
    <cellStyle name="asd 48 4 3 16" xfId="29848"/>
    <cellStyle name="asd 48 4 3 17" xfId="32229"/>
    <cellStyle name="asd 48 4 3 18" xfId="34005"/>
    <cellStyle name="asd 48 4 3 19" xfId="35519"/>
    <cellStyle name="asd 48 4 3 2" xfId="4236"/>
    <cellStyle name="asd 48 4 3 2 10" xfId="20569"/>
    <cellStyle name="asd 48 4 3 2 11" xfId="23568"/>
    <cellStyle name="asd 48 4 3 2 12" xfId="24371"/>
    <cellStyle name="asd 48 4 3 2 13" xfId="26508"/>
    <cellStyle name="asd 48 4 3 2 14" xfId="28070"/>
    <cellStyle name="asd 48 4 3 2 15" xfId="30114"/>
    <cellStyle name="asd 48 4 3 2 16" xfId="32131"/>
    <cellStyle name="asd 48 4 3 2 17" xfId="33393"/>
    <cellStyle name="asd 48 4 3 2 18" xfId="35199"/>
    <cellStyle name="asd 48 4 3 2 19" xfId="37077"/>
    <cellStyle name="asd 48 4 3 2 2" xfId="5417"/>
    <cellStyle name="asd 48 4 3 2 20" xfId="39354"/>
    <cellStyle name="asd 48 4 3 2 21" xfId="41030"/>
    <cellStyle name="asd 48 4 3 2 22" xfId="43332"/>
    <cellStyle name="asd 48 4 3 2 3" xfId="6290"/>
    <cellStyle name="asd 48 4 3 2 4" xfId="9131"/>
    <cellStyle name="asd 48 4 3 2 5" xfId="12551"/>
    <cellStyle name="asd 48 4 3 2 6" xfId="14040"/>
    <cellStyle name="asd 48 4 3 2 7" xfId="15941"/>
    <cellStyle name="asd 48 4 3 2 8" xfId="16750"/>
    <cellStyle name="asd 48 4 3 2 9" xfId="18657"/>
    <cellStyle name="asd 48 4 3 20" xfId="37398"/>
    <cellStyle name="asd 48 4 3 21" xfId="39448"/>
    <cellStyle name="asd 48 4 3 22" xfId="41123"/>
    <cellStyle name="asd 48 4 3 23" xfId="43504"/>
    <cellStyle name="asd 48 4 3 3" xfId="4646"/>
    <cellStyle name="asd 48 4 3 4" xfId="7543"/>
    <cellStyle name="asd 48 4 3 5" xfId="9453"/>
    <cellStyle name="asd 48 4 3 6" xfId="11522"/>
    <cellStyle name="asd 48 4 3 7" xfId="14221"/>
    <cellStyle name="asd 48 4 3 8" xfId="16125"/>
    <cellStyle name="asd 48 4 3 9" xfId="17072"/>
    <cellStyle name="asd 48 4 4" xfId="2964"/>
    <cellStyle name="asd 48 4 4 10" xfId="19132"/>
    <cellStyle name="asd 48 4 4 11" xfId="21044"/>
    <cellStyle name="asd 48 4 4 12" xfId="24047"/>
    <cellStyle name="asd 48 4 4 13" xfId="24846"/>
    <cellStyle name="asd 48 4 4 14" xfId="27934"/>
    <cellStyle name="asd 48 4 4 15" xfId="28206"/>
    <cellStyle name="asd 48 4 4 16" xfId="31515"/>
    <cellStyle name="asd 48 4 4 17" xfId="33239"/>
    <cellStyle name="asd 48 4 4 18" xfId="34409"/>
    <cellStyle name="asd 48 4 4 19" xfId="35673"/>
    <cellStyle name="asd 48 4 4 2" xfId="4615"/>
    <cellStyle name="asd 48 4 4 2 10" xfId="20860"/>
    <cellStyle name="asd 48 4 4 2 11" xfId="23871"/>
    <cellStyle name="asd 48 4 4 2 12" xfId="24662"/>
    <cellStyle name="asd 48 4 4 2 13" xfId="26172"/>
    <cellStyle name="asd 48 4 4 2 14" xfId="28814"/>
    <cellStyle name="asd 48 4 4 2 15" xfId="29785"/>
    <cellStyle name="asd 48 4 4 2 16" xfId="31862"/>
    <cellStyle name="asd 48 4 4 2 17" xfId="33573"/>
    <cellStyle name="asd 48 4 4 2 18" xfId="35490"/>
    <cellStyle name="asd 48 4 4 2 19" xfId="37368"/>
    <cellStyle name="asd 48 4 4 2 2" xfId="6063"/>
    <cellStyle name="asd 48 4 4 2 20" xfId="39097"/>
    <cellStyle name="asd 48 4 4 2 21" xfId="40778"/>
    <cellStyle name="asd 48 4 4 2 22" xfId="43621"/>
    <cellStyle name="asd 48 4 4 2 3" xfId="7512"/>
    <cellStyle name="asd 48 4 4 2 4" xfId="9422"/>
    <cellStyle name="asd 48 4 4 2 5" xfId="11777"/>
    <cellStyle name="asd 48 4 4 2 6" xfId="14341"/>
    <cellStyle name="asd 48 4 4 2 7" xfId="16245"/>
    <cellStyle name="asd 48 4 4 2 8" xfId="17041"/>
    <cellStyle name="asd 48 4 4 2 9" xfId="18948"/>
    <cellStyle name="asd 48 4 4 20" xfId="37552"/>
    <cellStyle name="asd 48 4 4 21" xfId="40428"/>
    <cellStyle name="asd 48 4 4 22" xfId="42083"/>
    <cellStyle name="asd 48 4 4 23" xfId="43791"/>
    <cellStyle name="asd 48 4 4 3" xfId="6246"/>
    <cellStyle name="asd 48 4 4 4" xfId="7697"/>
    <cellStyle name="asd 48 4 4 5" xfId="9607"/>
    <cellStyle name="asd 48 4 4 6" xfId="12006"/>
    <cellStyle name="asd 48 4 4 7" xfId="14517"/>
    <cellStyle name="asd 48 4 4 8" xfId="16423"/>
    <cellStyle name="asd 48 4 4 9" xfId="17226"/>
    <cellStyle name="asd 48 4 5" xfId="4244"/>
    <cellStyle name="asd 48 4 5 10" xfId="20568"/>
    <cellStyle name="asd 48 4 5 11" xfId="24171"/>
    <cellStyle name="asd 48 4 5 12" xfId="24370"/>
    <cellStyle name="asd 48 4 5 13" xfId="27758"/>
    <cellStyle name="asd 48 4 5 14" xfId="2459"/>
    <cellStyle name="asd 48 4 5 15" xfId="31337"/>
    <cellStyle name="asd 48 4 5 16" xfId="32861"/>
    <cellStyle name="asd 48 4 5 17" xfId="34973"/>
    <cellStyle name="asd 48 4 5 18" xfId="35198"/>
    <cellStyle name="asd 48 4 5 19" xfId="37076"/>
    <cellStyle name="asd 48 4 5 2" xfId="2279"/>
    <cellStyle name="asd 48 4 5 20" xfId="40068"/>
    <cellStyle name="asd 48 4 5 21" xfId="41732"/>
    <cellStyle name="asd 48 4 5 22" xfId="43913"/>
    <cellStyle name="asd 48 4 5 3" xfId="4187"/>
    <cellStyle name="asd 48 4 5 4" xfId="9130"/>
    <cellStyle name="asd 48 4 5 5" xfId="12131"/>
    <cellStyle name="asd 48 4 5 6" xfId="14642"/>
    <cellStyle name="asd 48 4 5 7" xfId="16548"/>
    <cellStyle name="asd 48 4 5 8" xfId="16749"/>
    <cellStyle name="asd 48 4 5 9" xfId="18656"/>
    <cellStyle name="asd 48 4 6" xfId="1904"/>
    <cellStyle name="asd 48 4 7" xfId="2478"/>
    <cellStyle name="asd 48 4 8" xfId="3530"/>
    <cellStyle name="asd 48 4 9" xfId="4338"/>
    <cellStyle name="asd 48 5" xfId="2080"/>
    <cellStyle name="asd 48 5 10" xfId="17106"/>
    <cellStyle name="asd 48 5 11" xfId="19012"/>
    <cellStyle name="asd 48 5 12" xfId="20924"/>
    <cellStyle name="asd 48 5 13" xfId="23405"/>
    <cellStyle name="asd 48 5 14" xfId="24726"/>
    <cellStyle name="asd 48 5 15" xfId="27468"/>
    <cellStyle name="asd 48 5 16" xfId="28389"/>
    <cellStyle name="asd 48 5 17" xfId="31055"/>
    <cellStyle name="asd 48 5 18" xfId="31797"/>
    <cellStyle name="asd 48 5 19" xfId="33585"/>
    <cellStyle name="asd 48 5 2" xfId="5718"/>
    <cellStyle name="asd 48 5 2 10" xfId="21968"/>
    <cellStyle name="asd 48 5 2 11" xfId="24125"/>
    <cellStyle name="asd 48 5 2 12" xfId="25770"/>
    <cellStyle name="asd 48 5 2 13" xfId="26609"/>
    <cellStyle name="asd 48 5 2 14" xfId="28373"/>
    <cellStyle name="asd 48 5 2 15" xfId="30211"/>
    <cellStyle name="asd 48 5 2 16" xfId="32041"/>
    <cellStyle name="asd 48 5 2 17" xfId="34334"/>
    <cellStyle name="asd 48 5 2 18" xfId="36597"/>
    <cellStyle name="asd 48 5 2 19" xfId="38476"/>
    <cellStyle name="asd 48 5 2 2" xfId="7167"/>
    <cellStyle name="asd 48 5 2 20" xfId="39270"/>
    <cellStyle name="asd 48 5 2 21" xfId="40947"/>
    <cellStyle name="asd 48 5 2 22" xfId="43868"/>
    <cellStyle name="asd 48 5 2 3" xfId="8621"/>
    <cellStyle name="asd 48 5 2 4" xfId="10531"/>
    <cellStyle name="asd 48 5 2 5" xfId="12085"/>
    <cellStyle name="asd 48 5 2 6" xfId="14596"/>
    <cellStyle name="asd 48 5 2 7" xfId="16502"/>
    <cellStyle name="asd 48 5 2 8" xfId="18150"/>
    <cellStyle name="asd 48 5 2 9" xfId="20056"/>
    <cellStyle name="asd 48 5 20" xfId="35553"/>
    <cellStyle name="asd 48 5 21" xfId="37432"/>
    <cellStyle name="asd 48 5 22" xfId="39035"/>
    <cellStyle name="asd 48 5 23" xfId="40717"/>
    <cellStyle name="asd 48 5 24" xfId="43172"/>
    <cellStyle name="asd 48 5 3" xfId="4679"/>
    <cellStyle name="asd 48 5 4" xfId="6126"/>
    <cellStyle name="asd 48 5 5" xfId="7577"/>
    <cellStyle name="asd 48 5 6" xfId="9487"/>
    <cellStyle name="asd 48 5 7" xfId="12458"/>
    <cellStyle name="asd 48 5 8" xfId="13877"/>
    <cellStyle name="asd 48 5 9" xfId="15778"/>
    <cellStyle name="asd 48 6" xfId="2503"/>
    <cellStyle name="asd 48 6 10" xfId="19074"/>
    <cellStyle name="asd 48 6 11" xfId="20986"/>
    <cellStyle name="asd 48 6 12" xfId="23036"/>
    <cellStyle name="asd 48 6 13" xfId="24788"/>
    <cellStyle name="asd 48 6 14" xfId="26399"/>
    <cellStyle name="asd 48 6 15" xfId="28171"/>
    <cellStyle name="asd 48 6 16" xfId="30007"/>
    <cellStyle name="asd 48 6 17" xfId="31609"/>
    <cellStyle name="asd 48 6 18" xfId="34081"/>
    <cellStyle name="asd 48 6 19" xfId="35615"/>
    <cellStyle name="asd 48 6 2" xfId="4239"/>
    <cellStyle name="asd 48 6 2 10" xfId="20539"/>
    <cellStyle name="asd 48 6 2 11" xfId="22699"/>
    <cellStyle name="asd 48 6 2 12" xfId="24341"/>
    <cellStyle name="asd 48 6 2 13" xfId="26754"/>
    <cellStyle name="asd 48 6 2 14" xfId="29416"/>
    <cellStyle name="asd 48 6 2 15" xfId="30353"/>
    <cellStyle name="asd 48 6 2 16" xfId="33061"/>
    <cellStyle name="asd 48 6 2 17" xfId="33437"/>
    <cellStyle name="asd 48 6 2 18" xfId="35169"/>
    <cellStyle name="asd 48 6 2 19" xfId="37047"/>
    <cellStyle name="asd 48 6 2 2" xfId="5380"/>
    <cellStyle name="asd 48 6 2 20" xfId="40257"/>
    <cellStyle name="asd 48 6 2 21" xfId="41915"/>
    <cellStyle name="asd 48 6 2 22" xfId="42500"/>
    <cellStyle name="asd 48 6 2 3" xfId="6647"/>
    <cellStyle name="asd 48 6 2 4" xfId="9101"/>
    <cellStyle name="asd 48 6 2 5" xfId="11715"/>
    <cellStyle name="asd 48 6 2 6" xfId="13167"/>
    <cellStyle name="asd 48 6 2 7" xfId="15071"/>
    <cellStyle name="asd 48 6 2 8" xfId="16720"/>
    <cellStyle name="asd 48 6 2 9" xfId="18627"/>
    <cellStyle name="asd 48 6 20" xfId="37494"/>
    <cellStyle name="asd 48 6 21" xfId="38856"/>
    <cellStyle name="asd 48 6 22" xfId="40542"/>
    <cellStyle name="asd 48 6 23" xfId="42819"/>
    <cellStyle name="asd 48 6 3" xfId="4739"/>
    <cellStyle name="asd 48 6 4" xfId="7639"/>
    <cellStyle name="asd 48 6 5" xfId="9549"/>
    <cellStyle name="asd 48 6 6" xfId="12631"/>
    <cellStyle name="asd 48 6 7" xfId="13506"/>
    <cellStyle name="asd 48 6 8" xfId="15410"/>
    <cellStyle name="asd 48 6 9" xfId="17168"/>
    <cellStyle name="asd 48 7" xfId="1868"/>
    <cellStyle name="asd 48 7 10" xfId="18980"/>
    <cellStyle name="asd 48 7 11" xfId="20892"/>
    <cellStyle name="asd 48 7 12" xfId="22735"/>
    <cellStyle name="asd 48 7 13" xfId="24694"/>
    <cellStyle name="asd 48 7 14" xfId="26303"/>
    <cellStyle name="asd 48 7 15" xfId="28127"/>
    <cellStyle name="asd 48 7 16" xfId="29912"/>
    <cellStyle name="asd 48 7 17" xfId="32991"/>
    <cellStyle name="asd 48 7 18" xfId="34588"/>
    <cellStyle name="asd 48 7 19" xfId="35521"/>
    <cellStyle name="asd 48 7 2" xfId="5583"/>
    <cellStyle name="asd 48 7 2 10" xfId="21833"/>
    <cellStyle name="asd 48 7 2 11" xfId="22421"/>
    <cellStyle name="asd 48 7 2 12" xfId="25635"/>
    <cellStyle name="asd 48 7 2 13" xfId="26703"/>
    <cellStyle name="asd 48 7 2 14" xfId="28267"/>
    <cellStyle name="asd 48 7 2 15" xfId="30303"/>
    <cellStyle name="asd 48 7 2 16" xfId="31932"/>
    <cellStyle name="asd 48 7 2 17" xfId="34186"/>
    <cellStyle name="asd 48 7 2 18" xfId="36462"/>
    <cellStyle name="asd 48 7 2 19" xfId="38341"/>
    <cellStyle name="asd 48 7 2 2" xfId="7032"/>
    <cellStyle name="asd 48 7 2 20" xfId="39162"/>
    <cellStyle name="asd 48 7 2 21" xfId="40843"/>
    <cellStyle name="asd 48 7 2 22" xfId="42232"/>
    <cellStyle name="asd 48 7 2 3" xfId="8486"/>
    <cellStyle name="asd 48 7 2 4" xfId="10396"/>
    <cellStyle name="asd 48 7 2 5" xfId="11462"/>
    <cellStyle name="asd 48 7 2 6" xfId="12888"/>
    <cellStyle name="asd 48 7 2 7" xfId="14793"/>
    <cellStyle name="asd 48 7 2 8" xfId="18015"/>
    <cellStyle name="asd 48 7 2 9" xfId="19921"/>
    <cellStyle name="asd 48 7 20" xfId="37400"/>
    <cellStyle name="asd 48 7 21" xfId="40192"/>
    <cellStyle name="asd 48 7 22" xfId="41851"/>
    <cellStyle name="asd 48 7 23" xfId="42533"/>
    <cellStyle name="asd 48 7 3" xfId="6095"/>
    <cellStyle name="asd 48 7 4" xfId="7545"/>
    <cellStyle name="asd 48 7 5" xfId="9455"/>
    <cellStyle name="asd 48 7 6" xfId="11771"/>
    <cellStyle name="asd 48 7 7" xfId="13204"/>
    <cellStyle name="asd 48 7 8" xfId="15107"/>
    <cellStyle name="asd 48 7 9" xfId="17074"/>
    <cellStyle name="asd 48 8" xfId="3163"/>
    <cellStyle name="asd 48 9" xfId="2419"/>
    <cellStyle name="asd 49" xfId="1051"/>
    <cellStyle name="asd 49 10" xfId="3281"/>
    <cellStyle name="asd 49 11" xfId="12780"/>
    <cellStyle name="asd 49 12" xfId="14687"/>
    <cellStyle name="asd 49 13" xfId="15628"/>
    <cellStyle name="asd 49 14" xfId="2927"/>
    <cellStyle name="asd 49 15" xfId="2424"/>
    <cellStyle name="asd 49 16" xfId="22319"/>
    <cellStyle name="asd 49 17" xfId="23254"/>
    <cellStyle name="asd 49 18" xfId="24229"/>
    <cellStyle name="asd 49 19" xfId="29577"/>
    <cellStyle name="asd 49 2" xfId="3367"/>
    <cellStyle name="asd 49 2 10" xfId="13129"/>
    <cellStyle name="asd 49 2 11" xfId="15034"/>
    <cellStyle name="asd 49 2 12" xfId="16668"/>
    <cellStyle name="asd 49 2 13" xfId="18575"/>
    <cellStyle name="asd 49 2 14" xfId="20487"/>
    <cellStyle name="asd 49 2 15" xfId="22662"/>
    <cellStyle name="asd 49 2 16" xfId="24289"/>
    <cellStyle name="asd 49 2 17" xfId="27561"/>
    <cellStyle name="asd 49 2 18" xfId="29478"/>
    <cellStyle name="asd 49 2 19" xfId="31141"/>
    <cellStyle name="asd 49 2 2" xfId="3547"/>
    <cellStyle name="asd 49 2 2 10" xfId="17438"/>
    <cellStyle name="asd 49 2 2 11" xfId="19344"/>
    <cellStyle name="asd 49 2 2 12" xfId="21256"/>
    <cellStyle name="asd 49 2 2 13" xfId="23228"/>
    <cellStyle name="asd 49 2 2 14" xfId="25058"/>
    <cellStyle name="asd 49 2 2 15" xfId="27785"/>
    <cellStyle name="asd 49 2 2 16" xfId="27685"/>
    <cellStyle name="asd 49 2 2 17" xfId="31362"/>
    <cellStyle name="asd 49 2 2 18" xfId="33088"/>
    <cellStyle name="asd 49 2 2 19" xfId="34235"/>
    <cellStyle name="asd 49 2 2 2" xfId="4574"/>
    <cellStyle name="asd 49 2 2 2 10" xfId="20819"/>
    <cellStyle name="asd 49 2 2 2 11" xfId="23274"/>
    <cellStyle name="asd 49 2 2 2 12" xfId="24621"/>
    <cellStyle name="asd 49 2 2 2 13" xfId="27858"/>
    <cellStyle name="asd 49 2 2 2 14" xfId="14188"/>
    <cellStyle name="asd 49 2 2 2 15" xfId="31437"/>
    <cellStyle name="asd 49 2 2 2 16" xfId="33083"/>
    <cellStyle name="asd 49 2 2 2 17" xfId="35048"/>
    <cellStyle name="asd 49 2 2 2 18" xfId="35449"/>
    <cellStyle name="asd 49 2 2 2 19" xfId="37327"/>
    <cellStyle name="asd 49 2 2 2 2" xfId="5356"/>
    <cellStyle name="asd 49 2 2 2 20" xfId="40279"/>
    <cellStyle name="asd 49 2 2 2 21" xfId="41935"/>
    <cellStyle name="asd 49 2 2 2 22" xfId="43050"/>
    <cellStyle name="asd 49 2 2 2 3" xfId="6712"/>
    <cellStyle name="asd 49 2 2 2 4" xfId="9381"/>
    <cellStyle name="asd 49 2 2 2 5" xfId="11210"/>
    <cellStyle name="asd 49 2 2 2 6" xfId="13746"/>
    <cellStyle name="asd 49 2 2 2 7" xfId="15648"/>
    <cellStyle name="asd 49 2 2 2 8" xfId="17000"/>
    <cellStyle name="asd 49 2 2 2 9" xfId="18907"/>
    <cellStyle name="asd 49 2 2 20" xfId="35885"/>
    <cellStyle name="asd 49 2 2 21" xfId="37764"/>
    <cellStyle name="asd 49 2 2 22" xfId="40284"/>
    <cellStyle name="asd 49 2 2 23" xfId="41940"/>
    <cellStyle name="asd 49 2 2 24" xfId="43005"/>
    <cellStyle name="asd 49 2 2 3" xfId="5008"/>
    <cellStyle name="asd 49 2 2 4" xfId="6458"/>
    <cellStyle name="asd 49 2 2 5" xfId="7909"/>
    <cellStyle name="asd 49 2 2 6" xfId="9819"/>
    <cellStyle name="asd 49 2 2 7" xfId="11110"/>
    <cellStyle name="asd 49 2 2 8" xfId="13700"/>
    <cellStyle name="asd 49 2 2 9" xfId="15602"/>
    <cellStyle name="asd 49 2 20" xfId="32736"/>
    <cellStyle name="asd 49 2 21" xfId="33829"/>
    <cellStyle name="asd 49 2 22" xfId="35117"/>
    <cellStyle name="asd 49 2 23" xfId="36995"/>
    <cellStyle name="asd 49 2 24" xfId="39945"/>
    <cellStyle name="asd 49 2 25" xfId="41611"/>
    <cellStyle name="asd 49 2 26" xfId="42468"/>
    <cellStyle name="asd 49 2 3" xfId="1847"/>
    <cellStyle name="asd 49 2 3 10" xfId="18977"/>
    <cellStyle name="asd 49 2 3 11" xfId="20889"/>
    <cellStyle name="asd 49 2 3 12" xfId="23494"/>
    <cellStyle name="asd 49 2 3 13" xfId="24691"/>
    <cellStyle name="asd 49 2 3 14" xfId="27498"/>
    <cellStyle name="asd 49 2 3 15" xfId="28220"/>
    <cellStyle name="asd 49 2 3 16" xfId="31084"/>
    <cellStyle name="asd 49 2 3 17" xfId="31808"/>
    <cellStyle name="asd 49 2 3 18" xfId="34545"/>
    <cellStyle name="asd 49 2 3 19" xfId="35518"/>
    <cellStyle name="asd 49 2 3 2" xfId="5529"/>
    <cellStyle name="asd 49 2 3 2 10" xfId="21779"/>
    <cellStyle name="asd 49 2 3 2 11" xfId="24130"/>
    <cellStyle name="asd 49 2 3 2 12" xfId="25581"/>
    <cellStyle name="asd 49 2 3 2 13" xfId="27154"/>
    <cellStyle name="asd 49 2 3 2 14" xfId="28117"/>
    <cellStyle name="asd 49 2 3 2 15" xfId="30745"/>
    <cellStyle name="asd 49 2 3 2 16" xfId="33024"/>
    <cellStyle name="asd 49 2 3 2 17" xfId="34993"/>
    <cellStyle name="asd 49 2 3 2 18" xfId="36408"/>
    <cellStyle name="asd 49 2 3 2 19" xfId="38287"/>
    <cellStyle name="asd 49 2 3 2 2" xfId="6978"/>
    <cellStyle name="asd 49 2 3 2 20" xfId="40224"/>
    <cellStyle name="asd 49 2 3 2 21" xfId="41883"/>
    <cellStyle name="asd 49 2 3 2 22" xfId="43873"/>
    <cellStyle name="asd 49 2 3 2 3" xfId="8432"/>
    <cellStyle name="asd 49 2 3 2 4" xfId="10342"/>
    <cellStyle name="asd 49 2 3 2 5" xfId="12090"/>
    <cellStyle name="asd 49 2 3 2 6" xfId="14601"/>
    <cellStyle name="asd 49 2 3 2 7" xfId="16507"/>
    <cellStyle name="asd 49 2 3 2 8" xfId="17961"/>
    <cellStyle name="asd 49 2 3 2 9" xfId="19867"/>
    <cellStyle name="asd 49 2 3 20" xfId="37397"/>
    <cellStyle name="asd 49 2 3 21" xfId="39046"/>
    <cellStyle name="asd 49 2 3 22" xfId="40728"/>
    <cellStyle name="asd 49 2 3 23" xfId="43260"/>
    <cellStyle name="asd 49 2 3 3" xfId="4645"/>
    <cellStyle name="asd 49 2 3 4" xfId="7542"/>
    <cellStyle name="asd 49 2 3 5" xfId="9452"/>
    <cellStyle name="asd 49 2 3 6" xfId="12313"/>
    <cellStyle name="asd 49 2 3 7" xfId="13966"/>
    <cellStyle name="asd 49 2 3 8" xfId="15867"/>
    <cellStyle name="asd 49 2 3 9" xfId="17071"/>
    <cellStyle name="asd 49 2 4" xfId="3999"/>
    <cellStyle name="asd 49 2 4 10" xfId="19634"/>
    <cellStyle name="asd 49 2 4 11" xfId="21546"/>
    <cellStyle name="asd 49 2 4 12" xfId="22706"/>
    <cellStyle name="asd 49 2 4 13" xfId="25348"/>
    <cellStyle name="asd 49 2 4 14" xfId="27311"/>
    <cellStyle name="asd 49 2 4 15" xfId="29602"/>
    <cellStyle name="asd 49 2 4 16" xfId="30901"/>
    <cellStyle name="asd 49 2 4 17" xfId="32756"/>
    <cellStyle name="asd 49 2 4 18" xfId="33922"/>
    <cellStyle name="asd 49 2 4 19" xfId="36175"/>
    <cellStyle name="asd 49 2 4 2" xfId="5904"/>
    <cellStyle name="asd 49 2 4 2 10" xfId="22154"/>
    <cellStyle name="asd 49 2 4 2 11" xfId="23408"/>
    <cellStyle name="asd 49 2 4 2 12" xfId="25956"/>
    <cellStyle name="asd 49 2 4 2 13" xfId="27625"/>
    <cellStyle name="asd 49 2 4 2 14" xfId="29176"/>
    <cellStyle name="asd 49 2 4 2 15" xfId="31203"/>
    <cellStyle name="asd 49 2 4 2 16" xfId="32331"/>
    <cellStyle name="asd 49 2 4 2 17" xfId="34611"/>
    <cellStyle name="asd 49 2 4 2 18" xfId="36783"/>
    <cellStyle name="asd 49 2 4 2 19" xfId="38662"/>
    <cellStyle name="asd 49 2 4 2 2" xfId="7353"/>
    <cellStyle name="asd 49 2 4 2 20" xfId="39550"/>
    <cellStyle name="asd 49 2 4 2 21" xfId="41224"/>
    <cellStyle name="asd 49 2 4 2 22" xfId="43175"/>
    <cellStyle name="asd 49 2 4 2 3" xfId="8807"/>
    <cellStyle name="asd 49 2 4 2 4" xfId="10717"/>
    <cellStyle name="asd 49 2 4 2 5" xfId="11050"/>
    <cellStyle name="asd 49 2 4 2 6" xfId="13880"/>
    <cellStyle name="asd 49 2 4 2 7" xfId="15781"/>
    <cellStyle name="asd 49 2 4 2 8" xfId="18336"/>
    <cellStyle name="asd 49 2 4 2 9" xfId="20242"/>
    <cellStyle name="asd 49 2 4 20" xfId="38054"/>
    <cellStyle name="asd 49 2 4 21" xfId="39965"/>
    <cellStyle name="asd 49 2 4 22" xfId="41629"/>
    <cellStyle name="asd 49 2 4 23" xfId="42506"/>
    <cellStyle name="asd 49 2 4 3" xfId="6745"/>
    <cellStyle name="asd 49 2 4 4" xfId="8199"/>
    <cellStyle name="asd 49 2 4 5" xfId="10109"/>
    <cellStyle name="asd 49 2 4 6" xfId="11675"/>
    <cellStyle name="asd 49 2 4 7" xfId="13174"/>
    <cellStyle name="asd 49 2 4 8" xfId="15078"/>
    <cellStyle name="asd 49 2 4 9" xfId="17728"/>
    <cellStyle name="asd 49 2 5" xfId="4875"/>
    <cellStyle name="asd 49 2 5 10" xfId="21123"/>
    <cellStyle name="asd 49 2 5 11" xfId="23693"/>
    <cellStyle name="asd 49 2 5 12" xfId="24925"/>
    <cellStyle name="asd 49 2 5 13" xfId="26369"/>
    <cellStyle name="asd 49 2 5 14" xfId="27523"/>
    <cellStyle name="asd 49 2 5 15" xfId="29977"/>
    <cellStyle name="asd 49 2 5 16" xfId="31960"/>
    <cellStyle name="asd 49 2 5 17" xfId="34293"/>
    <cellStyle name="asd 49 2 5 18" xfId="35752"/>
    <cellStyle name="asd 49 2 5 19" xfId="37631"/>
    <cellStyle name="asd 49 2 5 2" xfId="6325"/>
    <cellStyle name="asd 49 2 5 20" xfId="39189"/>
    <cellStyle name="asd 49 2 5 21" xfId="40870"/>
    <cellStyle name="asd 49 2 5 22" xfId="43450"/>
    <cellStyle name="asd 49 2 5 3" xfId="7776"/>
    <cellStyle name="asd 49 2 5 4" xfId="9686"/>
    <cellStyle name="asd 49 2 5 5" xfId="11762"/>
    <cellStyle name="asd 49 2 5 6" xfId="14163"/>
    <cellStyle name="asd 49 2 5 7" xfId="16067"/>
    <cellStyle name="asd 49 2 5 8" xfId="17305"/>
    <cellStyle name="asd 49 2 5 9" xfId="19211"/>
    <cellStyle name="asd 49 2 6" xfId="4457"/>
    <cellStyle name="asd 49 2 6 10" xfId="20702"/>
    <cellStyle name="asd 49 2 6 11" xfId="24025"/>
    <cellStyle name="asd 49 2 6 12" xfId="24504"/>
    <cellStyle name="asd 49 2 6 13" xfId="26771"/>
    <cellStyle name="asd 49 2 6 14" xfId="2458"/>
    <cellStyle name="asd 49 2 6 15" xfId="30370"/>
    <cellStyle name="asd 49 2 6 16" xfId="33038"/>
    <cellStyle name="asd 49 2 6 17" xfId="33729"/>
    <cellStyle name="asd 49 2 6 18" xfId="35332"/>
    <cellStyle name="asd 49 2 6 19" xfId="37210"/>
    <cellStyle name="asd 49 2 6 2" xfId="4723"/>
    <cellStyle name="asd 49 2 6 20" xfId="40237"/>
    <cellStyle name="asd 49 2 6 21" xfId="41896"/>
    <cellStyle name="asd 49 2 6 22" xfId="43769"/>
    <cellStyle name="asd 49 2 6 3" xfId="6178"/>
    <cellStyle name="asd 49 2 6 4" xfId="9264"/>
    <cellStyle name="asd 49 2 6 5" xfId="11984"/>
    <cellStyle name="asd 49 2 6 6" xfId="14495"/>
    <cellStyle name="asd 49 2 6 7" xfId="16401"/>
    <cellStyle name="asd 49 2 6 8" xfId="16883"/>
    <cellStyle name="asd 49 2 6 9" xfId="18790"/>
    <cellStyle name="asd 49 2 7" xfId="6685"/>
    <cellStyle name="asd 49 2 8" xfId="9049"/>
    <cellStyle name="asd 49 2 9" xfId="11371"/>
    <cellStyle name="asd 49 20" xfId="2123"/>
    <cellStyle name="asd 49 21" xfId="28413"/>
    <cellStyle name="asd 49 22" xfId="28427"/>
    <cellStyle name="asd 49 23" xfId="34063"/>
    <cellStyle name="asd 49 24" xfId="33824"/>
    <cellStyle name="asd 49 25" xfId="6078"/>
    <cellStyle name="asd 49 26" xfId="39216"/>
    <cellStyle name="asd 49 27" xfId="42167"/>
    <cellStyle name="asd 49 3" xfId="3415"/>
    <cellStyle name="asd 49 3 10" xfId="13246"/>
    <cellStyle name="asd 49 3 11" xfId="15149"/>
    <cellStyle name="asd 49 3 12" xfId="16784"/>
    <cellStyle name="asd 49 3 13" xfId="18691"/>
    <cellStyle name="asd 49 3 14" xfId="20603"/>
    <cellStyle name="asd 49 3 15" xfId="22776"/>
    <cellStyle name="asd 49 3 16" xfId="24405"/>
    <cellStyle name="asd 49 3 17" xfId="2791"/>
    <cellStyle name="asd 49 3 18" xfId="27990"/>
    <cellStyle name="asd 49 3 19" xfId="2105"/>
    <cellStyle name="asd 49 3 2" xfId="3595"/>
    <cellStyle name="asd 49 3 2 10" xfId="17486"/>
    <cellStyle name="asd 49 3 2 11" xfId="19392"/>
    <cellStyle name="asd 49 3 2 12" xfId="21304"/>
    <cellStyle name="asd 49 3 2 13" xfId="22871"/>
    <cellStyle name="asd 49 3 2 14" xfId="25106"/>
    <cellStyle name="asd 49 3 2 15" xfId="27394"/>
    <cellStyle name="asd 49 3 2 16" xfId="28763"/>
    <cellStyle name="asd 49 3 2 17" xfId="30980"/>
    <cellStyle name="asd 49 3 2 18" xfId="32352"/>
    <cellStyle name="asd 49 3 2 19" xfId="34444"/>
    <cellStyle name="asd 49 3 2 2" xfId="4585"/>
    <cellStyle name="asd 49 3 2 2 10" xfId="20830"/>
    <cellStyle name="asd 49 3 2 2 11" xfId="22506"/>
    <cellStyle name="asd 49 3 2 2 12" xfId="24632"/>
    <cellStyle name="asd 49 3 2 2 13" xfId="27624"/>
    <cellStyle name="asd 49 3 2 2 14" xfId="28875"/>
    <cellStyle name="asd 49 3 2 2 15" xfId="31202"/>
    <cellStyle name="asd 49 3 2 2 16" xfId="32840"/>
    <cellStyle name="asd 49 3 2 2 17" xfId="34910"/>
    <cellStyle name="asd 49 3 2 2 18" xfId="35460"/>
    <cellStyle name="asd 49 3 2 2 19" xfId="37338"/>
    <cellStyle name="asd 49 3 2 2 2" xfId="4818"/>
    <cellStyle name="asd 49 3 2 2 20" xfId="40047"/>
    <cellStyle name="asd 49 3 2 2 21" xfId="41711"/>
    <cellStyle name="asd 49 3 2 2 22" xfId="42316"/>
    <cellStyle name="asd 49 3 2 2 3" xfId="6158"/>
    <cellStyle name="asd 49 3 2 2 4" xfId="9392"/>
    <cellStyle name="asd 49 3 2 2 5" xfId="11658"/>
    <cellStyle name="asd 49 3 2 2 6" xfId="12974"/>
    <cellStyle name="asd 49 3 2 2 7" xfId="14878"/>
    <cellStyle name="asd 49 3 2 2 8" xfId="17011"/>
    <cellStyle name="asd 49 3 2 2 9" xfId="18918"/>
    <cellStyle name="asd 49 3 2 20" xfId="35933"/>
    <cellStyle name="asd 49 3 2 21" xfId="37812"/>
    <cellStyle name="asd 49 3 2 22" xfId="39571"/>
    <cellStyle name="asd 49 3 2 23" xfId="41245"/>
    <cellStyle name="asd 49 3 2 24" xfId="42658"/>
    <cellStyle name="asd 49 3 2 3" xfId="5056"/>
    <cellStyle name="asd 49 3 2 4" xfId="6506"/>
    <cellStyle name="asd 49 3 2 5" xfId="7957"/>
    <cellStyle name="asd 49 3 2 6" xfId="9867"/>
    <cellStyle name="asd 49 3 2 7" xfId="12188"/>
    <cellStyle name="asd 49 3 2 8" xfId="13339"/>
    <cellStyle name="asd 49 3 2 9" xfId="15244"/>
    <cellStyle name="asd 49 3 20" xfId="28945"/>
    <cellStyle name="asd 49 3 21" xfId="30079"/>
    <cellStyle name="asd 49 3 22" xfId="35233"/>
    <cellStyle name="asd 49 3 23" xfId="37111"/>
    <cellStyle name="asd 49 3 24" xfId="28411"/>
    <cellStyle name="asd 49 3 25" xfId="34862"/>
    <cellStyle name="asd 49 3 26" xfId="42571"/>
    <cellStyle name="asd 49 3 3" xfId="3027"/>
    <cellStyle name="asd 49 3 3 10" xfId="19142"/>
    <cellStyle name="asd 49 3 3 11" xfId="21054"/>
    <cellStyle name="asd 49 3 3 12" xfId="23598"/>
    <cellStyle name="asd 49 3 3 13" xfId="24856"/>
    <cellStyle name="asd 49 3 3 14" xfId="26809"/>
    <cellStyle name="asd 49 3 3 15" xfId="29474"/>
    <cellStyle name="asd 49 3 3 16" xfId="30408"/>
    <cellStyle name="asd 49 3 3 17" xfId="32116"/>
    <cellStyle name="asd 49 3 3 18" xfId="34238"/>
    <cellStyle name="asd 49 3 3 19" xfId="35683"/>
    <cellStyle name="asd 49 3 3 2" xfId="5602"/>
    <cellStyle name="asd 49 3 3 2 10" xfId="21852"/>
    <cellStyle name="asd 49 3 3 2 11" xfId="22441"/>
    <cellStyle name="asd 49 3 3 2 12" xfId="25654"/>
    <cellStyle name="asd 49 3 3 2 13" xfId="26814"/>
    <cellStyle name="asd 49 3 3 2 14" xfId="3729"/>
    <cellStyle name="asd 49 3 3 2 15" xfId="30413"/>
    <cellStyle name="asd 49 3 3 2 16" xfId="32258"/>
    <cellStyle name="asd 49 3 3 2 17" xfId="33719"/>
    <cellStyle name="asd 49 3 3 2 18" xfId="36481"/>
    <cellStyle name="asd 49 3 3 2 19" xfId="38360"/>
    <cellStyle name="asd 49 3 3 2 2" xfId="7051"/>
    <cellStyle name="asd 49 3 3 2 20" xfId="39476"/>
    <cellStyle name="asd 49 3 3 2 21" xfId="41151"/>
    <cellStyle name="asd 49 3 3 2 22" xfId="42252"/>
    <cellStyle name="asd 49 3 3 2 3" xfId="8505"/>
    <cellStyle name="asd 49 3 3 2 4" xfId="10415"/>
    <cellStyle name="asd 49 3 3 2 5" xfId="11611"/>
    <cellStyle name="asd 49 3 3 2 6" xfId="12909"/>
    <cellStyle name="asd 49 3 3 2 7" xfId="14814"/>
    <cellStyle name="asd 49 3 3 2 8" xfId="18034"/>
    <cellStyle name="asd 49 3 3 2 9" xfId="19940"/>
    <cellStyle name="asd 49 3 3 20" xfId="37562"/>
    <cellStyle name="asd 49 3 3 21" xfId="39340"/>
    <cellStyle name="asd 49 3 3 22" xfId="41016"/>
    <cellStyle name="asd 49 3 3 23" xfId="43357"/>
    <cellStyle name="asd 49 3 3 3" xfId="4806"/>
    <cellStyle name="asd 49 3 3 4" xfId="7707"/>
    <cellStyle name="asd 49 3 3 5" xfId="9617"/>
    <cellStyle name="asd 49 3 3 6" xfId="11253"/>
    <cellStyle name="asd 49 3 3 7" xfId="14068"/>
    <cellStyle name="asd 49 3 3 8" xfId="15971"/>
    <cellStyle name="asd 49 3 3 9" xfId="17236"/>
    <cellStyle name="asd 49 3 4" xfId="4047"/>
    <cellStyle name="asd 49 3 4 10" xfId="19682"/>
    <cellStyle name="asd 49 3 4 11" xfId="21594"/>
    <cellStyle name="asd 49 3 4 12" xfId="23715"/>
    <cellStyle name="asd 49 3 4 13" xfId="25396"/>
    <cellStyle name="asd 49 3 4 14" xfId="26379"/>
    <cellStyle name="asd 49 3 4 15" xfId="29702"/>
    <cellStyle name="asd 49 3 4 16" xfId="29987"/>
    <cellStyle name="asd 49 3 4 17" xfId="32794"/>
    <cellStyle name="asd 49 3 4 18" xfId="33839"/>
    <cellStyle name="asd 49 3 4 19" xfId="36223"/>
    <cellStyle name="asd 49 3 4 2" xfId="5952"/>
    <cellStyle name="asd 49 3 4 2 10" xfId="22202"/>
    <cellStyle name="asd 49 3 4 2 11" xfId="23329"/>
    <cellStyle name="asd 49 3 4 2 12" xfId="26004"/>
    <cellStyle name="asd 49 3 4 2 13" xfId="26441"/>
    <cellStyle name="asd 49 3 4 2 14" xfId="29661"/>
    <cellStyle name="asd 49 3 4 2 15" xfId="30047"/>
    <cellStyle name="asd 49 3 4 2 16" xfId="31734"/>
    <cellStyle name="asd 49 3 4 2 17" xfId="34089"/>
    <cellStyle name="asd 49 3 4 2 18" xfId="36831"/>
    <cellStyle name="asd 49 3 4 2 19" xfId="38710"/>
    <cellStyle name="asd 49 3 4 2 2" xfId="7401"/>
    <cellStyle name="asd 49 3 4 2 20" xfId="38975"/>
    <cellStyle name="asd 49 3 4 2 21" xfId="40658"/>
    <cellStyle name="asd 49 3 4 2 22" xfId="43099"/>
    <cellStyle name="asd 49 3 4 2 3" xfId="8855"/>
    <cellStyle name="asd 49 3 4 2 4" xfId="10765"/>
    <cellStyle name="asd 49 3 4 2 5" xfId="11018"/>
    <cellStyle name="asd 49 3 4 2 6" xfId="13801"/>
    <cellStyle name="asd 49 3 4 2 7" xfId="15703"/>
    <cellStyle name="asd 49 3 4 2 8" xfId="18384"/>
    <cellStyle name="asd 49 3 4 2 9" xfId="20290"/>
    <cellStyle name="asd 49 3 4 20" xfId="38102"/>
    <cellStyle name="asd 49 3 4 21" xfId="40003"/>
    <cellStyle name="asd 49 3 4 22" xfId="41667"/>
    <cellStyle name="asd 49 3 4 23" xfId="43472"/>
    <cellStyle name="asd 49 3 4 3" xfId="6793"/>
    <cellStyle name="asd 49 3 4 4" xfId="8247"/>
    <cellStyle name="asd 49 3 4 5" xfId="10157"/>
    <cellStyle name="asd 49 3 4 6" xfId="11793"/>
    <cellStyle name="asd 49 3 4 7" xfId="14185"/>
    <cellStyle name="asd 49 3 4 8" xfId="16089"/>
    <cellStyle name="asd 49 3 4 9" xfId="17776"/>
    <cellStyle name="asd 49 3 5" xfId="4909"/>
    <cellStyle name="asd 49 3 5 10" xfId="21157"/>
    <cellStyle name="asd 49 3 5 11" xfId="23193"/>
    <cellStyle name="asd 49 3 5 12" xfId="24959"/>
    <cellStyle name="asd 49 3 5 13" xfId="27849"/>
    <cellStyle name="asd 49 3 5 14" xfId="28570"/>
    <cellStyle name="asd 49 3 5 15" xfId="31428"/>
    <cellStyle name="asd 49 3 5 16" xfId="31597"/>
    <cellStyle name="asd 49 3 5 17" xfId="34615"/>
    <cellStyle name="asd 49 3 5 18" xfId="35786"/>
    <cellStyle name="asd 49 3 5 19" xfId="37665"/>
    <cellStyle name="asd 49 3 5 2" xfId="6359"/>
    <cellStyle name="asd 49 3 5 20" xfId="38844"/>
    <cellStyle name="asd 49 3 5 21" xfId="40530"/>
    <cellStyle name="asd 49 3 5 22" xfId="42971"/>
    <cellStyle name="asd 49 3 5 3" xfId="7810"/>
    <cellStyle name="asd 49 3 5 4" xfId="9720"/>
    <cellStyle name="asd 49 3 5 5" xfId="11042"/>
    <cellStyle name="asd 49 3 5 6" xfId="13665"/>
    <cellStyle name="asd 49 3 5 7" xfId="15567"/>
    <cellStyle name="asd 49 3 5 8" xfId="17339"/>
    <cellStyle name="asd 49 3 5 9" xfId="19245"/>
    <cellStyle name="asd 49 3 6" xfId="5466"/>
    <cellStyle name="asd 49 3 6 10" xfId="21716"/>
    <cellStyle name="asd 49 3 6 11" xfId="23372"/>
    <cellStyle name="asd 49 3 6 12" xfId="25518"/>
    <cellStyle name="asd 49 3 6 13" xfId="27419"/>
    <cellStyle name="asd 49 3 6 14" xfId="5164"/>
    <cellStyle name="asd 49 3 6 15" xfId="31005"/>
    <cellStyle name="asd 49 3 6 16" xfId="31933"/>
    <cellStyle name="asd 49 3 6 17" xfId="2594"/>
    <cellStyle name="asd 49 3 6 18" xfId="36345"/>
    <cellStyle name="asd 49 3 6 19" xfId="38224"/>
    <cellStyle name="asd 49 3 6 2" xfId="6915"/>
    <cellStyle name="asd 49 3 6 20" xfId="39163"/>
    <cellStyle name="asd 49 3 6 21" xfId="40844"/>
    <cellStyle name="asd 49 3 6 22" xfId="43140"/>
    <cellStyle name="asd 49 3 6 3" xfId="8369"/>
    <cellStyle name="asd 49 3 6 4" xfId="10279"/>
    <cellStyle name="asd 49 3 6 5" xfId="11267"/>
    <cellStyle name="asd 49 3 6 6" xfId="13844"/>
    <cellStyle name="asd 49 3 6 7" xfId="15745"/>
    <cellStyle name="asd 49 3 6 8" xfId="17898"/>
    <cellStyle name="asd 49 3 6 9" xfId="19804"/>
    <cellStyle name="asd 49 3 7" xfId="6702"/>
    <cellStyle name="asd 49 3 8" xfId="9165"/>
    <cellStyle name="asd 49 3 9" xfId="11517"/>
    <cellStyle name="asd 49 4" xfId="3520"/>
    <cellStyle name="asd 49 4 10" xfId="16366"/>
    <cellStyle name="asd 49 4 11" xfId="17030"/>
    <cellStyle name="asd 49 4 12" xfId="18937"/>
    <cellStyle name="asd 49 4 13" xfId="20849"/>
    <cellStyle name="asd 49 4 14" xfId="23990"/>
    <cellStyle name="asd 49 4 15" xfId="24651"/>
    <cellStyle name="asd 49 4 16" xfId="26716"/>
    <cellStyle name="asd 49 4 17" xfId="28689"/>
    <cellStyle name="asd 49 4 18" xfId="30316"/>
    <cellStyle name="asd 49 4 19" xfId="32333"/>
    <cellStyle name="asd 49 4 2" xfId="3700"/>
    <cellStyle name="asd 49 4 2 10" xfId="17591"/>
    <cellStyle name="asd 49 4 2 11" xfId="19497"/>
    <cellStyle name="asd 49 4 2 12" xfId="21409"/>
    <cellStyle name="asd 49 4 2 13" xfId="23970"/>
    <cellStyle name="asd 49 4 2 14" xfId="25211"/>
    <cellStyle name="asd 49 4 2 15" xfId="26173"/>
    <cellStyle name="asd 49 4 2 16" xfId="29637"/>
    <cellStyle name="asd 49 4 2 17" xfId="29786"/>
    <cellStyle name="asd 49 4 2 18" xfId="33023"/>
    <cellStyle name="asd 49 4 2 19" xfId="34030"/>
    <cellStyle name="asd 49 4 2 2" xfId="5767"/>
    <cellStyle name="asd 49 4 2 2 10" xfId="22017"/>
    <cellStyle name="asd 49 4 2 2 11" xfId="23826"/>
    <cellStyle name="asd 49 4 2 2 12" xfId="25819"/>
    <cellStyle name="asd 49 4 2 2 13" xfId="13249"/>
    <cellStyle name="asd 49 4 2 2 14" xfId="4194"/>
    <cellStyle name="asd 49 4 2 2 15" xfId="28554"/>
    <cellStyle name="asd 49 4 2 2 16" xfId="29751"/>
    <cellStyle name="asd 49 4 2 2 17" xfId="20438"/>
    <cellStyle name="asd 49 4 2 2 18" xfId="36646"/>
    <cellStyle name="asd 49 4 2 2 19" xfId="38525"/>
    <cellStyle name="asd 49 4 2 2 2" xfId="7216"/>
    <cellStyle name="asd 49 4 2 2 20" xfId="34206"/>
    <cellStyle name="asd 49 4 2 2 21" xfId="22720"/>
    <cellStyle name="asd 49 4 2 2 22" xfId="43577"/>
    <cellStyle name="asd 49 4 2 2 3" xfId="8670"/>
    <cellStyle name="asd 49 4 2 2 4" xfId="10580"/>
    <cellStyle name="asd 49 4 2 2 5" xfId="11594"/>
    <cellStyle name="asd 49 4 2 2 6" xfId="14296"/>
    <cellStyle name="asd 49 4 2 2 7" xfId="16200"/>
    <cellStyle name="asd 49 4 2 2 8" xfId="18199"/>
    <cellStyle name="asd 49 4 2 2 9" xfId="20105"/>
    <cellStyle name="asd 49 4 2 20" xfId="36038"/>
    <cellStyle name="asd 49 4 2 21" xfId="37917"/>
    <cellStyle name="asd 49 4 2 22" xfId="40223"/>
    <cellStyle name="asd 49 4 2 23" xfId="41882"/>
    <cellStyle name="asd 49 4 2 24" xfId="43716"/>
    <cellStyle name="asd 49 4 2 3" xfId="5161"/>
    <cellStyle name="asd 49 4 2 4" xfId="6611"/>
    <cellStyle name="asd 49 4 2 5" xfId="8062"/>
    <cellStyle name="asd 49 4 2 6" xfId="9972"/>
    <cellStyle name="asd 49 4 2 7" xfId="11930"/>
    <cellStyle name="asd 49 4 2 8" xfId="14440"/>
    <cellStyle name="asd 49 4 2 9" xfId="16346"/>
    <cellStyle name="asd 49 4 20" xfId="33539"/>
    <cellStyle name="asd 49 4 21" xfId="35479"/>
    <cellStyle name="asd 49 4 22" xfId="37357"/>
    <cellStyle name="asd 49 4 23" xfId="39552"/>
    <cellStyle name="asd 49 4 24" xfId="41226"/>
    <cellStyle name="asd 49 4 25" xfId="43734"/>
    <cellStyle name="asd 49 4 3" xfId="2567"/>
    <cellStyle name="asd 49 4 3 10" xfId="19083"/>
    <cellStyle name="asd 49 4 3 11" xfId="20995"/>
    <cellStyle name="asd 49 4 3 12" xfId="23131"/>
    <cellStyle name="asd 49 4 3 13" xfId="24797"/>
    <cellStyle name="asd 49 4 3 14" xfId="27147"/>
    <cellStyle name="asd 49 4 3 15" xfId="2332"/>
    <cellStyle name="asd 49 4 3 16" xfId="30738"/>
    <cellStyle name="asd 49 4 3 17" xfId="31829"/>
    <cellStyle name="asd 49 4 3 18" xfId="34107"/>
    <cellStyle name="asd 49 4 3 19" xfId="35624"/>
    <cellStyle name="asd 49 4 3 2" xfId="5686"/>
    <cellStyle name="asd 49 4 3 2 10" xfId="21936"/>
    <cellStyle name="asd 49 4 3 2 11" xfId="23476"/>
    <cellStyle name="asd 49 4 3 2 12" xfId="25738"/>
    <cellStyle name="asd 49 4 3 2 13" xfId="26234"/>
    <cellStyle name="asd 49 4 3 2 14" xfId="29610"/>
    <cellStyle name="asd 49 4 3 2 15" xfId="29844"/>
    <cellStyle name="asd 49 4 3 2 16" xfId="33048"/>
    <cellStyle name="asd 49 4 3 2 17" xfId="34813"/>
    <cellStyle name="asd 49 4 3 2 18" xfId="36565"/>
    <cellStyle name="asd 49 4 3 2 19" xfId="38444"/>
    <cellStyle name="asd 49 4 3 2 2" xfId="7135"/>
    <cellStyle name="asd 49 4 3 2 20" xfId="40246"/>
    <cellStyle name="asd 49 4 3 2 21" xfId="41904"/>
    <cellStyle name="asd 49 4 3 2 22" xfId="43243"/>
    <cellStyle name="asd 49 4 3 2 3" xfId="8589"/>
    <cellStyle name="asd 49 4 3 2 4" xfId="10499"/>
    <cellStyle name="asd 49 4 3 2 5" xfId="12491"/>
    <cellStyle name="asd 49 4 3 2 6" xfId="13948"/>
    <cellStyle name="asd 49 4 3 2 7" xfId="15849"/>
    <cellStyle name="asd 49 4 3 2 8" xfId="18118"/>
    <cellStyle name="asd 49 4 3 2 9" xfId="20024"/>
    <cellStyle name="asd 49 4 3 20" xfId="37503"/>
    <cellStyle name="asd 49 4 3 21" xfId="39067"/>
    <cellStyle name="asd 49 4 3 22" xfId="40749"/>
    <cellStyle name="asd 49 4 3 23" xfId="42909"/>
    <cellStyle name="asd 49 4 3 3" xfId="4748"/>
    <cellStyle name="asd 49 4 3 4" xfId="7648"/>
    <cellStyle name="asd 49 4 3 5" xfId="9558"/>
    <cellStyle name="asd 49 4 3 6" xfId="12755"/>
    <cellStyle name="asd 49 4 3 7" xfId="13602"/>
    <cellStyle name="asd 49 4 3 8" xfId="15505"/>
    <cellStyle name="asd 49 4 3 9" xfId="17177"/>
    <cellStyle name="asd 49 4 4" xfId="4152"/>
    <cellStyle name="asd 49 4 4 10" xfId="19787"/>
    <cellStyle name="asd 49 4 4 11" xfId="21699"/>
    <cellStyle name="asd 49 4 4 12" xfId="22531"/>
    <cellStyle name="asd 49 4 4 13" xfId="25501"/>
    <cellStyle name="asd 49 4 4 14" xfId="26862"/>
    <cellStyle name="asd 49 4 4 15" xfId="28937"/>
    <cellStyle name="asd 49 4 4 16" xfId="30459"/>
    <cellStyle name="asd 49 4 4 17" xfId="32458"/>
    <cellStyle name="asd 49 4 4 18" xfId="34795"/>
    <cellStyle name="asd 49 4 4 19" xfId="36328"/>
    <cellStyle name="asd 49 4 4 2" xfId="6057"/>
    <cellStyle name="asd 49 4 4 2 10" xfId="22307"/>
    <cellStyle name="asd 49 4 4 2 11" xfId="2718"/>
    <cellStyle name="asd 49 4 4 2 12" xfId="26109"/>
    <cellStyle name="asd 49 4 4 2 13" xfId="18518"/>
    <cellStyle name="asd 49 4 4 2 14" xfId="27487"/>
    <cellStyle name="asd 49 4 4 2 15" xfId="28293"/>
    <cellStyle name="asd 49 4 4 2 16" xfId="31584"/>
    <cellStyle name="asd 49 4 4 2 17" xfId="1925"/>
    <cellStyle name="asd 49 4 4 2 18" xfId="36936"/>
    <cellStyle name="asd 49 4 4 2 19" xfId="38815"/>
    <cellStyle name="asd 49 4 4 2 2" xfId="7506"/>
    <cellStyle name="asd 49 4 4 2 20" xfId="38835"/>
    <cellStyle name="asd 49 4 4 2 21" xfId="40523"/>
    <cellStyle name="asd 49 4 4 2 22" xfId="31562"/>
    <cellStyle name="asd 49 4 4 2 3" xfId="8960"/>
    <cellStyle name="asd 49 4 4 2 4" xfId="10870"/>
    <cellStyle name="asd 49 4 4 2 5" xfId="2418"/>
    <cellStyle name="asd 49 4 4 2 6" xfId="1802"/>
    <cellStyle name="asd 49 4 4 2 7" xfId="12815"/>
    <cellStyle name="asd 49 4 4 2 8" xfId="18489"/>
    <cellStyle name="asd 49 4 4 2 9" xfId="20395"/>
    <cellStyle name="asd 49 4 4 20" xfId="38207"/>
    <cellStyle name="asd 49 4 4 21" xfId="39676"/>
    <cellStyle name="asd 49 4 4 22" xfId="41349"/>
    <cellStyle name="asd 49 4 4 23" xfId="42340"/>
    <cellStyle name="asd 49 4 4 3" xfId="6898"/>
    <cellStyle name="asd 49 4 4 4" xfId="8352"/>
    <cellStyle name="asd 49 4 4 5" xfId="10262"/>
    <cellStyle name="asd 49 4 4 6" xfId="11348"/>
    <cellStyle name="asd 49 4 4 7" xfId="12999"/>
    <cellStyle name="asd 49 4 4 8" xfId="14903"/>
    <cellStyle name="asd 49 4 4 9" xfId="17881"/>
    <cellStyle name="asd 49 4 5" xfId="4469"/>
    <cellStyle name="asd 49 4 5 10" xfId="20714"/>
    <cellStyle name="asd 49 4 5 11" xfId="22727"/>
    <cellStyle name="asd 49 4 5 12" xfId="24516"/>
    <cellStyle name="asd 49 4 5 13" xfId="26841"/>
    <cellStyle name="asd 49 4 5 14" xfId="28994"/>
    <cellStyle name="asd 49 4 5 15" xfId="30439"/>
    <cellStyle name="asd 49 4 5 16" xfId="33138"/>
    <cellStyle name="asd 49 4 5 17" xfId="34725"/>
    <cellStyle name="asd 49 4 5 18" xfId="35344"/>
    <cellStyle name="asd 49 4 5 19" xfId="37222"/>
    <cellStyle name="asd 49 4 5 2" xfId="4408"/>
    <cellStyle name="asd 49 4 5 20" xfId="40331"/>
    <cellStyle name="asd 49 4 5 21" xfId="41987"/>
    <cellStyle name="asd 49 4 5 22" xfId="42525"/>
    <cellStyle name="asd 49 4 5 3" xfId="2024"/>
    <cellStyle name="asd 49 4 5 4" xfId="9276"/>
    <cellStyle name="asd 49 4 5 5" xfId="12648"/>
    <cellStyle name="asd 49 4 5 6" xfId="13196"/>
    <cellStyle name="asd 49 4 5 7" xfId="15099"/>
    <cellStyle name="asd 49 4 5 8" xfId="16895"/>
    <cellStyle name="asd 49 4 5 9" xfId="18802"/>
    <cellStyle name="asd 49 4 6" xfId="3083"/>
    <cellStyle name="asd 49 4 7" xfId="9411"/>
    <cellStyle name="asd 49 4 8" xfId="11949"/>
    <cellStyle name="asd 49 4 9" xfId="14460"/>
    <cellStyle name="asd 49 5" xfId="3285"/>
    <cellStyle name="asd 49 5 10" xfId="17286"/>
    <cellStyle name="asd 49 5 11" xfId="19192"/>
    <cellStyle name="asd 49 5 12" xfId="21104"/>
    <cellStyle name="asd 49 5 13" xfId="22801"/>
    <cellStyle name="asd 49 5 14" xfId="24906"/>
    <cellStyle name="asd 49 5 15" xfId="27827"/>
    <cellStyle name="asd 49 5 16" xfId="28168"/>
    <cellStyle name="asd 49 5 17" xfId="31405"/>
    <cellStyle name="asd 49 5 18" xfId="32589"/>
    <cellStyle name="asd 49 5 19" xfId="34735"/>
    <cellStyle name="asd 49 5 2" xfId="4921"/>
    <cellStyle name="asd 49 5 2 10" xfId="21169"/>
    <cellStyle name="asd 49 5 2 11" xfId="23987"/>
    <cellStyle name="asd 49 5 2 12" xfId="24971"/>
    <cellStyle name="asd 49 5 2 13" xfId="26440"/>
    <cellStyle name="asd 49 5 2 14" xfId="28838"/>
    <cellStyle name="asd 49 5 2 15" xfId="30046"/>
    <cellStyle name="asd 49 5 2 16" xfId="32401"/>
    <cellStyle name="asd 49 5 2 17" xfId="33793"/>
    <cellStyle name="asd 49 5 2 18" xfId="35798"/>
    <cellStyle name="asd 49 5 2 19" xfId="37677"/>
    <cellStyle name="asd 49 5 2 2" xfId="6371"/>
    <cellStyle name="asd 49 5 2 20" xfId="39618"/>
    <cellStyle name="asd 49 5 2 21" xfId="41292"/>
    <cellStyle name="asd 49 5 2 22" xfId="43731"/>
    <cellStyle name="asd 49 5 2 3" xfId="7822"/>
    <cellStyle name="asd 49 5 2 4" xfId="9732"/>
    <cellStyle name="asd 49 5 2 5" xfId="11946"/>
    <cellStyle name="asd 49 5 2 6" xfId="14457"/>
    <cellStyle name="asd 49 5 2 7" xfId="16363"/>
    <cellStyle name="asd 49 5 2 8" xfId="17351"/>
    <cellStyle name="asd 49 5 2 9" xfId="19257"/>
    <cellStyle name="asd 49 5 20" xfId="35733"/>
    <cellStyle name="asd 49 5 21" xfId="37612"/>
    <cellStyle name="asd 49 5 22" xfId="39800"/>
    <cellStyle name="asd 49 5 23" xfId="41469"/>
    <cellStyle name="asd 49 5 24" xfId="42594"/>
    <cellStyle name="asd 49 5 3" xfId="4856"/>
    <cellStyle name="asd 49 5 4" xfId="6306"/>
    <cellStyle name="asd 49 5 5" xfId="7757"/>
    <cellStyle name="asd 49 5 6" xfId="9667"/>
    <cellStyle name="asd 49 5 7" xfId="12355"/>
    <cellStyle name="asd 49 5 8" xfId="13271"/>
    <cellStyle name="asd 49 5 9" xfId="15175"/>
    <cellStyle name="asd 49 6" xfId="3215"/>
    <cellStyle name="asd 49 6 10" xfId="19182"/>
    <cellStyle name="asd 49 6 11" xfId="21094"/>
    <cellStyle name="asd 49 6 12" xfId="23079"/>
    <cellStyle name="asd 49 6 13" xfId="24896"/>
    <cellStyle name="asd 49 6 14" xfId="26460"/>
    <cellStyle name="asd 49 6 15" xfId="28597"/>
    <cellStyle name="asd 49 6 16" xfId="30066"/>
    <cellStyle name="asd 49 6 17" xfId="32699"/>
    <cellStyle name="asd 49 6 18" xfId="34599"/>
    <cellStyle name="asd 49 6 19" xfId="35723"/>
    <cellStyle name="asd 49 6 2" xfId="4531"/>
    <cellStyle name="asd 49 6 2 10" xfId="20776"/>
    <cellStyle name="asd 49 6 2 11" xfId="23730"/>
    <cellStyle name="asd 49 6 2 12" xfId="24578"/>
    <cellStyle name="asd 49 6 2 13" xfId="26505"/>
    <cellStyle name="asd 49 6 2 14" xfId="28194"/>
    <cellStyle name="asd 49 6 2 15" xfId="30111"/>
    <cellStyle name="asd 49 6 2 16" xfId="31782"/>
    <cellStyle name="asd 49 6 2 17" xfId="34941"/>
    <cellStyle name="asd 49 6 2 18" xfId="35406"/>
    <cellStyle name="asd 49 6 2 19" xfId="37284"/>
    <cellStyle name="asd 49 6 2 2" xfId="4514"/>
    <cellStyle name="asd 49 6 2 20" xfId="39021"/>
    <cellStyle name="asd 49 6 2 21" xfId="40703"/>
    <cellStyle name="asd 49 6 2 22" xfId="43485"/>
    <cellStyle name="asd 49 6 2 3" xfId="5373"/>
    <cellStyle name="asd 49 6 2 4" xfId="9338"/>
    <cellStyle name="asd 49 6 2 5" xfId="11532"/>
    <cellStyle name="asd 49 6 2 6" xfId="14200"/>
    <cellStyle name="asd 49 6 2 7" xfId="16104"/>
    <cellStyle name="asd 49 6 2 8" xfId="16957"/>
    <cellStyle name="asd 49 6 2 9" xfId="18864"/>
    <cellStyle name="asd 49 6 20" xfId="37602"/>
    <cellStyle name="asd 49 6 21" xfId="39907"/>
    <cellStyle name="asd 49 6 22" xfId="41576"/>
    <cellStyle name="asd 49 6 23" xfId="42861"/>
    <cellStyle name="asd 49 6 3" xfId="4846"/>
    <cellStyle name="asd 49 6 4" xfId="7747"/>
    <cellStyle name="asd 49 6 5" xfId="9657"/>
    <cellStyle name="asd 49 6 6" xfId="12687"/>
    <cellStyle name="asd 49 6 7" xfId="13550"/>
    <cellStyle name="asd 49 6 8" xfId="15453"/>
    <cellStyle name="asd 49 6 9" xfId="17276"/>
    <cellStyle name="asd 49 7" xfId="2102"/>
    <cellStyle name="asd 49 7 10" xfId="19018"/>
    <cellStyle name="asd 49 7 11" xfId="20930"/>
    <cellStyle name="asd 49 7 12" xfId="24117"/>
    <cellStyle name="asd 49 7 13" xfId="24732"/>
    <cellStyle name="asd 49 7 14" xfId="27010"/>
    <cellStyle name="asd 49 7 15" xfId="29283"/>
    <cellStyle name="asd 49 7 16" xfId="30603"/>
    <cellStyle name="asd 49 7 17" xfId="32767"/>
    <cellStyle name="asd 49 7 18" xfId="34922"/>
    <cellStyle name="asd 49 7 19" xfId="35559"/>
    <cellStyle name="asd 49 7 2" xfId="5685"/>
    <cellStyle name="asd 49 7 2 10" xfId="21935"/>
    <cellStyle name="asd 49 7 2 11" xfId="24080"/>
    <cellStyle name="asd 49 7 2 12" xfId="25737"/>
    <cellStyle name="asd 49 7 2 13" xfId="27925"/>
    <cellStyle name="asd 49 7 2 14" xfId="1855"/>
    <cellStyle name="asd 49 7 2 15" xfId="31507"/>
    <cellStyle name="asd 49 7 2 16" xfId="31593"/>
    <cellStyle name="asd 49 7 2 17" xfId="31438"/>
    <cellStyle name="asd 49 7 2 18" xfId="36564"/>
    <cellStyle name="asd 49 7 2 19" xfId="38443"/>
    <cellStyle name="asd 49 7 2 2" xfId="7134"/>
    <cellStyle name="asd 49 7 2 20" xfId="38840"/>
    <cellStyle name="asd 49 7 2 21" xfId="40526"/>
    <cellStyle name="asd 49 7 2 22" xfId="43824"/>
    <cellStyle name="asd 49 7 2 3" xfId="8588"/>
    <cellStyle name="asd 49 7 2 4" xfId="10498"/>
    <cellStyle name="asd 49 7 2 5" xfId="12039"/>
    <cellStyle name="asd 49 7 2 6" xfId="14550"/>
    <cellStyle name="asd 49 7 2 7" xfId="16456"/>
    <cellStyle name="asd 49 7 2 8" xfId="18117"/>
    <cellStyle name="asd 49 7 2 9" xfId="20023"/>
    <cellStyle name="asd 49 7 20" xfId="37438"/>
    <cellStyle name="asd 49 7 21" xfId="39976"/>
    <cellStyle name="asd 49 7 22" xfId="41640"/>
    <cellStyle name="asd 49 7 23" xfId="43860"/>
    <cellStyle name="asd 49 7 3" xfId="6132"/>
    <cellStyle name="asd 49 7 4" xfId="7583"/>
    <cellStyle name="asd 49 7 5" xfId="9493"/>
    <cellStyle name="asd 49 7 6" xfId="12077"/>
    <cellStyle name="asd 49 7 7" xfId="14588"/>
    <cellStyle name="asd 49 7 8" xfId="16494"/>
    <cellStyle name="asd 49 7 9" xfId="17112"/>
    <cellStyle name="asd 49 8" xfId="2405"/>
    <cellStyle name="asd 49 9" xfId="6300"/>
    <cellStyle name="asd 5" xfId="705"/>
    <cellStyle name="asd 5 10" xfId="2190"/>
    <cellStyle name="asd 5 11" xfId="2994"/>
    <cellStyle name="asd 5 12" xfId="3944"/>
    <cellStyle name="asd 5 13" xfId="3165"/>
    <cellStyle name="asd 5 14" xfId="10876"/>
    <cellStyle name="asd 5 15" xfId="6279"/>
    <cellStyle name="asd 5 16" xfId="3523"/>
    <cellStyle name="asd 5 17" xfId="1985"/>
    <cellStyle name="asd 5 18" xfId="22470"/>
    <cellStyle name="asd 5 19" xfId="1768"/>
    <cellStyle name="asd 5 2" xfId="3434"/>
    <cellStyle name="asd 5 2 10" xfId="13688"/>
    <cellStyle name="asd 5 2 11" xfId="15590"/>
    <cellStyle name="asd 5 2 12" xfId="16811"/>
    <cellStyle name="asd 5 2 13" xfId="18718"/>
    <cellStyle name="asd 5 2 14" xfId="20630"/>
    <cellStyle name="asd 5 2 15" xfId="23216"/>
    <cellStyle name="asd 5 2 16" xfId="24432"/>
    <cellStyle name="asd 5 2 17" xfId="26812"/>
    <cellStyle name="asd 5 2 18" xfId="29605"/>
    <cellStyle name="asd 5 2 19" xfId="30411"/>
    <cellStyle name="asd 5 2 2" xfId="3614"/>
    <cellStyle name="asd 5 2 2 10" xfId="17505"/>
    <cellStyle name="asd 5 2 2 11" xfId="19411"/>
    <cellStyle name="asd 5 2 2 12" xfId="21323"/>
    <cellStyle name="asd 5 2 2 13" xfId="22360"/>
    <cellStyle name="asd 5 2 2 14" xfId="25125"/>
    <cellStyle name="asd 5 2 2 15" xfId="3109"/>
    <cellStyle name="asd 5 2 2 16" xfId="28669"/>
    <cellStyle name="asd 5 2 2 17" xfId="29059"/>
    <cellStyle name="asd 5 2 2 18" xfId="3335"/>
    <cellStyle name="asd 5 2 2 19" xfId="29034"/>
    <cellStyle name="asd 5 2 2 2" xfId="4603"/>
    <cellStyle name="asd 5 2 2 2 10" xfId="20848"/>
    <cellStyle name="asd 5 2 2 2 11" xfId="23457"/>
    <cellStyle name="asd 5 2 2 2 12" xfId="24650"/>
    <cellStyle name="asd 5 2 2 2 13" xfId="27871"/>
    <cellStyle name="asd 5 2 2 2 14" xfId="28930"/>
    <cellStyle name="asd 5 2 2 2 15" xfId="31452"/>
    <cellStyle name="asd 5 2 2 2 16" xfId="33077"/>
    <cellStyle name="asd 5 2 2 2 17" xfId="34288"/>
    <cellStyle name="asd 5 2 2 2 18" xfId="35478"/>
    <cellStyle name="asd 5 2 2 2 19" xfId="37356"/>
    <cellStyle name="asd 5 2 2 2 2" xfId="1990"/>
    <cellStyle name="asd 5 2 2 2 20" xfId="40274"/>
    <cellStyle name="asd 5 2 2 2 21" xfId="41930"/>
    <cellStyle name="asd 5 2 2 2 22" xfId="43224"/>
    <cellStyle name="asd 5 2 2 2 3" xfId="3069"/>
    <cellStyle name="asd 5 2 2 2 4" xfId="9410"/>
    <cellStyle name="asd 5 2 2 2 5" xfId="12553"/>
    <cellStyle name="asd 5 2 2 2 6" xfId="13929"/>
    <cellStyle name="asd 5 2 2 2 7" xfId="15830"/>
    <cellStyle name="asd 5 2 2 2 8" xfId="17029"/>
    <cellStyle name="asd 5 2 2 2 9" xfId="18936"/>
    <cellStyle name="asd 5 2 2 20" xfId="35952"/>
    <cellStyle name="asd 5 2 2 21" xfId="37831"/>
    <cellStyle name="asd 5 2 2 22" xfId="20415"/>
    <cellStyle name="asd 5 2 2 23" xfId="34074"/>
    <cellStyle name="asd 5 2 2 24" xfId="42172"/>
    <cellStyle name="asd 5 2 2 3" xfId="5075"/>
    <cellStyle name="asd 5 2 2 4" xfId="6525"/>
    <cellStyle name="asd 5 2 2 5" xfId="7976"/>
    <cellStyle name="asd 5 2 2 6" xfId="9886"/>
    <cellStyle name="asd 5 2 2 7" xfId="12216"/>
    <cellStyle name="asd 5 2 2 8" xfId="12827"/>
    <cellStyle name="asd 5 2 2 9" xfId="14732"/>
    <cellStyle name="asd 5 2 20" xfId="31716"/>
    <cellStyle name="asd 5 2 21" xfId="33831"/>
    <cellStyle name="asd 5 2 22" xfId="35260"/>
    <cellStyle name="asd 5 2 23" xfId="37138"/>
    <cellStyle name="asd 5 2 24" xfId="38957"/>
    <cellStyle name="asd 5 2 25" xfId="40640"/>
    <cellStyle name="asd 5 2 26" xfId="42994"/>
    <cellStyle name="asd 5 2 3" xfId="3784"/>
    <cellStyle name="asd 5 2 3 10" xfId="19522"/>
    <cellStyle name="asd 5 2 3 11" xfId="21434"/>
    <cellStyle name="asd 5 2 3 12" xfId="23011"/>
    <cellStyle name="asd 5 2 3 13" xfId="25236"/>
    <cellStyle name="asd 5 2 3 14" xfId="26429"/>
    <cellStyle name="asd 5 2 3 15" xfId="29537"/>
    <cellStyle name="asd 5 2 3 16" xfId="30035"/>
    <cellStyle name="asd 5 2 3 17" xfId="32546"/>
    <cellStyle name="asd 5 2 3 18" xfId="34282"/>
    <cellStyle name="asd 5 2 3 19" xfId="36063"/>
    <cellStyle name="asd 5 2 3 2" xfId="5792"/>
    <cellStyle name="asd 5 2 3 2 10" xfId="22042"/>
    <cellStyle name="asd 5 2 3 2 11" xfId="23127"/>
    <cellStyle name="asd 5 2 3 2 12" xfId="25844"/>
    <cellStyle name="asd 5 2 3 2 13" xfId="26866"/>
    <cellStyle name="asd 5 2 3 2 14" xfId="29601"/>
    <cellStyle name="asd 5 2 3 2 15" xfId="30462"/>
    <cellStyle name="asd 5 2 3 2 16" xfId="32567"/>
    <cellStyle name="asd 5 2 3 2 17" xfId="34504"/>
    <cellStyle name="asd 5 2 3 2 18" xfId="36671"/>
    <cellStyle name="asd 5 2 3 2 19" xfId="38550"/>
    <cellStyle name="asd 5 2 3 2 2" xfId="7241"/>
    <cellStyle name="asd 5 2 3 2 20" xfId="39778"/>
    <cellStyle name="asd 5 2 3 2 21" xfId="41448"/>
    <cellStyle name="asd 5 2 3 2 22" xfId="42906"/>
    <cellStyle name="asd 5 2 3 2 3" xfId="8695"/>
    <cellStyle name="asd 5 2 3 2 4" xfId="10605"/>
    <cellStyle name="asd 5 2 3 2 5" xfId="12751"/>
    <cellStyle name="asd 5 2 3 2 6" xfId="13598"/>
    <cellStyle name="asd 5 2 3 2 7" xfId="15501"/>
    <cellStyle name="asd 5 2 3 2 8" xfId="18224"/>
    <cellStyle name="asd 5 2 3 2 9" xfId="20130"/>
    <cellStyle name="asd 5 2 3 20" xfId="37942"/>
    <cellStyle name="asd 5 2 3 21" xfId="39759"/>
    <cellStyle name="asd 5 2 3 22" xfId="41431"/>
    <cellStyle name="asd 5 2 3 23" xfId="42795"/>
    <cellStyle name="asd 5 2 3 3" xfId="5186"/>
    <cellStyle name="asd 5 2 3 4" xfId="8087"/>
    <cellStyle name="asd 5 2 3 5" xfId="9997"/>
    <cellStyle name="asd 5 2 3 6" xfId="12304"/>
    <cellStyle name="asd 5 2 3 7" xfId="13481"/>
    <cellStyle name="asd 5 2 3 8" xfId="15386"/>
    <cellStyle name="asd 5 2 3 9" xfId="17616"/>
    <cellStyle name="asd 5 2 4" xfId="4066"/>
    <cellStyle name="asd 5 2 4 10" xfId="19701"/>
    <cellStyle name="asd 5 2 4 11" xfId="21613"/>
    <cellStyle name="asd 5 2 4 12" xfId="23069"/>
    <cellStyle name="asd 5 2 4 13" xfId="25415"/>
    <cellStyle name="asd 5 2 4 14" xfId="3320"/>
    <cellStyle name="asd 5 2 4 15" xfId="24246"/>
    <cellStyle name="asd 5 2 4 16" xfId="2468"/>
    <cellStyle name="asd 5 2 4 17" xfId="4330"/>
    <cellStyle name="asd 5 2 4 18" xfId="30393"/>
    <cellStyle name="asd 5 2 4 19" xfId="36242"/>
    <cellStyle name="asd 5 2 4 2" xfId="5971"/>
    <cellStyle name="asd 5 2 4 2 10" xfId="22221"/>
    <cellStyle name="asd 5 2 4 2 11" xfId="23808"/>
    <cellStyle name="asd 5 2 4 2 12" xfId="26023"/>
    <cellStyle name="asd 5 2 4 2 13" xfId="27479"/>
    <cellStyle name="asd 5 2 4 2 14" xfId="28864"/>
    <cellStyle name="asd 5 2 4 2 15" xfId="31066"/>
    <cellStyle name="asd 5 2 4 2 16" xfId="32048"/>
    <cellStyle name="asd 5 2 4 2 17" xfId="34440"/>
    <cellStyle name="asd 5 2 4 2 18" xfId="36850"/>
    <cellStyle name="asd 5 2 4 2 19" xfId="38729"/>
    <cellStyle name="asd 5 2 4 2 2" xfId="7420"/>
    <cellStyle name="asd 5 2 4 2 20" xfId="39277"/>
    <cellStyle name="asd 5 2 4 2 21" xfId="40953"/>
    <cellStyle name="asd 5 2 4 2 22" xfId="43560"/>
    <cellStyle name="asd 5 2 4 2 3" xfId="8874"/>
    <cellStyle name="asd 5 2 4 2 4" xfId="10784"/>
    <cellStyle name="asd 5 2 4 2 5" xfId="11782"/>
    <cellStyle name="asd 5 2 4 2 6" xfId="14278"/>
    <cellStyle name="asd 5 2 4 2 7" xfId="16182"/>
    <cellStyle name="asd 5 2 4 2 8" xfId="18403"/>
    <cellStyle name="asd 5 2 4 2 9" xfId="20309"/>
    <cellStyle name="asd 5 2 4 20" xfId="38121"/>
    <cellStyle name="asd 5 2 4 21" xfId="22995"/>
    <cellStyle name="asd 5 2 4 22" xfId="34321"/>
    <cellStyle name="asd 5 2 4 23" xfId="42851"/>
    <cellStyle name="asd 5 2 4 3" xfId="6812"/>
    <cellStyle name="asd 5 2 4 4" xfId="8266"/>
    <cellStyle name="asd 5 2 4 5" xfId="10176"/>
    <cellStyle name="asd 5 2 4 6" xfId="12675"/>
    <cellStyle name="asd 5 2 4 7" xfId="13540"/>
    <cellStyle name="asd 5 2 4 8" xfId="15443"/>
    <cellStyle name="asd 5 2 4 9" xfId="17795"/>
    <cellStyle name="asd 5 2 5" xfId="4923"/>
    <cellStyle name="asd 5 2 5 10" xfId="21171"/>
    <cellStyle name="asd 5 2 5 11" xfId="23709"/>
    <cellStyle name="asd 5 2 5 12" xfId="24973"/>
    <cellStyle name="asd 5 2 5 13" xfId="26288"/>
    <cellStyle name="asd 5 2 5 14" xfId="29675"/>
    <cellStyle name="asd 5 2 5 15" xfId="29897"/>
    <cellStyle name="asd 5 2 5 16" xfId="32695"/>
    <cellStyle name="asd 5 2 5 17" xfId="34519"/>
    <cellStyle name="asd 5 2 5 18" xfId="35800"/>
    <cellStyle name="asd 5 2 5 19" xfId="37679"/>
    <cellStyle name="asd 5 2 5 2" xfId="6373"/>
    <cellStyle name="asd 5 2 5 20" xfId="39903"/>
    <cellStyle name="asd 5 2 5 21" xfId="41572"/>
    <cellStyle name="asd 5 2 5 22" xfId="43466"/>
    <cellStyle name="asd 5 2 5 3" xfId="7824"/>
    <cellStyle name="asd 5 2 5 4" xfId="9734"/>
    <cellStyle name="asd 5 2 5 5" xfId="11405"/>
    <cellStyle name="asd 5 2 5 6" xfId="14179"/>
    <cellStyle name="asd 5 2 5 7" xfId="16083"/>
    <cellStyle name="asd 5 2 5 8" xfId="17353"/>
    <cellStyle name="asd 5 2 5 9" xfId="19259"/>
    <cellStyle name="asd 5 2 6" xfId="4467"/>
    <cellStyle name="asd 5 2 6 10" xfId="20712"/>
    <cellStyle name="asd 5 2 6 11" xfId="23831"/>
    <cellStyle name="asd 5 2 6 12" xfId="24514"/>
    <cellStyle name="asd 5 2 6 13" xfId="27393"/>
    <cellStyle name="asd 5 2 6 14" xfId="28325"/>
    <cellStyle name="asd 5 2 6 15" xfId="30979"/>
    <cellStyle name="asd 5 2 6 16" xfId="32786"/>
    <cellStyle name="asd 5 2 6 17" xfId="34387"/>
    <cellStyle name="asd 5 2 6 18" xfId="35342"/>
    <cellStyle name="asd 5 2 6 19" xfId="37220"/>
    <cellStyle name="asd 5 2 6 2" xfId="4327"/>
    <cellStyle name="asd 5 2 6 20" xfId="39995"/>
    <cellStyle name="asd 5 2 6 21" xfId="41659"/>
    <cellStyle name="asd 5 2 6 22" xfId="43582"/>
    <cellStyle name="asd 5 2 6 3" xfId="4389"/>
    <cellStyle name="asd 5 2 6 4" xfId="9274"/>
    <cellStyle name="asd 5 2 6 5" xfId="11432"/>
    <cellStyle name="asd 5 2 6 6" xfId="14301"/>
    <cellStyle name="asd 5 2 6 7" xfId="16205"/>
    <cellStyle name="asd 5 2 6 8" xfId="16893"/>
    <cellStyle name="asd 5 2 6 9" xfId="18800"/>
    <cellStyle name="asd 5 2 7" xfId="6220"/>
    <cellStyle name="asd 5 2 8" xfId="9192"/>
    <cellStyle name="asd 5 2 9" xfId="11092"/>
    <cellStyle name="asd 5 20" xfId="28690"/>
    <cellStyle name="asd 5 21" xfId="28667"/>
    <cellStyle name="asd 5 22" xfId="22862"/>
    <cellStyle name="asd 5 23" xfId="33169"/>
    <cellStyle name="asd 5 24" xfId="34601"/>
    <cellStyle name="asd 5 25" xfId="26134"/>
    <cellStyle name="asd 5 26" xfId="39213"/>
    <cellStyle name="asd 5 27" xfId="29759"/>
    <cellStyle name="asd 5 3" xfId="3421"/>
    <cellStyle name="asd 5 3 10" xfId="14235"/>
    <cellStyle name="asd 5 3 11" xfId="16139"/>
    <cellStyle name="asd 5 3 12" xfId="16792"/>
    <cellStyle name="asd 5 3 13" xfId="18699"/>
    <cellStyle name="asd 5 3 14" xfId="20611"/>
    <cellStyle name="asd 5 3 15" xfId="23765"/>
    <cellStyle name="asd 5 3 16" xfId="24413"/>
    <cellStyle name="asd 5 3 17" xfId="26164"/>
    <cellStyle name="asd 5 3 18" xfId="2221"/>
    <cellStyle name="asd 5 3 19" xfId="29778"/>
    <cellStyle name="asd 5 3 2" xfId="3601"/>
    <cellStyle name="asd 5 3 2 10" xfId="17492"/>
    <cellStyle name="asd 5 3 2 11" xfId="19398"/>
    <cellStyle name="asd 5 3 2 12" xfId="21310"/>
    <cellStyle name="asd 5 3 2 13" xfId="23658"/>
    <cellStyle name="asd 5 3 2 14" xfId="25112"/>
    <cellStyle name="asd 5 3 2 15" xfId="27157"/>
    <cellStyle name="asd 5 3 2 16" xfId="10904"/>
    <cellStyle name="asd 5 3 2 17" xfId="30748"/>
    <cellStyle name="asd 5 3 2 18" xfId="4208"/>
    <cellStyle name="asd 5 3 2 19" xfId="31984"/>
    <cellStyle name="asd 5 3 2 2" xfId="5722"/>
    <cellStyle name="asd 5 3 2 2 10" xfId="21972"/>
    <cellStyle name="asd 5 3 2 2 11" xfId="22374"/>
    <cellStyle name="asd 5 3 2 2 12" xfId="25774"/>
    <cellStyle name="asd 5 3 2 2 13" xfId="26432"/>
    <cellStyle name="asd 5 3 2 2 14" xfId="28298"/>
    <cellStyle name="asd 5 3 2 2 15" xfId="30038"/>
    <cellStyle name="asd 5 3 2 2 16" xfId="31799"/>
    <cellStyle name="asd 5 3 2 2 17" xfId="33976"/>
    <cellStyle name="asd 5 3 2 2 18" xfId="36601"/>
    <cellStyle name="asd 5 3 2 2 19" xfId="38480"/>
    <cellStyle name="asd 5 3 2 2 2" xfId="7171"/>
    <cellStyle name="asd 5 3 2 2 20" xfId="39037"/>
    <cellStyle name="asd 5 3 2 2 21" xfId="40719"/>
    <cellStyle name="asd 5 3 2 2 22" xfId="42185"/>
    <cellStyle name="asd 5 3 2 2 3" xfId="8625"/>
    <cellStyle name="asd 5 3 2 2 4" xfId="10535"/>
    <cellStyle name="asd 5 3 2 2 5" xfId="11799"/>
    <cellStyle name="asd 5 3 2 2 6" xfId="12841"/>
    <cellStyle name="asd 5 3 2 2 7" xfId="14746"/>
    <cellStyle name="asd 5 3 2 2 8" xfId="18154"/>
    <cellStyle name="asd 5 3 2 2 9" xfId="20060"/>
    <cellStyle name="asd 5 3 2 20" xfId="35939"/>
    <cellStyle name="asd 5 3 2 21" xfId="37818"/>
    <cellStyle name="asd 5 3 2 22" xfId="31573"/>
    <cellStyle name="asd 5 3 2 23" xfId="22336"/>
    <cellStyle name="asd 5 3 2 24" xfId="43416"/>
    <cellStyle name="asd 5 3 2 3" xfId="5062"/>
    <cellStyle name="asd 5 3 2 4" xfId="6512"/>
    <cellStyle name="asd 5 3 2 5" xfId="7963"/>
    <cellStyle name="asd 5 3 2 6" xfId="9873"/>
    <cellStyle name="asd 5 3 2 7" xfId="11511"/>
    <cellStyle name="asd 5 3 2 8" xfId="14128"/>
    <cellStyle name="asd 5 3 2 9" xfId="16031"/>
    <cellStyle name="asd 5 3 20" xfId="32217"/>
    <cellStyle name="asd 5 3 21" xfId="34688"/>
    <cellStyle name="asd 5 3 22" xfId="35241"/>
    <cellStyle name="asd 5 3 23" xfId="37119"/>
    <cellStyle name="asd 5 3 24" xfId="39436"/>
    <cellStyle name="asd 5 3 25" xfId="41112"/>
    <cellStyle name="asd 5 3 26" xfId="43518"/>
    <cellStyle name="asd 5 3 3" xfId="3833"/>
    <cellStyle name="asd 5 3 3 10" xfId="19558"/>
    <cellStyle name="asd 5 3 3 11" xfId="21470"/>
    <cellStyle name="asd 5 3 3 12" xfId="22652"/>
    <cellStyle name="asd 5 3 3 13" xfId="25272"/>
    <cellStyle name="asd 5 3 3 14" xfId="26347"/>
    <cellStyle name="asd 5 3 3 15" xfId="1916"/>
    <cellStyle name="asd 5 3 3 16" xfId="29955"/>
    <cellStyle name="asd 5 3 3 17" xfId="32150"/>
    <cellStyle name="asd 5 3 3 18" xfId="29728"/>
    <cellStyle name="asd 5 3 3 19" xfId="36099"/>
    <cellStyle name="asd 5 3 3 2" xfId="5828"/>
    <cellStyle name="asd 5 3 3 2 10" xfId="22078"/>
    <cellStyle name="asd 5 3 3 2 11" xfId="23978"/>
    <cellStyle name="asd 5 3 3 2 12" xfId="25880"/>
    <cellStyle name="asd 5 3 3 2 13" xfId="26210"/>
    <cellStyle name="asd 5 3 3 2 14" xfId="29232"/>
    <cellStyle name="asd 5 3 3 2 15" xfId="29822"/>
    <cellStyle name="asd 5 3 3 2 16" xfId="32406"/>
    <cellStyle name="asd 5 3 3 2 17" xfId="34760"/>
    <cellStyle name="asd 5 3 3 2 18" xfId="36707"/>
    <cellStyle name="asd 5 3 3 2 19" xfId="38586"/>
    <cellStyle name="asd 5 3 3 2 2" xfId="7277"/>
    <cellStyle name="asd 5 3 3 2 20" xfId="39623"/>
    <cellStyle name="asd 5 3 3 2 21" xfId="41297"/>
    <cellStyle name="asd 5 3 3 2 22" xfId="43723"/>
    <cellStyle name="asd 5 3 3 2 3" xfId="8731"/>
    <cellStyle name="asd 5 3 3 2 4" xfId="10641"/>
    <cellStyle name="asd 5 3 3 2 5" xfId="11938"/>
    <cellStyle name="asd 5 3 3 2 6" xfId="14448"/>
    <cellStyle name="asd 5 3 3 2 7" xfId="16354"/>
    <cellStyle name="asd 5 3 3 2 8" xfId="18260"/>
    <cellStyle name="asd 5 3 3 2 9" xfId="20166"/>
    <cellStyle name="asd 5 3 3 20" xfId="37978"/>
    <cellStyle name="asd 5 3 3 21" xfId="39373"/>
    <cellStyle name="asd 5 3 3 22" xfId="41049"/>
    <cellStyle name="asd 5 3 3 23" xfId="42458"/>
    <cellStyle name="asd 5 3 3 3" xfId="5222"/>
    <cellStyle name="asd 5 3 3 4" xfId="8123"/>
    <cellStyle name="asd 5 3 3 5" xfId="10033"/>
    <cellStyle name="asd 5 3 3 6" xfId="11520"/>
    <cellStyle name="asd 5 3 3 7" xfId="13119"/>
    <cellStyle name="asd 5 3 3 8" xfId="15024"/>
    <cellStyle name="asd 5 3 3 9" xfId="17652"/>
    <cellStyle name="asd 5 3 4" xfId="4053"/>
    <cellStyle name="asd 5 3 4 10" xfId="19688"/>
    <cellStyle name="asd 5 3 4 11" xfId="21600"/>
    <cellStyle name="asd 5 3 4 12" xfId="22433"/>
    <cellStyle name="asd 5 3 4 13" xfId="25402"/>
    <cellStyle name="asd 5 3 4 14" xfId="27960"/>
    <cellStyle name="asd 5 3 4 15" xfId="8977"/>
    <cellStyle name="asd 5 3 4 16" xfId="31539"/>
    <cellStyle name="asd 5 3 4 17" xfId="3075"/>
    <cellStyle name="asd 5 3 4 18" xfId="26421"/>
    <cellStyle name="asd 5 3 4 19" xfId="36229"/>
    <cellStyle name="asd 5 3 4 2" xfId="5958"/>
    <cellStyle name="asd 5 3 4 2 10" xfId="22208"/>
    <cellStyle name="asd 5 3 4 2 11" xfId="24086"/>
    <cellStyle name="asd 5 3 4 2 12" xfId="26010"/>
    <cellStyle name="asd 5 3 4 2 13" xfId="26410"/>
    <cellStyle name="asd 5 3 4 2 14" xfId="28378"/>
    <cellStyle name="asd 5 3 4 2 15" xfId="30017"/>
    <cellStyle name="asd 5 3 4 2 16" xfId="31858"/>
    <cellStyle name="asd 5 3 4 2 17" xfId="34457"/>
    <cellStyle name="asd 5 3 4 2 18" xfId="36837"/>
    <cellStyle name="asd 5 3 4 2 19" xfId="38716"/>
    <cellStyle name="asd 5 3 4 2 2" xfId="7407"/>
    <cellStyle name="asd 5 3 4 2 20" xfId="39093"/>
    <cellStyle name="asd 5 3 4 2 21" xfId="40774"/>
    <cellStyle name="asd 5 3 4 2 22" xfId="43829"/>
    <cellStyle name="asd 5 3 4 2 3" xfId="8861"/>
    <cellStyle name="asd 5 3 4 2 4" xfId="10771"/>
    <cellStyle name="asd 5 3 4 2 5" xfId="12045"/>
    <cellStyle name="asd 5 3 4 2 6" xfId="14556"/>
    <cellStyle name="asd 5 3 4 2 7" xfId="16462"/>
    <cellStyle name="asd 5 3 4 2 8" xfId="18390"/>
    <cellStyle name="asd 5 3 4 2 9" xfId="20296"/>
    <cellStyle name="asd 5 3 4 20" xfId="38108"/>
    <cellStyle name="asd 5 3 4 21" xfId="33766"/>
    <cellStyle name="asd 5 3 4 22" xfId="33369"/>
    <cellStyle name="asd 5 3 4 23" xfId="42244"/>
    <cellStyle name="asd 5 3 4 3" xfId="6799"/>
    <cellStyle name="asd 5 3 4 4" xfId="8253"/>
    <cellStyle name="asd 5 3 4 5" xfId="10163"/>
    <cellStyle name="asd 5 3 4 6" xfId="11416"/>
    <cellStyle name="asd 5 3 4 7" xfId="12901"/>
    <cellStyle name="asd 5 3 4 8" xfId="14806"/>
    <cellStyle name="asd 5 3 4 9" xfId="17782"/>
    <cellStyle name="asd 5 3 5" xfId="4914"/>
    <cellStyle name="asd 5 3 5 10" xfId="21162"/>
    <cellStyle name="asd 5 3 5 11" xfId="23553"/>
    <cellStyle name="asd 5 3 5 12" xfId="24964"/>
    <cellStyle name="asd 5 3 5 13" xfId="26544"/>
    <cellStyle name="asd 5 3 5 14" xfId="28580"/>
    <cellStyle name="asd 5 3 5 15" xfId="30149"/>
    <cellStyle name="asd 5 3 5 16" xfId="32044"/>
    <cellStyle name="asd 5 3 5 17" xfId="33678"/>
    <cellStyle name="asd 5 3 5 18" xfId="35791"/>
    <cellStyle name="asd 5 3 5 19" xfId="37670"/>
    <cellStyle name="asd 5 3 5 2" xfId="6364"/>
    <cellStyle name="asd 5 3 5 20" xfId="39273"/>
    <cellStyle name="asd 5 3 5 21" xfId="40949"/>
    <cellStyle name="asd 5 3 5 22" xfId="43317"/>
    <cellStyle name="asd 5 3 5 3" xfId="7815"/>
    <cellStyle name="asd 5 3 5 4" xfId="9725"/>
    <cellStyle name="asd 5 3 5 5" xfId="12530"/>
    <cellStyle name="asd 5 3 5 6" xfId="14025"/>
    <cellStyle name="asd 5 3 5 7" xfId="15926"/>
    <cellStyle name="asd 5 3 5 8" xfId="17344"/>
    <cellStyle name="asd 5 3 5 9" xfId="19250"/>
    <cellStyle name="asd 5 3 6" xfId="2498"/>
    <cellStyle name="asd 5 3 6 10" xfId="20610"/>
    <cellStyle name="asd 5 3 6 11" xfId="22911"/>
    <cellStyle name="asd 5 3 6 12" xfId="24412"/>
    <cellStyle name="asd 5 3 6 13" xfId="26690"/>
    <cellStyle name="asd 5 3 6 14" xfId="29256"/>
    <cellStyle name="asd 5 3 6 15" xfId="30290"/>
    <cellStyle name="asd 5 3 6 16" xfId="31669"/>
    <cellStyle name="asd 5 3 6 17" xfId="34236"/>
    <cellStyle name="asd 5 3 6 18" xfId="35240"/>
    <cellStyle name="asd 5 3 6 19" xfId="37118"/>
    <cellStyle name="asd 5 3 6 2" xfId="4215"/>
    <cellStyle name="asd 5 3 6 20" xfId="38913"/>
    <cellStyle name="asd 5 3 6 21" xfId="40597"/>
    <cellStyle name="asd 5 3 6 22" xfId="42697"/>
    <cellStyle name="asd 5 3 6 3" xfId="3854"/>
    <cellStyle name="asd 5 3 6 4" xfId="9172"/>
    <cellStyle name="asd 5 3 6 5" xfId="12327"/>
    <cellStyle name="asd 5 3 6 6" xfId="13379"/>
    <cellStyle name="asd 5 3 6 7" xfId="15284"/>
    <cellStyle name="asd 5 3 6 8" xfId="16791"/>
    <cellStyle name="asd 5 3 6 9" xfId="18698"/>
    <cellStyle name="asd 5 3 7" xfId="6297"/>
    <cellStyle name="asd 5 3 8" xfId="9173"/>
    <cellStyle name="asd 5 3 9" xfId="11466"/>
    <cellStyle name="asd 5 4" xfId="3378"/>
    <cellStyle name="asd 5 4 10" xfId="15983"/>
    <cellStyle name="asd 5 4 11" xfId="16691"/>
    <cellStyle name="asd 5 4 12" xfId="18598"/>
    <cellStyle name="asd 5 4 13" xfId="20510"/>
    <cellStyle name="asd 5 4 14" xfId="23610"/>
    <cellStyle name="asd 5 4 15" xfId="24312"/>
    <cellStyle name="asd 5 4 16" xfId="26184"/>
    <cellStyle name="asd 5 4 17" xfId="28719"/>
    <cellStyle name="asd 5 4 18" xfId="29796"/>
    <cellStyle name="asd 5 4 19" xfId="31391"/>
    <cellStyle name="asd 5 4 2" xfId="3558"/>
    <cellStyle name="asd 5 4 2 10" xfId="17449"/>
    <cellStyle name="asd 5 4 2 11" xfId="19355"/>
    <cellStyle name="asd 5 4 2 12" xfId="21267"/>
    <cellStyle name="asd 5 4 2 13" xfId="3762"/>
    <cellStyle name="asd 5 4 2 14" xfId="25069"/>
    <cellStyle name="asd 5 4 2 15" xfId="2501"/>
    <cellStyle name="asd 5 4 2 16" xfId="24236"/>
    <cellStyle name="asd 5 4 2 17" xfId="12711"/>
    <cellStyle name="asd 5 4 2 18" xfId="31563"/>
    <cellStyle name="asd 5 4 2 19" xfId="29757"/>
    <cellStyle name="asd 5 4 2 2" xfId="4497"/>
    <cellStyle name="asd 5 4 2 2 10" xfId="20742"/>
    <cellStyle name="asd 5 4 2 2 11" xfId="22917"/>
    <cellStyle name="asd 5 4 2 2 12" xfId="24544"/>
    <cellStyle name="asd 5 4 2 2 13" xfId="27583"/>
    <cellStyle name="asd 5 4 2 2 14" xfId="29671"/>
    <cellStyle name="asd 5 4 2 2 15" xfId="31162"/>
    <cellStyle name="asd 5 4 2 2 16" xfId="32871"/>
    <cellStyle name="asd 5 4 2 2 17" xfId="34837"/>
    <cellStyle name="asd 5 4 2 2 18" xfId="35372"/>
    <cellStyle name="asd 5 4 2 2 19" xfId="37250"/>
    <cellStyle name="asd 5 4 2 2 2" xfId="4839"/>
    <cellStyle name="asd 5 4 2 2 20" xfId="40077"/>
    <cellStyle name="asd 5 4 2 2 21" xfId="41741"/>
    <cellStyle name="asd 5 4 2 2 22" xfId="42703"/>
    <cellStyle name="asd 5 4 2 2 3" xfId="6211"/>
    <cellStyle name="asd 5 4 2 2 4" xfId="9304"/>
    <cellStyle name="asd 5 4 2 2 5" xfId="12209"/>
    <cellStyle name="asd 5 4 2 2 6" xfId="13385"/>
    <cellStyle name="asd 5 4 2 2 7" xfId="15290"/>
    <cellStyle name="asd 5 4 2 2 8" xfId="16923"/>
    <cellStyle name="asd 5 4 2 2 9" xfId="18830"/>
    <cellStyle name="asd 5 4 2 20" xfId="35896"/>
    <cellStyle name="asd 5 4 2 21" xfId="37775"/>
    <cellStyle name="asd 5 4 2 22" xfId="38822"/>
    <cellStyle name="asd 5 4 2 23" xfId="40515"/>
    <cellStyle name="asd 5 4 2 24" xfId="41553"/>
    <cellStyle name="asd 5 4 2 3" xfId="5019"/>
    <cellStyle name="asd 5 4 2 4" xfId="6469"/>
    <cellStyle name="asd 5 4 2 5" xfId="7920"/>
    <cellStyle name="asd 5 4 2 6" xfId="9830"/>
    <cellStyle name="asd 5 4 2 7" xfId="12363"/>
    <cellStyle name="asd 5 4 2 8" xfId="11257"/>
    <cellStyle name="asd 5 4 2 9" xfId="13764"/>
    <cellStyle name="asd 5 4 20" xfId="2299"/>
    <cellStyle name="asd 5 4 21" xfId="35140"/>
    <cellStyle name="asd 5 4 22" xfId="37018"/>
    <cellStyle name="asd 5 4 23" xfId="33768"/>
    <cellStyle name="asd 5 4 24" xfId="40088"/>
    <cellStyle name="asd 5 4 25" xfId="43368"/>
    <cellStyle name="asd 5 4 3" xfId="3852"/>
    <cellStyle name="asd 5 4 3 10" xfId="19574"/>
    <cellStyle name="asd 5 4 3 11" xfId="21486"/>
    <cellStyle name="asd 5 4 3 12" xfId="23906"/>
    <cellStyle name="asd 5 4 3 13" xfId="25288"/>
    <cellStyle name="asd 5 4 3 14" xfId="27543"/>
    <cellStyle name="asd 5 4 3 15" xfId="28013"/>
    <cellStyle name="asd 5 4 3 16" xfId="31124"/>
    <cellStyle name="asd 5 4 3 17" xfId="2926"/>
    <cellStyle name="asd 5 4 3 18" xfId="30179"/>
    <cellStyle name="asd 5 4 3 19" xfId="36115"/>
    <cellStyle name="asd 5 4 3 2" xfId="5844"/>
    <cellStyle name="asd 5 4 3 2 10" xfId="22094"/>
    <cellStyle name="asd 5 4 3 2 11" xfId="22923"/>
    <cellStyle name="asd 5 4 3 2 12" xfId="25896"/>
    <cellStyle name="asd 5 4 3 2 13" xfId="26928"/>
    <cellStyle name="asd 5 4 3 2 14" xfId="28506"/>
    <cellStyle name="asd 5 4 3 2 15" xfId="30522"/>
    <cellStyle name="asd 5 4 3 2 16" xfId="31762"/>
    <cellStyle name="asd 5 4 3 2 17" xfId="33667"/>
    <cellStyle name="asd 5 4 3 2 18" xfId="36723"/>
    <cellStyle name="asd 5 4 3 2 19" xfId="38602"/>
    <cellStyle name="asd 5 4 3 2 2" xfId="7293"/>
    <cellStyle name="asd 5 4 3 2 20" xfId="39002"/>
    <cellStyle name="asd 5 4 3 2 21" xfId="40685"/>
    <cellStyle name="asd 5 4 3 2 22" xfId="42709"/>
    <cellStyle name="asd 5 4 3 2 3" xfId="8747"/>
    <cellStyle name="asd 5 4 3 2 4" xfId="10657"/>
    <cellStyle name="asd 5 4 3 2 5" xfId="12441"/>
    <cellStyle name="asd 5 4 3 2 6" xfId="13391"/>
    <cellStyle name="asd 5 4 3 2 7" xfId="15296"/>
    <cellStyle name="asd 5 4 3 2 8" xfId="18276"/>
    <cellStyle name="asd 5 4 3 2 9" xfId="20182"/>
    <cellStyle name="asd 5 4 3 20" xfId="37994"/>
    <cellStyle name="asd 5 4 3 21" xfId="31574"/>
    <cellStyle name="asd 5 4 3 22" xfId="5330"/>
    <cellStyle name="asd 5 4 3 23" xfId="43652"/>
    <cellStyle name="asd 5 4 3 3" xfId="5238"/>
    <cellStyle name="asd 5 4 3 4" xfId="8139"/>
    <cellStyle name="asd 5 4 3 5" xfId="10049"/>
    <cellStyle name="asd 5 4 3 6" xfId="11865"/>
    <cellStyle name="asd 5 4 3 7" xfId="14374"/>
    <cellStyle name="asd 5 4 3 8" xfId="16280"/>
    <cellStyle name="asd 5 4 3 9" xfId="17668"/>
    <cellStyle name="asd 5 4 4" xfId="4010"/>
    <cellStyle name="asd 5 4 4 10" xfId="19645"/>
    <cellStyle name="asd 5 4 4 11" xfId="21557"/>
    <cellStyle name="asd 5 4 4 12" xfId="24097"/>
    <cellStyle name="asd 5 4 4 13" xfId="25359"/>
    <cellStyle name="asd 5 4 4 14" xfId="27714"/>
    <cellStyle name="asd 5 4 4 15" xfId="28432"/>
    <cellStyle name="asd 5 4 4 16" xfId="31291"/>
    <cellStyle name="asd 5 4 4 17" xfId="32536"/>
    <cellStyle name="asd 5 4 4 18" xfId="34866"/>
    <cellStyle name="asd 5 4 4 19" xfId="36186"/>
    <cellStyle name="asd 5 4 4 2" xfId="5915"/>
    <cellStyle name="asd 5 4 4 2 10" xfId="22165"/>
    <cellStyle name="asd 5 4 4 2 11" xfId="23791"/>
    <cellStyle name="asd 5 4 4 2 12" xfId="25967"/>
    <cellStyle name="asd 5 4 4 2 13" xfId="27000"/>
    <cellStyle name="asd 5 4 4 2 14" xfId="28442"/>
    <cellStyle name="asd 5 4 4 2 15" xfId="30594"/>
    <cellStyle name="asd 5 4 4 2 16" xfId="32790"/>
    <cellStyle name="asd 5 4 4 2 17" xfId="34121"/>
    <cellStyle name="asd 5 4 4 2 18" xfId="36794"/>
    <cellStyle name="asd 5 4 4 2 19" xfId="38673"/>
    <cellStyle name="asd 5 4 4 2 2" xfId="7364"/>
    <cellStyle name="asd 5 4 4 2 20" xfId="39999"/>
    <cellStyle name="asd 5 4 4 2 21" xfId="41663"/>
    <cellStyle name="asd 5 4 4 2 22" xfId="43544"/>
    <cellStyle name="asd 5 4 4 2 3" xfId="8818"/>
    <cellStyle name="asd 5 4 4 2 4" xfId="10728"/>
    <cellStyle name="asd 5 4 4 2 5" xfId="12623"/>
    <cellStyle name="asd 5 4 4 2 6" xfId="14261"/>
    <cellStyle name="asd 5 4 4 2 7" xfId="16165"/>
    <cellStyle name="asd 5 4 4 2 8" xfId="18347"/>
    <cellStyle name="asd 5 4 4 2 9" xfId="20253"/>
    <cellStyle name="asd 5 4 4 20" xfId="38065"/>
    <cellStyle name="asd 5 4 4 21" xfId="39749"/>
    <cellStyle name="asd 5 4 4 22" xfId="41421"/>
    <cellStyle name="asd 5 4 4 23" xfId="43840"/>
    <cellStyle name="asd 5 4 4 3" xfId="6756"/>
    <cellStyle name="asd 5 4 4 4" xfId="8210"/>
    <cellStyle name="asd 5 4 4 5" xfId="10120"/>
    <cellStyle name="asd 5 4 4 6" xfId="12056"/>
    <cellStyle name="asd 5 4 4 7" xfId="14567"/>
    <cellStyle name="asd 5 4 4 8" xfId="16473"/>
    <cellStyle name="asd 5 4 4 9" xfId="17739"/>
    <cellStyle name="asd 5 4 5" xfId="4437"/>
    <cellStyle name="asd 5 4 5 10" xfId="20682"/>
    <cellStyle name="asd 5 4 5 11" xfId="24088"/>
    <cellStyle name="asd 5 4 5 12" xfId="24484"/>
    <cellStyle name="asd 5 4 5 13" xfId="26297"/>
    <cellStyle name="asd 5 4 5 14" xfId="28844"/>
    <cellStyle name="asd 5 4 5 15" xfId="29906"/>
    <cellStyle name="asd 5 4 5 16" xfId="32064"/>
    <cellStyle name="asd 5 4 5 17" xfId="34893"/>
    <cellStyle name="asd 5 4 5 18" xfId="35312"/>
    <cellStyle name="asd 5 4 5 19" xfId="37190"/>
    <cellStyle name="asd 5 4 5 2" xfId="4600"/>
    <cellStyle name="asd 5 4 5 20" xfId="39290"/>
    <cellStyle name="asd 5 4 5 21" xfId="40966"/>
    <cellStyle name="asd 5 4 5 22" xfId="43831"/>
    <cellStyle name="asd 5 4 5 3" xfId="3531"/>
    <cellStyle name="asd 5 4 5 4" xfId="9244"/>
    <cellStyle name="asd 5 4 5 5" xfId="12047"/>
    <cellStyle name="asd 5 4 5 6" xfId="14558"/>
    <cellStyle name="asd 5 4 5 7" xfId="16464"/>
    <cellStyle name="asd 5 4 5 8" xfId="16863"/>
    <cellStyle name="asd 5 4 5 9" xfId="18770"/>
    <cellStyle name="asd 5 4 6" xfId="6263"/>
    <cellStyle name="asd 5 4 7" xfId="9072"/>
    <cellStyle name="asd 5 4 8" xfId="11455"/>
    <cellStyle name="asd 5 4 9" xfId="14080"/>
    <cellStyle name="asd 5 5" xfId="2089"/>
    <cellStyle name="asd 5 5 10" xfId="17109"/>
    <cellStyle name="asd 5 5 11" xfId="19015"/>
    <cellStyle name="asd 5 5 12" xfId="20927"/>
    <cellStyle name="asd 5 5 13" xfId="22686"/>
    <cellStyle name="asd 5 5 14" xfId="24729"/>
    <cellStyle name="asd 5 5 15" xfId="26613"/>
    <cellStyle name="asd 5 5 16" xfId="29614"/>
    <cellStyle name="asd 5 5 17" xfId="30216"/>
    <cellStyle name="asd 5 5 18" xfId="32009"/>
    <cellStyle name="asd 5 5 19" xfId="34648"/>
    <cellStyle name="asd 5 5 2" xfId="4415"/>
    <cellStyle name="asd 5 5 2 10" xfId="20659"/>
    <cellStyle name="asd 5 5 2 11" xfId="23536"/>
    <cellStyle name="asd 5 5 2 12" xfId="24461"/>
    <cellStyle name="asd 5 5 2 13" xfId="26757"/>
    <cellStyle name="asd 5 5 2 14" xfId="29484"/>
    <cellStyle name="asd 5 5 2 15" xfId="30356"/>
    <cellStyle name="asd 5 5 2 16" xfId="31725"/>
    <cellStyle name="asd 5 5 2 17" xfId="33415"/>
    <cellStyle name="asd 5 5 2 18" xfId="35289"/>
    <cellStyle name="asd 5 5 2 19" xfId="37167"/>
    <cellStyle name="asd 5 5 2 2" xfId="5344"/>
    <cellStyle name="asd 5 5 2 20" xfId="38966"/>
    <cellStyle name="asd 5 5 2 21" xfId="40649"/>
    <cellStyle name="asd 5 5 2 22" xfId="43301"/>
    <cellStyle name="asd 5 5 2 3" xfId="6660"/>
    <cellStyle name="asd 5 5 2 4" xfId="9221"/>
    <cellStyle name="asd 5 5 2 5" xfId="12531"/>
    <cellStyle name="asd 5 5 2 6" xfId="14008"/>
    <cellStyle name="asd 5 5 2 7" xfId="15909"/>
    <cellStyle name="asd 5 5 2 8" xfId="16840"/>
    <cellStyle name="asd 5 5 2 9" xfId="18747"/>
    <cellStyle name="asd 5 5 20" xfId="35556"/>
    <cellStyle name="asd 5 5 21" xfId="37435"/>
    <cellStyle name="asd 5 5 22" xfId="39240"/>
    <cellStyle name="asd 5 5 23" xfId="40917"/>
    <cellStyle name="asd 5 5 24" xfId="42489"/>
    <cellStyle name="asd 5 5 3" xfId="4682"/>
    <cellStyle name="asd 5 5 4" xfId="6129"/>
    <cellStyle name="asd 5 5 5" xfId="7580"/>
    <cellStyle name="asd 5 5 6" xfId="9490"/>
    <cellStyle name="asd 5 5 7" xfId="11022"/>
    <cellStyle name="asd 5 5 8" xfId="13153"/>
    <cellStyle name="asd 5 5 9" xfId="15058"/>
    <cellStyle name="asd 5 6" xfId="2188"/>
    <cellStyle name="asd 5 6 10" xfId="19030"/>
    <cellStyle name="asd 5 6 11" xfId="20942"/>
    <cellStyle name="asd 5 6 12" xfId="23883"/>
    <cellStyle name="asd 5 6 13" xfId="24744"/>
    <cellStyle name="asd 5 6 14" xfId="26932"/>
    <cellStyle name="asd 5 6 15" xfId="28537"/>
    <cellStyle name="asd 5 6 16" xfId="30526"/>
    <cellStyle name="asd 5 6 17" xfId="31872"/>
    <cellStyle name="asd 5 6 18" xfId="34774"/>
    <cellStyle name="asd 5 6 19" xfId="35571"/>
    <cellStyle name="asd 5 6 2" xfId="4225"/>
    <cellStyle name="asd 5 6 2 10" xfId="20528"/>
    <cellStyle name="asd 5 6 2 11" xfId="22769"/>
    <cellStyle name="asd 5 6 2 12" xfId="24330"/>
    <cellStyle name="asd 5 6 2 13" xfId="26867"/>
    <cellStyle name="asd 5 6 2 14" xfId="29238"/>
    <cellStyle name="asd 5 6 2 15" xfId="30463"/>
    <cellStyle name="asd 5 6 2 16" xfId="32867"/>
    <cellStyle name="asd 5 6 2 17" xfId="33496"/>
    <cellStyle name="asd 5 6 2 18" xfId="35158"/>
    <cellStyle name="asd 5 6 2 19" xfId="37036"/>
    <cellStyle name="asd 5 6 2 2" xfId="4223"/>
    <cellStyle name="asd 5 6 2 20" xfId="40073"/>
    <cellStyle name="asd 5 6 2 21" xfId="41737"/>
    <cellStyle name="asd 5 6 2 22" xfId="42564"/>
    <cellStyle name="asd 5 6 2 3" xfId="5397"/>
    <cellStyle name="asd 5 6 2 4" xfId="9090"/>
    <cellStyle name="asd 5 6 2 5" xfId="11551"/>
    <cellStyle name="asd 5 6 2 6" xfId="13238"/>
    <cellStyle name="asd 5 6 2 7" xfId="15141"/>
    <cellStyle name="asd 5 6 2 8" xfId="16709"/>
    <cellStyle name="asd 5 6 2 9" xfId="18616"/>
    <cellStyle name="asd 5 6 20" xfId="37450"/>
    <cellStyle name="asd 5 6 21" xfId="39107"/>
    <cellStyle name="asd 5 6 22" xfId="40788"/>
    <cellStyle name="asd 5 6 23" xfId="43633"/>
    <cellStyle name="asd 5 6 3" xfId="4696"/>
    <cellStyle name="asd 5 6 4" xfId="7595"/>
    <cellStyle name="asd 5 6 5" xfId="9505"/>
    <cellStyle name="asd 5 6 6" xfId="11569"/>
    <cellStyle name="asd 5 6 7" xfId="14353"/>
    <cellStyle name="asd 5 6 8" xfId="16258"/>
    <cellStyle name="asd 5 6 9" xfId="17124"/>
    <cellStyle name="asd 5 7" xfId="2343"/>
    <cellStyle name="asd 5 7 10" xfId="19056"/>
    <cellStyle name="asd 5 7 11" xfId="20968"/>
    <cellStyle name="asd 5 7 12" xfId="23172"/>
    <cellStyle name="asd 5 7 13" xfId="24770"/>
    <cellStyle name="asd 5 7 14" xfId="26724"/>
    <cellStyle name="asd 5 7 15" xfId="28183"/>
    <cellStyle name="asd 5 7 16" xfId="30324"/>
    <cellStyle name="asd 5 7 17" xfId="32903"/>
    <cellStyle name="asd 5 7 18" xfId="34129"/>
    <cellStyle name="asd 5 7 19" xfId="35597"/>
    <cellStyle name="asd 5 7 2" xfId="4509"/>
    <cellStyle name="asd 5 7 2 10" xfId="20754"/>
    <cellStyle name="asd 5 7 2 11" xfId="22361"/>
    <cellStyle name="asd 5 7 2 12" xfId="24556"/>
    <cellStyle name="asd 5 7 2 13" xfId="26556"/>
    <cellStyle name="asd 5 7 2 14" xfId="13189"/>
    <cellStyle name="asd 5 7 2 15" xfId="30161"/>
    <cellStyle name="asd 5 7 2 16" xfId="32676"/>
    <cellStyle name="asd 5 7 2 17" xfId="33445"/>
    <cellStyle name="asd 5 7 2 18" xfId="35384"/>
    <cellStyle name="asd 5 7 2 19" xfId="37262"/>
    <cellStyle name="asd 5 7 2 2" xfId="4562"/>
    <cellStyle name="asd 5 7 2 20" xfId="39883"/>
    <cellStyle name="asd 5 7 2 21" xfId="41552"/>
    <cellStyle name="asd 5 7 2 22" xfId="42173"/>
    <cellStyle name="asd 5 7 2 3" xfId="5308"/>
    <cellStyle name="asd 5 7 2 4" xfId="9316"/>
    <cellStyle name="asd 5 7 2 5" xfId="12340"/>
    <cellStyle name="asd 5 7 2 6" xfId="12828"/>
    <cellStyle name="asd 5 7 2 7" xfId="14733"/>
    <cellStyle name="asd 5 7 2 8" xfId="16935"/>
    <cellStyle name="asd 5 7 2 9" xfId="18842"/>
    <cellStyle name="asd 5 7 20" xfId="37476"/>
    <cellStyle name="asd 5 7 21" xfId="40107"/>
    <cellStyle name="asd 5 7 22" xfId="41767"/>
    <cellStyle name="asd 5 7 23" xfId="42950"/>
    <cellStyle name="asd 5 7 3" xfId="6170"/>
    <cellStyle name="asd 5 7 4" xfId="7621"/>
    <cellStyle name="asd 5 7 5" xfId="9531"/>
    <cellStyle name="asd 5 7 6" xfId="10992"/>
    <cellStyle name="asd 5 7 7" xfId="13643"/>
    <cellStyle name="asd 5 7 8" xfId="15546"/>
    <cellStyle name="asd 5 7 9" xfId="17150"/>
    <cellStyle name="asd 5 8" xfId="3065"/>
    <cellStyle name="asd 5 9" xfId="2786"/>
    <cellStyle name="asd 50" xfId="1057"/>
    <cellStyle name="asd 50 10" xfId="2704"/>
    <cellStyle name="asd 50 11" xfId="2758"/>
    <cellStyle name="asd 50 12" xfId="3160"/>
    <cellStyle name="asd 50 13" xfId="2708"/>
    <cellStyle name="asd 50 14" xfId="2104"/>
    <cellStyle name="asd 50 15" xfId="14691"/>
    <cellStyle name="asd 50 16" xfId="1821"/>
    <cellStyle name="asd 50 17" xfId="1789"/>
    <cellStyle name="asd 50 18" xfId="3197"/>
    <cellStyle name="asd 50 19" xfId="26744"/>
    <cellStyle name="asd 50 2" xfId="3456"/>
    <cellStyle name="asd 50 2 10" xfId="13617"/>
    <cellStyle name="asd 50 2 11" xfId="15520"/>
    <cellStyle name="asd 50 2 12" xfId="16853"/>
    <cellStyle name="asd 50 2 13" xfId="18760"/>
    <cellStyle name="asd 50 2 14" xfId="20672"/>
    <cellStyle name="asd 50 2 15" xfId="23146"/>
    <cellStyle name="asd 50 2 16" xfId="24474"/>
    <cellStyle name="asd 50 2 17" xfId="26680"/>
    <cellStyle name="asd 50 2 18" xfId="28346"/>
    <cellStyle name="asd 50 2 19" xfId="30280"/>
    <cellStyle name="asd 50 2 2" xfId="3636"/>
    <cellStyle name="asd 50 2 2 10" xfId="17527"/>
    <cellStyle name="asd 50 2 2 11" xfId="19433"/>
    <cellStyle name="asd 50 2 2 12" xfId="21345"/>
    <cellStyle name="asd 50 2 2 13" xfId="23894"/>
    <cellStyle name="asd 50 2 2 14" xfId="25147"/>
    <cellStyle name="asd 50 2 2 15" xfId="27431"/>
    <cellStyle name="asd 50 2 2 16" xfId="28664"/>
    <cellStyle name="asd 50 2 2 17" xfId="31017"/>
    <cellStyle name="asd 50 2 2 18" xfId="33199"/>
    <cellStyle name="asd 50 2 2 19" xfId="34935"/>
    <cellStyle name="asd 50 2 2 2" xfId="4601"/>
    <cellStyle name="asd 50 2 2 2 10" xfId="20846"/>
    <cellStyle name="asd 50 2 2 2 11" xfId="22589"/>
    <cellStyle name="asd 50 2 2 2 12" xfId="24648"/>
    <cellStyle name="asd 50 2 2 2 13" xfId="27863"/>
    <cellStyle name="asd 50 2 2 2 14" xfId="28665"/>
    <cellStyle name="asd 50 2 2 2 15" xfId="31443"/>
    <cellStyle name="asd 50 2 2 2 16" xfId="31728"/>
    <cellStyle name="asd 50 2 2 2 17" xfId="33818"/>
    <cellStyle name="asd 50 2 2 2 18" xfId="35476"/>
    <cellStyle name="asd 50 2 2 2 19" xfId="37354"/>
    <cellStyle name="asd 50 2 2 2 2" xfId="4175"/>
    <cellStyle name="asd 50 2 2 2 20" xfId="38969"/>
    <cellStyle name="asd 50 2 2 2 21" xfId="40652"/>
    <cellStyle name="asd 50 2 2 2 22" xfId="42398"/>
    <cellStyle name="asd 50 2 2 2 3" xfId="2937"/>
    <cellStyle name="asd 50 2 2 2 4" xfId="9408"/>
    <cellStyle name="asd 50 2 2 2 5" xfId="12624"/>
    <cellStyle name="asd 50 2 2 2 6" xfId="13057"/>
    <cellStyle name="asd 50 2 2 2 7" xfId="14961"/>
    <cellStyle name="asd 50 2 2 2 8" xfId="17027"/>
    <cellStyle name="asd 50 2 2 2 9" xfId="18934"/>
    <cellStyle name="asd 50 2 2 20" xfId="35974"/>
    <cellStyle name="asd 50 2 2 21" xfId="37853"/>
    <cellStyle name="asd 50 2 2 22" xfId="40389"/>
    <cellStyle name="asd 50 2 2 23" xfId="42045"/>
    <cellStyle name="asd 50 2 2 24" xfId="43643"/>
    <cellStyle name="asd 50 2 2 3" xfId="5097"/>
    <cellStyle name="asd 50 2 2 4" xfId="6547"/>
    <cellStyle name="asd 50 2 2 5" xfId="7998"/>
    <cellStyle name="asd 50 2 2 6" xfId="9908"/>
    <cellStyle name="asd 50 2 2 7" xfId="11853"/>
    <cellStyle name="asd 50 2 2 8" xfId="14363"/>
    <cellStyle name="asd 50 2 2 9" xfId="16269"/>
    <cellStyle name="asd 50 2 20" xfId="32447"/>
    <cellStyle name="asd 50 2 21" xfId="34009"/>
    <cellStyle name="asd 50 2 22" xfId="35302"/>
    <cellStyle name="asd 50 2 23" xfId="37180"/>
    <cellStyle name="asd 50 2 24" xfId="39664"/>
    <cellStyle name="asd 50 2 25" xfId="41338"/>
    <cellStyle name="asd 50 2 26" xfId="42924"/>
    <cellStyle name="asd 50 2 3" xfId="3814"/>
    <cellStyle name="asd 50 2 3 10" xfId="19545"/>
    <cellStyle name="asd 50 2 3 11" xfId="21457"/>
    <cellStyle name="asd 50 2 3 12" xfId="23037"/>
    <cellStyle name="asd 50 2 3 13" xfId="25259"/>
    <cellStyle name="asd 50 2 3 14" xfId="2416"/>
    <cellStyle name="asd 50 2 3 15" xfId="23544"/>
    <cellStyle name="asd 50 2 3 16" xfId="3316"/>
    <cellStyle name="asd 50 2 3 17" xfId="31592"/>
    <cellStyle name="asd 50 2 3 18" xfId="29132"/>
    <cellStyle name="asd 50 2 3 19" xfId="36086"/>
    <cellStyle name="asd 50 2 3 2" xfId="5815"/>
    <cellStyle name="asd 50 2 3 2 10" xfId="22065"/>
    <cellStyle name="asd 50 2 3 2 11" xfId="22892"/>
    <cellStyle name="asd 50 2 3 2 12" xfId="25867"/>
    <cellStyle name="asd 50 2 3 2 13" xfId="27252"/>
    <cellStyle name="asd 50 2 3 2 14" xfId="11560"/>
    <cellStyle name="asd 50 2 3 2 15" xfId="30843"/>
    <cellStyle name="asd 50 2 3 2 16" xfId="3038"/>
    <cellStyle name="asd 50 2 3 2 17" xfId="33195"/>
    <cellStyle name="asd 50 2 3 2 18" xfId="36694"/>
    <cellStyle name="asd 50 2 3 2 19" xfId="38573"/>
    <cellStyle name="asd 50 2 3 2 2" xfId="7264"/>
    <cellStyle name="asd 50 2 3 2 20" xfId="34638"/>
    <cellStyle name="asd 50 2 3 2 21" xfId="33333"/>
    <cellStyle name="asd 50 2 3 2 22" xfId="42678"/>
    <cellStyle name="asd 50 2 3 2 3" xfId="8718"/>
    <cellStyle name="asd 50 2 3 2 4" xfId="10628"/>
    <cellStyle name="asd 50 2 3 2 5" xfId="11282"/>
    <cellStyle name="asd 50 2 3 2 6" xfId="13360"/>
    <cellStyle name="asd 50 2 3 2 7" xfId="15265"/>
    <cellStyle name="asd 50 2 3 2 8" xfId="18247"/>
    <cellStyle name="asd 50 2 3 2 9" xfId="20153"/>
    <cellStyle name="asd 50 2 3 20" xfId="37965"/>
    <cellStyle name="asd 50 2 3 21" xfId="38839"/>
    <cellStyle name="asd 50 2 3 22" xfId="40525"/>
    <cellStyle name="asd 50 2 3 23" xfId="42820"/>
    <cellStyle name="asd 50 2 3 3" xfId="5209"/>
    <cellStyle name="asd 50 2 3 4" xfId="8110"/>
    <cellStyle name="asd 50 2 3 5" xfId="10020"/>
    <cellStyle name="asd 50 2 3 6" xfId="12632"/>
    <cellStyle name="asd 50 2 3 7" xfId="13507"/>
    <cellStyle name="asd 50 2 3 8" xfId="15411"/>
    <cellStyle name="asd 50 2 3 9" xfId="17639"/>
    <cellStyle name="asd 50 2 4" xfId="4088"/>
    <cellStyle name="asd 50 2 4 10" xfId="19723"/>
    <cellStyle name="asd 50 2 4 11" xfId="21635"/>
    <cellStyle name="asd 50 2 4 12" xfId="23781"/>
    <cellStyle name="asd 50 2 4 13" xfId="25437"/>
    <cellStyle name="asd 50 2 4 14" xfId="26378"/>
    <cellStyle name="asd 50 2 4 15" xfId="12794"/>
    <cellStyle name="asd 50 2 4 16" xfId="29986"/>
    <cellStyle name="asd 50 2 4 17" xfId="29342"/>
    <cellStyle name="asd 50 2 4 18" xfId="8968"/>
    <cellStyle name="asd 50 2 4 19" xfId="36264"/>
    <cellStyle name="asd 50 2 4 2" xfId="5993"/>
    <cellStyle name="asd 50 2 4 2 10" xfId="22243"/>
    <cellStyle name="asd 50 2 4 2 11" xfId="23611"/>
    <cellStyle name="asd 50 2 4 2 12" xfId="26045"/>
    <cellStyle name="asd 50 2 4 2 13" xfId="26385"/>
    <cellStyle name="asd 50 2 4 2 14" xfId="28429"/>
    <cellStyle name="asd 50 2 4 2 15" xfId="29993"/>
    <cellStyle name="asd 50 2 4 2 16" xfId="32967"/>
    <cellStyle name="asd 50 2 4 2 17" xfId="34521"/>
    <cellStyle name="asd 50 2 4 2 18" xfId="36872"/>
    <cellStyle name="asd 50 2 4 2 19" xfId="38751"/>
    <cellStyle name="asd 50 2 4 2 2" xfId="7442"/>
    <cellStyle name="asd 50 2 4 2 20" xfId="40168"/>
    <cellStyle name="asd 50 2 4 2 21" xfId="41827"/>
    <cellStyle name="asd 50 2 4 2 22" xfId="43369"/>
    <cellStyle name="asd 50 2 4 2 3" xfId="8896"/>
    <cellStyle name="asd 50 2 4 2 4" xfId="10806"/>
    <cellStyle name="asd 50 2 4 2 5" xfId="11539"/>
    <cellStyle name="asd 50 2 4 2 6" xfId="14081"/>
    <cellStyle name="asd 50 2 4 2 7" xfId="15984"/>
    <cellStyle name="asd 50 2 4 2 8" xfId="18425"/>
    <cellStyle name="asd 50 2 4 2 9" xfId="20331"/>
    <cellStyle name="asd 50 2 4 20" xfId="38143"/>
    <cellStyle name="asd 50 2 4 21" xfId="24244"/>
    <cellStyle name="asd 50 2 4 22" xfId="2397"/>
    <cellStyle name="asd 50 2 4 23" xfId="43534"/>
    <cellStyle name="asd 50 2 4 3" xfId="6834"/>
    <cellStyle name="asd 50 2 4 4" xfId="8288"/>
    <cellStyle name="asd 50 2 4 5" xfId="10198"/>
    <cellStyle name="asd 50 2 4 6" xfId="11528"/>
    <cellStyle name="asd 50 2 4 7" xfId="14251"/>
    <cellStyle name="asd 50 2 4 8" xfId="16155"/>
    <cellStyle name="asd 50 2 4 9" xfId="17817"/>
    <cellStyle name="asd 50 2 5" xfId="4942"/>
    <cellStyle name="asd 50 2 5 10" xfId="21190"/>
    <cellStyle name="asd 50 2 5 11" xfId="23276"/>
    <cellStyle name="asd 50 2 5 12" xfId="24992"/>
    <cellStyle name="asd 50 2 5 13" xfId="27554"/>
    <cellStyle name="asd 50 2 5 14" xfId="29714"/>
    <cellStyle name="asd 50 2 5 15" xfId="31134"/>
    <cellStyle name="asd 50 2 5 16" xfId="32076"/>
    <cellStyle name="asd 50 2 5 17" xfId="33600"/>
    <cellStyle name="asd 50 2 5 18" xfId="35819"/>
    <cellStyle name="asd 50 2 5 19" xfId="37698"/>
    <cellStyle name="asd 50 2 5 2" xfId="6392"/>
    <cellStyle name="asd 50 2 5 20" xfId="39300"/>
    <cellStyle name="asd 50 2 5 21" xfId="40976"/>
    <cellStyle name="asd 50 2 5 22" xfId="43052"/>
    <cellStyle name="asd 50 2 5 3" xfId="7843"/>
    <cellStyle name="asd 50 2 5 4" xfId="9753"/>
    <cellStyle name="asd 50 2 5 5" xfId="11218"/>
    <cellStyle name="asd 50 2 5 6" xfId="13748"/>
    <cellStyle name="asd 50 2 5 7" xfId="15650"/>
    <cellStyle name="asd 50 2 5 8" xfId="17372"/>
    <cellStyle name="asd 50 2 5 9" xfId="19278"/>
    <cellStyle name="asd 50 2 6" xfId="4282"/>
    <cellStyle name="asd 50 2 6 10" xfId="20599"/>
    <cellStyle name="asd 50 2 6 11" xfId="23841"/>
    <cellStyle name="asd 50 2 6 12" xfId="24401"/>
    <cellStyle name="asd 50 2 6 13" xfId="27463"/>
    <cellStyle name="asd 50 2 6 14" xfId="29457"/>
    <cellStyle name="asd 50 2 6 15" xfId="31050"/>
    <cellStyle name="asd 50 2 6 16" xfId="33173"/>
    <cellStyle name="asd 50 2 6 17" xfId="34224"/>
    <cellStyle name="asd 50 2 6 18" xfId="35229"/>
    <cellStyle name="asd 50 2 6 19" xfId="37107"/>
    <cellStyle name="asd 50 2 6 2" xfId="5424"/>
    <cellStyle name="asd 50 2 6 20" xfId="40364"/>
    <cellStyle name="asd 50 2 6 21" xfId="42020"/>
    <cellStyle name="asd 50 2 6 22" xfId="43592"/>
    <cellStyle name="asd 50 2 6 3" xfId="6245"/>
    <cellStyle name="asd 50 2 6 4" xfId="9161"/>
    <cellStyle name="asd 50 2 6 5" xfId="11704"/>
    <cellStyle name="asd 50 2 6 6" xfId="14311"/>
    <cellStyle name="asd 50 2 6 7" xfId="16215"/>
    <cellStyle name="asd 50 2 6 8" xfId="16780"/>
    <cellStyle name="asd 50 2 6 9" xfId="18687"/>
    <cellStyle name="asd 50 2 7" xfId="5355"/>
    <cellStyle name="asd 50 2 8" xfId="9234"/>
    <cellStyle name="asd 50 2 9" xfId="10931"/>
    <cellStyle name="asd 50 20" xfId="28839"/>
    <cellStyle name="asd 50 21" xfId="24212"/>
    <cellStyle name="asd 50 22" xfId="3745"/>
    <cellStyle name="asd 50 23" xfId="5335"/>
    <cellStyle name="asd 50 24" xfId="28534"/>
    <cellStyle name="asd 50 25" xfId="32059"/>
    <cellStyle name="asd 50 26" xfId="20422"/>
    <cellStyle name="asd 50 27" xfId="22350"/>
    <cellStyle name="asd 50 3" xfId="3398"/>
    <cellStyle name="asd 50 3 10" xfId="13572"/>
    <cellStyle name="asd 50 3 11" xfId="15475"/>
    <cellStyle name="asd 50 3 12" xfId="16739"/>
    <cellStyle name="asd 50 3 13" xfId="18646"/>
    <cellStyle name="asd 50 3 14" xfId="20558"/>
    <cellStyle name="asd 50 3 15" xfId="23101"/>
    <cellStyle name="asd 50 3 16" xfId="24360"/>
    <cellStyle name="asd 50 3 17" xfId="26229"/>
    <cellStyle name="asd 50 3 18" xfId="23603"/>
    <cellStyle name="asd 50 3 19" xfId="29839"/>
    <cellStyle name="asd 50 3 2" xfId="3578"/>
    <cellStyle name="asd 50 3 2 10" xfId="17469"/>
    <cellStyle name="asd 50 3 2 11" xfId="19375"/>
    <cellStyle name="asd 50 3 2 12" xfId="21287"/>
    <cellStyle name="asd 50 3 2 13" xfId="23402"/>
    <cellStyle name="asd 50 3 2 14" xfId="25089"/>
    <cellStyle name="asd 50 3 2 15" xfId="27107"/>
    <cellStyle name="asd 50 3 2 16" xfId="28647"/>
    <cellStyle name="asd 50 3 2 17" xfId="30698"/>
    <cellStyle name="asd 50 3 2 18" xfId="31759"/>
    <cellStyle name="asd 50 3 2 19" xfId="34432"/>
    <cellStyle name="asd 50 3 2 2" xfId="4411"/>
    <cellStyle name="asd 50 3 2 2 10" xfId="20655"/>
    <cellStyle name="asd 50 3 2 2 11" xfId="22431"/>
    <cellStyle name="asd 50 3 2 2 12" xfId="24457"/>
    <cellStyle name="asd 50 3 2 2 13" xfId="26913"/>
    <cellStyle name="asd 50 3 2 2 14" xfId="28292"/>
    <cellStyle name="asd 50 3 2 2 15" xfId="30509"/>
    <cellStyle name="asd 50 3 2 2 16" xfId="33309"/>
    <cellStyle name="asd 50 3 2 2 17" xfId="35019"/>
    <cellStyle name="asd 50 3 2 2 18" xfId="35285"/>
    <cellStyle name="asd 50 3 2 2 19" xfId="37163"/>
    <cellStyle name="asd 50 3 2 2 2" xfId="5323"/>
    <cellStyle name="asd 50 3 2 2 20" xfId="40491"/>
    <cellStyle name="asd 50 3 2 2 21" xfId="42144"/>
    <cellStyle name="asd 50 3 2 2 22" xfId="42242"/>
    <cellStyle name="asd 50 3 2 2 3" xfId="6713"/>
    <cellStyle name="asd 50 3 2 2 4" xfId="9217"/>
    <cellStyle name="asd 50 3 2 2 5" xfId="11288"/>
    <cellStyle name="asd 50 3 2 2 6" xfId="12899"/>
    <cellStyle name="asd 50 3 2 2 7" xfId="14804"/>
    <cellStyle name="asd 50 3 2 2 8" xfId="16836"/>
    <cellStyle name="asd 50 3 2 2 9" xfId="18743"/>
    <cellStyle name="asd 50 3 2 20" xfId="35916"/>
    <cellStyle name="asd 50 3 2 21" xfId="37795"/>
    <cellStyle name="asd 50 3 2 22" xfId="38999"/>
    <cellStyle name="asd 50 3 2 23" xfId="40682"/>
    <cellStyle name="asd 50 3 2 24" xfId="43169"/>
    <cellStyle name="asd 50 3 2 3" xfId="5039"/>
    <cellStyle name="asd 50 3 2 4" xfId="6489"/>
    <cellStyle name="asd 50 3 2 5" xfId="7940"/>
    <cellStyle name="asd 50 3 2 6" xfId="9850"/>
    <cellStyle name="asd 50 3 2 7" xfId="12300"/>
    <cellStyle name="asd 50 3 2 8" xfId="13874"/>
    <cellStyle name="asd 50 3 2 9" xfId="15775"/>
    <cellStyle name="asd 50 3 20" xfId="32328"/>
    <cellStyle name="asd 50 3 21" xfId="34988"/>
    <cellStyle name="asd 50 3 22" xfId="35188"/>
    <cellStyle name="asd 50 3 23" xfId="37066"/>
    <cellStyle name="asd 50 3 24" xfId="39547"/>
    <cellStyle name="asd 50 3 25" xfId="41221"/>
    <cellStyle name="asd 50 3 26" xfId="42881"/>
    <cellStyle name="asd 50 3 3" xfId="3805"/>
    <cellStyle name="asd 50 3 3 10" xfId="19538"/>
    <cellStyle name="asd 50 3 3 11" xfId="21450"/>
    <cellStyle name="asd 50 3 3 12" xfId="23543"/>
    <cellStyle name="asd 50 3 3 13" xfId="25252"/>
    <cellStyle name="asd 50 3 3 14" xfId="27066"/>
    <cellStyle name="asd 50 3 3 15" xfId="29319"/>
    <cellStyle name="asd 50 3 3 16" xfId="30657"/>
    <cellStyle name="asd 50 3 3 17" xfId="31634"/>
    <cellStyle name="asd 50 3 3 18" xfId="34834"/>
    <cellStyle name="asd 50 3 3 19" xfId="36079"/>
    <cellStyle name="asd 50 3 3 2" xfId="5808"/>
    <cellStyle name="asd 50 3 3 2 10" xfId="22058"/>
    <cellStyle name="asd 50 3 3 2 11" xfId="22515"/>
    <cellStyle name="asd 50 3 3 2 12" xfId="25860"/>
    <cellStyle name="asd 50 3 3 2 13" xfId="9012"/>
    <cellStyle name="asd 50 3 3 2 14" xfId="2893"/>
    <cellStyle name="asd 50 3 3 2 15" xfId="28495"/>
    <cellStyle name="asd 50 3 3 2 16" xfId="14683"/>
    <cellStyle name="asd 50 3 3 2 17" xfId="32043"/>
    <cellStyle name="asd 50 3 3 2 18" xfId="36687"/>
    <cellStyle name="asd 50 3 3 2 19" xfId="38566"/>
    <cellStyle name="asd 50 3 3 2 2" xfId="7257"/>
    <cellStyle name="asd 50 3 3 2 20" xfId="36955"/>
    <cellStyle name="asd 50 3 3 2 21" xfId="8976"/>
    <cellStyle name="asd 50 3 3 2 22" xfId="42325"/>
    <cellStyle name="asd 50 3 3 2 3" xfId="8711"/>
    <cellStyle name="asd 50 3 3 2 4" xfId="10621"/>
    <cellStyle name="asd 50 3 3 2 5" xfId="2182"/>
    <cellStyle name="asd 50 3 3 2 6" xfId="12983"/>
    <cellStyle name="asd 50 3 3 2 7" xfId="14887"/>
    <cellStyle name="asd 50 3 3 2 8" xfId="18240"/>
    <cellStyle name="asd 50 3 3 2 9" xfId="20146"/>
    <cellStyle name="asd 50 3 3 20" xfId="37958"/>
    <cellStyle name="asd 50 3 3 21" xfId="38881"/>
    <cellStyle name="asd 50 3 3 22" xfId="40566"/>
    <cellStyle name="asd 50 3 3 23" xfId="43308"/>
    <cellStyle name="asd 50 3 3 3" xfId="5202"/>
    <cellStyle name="asd 50 3 3 4" xfId="8103"/>
    <cellStyle name="asd 50 3 3 5" xfId="10013"/>
    <cellStyle name="asd 50 3 3 6" xfId="12548"/>
    <cellStyle name="asd 50 3 3 7" xfId="14015"/>
    <cellStyle name="asd 50 3 3 8" xfId="15916"/>
    <cellStyle name="asd 50 3 3 9" xfId="17632"/>
    <cellStyle name="asd 50 3 4" xfId="4030"/>
    <cellStyle name="asd 50 3 4 10" xfId="19665"/>
    <cellStyle name="asd 50 3 4 11" xfId="21577"/>
    <cellStyle name="asd 50 3 4 12" xfId="23250"/>
    <cellStyle name="asd 50 3 4 13" xfId="25379"/>
    <cellStyle name="asd 50 3 4 14" xfId="27869"/>
    <cellStyle name="asd 50 3 4 15" xfId="29293"/>
    <cellStyle name="asd 50 3 4 16" xfId="31450"/>
    <cellStyle name="asd 50 3 4 17" xfId="33293"/>
    <cellStyle name="asd 50 3 4 18" xfId="34716"/>
    <cellStyle name="asd 50 3 4 19" xfId="36206"/>
    <cellStyle name="asd 50 3 4 2" xfId="5935"/>
    <cellStyle name="asd 50 3 4 2 10" xfId="22185"/>
    <cellStyle name="asd 50 3 4 2 11" xfId="23548"/>
    <cellStyle name="asd 50 3 4 2 12" xfId="25987"/>
    <cellStyle name="asd 50 3 4 2 13" xfId="27382"/>
    <cellStyle name="asd 50 3 4 2 14" xfId="29502"/>
    <cellStyle name="asd 50 3 4 2 15" xfId="30968"/>
    <cellStyle name="asd 50 3 4 2 16" xfId="32783"/>
    <cellStyle name="asd 50 3 4 2 17" xfId="34720"/>
    <cellStyle name="asd 50 3 4 2 18" xfId="36814"/>
    <cellStyle name="asd 50 3 4 2 19" xfId="38693"/>
    <cellStyle name="asd 50 3 4 2 2" xfId="7384"/>
    <cellStyle name="asd 50 3 4 2 20" xfId="39992"/>
    <cellStyle name="asd 50 3 4 2 21" xfId="41656"/>
    <cellStyle name="asd 50 3 4 2 22" xfId="43312"/>
    <cellStyle name="asd 50 3 4 2 3" xfId="8838"/>
    <cellStyle name="asd 50 3 4 2 4" xfId="10748"/>
    <cellStyle name="asd 50 3 4 2 5" xfId="12502"/>
    <cellStyle name="asd 50 3 4 2 6" xfId="14020"/>
    <cellStyle name="asd 50 3 4 2 7" xfId="15921"/>
    <cellStyle name="asd 50 3 4 2 8" xfId="18367"/>
    <cellStyle name="asd 50 3 4 2 9" xfId="20273"/>
    <cellStyle name="asd 50 3 4 20" xfId="38085"/>
    <cellStyle name="asd 50 3 4 21" xfId="40477"/>
    <cellStyle name="asd 50 3 4 22" xfId="42132"/>
    <cellStyle name="asd 50 3 4 23" xfId="43027"/>
    <cellStyle name="asd 50 3 4 3" xfId="6776"/>
    <cellStyle name="asd 50 3 4 4" xfId="8230"/>
    <cellStyle name="asd 50 3 4 5" xfId="10140"/>
    <cellStyle name="asd 50 3 4 6" xfId="11161"/>
    <cellStyle name="asd 50 3 4 7" xfId="13722"/>
    <cellStyle name="asd 50 3 4 8" xfId="15624"/>
    <cellStyle name="asd 50 3 4 9" xfId="17759"/>
    <cellStyle name="asd 50 3 5" xfId="4897"/>
    <cellStyle name="asd 50 3 5 10" xfId="21145"/>
    <cellStyle name="asd 50 3 5 11" xfId="23998"/>
    <cellStyle name="asd 50 3 5 12" xfId="24947"/>
    <cellStyle name="asd 50 3 5 13" xfId="27615"/>
    <cellStyle name="asd 50 3 5 14" xfId="28496"/>
    <cellStyle name="asd 50 3 5 15" xfId="31193"/>
    <cellStyle name="asd 50 3 5 16" xfId="32183"/>
    <cellStyle name="asd 50 3 5 17" xfId="34597"/>
    <cellStyle name="asd 50 3 5 18" xfId="35774"/>
    <cellStyle name="asd 50 3 5 19" xfId="37653"/>
    <cellStyle name="asd 50 3 5 2" xfId="6347"/>
    <cellStyle name="asd 50 3 5 20" xfId="39405"/>
    <cellStyle name="asd 50 3 5 21" xfId="41081"/>
    <cellStyle name="asd 50 3 5 22" xfId="43742"/>
    <cellStyle name="asd 50 3 5 3" xfId="7798"/>
    <cellStyle name="asd 50 3 5 4" xfId="9708"/>
    <cellStyle name="asd 50 3 5 5" xfId="11957"/>
    <cellStyle name="asd 50 3 5 6" xfId="14468"/>
    <cellStyle name="asd 50 3 5 7" xfId="16374"/>
    <cellStyle name="asd 50 3 5 8" xfId="17327"/>
    <cellStyle name="asd 50 3 5 9" xfId="19233"/>
    <cellStyle name="asd 50 3 6" xfId="5701"/>
    <cellStyle name="asd 50 3 6 10" xfId="21951"/>
    <cellStyle name="asd 50 3 6 11" xfId="23724"/>
    <cellStyle name="asd 50 3 6 12" xfId="25753"/>
    <cellStyle name="asd 50 3 6 13" xfId="27641"/>
    <cellStyle name="asd 50 3 6 14" xfId="28876"/>
    <cellStyle name="asd 50 3 6 15" xfId="31218"/>
    <cellStyle name="asd 50 3 6 16" xfId="31673"/>
    <cellStyle name="asd 50 3 6 17" xfId="34917"/>
    <cellStyle name="asd 50 3 6 18" xfId="36580"/>
    <cellStyle name="asd 50 3 6 19" xfId="38459"/>
    <cellStyle name="asd 50 3 6 2" xfId="7150"/>
    <cellStyle name="asd 50 3 6 20" xfId="38917"/>
    <cellStyle name="asd 50 3 6 21" xfId="40601"/>
    <cellStyle name="asd 50 3 6 22" xfId="43479"/>
    <cellStyle name="asd 50 3 6 3" xfId="8604"/>
    <cellStyle name="asd 50 3 6 4" xfId="10514"/>
    <cellStyle name="asd 50 3 6 5" xfId="11604"/>
    <cellStyle name="asd 50 3 6 6" xfId="14194"/>
    <cellStyle name="asd 50 3 6 7" xfId="16098"/>
    <cellStyle name="asd 50 3 6 8" xfId="18133"/>
    <cellStyle name="asd 50 3 6 9" xfId="20039"/>
    <cellStyle name="asd 50 3 7" xfId="6223"/>
    <cellStyle name="asd 50 3 8" xfId="9120"/>
    <cellStyle name="asd 50 3 9" xfId="12714"/>
    <cellStyle name="asd 50 4" xfId="3485"/>
    <cellStyle name="asd 50 4 10" xfId="2033"/>
    <cellStyle name="asd 50 4 11" xfId="16921"/>
    <cellStyle name="asd 50 4 12" xfId="18828"/>
    <cellStyle name="asd 50 4 13" xfId="20740"/>
    <cellStyle name="asd 50 4 14" xfId="2088"/>
    <cellStyle name="asd 50 4 15" xfId="24542"/>
    <cellStyle name="asd 50 4 16" xfId="2983"/>
    <cellStyle name="asd 50 4 17" xfId="11268"/>
    <cellStyle name="asd 50 4 18" xfId="3177"/>
    <cellStyle name="asd 50 4 19" xfId="22697"/>
    <cellStyle name="asd 50 4 2" xfId="3665"/>
    <cellStyle name="asd 50 4 2 10" xfId="17556"/>
    <cellStyle name="asd 50 4 2 11" xfId="19462"/>
    <cellStyle name="asd 50 4 2 12" xfId="21374"/>
    <cellStyle name="asd 50 4 2 13" xfId="24082"/>
    <cellStyle name="asd 50 4 2 14" xfId="25176"/>
    <cellStyle name="asd 50 4 2 15" xfId="27719"/>
    <cellStyle name="asd 50 4 2 16" xfId="23903"/>
    <cellStyle name="asd 50 4 2 17" xfId="31297"/>
    <cellStyle name="asd 50 4 2 18" xfId="33316"/>
    <cellStyle name="asd 50 4 2 19" xfId="28959"/>
    <cellStyle name="asd 50 4 2 2" xfId="4417"/>
    <cellStyle name="asd 50 4 2 2 10" xfId="20661"/>
    <cellStyle name="asd 50 4 2 2 11" xfId="23364"/>
    <cellStyle name="asd 50 4 2 2 12" xfId="24463"/>
    <cellStyle name="asd 50 4 2 2 13" xfId="26237"/>
    <cellStyle name="asd 50 4 2 2 14" xfId="28465"/>
    <cellStyle name="asd 50 4 2 2 15" xfId="29847"/>
    <cellStyle name="asd 50 4 2 2 16" xfId="31598"/>
    <cellStyle name="asd 50 4 2 2 17" xfId="33881"/>
    <cellStyle name="asd 50 4 2 2 18" xfId="35291"/>
    <cellStyle name="asd 50 4 2 2 19" xfId="37169"/>
    <cellStyle name="asd 50 4 2 2 2" xfId="3929"/>
    <cellStyle name="asd 50 4 2 2 20" xfId="38845"/>
    <cellStyle name="asd 50 4 2 2 21" xfId="40531"/>
    <cellStyle name="asd 50 4 2 2 22" xfId="43134"/>
    <cellStyle name="asd 50 4 2 2 3" xfId="2752"/>
    <cellStyle name="asd 50 4 2 2 4" xfId="9223"/>
    <cellStyle name="asd 50 4 2 2 5" xfId="12427"/>
    <cellStyle name="asd 50 4 2 2 6" xfId="13836"/>
    <cellStyle name="asd 50 4 2 2 7" xfId="15738"/>
    <cellStyle name="asd 50 4 2 2 8" xfId="16842"/>
    <cellStyle name="asd 50 4 2 2 9" xfId="18749"/>
    <cellStyle name="asd 50 4 2 20" xfId="36003"/>
    <cellStyle name="asd 50 4 2 21" xfId="37882"/>
    <cellStyle name="asd 50 4 2 22" xfId="40496"/>
    <cellStyle name="asd 50 4 2 23" xfId="42149"/>
    <cellStyle name="asd 50 4 2 24" xfId="43826"/>
    <cellStyle name="asd 50 4 2 3" xfId="5126"/>
    <cellStyle name="asd 50 4 2 4" xfId="6576"/>
    <cellStyle name="asd 50 4 2 5" xfId="8027"/>
    <cellStyle name="asd 50 4 2 6" xfId="9937"/>
    <cellStyle name="asd 50 4 2 7" xfId="12041"/>
    <cellStyle name="asd 50 4 2 8" xfId="14552"/>
    <cellStyle name="asd 50 4 2 9" xfId="16458"/>
    <cellStyle name="asd 50 4 20" xfId="27286"/>
    <cellStyle name="asd 50 4 21" xfId="35370"/>
    <cellStyle name="asd 50 4 22" xfId="37248"/>
    <cellStyle name="asd 50 4 23" xfId="32040"/>
    <cellStyle name="asd 50 4 24" xfId="29123"/>
    <cellStyle name="asd 50 4 25" xfId="2549"/>
    <cellStyle name="asd 50 4 3" xfId="3874"/>
    <cellStyle name="asd 50 4 3 10" xfId="19585"/>
    <cellStyle name="asd 50 4 3 11" xfId="21497"/>
    <cellStyle name="asd 50 4 3 12" xfId="22641"/>
    <cellStyle name="asd 50 4 3 13" xfId="25299"/>
    <cellStyle name="asd 50 4 3 14" xfId="27279"/>
    <cellStyle name="asd 50 4 3 15" xfId="29130"/>
    <cellStyle name="asd 50 4 3 16" xfId="30871"/>
    <cellStyle name="asd 50 4 3 17" xfId="33081"/>
    <cellStyle name="asd 50 4 3 18" xfId="34608"/>
    <cellStyle name="asd 50 4 3 19" xfId="36126"/>
    <cellStyle name="asd 50 4 3 2" xfId="5855"/>
    <cellStyle name="asd 50 4 3 2 10" xfId="22105"/>
    <cellStyle name="asd 50 4 3 2 11" xfId="23165"/>
    <cellStyle name="asd 50 4 3 2 12" xfId="25907"/>
    <cellStyle name="asd 50 4 3 2 13" xfId="26383"/>
    <cellStyle name="asd 50 4 3 2 14" xfId="29559"/>
    <cellStyle name="asd 50 4 3 2 15" xfId="29991"/>
    <cellStyle name="asd 50 4 3 2 16" xfId="32777"/>
    <cellStyle name="asd 50 4 3 2 17" xfId="34414"/>
    <cellStyle name="asd 50 4 3 2 18" xfId="36734"/>
    <cellStyle name="asd 50 4 3 2 19" xfId="38613"/>
    <cellStyle name="asd 50 4 3 2 2" xfId="7304"/>
    <cellStyle name="asd 50 4 3 2 20" xfId="39986"/>
    <cellStyle name="asd 50 4 3 2 21" xfId="41650"/>
    <cellStyle name="asd 50 4 3 2 22" xfId="42943"/>
    <cellStyle name="asd 50 4 3 2 3" xfId="8758"/>
    <cellStyle name="asd 50 4 3 2 4" xfId="10668"/>
    <cellStyle name="asd 50 4 3 2 5" xfId="10977"/>
    <cellStyle name="asd 50 4 3 2 6" xfId="13636"/>
    <cellStyle name="asd 50 4 3 2 7" xfId="15539"/>
    <cellStyle name="asd 50 4 3 2 8" xfId="18287"/>
    <cellStyle name="asd 50 4 3 2 9" xfId="20193"/>
    <cellStyle name="asd 50 4 3 20" xfId="38005"/>
    <cellStyle name="asd 50 4 3 21" xfId="40277"/>
    <cellStyle name="asd 50 4 3 22" xfId="41933"/>
    <cellStyle name="asd 50 4 3 23" xfId="42447"/>
    <cellStyle name="asd 50 4 3 3" xfId="5249"/>
    <cellStyle name="asd 50 4 3 4" xfId="8150"/>
    <cellStyle name="asd 50 4 3 5" xfId="10060"/>
    <cellStyle name="asd 50 4 3 6" xfId="1769"/>
    <cellStyle name="asd 50 4 3 7" xfId="13108"/>
    <cellStyle name="asd 50 4 3 8" xfId="15013"/>
    <cellStyle name="asd 50 4 3 9" xfId="17679"/>
    <cellStyle name="asd 50 4 4" xfId="4117"/>
    <cellStyle name="asd 50 4 4 10" xfId="19752"/>
    <cellStyle name="asd 50 4 4 11" xfId="21664"/>
    <cellStyle name="asd 50 4 4 12" xfId="22426"/>
    <cellStyle name="asd 50 4 4 13" xfId="25466"/>
    <cellStyle name="asd 50 4 4 14" xfId="27317"/>
    <cellStyle name="asd 50 4 4 15" xfId="3300"/>
    <cellStyle name="asd 50 4 4 16" xfId="30907"/>
    <cellStyle name="asd 50 4 4 17" xfId="31317"/>
    <cellStyle name="asd 50 4 4 18" xfId="14745"/>
    <cellStyle name="asd 50 4 4 19" xfId="36293"/>
    <cellStyle name="asd 50 4 4 2" xfId="6022"/>
    <cellStyle name="asd 50 4 4 2 10" xfId="22272"/>
    <cellStyle name="asd 50 4 4 2 11" xfId="23799"/>
    <cellStyle name="asd 50 4 4 2 12" xfId="26074"/>
    <cellStyle name="asd 50 4 4 2 13" xfId="26616"/>
    <cellStyle name="asd 50 4 4 2 14" xfId="27997"/>
    <cellStyle name="asd 50 4 4 2 15" xfId="30219"/>
    <cellStyle name="asd 50 4 4 2 16" xfId="13464"/>
    <cellStyle name="asd 50 4 4 2 17" xfId="4346"/>
    <cellStyle name="asd 50 4 4 2 18" xfId="36901"/>
    <cellStyle name="asd 50 4 4 2 19" xfId="38780"/>
    <cellStyle name="asd 50 4 4 2 2" xfId="7471"/>
    <cellStyle name="asd 50 4 4 2 20" xfId="31159"/>
    <cellStyle name="asd 50 4 4 2 21" xfId="36950"/>
    <cellStyle name="asd 50 4 4 2 22" xfId="43551"/>
    <cellStyle name="asd 50 4 4 2 3" xfId="8925"/>
    <cellStyle name="asd 50 4 4 2 4" xfId="10835"/>
    <cellStyle name="asd 50 4 4 2 5" xfId="11679"/>
    <cellStyle name="asd 50 4 4 2 6" xfId="14269"/>
    <cellStyle name="asd 50 4 4 2 7" xfId="16173"/>
    <cellStyle name="asd 50 4 4 2 8" xfId="18454"/>
    <cellStyle name="asd 50 4 4 2 9" xfId="20360"/>
    <cellStyle name="asd 50 4 4 20" xfId="38172"/>
    <cellStyle name="asd 50 4 4 21" xfId="31445"/>
    <cellStyle name="asd 50 4 4 22" xfId="39269"/>
    <cellStyle name="asd 50 4 4 23" xfId="42237"/>
    <cellStyle name="asd 50 4 4 3" xfId="6863"/>
    <cellStyle name="asd 50 4 4 4" xfId="8317"/>
    <cellStyle name="asd 50 4 4 5" xfId="10227"/>
    <cellStyle name="asd 50 4 4 6" xfId="11565"/>
    <cellStyle name="asd 50 4 4 7" xfId="12893"/>
    <cellStyle name="asd 50 4 4 8" xfId="14798"/>
    <cellStyle name="asd 50 4 4 9" xfId="17846"/>
    <cellStyle name="asd 50 4 5" xfId="5492"/>
    <cellStyle name="asd 50 4 5 10" xfId="21742"/>
    <cellStyle name="asd 50 4 5 11" xfId="23179"/>
    <cellStyle name="asd 50 4 5 12" xfId="25544"/>
    <cellStyle name="asd 50 4 5 13" xfId="26708"/>
    <cellStyle name="asd 50 4 5 14" xfId="29651"/>
    <cellStyle name="asd 50 4 5 15" xfId="30308"/>
    <cellStyle name="asd 50 4 5 16" xfId="33180"/>
    <cellStyle name="asd 50 4 5 17" xfId="33695"/>
    <cellStyle name="asd 50 4 5 18" xfId="36371"/>
    <cellStyle name="asd 50 4 5 19" xfId="38250"/>
    <cellStyle name="asd 50 4 5 2" xfId="6941"/>
    <cellStyle name="asd 50 4 5 20" xfId="40371"/>
    <cellStyle name="asd 50 4 5 21" xfId="42027"/>
    <cellStyle name="asd 50 4 5 22" xfId="42957"/>
    <cellStyle name="asd 50 4 5 3" xfId="8395"/>
    <cellStyle name="asd 50 4 5 4" xfId="10305"/>
    <cellStyle name="asd 50 4 5 5" xfId="11010"/>
    <cellStyle name="asd 50 4 5 6" xfId="13650"/>
    <cellStyle name="asd 50 4 5 7" xfId="15553"/>
    <cellStyle name="asd 50 4 5 8" xfId="17924"/>
    <cellStyle name="asd 50 4 5 9" xfId="19830"/>
    <cellStyle name="asd 50 4 6" xfId="4257"/>
    <cellStyle name="asd 50 4 7" xfId="9302"/>
    <cellStyle name="asd 50 4 8" xfId="12444"/>
    <cellStyle name="asd 50 4 9" xfId="3181"/>
    <cellStyle name="asd 50 5" xfId="2311"/>
    <cellStyle name="asd 50 5 10" xfId="17144"/>
    <cellStyle name="asd 50 5 11" xfId="19050"/>
    <cellStyle name="asd 50 5 12" xfId="20962"/>
    <cellStyle name="asd 50 5 13" xfId="23034"/>
    <cellStyle name="asd 50 5 14" xfId="24764"/>
    <cellStyle name="asd 50 5 15" xfId="27387"/>
    <cellStyle name="asd 50 5 16" xfId="28080"/>
    <cellStyle name="asd 50 5 17" xfId="30973"/>
    <cellStyle name="asd 50 5 18" xfId="32212"/>
    <cellStyle name="asd 50 5 19" xfId="34182"/>
    <cellStyle name="asd 50 5 2" xfId="5626"/>
    <cellStyle name="asd 50 5 2 10" xfId="21876"/>
    <cellStyle name="asd 50 5 2 11" xfId="22759"/>
    <cellStyle name="asd 50 5 2 12" xfId="25678"/>
    <cellStyle name="asd 50 5 2 13" xfId="26314"/>
    <cellStyle name="asd 50 5 2 14" xfId="28192"/>
    <cellStyle name="asd 50 5 2 15" xfId="29922"/>
    <cellStyle name="asd 50 5 2 16" xfId="32121"/>
    <cellStyle name="asd 50 5 2 17" xfId="33861"/>
    <cellStyle name="asd 50 5 2 18" xfId="36505"/>
    <cellStyle name="asd 50 5 2 19" xfId="38384"/>
    <cellStyle name="asd 50 5 2 2" xfId="7075"/>
    <cellStyle name="asd 50 5 2 20" xfId="39345"/>
    <cellStyle name="asd 50 5 2 21" xfId="41021"/>
    <cellStyle name="asd 50 5 2 22" xfId="42556"/>
    <cellStyle name="asd 50 5 2 3" xfId="8529"/>
    <cellStyle name="asd 50 5 2 4" xfId="10439"/>
    <cellStyle name="asd 50 5 2 5" xfId="11684"/>
    <cellStyle name="asd 50 5 2 6" xfId="13228"/>
    <cellStyle name="asd 50 5 2 7" xfId="15131"/>
    <cellStyle name="asd 50 5 2 8" xfId="18058"/>
    <cellStyle name="asd 50 5 2 9" xfId="19964"/>
    <cellStyle name="asd 50 5 20" xfId="35591"/>
    <cellStyle name="asd 50 5 21" xfId="37470"/>
    <cellStyle name="asd 50 5 22" xfId="39432"/>
    <cellStyle name="asd 50 5 23" xfId="41108"/>
    <cellStyle name="asd 50 5 24" xfId="42817"/>
    <cellStyle name="asd 50 5 3" xfId="4716"/>
    <cellStyle name="asd 50 5 4" xfId="6164"/>
    <cellStyle name="asd 50 5 5" xfId="7615"/>
    <cellStyle name="asd 50 5 6" xfId="9525"/>
    <cellStyle name="asd 50 5 7" xfId="12628"/>
    <cellStyle name="asd 50 5 8" xfId="13504"/>
    <cellStyle name="asd 50 5 9" xfId="15408"/>
    <cellStyle name="asd 50 6" xfId="2087"/>
    <cellStyle name="asd 50 6 10" xfId="19014"/>
    <cellStyle name="asd 50 6 11" xfId="20926"/>
    <cellStyle name="asd 50 6 12" xfId="23290"/>
    <cellStyle name="asd 50 6 13" xfId="24728"/>
    <cellStyle name="asd 50 6 14" xfId="27448"/>
    <cellStyle name="asd 50 6 15" xfId="29501"/>
    <cellStyle name="asd 50 6 16" xfId="31035"/>
    <cellStyle name="asd 50 6 17" xfId="32062"/>
    <cellStyle name="asd 50 6 18" xfId="34927"/>
    <cellStyle name="asd 50 6 19" xfId="35555"/>
    <cellStyle name="asd 50 6 2" xfId="4597"/>
    <cellStyle name="asd 50 6 2 10" xfId="20842"/>
    <cellStyle name="asd 50 6 2 11" xfId="22435"/>
    <cellStyle name="asd 50 6 2 12" xfId="24644"/>
    <cellStyle name="asd 50 6 2 13" xfId="26563"/>
    <cellStyle name="asd 50 6 2 14" xfId="28747"/>
    <cellStyle name="asd 50 6 2 15" xfId="30166"/>
    <cellStyle name="asd 50 6 2 16" xfId="32278"/>
    <cellStyle name="asd 50 6 2 17" xfId="34613"/>
    <cellStyle name="asd 50 6 2 18" xfId="35472"/>
    <cellStyle name="asd 50 6 2 19" xfId="37350"/>
    <cellStyle name="asd 50 6 2 2" xfId="1972"/>
    <cellStyle name="asd 50 6 2 20" xfId="39497"/>
    <cellStyle name="asd 50 6 2 21" xfId="41172"/>
    <cellStyle name="asd 50 6 2 22" xfId="42246"/>
    <cellStyle name="asd 50 6 2 3" xfId="2711"/>
    <cellStyle name="asd 50 6 2 4" xfId="9404"/>
    <cellStyle name="asd 50 6 2 5" xfId="11410"/>
    <cellStyle name="asd 50 6 2 6" xfId="12903"/>
    <cellStyle name="asd 50 6 2 7" xfId="14808"/>
    <cellStyle name="asd 50 6 2 8" xfId="17023"/>
    <cellStyle name="asd 50 6 2 9" xfId="18930"/>
    <cellStyle name="asd 50 6 20" xfId="37434"/>
    <cellStyle name="asd 50 6 21" xfId="39288"/>
    <cellStyle name="asd 50 6 22" xfId="40964"/>
    <cellStyle name="asd 50 6 23" xfId="43065"/>
    <cellStyle name="asd 50 6 3" xfId="4681"/>
    <cellStyle name="asd 50 6 4" xfId="7579"/>
    <cellStyle name="asd 50 6 5" xfId="9489"/>
    <cellStyle name="asd 50 6 6" xfId="11249"/>
    <cellStyle name="asd 50 6 7" xfId="13762"/>
    <cellStyle name="asd 50 6 8" xfId="15664"/>
    <cellStyle name="asd 50 6 9" xfId="17108"/>
    <cellStyle name="asd 50 7" xfId="2763"/>
    <cellStyle name="asd 50 7 10" xfId="19105"/>
    <cellStyle name="asd 50 7 11" xfId="21017"/>
    <cellStyle name="asd 50 7 12" xfId="22379"/>
    <cellStyle name="asd 50 7 13" xfId="24819"/>
    <cellStyle name="asd 50 7 14" xfId="27508"/>
    <cellStyle name="asd 50 7 15" xfId="29585"/>
    <cellStyle name="asd 50 7 16" xfId="31093"/>
    <cellStyle name="asd 50 7 17" xfId="32427"/>
    <cellStyle name="asd 50 7 18" xfId="34332"/>
    <cellStyle name="asd 50 7 19" xfId="35646"/>
    <cellStyle name="asd 50 7 2" xfId="5721"/>
    <cellStyle name="asd 50 7 2 10" xfId="21971"/>
    <cellStyle name="asd 50 7 2 11" xfId="22896"/>
    <cellStyle name="asd 50 7 2 12" xfId="25773"/>
    <cellStyle name="asd 50 7 2 13" xfId="26969"/>
    <cellStyle name="asd 50 7 2 14" xfId="28941"/>
    <cellStyle name="asd 50 7 2 15" xfId="30563"/>
    <cellStyle name="asd 50 7 2 16" xfId="31810"/>
    <cellStyle name="asd 50 7 2 17" xfId="34805"/>
    <cellStyle name="asd 50 7 2 18" xfId="36600"/>
    <cellStyle name="asd 50 7 2 19" xfId="38479"/>
    <cellStyle name="asd 50 7 2 2" xfId="7170"/>
    <cellStyle name="asd 50 7 2 20" xfId="39048"/>
    <cellStyle name="asd 50 7 2 21" xfId="40730"/>
    <cellStyle name="asd 50 7 2 22" xfId="42682"/>
    <cellStyle name="asd 50 7 2 3" xfId="8624"/>
    <cellStyle name="asd 50 7 2 4" xfId="10534"/>
    <cellStyle name="asd 50 7 2 5" xfId="10936"/>
    <cellStyle name="asd 50 7 2 6" xfId="13364"/>
    <cellStyle name="asd 50 7 2 7" xfId="15269"/>
    <cellStyle name="asd 50 7 2 8" xfId="18153"/>
    <cellStyle name="asd 50 7 2 9" xfId="20059"/>
    <cellStyle name="asd 50 7 20" xfId="37525"/>
    <cellStyle name="asd 50 7 21" xfId="39644"/>
    <cellStyle name="asd 50 7 22" xfId="41318"/>
    <cellStyle name="asd 50 7 23" xfId="42190"/>
    <cellStyle name="asd 50 7 3" xfId="6219"/>
    <cellStyle name="asd 50 7 4" xfId="7670"/>
    <cellStyle name="asd 50 7 5" xfId="9580"/>
    <cellStyle name="asd 50 7 6" xfId="12218"/>
    <cellStyle name="asd 50 7 7" xfId="12846"/>
    <cellStyle name="asd 50 7 8" xfId="14751"/>
    <cellStyle name="asd 50 7 9" xfId="17199"/>
    <cellStyle name="asd 50 8" xfId="2727"/>
    <cellStyle name="asd 50 9" xfId="3266"/>
    <cellStyle name="asd 51" xfId="1065"/>
    <cellStyle name="asd 51 10" xfId="3250"/>
    <cellStyle name="asd 51 11" xfId="6251"/>
    <cellStyle name="asd 51 12" xfId="1971"/>
    <cellStyle name="asd 51 13" xfId="9003"/>
    <cellStyle name="asd 51 14" xfId="10901"/>
    <cellStyle name="asd 51 15" xfId="3742"/>
    <cellStyle name="asd 51 16" xfId="6652"/>
    <cellStyle name="asd 51 17" xfId="3857"/>
    <cellStyle name="asd 51 18" xfId="24211"/>
    <cellStyle name="asd 51 19" xfId="24230"/>
    <cellStyle name="asd 51 2" xfId="3445"/>
    <cellStyle name="asd 51 2 10" xfId="14536"/>
    <cellStyle name="asd 51 2 11" xfId="16442"/>
    <cellStyle name="asd 51 2 12" xfId="16830"/>
    <cellStyle name="asd 51 2 13" xfId="18737"/>
    <cellStyle name="asd 51 2 14" xfId="20649"/>
    <cellStyle name="asd 51 2 15" xfId="24066"/>
    <cellStyle name="asd 51 2 16" xfId="24451"/>
    <cellStyle name="asd 51 2 17" xfId="27557"/>
    <cellStyle name="asd 51 2 18" xfId="29653"/>
    <cellStyle name="asd 51 2 19" xfId="31137"/>
    <cellStyle name="asd 51 2 2" xfId="3625"/>
    <cellStyle name="asd 51 2 2 10" xfId="17516"/>
    <cellStyle name="asd 51 2 2 11" xfId="19422"/>
    <cellStyle name="asd 51 2 2 12" xfId="21334"/>
    <cellStyle name="asd 51 2 2 13" xfId="23041"/>
    <cellStyle name="asd 51 2 2 14" xfId="25136"/>
    <cellStyle name="asd 51 2 2 15" xfId="26718"/>
    <cellStyle name="asd 51 2 2 16" xfId="3739"/>
    <cellStyle name="asd 51 2 2 17" xfId="30318"/>
    <cellStyle name="asd 51 2 2 18" xfId="32755"/>
    <cellStyle name="asd 51 2 2 19" xfId="34627"/>
    <cellStyle name="asd 51 2 2 2" xfId="4260"/>
    <cellStyle name="asd 51 2 2 2 10" xfId="20491"/>
    <cellStyle name="asd 51 2 2 2 11" xfId="23699"/>
    <cellStyle name="asd 51 2 2 2 12" xfId="24293"/>
    <cellStyle name="asd 51 2 2 2 13" xfId="27497"/>
    <cellStyle name="asd 51 2 2 2 14" xfId="18495"/>
    <cellStyle name="asd 51 2 2 2 15" xfId="31083"/>
    <cellStyle name="asd 51 2 2 2 16" xfId="32534"/>
    <cellStyle name="asd 51 2 2 2 17" xfId="35018"/>
    <cellStyle name="asd 51 2 2 2 18" xfId="35121"/>
    <cellStyle name="asd 51 2 2 2 19" xfId="36999"/>
    <cellStyle name="asd 51 2 2 2 2" xfId="5364"/>
    <cellStyle name="asd 51 2 2 2 20" xfId="39747"/>
    <cellStyle name="asd 51 2 2 2 21" xfId="41419"/>
    <cellStyle name="asd 51 2 2 2 22" xfId="43456"/>
    <cellStyle name="asd 51 2 2 2 3" xfId="6634"/>
    <cellStyle name="asd 51 2 2 2 4" xfId="9053"/>
    <cellStyle name="asd 51 2 2 2 5" xfId="12743"/>
    <cellStyle name="asd 51 2 2 2 6" xfId="14169"/>
    <cellStyle name="asd 51 2 2 2 7" xfId="16073"/>
    <cellStyle name="asd 51 2 2 2 8" xfId="16672"/>
    <cellStyle name="asd 51 2 2 2 9" xfId="18579"/>
    <cellStyle name="asd 51 2 2 20" xfId="35963"/>
    <cellStyle name="asd 51 2 2 21" xfId="37842"/>
    <cellStyle name="asd 51 2 2 22" xfId="39964"/>
    <cellStyle name="asd 51 2 2 23" xfId="41628"/>
    <cellStyle name="asd 51 2 2 24" xfId="42824"/>
    <cellStyle name="asd 51 2 2 3" xfId="5086"/>
    <cellStyle name="asd 51 2 2 4" xfId="6536"/>
    <cellStyle name="asd 51 2 2 5" xfId="7987"/>
    <cellStyle name="asd 51 2 2 6" xfId="9897"/>
    <cellStyle name="asd 51 2 2 7" xfId="11397"/>
    <cellStyle name="asd 51 2 2 8" xfId="13511"/>
    <cellStyle name="asd 51 2 2 9" xfId="15415"/>
    <cellStyle name="asd 51 2 20" xfId="31730"/>
    <cellStyle name="asd 51 2 21" xfId="33809"/>
    <cellStyle name="asd 51 2 22" xfId="35279"/>
    <cellStyle name="asd 51 2 23" xfId="37157"/>
    <cellStyle name="asd 51 2 24" xfId="38971"/>
    <cellStyle name="asd 51 2 25" xfId="40654"/>
    <cellStyle name="asd 51 2 26" xfId="43810"/>
    <cellStyle name="asd 51 2 3" xfId="3796"/>
    <cellStyle name="asd 51 2 3 10" xfId="19531"/>
    <cellStyle name="asd 51 2 3 11" xfId="21443"/>
    <cellStyle name="asd 51 2 3 12" xfId="23406"/>
    <cellStyle name="asd 51 2 3 13" xfId="25245"/>
    <cellStyle name="asd 51 2 3 14" xfId="27888"/>
    <cellStyle name="asd 51 2 3 15" xfId="13235"/>
    <cellStyle name="asd 51 2 3 16" xfId="31469"/>
    <cellStyle name="asd 51 2 3 17" xfId="32680"/>
    <cellStyle name="asd 51 2 3 18" xfId="34949"/>
    <cellStyle name="asd 51 2 3 19" xfId="36072"/>
    <cellStyle name="asd 51 2 3 2" xfId="5801"/>
    <cellStyle name="asd 51 2 3 2 10" xfId="22051"/>
    <cellStyle name="asd 51 2 3 2 11" xfId="23061"/>
    <cellStyle name="asd 51 2 3 2 12" xfId="25853"/>
    <cellStyle name="asd 51 2 3 2 13" xfId="26901"/>
    <cellStyle name="asd 51 2 3 2 14" xfId="28085"/>
    <cellStyle name="asd 51 2 3 2 15" xfId="30497"/>
    <cellStyle name="asd 51 2 3 2 16" xfId="31900"/>
    <cellStyle name="asd 51 2 3 2 17" xfId="34697"/>
    <cellStyle name="asd 51 2 3 2 18" xfId="36680"/>
    <cellStyle name="asd 51 2 3 2 19" xfId="38559"/>
    <cellStyle name="asd 51 2 3 2 2" xfId="7250"/>
    <cellStyle name="asd 51 2 3 2 20" xfId="39133"/>
    <cellStyle name="asd 51 2 3 2 21" xfId="40814"/>
    <cellStyle name="asd 51 2 3 2 22" xfId="42844"/>
    <cellStyle name="asd 51 2 3 2 3" xfId="8704"/>
    <cellStyle name="asd 51 2 3 2 4" xfId="10614"/>
    <cellStyle name="asd 51 2 3 2 5" xfId="12665"/>
    <cellStyle name="asd 51 2 3 2 6" xfId="13532"/>
    <cellStyle name="asd 51 2 3 2 7" xfId="15435"/>
    <cellStyle name="asd 51 2 3 2 8" xfId="18233"/>
    <cellStyle name="asd 51 2 3 2 9" xfId="20139"/>
    <cellStyle name="asd 51 2 3 20" xfId="37951"/>
    <cellStyle name="asd 51 2 3 21" xfId="39888"/>
    <cellStyle name="asd 51 2 3 22" xfId="41557"/>
    <cellStyle name="asd 51 2 3 23" xfId="43173"/>
    <cellStyle name="asd 51 2 3 3" xfId="5195"/>
    <cellStyle name="asd 51 2 3 4" xfId="8096"/>
    <cellStyle name="asd 51 2 3 5" xfId="10006"/>
    <cellStyle name="asd 51 2 3 6" xfId="12405"/>
    <cellStyle name="asd 51 2 3 7" xfId="13878"/>
    <cellStyle name="asd 51 2 3 8" xfId="15779"/>
    <cellStyle name="asd 51 2 3 9" xfId="17625"/>
    <cellStyle name="asd 51 2 4" xfId="4077"/>
    <cellStyle name="asd 51 2 4 10" xfId="19712"/>
    <cellStyle name="asd 51 2 4 11" xfId="21624"/>
    <cellStyle name="asd 51 2 4 12" xfId="23592"/>
    <cellStyle name="asd 51 2 4 13" xfId="25426"/>
    <cellStyle name="asd 51 2 4 14" xfId="26753"/>
    <cellStyle name="asd 51 2 4 15" xfId="28659"/>
    <cellStyle name="asd 51 2 4 16" xfId="30352"/>
    <cellStyle name="asd 51 2 4 17" xfId="32126"/>
    <cellStyle name="asd 51 2 4 18" xfId="34367"/>
    <cellStyle name="asd 51 2 4 19" xfId="36253"/>
    <cellStyle name="asd 51 2 4 2" xfId="5982"/>
    <cellStyle name="asd 51 2 4 2 10" xfId="22232"/>
    <cellStyle name="asd 51 2 4 2 11" xfId="24126"/>
    <cellStyle name="asd 51 2 4 2 12" xfId="26034"/>
    <cellStyle name="asd 51 2 4 2 13" xfId="27592"/>
    <cellStyle name="asd 51 2 4 2 14" xfId="29441"/>
    <cellStyle name="asd 51 2 4 2 15" xfId="31171"/>
    <cellStyle name="asd 51 2 4 2 16" xfId="32269"/>
    <cellStyle name="asd 51 2 4 2 17" xfId="35026"/>
    <cellStyle name="asd 51 2 4 2 18" xfId="36861"/>
    <cellStyle name="asd 51 2 4 2 19" xfId="38740"/>
    <cellStyle name="asd 51 2 4 2 2" xfId="7431"/>
    <cellStyle name="asd 51 2 4 2 20" xfId="39487"/>
    <cellStyle name="asd 51 2 4 2 21" xfId="41162"/>
    <cellStyle name="asd 51 2 4 2 22" xfId="43869"/>
    <cellStyle name="asd 51 2 4 2 3" xfId="8885"/>
    <cellStyle name="asd 51 2 4 2 4" xfId="10795"/>
    <cellStyle name="asd 51 2 4 2 5" xfId="12086"/>
    <cellStyle name="asd 51 2 4 2 6" xfId="14597"/>
    <cellStyle name="asd 51 2 4 2 7" xfId="16503"/>
    <cellStyle name="asd 51 2 4 2 8" xfId="18414"/>
    <cellStyle name="asd 51 2 4 2 9" xfId="20320"/>
    <cellStyle name="asd 51 2 4 20" xfId="38132"/>
    <cellStyle name="asd 51 2 4 21" xfId="39349"/>
    <cellStyle name="asd 51 2 4 22" xfId="41025"/>
    <cellStyle name="asd 51 2 4 23" xfId="43351"/>
    <cellStyle name="asd 51 2 4 3" xfId="6823"/>
    <cellStyle name="asd 51 2 4 4" xfId="8277"/>
    <cellStyle name="asd 51 2 4 5" xfId="10187"/>
    <cellStyle name="asd 51 2 4 6" xfId="12253"/>
    <cellStyle name="asd 51 2 4 7" xfId="14062"/>
    <cellStyle name="asd 51 2 4 8" xfId="15965"/>
    <cellStyle name="asd 51 2 4 9" xfId="17806"/>
    <cellStyle name="asd 51 2 5" xfId="4932"/>
    <cellStyle name="asd 51 2 5 10" xfId="21180"/>
    <cellStyle name="asd 51 2 5 11" xfId="23812"/>
    <cellStyle name="asd 51 2 5 12" xfId="24982"/>
    <cellStyle name="asd 51 2 5 13" xfId="27726"/>
    <cellStyle name="asd 51 2 5 14" xfId="28986"/>
    <cellStyle name="asd 51 2 5 15" xfId="31304"/>
    <cellStyle name="asd 51 2 5 16" xfId="31876"/>
    <cellStyle name="asd 51 2 5 17" xfId="33780"/>
    <cellStyle name="asd 51 2 5 18" xfId="35809"/>
    <cellStyle name="asd 51 2 5 19" xfId="37688"/>
    <cellStyle name="asd 51 2 5 2" xfId="6382"/>
    <cellStyle name="asd 51 2 5 20" xfId="39111"/>
    <cellStyle name="asd 51 2 5 21" xfId="40792"/>
    <cellStyle name="asd 51 2 5 22" xfId="43563"/>
    <cellStyle name="asd 51 2 5 3" xfId="7833"/>
    <cellStyle name="asd 51 2 5 4" xfId="9743"/>
    <cellStyle name="asd 51 2 5 5" xfId="11347"/>
    <cellStyle name="asd 51 2 5 6" xfId="14282"/>
    <cellStyle name="asd 51 2 5 7" xfId="16186"/>
    <cellStyle name="asd 51 2 5 8" xfId="17362"/>
    <cellStyle name="asd 51 2 5 9" xfId="19268"/>
    <cellStyle name="asd 51 2 6" xfId="4398"/>
    <cellStyle name="asd 51 2 6 10" xfId="20642"/>
    <cellStyle name="asd 51 2 6 11" xfId="23788"/>
    <cellStyle name="asd 51 2 6 12" xfId="24444"/>
    <cellStyle name="asd 51 2 6 13" xfId="27774"/>
    <cellStyle name="asd 51 2 6 14" xfId="28668"/>
    <cellStyle name="asd 51 2 6 15" xfId="31352"/>
    <cellStyle name="asd 51 2 6 16" xfId="32807"/>
    <cellStyle name="asd 51 2 6 17" xfId="33985"/>
    <cellStyle name="asd 51 2 6 18" xfId="35272"/>
    <cellStyle name="asd 51 2 6 19" xfId="37150"/>
    <cellStyle name="asd 51 2 6 2" xfId="4564"/>
    <cellStyle name="asd 51 2 6 20" xfId="40016"/>
    <cellStyle name="asd 51 2 6 21" xfId="41680"/>
    <cellStyle name="asd 51 2 6 22" xfId="43541"/>
    <cellStyle name="asd 51 2 6 3" xfId="5377"/>
    <cellStyle name="asd 51 2 6 4" xfId="9204"/>
    <cellStyle name="asd 51 2 6 5" xfId="11504"/>
    <cellStyle name="asd 51 2 6 6" xfId="14258"/>
    <cellStyle name="asd 51 2 6 7" xfId="16162"/>
    <cellStyle name="asd 51 2 6 8" xfId="16823"/>
    <cellStyle name="asd 51 2 6 9" xfId="18730"/>
    <cellStyle name="asd 51 2 7" xfId="6628"/>
    <cellStyle name="asd 51 2 8" xfId="9211"/>
    <cellStyle name="asd 51 2 9" xfId="12025"/>
    <cellStyle name="asd 51 20" xfId="1933"/>
    <cellStyle name="asd 51 21" xfId="11177"/>
    <cellStyle name="asd 51 22" xfId="29041"/>
    <cellStyle name="asd 51 23" xfId="28478"/>
    <cellStyle name="asd 51 24" xfId="2385"/>
    <cellStyle name="asd 51 25" xfId="34254"/>
    <cellStyle name="asd 51 26" xfId="4185"/>
    <cellStyle name="asd 51 27" xfId="20447"/>
    <cellStyle name="asd 51 3" xfId="3459"/>
    <cellStyle name="asd 51 3 10" xfId="12948"/>
    <cellStyle name="asd 51 3 11" xfId="14852"/>
    <cellStyle name="asd 51 3 12" xfId="16869"/>
    <cellStyle name="asd 51 3 13" xfId="18776"/>
    <cellStyle name="asd 51 3 14" xfId="20688"/>
    <cellStyle name="asd 51 3 15" xfId="22480"/>
    <cellStyle name="asd 51 3 16" xfId="24490"/>
    <cellStyle name="asd 51 3 17" xfId="27072"/>
    <cellStyle name="asd 51 3 18" xfId="29110"/>
    <cellStyle name="asd 51 3 19" xfId="30663"/>
    <cellStyle name="asd 51 3 2" xfId="3639"/>
    <cellStyle name="asd 51 3 2 10" xfId="17530"/>
    <cellStyle name="asd 51 3 2 11" xfId="19436"/>
    <cellStyle name="asd 51 3 2 12" xfId="21348"/>
    <cellStyle name="asd 51 3 2 13" xfId="23670"/>
    <cellStyle name="asd 51 3 2 14" xfId="25150"/>
    <cellStyle name="asd 51 3 2 15" xfId="27243"/>
    <cellStyle name="asd 51 3 2 16" xfId="29033"/>
    <cellStyle name="asd 51 3 2 17" xfId="30834"/>
    <cellStyle name="asd 51 3 2 18" xfId="32877"/>
    <cellStyle name="asd 51 3 2 19" xfId="34995"/>
    <cellStyle name="asd 51 3 2 2" xfId="5681"/>
    <cellStyle name="asd 51 3 2 2 10" xfId="21931"/>
    <cellStyle name="asd 51 3 2 2 11" xfId="22989"/>
    <cellStyle name="asd 51 3 2 2 12" xfId="25733"/>
    <cellStyle name="asd 51 3 2 2 13" xfId="27928"/>
    <cellStyle name="asd 51 3 2 2 14" xfId="28627"/>
    <cellStyle name="asd 51 3 2 2 15" xfId="31510"/>
    <cellStyle name="asd 51 3 2 2 16" xfId="32179"/>
    <cellStyle name="asd 51 3 2 2 17" xfId="33612"/>
    <cellStyle name="asd 51 3 2 2 18" xfId="36560"/>
    <cellStyle name="asd 51 3 2 2 19" xfId="38439"/>
    <cellStyle name="asd 51 3 2 2 2" xfId="7130"/>
    <cellStyle name="asd 51 3 2 2 20" xfId="39401"/>
    <cellStyle name="asd 51 3 2 2 21" xfId="41077"/>
    <cellStyle name="asd 51 3 2 2 22" xfId="42775"/>
    <cellStyle name="asd 51 3 2 2 3" xfId="8584"/>
    <cellStyle name="asd 51 3 2 2 4" xfId="10494"/>
    <cellStyle name="asd 51 3 2 2 5" xfId="12169"/>
    <cellStyle name="asd 51 3 2 2 6" xfId="13458"/>
    <cellStyle name="asd 51 3 2 2 7" xfId="15363"/>
    <cellStyle name="asd 51 3 2 2 8" xfId="18113"/>
    <cellStyle name="asd 51 3 2 2 9" xfId="20019"/>
    <cellStyle name="asd 51 3 2 20" xfId="35977"/>
    <cellStyle name="asd 51 3 2 21" xfId="37856"/>
    <cellStyle name="asd 51 3 2 22" xfId="40082"/>
    <cellStyle name="asd 51 3 2 23" xfId="41745"/>
    <cellStyle name="asd 51 3 2 24" xfId="43428"/>
    <cellStyle name="asd 51 3 2 3" xfId="5100"/>
    <cellStyle name="asd 51 3 2 4" xfId="6550"/>
    <cellStyle name="asd 51 3 2 5" xfId="8001"/>
    <cellStyle name="asd 51 3 2 6" xfId="9911"/>
    <cellStyle name="asd 51 3 2 7" xfId="11622"/>
    <cellStyle name="asd 51 3 2 8" xfId="14141"/>
    <cellStyle name="asd 51 3 2 9" xfId="16044"/>
    <cellStyle name="asd 51 3 20" xfId="32990"/>
    <cellStyle name="asd 51 3 21" xfId="33471"/>
    <cellStyle name="asd 51 3 22" xfId="35318"/>
    <cellStyle name="asd 51 3 23" xfId="37196"/>
    <cellStyle name="asd 51 3 24" xfId="40191"/>
    <cellStyle name="asd 51 3 25" xfId="41850"/>
    <cellStyle name="asd 51 3 26" xfId="42290"/>
    <cellStyle name="asd 51 3 3" xfId="3050"/>
    <cellStyle name="asd 51 3 3 10" xfId="19145"/>
    <cellStyle name="asd 51 3 3 11" xfId="21057"/>
    <cellStyle name="asd 51 3 3 12" xfId="23914"/>
    <cellStyle name="asd 51 3 3 13" xfId="24859"/>
    <cellStyle name="asd 51 3 3 14" xfId="26221"/>
    <cellStyle name="asd 51 3 3 15" xfId="3337"/>
    <cellStyle name="asd 51 3 3 16" xfId="29832"/>
    <cellStyle name="asd 51 3 3 17" xfId="33268"/>
    <cellStyle name="asd 51 3 3 18" xfId="33556"/>
    <cellStyle name="asd 51 3 3 19" xfId="35686"/>
    <cellStyle name="asd 51 3 3 2" xfId="4478"/>
    <cellStyle name="asd 51 3 3 2 10" xfId="20723"/>
    <cellStyle name="asd 51 3 3 2 11" xfId="23089"/>
    <cellStyle name="asd 51 3 3 2 12" xfId="24525"/>
    <cellStyle name="asd 51 3 3 2 13" xfId="26785"/>
    <cellStyle name="asd 51 3 3 2 14" xfId="28981"/>
    <cellStyle name="asd 51 3 3 2 15" xfId="30384"/>
    <cellStyle name="asd 51 3 3 2 16" xfId="33159"/>
    <cellStyle name="asd 51 3 3 2 17" xfId="34193"/>
    <cellStyle name="asd 51 3 3 2 18" xfId="35353"/>
    <cellStyle name="asd 51 3 3 2 19" xfId="37231"/>
    <cellStyle name="asd 51 3 3 2 2" xfId="5370"/>
    <cellStyle name="asd 51 3 3 2 20" xfId="40351"/>
    <cellStyle name="asd 51 3 3 2 21" xfId="42007"/>
    <cellStyle name="asd 51 3 3 2 22" xfId="42871"/>
    <cellStyle name="asd 51 3 3 2 3" xfId="6631"/>
    <cellStyle name="asd 51 3 3 2 4" xfId="9285"/>
    <cellStyle name="asd 51 3 3 2 5" xfId="12700"/>
    <cellStyle name="asd 51 3 3 2 6" xfId="13560"/>
    <cellStyle name="asd 51 3 3 2 7" xfId="15463"/>
    <cellStyle name="asd 51 3 3 2 8" xfId="16904"/>
    <cellStyle name="asd 51 3 3 2 9" xfId="18811"/>
    <cellStyle name="asd 51 3 3 20" xfId="37565"/>
    <cellStyle name="asd 51 3 3 21" xfId="40454"/>
    <cellStyle name="asd 51 3 3 22" xfId="42109"/>
    <cellStyle name="asd 51 3 3 23" xfId="43660"/>
    <cellStyle name="asd 51 3 3 3" xfId="4809"/>
    <cellStyle name="asd 51 3 3 4" xfId="7710"/>
    <cellStyle name="asd 51 3 3 5" xfId="9620"/>
    <cellStyle name="asd 51 3 3 6" xfId="11873"/>
    <cellStyle name="asd 51 3 3 7" xfId="14382"/>
    <cellStyle name="asd 51 3 3 8" xfId="16288"/>
    <cellStyle name="asd 51 3 3 9" xfId="17239"/>
    <cellStyle name="asd 51 3 4" xfId="4091"/>
    <cellStyle name="asd 51 3 4 10" xfId="19726"/>
    <cellStyle name="asd 51 3 4 11" xfId="21638"/>
    <cellStyle name="asd 51 3 4 12" xfId="24164"/>
    <cellStyle name="asd 51 3 4 13" xfId="25440"/>
    <cellStyle name="asd 51 3 4 14" xfId="27486"/>
    <cellStyle name="asd 51 3 4 15" xfId="28417"/>
    <cellStyle name="asd 51 3 4 16" xfId="31073"/>
    <cellStyle name="asd 51 3 4 17" xfId="32673"/>
    <cellStyle name="asd 51 3 4 18" xfId="33547"/>
    <cellStyle name="asd 51 3 4 19" xfId="36267"/>
    <cellStyle name="asd 51 3 4 2" xfId="5996"/>
    <cellStyle name="asd 51 3 4 2 10" xfId="22246"/>
    <cellStyle name="asd 51 3 4 2 11" xfId="23185"/>
    <cellStyle name="asd 51 3 4 2 12" xfId="26048"/>
    <cellStyle name="asd 51 3 4 2 13" xfId="27941"/>
    <cellStyle name="asd 51 3 4 2 14" xfId="29408"/>
    <cellStyle name="asd 51 3 4 2 15" xfId="31521"/>
    <cellStyle name="asd 51 3 4 2 16" xfId="32313"/>
    <cellStyle name="asd 51 3 4 2 17" xfId="34842"/>
    <cellStyle name="asd 51 3 4 2 18" xfId="36875"/>
    <cellStyle name="asd 51 3 4 2 19" xfId="38754"/>
    <cellStyle name="asd 51 3 4 2 2" xfId="7445"/>
    <cellStyle name="asd 51 3 4 2 20" xfId="39532"/>
    <cellStyle name="asd 51 3 4 2 21" xfId="41206"/>
    <cellStyle name="asd 51 3 4 2 22" xfId="42963"/>
    <cellStyle name="asd 51 3 4 2 3" xfId="8899"/>
    <cellStyle name="asd 51 3 4 2 4" xfId="10809"/>
    <cellStyle name="asd 51 3 4 2 5" xfId="11020"/>
    <cellStyle name="asd 51 3 4 2 6" xfId="13656"/>
    <cellStyle name="asd 51 3 4 2 7" xfId="15559"/>
    <cellStyle name="asd 51 3 4 2 8" xfId="18428"/>
    <cellStyle name="asd 51 3 4 2 9" xfId="20334"/>
    <cellStyle name="asd 51 3 4 20" xfId="38146"/>
    <cellStyle name="asd 51 3 4 21" xfId="39880"/>
    <cellStyle name="asd 51 3 4 22" xfId="41549"/>
    <cellStyle name="asd 51 3 4 23" xfId="43906"/>
    <cellStyle name="asd 51 3 4 3" xfId="6837"/>
    <cellStyle name="asd 51 3 4 4" xfId="8291"/>
    <cellStyle name="asd 51 3 4 5" xfId="10201"/>
    <cellStyle name="asd 51 3 4 6" xfId="12124"/>
    <cellStyle name="asd 51 3 4 7" xfId="14635"/>
    <cellStyle name="asd 51 3 4 8" xfId="16541"/>
    <cellStyle name="asd 51 3 4 9" xfId="17820"/>
    <cellStyle name="asd 51 3 5" xfId="4945"/>
    <cellStyle name="asd 51 3 5 10" xfId="21193"/>
    <cellStyle name="asd 51 3 5 11" xfId="23035"/>
    <cellStyle name="asd 51 3 5 12" xfId="24995"/>
    <cellStyle name="asd 51 3 5 13" xfId="27047"/>
    <cellStyle name="asd 51 3 5 14" xfId="28203"/>
    <cellStyle name="asd 51 3 5 15" xfId="30640"/>
    <cellStyle name="asd 51 3 5 16" xfId="33092"/>
    <cellStyle name="asd 51 3 5 17" xfId="34975"/>
    <cellStyle name="asd 51 3 5 18" xfId="35822"/>
    <cellStyle name="asd 51 3 5 19" xfId="37701"/>
    <cellStyle name="asd 51 3 5 2" xfId="6395"/>
    <cellStyle name="asd 51 3 5 20" xfId="40288"/>
    <cellStyle name="asd 51 3 5 21" xfId="41944"/>
    <cellStyle name="asd 51 3 5 22" xfId="42818"/>
    <cellStyle name="asd 51 3 5 3" xfId="7846"/>
    <cellStyle name="asd 51 3 5 4" xfId="9756"/>
    <cellStyle name="asd 51 3 5 5" xfId="12630"/>
    <cellStyle name="asd 51 3 5 6" xfId="13505"/>
    <cellStyle name="asd 51 3 5 7" xfId="15409"/>
    <cellStyle name="asd 51 3 5 8" xfId="17375"/>
    <cellStyle name="asd 51 3 5 9" xfId="19281"/>
    <cellStyle name="asd 51 3 6" xfId="4440"/>
    <cellStyle name="asd 51 3 6 10" xfId="20685"/>
    <cellStyle name="asd 51 3 6 11" xfId="23423"/>
    <cellStyle name="asd 51 3 6 12" xfId="24487"/>
    <cellStyle name="asd 51 3 6 13" xfId="26848"/>
    <cellStyle name="asd 51 3 6 14" xfId="2554"/>
    <cellStyle name="asd 51 3 6 15" xfId="30445"/>
    <cellStyle name="asd 51 3 6 16" xfId="33223"/>
    <cellStyle name="asd 51 3 6 17" xfId="24214"/>
    <cellStyle name="asd 51 3 6 18" xfId="35315"/>
    <cellStyle name="asd 51 3 6 19" xfId="37193"/>
    <cellStyle name="asd 51 3 6 2" xfId="2982"/>
    <cellStyle name="asd 51 3 6 20" xfId="40413"/>
    <cellStyle name="asd 51 3 6 21" xfId="42069"/>
    <cellStyle name="asd 51 3 6 22" xfId="43190"/>
    <cellStyle name="asd 51 3 6 3" xfId="2665"/>
    <cellStyle name="asd 51 3 6 4" xfId="9247"/>
    <cellStyle name="asd 51 3 6 5" xfId="10950"/>
    <cellStyle name="asd 51 3 6 6" xfId="13895"/>
    <cellStyle name="asd 51 3 6 7" xfId="15796"/>
    <cellStyle name="asd 51 3 6 8" xfId="16866"/>
    <cellStyle name="asd 51 3 6 9" xfId="18773"/>
    <cellStyle name="asd 51 3 7" xfId="5298"/>
    <cellStyle name="asd 51 3 8" xfId="9250"/>
    <cellStyle name="asd 51 3 9" xfId="12259"/>
    <cellStyle name="asd 51 4" xfId="3467"/>
    <cellStyle name="asd 51 4 10" xfId="16120"/>
    <cellStyle name="asd 51 4 11" xfId="16885"/>
    <cellStyle name="asd 51 4 12" xfId="18792"/>
    <cellStyle name="asd 51 4 13" xfId="20704"/>
    <cellStyle name="asd 51 4 14" xfId="23746"/>
    <cellStyle name="asd 51 4 15" xfId="24506"/>
    <cellStyle name="asd 51 4 16" xfId="27800"/>
    <cellStyle name="asd 51 4 17" xfId="28810"/>
    <cellStyle name="asd 51 4 18" xfId="31377"/>
    <cellStyle name="asd 51 4 19" xfId="31855"/>
    <cellStyle name="asd 51 4 2" xfId="3647"/>
    <cellStyle name="asd 51 4 2 10" xfId="17538"/>
    <cellStyle name="asd 51 4 2 11" xfId="19444"/>
    <cellStyle name="asd 51 4 2 12" xfId="21356"/>
    <cellStyle name="asd 51 4 2 13" xfId="22504"/>
    <cellStyle name="asd 51 4 2 14" xfId="25158"/>
    <cellStyle name="asd 51 4 2 15" xfId="26619"/>
    <cellStyle name="asd 51 4 2 16" xfId="28500"/>
    <cellStyle name="asd 51 4 2 17" xfId="30222"/>
    <cellStyle name="asd 51 4 2 18" xfId="32747"/>
    <cellStyle name="asd 51 4 2 19" xfId="34921"/>
    <cellStyle name="asd 51 4 2 2" xfId="5697"/>
    <cellStyle name="asd 51 4 2 2 10" xfId="21947"/>
    <cellStyle name="asd 51 4 2 2 11" xfId="22976"/>
    <cellStyle name="asd 51 4 2 2 12" xfId="25749"/>
    <cellStyle name="asd 51 4 2 2 13" xfId="26694"/>
    <cellStyle name="asd 51 4 2 2 14" xfId="29167"/>
    <cellStyle name="asd 51 4 2 2 15" xfId="30294"/>
    <cellStyle name="asd 51 4 2 2 16" xfId="32752"/>
    <cellStyle name="asd 51 4 2 2 17" xfId="34019"/>
    <cellStyle name="asd 51 4 2 2 18" xfId="36576"/>
    <cellStyle name="asd 51 4 2 2 19" xfId="38455"/>
    <cellStyle name="asd 51 4 2 2 2" xfId="7146"/>
    <cellStyle name="asd 51 4 2 2 20" xfId="39961"/>
    <cellStyle name="asd 51 4 2 2 21" xfId="41625"/>
    <cellStyle name="asd 51 4 2 2 22" xfId="42762"/>
    <cellStyle name="asd 51 4 2 2 3" xfId="8600"/>
    <cellStyle name="asd 51 4 2 2 4" xfId="10510"/>
    <cellStyle name="asd 51 4 2 2 5" xfId="12466"/>
    <cellStyle name="asd 51 4 2 2 6" xfId="13445"/>
    <cellStyle name="asd 51 4 2 2 7" xfId="15350"/>
    <cellStyle name="asd 51 4 2 2 8" xfId="18129"/>
    <cellStyle name="asd 51 4 2 2 9" xfId="20035"/>
    <cellStyle name="asd 51 4 2 20" xfId="35985"/>
    <cellStyle name="asd 51 4 2 21" xfId="37864"/>
    <cellStyle name="asd 51 4 2 22" xfId="39956"/>
    <cellStyle name="asd 51 4 2 23" xfId="41620"/>
    <cellStyle name="asd 51 4 2 24" xfId="42314"/>
    <cellStyle name="asd 51 4 2 3" xfId="5108"/>
    <cellStyle name="asd 51 4 2 4" xfId="6558"/>
    <cellStyle name="asd 51 4 2 5" xfId="8009"/>
    <cellStyle name="asd 51 4 2 6" xfId="9919"/>
    <cellStyle name="asd 51 4 2 7" xfId="11012"/>
    <cellStyle name="asd 51 4 2 8" xfId="12972"/>
    <cellStyle name="asd 51 4 2 9" xfId="14876"/>
    <cellStyle name="asd 51 4 20" xfId="34766"/>
    <cellStyle name="asd 51 4 21" xfId="35334"/>
    <cellStyle name="asd 51 4 22" xfId="37212"/>
    <cellStyle name="asd 51 4 23" xfId="39090"/>
    <cellStyle name="asd 51 4 24" xfId="40771"/>
    <cellStyle name="asd 51 4 25" xfId="43499"/>
    <cellStyle name="asd 51 4 3" xfId="1994"/>
    <cellStyle name="asd 51 4 3 10" xfId="18996"/>
    <cellStyle name="asd 51 4 3 11" xfId="20908"/>
    <cellStyle name="asd 51 4 3 12" xfId="22890"/>
    <cellStyle name="asd 51 4 3 13" xfId="24710"/>
    <cellStyle name="asd 51 4 3 14" xfId="26830"/>
    <cellStyle name="asd 51 4 3 15" xfId="28685"/>
    <cellStyle name="asd 51 4 3 16" xfId="30428"/>
    <cellStyle name="asd 51 4 3 17" xfId="31828"/>
    <cellStyle name="asd 51 4 3 18" xfId="33390"/>
    <cellStyle name="asd 51 4 3 19" xfId="35537"/>
    <cellStyle name="asd 51 4 3 2" xfId="5551"/>
    <cellStyle name="asd 51 4 3 2 10" xfId="21801"/>
    <cellStyle name="asd 51 4 3 2 11" xfId="22808"/>
    <cellStyle name="asd 51 4 3 2 12" xfId="25603"/>
    <cellStyle name="asd 51 4 3 2 13" xfId="2106"/>
    <cellStyle name="asd 51 4 3 2 14" xfId="24234"/>
    <cellStyle name="asd 51 4 3 2 15" xfId="28211"/>
    <cellStyle name="asd 51 4 3 2 16" xfId="31565"/>
    <cellStyle name="asd 51 4 3 2 17" xfId="4164"/>
    <cellStyle name="asd 51 4 3 2 18" xfId="36430"/>
    <cellStyle name="asd 51 4 3 2 19" xfId="38309"/>
    <cellStyle name="asd 51 4 3 2 2" xfId="7000"/>
    <cellStyle name="asd 51 4 3 2 20" xfId="38824"/>
    <cellStyle name="asd 51 4 3 2 21" xfId="40517"/>
    <cellStyle name="asd 51 4 3 2 22" xfId="42601"/>
    <cellStyle name="asd 51 4 3 2 3" xfId="8454"/>
    <cellStyle name="asd 51 4 3 2 4" xfId="10364"/>
    <cellStyle name="asd 51 4 3 2 5" xfId="12351"/>
    <cellStyle name="asd 51 4 3 2 6" xfId="13278"/>
    <cellStyle name="asd 51 4 3 2 7" xfId="15182"/>
    <cellStyle name="asd 51 4 3 2 8" xfId="17983"/>
    <cellStyle name="asd 51 4 3 2 9" xfId="19889"/>
    <cellStyle name="asd 51 4 3 20" xfId="37416"/>
    <cellStyle name="asd 51 4 3 21" xfId="39066"/>
    <cellStyle name="asd 51 4 3 22" xfId="40748"/>
    <cellStyle name="asd 51 4 3 23" xfId="42676"/>
    <cellStyle name="asd 51 4 3 3" xfId="4663"/>
    <cellStyle name="asd 51 4 3 4" xfId="7561"/>
    <cellStyle name="asd 51 4 3 5" xfId="9471"/>
    <cellStyle name="asd 51 4 3 6" xfId="12429"/>
    <cellStyle name="asd 51 4 3 7" xfId="13358"/>
    <cellStyle name="asd 51 4 3 8" xfId="15263"/>
    <cellStyle name="asd 51 4 3 9" xfId="17090"/>
    <cellStyle name="asd 51 4 4" xfId="4099"/>
    <cellStyle name="asd 51 4 4 10" xfId="19734"/>
    <cellStyle name="asd 51 4 4 11" xfId="21646"/>
    <cellStyle name="asd 51 4 4 12" xfId="23139"/>
    <cellStyle name="asd 51 4 4 13" xfId="25448"/>
    <cellStyle name="asd 51 4 4 14" xfId="26722"/>
    <cellStyle name="asd 51 4 4 15" xfId="28366"/>
    <cellStyle name="asd 51 4 4 16" xfId="30322"/>
    <cellStyle name="asd 51 4 4 17" xfId="32491"/>
    <cellStyle name="asd 51 4 4 18" xfId="34250"/>
    <cellStyle name="asd 51 4 4 19" xfId="36275"/>
    <cellStyle name="asd 51 4 4 2" xfId="6004"/>
    <cellStyle name="asd 51 4 4 2 10" xfId="22254"/>
    <cellStyle name="asd 51 4 4 2 11" xfId="23662"/>
    <cellStyle name="asd 51 4 4 2 12" xfId="26056"/>
    <cellStyle name="asd 51 4 4 2 13" xfId="14651"/>
    <cellStyle name="asd 51 4 4 2 14" xfId="3295"/>
    <cellStyle name="asd 51 4 4 2 15" xfId="1816"/>
    <cellStyle name="asd 51 4 4 2 16" xfId="27049"/>
    <cellStyle name="asd 51 4 4 2 17" xfId="24232"/>
    <cellStyle name="asd 51 4 4 2 18" xfId="36883"/>
    <cellStyle name="asd 51 4 4 2 19" xfId="38762"/>
    <cellStyle name="asd 51 4 4 2 2" xfId="7453"/>
    <cellStyle name="asd 51 4 4 2 20" xfId="34491"/>
    <cellStyle name="asd 51 4 4 2 21" xfId="2816"/>
    <cellStyle name="asd 51 4 4 2 22" xfId="43420"/>
    <cellStyle name="asd 51 4 4 2 3" xfId="8907"/>
    <cellStyle name="asd 51 4 4 2 4" xfId="10817"/>
    <cellStyle name="asd 51 4 4 2 5" xfId="11709"/>
    <cellStyle name="asd 51 4 4 2 6" xfId="14132"/>
    <cellStyle name="asd 51 4 4 2 7" xfId="16035"/>
    <cellStyle name="asd 51 4 4 2 8" xfId="18436"/>
    <cellStyle name="asd 51 4 4 2 9" xfId="20342"/>
    <cellStyle name="asd 51 4 4 20" xfId="38154"/>
    <cellStyle name="asd 51 4 4 21" xfId="39706"/>
    <cellStyle name="asd 51 4 4 22" xfId="41378"/>
    <cellStyle name="asd 51 4 4 23" xfId="42917"/>
    <cellStyle name="asd 51 4 4 3" xfId="6845"/>
    <cellStyle name="asd 51 4 4 4" xfId="8299"/>
    <cellStyle name="asd 51 4 4 5" xfId="10209"/>
    <cellStyle name="asd 51 4 4 6" xfId="12764"/>
    <cellStyle name="asd 51 4 4 7" xfId="13610"/>
    <cellStyle name="asd 51 4 4 8" xfId="15513"/>
    <cellStyle name="asd 51 4 4 9" xfId="17828"/>
    <cellStyle name="asd 51 4 5" xfId="4253"/>
    <cellStyle name="asd 51 4 5 10" xfId="20544"/>
    <cellStyle name="asd 51 4 5 11" xfId="22934"/>
    <cellStyle name="asd 51 4 5 12" xfId="24346"/>
    <cellStyle name="asd 51 4 5 13" xfId="27321"/>
    <cellStyle name="asd 51 4 5 14" xfId="28565"/>
    <cellStyle name="asd 51 4 5 15" xfId="30911"/>
    <cellStyle name="asd 51 4 5 16" xfId="32057"/>
    <cellStyle name="asd 51 4 5 17" xfId="33727"/>
    <cellStyle name="asd 51 4 5 18" xfId="35174"/>
    <cellStyle name="asd 51 4 5 19" xfId="37052"/>
    <cellStyle name="asd 51 4 5 2" xfId="2925"/>
    <cellStyle name="asd 51 4 5 20" xfId="39284"/>
    <cellStyle name="asd 51 4 5 21" xfId="40960"/>
    <cellStyle name="asd 51 4 5 22" xfId="42720"/>
    <cellStyle name="asd 51 4 5 3" xfId="4258"/>
    <cellStyle name="asd 51 4 5 4" xfId="9106"/>
    <cellStyle name="asd 51 4 5 5" xfId="11294"/>
    <cellStyle name="asd 51 4 5 6" xfId="13402"/>
    <cellStyle name="asd 51 4 5 7" xfId="15307"/>
    <cellStyle name="asd 51 4 5 8" xfId="16725"/>
    <cellStyle name="asd 51 4 5 9" xfId="18632"/>
    <cellStyle name="asd 51 4 6" xfId="4416"/>
    <cellStyle name="asd 51 4 7" xfId="9266"/>
    <cellStyle name="asd 51 4 8" xfId="11829"/>
    <cellStyle name="asd 51 4 9" xfId="14216"/>
    <cellStyle name="asd 51 5" xfId="2044"/>
    <cellStyle name="asd 51 5 10" xfId="17097"/>
    <cellStyle name="asd 51 5 11" xfId="19003"/>
    <cellStyle name="asd 51 5 12" xfId="20915"/>
    <cellStyle name="asd 51 5 13" xfId="22795"/>
    <cellStyle name="asd 51 5 14" xfId="24717"/>
    <cellStyle name="asd 51 5 15" xfId="27534"/>
    <cellStyle name="asd 51 5 16" xfId="28163"/>
    <cellStyle name="asd 51 5 17" xfId="31115"/>
    <cellStyle name="asd 51 5 18" xfId="31672"/>
    <cellStyle name="asd 51 5 19" xfId="33977"/>
    <cellStyle name="asd 51 5 2" xfId="5598"/>
    <cellStyle name="asd 51 5 2 10" xfId="21848"/>
    <cellStyle name="asd 51 5 2 11" xfId="23418"/>
    <cellStyle name="asd 51 5 2 12" xfId="25650"/>
    <cellStyle name="asd 51 5 2 13" xfId="27121"/>
    <cellStyle name="asd 51 5 2 14" xfId="2509"/>
    <cellStyle name="asd 51 5 2 15" xfId="30711"/>
    <cellStyle name="asd 51 5 2 16" xfId="32575"/>
    <cellStyle name="asd 51 5 2 17" xfId="34819"/>
    <cellStyle name="asd 51 5 2 18" xfId="36477"/>
    <cellStyle name="asd 51 5 2 19" xfId="38356"/>
    <cellStyle name="asd 51 5 2 2" xfId="7047"/>
    <cellStyle name="asd 51 5 2 20" xfId="39786"/>
    <cellStyle name="asd 51 5 2 21" xfId="41456"/>
    <cellStyle name="asd 51 5 2 22" xfId="43185"/>
    <cellStyle name="asd 51 5 2 3" xfId="8501"/>
    <cellStyle name="asd 51 5 2 4" xfId="10411"/>
    <cellStyle name="asd 51 5 2 5" xfId="12416"/>
    <cellStyle name="asd 51 5 2 6" xfId="13890"/>
    <cellStyle name="asd 51 5 2 7" xfId="15791"/>
    <cellStyle name="asd 51 5 2 8" xfId="18030"/>
    <cellStyle name="asd 51 5 2 9" xfId="19936"/>
    <cellStyle name="asd 51 5 20" xfId="35544"/>
    <cellStyle name="asd 51 5 21" xfId="37423"/>
    <cellStyle name="asd 51 5 22" xfId="38916"/>
    <cellStyle name="asd 51 5 23" xfId="40600"/>
    <cellStyle name="asd 51 5 24" xfId="42588"/>
    <cellStyle name="asd 51 5 3" xfId="4670"/>
    <cellStyle name="asd 51 5 4" xfId="6117"/>
    <cellStyle name="asd 51 5 5" xfId="7568"/>
    <cellStyle name="asd 51 5 6" xfId="9478"/>
    <cellStyle name="asd 51 5 7" xfId="12291"/>
    <cellStyle name="asd 51 5 8" xfId="13264"/>
    <cellStyle name="asd 51 5 9" xfId="15168"/>
    <cellStyle name="asd 51 6" xfId="3071"/>
    <cellStyle name="asd 51 6 10" xfId="19152"/>
    <cellStyle name="asd 51 6 11" xfId="21064"/>
    <cellStyle name="asd 51 6 12" xfId="23951"/>
    <cellStyle name="asd 51 6 13" xfId="24866"/>
    <cellStyle name="asd 51 6 14" xfId="26719"/>
    <cellStyle name="asd 51 6 15" xfId="28161"/>
    <cellStyle name="asd 51 6 16" xfId="30319"/>
    <cellStyle name="asd 51 6 17" xfId="31849"/>
    <cellStyle name="asd 51 6 18" xfId="34408"/>
    <cellStyle name="asd 51 6 19" xfId="35693"/>
    <cellStyle name="asd 51 6 2" xfId="5581"/>
    <cellStyle name="asd 51 6 2 10" xfId="21831"/>
    <cellStyle name="asd 51 6 2 11" xfId="22711"/>
    <cellStyle name="asd 51 6 2 12" xfId="25633"/>
    <cellStyle name="asd 51 6 2 13" xfId="26353"/>
    <cellStyle name="asd 51 6 2 14" xfId="28607"/>
    <cellStyle name="asd 51 6 2 15" xfId="29961"/>
    <cellStyle name="asd 51 6 2 16" xfId="33203"/>
    <cellStyle name="asd 51 6 2 17" xfId="34671"/>
    <cellStyle name="asd 51 6 2 18" xfId="36460"/>
    <cellStyle name="asd 51 6 2 19" xfId="38339"/>
    <cellStyle name="asd 51 6 2 2" xfId="7030"/>
    <cellStyle name="asd 51 6 2 20" xfId="40393"/>
    <cellStyle name="asd 51 6 2 21" xfId="42049"/>
    <cellStyle name="asd 51 6 2 22" xfId="42511"/>
    <cellStyle name="asd 51 6 2 3" xfId="8484"/>
    <cellStyle name="asd 51 6 2 4" xfId="10394"/>
    <cellStyle name="asd 51 6 2 5" xfId="11472"/>
    <cellStyle name="asd 51 6 2 6" xfId="13179"/>
    <cellStyle name="asd 51 6 2 7" xfId="15083"/>
    <cellStyle name="asd 51 6 2 8" xfId="18013"/>
    <cellStyle name="asd 51 6 2 9" xfId="19919"/>
    <cellStyle name="asd 51 6 20" xfId="37572"/>
    <cellStyle name="asd 51 6 21" xfId="39086"/>
    <cellStyle name="asd 51 6 22" xfId="40767"/>
    <cellStyle name="asd 51 6 23" xfId="43697"/>
    <cellStyle name="asd 51 6 3" xfId="4816"/>
    <cellStyle name="asd 51 6 4" xfId="7717"/>
    <cellStyle name="asd 51 6 5" xfId="9627"/>
    <cellStyle name="asd 51 6 6" xfId="11911"/>
    <cellStyle name="asd 51 6 7" xfId="14421"/>
    <cellStyle name="asd 51 6 8" xfId="16327"/>
    <cellStyle name="asd 51 6 9" xfId="17246"/>
    <cellStyle name="asd 51 7" xfId="3161"/>
    <cellStyle name="asd 51 7 10" xfId="19170"/>
    <cellStyle name="asd 51 7 11" xfId="21082"/>
    <cellStyle name="asd 51 7 12" xfId="23214"/>
    <cellStyle name="asd 51 7 13" xfId="24884"/>
    <cellStyle name="asd 51 7 14" xfId="26466"/>
    <cellStyle name="asd 51 7 15" xfId="28150"/>
    <cellStyle name="asd 51 7 16" xfId="30071"/>
    <cellStyle name="asd 51 7 17" xfId="31651"/>
    <cellStyle name="asd 51 7 18" xfId="33666"/>
    <cellStyle name="asd 51 7 19" xfId="35711"/>
    <cellStyle name="asd 51 7 2" xfId="4617"/>
    <cellStyle name="asd 51 7 2 10" xfId="20862"/>
    <cellStyle name="asd 51 7 2 11" xfId="22518"/>
    <cellStyle name="asd 51 7 2 12" xfId="24664"/>
    <cellStyle name="asd 51 7 2 13" xfId="27548"/>
    <cellStyle name="asd 51 7 2 14" xfId="26147"/>
    <cellStyle name="asd 51 7 2 15" xfId="31129"/>
    <cellStyle name="asd 51 7 2 16" xfId="31600"/>
    <cellStyle name="asd 51 7 2 17" xfId="33965"/>
    <cellStyle name="asd 51 7 2 18" xfId="35492"/>
    <cellStyle name="asd 51 7 2 19" xfId="37370"/>
    <cellStyle name="asd 51 7 2 2" xfId="6065"/>
    <cellStyle name="asd 51 7 2 20" xfId="38847"/>
    <cellStyle name="asd 51 7 2 21" xfId="40533"/>
    <cellStyle name="asd 51 7 2 22" xfId="42328"/>
    <cellStyle name="asd 51 7 2 3" xfId="7514"/>
    <cellStyle name="asd 51 7 2 4" xfId="9424"/>
    <cellStyle name="asd 51 7 2 5" xfId="11182"/>
    <cellStyle name="asd 51 7 2 6" xfId="12986"/>
    <cellStyle name="asd 51 7 2 7" xfId="14890"/>
    <cellStyle name="asd 51 7 2 8" xfId="17043"/>
    <cellStyle name="asd 51 7 2 9" xfId="18950"/>
    <cellStyle name="asd 51 7 20" xfId="37590"/>
    <cellStyle name="asd 51 7 21" xfId="38896"/>
    <cellStyle name="asd 51 7 22" xfId="40581"/>
    <cellStyle name="asd 51 7 23" xfId="42992"/>
    <cellStyle name="asd 51 7 3" xfId="6284"/>
    <cellStyle name="asd 51 7 4" xfId="7735"/>
    <cellStyle name="asd 51 7 5" xfId="9645"/>
    <cellStyle name="asd 51 7 6" xfId="11086"/>
    <cellStyle name="asd 51 7 7" xfId="13686"/>
    <cellStyle name="asd 51 7 8" xfId="15588"/>
    <cellStyle name="asd 51 7 9" xfId="17264"/>
    <cellStyle name="asd 51 8" xfId="2234"/>
    <cellStyle name="asd 51 9" xfId="2075"/>
    <cellStyle name="asd 52" xfId="1069"/>
    <cellStyle name="asd 52 10" xfId="4729"/>
    <cellStyle name="asd 52 11" xfId="3303"/>
    <cellStyle name="asd 52 12" xfId="2276"/>
    <cellStyle name="asd 52 13" xfId="2525"/>
    <cellStyle name="asd 52 14" xfId="3034"/>
    <cellStyle name="asd 52 15" xfId="8989"/>
    <cellStyle name="asd 52 16" xfId="20432"/>
    <cellStyle name="asd 52 17" xfId="16614"/>
    <cellStyle name="asd 52 18" xfId="3293"/>
    <cellStyle name="asd 52 19" xfId="2165"/>
    <cellStyle name="asd 52 2" xfId="3366"/>
    <cellStyle name="asd 52 2 10" xfId="3975"/>
    <cellStyle name="asd 52 2 11" xfId="2628"/>
    <cellStyle name="asd 52 2 12" xfId="16665"/>
    <cellStyle name="asd 52 2 13" xfId="18572"/>
    <cellStyle name="asd 52 2 14" xfId="20484"/>
    <cellStyle name="asd 52 2 15" xfId="2099"/>
    <cellStyle name="asd 52 2 16" xfId="24286"/>
    <cellStyle name="asd 52 2 17" xfId="9004"/>
    <cellStyle name="asd 52 2 18" xfId="28715"/>
    <cellStyle name="asd 52 2 19" xfId="2140"/>
    <cellStyle name="asd 52 2 2" xfId="3546"/>
    <cellStyle name="asd 52 2 2 10" xfId="17437"/>
    <cellStyle name="asd 52 2 2 11" xfId="19343"/>
    <cellStyle name="asd 52 2 2 12" xfId="21255"/>
    <cellStyle name="asd 52 2 2 13" xfId="23764"/>
    <cellStyle name="asd 52 2 2 14" xfId="25057"/>
    <cellStyle name="asd 52 2 2 15" xfId="26787"/>
    <cellStyle name="asd 52 2 2 16" xfId="28748"/>
    <cellStyle name="asd 52 2 2 17" xfId="30386"/>
    <cellStyle name="asd 52 2 2 18" xfId="32879"/>
    <cellStyle name="asd 52 2 2 19" xfId="34268"/>
    <cellStyle name="asd 52 2 2 2" xfId="5654"/>
    <cellStyle name="asd 52 2 2 2 10" xfId="21904"/>
    <cellStyle name="asd 52 2 2 2 11" xfId="23960"/>
    <cellStyle name="asd 52 2 2 2 12" xfId="25706"/>
    <cellStyle name="asd 52 2 2 2 13" xfId="27436"/>
    <cellStyle name="asd 52 2 2 2 14" xfId="29525"/>
    <cellStyle name="asd 52 2 2 2 15" xfId="31022"/>
    <cellStyle name="asd 52 2 2 2 16" xfId="32368"/>
    <cellStyle name="asd 52 2 2 2 17" xfId="34695"/>
    <cellStyle name="asd 52 2 2 2 18" xfId="36533"/>
    <cellStyle name="asd 52 2 2 2 19" xfId="38412"/>
    <cellStyle name="asd 52 2 2 2 2" xfId="7103"/>
    <cellStyle name="asd 52 2 2 2 20" xfId="39586"/>
    <cellStyle name="asd 52 2 2 2 21" xfId="41260"/>
    <cellStyle name="asd 52 2 2 2 22" xfId="43706"/>
    <cellStyle name="asd 52 2 2 2 3" xfId="8557"/>
    <cellStyle name="asd 52 2 2 2 4" xfId="10467"/>
    <cellStyle name="asd 52 2 2 2 5" xfId="11920"/>
    <cellStyle name="asd 52 2 2 2 6" xfId="14430"/>
    <cellStyle name="asd 52 2 2 2 7" xfId="16336"/>
    <cellStyle name="asd 52 2 2 2 8" xfId="18086"/>
    <cellStyle name="asd 52 2 2 2 9" xfId="19992"/>
    <cellStyle name="asd 52 2 2 20" xfId="35884"/>
    <cellStyle name="asd 52 2 2 21" xfId="37763"/>
    <cellStyle name="asd 52 2 2 22" xfId="40084"/>
    <cellStyle name="asd 52 2 2 23" xfId="41747"/>
    <cellStyle name="asd 52 2 2 24" xfId="43517"/>
    <cellStyle name="asd 52 2 2 3" xfId="5007"/>
    <cellStyle name="asd 52 2 2 4" xfId="6457"/>
    <cellStyle name="asd 52 2 2 5" xfId="7908"/>
    <cellStyle name="asd 52 2 2 6" xfId="9818"/>
    <cellStyle name="asd 52 2 2 7" xfId="11795"/>
    <cellStyle name="asd 52 2 2 8" xfId="14234"/>
    <cellStyle name="asd 52 2 2 9" xfId="16138"/>
    <cellStyle name="asd 52 2 20" xfId="2039"/>
    <cellStyle name="asd 52 2 21" xfId="23582"/>
    <cellStyle name="asd 52 2 22" xfId="35114"/>
    <cellStyle name="asd 52 2 23" xfId="36992"/>
    <cellStyle name="asd 52 2 24" xfId="34480"/>
    <cellStyle name="asd 52 2 25" xfId="40499"/>
    <cellStyle name="asd 52 2 26" xfId="31586"/>
    <cellStyle name="asd 52 2 3" xfId="3877"/>
    <cellStyle name="asd 52 2 3 10" xfId="19587"/>
    <cellStyle name="asd 52 2 3 11" xfId="21499"/>
    <cellStyle name="asd 52 2 3 12" xfId="23629"/>
    <cellStyle name="asd 52 2 3 13" xfId="25301"/>
    <cellStyle name="asd 52 2 3 14" xfId="2604"/>
    <cellStyle name="asd 52 2 3 15" xfId="3756"/>
    <cellStyle name="asd 52 2 3 16" xfId="8979"/>
    <cellStyle name="asd 52 2 3 17" xfId="15235"/>
    <cellStyle name="asd 52 2 3 18" xfId="28045"/>
    <cellStyle name="asd 52 2 3 19" xfId="36128"/>
    <cellStyle name="asd 52 2 3 2" xfId="5857"/>
    <cellStyle name="asd 52 2 3 2 10" xfId="22107"/>
    <cellStyle name="asd 52 2 3 2 11" xfId="23632"/>
    <cellStyle name="asd 52 2 3 2 12" xfId="25909"/>
    <cellStyle name="asd 52 2 3 2 13" xfId="27428"/>
    <cellStyle name="asd 52 2 3 2 14" xfId="28837"/>
    <cellStyle name="asd 52 2 3 2 15" xfId="31014"/>
    <cellStyle name="asd 52 2 3 2 16" xfId="31678"/>
    <cellStyle name="asd 52 2 3 2 17" xfId="34100"/>
    <cellStyle name="asd 52 2 3 2 18" xfId="36736"/>
    <cellStyle name="asd 52 2 3 2 19" xfId="38615"/>
    <cellStyle name="asd 52 2 3 2 2" xfId="7306"/>
    <cellStyle name="asd 52 2 3 2 20" xfId="38921"/>
    <cellStyle name="asd 52 2 3 2 21" xfId="40605"/>
    <cellStyle name="asd 52 2 3 2 22" xfId="43390"/>
    <cellStyle name="asd 52 2 3 2 3" xfId="8760"/>
    <cellStyle name="asd 52 2 3 2 4" xfId="10670"/>
    <cellStyle name="asd 52 2 3 2 5" xfId="11641"/>
    <cellStyle name="asd 52 2 3 2 6" xfId="14102"/>
    <cellStyle name="asd 52 2 3 2 7" xfId="16005"/>
    <cellStyle name="asd 52 2 3 2 8" xfId="18289"/>
    <cellStyle name="asd 52 2 3 2 9" xfId="20195"/>
    <cellStyle name="asd 52 2 3 20" xfId="38007"/>
    <cellStyle name="asd 52 2 3 21" xfId="29755"/>
    <cellStyle name="asd 52 2 3 22" xfId="28728"/>
    <cellStyle name="asd 52 2 3 23" xfId="43387"/>
    <cellStyle name="asd 52 2 3 3" xfId="5251"/>
    <cellStyle name="asd 52 2 3 4" xfId="8152"/>
    <cellStyle name="asd 52 2 3 5" xfId="10062"/>
    <cellStyle name="asd 52 2 3 6" xfId="11458"/>
    <cellStyle name="asd 52 2 3 7" xfId="14099"/>
    <cellStyle name="asd 52 2 3 8" xfId="16002"/>
    <cellStyle name="asd 52 2 3 9" xfId="17681"/>
    <cellStyle name="asd 52 2 4" xfId="3998"/>
    <cellStyle name="asd 52 2 4 10" xfId="19633"/>
    <cellStyle name="asd 52 2 4 11" xfId="21545"/>
    <cellStyle name="asd 52 2 4 12" xfId="22453"/>
    <cellStyle name="asd 52 2 4 13" xfId="25347"/>
    <cellStyle name="asd 52 2 4 14" xfId="26731"/>
    <cellStyle name="asd 52 2 4 15" xfId="28836"/>
    <cellStyle name="asd 52 2 4 16" xfId="30331"/>
    <cellStyle name="asd 52 2 4 17" xfId="32442"/>
    <cellStyle name="asd 52 2 4 18" xfId="33789"/>
    <cellStyle name="asd 52 2 4 19" xfId="36174"/>
    <cellStyle name="asd 52 2 4 2" xfId="5903"/>
    <cellStyle name="asd 52 2 4 2 10" xfId="22153"/>
    <cellStyle name="asd 52 2 4 2 11" xfId="24012"/>
    <cellStyle name="asd 52 2 4 2 12" xfId="25955"/>
    <cellStyle name="asd 52 2 4 2 13" xfId="27526"/>
    <cellStyle name="asd 52 2 4 2 14" xfId="29361"/>
    <cellStyle name="asd 52 2 4 2 15" xfId="31108"/>
    <cellStyle name="asd 52 2 4 2 16" xfId="32247"/>
    <cellStyle name="asd 52 2 4 2 17" xfId="33786"/>
    <cellStyle name="asd 52 2 4 2 18" xfId="36782"/>
    <cellStyle name="asd 52 2 4 2 19" xfId="38661"/>
    <cellStyle name="asd 52 2 4 2 2" xfId="7352"/>
    <cellStyle name="asd 52 2 4 2 20" xfId="39465"/>
    <cellStyle name="asd 52 2 4 2 21" xfId="41140"/>
    <cellStyle name="asd 52 2 4 2 22" xfId="43756"/>
    <cellStyle name="asd 52 2 4 2 3" xfId="8806"/>
    <cellStyle name="asd 52 2 4 2 4" xfId="10716"/>
    <cellStyle name="asd 52 2 4 2 5" xfId="11971"/>
    <cellStyle name="asd 52 2 4 2 6" xfId="14482"/>
    <cellStyle name="asd 52 2 4 2 7" xfId="16388"/>
    <cellStyle name="asd 52 2 4 2 8" xfId="18335"/>
    <cellStyle name="asd 52 2 4 2 9" xfId="20241"/>
    <cellStyle name="asd 52 2 4 20" xfId="38053"/>
    <cellStyle name="asd 52 2 4 21" xfId="39659"/>
    <cellStyle name="asd 52 2 4 22" xfId="41333"/>
    <cellStyle name="asd 52 2 4 23" xfId="42264"/>
    <cellStyle name="asd 52 2 4 3" xfId="6744"/>
    <cellStyle name="asd 52 2 4 4" xfId="8198"/>
    <cellStyle name="asd 52 2 4 5" xfId="10108"/>
    <cellStyle name="asd 52 2 4 6" xfId="11270"/>
    <cellStyle name="asd 52 2 4 7" xfId="12921"/>
    <cellStyle name="asd 52 2 4 8" xfId="14826"/>
    <cellStyle name="asd 52 2 4 9" xfId="17727"/>
    <cellStyle name="asd 52 2 5" xfId="4874"/>
    <cellStyle name="asd 52 2 5 10" xfId="21122"/>
    <cellStyle name="asd 52 2 5 11" xfId="23404"/>
    <cellStyle name="asd 52 2 5 12" xfId="24924"/>
    <cellStyle name="asd 52 2 5 13" xfId="26803"/>
    <cellStyle name="asd 52 2 5 14" xfId="29383"/>
    <cellStyle name="asd 52 2 5 15" xfId="30401"/>
    <cellStyle name="asd 52 2 5 16" xfId="32149"/>
    <cellStyle name="asd 52 2 5 17" xfId="33575"/>
    <cellStyle name="asd 52 2 5 18" xfId="35751"/>
    <cellStyle name="asd 52 2 5 19" xfId="37630"/>
    <cellStyle name="asd 52 2 5 2" xfId="6324"/>
    <cellStyle name="asd 52 2 5 20" xfId="39372"/>
    <cellStyle name="asd 52 2 5 21" xfId="41048"/>
    <cellStyle name="asd 52 2 5 22" xfId="43171"/>
    <cellStyle name="asd 52 2 5 3" xfId="7775"/>
    <cellStyle name="asd 52 2 5 4" xfId="9685"/>
    <cellStyle name="asd 52 2 5 5" xfId="12255"/>
    <cellStyle name="asd 52 2 5 6" xfId="13876"/>
    <cellStyle name="asd 52 2 5 7" xfId="15777"/>
    <cellStyle name="asd 52 2 5 8" xfId="17304"/>
    <cellStyle name="asd 52 2 5 9" xfId="19210"/>
    <cellStyle name="asd 52 2 6" xfId="4332"/>
    <cellStyle name="asd 52 2 6 10" xfId="20512"/>
    <cellStyle name="asd 52 2 6 11" xfId="22674"/>
    <cellStyle name="asd 52 2 6 12" xfId="24314"/>
    <cellStyle name="asd 52 2 6 13" xfId="27233"/>
    <cellStyle name="asd 52 2 6 14" xfId="28571"/>
    <cellStyle name="asd 52 2 6 15" xfId="30824"/>
    <cellStyle name="asd 52 2 6 16" xfId="31684"/>
    <cellStyle name="asd 52 2 6 17" xfId="33901"/>
    <cellStyle name="asd 52 2 6 18" xfId="35142"/>
    <cellStyle name="asd 52 2 6 19" xfId="37020"/>
    <cellStyle name="asd 52 2 6 2" xfId="4370"/>
    <cellStyle name="asd 52 2 6 20" xfId="38926"/>
    <cellStyle name="asd 52 2 6 21" xfId="40610"/>
    <cellStyle name="asd 52 2 6 22" xfId="42479"/>
    <cellStyle name="asd 52 2 6 3" xfId="5351"/>
    <cellStyle name="asd 52 2 6 4" xfId="9074"/>
    <cellStyle name="asd 52 2 6 5" xfId="11474"/>
    <cellStyle name="asd 52 2 6 6" xfId="13141"/>
    <cellStyle name="asd 52 2 6 7" xfId="15046"/>
    <cellStyle name="asd 52 2 6 8" xfId="16693"/>
    <cellStyle name="asd 52 2 6 9" xfId="18600"/>
    <cellStyle name="asd 52 2 7" xfId="4277"/>
    <cellStyle name="asd 52 2 8" xfId="9046"/>
    <cellStyle name="asd 52 2 9" xfId="12290"/>
    <cellStyle name="asd 52 20" xfId="1806"/>
    <cellStyle name="asd 52 21" xfId="15065"/>
    <cellStyle name="asd 52 22" xfId="28235"/>
    <cellStyle name="asd 52 23" xfId="28475"/>
    <cellStyle name="asd 52 24" xfId="28350"/>
    <cellStyle name="asd 52 25" xfId="31579"/>
    <cellStyle name="asd 52 26" xfId="34974"/>
    <cellStyle name="asd 52 27" xfId="2456"/>
    <cellStyle name="asd 52 3" xfId="3446"/>
    <cellStyle name="asd 52 3 10" xfId="13934"/>
    <cellStyle name="asd 52 3 11" xfId="15835"/>
    <cellStyle name="asd 52 3 12" xfId="16831"/>
    <cellStyle name="asd 52 3 13" xfId="18738"/>
    <cellStyle name="asd 52 3 14" xfId="20650"/>
    <cellStyle name="asd 52 3 15" xfId="23462"/>
    <cellStyle name="asd 52 3 16" xfId="24452"/>
    <cellStyle name="asd 52 3 17" xfId="26998"/>
    <cellStyle name="asd 52 3 18" xfId="28628"/>
    <cellStyle name="asd 52 3 19" xfId="30592"/>
    <cellStyle name="asd 52 3 2" xfId="3626"/>
    <cellStyle name="asd 52 3 2 10" xfId="17517"/>
    <cellStyle name="asd 52 3 2 11" xfId="19423"/>
    <cellStyle name="asd 52 3 2 12" xfId="21335"/>
    <cellStyle name="asd 52 3 2 13" xfId="22833"/>
    <cellStyle name="asd 52 3 2 14" xfId="25137"/>
    <cellStyle name="asd 52 3 2 15" xfId="26868"/>
    <cellStyle name="asd 52 3 2 16" xfId="28242"/>
    <cellStyle name="asd 52 3 2 17" xfId="30464"/>
    <cellStyle name="asd 52 3 2 18" xfId="32054"/>
    <cellStyle name="asd 52 3 2 19" xfId="16584"/>
    <cellStyle name="asd 52 3 2 2" xfId="5555"/>
    <cellStyle name="asd 52 3 2 2 10" xfId="21805"/>
    <cellStyle name="asd 52 3 2 2 11" xfId="23994"/>
    <cellStyle name="asd 52 3 2 2 12" xfId="25607"/>
    <cellStyle name="asd 52 3 2 2 13" xfId="26584"/>
    <cellStyle name="asd 52 3 2 2 14" xfId="13539"/>
    <cellStyle name="asd 52 3 2 2 15" xfId="30186"/>
    <cellStyle name="asd 52 3 2 2 16" xfId="31972"/>
    <cellStyle name="asd 52 3 2 2 17" xfId="34871"/>
    <cellStyle name="asd 52 3 2 2 18" xfId="36434"/>
    <cellStyle name="asd 52 3 2 2 19" xfId="38313"/>
    <cellStyle name="asd 52 3 2 2 2" xfId="7004"/>
    <cellStyle name="asd 52 3 2 2 20" xfId="39202"/>
    <cellStyle name="asd 52 3 2 2 21" xfId="40883"/>
    <cellStyle name="asd 52 3 2 2 22" xfId="43738"/>
    <cellStyle name="asd 52 3 2 2 3" xfId="8458"/>
    <cellStyle name="asd 52 3 2 2 4" xfId="10368"/>
    <cellStyle name="asd 52 3 2 2 5" xfId="11953"/>
    <cellStyle name="asd 52 3 2 2 6" xfId="14464"/>
    <cellStyle name="asd 52 3 2 2 7" xfId="16370"/>
    <cellStyle name="asd 52 3 2 2 8" xfId="17987"/>
    <cellStyle name="asd 52 3 2 2 9" xfId="19893"/>
    <cellStyle name="asd 52 3 2 20" xfId="35964"/>
    <cellStyle name="asd 52 3 2 21" xfId="37843"/>
    <cellStyle name="asd 52 3 2 22" xfId="39281"/>
    <cellStyle name="asd 52 3 2 23" xfId="40957"/>
    <cellStyle name="asd 52 3 2 24" xfId="42624"/>
    <cellStyle name="asd 52 3 2 3" xfId="5087"/>
    <cellStyle name="asd 52 3 2 4" xfId="6537"/>
    <cellStyle name="asd 52 3 2 5" xfId="7988"/>
    <cellStyle name="asd 52 3 2 6" xfId="9898"/>
    <cellStyle name="asd 52 3 2 7" xfId="11159"/>
    <cellStyle name="asd 52 3 2 8" xfId="13302"/>
    <cellStyle name="asd 52 3 2 9" xfId="15206"/>
    <cellStyle name="asd 52 3 20" xfId="31857"/>
    <cellStyle name="asd 52 3 21" xfId="35009"/>
    <cellStyle name="asd 52 3 22" xfId="35280"/>
    <cellStyle name="asd 52 3 23" xfId="37158"/>
    <cellStyle name="asd 52 3 24" xfId="39092"/>
    <cellStyle name="asd 52 3 25" xfId="40773"/>
    <cellStyle name="asd 52 3 26" xfId="43229"/>
    <cellStyle name="asd 52 3 3" xfId="3844"/>
    <cellStyle name="asd 52 3 3 10" xfId="19567"/>
    <cellStyle name="asd 52 3 3 11" xfId="21479"/>
    <cellStyle name="asd 52 3 3 12" xfId="22362"/>
    <cellStyle name="asd 52 3 3 13" xfId="25281"/>
    <cellStyle name="asd 52 3 3 14" xfId="26796"/>
    <cellStyle name="asd 52 3 3 15" xfId="29393"/>
    <cellStyle name="asd 52 3 3 16" xfId="30394"/>
    <cellStyle name="asd 52 3 3 17" xfId="32775"/>
    <cellStyle name="asd 52 3 3 18" xfId="34006"/>
    <cellStyle name="asd 52 3 3 19" xfId="36108"/>
    <cellStyle name="asd 52 3 3 2" xfId="5837"/>
    <cellStyle name="asd 52 3 3 2 10" xfId="22087"/>
    <cellStyle name="asd 52 3 3 2 11" xfId="24016"/>
    <cellStyle name="asd 52 3 3 2 12" xfId="25889"/>
    <cellStyle name="asd 52 3 3 2 13" xfId="27742"/>
    <cellStyle name="asd 52 3 3 2 14" xfId="28134"/>
    <cellStyle name="asd 52 3 3 2 15" xfId="31320"/>
    <cellStyle name="asd 52 3 3 2 16" xfId="31938"/>
    <cellStyle name="asd 52 3 3 2 17" xfId="33832"/>
    <cellStyle name="asd 52 3 3 2 18" xfId="36716"/>
    <cellStyle name="asd 52 3 3 2 19" xfId="38595"/>
    <cellStyle name="asd 52 3 3 2 2" xfId="7286"/>
    <cellStyle name="asd 52 3 3 2 20" xfId="39168"/>
    <cellStyle name="asd 52 3 3 2 21" xfId="40849"/>
    <cellStyle name="asd 52 3 3 2 22" xfId="43760"/>
    <cellStyle name="asd 52 3 3 2 3" xfId="8740"/>
    <cellStyle name="asd 52 3 3 2 4" xfId="10650"/>
    <cellStyle name="asd 52 3 3 2 5" xfId="11975"/>
    <cellStyle name="asd 52 3 3 2 6" xfId="14486"/>
    <cellStyle name="asd 52 3 3 2 7" xfId="16392"/>
    <cellStyle name="asd 52 3 3 2 8" xfId="18269"/>
    <cellStyle name="asd 52 3 3 2 9" xfId="20175"/>
    <cellStyle name="asd 52 3 3 20" xfId="37987"/>
    <cellStyle name="asd 52 3 3 21" xfId="39984"/>
    <cellStyle name="asd 52 3 3 22" xfId="41648"/>
    <cellStyle name="asd 52 3 3 23" xfId="42174"/>
    <cellStyle name="asd 52 3 3 3" xfId="5231"/>
    <cellStyle name="asd 52 3 3 4" xfId="8132"/>
    <cellStyle name="asd 52 3 3 5" xfId="10042"/>
    <cellStyle name="asd 52 3 3 6" xfId="10946"/>
    <cellStyle name="asd 52 3 3 7" xfId="12829"/>
    <cellStyle name="asd 52 3 3 8" xfId="14734"/>
    <cellStyle name="asd 52 3 3 9" xfId="17661"/>
    <cellStyle name="asd 52 3 4" xfId="4078"/>
    <cellStyle name="asd 52 3 4 10" xfId="19713"/>
    <cellStyle name="asd 52 3 4 11" xfId="21625"/>
    <cellStyle name="asd 52 3 4 12" xfId="23691"/>
    <cellStyle name="asd 52 3 4 13" xfId="25427"/>
    <cellStyle name="asd 52 3 4 14" xfId="26531"/>
    <cellStyle name="asd 52 3 4 15" xfId="28727"/>
    <cellStyle name="asd 52 3 4 16" xfId="30137"/>
    <cellStyle name="asd 52 3 4 17" xfId="33273"/>
    <cellStyle name="asd 52 3 4 18" xfId="34525"/>
    <cellStyle name="asd 52 3 4 19" xfId="36254"/>
    <cellStyle name="asd 52 3 4 2" xfId="5983"/>
    <cellStyle name="asd 52 3 4 2 10" xfId="22233"/>
    <cellStyle name="asd 52 3 4 2 11" xfId="23523"/>
    <cellStyle name="asd 52 3 4 2 12" xfId="26035"/>
    <cellStyle name="asd 52 3 4 2 13" xfId="27966"/>
    <cellStyle name="asd 52 3 4 2 14" xfId="2128"/>
    <cellStyle name="asd 52 3 4 2 15" xfId="31546"/>
    <cellStyle name="asd 52 3 4 2 16" xfId="8971"/>
    <cellStyle name="asd 52 3 4 2 17" xfId="28957"/>
    <cellStyle name="asd 52 3 4 2 18" xfId="36862"/>
    <cellStyle name="asd 52 3 4 2 19" xfId="38741"/>
    <cellStyle name="asd 52 3 4 2 2" xfId="7432"/>
    <cellStyle name="asd 52 3 4 2 20" xfId="28461"/>
    <cellStyle name="asd 52 3 4 2 21" xfId="30954"/>
    <cellStyle name="asd 52 3 4 2 22" xfId="43288"/>
    <cellStyle name="asd 52 3 4 2 3" xfId="8886"/>
    <cellStyle name="asd 52 3 4 2 4" xfId="10796"/>
    <cellStyle name="asd 52 3 4 2 5" xfId="12529"/>
    <cellStyle name="asd 52 3 4 2 6" xfId="13995"/>
    <cellStyle name="asd 52 3 4 2 7" xfId="15896"/>
    <cellStyle name="asd 52 3 4 2 8" xfId="18415"/>
    <cellStyle name="asd 52 3 4 2 9" xfId="20321"/>
    <cellStyle name="asd 52 3 4 20" xfId="38133"/>
    <cellStyle name="asd 52 3 4 21" xfId="40459"/>
    <cellStyle name="asd 52 3 4 22" xfId="42114"/>
    <cellStyle name="asd 52 3 4 23" xfId="43448"/>
    <cellStyle name="asd 52 3 4 3" xfId="6824"/>
    <cellStyle name="asd 52 3 4 4" xfId="8278"/>
    <cellStyle name="asd 52 3 4 5" xfId="10188"/>
    <cellStyle name="asd 52 3 4 6" xfId="11452"/>
    <cellStyle name="asd 52 3 4 7" xfId="14161"/>
    <cellStyle name="asd 52 3 4 8" xfId="16065"/>
    <cellStyle name="asd 52 3 4 9" xfId="17807"/>
    <cellStyle name="asd 52 3 5" xfId="4933"/>
    <cellStyle name="asd 52 3 5 10" xfId="21181"/>
    <cellStyle name="asd 52 3 5 11" xfId="22784"/>
    <cellStyle name="asd 52 3 5 12" xfId="24983"/>
    <cellStyle name="asd 52 3 5 13" xfId="27973"/>
    <cellStyle name="asd 52 3 5 14" xfId="22312"/>
    <cellStyle name="asd 52 3 5 15" xfId="31553"/>
    <cellStyle name="asd 52 3 5 16" xfId="2057"/>
    <cellStyle name="asd 52 3 5 17" xfId="4261"/>
    <cellStyle name="asd 52 3 5 18" xfId="35810"/>
    <cellStyle name="asd 52 3 5 19" xfId="37689"/>
    <cellStyle name="asd 52 3 5 2" xfId="6383"/>
    <cellStyle name="asd 52 3 5 20" xfId="29734"/>
    <cellStyle name="asd 52 3 5 21" xfId="33747"/>
    <cellStyle name="asd 52 3 5 22" xfId="42577"/>
    <cellStyle name="asd 52 3 5 3" xfId="7834"/>
    <cellStyle name="asd 52 3 5 4" xfId="9744"/>
    <cellStyle name="asd 52 3 5 5" xfId="3048"/>
    <cellStyle name="asd 52 3 5 6" xfId="13253"/>
    <cellStyle name="asd 52 3 5 7" xfId="15157"/>
    <cellStyle name="asd 52 3 5 8" xfId="17363"/>
    <cellStyle name="asd 52 3 5 9" xfId="19269"/>
    <cellStyle name="asd 52 3 6" xfId="5629"/>
    <cellStyle name="asd 52 3 6 10" xfId="21879"/>
    <cellStyle name="asd 52 3 6 11" xfId="23567"/>
    <cellStyle name="asd 52 3 6 12" xfId="25681"/>
    <cellStyle name="asd 52 3 6 13" xfId="26656"/>
    <cellStyle name="asd 52 3 6 14" xfId="28415"/>
    <cellStyle name="asd 52 3 6 15" xfId="30256"/>
    <cellStyle name="asd 52 3 6 16" xfId="32449"/>
    <cellStyle name="asd 52 3 6 17" xfId="34418"/>
    <cellStyle name="asd 52 3 6 18" xfId="36508"/>
    <cellStyle name="asd 52 3 6 19" xfId="38387"/>
    <cellStyle name="asd 52 3 6 2" xfId="7078"/>
    <cellStyle name="asd 52 3 6 20" xfId="39666"/>
    <cellStyle name="asd 52 3 6 21" xfId="41340"/>
    <cellStyle name="asd 52 3 6 22" xfId="43331"/>
    <cellStyle name="asd 52 3 6 3" xfId="8532"/>
    <cellStyle name="asd 52 3 6 4" xfId="10442"/>
    <cellStyle name="asd 52 3 6 5" xfId="12499"/>
    <cellStyle name="asd 52 3 6 6" xfId="14039"/>
    <cellStyle name="asd 52 3 6 7" xfId="15940"/>
    <cellStyle name="asd 52 3 6 8" xfId="18061"/>
    <cellStyle name="asd 52 3 6 9" xfId="19967"/>
    <cellStyle name="asd 52 3 7" xfId="4699"/>
    <cellStyle name="asd 52 3 8" xfId="9212"/>
    <cellStyle name="asd 52 3 9" xfId="12413"/>
    <cellStyle name="asd 52 4" xfId="3354"/>
    <cellStyle name="asd 52 4 10" xfId="15134"/>
    <cellStyle name="asd 52 4 11" xfId="16634"/>
    <cellStyle name="asd 52 4 12" xfId="18541"/>
    <cellStyle name="asd 52 4 13" xfId="20453"/>
    <cellStyle name="asd 52 4 14" xfId="22762"/>
    <cellStyle name="asd 52 4 15" xfId="24255"/>
    <cellStyle name="asd 52 4 16" xfId="27287"/>
    <cellStyle name="asd 52 4 17" xfId="24238"/>
    <cellStyle name="asd 52 4 18" xfId="30878"/>
    <cellStyle name="asd 52 4 19" xfId="31664"/>
    <cellStyle name="asd 52 4 2" xfId="3534"/>
    <cellStyle name="asd 52 4 2 10" xfId="17425"/>
    <cellStyle name="asd 52 4 2 11" xfId="19331"/>
    <cellStyle name="asd 52 4 2 12" xfId="21243"/>
    <cellStyle name="asd 52 4 2 13" xfId="23450"/>
    <cellStyle name="asd 52 4 2 14" xfId="25045"/>
    <cellStyle name="asd 52 4 2 15" xfId="26482"/>
    <cellStyle name="asd 52 4 2 16" xfId="22338"/>
    <cellStyle name="asd 52 4 2 17" xfId="30088"/>
    <cellStyle name="asd 52 4 2 18" xfId="33284"/>
    <cellStyle name="asd 52 4 2 19" xfId="34574"/>
    <cellStyle name="asd 52 4 2 2" xfId="5592"/>
    <cellStyle name="asd 52 4 2 2 10" xfId="21842"/>
    <cellStyle name="asd 52 4 2 2 11" xfId="22760"/>
    <cellStyle name="asd 52 4 2 2 12" xfId="25644"/>
    <cellStyle name="asd 52 4 2 2 13" xfId="26858"/>
    <cellStyle name="asd 52 4 2 2 14" xfId="28113"/>
    <cellStyle name="asd 52 4 2 2 15" xfId="30455"/>
    <cellStyle name="asd 52 4 2 2 16" xfId="32724"/>
    <cellStyle name="asd 52 4 2 2 17" xfId="33733"/>
    <cellStyle name="asd 52 4 2 2 18" xfId="36471"/>
    <cellStyle name="asd 52 4 2 2 19" xfId="38350"/>
    <cellStyle name="asd 52 4 2 2 2" xfId="7041"/>
    <cellStyle name="asd 52 4 2 2 20" xfId="39934"/>
    <cellStyle name="asd 52 4 2 2 21" xfId="41600"/>
    <cellStyle name="asd 52 4 2 2 22" xfId="42557"/>
    <cellStyle name="asd 52 4 2 2 3" xfId="8495"/>
    <cellStyle name="asd 52 4 2 2 4" xfId="10405"/>
    <cellStyle name="asd 52 4 2 2 5" xfId="12221"/>
    <cellStyle name="asd 52 4 2 2 6" xfId="13229"/>
    <cellStyle name="asd 52 4 2 2 7" xfId="15132"/>
    <cellStyle name="asd 52 4 2 2 8" xfId="18024"/>
    <cellStyle name="asd 52 4 2 2 9" xfId="19930"/>
    <cellStyle name="asd 52 4 2 20" xfId="35872"/>
    <cellStyle name="asd 52 4 2 21" xfId="37751"/>
    <cellStyle name="asd 52 4 2 22" xfId="40468"/>
    <cellStyle name="asd 52 4 2 23" xfId="42123"/>
    <cellStyle name="asd 52 4 2 24" xfId="43217"/>
    <cellStyle name="asd 52 4 2 3" xfId="4995"/>
    <cellStyle name="asd 52 4 2 4" xfId="6445"/>
    <cellStyle name="asd 52 4 2 5" xfId="7896"/>
    <cellStyle name="asd 52 4 2 6" xfId="9806"/>
    <cellStyle name="asd 52 4 2 7" xfId="12281"/>
    <cellStyle name="asd 52 4 2 8" xfId="13922"/>
    <cellStyle name="asd 52 4 2 9" xfId="15823"/>
    <cellStyle name="asd 52 4 20" xfId="35049"/>
    <cellStyle name="asd 52 4 21" xfId="35083"/>
    <cellStyle name="asd 52 4 22" xfId="36961"/>
    <cellStyle name="asd 52 4 23" xfId="38908"/>
    <cellStyle name="asd 52 4 24" xfId="40592"/>
    <cellStyle name="asd 52 4 25" xfId="42559"/>
    <cellStyle name="asd 52 4 3" xfId="3853"/>
    <cellStyle name="asd 52 4 3 10" xfId="19575"/>
    <cellStyle name="asd 52 4 3 11" xfId="21487"/>
    <cellStyle name="asd 52 4 3 12" xfId="23300"/>
    <cellStyle name="asd 52 4 3 13" xfId="25289"/>
    <cellStyle name="asd 52 4 3 14" xfId="27700"/>
    <cellStyle name="asd 52 4 3 15" xfId="28816"/>
    <cellStyle name="asd 52 4 3 16" xfId="31274"/>
    <cellStyle name="asd 52 4 3 17" xfId="32633"/>
    <cellStyle name="asd 52 4 3 18" xfId="34715"/>
    <cellStyle name="asd 52 4 3 19" xfId="36116"/>
    <cellStyle name="asd 52 4 3 2" xfId="5845"/>
    <cellStyle name="asd 52 4 3 2 10" xfId="22095"/>
    <cellStyle name="asd 52 4 3 2 11" xfId="23879"/>
    <cellStyle name="asd 52 4 3 2 12" xfId="25897"/>
    <cellStyle name="asd 52 4 3 2 13" xfId="26275"/>
    <cellStyle name="asd 52 4 3 2 14" xfId="28244"/>
    <cellStyle name="asd 52 4 3 2 15" xfId="29884"/>
    <cellStyle name="asd 52 4 3 2 16" xfId="32568"/>
    <cellStyle name="asd 52 4 3 2 17" xfId="33435"/>
    <cellStyle name="asd 52 4 3 2 18" xfId="36724"/>
    <cellStyle name="asd 52 4 3 2 19" xfId="38603"/>
    <cellStyle name="asd 52 4 3 2 2" xfId="7294"/>
    <cellStyle name="asd 52 4 3 2 20" xfId="39779"/>
    <cellStyle name="asd 52 4 3 2 21" xfId="41449"/>
    <cellStyle name="asd 52 4 3 2 22" xfId="43629"/>
    <cellStyle name="asd 52 4 3 2 3" xfId="8748"/>
    <cellStyle name="asd 52 4 3 2 4" xfId="10658"/>
    <cellStyle name="asd 52 4 3 2 5" xfId="11521"/>
    <cellStyle name="asd 52 4 3 2 6" xfId="14349"/>
    <cellStyle name="asd 52 4 3 2 7" xfId="16254"/>
    <cellStyle name="asd 52 4 3 2 8" xfId="18277"/>
    <cellStyle name="asd 52 4 3 2 9" xfId="20183"/>
    <cellStyle name="asd 52 4 3 20" xfId="37995"/>
    <cellStyle name="asd 52 4 3 21" xfId="39841"/>
    <cellStyle name="asd 52 4 3 22" xfId="41510"/>
    <cellStyle name="asd 52 4 3 23" xfId="43072"/>
    <cellStyle name="asd 52 4 3 3" xfId="5239"/>
    <cellStyle name="asd 52 4 3 4" xfId="8140"/>
    <cellStyle name="asd 52 4 3 5" xfId="10050"/>
    <cellStyle name="asd 52 4 3 6" xfId="11279"/>
    <cellStyle name="asd 52 4 3 7" xfId="13772"/>
    <cellStyle name="asd 52 4 3 8" xfId="15674"/>
    <cellStyle name="asd 52 4 3 9" xfId="17669"/>
    <cellStyle name="asd 52 4 4" xfId="3986"/>
    <cellStyle name="asd 52 4 4 10" xfId="19621"/>
    <cellStyle name="asd 52 4 4 11" xfId="21533"/>
    <cellStyle name="asd 52 4 4 12" xfId="23014"/>
    <cellStyle name="asd 52 4 4 13" xfId="25335"/>
    <cellStyle name="asd 52 4 4 14" xfId="26535"/>
    <cellStyle name="asd 52 4 4 15" xfId="28695"/>
    <cellStyle name="asd 52 4 4 16" xfId="30141"/>
    <cellStyle name="asd 52 4 4 17" xfId="31969"/>
    <cellStyle name="asd 52 4 4 18" xfId="33589"/>
    <cellStyle name="asd 52 4 4 19" xfId="36162"/>
    <cellStyle name="asd 52 4 4 2" xfId="5891"/>
    <cellStyle name="asd 52 4 4 2 10" xfId="22141"/>
    <cellStyle name="asd 52 4 4 2 11" xfId="23104"/>
    <cellStyle name="asd 52 4 4 2 12" xfId="25943"/>
    <cellStyle name="asd 52 4 4 2 13" xfId="26675"/>
    <cellStyle name="asd 52 4 4 2 14" xfId="28412"/>
    <cellStyle name="asd 52 4 4 2 15" xfId="30275"/>
    <cellStyle name="asd 52 4 4 2 16" xfId="33277"/>
    <cellStyle name="asd 52 4 4 2 17" xfId="33467"/>
    <cellStyle name="asd 52 4 4 2 18" xfId="36770"/>
    <cellStyle name="asd 52 4 4 2 19" xfId="38649"/>
    <cellStyle name="asd 52 4 4 2 2" xfId="7340"/>
    <cellStyle name="asd 52 4 4 2 20" xfId="40463"/>
    <cellStyle name="asd 52 4 4 2 21" xfId="42118"/>
    <cellStyle name="asd 52 4 4 2 22" xfId="42884"/>
    <cellStyle name="asd 52 4 4 2 3" xfId="8794"/>
    <cellStyle name="asd 52 4 4 2 4" xfId="10704"/>
    <cellStyle name="asd 52 4 4 2 5" xfId="12717"/>
    <cellStyle name="asd 52 4 4 2 6" xfId="13575"/>
    <cellStyle name="asd 52 4 4 2 7" xfId="15478"/>
    <cellStyle name="asd 52 4 4 2 8" xfId="18323"/>
    <cellStyle name="asd 52 4 4 2 9" xfId="20229"/>
    <cellStyle name="asd 52 4 4 20" xfId="38041"/>
    <cellStyle name="asd 52 4 4 21" xfId="39199"/>
    <cellStyle name="asd 52 4 4 22" xfId="40880"/>
    <cellStyle name="asd 52 4 4 23" xfId="42797"/>
    <cellStyle name="asd 52 4 4 3" xfId="6732"/>
    <cellStyle name="asd 52 4 4 4" xfId="8186"/>
    <cellStyle name="asd 52 4 4 5" xfId="10096"/>
    <cellStyle name="asd 52 4 4 6" xfId="12310"/>
    <cellStyle name="asd 52 4 4 7" xfId="13484"/>
    <cellStyle name="asd 52 4 4 8" xfId="15388"/>
    <cellStyle name="asd 52 4 4 9" xfId="17715"/>
    <cellStyle name="asd 52 4 5" xfId="4572"/>
    <cellStyle name="asd 52 4 5 10" xfId="20817"/>
    <cellStyle name="asd 52 4 5 11" xfId="23397"/>
    <cellStyle name="asd 52 4 5 12" xfId="24619"/>
    <cellStyle name="asd 52 4 5 13" xfId="26436"/>
    <cellStyle name="asd 52 4 5 14" xfId="28652"/>
    <cellStyle name="asd 52 4 5 15" xfId="30042"/>
    <cellStyle name="asd 52 4 5 16" xfId="32669"/>
    <cellStyle name="asd 52 4 5 17" xfId="34822"/>
    <cellStyle name="asd 52 4 5 18" xfId="35447"/>
    <cellStyle name="asd 52 4 5 19" xfId="37325"/>
    <cellStyle name="asd 52 4 5 2" xfId="5333"/>
    <cellStyle name="asd 52 4 5 20" xfId="39876"/>
    <cellStyle name="asd 52 4 5 21" xfId="41545"/>
    <cellStyle name="asd 52 4 5 22" xfId="43164"/>
    <cellStyle name="asd 52 4 5 3" xfId="6115"/>
    <cellStyle name="asd 52 4 5 4" xfId="9379"/>
    <cellStyle name="asd 52 4 5 5" xfId="11131"/>
    <cellStyle name="asd 52 4 5 6" xfId="13869"/>
    <cellStyle name="asd 52 4 5 7" xfId="15770"/>
    <cellStyle name="asd 52 4 5 8" xfId="16998"/>
    <cellStyle name="asd 52 4 5 9" xfId="18905"/>
    <cellStyle name="asd 52 4 6" xfId="3059"/>
    <cellStyle name="asd 52 4 7" xfId="9015"/>
    <cellStyle name="asd 52 4 8" xfId="11567"/>
    <cellStyle name="asd 52 4 9" xfId="13231"/>
    <cellStyle name="asd 52 5" xfId="1942"/>
    <cellStyle name="asd 52 5 10" xfId="17084"/>
    <cellStyle name="asd 52 5 11" xfId="18990"/>
    <cellStyle name="asd 52 5 12" xfId="20902"/>
    <cellStyle name="asd 52 5 13" xfId="23157"/>
    <cellStyle name="asd 52 5 14" xfId="24704"/>
    <cellStyle name="asd 52 5 15" xfId="27023"/>
    <cellStyle name="asd 52 5 16" xfId="29388"/>
    <cellStyle name="asd 52 5 17" xfId="30616"/>
    <cellStyle name="asd 52 5 18" xfId="33147"/>
    <cellStyle name="asd 52 5 19" xfId="34829"/>
    <cellStyle name="asd 52 5 2" xfId="4399"/>
    <cellStyle name="asd 52 5 2 10" xfId="20643"/>
    <cellStyle name="asd 52 5 2 11" xfId="22940"/>
    <cellStyle name="asd 52 5 2 12" xfId="24445"/>
    <cellStyle name="asd 52 5 2 13" xfId="2277"/>
    <cellStyle name="asd 52 5 2 14" xfId="2870"/>
    <cellStyle name="asd 52 5 2 15" xfId="28396"/>
    <cellStyle name="asd 52 5 2 16" xfId="27569"/>
    <cellStyle name="asd 52 5 2 17" xfId="29055"/>
    <cellStyle name="asd 52 5 2 18" xfId="35273"/>
    <cellStyle name="asd 52 5 2 19" xfId="37151"/>
    <cellStyle name="asd 52 5 2 2" xfId="5410"/>
    <cellStyle name="asd 52 5 2 20" xfId="33362"/>
    <cellStyle name="asd 52 5 2 21" xfId="35077"/>
    <cellStyle name="asd 52 5 2 22" xfId="42726"/>
    <cellStyle name="asd 52 5 2 3" xfId="6630"/>
    <cellStyle name="asd 52 5 2 4" xfId="9205"/>
    <cellStyle name="asd 52 5 2 5" xfId="12217"/>
    <cellStyle name="asd 52 5 2 6" xfId="13408"/>
    <cellStyle name="asd 52 5 2 7" xfId="15313"/>
    <cellStyle name="asd 52 5 2 8" xfId="16824"/>
    <cellStyle name="asd 52 5 2 9" xfId="18731"/>
    <cellStyle name="asd 52 5 20" xfId="35531"/>
    <cellStyle name="asd 52 5 21" xfId="37410"/>
    <cellStyle name="asd 52 5 22" xfId="40340"/>
    <cellStyle name="asd 52 5 23" xfId="41996"/>
    <cellStyle name="asd 52 5 24" xfId="42935"/>
    <cellStyle name="asd 52 5 3" xfId="4658"/>
    <cellStyle name="asd 52 5 4" xfId="6105"/>
    <cellStyle name="asd 52 5 5" xfId="7555"/>
    <cellStyle name="asd 52 5 6" xfId="9465"/>
    <cellStyle name="asd 52 5 7" xfId="10957"/>
    <cellStyle name="asd 52 5 8" xfId="13628"/>
    <cellStyle name="asd 52 5 9" xfId="15531"/>
    <cellStyle name="asd 52 6" xfId="1805"/>
    <cellStyle name="asd 52 6 10" xfId="18970"/>
    <cellStyle name="asd 52 6 11" xfId="20882"/>
    <cellStyle name="asd 52 6 12" xfId="22899"/>
    <cellStyle name="asd 52 6 13" xfId="24684"/>
    <cellStyle name="asd 52 6 14" xfId="26925"/>
    <cellStyle name="asd 52 6 15" xfId="29159"/>
    <cellStyle name="asd 52 6 16" xfId="30519"/>
    <cellStyle name="asd 52 6 17" xfId="32540"/>
    <cellStyle name="asd 52 6 18" xfId="33602"/>
    <cellStyle name="asd 52 6 19" xfId="35511"/>
    <cellStyle name="asd 52 6 2" xfId="5498"/>
    <cellStyle name="asd 52 6 2 10" xfId="21748"/>
    <cellStyle name="asd 52 6 2 11" xfId="22580"/>
    <cellStyle name="asd 52 6 2 12" xfId="25550"/>
    <cellStyle name="asd 52 6 2 13" xfId="26166"/>
    <cellStyle name="asd 52 6 2 14" xfId="28947"/>
    <cellStyle name="asd 52 6 2 15" xfId="29780"/>
    <cellStyle name="asd 52 6 2 16" xfId="33292"/>
    <cellStyle name="asd 52 6 2 17" xfId="33807"/>
    <cellStyle name="asd 52 6 2 18" xfId="36377"/>
    <cellStyle name="asd 52 6 2 19" xfId="38256"/>
    <cellStyle name="asd 52 6 2 2" xfId="6947"/>
    <cellStyle name="asd 52 6 2 20" xfId="40476"/>
    <cellStyle name="asd 52 6 2 21" xfId="42131"/>
    <cellStyle name="asd 52 6 2 22" xfId="42389"/>
    <cellStyle name="asd 52 6 2 3" xfId="8401"/>
    <cellStyle name="asd 52 6 2 4" xfId="10311"/>
    <cellStyle name="asd 52 6 2 5" xfId="11471"/>
    <cellStyle name="asd 52 6 2 6" xfId="13048"/>
    <cellStyle name="asd 52 6 2 7" xfId="14952"/>
    <cellStyle name="asd 52 6 2 8" xfId="17930"/>
    <cellStyle name="asd 52 6 2 9" xfId="19836"/>
    <cellStyle name="asd 52 6 20" xfId="37390"/>
    <cellStyle name="asd 52 6 21" xfId="39753"/>
    <cellStyle name="asd 52 6 22" xfId="41425"/>
    <cellStyle name="asd 52 6 23" xfId="42685"/>
    <cellStyle name="asd 52 6 3" xfId="4638"/>
    <cellStyle name="asd 52 6 4" xfId="7535"/>
    <cellStyle name="asd 52 6 5" xfId="9445"/>
    <cellStyle name="asd 52 6 6" xfId="12476"/>
    <cellStyle name="asd 52 6 7" xfId="13367"/>
    <cellStyle name="asd 52 6 8" xfId="15272"/>
    <cellStyle name="asd 52 6 9" xfId="17064"/>
    <cellStyle name="asd 52 7" xfId="2737"/>
    <cellStyle name="asd 52 7 10" xfId="19101"/>
    <cellStyle name="asd 52 7 11" xfId="21013"/>
    <cellStyle name="asd 52 7 12" xfId="23800"/>
    <cellStyle name="asd 52 7 13" xfId="24815"/>
    <cellStyle name="asd 52 7 14" xfId="27496"/>
    <cellStyle name="asd 52 7 15" xfId="28097"/>
    <cellStyle name="asd 52 7 16" xfId="31082"/>
    <cellStyle name="asd 52 7 17" xfId="33097"/>
    <cellStyle name="asd 52 7 18" xfId="34160"/>
    <cellStyle name="asd 52 7 19" xfId="35642"/>
    <cellStyle name="asd 52 7 2" xfId="5734"/>
    <cellStyle name="asd 52 7 2 10" xfId="21984"/>
    <cellStyle name="asd 52 7 2 11" xfId="23816"/>
    <cellStyle name="asd 52 7 2 12" xfId="25786"/>
    <cellStyle name="asd 52 7 2 13" xfId="26313"/>
    <cellStyle name="asd 52 7 2 14" xfId="28295"/>
    <cellStyle name="asd 52 7 2 15" xfId="29921"/>
    <cellStyle name="asd 52 7 2 16" xfId="31892"/>
    <cellStyle name="asd 52 7 2 17" xfId="34187"/>
    <cellStyle name="asd 52 7 2 18" xfId="36613"/>
    <cellStyle name="asd 52 7 2 19" xfId="38492"/>
    <cellStyle name="asd 52 7 2 2" xfId="7183"/>
    <cellStyle name="asd 52 7 2 20" xfId="39126"/>
    <cellStyle name="asd 52 7 2 21" xfId="40807"/>
    <cellStyle name="asd 52 7 2 22" xfId="43567"/>
    <cellStyle name="asd 52 7 2 3" xfId="8637"/>
    <cellStyle name="asd 52 7 2 4" xfId="10547"/>
    <cellStyle name="asd 52 7 2 5" xfId="11705"/>
    <cellStyle name="asd 52 7 2 6" xfId="14286"/>
    <cellStyle name="asd 52 7 2 7" xfId="16190"/>
    <cellStyle name="asd 52 7 2 8" xfId="18166"/>
    <cellStyle name="asd 52 7 2 9" xfId="20072"/>
    <cellStyle name="asd 52 7 20" xfId="37521"/>
    <cellStyle name="asd 52 7 21" xfId="40293"/>
    <cellStyle name="asd 52 7 22" xfId="41949"/>
    <cellStyle name="asd 52 7 23" xfId="43552"/>
    <cellStyle name="asd 52 7 3" xfId="6215"/>
    <cellStyle name="asd 52 7 4" xfId="7666"/>
    <cellStyle name="asd 52 7 5" xfId="9576"/>
    <cellStyle name="asd 52 7 6" xfId="11544"/>
    <cellStyle name="asd 52 7 7" xfId="14270"/>
    <cellStyle name="asd 52 7 8" xfId="16174"/>
    <cellStyle name="asd 52 7 9" xfId="17195"/>
    <cellStyle name="asd 52 8" xfId="4212"/>
    <cellStyle name="asd 52 9" xfId="2697"/>
    <cellStyle name="asd 53" xfId="1080"/>
    <cellStyle name="asd 53 10" xfId="3339"/>
    <cellStyle name="asd 53 11" xfId="1968"/>
    <cellStyle name="asd 53 12" xfId="3025"/>
    <cellStyle name="asd 53 13" xfId="11396"/>
    <cellStyle name="asd 53 14" xfId="2428"/>
    <cellStyle name="asd 53 15" xfId="4177"/>
    <cellStyle name="asd 53 16" xfId="2340"/>
    <cellStyle name="asd 53 17" xfId="2566"/>
    <cellStyle name="asd 53 18" xfId="18500"/>
    <cellStyle name="asd 53 19" xfId="27110"/>
    <cellStyle name="asd 53 2" xfId="3413"/>
    <cellStyle name="asd 53 2 10" xfId="13608"/>
    <cellStyle name="asd 53 2 11" xfId="15511"/>
    <cellStyle name="asd 53 2 12" xfId="16781"/>
    <cellStyle name="asd 53 2 13" xfId="18688"/>
    <cellStyle name="asd 53 2 14" xfId="20600"/>
    <cellStyle name="asd 53 2 15" xfId="23137"/>
    <cellStyle name="asd 53 2 16" xfId="24402"/>
    <cellStyle name="asd 53 2 17" xfId="26707"/>
    <cellStyle name="asd 53 2 18" xfId="29294"/>
    <cellStyle name="asd 53 2 19" xfId="30307"/>
    <cellStyle name="asd 53 2 2" xfId="3593"/>
    <cellStyle name="asd 53 2 2 10" xfId="17484"/>
    <cellStyle name="asd 53 2 2 11" xfId="19390"/>
    <cellStyle name="asd 53 2 2 12" xfId="21302"/>
    <cellStyle name="asd 53 2 2 13" xfId="22821"/>
    <cellStyle name="asd 53 2 2 14" xfId="25104"/>
    <cellStyle name="asd 53 2 2 15" xfId="26699"/>
    <cellStyle name="asd 53 2 2 16" xfId="28232"/>
    <cellStyle name="asd 53 2 2 17" xfId="30299"/>
    <cellStyle name="asd 53 2 2 18" xfId="31931"/>
    <cellStyle name="asd 53 2 2 19" xfId="33413"/>
    <cellStyle name="asd 53 2 2 2" xfId="4540"/>
    <cellStyle name="asd 53 2 2 2 10" xfId="20785"/>
    <cellStyle name="asd 53 2 2 2 11" xfId="23846"/>
    <cellStyle name="asd 53 2 2 2 12" xfId="24587"/>
    <cellStyle name="asd 53 2 2 2 13" xfId="26770"/>
    <cellStyle name="asd 53 2 2 2 14" xfId="28104"/>
    <cellStyle name="asd 53 2 2 2 15" xfId="30369"/>
    <cellStyle name="asd 53 2 2 2 16" xfId="32112"/>
    <cellStyle name="asd 53 2 2 2 17" xfId="34502"/>
    <cellStyle name="asd 53 2 2 2 18" xfId="35415"/>
    <cellStyle name="asd 53 2 2 2 19" xfId="37293"/>
    <cellStyle name="asd 53 2 2 2 2" xfId="5305"/>
    <cellStyle name="asd 53 2 2 2 20" xfId="39336"/>
    <cellStyle name="asd 53 2 2 2 21" xfId="41012"/>
    <cellStyle name="asd 53 2 2 2 22" xfId="43597"/>
    <cellStyle name="asd 53 2 2 2 3" xfId="6673"/>
    <cellStyle name="asd 53 2 2 2 4" xfId="9347"/>
    <cellStyle name="asd 53 2 2 2 5" xfId="11823"/>
    <cellStyle name="asd 53 2 2 2 6" xfId="14316"/>
    <cellStyle name="asd 53 2 2 2 7" xfId="16220"/>
    <cellStyle name="asd 53 2 2 2 8" xfId="16966"/>
    <cellStyle name="asd 53 2 2 2 9" xfId="18873"/>
    <cellStyle name="asd 53 2 2 20" xfId="35931"/>
    <cellStyle name="asd 53 2 2 21" xfId="37810"/>
    <cellStyle name="asd 53 2 2 22" xfId="39161"/>
    <cellStyle name="asd 53 2 2 23" xfId="40842"/>
    <cellStyle name="asd 53 2 2 24" xfId="42614"/>
    <cellStyle name="asd 53 2 2 3" xfId="5054"/>
    <cellStyle name="asd 53 2 2 4" xfId="6504"/>
    <cellStyle name="asd 53 2 2 5" xfId="7955"/>
    <cellStyle name="asd 53 2 2 6" xfId="9865"/>
    <cellStyle name="asd 53 2 2 7" xfId="11194"/>
    <cellStyle name="asd 53 2 2 8" xfId="13291"/>
    <cellStyle name="asd 53 2 2 9" xfId="15195"/>
    <cellStyle name="asd 53 2 20" xfId="31956"/>
    <cellStyle name="asd 53 2 21" xfId="34044"/>
    <cellStyle name="asd 53 2 22" xfId="35230"/>
    <cellStyle name="asd 53 2 23" xfId="37108"/>
    <cellStyle name="asd 53 2 24" xfId="39185"/>
    <cellStyle name="asd 53 2 25" xfId="40866"/>
    <cellStyle name="asd 53 2 26" xfId="42915"/>
    <cellStyle name="asd 53 2 3" xfId="3878"/>
    <cellStyle name="asd 53 2 3 10" xfId="19588"/>
    <cellStyle name="asd 53 2 3 11" xfId="21500"/>
    <cellStyle name="asd 53 2 3 12" xfId="22894"/>
    <cellStyle name="asd 53 2 3 13" xfId="25302"/>
    <cellStyle name="asd 53 2 3 14" xfId="27111"/>
    <cellStyle name="asd 53 2 3 15" xfId="28124"/>
    <cellStyle name="asd 53 2 3 16" xfId="30702"/>
    <cellStyle name="asd 53 2 3 17" xfId="33009"/>
    <cellStyle name="asd 53 2 3 18" xfId="34701"/>
    <cellStyle name="asd 53 2 3 19" xfId="36129"/>
    <cellStyle name="asd 53 2 3 2" xfId="5858"/>
    <cellStyle name="asd 53 2 3 2 10" xfId="22108"/>
    <cellStyle name="asd 53 2 3 2 11" xfId="23074"/>
    <cellStyle name="asd 53 2 3 2 12" xfId="25910"/>
    <cellStyle name="asd 53 2 3 2 13" xfId="26449"/>
    <cellStyle name="asd 53 2 3 2 14" xfId="28926"/>
    <cellStyle name="asd 53 2 3 2 15" xfId="30055"/>
    <cellStyle name="asd 53 2 3 2 16" xfId="31942"/>
    <cellStyle name="asd 53 2 3 2 17" xfId="34327"/>
    <cellStyle name="asd 53 2 3 2 18" xfId="36737"/>
    <cellStyle name="asd 53 2 3 2 19" xfId="38616"/>
    <cellStyle name="asd 53 2 3 2 2" xfId="7307"/>
    <cellStyle name="asd 53 2 3 2 20" xfId="39172"/>
    <cellStyle name="asd 53 2 3 2 21" xfId="40853"/>
    <cellStyle name="asd 53 2 3 2 22" xfId="42856"/>
    <cellStyle name="asd 53 2 3 2 3" xfId="8761"/>
    <cellStyle name="asd 53 2 3 2 4" xfId="10671"/>
    <cellStyle name="asd 53 2 3 2 5" xfId="12682"/>
    <cellStyle name="asd 53 2 3 2 6" xfId="13545"/>
    <cellStyle name="asd 53 2 3 2 7" xfId="15448"/>
    <cellStyle name="asd 53 2 3 2 8" xfId="18290"/>
    <cellStyle name="asd 53 2 3 2 9" xfId="20196"/>
    <cellStyle name="asd 53 2 3 20" xfId="38008"/>
    <cellStyle name="asd 53 2 3 21" xfId="40209"/>
    <cellStyle name="asd 53 2 3 22" xfId="41868"/>
    <cellStyle name="asd 53 2 3 23" xfId="42680"/>
    <cellStyle name="asd 53 2 3 3" xfId="5252"/>
    <cellStyle name="asd 53 2 3 4" xfId="8153"/>
    <cellStyle name="asd 53 2 3 5" xfId="10063"/>
    <cellStyle name="asd 53 2 3 6" xfId="12480"/>
    <cellStyle name="asd 53 2 3 7" xfId="13362"/>
    <cellStyle name="asd 53 2 3 8" xfId="15267"/>
    <cellStyle name="asd 53 2 3 9" xfId="17682"/>
    <cellStyle name="asd 53 2 4" xfId="4045"/>
    <cellStyle name="asd 53 2 4 10" xfId="19680"/>
    <cellStyle name="asd 53 2 4 11" xfId="21592"/>
    <cellStyle name="asd 53 2 4 12" xfId="23937"/>
    <cellStyle name="asd 53 2 4 13" xfId="25394"/>
    <cellStyle name="asd 53 2 4 14" xfId="27484"/>
    <cellStyle name="asd 53 2 4 15" xfId="29694"/>
    <cellStyle name="asd 53 2 4 16" xfId="31071"/>
    <cellStyle name="asd 53 2 4 17" xfId="32941"/>
    <cellStyle name="asd 53 2 4 18" xfId="34322"/>
    <cellStyle name="asd 53 2 4 19" xfId="36221"/>
    <cellStyle name="asd 53 2 4 2" xfId="5950"/>
    <cellStyle name="asd 53 2 4 2 10" xfId="22200"/>
    <cellStyle name="asd 53 2 4 2 11" xfId="23556"/>
    <cellStyle name="asd 53 2 4 2 12" xfId="26002"/>
    <cellStyle name="asd 53 2 4 2 13" xfId="27946"/>
    <cellStyle name="asd 53 2 4 2 14" xfId="28090"/>
    <cellStyle name="asd 53 2 4 2 15" xfId="31526"/>
    <cellStyle name="asd 53 2 4 2 16" xfId="32947"/>
    <cellStyle name="asd 53 2 4 2 17" xfId="33952"/>
    <cellStyle name="asd 53 2 4 2 18" xfId="36829"/>
    <cellStyle name="asd 53 2 4 2 19" xfId="38708"/>
    <cellStyle name="asd 53 2 4 2 2" xfId="7399"/>
    <cellStyle name="asd 53 2 4 2 20" xfId="40150"/>
    <cellStyle name="asd 53 2 4 2 21" xfId="41809"/>
    <cellStyle name="asd 53 2 4 2 22" xfId="43320"/>
    <cellStyle name="asd 53 2 4 2 3" xfId="8853"/>
    <cellStyle name="asd 53 2 4 2 4" xfId="10763"/>
    <cellStyle name="asd 53 2 4 2 5" xfId="12496"/>
    <cellStyle name="asd 53 2 4 2 6" xfId="14028"/>
    <cellStyle name="asd 53 2 4 2 7" xfId="15929"/>
    <cellStyle name="asd 53 2 4 2 8" xfId="18382"/>
    <cellStyle name="asd 53 2 4 2 9" xfId="20288"/>
    <cellStyle name="asd 53 2 4 20" xfId="38100"/>
    <cellStyle name="asd 53 2 4 21" xfId="40144"/>
    <cellStyle name="asd 53 2 4 22" xfId="41803"/>
    <cellStyle name="asd 53 2 4 23" xfId="43683"/>
    <cellStyle name="asd 53 2 4 3" xfId="6791"/>
    <cellStyle name="asd 53 2 4 4" xfId="8245"/>
    <cellStyle name="asd 53 2 4 5" xfId="10155"/>
    <cellStyle name="asd 53 2 4 6" xfId="11897"/>
    <cellStyle name="asd 53 2 4 7" xfId="14407"/>
    <cellStyle name="asd 53 2 4 8" xfId="16313"/>
    <cellStyle name="asd 53 2 4 9" xfId="17774"/>
    <cellStyle name="asd 53 2 5" xfId="4907"/>
    <cellStyle name="asd 53 2 5 10" xfId="21155"/>
    <cellStyle name="asd 53 2 5 11" xfId="23319"/>
    <cellStyle name="asd 53 2 5 12" xfId="24957"/>
    <cellStyle name="asd 53 2 5 13" xfId="26790"/>
    <cellStyle name="asd 53 2 5 14" xfId="4373"/>
    <cellStyle name="asd 53 2 5 15" xfId="30389"/>
    <cellStyle name="asd 53 2 5 16" xfId="31752"/>
    <cellStyle name="asd 53 2 5 17" xfId="34328"/>
    <cellStyle name="asd 53 2 5 18" xfId="35784"/>
    <cellStyle name="asd 53 2 5 19" xfId="37663"/>
    <cellStyle name="asd 53 2 5 2" xfId="6357"/>
    <cellStyle name="asd 53 2 5 20" xfId="38992"/>
    <cellStyle name="asd 53 2 5 21" xfId="40675"/>
    <cellStyle name="asd 53 2 5 22" xfId="43090"/>
    <cellStyle name="asd 53 2 5 3" xfId="7808"/>
    <cellStyle name="asd 53 2 5 4" xfId="9718"/>
    <cellStyle name="asd 53 2 5 5" xfId="12270"/>
    <cellStyle name="asd 53 2 5 6" xfId="13791"/>
    <cellStyle name="asd 53 2 5 7" xfId="15693"/>
    <cellStyle name="asd 53 2 5 8" xfId="17337"/>
    <cellStyle name="asd 53 2 5 9" xfId="19243"/>
    <cellStyle name="asd 53 2 6" xfId="4349"/>
    <cellStyle name="asd 53 2 6 10" xfId="20492"/>
    <cellStyle name="asd 53 2 6 11" xfId="24179"/>
    <cellStyle name="asd 53 2 6 12" xfId="24294"/>
    <cellStyle name="asd 53 2 6 13" xfId="27332"/>
    <cellStyle name="asd 53 2 6 14" xfId="28129"/>
    <cellStyle name="asd 53 2 6 15" xfId="30921"/>
    <cellStyle name="asd 53 2 6 16" xfId="33010"/>
    <cellStyle name="asd 53 2 6 17" xfId="33875"/>
    <cellStyle name="asd 53 2 6 18" xfId="35122"/>
    <cellStyle name="asd 53 2 6 19" xfId="37000"/>
    <cellStyle name="asd 53 2 6 2" xfId="4387"/>
    <cellStyle name="asd 53 2 6 20" xfId="40210"/>
    <cellStyle name="asd 53 2 6 21" xfId="41869"/>
    <cellStyle name="asd 53 2 6 22" xfId="43920"/>
    <cellStyle name="asd 53 2 6 3" xfId="4861"/>
    <cellStyle name="asd 53 2 6 4" xfId="9054"/>
    <cellStyle name="asd 53 2 6 5" xfId="12139"/>
    <cellStyle name="asd 53 2 6 6" xfId="14650"/>
    <cellStyle name="asd 53 2 6 7" xfId="16556"/>
    <cellStyle name="asd 53 2 6 8" xfId="16673"/>
    <cellStyle name="asd 53 2 6 9" xfId="18580"/>
    <cellStyle name="asd 53 2 7" xfId="4594"/>
    <cellStyle name="asd 53 2 8" xfId="9162"/>
    <cellStyle name="asd 53 2 9" xfId="12761"/>
    <cellStyle name="asd 53 20" xfId="14685"/>
    <cellStyle name="asd 53 21" xfId="26142"/>
    <cellStyle name="asd 53 22" xfId="28928"/>
    <cellStyle name="asd 53 23" xfId="5386"/>
    <cellStyle name="asd 53 24" xfId="34209"/>
    <cellStyle name="asd 53 25" xfId="34800"/>
    <cellStyle name="asd 53 26" xfId="2063"/>
    <cellStyle name="asd 53 27" xfId="28768"/>
    <cellStyle name="asd 53 3" xfId="3454"/>
    <cellStyle name="asd 53 3 10" xfId="13489"/>
    <cellStyle name="asd 53 3 11" xfId="15393"/>
    <cellStyle name="asd 53 3 12" xfId="16847"/>
    <cellStyle name="asd 53 3 13" xfId="18754"/>
    <cellStyle name="asd 53 3 14" xfId="20666"/>
    <cellStyle name="asd 53 3 15" xfId="23019"/>
    <cellStyle name="asd 53 3 16" xfId="24468"/>
    <cellStyle name="asd 53 3 17" xfId="27489"/>
    <cellStyle name="asd 53 3 18" xfId="6160"/>
    <cellStyle name="asd 53 3 19" xfId="31075"/>
    <cellStyle name="asd 53 3 2" xfId="3634"/>
    <cellStyle name="asd 53 3 2 10" xfId="17525"/>
    <cellStyle name="asd 53 3 2 11" xfId="19431"/>
    <cellStyle name="asd 53 3 2 12" xfId="21343"/>
    <cellStyle name="asd 53 3 2 13" xfId="23141"/>
    <cellStyle name="asd 53 3 2 14" xfId="25145"/>
    <cellStyle name="asd 53 3 2 15" xfId="26726"/>
    <cellStyle name="asd 53 3 2 16" xfId="29619"/>
    <cellStyle name="asd 53 3 2 17" xfId="30326"/>
    <cellStyle name="asd 53 3 2 18" xfId="33272"/>
    <cellStyle name="asd 53 3 2 19" xfId="34402"/>
    <cellStyle name="asd 53 3 2 2" xfId="4520"/>
    <cellStyle name="asd 53 3 2 2 10" xfId="20765"/>
    <cellStyle name="asd 53 3 2 2 11" xfId="23024"/>
    <cellStyle name="asd 53 3 2 2 12" xfId="24567"/>
    <cellStyle name="asd 53 3 2 2 13" xfId="27192"/>
    <cellStyle name="asd 53 3 2 2 14" xfId="28213"/>
    <cellStyle name="asd 53 3 2 2 15" xfId="30783"/>
    <cellStyle name="asd 53 3 2 2 16" xfId="32218"/>
    <cellStyle name="asd 53 3 2 2 17" xfId="33902"/>
    <cellStyle name="asd 53 3 2 2 18" xfId="35395"/>
    <cellStyle name="asd 53 3 2 2 19" xfId="37273"/>
    <cellStyle name="asd 53 3 2 2 2" xfId="2696"/>
    <cellStyle name="asd 53 3 2 2 20" xfId="39437"/>
    <cellStyle name="asd 53 3 2 2 21" xfId="41113"/>
    <cellStyle name="asd 53 3 2 2 22" xfId="42807"/>
    <cellStyle name="asd 53 3 2 2 3" xfId="1808"/>
    <cellStyle name="asd 53 3 2 2 4" xfId="9327"/>
    <cellStyle name="asd 53 3 2 2 5" xfId="12612"/>
    <cellStyle name="asd 53 3 2 2 6" xfId="13494"/>
    <cellStyle name="asd 53 3 2 2 7" xfId="15398"/>
    <cellStyle name="asd 53 3 2 2 8" xfId="16946"/>
    <cellStyle name="asd 53 3 2 2 9" xfId="18853"/>
    <cellStyle name="asd 53 3 2 20" xfId="35972"/>
    <cellStyle name="asd 53 3 2 21" xfId="37851"/>
    <cellStyle name="asd 53 3 2 22" xfId="40458"/>
    <cellStyle name="asd 53 3 2 23" xfId="42113"/>
    <cellStyle name="asd 53 3 2 24" xfId="42919"/>
    <cellStyle name="asd 53 3 2 3" xfId="5095"/>
    <cellStyle name="asd 53 3 2 4" xfId="6545"/>
    <cellStyle name="asd 53 3 2 5" xfId="7996"/>
    <cellStyle name="asd 53 3 2 6" xfId="9906"/>
    <cellStyle name="asd 53 3 2 7" xfId="11380"/>
    <cellStyle name="asd 53 3 2 8" xfId="13612"/>
    <cellStyle name="asd 53 3 2 9" xfId="15515"/>
    <cellStyle name="asd 53 3 20" xfId="32826"/>
    <cellStyle name="asd 53 3 21" xfId="33840"/>
    <cellStyle name="asd 53 3 22" xfId="35296"/>
    <cellStyle name="asd 53 3 23" xfId="37174"/>
    <cellStyle name="asd 53 3 24" xfId="40035"/>
    <cellStyle name="asd 53 3 25" xfId="41699"/>
    <cellStyle name="asd 53 3 26" xfId="42802"/>
    <cellStyle name="asd 53 3 3" xfId="3820"/>
    <cellStyle name="asd 53 3 3 10" xfId="19549"/>
    <cellStyle name="asd 53 3 3 11" xfId="21461"/>
    <cellStyle name="asd 53 3 3 12" xfId="23345"/>
    <cellStyle name="asd 53 3 3 13" xfId="25263"/>
    <cellStyle name="asd 53 3 3 14" xfId="27008"/>
    <cellStyle name="asd 53 3 3 15" xfId="29606"/>
    <cellStyle name="asd 53 3 3 16" xfId="30601"/>
    <cellStyle name="asd 53 3 3 17" xfId="32475"/>
    <cellStyle name="asd 53 3 3 18" xfId="34490"/>
    <cellStyle name="asd 53 3 3 19" xfId="36090"/>
    <cellStyle name="asd 53 3 3 2" xfId="5819"/>
    <cellStyle name="asd 53 3 3 2 10" xfId="22069"/>
    <cellStyle name="asd 53 3 3 2 11" xfId="23940"/>
    <cellStyle name="asd 53 3 3 2 12" xfId="25871"/>
    <cellStyle name="asd 53 3 3 2 13" xfId="27369"/>
    <cellStyle name="asd 53 3 3 2 14" xfId="29063"/>
    <cellStyle name="asd 53 3 3 2 15" xfId="30956"/>
    <cellStyle name="asd 53 3 3 2 16" xfId="32782"/>
    <cellStyle name="asd 53 3 3 2 17" xfId="33497"/>
    <cellStyle name="asd 53 3 3 2 18" xfId="36698"/>
    <cellStyle name="asd 53 3 3 2 19" xfId="38577"/>
    <cellStyle name="asd 53 3 3 2 2" xfId="7268"/>
    <cellStyle name="asd 53 3 3 2 20" xfId="39991"/>
    <cellStyle name="asd 53 3 3 2 21" xfId="41655"/>
    <cellStyle name="asd 53 3 3 2 22" xfId="43686"/>
    <cellStyle name="asd 53 3 3 2 3" xfId="8722"/>
    <cellStyle name="asd 53 3 3 2 4" xfId="10632"/>
    <cellStyle name="asd 53 3 3 2 5" xfId="11900"/>
    <cellStyle name="asd 53 3 3 2 6" xfId="14410"/>
    <cellStyle name="asd 53 3 3 2 7" xfId="16316"/>
    <cellStyle name="asd 53 3 3 2 8" xfId="18251"/>
    <cellStyle name="asd 53 3 3 2 9" xfId="20157"/>
    <cellStyle name="asd 53 3 3 20" xfId="37969"/>
    <cellStyle name="asd 53 3 3 21" xfId="39693"/>
    <cellStyle name="asd 53 3 3 22" xfId="41366"/>
    <cellStyle name="asd 53 3 3 23" xfId="43115"/>
    <cellStyle name="asd 53 3 3 3" xfId="5213"/>
    <cellStyle name="asd 53 3 3 4" xfId="8114"/>
    <cellStyle name="asd 53 3 3 5" xfId="10024"/>
    <cellStyle name="asd 53 3 3 6" xfId="12438"/>
    <cellStyle name="asd 53 3 3 7" xfId="13817"/>
    <cellStyle name="asd 53 3 3 8" xfId="15719"/>
    <cellStyle name="asd 53 3 3 9" xfId="17643"/>
    <cellStyle name="asd 53 3 4" xfId="4086"/>
    <cellStyle name="asd 53 3 4 10" xfId="19721"/>
    <cellStyle name="asd 53 3 4 11" xfId="21633"/>
    <cellStyle name="asd 53 3 4 12" xfId="23763"/>
    <cellStyle name="asd 53 3 4 13" xfId="25435"/>
    <cellStyle name="asd 53 3 4 14" xfId="26259"/>
    <cellStyle name="asd 53 3 4 15" xfId="28218"/>
    <cellStyle name="asd 53 3 4 16" xfId="29869"/>
    <cellStyle name="asd 53 3 4 17" xfId="32496"/>
    <cellStyle name="asd 53 3 4 18" xfId="34659"/>
    <cellStyle name="asd 53 3 4 19" xfId="36262"/>
    <cellStyle name="asd 53 3 4 2" xfId="5991"/>
    <cellStyle name="asd 53 3 4 2 10" xfId="22241"/>
    <cellStyle name="asd 53 3 4 2 11" xfId="24078"/>
    <cellStyle name="asd 53 3 4 2 12" xfId="26043"/>
    <cellStyle name="asd 53 3 4 2 13" xfId="27645"/>
    <cellStyle name="asd 53 3 4 2 14" xfId="28498"/>
    <cellStyle name="asd 53 3 4 2 15" xfId="31222"/>
    <cellStyle name="asd 53 3 4 2 16" xfId="31893"/>
    <cellStyle name="asd 53 3 4 2 17" xfId="33558"/>
    <cellStyle name="asd 53 3 4 2 18" xfId="36870"/>
    <cellStyle name="asd 53 3 4 2 19" xfId="38749"/>
    <cellStyle name="asd 53 3 4 2 2" xfId="7440"/>
    <cellStyle name="asd 53 3 4 2 20" xfId="39127"/>
    <cellStyle name="asd 53 3 4 2 21" xfId="40808"/>
    <cellStyle name="asd 53 3 4 2 22" xfId="43822"/>
    <cellStyle name="asd 53 3 4 2 3" xfId="8894"/>
    <cellStyle name="asd 53 3 4 2 4" xfId="10804"/>
    <cellStyle name="asd 53 3 4 2 5" xfId="12037"/>
    <cellStyle name="asd 53 3 4 2 6" xfId="14548"/>
    <cellStyle name="asd 53 3 4 2 7" xfId="16454"/>
    <cellStyle name="asd 53 3 4 2 8" xfId="18423"/>
    <cellStyle name="asd 53 3 4 2 9" xfId="20329"/>
    <cellStyle name="asd 53 3 4 20" xfId="38141"/>
    <cellStyle name="asd 53 3 4 21" xfId="39711"/>
    <cellStyle name="asd 53 3 4 22" xfId="41383"/>
    <cellStyle name="asd 53 3 4 23" xfId="43516"/>
    <cellStyle name="asd 53 3 4 3" xfId="6832"/>
    <cellStyle name="asd 53 3 4 4" xfId="8286"/>
    <cellStyle name="asd 53 3 4 5" xfId="10196"/>
    <cellStyle name="asd 53 3 4 6" xfId="11408"/>
    <cellStyle name="asd 53 3 4 7" xfId="14233"/>
    <cellStyle name="asd 53 3 4 8" xfId="16137"/>
    <cellStyle name="asd 53 3 4 9" xfId="17815"/>
    <cellStyle name="asd 53 3 5" xfId="4940"/>
    <cellStyle name="asd 53 3 5 10" xfId="21188"/>
    <cellStyle name="asd 53 3 5 11" xfId="22991"/>
    <cellStyle name="asd 53 3 5 12" xfId="24990"/>
    <cellStyle name="asd 53 3 5 13" xfId="27797"/>
    <cellStyle name="asd 53 3 5 14" xfId="28774"/>
    <cellStyle name="asd 53 3 5 15" xfId="31374"/>
    <cellStyle name="asd 53 3 5 16" xfId="32439"/>
    <cellStyle name="asd 53 3 5 17" xfId="35043"/>
    <cellStyle name="asd 53 3 5 18" xfId="35817"/>
    <cellStyle name="asd 53 3 5 19" xfId="37696"/>
    <cellStyle name="asd 53 3 5 2" xfId="6390"/>
    <cellStyle name="asd 53 3 5 20" xfId="39656"/>
    <cellStyle name="asd 53 3 5 21" xfId="41330"/>
    <cellStyle name="asd 53 3 5 22" xfId="42777"/>
    <cellStyle name="asd 53 3 5 3" xfId="7841"/>
    <cellStyle name="asd 53 3 5 4" xfId="9751"/>
    <cellStyle name="asd 53 3 5 5" xfId="12316"/>
    <cellStyle name="asd 53 3 5 6" xfId="13460"/>
    <cellStyle name="asd 53 3 5 7" xfId="15365"/>
    <cellStyle name="asd 53 3 5 8" xfId="17370"/>
    <cellStyle name="asd 53 3 5 9" xfId="19276"/>
    <cellStyle name="asd 53 3 6" xfId="5725"/>
    <cellStyle name="asd 53 3 6 10" xfId="21975"/>
    <cellStyle name="asd 53 3 6 11" xfId="23825"/>
    <cellStyle name="asd 53 3 6 12" xfId="25777"/>
    <cellStyle name="asd 53 3 6 13" xfId="26439"/>
    <cellStyle name="asd 53 3 6 14" xfId="29234"/>
    <cellStyle name="asd 53 3 6 15" xfId="30045"/>
    <cellStyle name="asd 53 3 6 16" xfId="31914"/>
    <cellStyle name="asd 53 3 6 17" xfId="34739"/>
    <cellStyle name="asd 53 3 6 18" xfId="36604"/>
    <cellStyle name="asd 53 3 6 19" xfId="38483"/>
    <cellStyle name="asd 53 3 6 2" xfId="7174"/>
    <cellStyle name="asd 53 3 6 20" xfId="39146"/>
    <cellStyle name="asd 53 3 6 21" xfId="40827"/>
    <cellStyle name="asd 53 3 6 22" xfId="43576"/>
    <cellStyle name="asd 53 3 6 3" xfId="8628"/>
    <cellStyle name="asd 53 3 6 4" xfId="10538"/>
    <cellStyle name="asd 53 3 6 5" xfId="11643"/>
    <cellStyle name="asd 53 3 6 6" xfId="14295"/>
    <cellStyle name="asd 53 3 6 7" xfId="16199"/>
    <cellStyle name="asd 53 3 6 8" xfId="18157"/>
    <cellStyle name="asd 53 3 6 9" xfId="20063"/>
    <cellStyle name="asd 53 3 7" xfId="5303"/>
    <cellStyle name="asd 53 3 8" xfId="9228"/>
    <cellStyle name="asd 53 3 9" xfId="12602"/>
    <cellStyle name="asd 53 4" xfId="3402"/>
    <cellStyle name="asd 53 4 10" xfId="15492"/>
    <cellStyle name="asd 53 4 11" xfId="16748"/>
    <cellStyle name="asd 53 4 12" xfId="18655"/>
    <cellStyle name="asd 53 4 13" xfId="20567"/>
    <cellStyle name="asd 53 4 14" xfId="23118"/>
    <cellStyle name="asd 53 4 15" xfId="24369"/>
    <cellStyle name="asd 53 4 16" xfId="26917"/>
    <cellStyle name="asd 53 4 17" xfId="28592"/>
    <cellStyle name="asd 53 4 18" xfId="30512"/>
    <cellStyle name="asd 53 4 19" xfId="31700"/>
    <cellStyle name="asd 53 4 2" xfId="3582"/>
    <cellStyle name="asd 53 4 2 10" xfId="17473"/>
    <cellStyle name="asd 53 4 2 11" xfId="19379"/>
    <cellStyle name="asd 53 4 2 12" xfId="21291"/>
    <cellStyle name="asd 53 4 2 13" xfId="23698"/>
    <cellStyle name="asd 53 4 2 14" xfId="25093"/>
    <cellStyle name="asd 53 4 2 15" xfId="26759"/>
    <cellStyle name="asd 53 4 2 16" xfId="12802"/>
    <cellStyle name="asd 53 4 2 17" xfId="30358"/>
    <cellStyle name="asd 53 4 2 18" xfId="33267"/>
    <cellStyle name="asd 53 4 2 19" xfId="34185"/>
    <cellStyle name="asd 53 4 2 2" xfId="5528"/>
    <cellStyle name="asd 53 4 2 2 10" xfId="21778"/>
    <cellStyle name="asd 53 4 2 2 11" xfId="23084"/>
    <cellStyle name="asd 53 4 2 2 12" xfId="25580"/>
    <cellStyle name="asd 53 4 2 2 13" xfId="27570"/>
    <cellStyle name="asd 53 4 2 2 14" xfId="28610"/>
    <cellStyle name="asd 53 4 2 2 15" xfId="31149"/>
    <cellStyle name="asd 53 4 2 2 16" xfId="32672"/>
    <cellStyle name="asd 53 4 2 2 17" xfId="34178"/>
    <cellStyle name="asd 53 4 2 2 18" xfId="36407"/>
    <cellStyle name="asd 53 4 2 2 19" xfId="38286"/>
    <cellStyle name="asd 53 4 2 2 2" xfId="6977"/>
    <cellStyle name="asd 53 4 2 2 20" xfId="39879"/>
    <cellStyle name="asd 53 4 2 2 21" xfId="41548"/>
    <cellStyle name="asd 53 4 2 2 22" xfId="42866"/>
    <cellStyle name="asd 53 4 2 2 3" xfId="8431"/>
    <cellStyle name="asd 53 4 2 2 4" xfId="10341"/>
    <cellStyle name="asd 53 4 2 2 5" xfId="12694"/>
    <cellStyle name="asd 53 4 2 2 6" xfId="13555"/>
    <cellStyle name="asd 53 4 2 2 7" xfId="15458"/>
    <cellStyle name="asd 53 4 2 2 8" xfId="17960"/>
    <cellStyle name="asd 53 4 2 2 9" xfId="19866"/>
    <cellStyle name="asd 53 4 2 20" xfId="35920"/>
    <cellStyle name="asd 53 4 2 21" xfId="37799"/>
    <cellStyle name="asd 53 4 2 22" xfId="40453"/>
    <cellStyle name="asd 53 4 2 23" xfId="42108"/>
    <cellStyle name="asd 53 4 2 24" xfId="43455"/>
    <cellStyle name="asd 53 4 2 3" xfId="5043"/>
    <cellStyle name="asd 53 4 2 4" xfId="6493"/>
    <cellStyle name="asd 53 4 2 5" xfId="7944"/>
    <cellStyle name="asd 53 4 2 6" xfId="9854"/>
    <cellStyle name="asd 53 4 2 7" xfId="11606"/>
    <cellStyle name="asd 53 4 2 8" xfId="14168"/>
    <cellStyle name="asd 53 4 2 9" xfId="16072"/>
    <cellStyle name="asd 53 4 20" xfId="34306"/>
    <cellStyle name="asd 53 4 21" xfId="35197"/>
    <cellStyle name="asd 53 4 22" xfId="37075"/>
    <cellStyle name="asd 53 4 23" xfId="38941"/>
    <cellStyle name="asd 53 4 24" xfId="40625"/>
    <cellStyle name="asd 53 4 25" xfId="42898"/>
    <cellStyle name="asd 53 4 3" xfId="3790"/>
    <cellStyle name="asd 53 4 3 10" xfId="19525"/>
    <cellStyle name="asd 53 4 3 11" xfId="21437"/>
    <cellStyle name="asd 53 4 3 12" xfId="23839"/>
    <cellStyle name="asd 53 4 3 13" xfId="25239"/>
    <cellStyle name="asd 53 4 3 14" xfId="26981"/>
    <cellStyle name="asd 53 4 3 15" xfId="29429"/>
    <cellStyle name="asd 53 4 3 16" xfId="30575"/>
    <cellStyle name="asd 53 4 3 17" xfId="33146"/>
    <cellStyle name="asd 53 4 3 18" xfId="34441"/>
    <cellStyle name="asd 53 4 3 19" xfId="36066"/>
    <cellStyle name="asd 53 4 3 2" xfId="5795"/>
    <cellStyle name="asd 53 4 3 2 10" xfId="22045"/>
    <cellStyle name="asd 53 4 3 2 11" xfId="23739"/>
    <cellStyle name="asd 53 4 3 2 12" xfId="25847"/>
    <cellStyle name="asd 53 4 3 2 13" xfId="27699"/>
    <cellStyle name="asd 53 4 3 2 14" xfId="28314"/>
    <cellStyle name="asd 53 4 3 2 15" xfId="31273"/>
    <cellStyle name="asd 53 4 3 2 16" xfId="33193"/>
    <cellStyle name="asd 53 4 3 2 17" xfId="33859"/>
    <cellStyle name="asd 53 4 3 2 18" xfId="36674"/>
    <cellStyle name="asd 53 4 3 2 19" xfId="38553"/>
    <cellStyle name="asd 53 4 3 2 2" xfId="7244"/>
    <cellStyle name="asd 53 4 3 2 20" xfId="40384"/>
    <cellStyle name="asd 53 4 3 2 21" xfId="42040"/>
    <cellStyle name="asd 53 4 3 2 22" xfId="43492"/>
    <cellStyle name="asd 53 4 3 2 3" xfId="8698"/>
    <cellStyle name="asd 53 4 3 2 4" xfId="10608"/>
    <cellStyle name="asd 53 4 3 2 5" xfId="11366"/>
    <cellStyle name="asd 53 4 3 2 6" xfId="14209"/>
    <cellStyle name="asd 53 4 3 2 7" xfId="16113"/>
    <cellStyle name="asd 53 4 3 2 8" xfId="18227"/>
    <cellStyle name="asd 53 4 3 2 9" xfId="20133"/>
    <cellStyle name="asd 53 4 3 20" xfId="37945"/>
    <cellStyle name="asd 53 4 3 21" xfId="40339"/>
    <cellStyle name="asd 53 4 3 22" xfId="41995"/>
    <cellStyle name="asd 53 4 3 23" xfId="43590"/>
    <cellStyle name="asd 53 4 3 3" xfId="5189"/>
    <cellStyle name="asd 53 4 3 4" xfId="8090"/>
    <cellStyle name="asd 53 4 3 5" xfId="10000"/>
    <cellStyle name="asd 53 4 3 6" xfId="11361"/>
    <cellStyle name="asd 53 4 3 7" xfId="14309"/>
    <cellStyle name="asd 53 4 3 8" xfId="16213"/>
    <cellStyle name="asd 53 4 3 9" xfId="17619"/>
    <cellStyle name="asd 53 4 4" xfId="4034"/>
    <cellStyle name="asd 53 4 4 10" xfId="19669"/>
    <cellStyle name="asd 53 4 4 11" xfId="21581"/>
    <cellStyle name="asd 53 4 4 12" xfId="24140"/>
    <cellStyle name="asd 53 4 4 13" xfId="25383"/>
    <cellStyle name="asd 53 4 4 14" xfId="27556"/>
    <cellStyle name="asd 53 4 4 15" xfId="2400"/>
    <cellStyle name="asd 53 4 4 16" xfId="31136"/>
    <cellStyle name="asd 53 4 4 17" xfId="32399"/>
    <cellStyle name="asd 53 4 4 18" xfId="4401"/>
    <cellStyle name="asd 53 4 4 19" xfId="36210"/>
    <cellStyle name="asd 53 4 4 2" xfId="5939"/>
    <cellStyle name="asd 53 4 4 2 10" xfId="22189"/>
    <cellStyle name="asd 53 4 4 2 11" xfId="23258"/>
    <cellStyle name="asd 53 4 4 2 12" xfId="25991"/>
    <cellStyle name="asd 53 4 4 2 13" xfId="26930"/>
    <cellStyle name="asd 53 4 4 2 14" xfId="29326"/>
    <cellStyle name="asd 53 4 4 2 15" xfId="30524"/>
    <cellStyle name="asd 53 4 4 2 16" xfId="32828"/>
    <cellStyle name="asd 53 4 4 2 17" xfId="33849"/>
    <cellStyle name="asd 53 4 4 2 18" xfId="36818"/>
    <cellStyle name="asd 53 4 4 2 19" xfId="38697"/>
    <cellStyle name="asd 53 4 4 2 2" xfId="7388"/>
    <cellStyle name="asd 53 4 4 2 20" xfId="40037"/>
    <cellStyle name="asd 53 4 4 2 21" xfId="41701"/>
    <cellStyle name="asd 53 4 4 2 22" xfId="43034"/>
    <cellStyle name="asd 53 4 4 2 3" xfId="8842"/>
    <cellStyle name="asd 53 4 4 2 4" xfId="10752"/>
    <cellStyle name="asd 53 4 4 2 5" xfId="11176"/>
    <cellStyle name="asd 53 4 4 2 6" xfId="13730"/>
    <cellStyle name="asd 53 4 4 2 7" xfId="15632"/>
    <cellStyle name="asd 53 4 4 2 8" xfId="18371"/>
    <cellStyle name="asd 53 4 4 2 9" xfId="20277"/>
    <cellStyle name="asd 53 4 4 20" xfId="38089"/>
    <cellStyle name="asd 53 4 4 21" xfId="39616"/>
    <cellStyle name="asd 53 4 4 22" xfId="41290"/>
    <cellStyle name="asd 53 4 4 23" xfId="43883"/>
    <cellStyle name="asd 53 4 4 3" xfId="6780"/>
    <cellStyle name="asd 53 4 4 4" xfId="8234"/>
    <cellStyle name="asd 53 4 4 5" xfId="10144"/>
    <cellStyle name="asd 53 4 4 6" xfId="12100"/>
    <cellStyle name="asd 53 4 4 7" xfId="14611"/>
    <cellStyle name="asd 53 4 4 8" xfId="16517"/>
    <cellStyle name="asd 53 4 4 9" xfId="17763"/>
    <cellStyle name="asd 53 4 5" xfId="4577"/>
    <cellStyle name="asd 53 4 5 10" xfId="20822"/>
    <cellStyle name="asd 53 4 5 11" xfId="23047"/>
    <cellStyle name="asd 53 4 5 12" xfId="24624"/>
    <cellStyle name="asd 53 4 5 13" xfId="27776"/>
    <cellStyle name="asd 53 4 5 14" xfId="29500"/>
    <cellStyle name="asd 53 4 5 15" xfId="31353"/>
    <cellStyle name="asd 53 4 5 16" xfId="32982"/>
    <cellStyle name="asd 53 4 5 17" xfId="33935"/>
    <cellStyle name="asd 53 4 5 18" xfId="35452"/>
    <cellStyle name="asd 53 4 5 19" xfId="37330"/>
    <cellStyle name="asd 53 4 5 2" xfId="4656"/>
    <cellStyle name="asd 53 4 5 20" xfId="40183"/>
    <cellStyle name="asd 53 4 5 21" xfId="41842"/>
    <cellStyle name="asd 53 4 5 22" xfId="42830"/>
    <cellStyle name="asd 53 4 5 3" xfId="6277"/>
    <cellStyle name="asd 53 4 5 4" xfId="9384"/>
    <cellStyle name="asd 53 4 5 5" xfId="12644"/>
    <cellStyle name="asd 53 4 5 6" xfId="13517"/>
    <cellStyle name="asd 53 4 5 7" xfId="15421"/>
    <cellStyle name="asd 53 4 5 8" xfId="17003"/>
    <cellStyle name="asd 53 4 5 9" xfId="18910"/>
    <cellStyle name="asd 53 4 6" xfId="6310"/>
    <cellStyle name="asd 53 4 7" xfId="9129"/>
    <cellStyle name="asd 53 4 8" xfId="12735"/>
    <cellStyle name="asd 53 4 9" xfId="13589"/>
    <cellStyle name="asd 53 5" xfId="2326"/>
    <cellStyle name="asd 53 5 10" xfId="17146"/>
    <cellStyle name="asd 53 5 11" xfId="19052"/>
    <cellStyle name="asd 53 5 12" xfId="20964"/>
    <cellStyle name="asd 53 5 13" xfId="23461"/>
    <cellStyle name="asd 53 5 14" xfId="24766"/>
    <cellStyle name="asd 53 5 15" xfId="26201"/>
    <cellStyle name="asd 53 5 16" xfId="28273"/>
    <cellStyle name="asd 53 5 17" xfId="29814"/>
    <cellStyle name="asd 53 5 18" xfId="32477"/>
    <cellStyle name="asd 53 5 19" xfId="34330"/>
    <cellStyle name="asd 53 5 2" xfId="5682"/>
    <cellStyle name="asd 53 5 2 10" xfId="21932"/>
    <cellStyle name="asd 53 5 2 11" xfId="23608"/>
    <cellStyle name="asd 53 5 2 12" xfId="25734"/>
    <cellStyle name="asd 53 5 2 13" xfId="27408"/>
    <cellStyle name="asd 53 5 2 14" xfId="28733"/>
    <cellStyle name="asd 53 5 2 15" xfId="30994"/>
    <cellStyle name="asd 53 5 2 16" xfId="32639"/>
    <cellStyle name="asd 53 5 2 17" xfId="34847"/>
    <cellStyle name="asd 53 5 2 18" xfId="36561"/>
    <cellStyle name="asd 53 5 2 19" xfId="38440"/>
    <cellStyle name="asd 53 5 2 2" xfId="7131"/>
    <cellStyle name="asd 53 5 2 20" xfId="39846"/>
    <cellStyle name="asd 53 5 2 21" xfId="41515"/>
    <cellStyle name="asd 53 5 2 22" xfId="43366"/>
    <cellStyle name="asd 53 5 2 3" xfId="8585"/>
    <cellStyle name="asd 53 5 2 4" xfId="10495"/>
    <cellStyle name="asd 53 5 2 5" xfId="11538"/>
    <cellStyle name="asd 53 5 2 6" xfId="14078"/>
    <cellStyle name="asd 53 5 2 7" xfId="15981"/>
    <cellStyle name="asd 53 5 2 8" xfId="18114"/>
    <cellStyle name="asd 53 5 2 9" xfId="20020"/>
    <cellStyle name="asd 53 5 20" xfId="35593"/>
    <cellStyle name="asd 53 5 21" xfId="37472"/>
    <cellStyle name="asd 53 5 22" xfId="39695"/>
    <cellStyle name="asd 53 5 23" xfId="41368"/>
    <cellStyle name="asd 53 5 24" xfId="43228"/>
    <cellStyle name="asd 53 5 3" xfId="4718"/>
    <cellStyle name="asd 53 5 4" xfId="6166"/>
    <cellStyle name="asd 53 5 5" xfId="7617"/>
    <cellStyle name="asd 53 5 6" xfId="9527"/>
    <cellStyle name="asd 53 5 7" xfId="12508"/>
    <cellStyle name="asd 53 5 8" xfId="13933"/>
    <cellStyle name="asd 53 5 9" xfId="15834"/>
    <cellStyle name="asd 53 6" xfId="3154"/>
    <cellStyle name="asd 53 6 10" xfId="19166"/>
    <cellStyle name="asd 53 6 11" xfId="21078"/>
    <cellStyle name="asd 53 6 12" xfId="23504"/>
    <cellStyle name="asd 53 6 13" xfId="24880"/>
    <cellStyle name="asd 53 6 14" xfId="26352"/>
    <cellStyle name="asd 53 6 15" xfId="28499"/>
    <cellStyle name="asd 53 6 16" xfId="29960"/>
    <cellStyle name="asd 53 6 17" xfId="33021"/>
    <cellStyle name="asd 53 6 18" xfId="33555"/>
    <cellStyle name="asd 53 6 19" xfId="35707"/>
    <cellStyle name="asd 53 6 2" xfId="5736"/>
    <cellStyle name="asd 53 6 2 10" xfId="21986"/>
    <cellStyle name="asd 53 6 2 11" xfId="24197"/>
    <cellStyle name="asd 53 6 2 12" xfId="25788"/>
    <cellStyle name="asd 53 6 2 13" xfId="24677"/>
    <cellStyle name="asd 53 6 2 14" xfId="29520"/>
    <cellStyle name="asd 53 6 2 15" xfId="29107"/>
    <cellStyle name="asd 53 6 2 16" xfId="31996"/>
    <cellStyle name="asd 53 6 2 17" xfId="33957"/>
    <cellStyle name="asd 53 6 2 18" xfId="36615"/>
    <cellStyle name="asd 53 6 2 19" xfId="38494"/>
    <cellStyle name="asd 53 6 2 2" xfId="7185"/>
    <cellStyle name="asd 53 6 2 20" xfId="39227"/>
    <cellStyle name="asd 53 6 2 21" xfId="40904"/>
    <cellStyle name="asd 53 6 2 22" xfId="43935"/>
    <cellStyle name="asd 53 6 2 3" xfId="8639"/>
    <cellStyle name="asd 53 6 2 4" xfId="10549"/>
    <cellStyle name="asd 53 6 2 5" xfId="12157"/>
    <cellStyle name="asd 53 6 2 6" xfId="14669"/>
    <cellStyle name="asd 53 6 2 7" xfId="16575"/>
    <cellStyle name="asd 53 6 2 8" xfId="18168"/>
    <cellStyle name="asd 53 6 2 9" xfId="20074"/>
    <cellStyle name="asd 53 6 20" xfId="37586"/>
    <cellStyle name="asd 53 6 21" xfId="40221"/>
    <cellStyle name="asd 53 6 22" xfId="41880"/>
    <cellStyle name="asd 53 6 23" xfId="43270"/>
    <cellStyle name="asd 53 6 3" xfId="4830"/>
    <cellStyle name="asd 53 6 4" xfId="7731"/>
    <cellStyle name="asd 53 6 5" xfId="9641"/>
    <cellStyle name="asd 53 6 6" xfId="12594"/>
    <cellStyle name="asd 53 6 7" xfId="13976"/>
    <cellStyle name="asd 53 6 8" xfId="15877"/>
    <cellStyle name="asd 53 6 9" xfId="17260"/>
    <cellStyle name="asd 53 7" xfId="1843"/>
    <cellStyle name="asd 53 7 10" xfId="18976"/>
    <cellStyle name="asd 53 7 11" xfId="20888"/>
    <cellStyle name="asd 53 7 12" xfId="24098"/>
    <cellStyle name="asd 53 7 13" xfId="24690"/>
    <cellStyle name="asd 53 7 14" xfId="27122"/>
    <cellStyle name="asd 53 7 15" xfId="29570"/>
    <cellStyle name="asd 53 7 16" xfId="30712"/>
    <cellStyle name="asd 53 7 17" xfId="31870"/>
    <cellStyle name="asd 53 7 18" xfId="33511"/>
    <cellStyle name="asd 53 7 19" xfId="35517"/>
    <cellStyle name="asd 53 7 2" xfId="4255"/>
    <cellStyle name="asd 53 7 2 10" xfId="20485"/>
    <cellStyle name="asd 53 7 2 11" xfId="23728"/>
    <cellStyle name="asd 53 7 2 12" xfId="24287"/>
    <cellStyle name="asd 53 7 2 13" xfId="27429"/>
    <cellStyle name="asd 53 7 2 14" xfId="29168"/>
    <cellStyle name="asd 53 7 2 15" xfId="31015"/>
    <cellStyle name="asd 53 7 2 16" xfId="31643"/>
    <cellStyle name="asd 53 7 2 17" xfId="34861"/>
    <cellStyle name="asd 53 7 2 18" xfId="35115"/>
    <cellStyle name="asd 53 7 2 19" xfId="36993"/>
    <cellStyle name="asd 53 7 2 2" xfId="3319"/>
    <cellStyle name="asd 53 7 2 20" xfId="38888"/>
    <cellStyle name="asd 53 7 2 21" xfId="40573"/>
    <cellStyle name="asd 53 7 2 22" xfId="43483"/>
    <cellStyle name="asd 53 7 2 3" xfId="2403"/>
    <cellStyle name="asd 53 7 2 4" xfId="9047"/>
    <cellStyle name="asd 53 7 2 5" xfId="11443"/>
    <cellStyle name="asd 53 7 2 6" xfId="14198"/>
    <cellStyle name="asd 53 7 2 7" xfId="16102"/>
    <cellStyle name="asd 53 7 2 8" xfId="16666"/>
    <cellStyle name="asd 53 7 2 9" xfId="18573"/>
    <cellStyle name="asd 53 7 20" xfId="37396"/>
    <cellStyle name="asd 53 7 21" xfId="39105"/>
    <cellStyle name="asd 53 7 22" xfId="40786"/>
    <cellStyle name="asd 53 7 23" xfId="43841"/>
    <cellStyle name="asd 53 7 3" xfId="6091"/>
    <cellStyle name="asd 53 7 4" xfId="7541"/>
    <cellStyle name="asd 53 7 5" xfId="9451"/>
    <cellStyle name="asd 53 7 6" xfId="12057"/>
    <cellStyle name="asd 53 7 7" xfId="14568"/>
    <cellStyle name="asd 53 7 8" xfId="16474"/>
    <cellStyle name="asd 53 7 9" xfId="17070"/>
    <cellStyle name="asd 53 8" xfId="3139"/>
    <cellStyle name="asd 53 9" xfId="2448"/>
    <cellStyle name="asd 54" xfId="1088"/>
    <cellStyle name="asd 54 10" xfId="4549"/>
    <cellStyle name="asd 54 11" xfId="3259"/>
    <cellStyle name="asd 54 12" xfId="3950"/>
    <cellStyle name="asd 54 13" xfId="3014"/>
    <cellStyle name="asd 54 14" xfId="12820"/>
    <cellStyle name="asd 54 15" xfId="16562"/>
    <cellStyle name="asd 54 16" xfId="4314"/>
    <cellStyle name="asd 54 17" xfId="3935"/>
    <cellStyle name="asd 54 18" xfId="2634"/>
    <cellStyle name="asd 54 19" xfId="4452"/>
    <cellStyle name="asd 54 2" xfId="3473"/>
    <cellStyle name="asd 54 2 10" xfId="14005"/>
    <cellStyle name="asd 54 2 11" xfId="15906"/>
    <cellStyle name="asd 54 2 12" xfId="16906"/>
    <cellStyle name="asd 54 2 13" xfId="18813"/>
    <cellStyle name="asd 54 2 14" xfId="20725"/>
    <cellStyle name="asd 54 2 15" xfId="23533"/>
    <cellStyle name="asd 54 2 16" xfId="24527"/>
    <cellStyle name="asd 54 2 17" xfId="27546"/>
    <cellStyle name="asd 54 2 18" xfId="28103"/>
    <cellStyle name="asd 54 2 19" xfId="31127"/>
    <cellStyle name="asd 54 2 2" xfId="3653"/>
    <cellStyle name="asd 54 2 2 10" xfId="17544"/>
    <cellStyle name="asd 54 2 2 11" xfId="19450"/>
    <cellStyle name="asd 54 2 2 12" xfId="21362"/>
    <cellStyle name="asd 54 2 2 13" xfId="22997"/>
    <cellStyle name="asd 54 2 2 14" xfId="25164"/>
    <cellStyle name="asd 54 2 2 15" xfId="27897"/>
    <cellStyle name="asd 54 2 2 16" xfId="28522"/>
    <cellStyle name="asd 54 2 2 17" xfId="31479"/>
    <cellStyle name="asd 54 2 2 18" xfId="32188"/>
    <cellStyle name="asd 54 2 2 19" xfId="33890"/>
    <cellStyle name="asd 54 2 2 2" xfId="5597"/>
    <cellStyle name="asd 54 2 2 2 10" xfId="21847"/>
    <cellStyle name="asd 54 2 2 2 11" xfId="24022"/>
    <cellStyle name="asd 54 2 2 2 12" xfId="25649"/>
    <cellStyle name="asd 54 2 2 2 13" xfId="26424"/>
    <cellStyle name="asd 54 2 2 2 14" xfId="28857"/>
    <cellStyle name="asd 54 2 2 2 15" xfId="30030"/>
    <cellStyle name="asd 54 2 2 2 16" xfId="33022"/>
    <cellStyle name="asd 54 2 2 2 17" xfId="34718"/>
    <cellStyle name="asd 54 2 2 2 18" xfId="36476"/>
    <cellStyle name="asd 54 2 2 2 19" xfId="38355"/>
    <cellStyle name="asd 54 2 2 2 2" xfId="7046"/>
    <cellStyle name="asd 54 2 2 2 20" xfId="40222"/>
    <cellStyle name="asd 54 2 2 2 21" xfId="41881"/>
    <cellStyle name="asd 54 2 2 2 22" xfId="43766"/>
    <cellStyle name="asd 54 2 2 2 3" xfId="8500"/>
    <cellStyle name="asd 54 2 2 2 4" xfId="10410"/>
    <cellStyle name="asd 54 2 2 2 5" xfId="11981"/>
    <cellStyle name="asd 54 2 2 2 6" xfId="14492"/>
    <cellStyle name="asd 54 2 2 2 7" xfId="16398"/>
    <cellStyle name="asd 54 2 2 2 8" xfId="18029"/>
    <cellStyle name="asd 54 2 2 2 9" xfId="19935"/>
    <cellStyle name="asd 54 2 2 20" xfId="35991"/>
    <cellStyle name="asd 54 2 2 21" xfId="37870"/>
    <cellStyle name="asd 54 2 2 22" xfId="39410"/>
    <cellStyle name="asd 54 2 2 23" xfId="41086"/>
    <cellStyle name="asd 54 2 2 24" xfId="42782"/>
    <cellStyle name="asd 54 2 2 3" xfId="5114"/>
    <cellStyle name="asd 54 2 2 4" xfId="6564"/>
    <cellStyle name="asd 54 2 2 5" xfId="8015"/>
    <cellStyle name="asd 54 2 2 6" xfId="9925"/>
    <cellStyle name="asd 54 2 2 7" xfId="12470"/>
    <cellStyle name="asd 54 2 2 8" xfId="13467"/>
    <cellStyle name="asd 54 2 2 9" xfId="15372"/>
    <cellStyle name="asd 54 2 20" xfId="31693"/>
    <cellStyle name="asd 54 2 21" xfId="34245"/>
    <cellStyle name="asd 54 2 22" xfId="35355"/>
    <cellStyle name="asd 54 2 23" xfId="37233"/>
    <cellStyle name="asd 54 2 24" xfId="38935"/>
    <cellStyle name="asd 54 2 25" xfId="40619"/>
    <cellStyle name="asd 54 2 26" xfId="43298"/>
    <cellStyle name="asd 54 2 3" xfId="3908"/>
    <cellStyle name="asd 54 2 3 10" xfId="19609"/>
    <cellStyle name="asd 54 2 3 11" xfId="21521"/>
    <cellStyle name="asd 54 2 3 12" xfId="22617"/>
    <cellStyle name="asd 54 2 3 13" xfId="25323"/>
    <cellStyle name="asd 54 2 3 14" xfId="27668"/>
    <cellStyle name="asd 54 2 3 15" xfId="29649"/>
    <cellStyle name="asd 54 2 3 16" xfId="31244"/>
    <cellStyle name="asd 54 2 3 17" xfId="33326"/>
    <cellStyle name="asd 54 2 3 18" xfId="32468"/>
    <cellStyle name="asd 54 2 3 19" xfId="36150"/>
    <cellStyle name="asd 54 2 3 2" xfId="5879"/>
    <cellStyle name="asd 54 2 3 2 10" xfId="22129"/>
    <cellStyle name="asd 54 2 3 2 11" xfId="22977"/>
    <cellStyle name="asd 54 2 3 2 12" xfId="25931"/>
    <cellStyle name="asd 54 2 3 2 13" xfId="27674"/>
    <cellStyle name="asd 54 2 3 2 14" xfId="2216"/>
    <cellStyle name="asd 54 2 3 2 15" xfId="31250"/>
    <cellStyle name="asd 54 2 3 2 16" xfId="31964"/>
    <cellStyle name="asd 54 2 3 2 17" xfId="2113"/>
    <cellStyle name="asd 54 2 3 2 18" xfId="36758"/>
    <cellStyle name="asd 54 2 3 2 19" xfId="38637"/>
    <cellStyle name="asd 54 2 3 2 2" xfId="7328"/>
    <cellStyle name="asd 54 2 3 2 20" xfId="39193"/>
    <cellStyle name="asd 54 2 3 2 21" xfId="40874"/>
    <cellStyle name="asd 54 2 3 2 22" xfId="42763"/>
    <cellStyle name="asd 54 2 3 2 3" xfId="8782"/>
    <cellStyle name="asd 54 2 3 2 4" xfId="10692"/>
    <cellStyle name="asd 54 2 3 2 5" xfId="12329"/>
    <cellStyle name="asd 54 2 3 2 6" xfId="13446"/>
    <cellStyle name="asd 54 2 3 2 7" xfId="15351"/>
    <cellStyle name="asd 54 2 3 2 8" xfId="18311"/>
    <cellStyle name="asd 54 2 3 2 9" xfId="20217"/>
    <cellStyle name="asd 54 2 3 20" xfId="38029"/>
    <cellStyle name="asd 54 2 3 21" xfId="40506"/>
    <cellStyle name="asd 54 2 3 22" xfId="42158"/>
    <cellStyle name="asd 54 2 3 23" xfId="42423"/>
    <cellStyle name="asd 54 2 3 3" xfId="5273"/>
    <cellStyle name="asd 54 2 3 4" xfId="8174"/>
    <cellStyle name="asd 54 2 3 5" xfId="10084"/>
    <cellStyle name="asd 54 2 3 6" xfId="12245"/>
    <cellStyle name="asd 54 2 3 7" xfId="13084"/>
    <cellStyle name="asd 54 2 3 8" xfId="14989"/>
    <cellStyle name="asd 54 2 3 9" xfId="17703"/>
    <cellStyle name="asd 54 2 4" xfId="4105"/>
    <cellStyle name="asd 54 2 4 10" xfId="19740"/>
    <cellStyle name="asd 54 2 4 11" xfId="21652"/>
    <cellStyle name="asd 54 2 4 12" xfId="23307"/>
    <cellStyle name="asd 54 2 4 13" xfId="25454"/>
    <cellStyle name="asd 54 2 4 14" xfId="27887"/>
    <cellStyle name="asd 54 2 4 15" xfId="29351"/>
    <cellStyle name="asd 54 2 4 16" xfId="31468"/>
    <cellStyle name="asd 54 2 4 17" xfId="33243"/>
    <cellStyle name="asd 54 2 4 18" xfId="34144"/>
    <cellStyle name="asd 54 2 4 19" xfId="36281"/>
    <cellStyle name="asd 54 2 4 2" xfId="6010"/>
    <cellStyle name="asd 54 2 4 2 10" xfId="22260"/>
    <cellStyle name="asd 54 2 4 2 11" xfId="23863"/>
    <cellStyle name="asd 54 2 4 2 12" xfId="26062"/>
    <cellStyle name="asd 54 2 4 2 13" xfId="26800"/>
    <cellStyle name="asd 54 2 4 2 14" xfId="28640"/>
    <cellStyle name="asd 54 2 4 2 15" xfId="30398"/>
    <cellStyle name="asd 54 2 4 2 16" xfId="31768"/>
    <cellStyle name="asd 54 2 4 2 17" xfId="34369"/>
    <cellStyle name="asd 54 2 4 2 18" xfId="36889"/>
    <cellStyle name="asd 54 2 4 2 19" xfId="38768"/>
    <cellStyle name="asd 54 2 4 2 2" xfId="7459"/>
    <cellStyle name="asd 54 2 4 2 20" xfId="39007"/>
    <cellStyle name="asd 54 2 4 2 21" xfId="40690"/>
    <cellStyle name="asd 54 2 4 2 22" xfId="43613"/>
    <cellStyle name="asd 54 2 4 2 3" xfId="8913"/>
    <cellStyle name="asd 54 2 4 2 4" xfId="10823"/>
    <cellStyle name="asd 54 2 4 2 5" xfId="11424"/>
    <cellStyle name="asd 54 2 4 2 6" xfId="14333"/>
    <cellStyle name="asd 54 2 4 2 7" xfId="16237"/>
    <cellStyle name="asd 54 2 4 2 8" xfId="18442"/>
    <cellStyle name="asd 54 2 4 2 9" xfId="20348"/>
    <cellStyle name="asd 54 2 4 20" xfId="38160"/>
    <cellStyle name="asd 54 2 4 21" xfId="40432"/>
    <cellStyle name="asd 54 2 4 22" xfId="42087"/>
    <cellStyle name="asd 54 2 4 23" xfId="43079"/>
    <cellStyle name="asd 54 2 4 3" xfId="6851"/>
    <cellStyle name="asd 54 2 4 4" xfId="8305"/>
    <cellStyle name="asd 54 2 4 5" xfId="10215"/>
    <cellStyle name="asd 54 2 4 6" xfId="11314"/>
    <cellStyle name="asd 54 2 4 7" xfId="13779"/>
    <cellStyle name="asd 54 2 4 8" xfId="15681"/>
    <cellStyle name="asd 54 2 4 9" xfId="17834"/>
    <cellStyle name="asd 54 2 5" xfId="4957"/>
    <cellStyle name="asd 54 2 5 10" xfId="21205"/>
    <cellStyle name="asd 54 2 5 11" xfId="22953"/>
    <cellStyle name="asd 54 2 5 12" xfId="25007"/>
    <cellStyle name="asd 54 2 5 13" xfId="26185"/>
    <cellStyle name="asd 54 2 5 14" xfId="28252"/>
    <cellStyle name="asd 54 2 5 15" xfId="29797"/>
    <cellStyle name="asd 54 2 5 16" xfId="28148"/>
    <cellStyle name="asd 54 2 5 17" xfId="10898"/>
    <cellStyle name="asd 54 2 5 18" xfId="35834"/>
    <cellStyle name="asd 54 2 5 19" xfId="37713"/>
    <cellStyle name="asd 54 2 5 2" xfId="6407"/>
    <cellStyle name="asd 54 2 5 20" xfId="34732"/>
    <cellStyle name="asd 54 2 5 21" xfId="39669"/>
    <cellStyle name="asd 54 2 5 22" xfId="42739"/>
    <cellStyle name="asd 54 2 5 3" xfId="7858"/>
    <cellStyle name="asd 54 2 5 4" xfId="9768"/>
    <cellStyle name="asd 54 2 5 5" xfId="11240"/>
    <cellStyle name="asd 54 2 5 6" xfId="13422"/>
    <cellStyle name="asd 54 2 5 7" xfId="15327"/>
    <cellStyle name="asd 54 2 5 8" xfId="17387"/>
    <cellStyle name="asd 54 2 5 9" xfId="19293"/>
    <cellStyle name="asd 54 2 6" xfId="2532"/>
    <cellStyle name="asd 54 2 6 10" xfId="20486"/>
    <cellStyle name="asd 54 2 6 11" xfId="22879"/>
    <cellStyle name="asd 54 2 6 12" xfId="24288"/>
    <cellStyle name="asd 54 2 6 13" xfId="27669"/>
    <cellStyle name="asd 54 2 6 14" xfId="28575"/>
    <cellStyle name="asd 54 2 6 15" xfId="31245"/>
    <cellStyle name="asd 54 2 6 16" xfId="32759"/>
    <cellStyle name="asd 54 2 6 17" xfId="33524"/>
    <cellStyle name="asd 54 2 6 18" xfId="35116"/>
    <cellStyle name="asd 54 2 6 19" xfId="36994"/>
    <cellStyle name="asd 54 2 6 2" xfId="4722"/>
    <cellStyle name="asd 54 2 6 20" xfId="39968"/>
    <cellStyle name="asd 54 2 6 21" xfId="41632"/>
    <cellStyle name="asd 54 2 6 22" xfId="42666"/>
    <cellStyle name="asd 54 2 6 3" xfId="6144"/>
    <cellStyle name="asd 54 2 6 4" xfId="9048"/>
    <cellStyle name="asd 54 2 6 5" xfId="11225"/>
    <cellStyle name="asd 54 2 6 6" xfId="13347"/>
    <cellStyle name="asd 54 2 6 7" xfId="15252"/>
    <cellStyle name="asd 54 2 6 8" xfId="16667"/>
    <cellStyle name="asd 54 2 6 9" xfId="18574"/>
    <cellStyle name="asd 54 2 7" xfId="2322"/>
    <cellStyle name="asd 54 2 8" xfId="9287"/>
    <cellStyle name="asd 54 2 9" xfId="12528"/>
    <cellStyle name="asd 54 20" xfId="2362"/>
    <cellStyle name="asd 54 21" xfId="15661"/>
    <cellStyle name="asd 54 22" xfId="30104"/>
    <cellStyle name="asd 54 23" xfId="30955"/>
    <cellStyle name="asd 54 24" xfId="33463"/>
    <cellStyle name="asd 54 25" xfId="2457"/>
    <cellStyle name="asd 54 26" xfId="27982"/>
    <cellStyle name="asd 54 27" xfId="35069"/>
    <cellStyle name="asd 54 3" xfId="3365"/>
    <cellStyle name="asd 54 3 10" xfId="2346"/>
    <cellStyle name="asd 54 3 11" xfId="2341"/>
    <cellStyle name="asd 54 3 12" xfId="16664"/>
    <cellStyle name="asd 54 3 13" xfId="18571"/>
    <cellStyle name="asd 54 3 14" xfId="20483"/>
    <cellStyle name="asd 54 3 15" xfId="11697"/>
    <cellStyle name="asd 54 3 16" xfId="24285"/>
    <cellStyle name="asd 54 3 17" xfId="4160"/>
    <cellStyle name="asd 54 3 18" xfId="2850"/>
    <cellStyle name="asd 54 3 19" xfId="2663"/>
    <cellStyle name="asd 54 3 2" xfId="3545"/>
    <cellStyle name="asd 54 3 2 10" xfId="17436"/>
    <cellStyle name="asd 54 3 2 11" xfId="19342"/>
    <cellStyle name="asd 54 3 2 12" xfId="21254"/>
    <cellStyle name="asd 54 3 2 13" xfId="22924"/>
    <cellStyle name="asd 54 3 2 14" xfId="25056"/>
    <cellStyle name="asd 54 3 2 15" xfId="27965"/>
    <cellStyle name="asd 54 3 2 16" xfId="3198"/>
    <cellStyle name="asd 54 3 2 17" xfId="31545"/>
    <cellStyle name="asd 54 3 2 18" xfId="3209"/>
    <cellStyle name="asd 54 3 2 19" xfId="2987"/>
    <cellStyle name="asd 54 3 2 2" xfId="4344"/>
    <cellStyle name="asd 54 3 2 2 10" xfId="20468"/>
    <cellStyle name="asd 54 3 2 2 11" xfId="23129"/>
    <cellStyle name="asd 54 3 2 2 12" xfId="24270"/>
    <cellStyle name="asd 54 3 2 2 13" xfId="27299"/>
    <cellStyle name="asd 54 3 2 2 14" xfId="28767"/>
    <cellStyle name="asd 54 3 2 2 15" xfId="30889"/>
    <cellStyle name="asd 54 3 2 2 16" xfId="32965"/>
    <cellStyle name="asd 54 3 2 2 17" xfId="34161"/>
    <cellStyle name="asd 54 3 2 2 18" xfId="35098"/>
    <cellStyle name="asd 54 3 2 2 19" xfId="36976"/>
    <cellStyle name="asd 54 3 2 2 2" xfId="4216"/>
    <cellStyle name="asd 54 3 2 2 20" xfId="40166"/>
    <cellStyle name="asd 54 3 2 2 21" xfId="41825"/>
    <cellStyle name="asd 54 3 2 2 22" xfId="42908"/>
    <cellStyle name="asd 54 3 2 2 3" xfId="4428"/>
    <cellStyle name="asd 54 3 2 2 4" xfId="9030"/>
    <cellStyle name="asd 54 3 2 2 5" xfId="12753"/>
    <cellStyle name="asd 54 3 2 2 6" xfId="13600"/>
    <cellStyle name="asd 54 3 2 2 7" xfId="15503"/>
    <cellStyle name="asd 54 3 2 2 8" xfId="16649"/>
    <cellStyle name="asd 54 3 2 2 9" xfId="18556"/>
    <cellStyle name="asd 54 3 2 20" xfId="35883"/>
    <cellStyle name="asd 54 3 2 21" xfId="37762"/>
    <cellStyle name="asd 54 3 2 22" xfId="36948"/>
    <cellStyle name="asd 54 3 2 23" xfId="26560"/>
    <cellStyle name="asd 54 3 2 24" xfId="42710"/>
    <cellStyle name="asd 54 3 2 3" xfId="5006"/>
    <cellStyle name="asd 54 3 2 4" xfId="6456"/>
    <cellStyle name="asd 54 3 2 5" xfId="7907"/>
    <cellStyle name="asd 54 3 2 6" xfId="9817"/>
    <cellStyle name="asd 54 3 2 7" xfId="12326"/>
    <cellStyle name="asd 54 3 2 8" xfId="13392"/>
    <cellStyle name="asd 54 3 2 9" xfId="15297"/>
    <cellStyle name="asd 54 3 20" xfId="28398"/>
    <cellStyle name="asd 54 3 21" xfId="30009"/>
    <cellStyle name="asd 54 3 22" xfId="35113"/>
    <cellStyle name="asd 54 3 23" xfId="36991"/>
    <cellStyle name="asd 54 3 24" xfId="34811"/>
    <cellStyle name="asd 54 3 25" xfId="4196"/>
    <cellStyle name="asd 54 3 26" xfId="36957"/>
    <cellStyle name="asd 54 3 3" xfId="3808"/>
    <cellStyle name="asd 54 3 3 10" xfId="19540"/>
    <cellStyle name="asd 54 3 3 11" xfId="21452"/>
    <cellStyle name="asd 54 3 3 12" xfId="23381"/>
    <cellStyle name="asd 54 3 3 13" xfId="25254"/>
    <cellStyle name="asd 54 3 3 14" xfId="26927"/>
    <cellStyle name="asd 54 3 3 15" xfId="3183"/>
    <cellStyle name="asd 54 3 3 16" xfId="30521"/>
    <cellStyle name="asd 54 3 3 17" xfId="32420"/>
    <cellStyle name="asd 54 3 3 18" xfId="34095"/>
    <cellStyle name="asd 54 3 3 19" xfId="36081"/>
    <cellStyle name="asd 54 3 3 2" xfId="5810"/>
    <cellStyle name="asd 54 3 3 2 10" xfId="22060"/>
    <cellStyle name="asd 54 3 3 2 11" xfId="22499"/>
    <cellStyle name="asd 54 3 3 2 12" xfId="25862"/>
    <cellStyle name="asd 54 3 3 2 13" xfId="26479"/>
    <cellStyle name="asd 54 3 3 2 14" xfId="28924"/>
    <cellStyle name="asd 54 3 3 2 15" xfId="30085"/>
    <cellStyle name="asd 54 3 3 2 16" xfId="32901"/>
    <cellStyle name="asd 54 3 3 2 17" xfId="34347"/>
    <cellStyle name="asd 54 3 3 2 18" xfId="36689"/>
    <cellStyle name="asd 54 3 3 2 19" xfId="38568"/>
    <cellStyle name="asd 54 3 3 2 2" xfId="7259"/>
    <cellStyle name="asd 54 3 3 2 20" xfId="40105"/>
    <cellStyle name="asd 54 3 3 2 21" xfId="41765"/>
    <cellStyle name="asd 54 3 3 2 22" xfId="42309"/>
    <cellStyle name="asd 54 3 3 2 3" xfId="8713"/>
    <cellStyle name="asd 54 3 3 2 4" xfId="10623"/>
    <cellStyle name="asd 54 3 3 2 5" xfId="11494"/>
    <cellStyle name="asd 54 3 3 2 6" xfId="12967"/>
    <cellStyle name="asd 54 3 3 2 7" xfId="14871"/>
    <cellStyle name="asd 54 3 3 2 8" xfId="18242"/>
    <cellStyle name="asd 54 3 3 2 9" xfId="20148"/>
    <cellStyle name="asd 54 3 3 20" xfId="37960"/>
    <cellStyle name="asd 54 3 3 21" xfId="39637"/>
    <cellStyle name="asd 54 3 3 22" xfId="41311"/>
    <cellStyle name="asd 54 3 3 23" xfId="43148"/>
    <cellStyle name="asd 54 3 3 3" xfId="5204"/>
    <cellStyle name="asd 54 3 3 4" xfId="8105"/>
    <cellStyle name="asd 54 3 3 5" xfId="10015"/>
    <cellStyle name="asd 54 3 3 6" xfId="11327"/>
    <cellStyle name="asd 54 3 3 7" xfId="13853"/>
    <cellStyle name="asd 54 3 3 8" xfId="15754"/>
    <cellStyle name="asd 54 3 3 9" xfId="17634"/>
    <cellStyle name="asd 54 3 4" xfId="3997"/>
    <cellStyle name="asd 54 3 4 10" xfId="19632"/>
    <cellStyle name="asd 54 3 4 11" xfId="21544"/>
    <cellStyle name="asd 54 3 4 12" xfId="23183"/>
    <cellStyle name="asd 54 3 4 13" xfId="25346"/>
    <cellStyle name="asd 54 3 4 14" xfId="26471"/>
    <cellStyle name="asd 54 3 4 15" xfId="2546"/>
    <cellStyle name="asd 54 3 4 16" xfId="30076"/>
    <cellStyle name="asd 54 3 4 17" xfId="32581"/>
    <cellStyle name="asd 54 3 4 18" xfId="34543"/>
    <cellStyle name="asd 54 3 4 19" xfId="36173"/>
    <cellStyle name="asd 54 3 4 2" xfId="5902"/>
    <cellStyle name="asd 54 3 4 2 10" xfId="22152"/>
    <cellStyle name="asd 54 3 4 2 11" xfId="23557"/>
    <cellStyle name="asd 54 3 4 2 12" xfId="25954"/>
    <cellStyle name="asd 54 3 4 2 13" xfId="27356"/>
    <cellStyle name="asd 54 3 4 2 14" xfId="29683"/>
    <cellStyle name="asd 54 3 4 2 15" xfId="30945"/>
    <cellStyle name="asd 54 3 4 2 16" xfId="32962"/>
    <cellStyle name="asd 54 3 4 2 17" xfId="34976"/>
    <cellStyle name="asd 54 3 4 2 18" xfId="36781"/>
    <cellStyle name="asd 54 3 4 2 19" xfId="38660"/>
    <cellStyle name="asd 54 3 4 2 2" xfId="7351"/>
    <cellStyle name="asd 54 3 4 2 20" xfId="40163"/>
    <cellStyle name="asd 54 3 4 2 21" xfId="41822"/>
    <cellStyle name="asd 54 3 4 2 22" xfId="43321"/>
    <cellStyle name="asd 54 3 4 2 3" xfId="8805"/>
    <cellStyle name="asd 54 3 4 2 4" xfId="10715"/>
    <cellStyle name="asd 54 3 4 2 5" xfId="12575"/>
    <cellStyle name="asd 54 3 4 2 6" xfId="14029"/>
    <cellStyle name="asd 54 3 4 2 7" xfId="15930"/>
    <cellStyle name="asd 54 3 4 2 8" xfId="18334"/>
    <cellStyle name="asd 54 3 4 2 9" xfId="20240"/>
    <cellStyle name="asd 54 3 4 20" xfId="38052"/>
    <cellStyle name="asd 54 3 4 21" xfId="39791"/>
    <cellStyle name="asd 54 3 4 22" xfId="41461"/>
    <cellStyle name="asd 54 3 4 23" xfId="42961"/>
    <cellStyle name="asd 54 3 4 3" xfId="6743"/>
    <cellStyle name="asd 54 3 4 4" xfId="8197"/>
    <cellStyle name="asd 54 3 4 5" xfId="10107"/>
    <cellStyle name="asd 54 3 4 6" xfId="11016"/>
    <cellStyle name="asd 54 3 4 7" xfId="13654"/>
    <cellStyle name="asd 54 3 4 8" xfId="15557"/>
    <cellStyle name="asd 54 3 4 9" xfId="17726"/>
    <cellStyle name="asd 54 3 5" xfId="4873"/>
    <cellStyle name="asd 54 3 5 10" xfId="21121"/>
    <cellStyle name="asd 54 3 5 11" xfId="24008"/>
    <cellStyle name="asd 54 3 5 12" xfId="24923"/>
    <cellStyle name="asd 54 3 5 13" xfId="27132"/>
    <cellStyle name="asd 54 3 5 14" xfId="29128"/>
    <cellStyle name="asd 54 3 5 15" xfId="30723"/>
    <cellStyle name="asd 54 3 5 16" xfId="33241"/>
    <cellStyle name="asd 54 3 5 17" xfId="33790"/>
    <cellStyle name="asd 54 3 5 18" xfId="35750"/>
    <cellStyle name="asd 54 3 5 19" xfId="37629"/>
    <cellStyle name="asd 54 3 5 2" xfId="6323"/>
    <cellStyle name="asd 54 3 5 20" xfId="40430"/>
    <cellStyle name="asd 54 3 5 21" xfId="42085"/>
    <cellStyle name="asd 54 3 5 22" xfId="43752"/>
    <cellStyle name="asd 54 3 5 3" xfId="7774"/>
    <cellStyle name="asd 54 3 5 4" xfId="9684"/>
    <cellStyle name="asd 54 3 5 5" xfId="11967"/>
    <cellStyle name="asd 54 3 5 6" xfId="14478"/>
    <cellStyle name="asd 54 3 5 7" xfId="16384"/>
    <cellStyle name="asd 54 3 5 8" xfId="17303"/>
    <cellStyle name="asd 54 3 5 9" xfId="19209"/>
    <cellStyle name="asd 54 3 6" xfId="5548"/>
    <cellStyle name="asd 54 3 6 10" xfId="21798"/>
    <cellStyle name="asd 54 3 6 11" xfId="23681"/>
    <cellStyle name="asd 54 3 6 12" xfId="25600"/>
    <cellStyle name="asd 54 3 6 13" xfId="27218"/>
    <cellStyle name="asd 54 3 6 14" xfId="29693"/>
    <cellStyle name="asd 54 3 6 15" xfId="30809"/>
    <cellStyle name="asd 54 3 6 16" xfId="31721"/>
    <cellStyle name="asd 54 3 6 17" xfId="34320"/>
    <cellStyle name="asd 54 3 6 18" xfId="36427"/>
    <cellStyle name="asd 54 3 6 19" xfId="38306"/>
    <cellStyle name="asd 54 3 6 2" xfId="6997"/>
    <cellStyle name="asd 54 3 6 20" xfId="38962"/>
    <cellStyle name="asd 54 3 6 21" xfId="40645"/>
    <cellStyle name="asd 54 3 6 22" xfId="43438"/>
    <cellStyle name="asd 54 3 6 3" xfId="8451"/>
    <cellStyle name="asd 54 3 6 4" xfId="10361"/>
    <cellStyle name="asd 54 3 6 5" xfId="11530"/>
    <cellStyle name="asd 54 3 6 6" xfId="14151"/>
    <cellStyle name="asd 54 3 6 7" xfId="16055"/>
    <cellStyle name="asd 54 3 6 8" xfId="17980"/>
    <cellStyle name="asd 54 3 6 9" xfId="19886"/>
    <cellStyle name="asd 54 3 7" xfId="6657"/>
    <cellStyle name="asd 54 3 8" xfId="9045"/>
    <cellStyle name="asd 54 3 9" xfId="3268"/>
    <cellStyle name="asd 54 4" xfId="3405"/>
    <cellStyle name="asd 54 4 10" xfId="15652"/>
    <cellStyle name="asd 54 4 11" xfId="16754"/>
    <cellStyle name="asd 54 4 12" xfId="18661"/>
    <cellStyle name="asd 54 4 13" xfId="20573"/>
    <cellStyle name="asd 54 4 14" xfId="23278"/>
    <cellStyle name="asd 54 4 15" xfId="24375"/>
    <cellStyle name="asd 54 4 16" xfId="27623"/>
    <cellStyle name="asd 54 4 17" xfId="28118"/>
    <cellStyle name="asd 54 4 18" xfId="31201"/>
    <cellStyle name="asd 54 4 19" xfId="31692"/>
    <cellStyle name="asd 54 4 2" xfId="3585"/>
    <cellStyle name="asd 54 4 2 10" xfId="17476"/>
    <cellStyle name="asd 54 4 2 11" xfId="19382"/>
    <cellStyle name="asd 54 4 2 12" xfId="21294"/>
    <cellStyle name="asd 54 4 2 13" xfId="23469"/>
    <cellStyle name="asd 54 4 2 14" xfId="25096"/>
    <cellStyle name="asd 54 4 2 15" xfId="26371"/>
    <cellStyle name="asd 54 4 2 16" xfId="29550"/>
    <cellStyle name="asd 54 4 2 17" xfId="29979"/>
    <cellStyle name="asd 54 4 2 18" xfId="33177"/>
    <cellStyle name="asd 54 4 2 19" xfId="34472"/>
    <cellStyle name="asd 54 4 2 2" xfId="4343"/>
    <cellStyle name="asd 54 4 2 2 10" xfId="20480"/>
    <cellStyle name="asd 54 4 2 2 11" xfId="14976"/>
    <cellStyle name="asd 54 4 2 2 12" xfId="24282"/>
    <cellStyle name="asd 54 4 2 2 13" xfId="3056"/>
    <cellStyle name="asd 54 4 2 2 14" xfId="28345"/>
    <cellStyle name="asd 54 4 2 2 15" xfId="2014"/>
    <cellStyle name="asd 54 4 2 2 16" xfId="32949"/>
    <cellStyle name="asd 54 4 2 2 17" xfId="33876"/>
    <cellStyle name="asd 54 4 2 2 18" xfId="35110"/>
    <cellStyle name="asd 54 4 2 2 19" xfId="36988"/>
    <cellStyle name="asd 54 4 2 2 2" xfId="4495"/>
    <cellStyle name="asd 54 4 2 2 20" xfId="40152"/>
    <cellStyle name="asd 54 4 2 2 21" xfId="41811"/>
    <cellStyle name="asd 54 4 2 2 22" xfId="40940"/>
    <cellStyle name="asd 54 4 2 2 3" xfId="3888"/>
    <cellStyle name="asd 54 4 2 2 4" xfId="9042"/>
    <cellStyle name="asd 54 4 2 2 5" xfId="3094"/>
    <cellStyle name="asd 54 4 2 2 6" xfId="11423"/>
    <cellStyle name="asd 54 4 2 2 7" xfId="14267"/>
    <cellStyle name="asd 54 4 2 2 8" xfId="16661"/>
    <cellStyle name="asd 54 4 2 2 9" xfId="18568"/>
    <cellStyle name="asd 54 4 2 20" xfId="35923"/>
    <cellStyle name="asd 54 4 2 21" xfId="37802"/>
    <cellStyle name="asd 54 4 2 22" xfId="40368"/>
    <cellStyle name="asd 54 4 2 23" xfId="42024"/>
    <cellStyle name="asd 54 4 2 24" xfId="43236"/>
    <cellStyle name="asd 54 4 2 3" xfId="5046"/>
    <cellStyle name="asd 54 4 2 4" xfId="6496"/>
    <cellStyle name="asd 54 4 2 5" xfId="7947"/>
    <cellStyle name="asd 54 4 2 6" xfId="9857"/>
    <cellStyle name="asd 54 4 2 7" xfId="12592"/>
    <cellStyle name="asd 54 4 2 8" xfId="13941"/>
    <cellStyle name="asd 54 4 2 9" xfId="15842"/>
    <cellStyle name="asd 54 4 20" xfId="34797"/>
    <cellStyle name="asd 54 4 21" xfId="35203"/>
    <cellStyle name="asd 54 4 22" xfId="37081"/>
    <cellStyle name="asd 54 4 23" xfId="38934"/>
    <cellStyle name="asd 54 4 24" xfId="40618"/>
    <cellStyle name="asd 54 4 25" xfId="43054"/>
    <cellStyle name="asd 54 4 3" xfId="3914"/>
    <cellStyle name="asd 54 4 3 10" xfId="19611"/>
    <cellStyle name="asd 54 4 3 11" xfId="21523"/>
    <cellStyle name="asd 54 4 3 12" xfId="23053"/>
    <cellStyle name="asd 54 4 3 13" xfId="25325"/>
    <cellStyle name="asd 54 4 3 14" xfId="27862"/>
    <cellStyle name="asd 54 4 3 15" xfId="5387"/>
    <cellStyle name="asd 54 4 3 16" xfId="31442"/>
    <cellStyle name="asd 54 4 3 17" xfId="14647"/>
    <cellStyle name="asd 54 4 3 18" xfId="12783"/>
    <cellStyle name="asd 54 4 3 19" xfId="36152"/>
    <cellStyle name="asd 54 4 3 2" xfId="5881"/>
    <cellStyle name="asd 54 4 3 2 10" xfId="22131"/>
    <cellStyle name="asd 54 4 3 2 11" xfId="22809"/>
    <cellStyle name="asd 54 4 3 2 12" xfId="25933"/>
    <cellStyle name="asd 54 4 3 2 13" xfId="27515"/>
    <cellStyle name="asd 54 4 3 2 14" xfId="28462"/>
    <cellStyle name="asd 54 4 3 2 15" xfId="31099"/>
    <cellStyle name="asd 54 4 3 2 16" xfId="31652"/>
    <cellStyle name="asd 54 4 3 2 17" xfId="33873"/>
    <cellStyle name="asd 54 4 3 2 18" xfId="36760"/>
    <cellStyle name="asd 54 4 3 2 19" xfId="38639"/>
    <cellStyle name="asd 54 4 3 2 2" xfId="7330"/>
    <cellStyle name="asd 54 4 3 2 20" xfId="38897"/>
    <cellStyle name="asd 54 4 3 2 21" xfId="40582"/>
    <cellStyle name="asd 54 4 3 2 22" xfId="42602"/>
    <cellStyle name="asd 54 4 3 2 3" xfId="8784"/>
    <cellStyle name="asd 54 4 3 2 4" xfId="10694"/>
    <cellStyle name="asd 54 4 3 2 5" xfId="11124"/>
    <cellStyle name="asd 54 4 3 2 6" xfId="13279"/>
    <cellStyle name="asd 54 4 3 2 7" xfId="15183"/>
    <cellStyle name="asd 54 4 3 2 8" xfId="18313"/>
    <cellStyle name="asd 54 4 3 2 9" xfId="20219"/>
    <cellStyle name="asd 54 4 3 20" xfId="38031"/>
    <cellStyle name="asd 54 4 3 21" xfId="34628"/>
    <cellStyle name="asd 54 4 3 22" xfId="2889"/>
    <cellStyle name="asd 54 4 3 23" xfId="42836"/>
    <cellStyle name="asd 54 4 3 3" xfId="5275"/>
    <cellStyle name="asd 54 4 3 4" xfId="8176"/>
    <cellStyle name="asd 54 4 3 5" xfId="10086"/>
    <cellStyle name="asd 54 4 3 6" xfId="12655"/>
    <cellStyle name="asd 54 4 3 7" xfId="13524"/>
    <cellStyle name="asd 54 4 3 8" xfId="15427"/>
    <cellStyle name="asd 54 4 3 9" xfId="17705"/>
    <cellStyle name="asd 54 4 4" xfId="4037"/>
    <cellStyle name="asd 54 4 4 10" xfId="19672"/>
    <cellStyle name="asd 54 4 4 11" xfId="21584"/>
    <cellStyle name="asd 54 4 4 12" xfId="23407"/>
    <cellStyle name="asd 54 4 4 13" xfId="25386"/>
    <cellStyle name="asd 54 4 4 14" xfId="27297"/>
    <cellStyle name="asd 54 4 4 15" xfId="28152"/>
    <cellStyle name="asd 54 4 4 16" xfId="30887"/>
    <cellStyle name="asd 54 4 4 17" xfId="32380"/>
    <cellStyle name="asd 54 4 4 18" xfId="34249"/>
    <cellStyle name="asd 54 4 4 19" xfId="36213"/>
    <cellStyle name="asd 54 4 4 2" xfId="5942"/>
    <cellStyle name="asd 54 4 4 2 10" xfId="22192"/>
    <cellStyle name="asd 54 4 4 2 11" xfId="22500"/>
    <cellStyle name="asd 54 4 4 2 12" xfId="25994"/>
    <cellStyle name="asd 54 4 4 2 13" xfId="26644"/>
    <cellStyle name="asd 54 4 4 2 14" xfId="2788"/>
    <cellStyle name="asd 54 4 4 2 15" xfId="30247"/>
    <cellStyle name="asd 54 4 4 2 16" xfId="33154"/>
    <cellStyle name="asd 54 4 4 2 17" xfId="35007"/>
    <cellStyle name="asd 54 4 4 2 18" xfId="36821"/>
    <cellStyle name="asd 54 4 4 2 19" xfId="38700"/>
    <cellStyle name="asd 54 4 4 2 2" xfId="7391"/>
    <cellStyle name="asd 54 4 4 2 20" xfId="40347"/>
    <cellStyle name="asd 54 4 4 2 21" xfId="42003"/>
    <cellStyle name="asd 54 4 4 2 22" xfId="42310"/>
    <cellStyle name="asd 54 4 4 2 3" xfId="8845"/>
    <cellStyle name="asd 54 4 4 2 4" xfId="10755"/>
    <cellStyle name="asd 54 4 4 2 5" xfId="11492"/>
    <cellStyle name="asd 54 4 4 2 6" xfId="12968"/>
    <cellStyle name="asd 54 4 4 2 7" xfId="14872"/>
    <cellStyle name="asd 54 4 4 2 8" xfId="18374"/>
    <cellStyle name="asd 54 4 4 2 9" xfId="20280"/>
    <cellStyle name="asd 54 4 4 20" xfId="38092"/>
    <cellStyle name="asd 54 4 4 21" xfId="39598"/>
    <cellStyle name="asd 54 4 4 22" xfId="41272"/>
    <cellStyle name="asd 54 4 4 23" xfId="43174"/>
    <cellStyle name="asd 54 4 4 3" xfId="6783"/>
    <cellStyle name="asd 54 4 4 4" xfId="8237"/>
    <cellStyle name="asd 54 4 4 5" xfId="10147"/>
    <cellStyle name="asd 54 4 4 6" xfId="12178"/>
    <cellStyle name="asd 54 4 4 7" xfId="13879"/>
    <cellStyle name="asd 54 4 4 8" xfId="15780"/>
    <cellStyle name="asd 54 4 4 9" xfId="17766"/>
    <cellStyle name="asd 54 4 5" xfId="5668"/>
    <cellStyle name="asd 54 4 5 10" xfId="21918"/>
    <cellStyle name="asd 54 4 5 11" xfId="23607"/>
    <cellStyle name="asd 54 4 5 12" xfId="25720"/>
    <cellStyle name="asd 54 4 5 13" xfId="26629"/>
    <cellStyle name="asd 54 4 5 14" xfId="29068"/>
    <cellStyle name="asd 54 4 5 15" xfId="30232"/>
    <cellStyle name="asd 54 4 5 16" xfId="31746"/>
    <cellStyle name="asd 54 4 5 17" xfId="33753"/>
    <cellStyle name="asd 54 4 5 18" xfId="36547"/>
    <cellStyle name="asd 54 4 5 19" xfId="38426"/>
    <cellStyle name="asd 54 4 5 2" xfId="7117"/>
    <cellStyle name="asd 54 4 5 20" xfId="38986"/>
    <cellStyle name="asd 54 4 5 21" xfId="40669"/>
    <cellStyle name="asd 54 4 5 22" xfId="43365"/>
    <cellStyle name="asd 54 4 5 3" xfId="8571"/>
    <cellStyle name="asd 54 4 5 4" xfId="10481"/>
    <cellStyle name="asd 54 4 5 5" xfId="11680"/>
    <cellStyle name="asd 54 4 5 6" xfId="14077"/>
    <cellStyle name="asd 54 4 5 7" xfId="15980"/>
    <cellStyle name="asd 54 4 5 8" xfId="18100"/>
    <cellStyle name="asd 54 4 5 9" xfId="20006"/>
    <cellStyle name="asd 54 4 6" xfId="3764"/>
    <cellStyle name="asd 54 4 7" xfId="9135"/>
    <cellStyle name="asd 54 4 8" xfId="11221"/>
    <cellStyle name="asd 54 4 9" xfId="13750"/>
    <cellStyle name="asd 54 5" xfId="2043"/>
    <cellStyle name="asd 54 5 10" xfId="17096"/>
    <cellStyle name="asd 54 5 11" xfId="19002"/>
    <cellStyle name="asd 54 5 12" xfId="20914"/>
    <cellStyle name="asd 54 5 13" xfId="22476"/>
    <cellStyle name="asd 54 5 14" xfId="24716"/>
    <cellStyle name="asd 54 5 15" xfId="27354"/>
    <cellStyle name="asd 54 5 16" xfId="28201"/>
    <cellStyle name="asd 54 5 17" xfId="30943"/>
    <cellStyle name="asd 54 5 18" xfId="31935"/>
    <cellStyle name="asd 54 5 19" xfId="33884"/>
    <cellStyle name="asd 54 5 2" xfId="5464"/>
    <cellStyle name="asd 54 5 2 10" xfId="21714"/>
    <cellStyle name="asd 54 5 2 11" xfId="23487"/>
    <cellStyle name="asd 54 5 2 12" xfId="25516"/>
    <cellStyle name="asd 54 5 2 13" xfId="26391"/>
    <cellStyle name="asd 54 5 2 14" xfId="28405"/>
    <cellStyle name="asd 54 5 2 15" xfId="29999"/>
    <cellStyle name="asd 54 5 2 16" xfId="32393"/>
    <cellStyle name="asd 54 5 2 17" xfId="34397"/>
    <cellStyle name="asd 54 5 2 18" xfId="36343"/>
    <cellStyle name="asd 54 5 2 19" xfId="38222"/>
    <cellStyle name="asd 54 5 2 2" xfId="6913"/>
    <cellStyle name="asd 54 5 2 20" xfId="39610"/>
    <cellStyle name="asd 54 5 2 21" xfId="41284"/>
    <cellStyle name="asd 54 5 2 22" xfId="43253"/>
    <cellStyle name="asd 54 5 2 3" xfId="8367"/>
    <cellStyle name="asd 54 5 2 4" xfId="10277"/>
    <cellStyle name="asd 54 5 2 5" xfId="12539"/>
    <cellStyle name="asd 54 5 2 6" xfId="13959"/>
    <cellStyle name="asd 54 5 2 7" xfId="15860"/>
    <cellStyle name="asd 54 5 2 8" xfId="17896"/>
    <cellStyle name="asd 54 5 2 9" xfId="19802"/>
    <cellStyle name="asd 54 5 20" xfId="35543"/>
    <cellStyle name="asd 54 5 21" xfId="37422"/>
    <cellStyle name="asd 54 5 22" xfId="39165"/>
    <cellStyle name="asd 54 5 23" xfId="40846"/>
    <cellStyle name="asd 54 5 24" xfId="42286"/>
    <cellStyle name="asd 54 5 3" xfId="4669"/>
    <cellStyle name="asd 54 5 4" xfId="6116"/>
    <cellStyle name="asd 54 5 5" xfId="7567"/>
    <cellStyle name="asd 54 5 6" xfId="9477"/>
    <cellStyle name="asd 54 5 7" xfId="11358"/>
    <cellStyle name="asd 54 5 8" xfId="12944"/>
    <cellStyle name="asd 54 5 9" xfId="14848"/>
    <cellStyle name="asd 54 6" xfId="3736"/>
    <cellStyle name="asd 54 6 10" xfId="19502"/>
    <cellStyle name="asd 54 6 11" xfId="21414"/>
    <cellStyle name="asd 54 6 12" xfId="23027"/>
    <cellStyle name="asd 54 6 13" xfId="25216"/>
    <cellStyle name="asd 54 6 14" xfId="26278"/>
    <cellStyle name="asd 54 6 15" xfId="29551"/>
    <cellStyle name="asd 54 6 16" xfId="29887"/>
    <cellStyle name="asd 54 6 17" xfId="31881"/>
    <cellStyle name="asd 54 6 18" xfId="34318"/>
    <cellStyle name="asd 54 6 19" xfId="36043"/>
    <cellStyle name="asd 54 6 2" xfId="5772"/>
    <cellStyle name="asd 54 6 2 10" xfId="22022"/>
    <cellStyle name="asd 54 6 2 11" xfId="23417"/>
    <cellStyle name="asd 54 6 2 12" xfId="25824"/>
    <cellStyle name="asd 54 6 2 13" xfId="27713"/>
    <cellStyle name="asd 54 6 2 14" xfId="2583"/>
    <cellStyle name="asd 54 6 2 15" xfId="31290"/>
    <cellStyle name="asd 54 6 2 16" xfId="33099"/>
    <cellStyle name="asd 54 6 2 17" xfId="31919"/>
    <cellStyle name="asd 54 6 2 18" xfId="36651"/>
    <cellStyle name="asd 54 6 2 19" xfId="38530"/>
    <cellStyle name="asd 54 6 2 2" xfId="7221"/>
    <cellStyle name="asd 54 6 2 20" xfId="40295"/>
    <cellStyle name="asd 54 6 2 21" xfId="41951"/>
    <cellStyle name="asd 54 6 2 22" xfId="43184"/>
    <cellStyle name="asd 54 6 2 3" xfId="8675"/>
    <cellStyle name="asd 54 6 2 4" xfId="10585"/>
    <cellStyle name="asd 54 6 2 5" xfId="12449"/>
    <cellStyle name="asd 54 6 2 6" xfId="13889"/>
    <cellStyle name="asd 54 6 2 7" xfId="15790"/>
    <cellStyle name="asd 54 6 2 8" xfId="18204"/>
    <cellStyle name="asd 54 6 2 9" xfId="20110"/>
    <cellStyle name="asd 54 6 20" xfId="37922"/>
    <cellStyle name="asd 54 6 21" xfId="39116"/>
    <cellStyle name="asd 54 6 22" xfId="40797"/>
    <cellStyle name="asd 54 6 23" xfId="42810"/>
    <cellStyle name="asd 54 6 3" xfId="5166"/>
    <cellStyle name="asd 54 6 4" xfId="8067"/>
    <cellStyle name="asd 54 6 5" xfId="9977"/>
    <cellStyle name="asd 54 6 6" xfId="11592"/>
    <cellStyle name="asd 54 6 7" xfId="13497"/>
    <cellStyle name="asd 54 6 8" xfId="15401"/>
    <cellStyle name="asd 54 6 9" xfId="17596"/>
    <cellStyle name="asd 54 7" xfId="1991"/>
    <cellStyle name="asd 54 7 10" xfId="18995"/>
    <cellStyle name="asd 54 7 11" xfId="20907"/>
    <cellStyle name="asd 54 7 12" xfId="22446"/>
    <cellStyle name="asd 54 7 13" xfId="24709"/>
    <cellStyle name="asd 54 7 14" xfId="26494"/>
    <cellStyle name="asd 54 7 15" xfId="28093"/>
    <cellStyle name="asd 54 7 16" xfId="30099"/>
    <cellStyle name="asd 54 7 17" xfId="32171"/>
    <cellStyle name="asd 54 7 18" xfId="34799"/>
    <cellStyle name="asd 54 7 19" xfId="35536"/>
    <cellStyle name="asd 54 7 2" xfId="5481"/>
    <cellStyle name="asd 54 7 2 10" xfId="21731"/>
    <cellStyle name="asd 54 7 2 11" xfId="22873"/>
    <cellStyle name="asd 54 7 2 12" xfId="25533"/>
    <cellStyle name="asd 54 7 2 13" xfId="26226"/>
    <cellStyle name="asd 54 7 2 14" xfId="1984"/>
    <cellStyle name="asd 54 7 2 15" xfId="29836"/>
    <cellStyle name="asd 54 7 2 16" xfId="32438"/>
    <cellStyle name="asd 54 7 2 17" xfId="33593"/>
    <cellStyle name="asd 54 7 2 18" xfId="36360"/>
    <cellStyle name="asd 54 7 2 19" xfId="38239"/>
    <cellStyle name="asd 54 7 2 2" xfId="6930"/>
    <cellStyle name="asd 54 7 2 20" xfId="39655"/>
    <cellStyle name="asd 54 7 2 21" xfId="41329"/>
    <cellStyle name="asd 54 7 2 22" xfId="42660"/>
    <cellStyle name="asd 54 7 2 3" xfId="8384"/>
    <cellStyle name="asd 54 7 2 4" xfId="10294"/>
    <cellStyle name="asd 54 7 2 5" xfId="12204"/>
    <cellStyle name="asd 54 7 2 6" xfId="13341"/>
    <cellStyle name="asd 54 7 2 7" xfId="15246"/>
    <cellStyle name="asd 54 7 2 8" xfId="17913"/>
    <cellStyle name="asd 54 7 2 9" xfId="19819"/>
    <cellStyle name="asd 54 7 20" xfId="37415"/>
    <cellStyle name="asd 54 7 21" xfId="39393"/>
    <cellStyle name="asd 54 7 22" xfId="41069"/>
    <cellStyle name="asd 54 7 23" xfId="42257"/>
    <cellStyle name="asd 54 7 3" xfId="6109"/>
    <cellStyle name="asd 54 7 4" xfId="7560"/>
    <cellStyle name="asd 54 7 5" xfId="9470"/>
    <cellStyle name="asd 54 7 6" xfId="11454"/>
    <cellStyle name="asd 54 7 7" xfId="12914"/>
    <cellStyle name="asd 54 7 8" xfId="14819"/>
    <cellStyle name="asd 54 7 9" xfId="17089"/>
    <cellStyle name="asd 54 8" xfId="2581"/>
    <cellStyle name="asd 54 9" xfId="2900"/>
    <cellStyle name="asd 55" xfId="1097"/>
    <cellStyle name="asd 55 10" xfId="3786"/>
    <cellStyle name="asd 55 11" xfId="3140"/>
    <cellStyle name="asd 55 12" xfId="2386"/>
    <cellStyle name="asd 55 13" xfId="2285"/>
    <cellStyle name="asd 55 14" xfId="3232"/>
    <cellStyle name="asd 55 15" xfId="2003"/>
    <cellStyle name="asd 55 16" xfId="20420"/>
    <cellStyle name="asd 55 17" xfId="3011"/>
    <cellStyle name="asd 55 18" xfId="15375"/>
    <cellStyle name="asd 55 19" xfId="2384"/>
    <cellStyle name="asd 55 2" xfId="3356"/>
    <cellStyle name="asd 55 2 10" xfId="14629"/>
    <cellStyle name="asd 55 2 11" xfId="16535"/>
    <cellStyle name="asd 55 2 12" xfId="16641"/>
    <cellStyle name="asd 55 2 13" xfId="18548"/>
    <cellStyle name="asd 55 2 14" xfId="20460"/>
    <cellStyle name="asd 55 2 15" xfId="24158"/>
    <cellStyle name="asd 55 2 16" xfId="24262"/>
    <cellStyle name="asd 55 2 17" xfId="26633"/>
    <cellStyle name="asd 55 2 18" xfId="29463"/>
    <cellStyle name="asd 55 2 19" xfId="30236"/>
    <cellStyle name="asd 55 2 2" xfId="3536"/>
    <cellStyle name="asd 55 2 2 10" xfId="17427"/>
    <cellStyle name="asd 55 2 2 11" xfId="19333"/>
    <cellStyle name="asd 55 2 2 12" xfId="21245"/>
    <cellStyle name="asd 55 2 2 13" xfId="22887"/>
    <cellStyle name="asd 55 2 2 14" xfId="25047"/>
    <cellStyle name="asd 55 2 2 15" xfId="27044"/>
    <cellStyle name="asd 55 2 2 16" xfId="29325"/>
    <cellStyle name="asd 55 2 2 17" xfId="30637"/>
    <cellStyle name="asd 55 2 2 18" xfId="32262"/>
    <cellStyle name="asd 55 2 2 19" xfId="34810"/>
    <cellStyle name="asd 55 2 2 2" xfId="5545"/>
    <cellStyle name="asd 55 2 2 2 10" xfId="21795"/>
    <cellStyle name="asd 55 2 2 2 11" xfId="3747"/>
    <cellStyle name="asd 55 2 2 2 12" xfId="25597"/>
    <cellStyle name="asd 55 2 2 2 13" xfId="26146"/>
    <cellStyle name="asd 55 2 2 2 14" xfId="29085"/>
    <cellStyle name="asd 55 2 2 2 15" xfId="29760"/>
    <cellStyle name="asd 55 2 2 2 16" xfId="22314"/>
    <cellStyle name="asd 55 2 2 2 17" xfId="27890"/>
    <cellStyle name="asd 55 2 2 2 18" xfId="36424"/>
    <cellStyle name="asd 55 2 2 2 19" xfId="38303"/>
    <cellStyle name="asd 55 2 2 2 2" xfId="6994"/>
    <cellStyle name="asd 55 2 2 2 20" xfId="33954"/>
    <cellStyle name="asd 55 2 2 2 21" xfId="29281"/>
    <cellStyle name="asd 55 2 2 2 22" xfId="31590"/>
    <cellStyle name="asd 55 2 2 2 3" xfId="8448"/>
    <cellStyle name="asd 55 2 2 2 4" xfId="10358"/>
    <cellStyle name="asd 55 2 2 2 5" xfId="11154"/>
    <cellStyle name="asd 55 2 2 2 6" xfId="2970"/>
    <cellStyle name="asd 55 2 2 2 7" xfId="12070"/>
    <cellStyle name="asd 55 2 2 2 8" xfId="17977"/>
    <cellStyle name="asd 55 2 2 2 9" xfId="19883"/>
    <cellStyle name="asd 55 2 2 20" xfId="35874"/>
    <cellStyle name="asd 55 2 2 21" xfId="37753"/>
    <cellStyle name="asd 55 2 2 22" xfId="39480"/>
    <cellStyle name="asd 55 2 2 23" xfId="41155"/>
    <cellStyle name="asd 55 2 2 24" xfId="42673"/>
    <cellStyle name="asd 55 2 2 3" xfId="4997"/>
    <cellStyle name="asd 55 2 2 4" xfId="6447"/>
    <cellStyle name="asd 55 2 2 5" xfId="7898"/>
    <cellStyle name="asd 55 2 2 6" xfId="9808"/>
    <cellStyle name="asd 55 2 2 7" xfId="12391"/>
    <cellStyle name="asd 55 2 2 8" xfId="13355"/>
    <cellStyle name="asd 55 2 2 9" xfId="15260"/>
    <cellStyle name="asd 55 2 20" xfId="31765"/>
    <cellStyle name="asd 55 2 21" xfId="33724"/>
    <cellStyle name="asd 55 2 22" xfId="35090"/>
    <cellStyle name="asd 55 2 23" xfId="36968"/>
    <cellStyle name="asd 55 2 24" xfId="39005"/>
    <cellStyle name="asd 55 2 25" xfId="40688"/>
    <cellStyle name="asd 55 2 26" xfId="43900"/>
    <cellStyle name="asd 55 2 3" xfId="3829"/>
    <cellStyle name="asd 55 2 3 10" xfId="19556"/>
    <cellStyle name="asd 55 2 3 11" xfId="21468"/>
    <cellStyle name="asd 55 2 3 12" xfId="23922"/>
    <cellStyle name="asd 55 2 3 13" xfId="25270"/>
    <cellStyle name="asd 55 2 3 14" xfId="26957"/>
    <cellStyle name="asd 55 2 3 15" xfId="28559"/>
    <cellStyle name="asd 55 2 3 16" xfId="30551"/>
    <cellStyle name="asd 55 2 3 17" xfId="33087"/>
    <cellStyle name="asd 55 2 3 18" xfId="34788"/>
    <cellStyle name="asd 55 2 3 19" xfId="36097"/>
    <cellStyle name="asd 55 2 3 2" xfId="5826"/>
    <cellStyle name="asd 55 2 3 2 10" xfId="22076"/>
    <cellStyle name="asd 55 2 3 2 11" xfId="24057"/>
    <cellStyle name="asd 55 2 3 2 12" xfId="25878"/>
    <cellStyle name="asd 55 2 3 2 13" xfId="27621"/>
    <cellStyle name="asd 55 2 3 2 14" xfId="29322"/>
    <cellStyle name="asd 55 2 3 2 15" xfId="31199"/>
    <cellStyle name="asd 55 2 3 2 16" xfId="31937"/>
    <cellStyle name="asd 55 2 3 2 17" xfId="34672"/>
    <cellStyle name="asd 55 2 3 2 18" xfId="36705"/>
    <cellStyle name="asd 55 2 3 2 19" xfId="38584"/>
    <cellStyle name="asd 55 2 3 2 2" xfId="7275"/>
    <cellStyle name="asd 55 2 3 2 20" xfId="39167"/>
    <cellStyle name="asd 55 2 3 2 21" xfId="40848"/>
    <cellStyle name="asd 55 2 3 2 22" xfId="43801"/>
    <cellStyle name="asd 55 2 3 2 3" xfId="8729"/>
    <cellStyle name="asd 55 2 3 2 4" xfId="10639"/>
    <cellStyle name="asd 55 2 3 2 5" xfId="12016"/>
    <cellStyle name="asd 55 2 3 2 6" xfId="14527"/>
    <cellStyle name="asd 55 2 3 2 7" xfId="16433"/>
    <cellStyle name="asd 55 2 3 2 8" xfId="18258"/>
    <cellStyle name="asd 55 2 3 2 9" xfId="20164"/>
    <cellStyle name="asd 55 2 3 20" xfId="37976"/>
    <cellStyle name="asd 55 2 3 21" xfId="40283"/>
    <cellStyle name="asd 55 2 3 22" xfId="41939"/>
    <cellStyle name="asd 55 2 3 23" xfId="43668"/>
    <cellStyle name="asd 55 2 3 3" xfId="5220"/>
    <cellStyle name="asd 55 2 3 4" xfId="8121"/>
    <cellStyle name="asd 55 2 3 5" xfId="10031"/>
    <cellStyle name="asd 55 2 3 6" xfId="11881"/>
    <cellStyle name="asd 55 2 3 7" xfId="14390"/>
    <cellStyle name="asd 55 2 3 8" xfId="16296"/>
    <cellStyle name="asd 55 2 3 9" xfId="17650"/>
    <cellStyle name="asd 55 2 4" xfId="3988"/>
    <cellStyle name="asd 55 2 4 10" xfId="19623"/>
    <cellStyle name="asd 55 2 4 11" xfId="21535"/>
    <cellStyle name="asd 55 2 4 12" xfId="22847"/>
    <cellStyle name="asd 55 2 4 13" xfId="25337"/>
    <cellStyle name="asd 55 2 4 14" xfId="26798"/>
    <cellStyle name="asd 55 2 4 15" xfId="29540"/>
    <cellStyle name="asd 55 2 4 16" xfId="30396"/>
    <cellStyle name="asd 55 2 4 17" xfId="31777"/>
    <cellStyle name="asd 55 2 4 18" xfId="34570"/>
    <cellStyle name="asd 55 2 4 19" xfId="36164"/>
    <cellStyle name="asd 55 2 4 2" xfId="5893"/>
    <cellStyle name="asd 55 2 4 2 10" xfId="22143"/>
    <cellStyle name="asd 55 2 4 2 11" xfId="23550"/>
    <cellStyle name="asd 55 2 4 2 12" xfId="25945"/>
    <cellStyle name="asd 55 2 4 2 13" xfId="26650"/>
    <cellStyle name="asd 55 2 4 2 14" xfId="26874"/>
    <cellStyle name="asd 55 2 4 2 15" xfId="30252"/>
    <cellStyle name="asd 55 2 4 2 16" xfId="32299"/>
    <cellStyle name="asd 55 2 4 2 17" xfId="34391"/>
    <cellStyle name="asd 55 2 4 2 18" xfId="36772"/>
    <cellStyle name="asd 55 2 4 2 19" xfId="38651"/>
    <cellStyle name="asd 55 2 4 2 2" xfId="7342"/>
    <cellStyle name="asd 55 2 4 2 20" xfId="39519"/>
    <cellStyle name="asd 55 2 4 2 21" xfId="41193"/>
    <cellStyle name="asd 55 2 4 2 22" xfId="43314"/>
    <cellStyle name="asd 55 2 4 2 3" xfId="8796"/>
    <cellStyle name="asd 55 2 4 2 4" xfId="10706"/>
    <cellStyle name="asd 55 2 4 2 5" xfId="11335"/>
    <cellStyle name="asd 55 2 4 2 6" xfId="14022"/>
    <cellStyle name="asd 55 2 4 2 7" xfId="15923"/>
    <cellStyle name="asd 55 2 4 2 8" xfId="18325"/>
    <cellStyle name="asd 55 2 4 2 9" xfId="20231"/>
    <cellStyle name="asd 55 2 4 20" xfId="38043"/>
    <cellStyle name="asd 55 2 4 21" xfId="39016"/>
    <cellStyle name="asd 55 2 4 22" xfId="40698"/>
    <cellStyle name="asd 55 2 4 23" xfId="42638"/>
    <cellStyle name="asd 55 2 4 3" xfId="6734"/>
    <cellStyle name="asd 55 2 4 4" xfId="8188"/>
    <cellStyle name="asd 55 2 4 5" xfId="10098"/>
    <cellStyle name="asd 55 2 4 6" xfId="11123"/>
    <cellStyle name="asd 55 2 4 7" xfId="13316"/>
    <cellStyle name="asd 55 2 4 8" xfId="15220"/>
    <cellStyle name="asd 55 2 4 9" xfId="17717"/>
    <cellStyle name="asd 55 2 5" xfId="4869"/>
    <cellStyle name="asd 55 2 5 10" xfId="21117"/>
    <cellStyle name="asd 55 2 5 11" xfId="23706"/>
    <cellStyle name="asd 55 2 5 12" xfId="24919"/>
    <cellStyle name="asd 55 2 5 13" xfId="27450"/>
    <cellStyle name="asd 55 2 5 14" xfId="4740"/>
    <cellStyle name="asd 55 2 5 15" xfId="31037"/>
    <cellStyle name="asd 55 2 5 16" xfId="32086"/>
    <cellStyle name="asd 55 2 5 17" xfId="29493"/>
    <cellStyle name="asd 55 2 5 18" xfId="35746"/>
    <cellStyle name="asd 55 2 5 19" xfId="37625"/>
    <cellStyle name="asd 55 2 5 2" xfId="6319"/>
    <cellStyle name="asd 55 2 5 20" xfId="39310"/>
    <cellStyle name="asd 55 2 5 21" xfId="40986"/>
    <cellStyle name="asd 55 2 5 22" xfId="43463"/>
    <cellStyle name="asd 55 2 5 3" xfId="7770"/>
    <cellStyle name="asd 55 2 5 4" xfId="9680"/>
    <cellStyle name="asd 55 2 5 5" xfId="11618"/>
    <cellStyle name="asd 55 2 5 6" xfId="14176"/>
    <cellStyle name="asd 55 2 5 7" xfId="16080"/>
    <cellStyle name="asd 55 2 5 8" xfId="17299"/>
    <cellStyle name="asd 55 2 5 9" xfId="19205"/>
    <cellStyle name="asd 55 2 6" xfId="4590"/>
    <cellStyle name="asd 55 2 6 10" xfId="20835"/>
    <cellStyle name="asd 55 2 6 11" xfId="23357"/>
    <cellStyle name="asd 55 2 6 12" xfId="24637"/>
    <cellStyle name="asd 55 2 6 13" xfId="26831"/>
    <cellStyle name="asd 55 2 6 14" xfId="28061"/>
    <cellStyle name="asd 55 2 6 15" xfId="30429"/>
    <cellStyle name="asd 55 2 6 16" xfId="29440"/>
    <cellStyle name="asd 55 2 6 17" xfId="33373"/>
    <cellStyle name="asd 55 2 6 18" xfId="35465"/>
    <cellStyle name="asd 55 2 6 19" xfId="37343"/>
    <cellStyle name="asd 55 2 6 2" xfId="5396"/>
    <cellStyle name="asd 55 2 6 20" xfId="29748"/>
    <cellStyle name="asd 55 2 6 21" xfId="12144"/>
    <cellStyle name="asd 55 2 6 22" xfId="43127"/>
    <cellStyle name="asd 55 2 6 3" xfId="6725"/>
    <cellStyle name="asd 55 2 6 4" xfId="9397"/>
    <cellStyle name="asd 55 2 6 5" xfId="11315"/>
    <cellStyle name="asd 55 2 6 6" xfId="13829"/>
    <cellStyle name="asd 55 2 6 7" xfId="15731"/>
    <cellStyle name="asd 55 2 6 8" xfId="17016"/>
    <cellStyle name="asd 55 2 6 9" xfId="18923"/>
    <cellStyle name="asd 55 2 7" xfId="4519"/>
    <cellStyle name="asd 55 2 8" xfId="9022"/>
    <cellStyle name="asd 55 2 9" xfId="12118"/>
    <cellStyle name="asd 55 20" xfId="18512"/>
    <cellStyle name="asd 55 21" xfId="28087"/>
    <cellStyle name="asd 55 22" xfId="33343"/>
    <cellStyle name="asd 55 23" xfId="12813"/>
    <cellStyle name="asd 55 24" xfId="31891"/>
    <cellStyle name="asd 55 25" xfId="18526"/>
    <cellStyle name="asd 55 26" xfId="34750"/>
    <cellStyle name="asd 55 27" xfId="42065"/>
    <cellStyle name="asd 55 28" xfId="43987"/>
    <cellStyle name="asd 55 3" xfId="3457"/>
    <cellStyle name="asd 55 3 10" xfId="13786"/>
    <cellStyle name="asd 55 3 11" xfId="15688"/>
    <cellStyle name="asd 55 3 12" xfId="16859"/>
    <cellStyle name="asd 55 3 13" xfId="18766"/>
    <cellStyle name="asd 55 3 14" xfId="20678"/>
    <cellStyle name="asd 55 3 15" xfId="23314"/>
    <cellStyle name="asd 55 3 16" xfId="24480"/>
    <cellStyle name="asd 55 3 17" xfId="26821"/>
    <cellStyle name="asd 55 3 18" xfId="28907"/>
    <cellStyle name="asd 55 3 19" xfId="30420"/>
    <cellStyle name="asd 55 3 2" xfId="3637"/>
    <cellStyle name="asd 55 3 2 10" xfId="17528"/>
    <cellStyle name="asd 55 3 2 11" xfId="19434"/>
    <cellStyle name="asd 55 3 2 12" xfId="21346"/>
    <cellStyle name="asd 55 3 2 13" xfId="23288"/>
    <cellStyle name="asd 55 3 2 14" xfId="25148"/>
    <cellStyle name="asd 55 3 2 15" xfId="27075"/>
    <cellStyle name="asd 55 3 2 16" xfId="2655"/>
    <cellStyle name="asd 55 3 2 17" xfId="30666"/>
    <cellStyle name="asd 55 3 2 18" xfId="32825"/>
    <cellStyle name="asd 55 3 2 19" xfId="34553"/>
    <cellStyle name="asd 55 3 2 2" xfId="5716"/>
    <cellStyle name="asd 55 3 2 2 10" xfId="21966"/>
    <cellStyle name="asd 55 3 2 2 11" xfId="22909"/>
    <cellStyle name="asd 55 3 2 2 12" xfId="25768"/>
    <cellStyle name="asd 55 3 2 2 13" xfId="26697"/>
    <cellStyle name="asd 55 3 2 2 14" xfId="29384"/>
    <cellStyle name="asd 55 3 2 2 15" xfId="30297"/>
    <cellStyle name="asd 55 3 2 2 16" xfId="33051"/>
    <cellStyle name="asd 55 3 2 2 17" xfId="34173"/>
    <cellStyle name="asd 55 3 2 2 18" xfId="36595"/>
    <cellStyle name="asd 55 3 2 2 19" xfId="38474"/>
    <cellStyle name="asd 55 3 2 2 2" xfId="7165"/>
    <cellStyle name="asd 55 3 2 2 20" xfId="40248"/>
    <cellStyle name="asd 55 3 2 2 21" xfId="41906"/>
    <cellStyle name="asd 55 3 2 2 22" xfId="42695"/>
    <cellStyle name="asd 55 3 2 2 3" xfId="8619"/>
    <cellStyle name="asd 55 3 2 2 4" xfId="10529"/>
    <cellStyle name="asd 55 3 2 2 5" xfId="11090"/>
    <cellStyle name="asd 55 3 2 2 6" xfId="13377"/>
    <cellStyle name="asd 55 3 2 2 7" xfId="15282"/>
    <cellStyle name="asd 55 3 2 2 8" xfId="18148"/>
    <cellStyle name="asd 55 3 2 2 9" xfId="20054"/>
    <cellStyle name="asd 55 3 2 20" xfId="35975"/>
    <cellStyle name="asd 55 3 2 21" xfId="37854"/>
    <cellStyle name="asd 55 3 2 22" xfId="40034"/>
    <cellStyle name="asd 55 3 2 23" xfId="41698"/>
    <cellStyle name="asd 55 3 2 24" xfId="43063"/>
    <cellStyle name="asd 55 3 2 3" xfId="5098"/>
    <cellStyle name="asd 55 3 2 4" xfId="6548"/>
    <cellStyle name="asd 55 3 2 5" xfId="7999"/>
    <cellStyle name="asd 55 3 2 6" xfId="9909"/>
    <cellStyle name="asd 55 3 2 7" xfId="11243"/>
    <cellStyle name="asd 55 3 2 8" xfId="13760"/>
    <cellStyle name="asd 55 3 2 9" xfId="15662"/>
    <cellStyle name="asd 55 3 20" xfId="31710"/>
    <cellStyle name="asd 55 3 21" xfId="33652"/>
    <cellStyle name="asd 55 3 22" xfId="35308"/>
    <cellStyle name="asd 55 3 23" xfId="37186"/>
    <cellStyle name="asd 55 3 24" xfId="38951"/>
    <cellStyle name="asd 55 3 25" xfId="40634"/>
    <cellStyle name="asd 55 3 26" xfId="43086"/>
    <cellStyle name="asd 55 3 3" xfId="3824"/>
    <cellStyle name="asd 55 3 3 10" xfId="19552"/>
    <cellStyle name="asd 55 3 3 11" xfId="21464"/>
    <cellStyle name="asd 55 3 3 12" xfId="22440"/>
    <cellStyle name="asd 55 3 3 13" xfId="25266"/>
    <cellStyle name="asd 55 3 3 14" xfId="26162"/>
    <cellStyle name="asd 55 3 3 15" xfId="28083"/>
    <cellStyle name="asd 55 3 3 16" xfId="29776"/>
    <cellStyle name="asd 55 3 3 17" xfId="32128"/>
    <cellStyle name="asd 55 3 3 18" xfId="33941"/>
    <cellStyle name="asd 55 3 3 19" xfId="36093"/>
    <cellStyle name="asd 55 3 3 2" xfId="5822"/>
    <cellStyle name="asd 55 3 3 2 10" xfId="22072"/>
    <cellStyle name="asd 55 3 3 2 11" xfId="23160"/>
    <cellStyle name="asd 55 3 3 2 12" xfId="25874"/>
    <cellStyle name="asd 55 3 3 2 13" xfId="26879"/>
    <cellStyle name="asd 55 3 3 2 14" xfId="29656"/>
    <cellStyle name="asd 55 3 3 2 15" xfId="30476"/>
    <cellStyle name="asd 55 3 3 2 16" xfId="32317"/>
    <cellStyle name="asd 55 3 3 2 17" xfId="33394"/>
    <cellStyle name="asd 55 3 3 2 18" xfId="36701"/>
    <cellStyle name="asd 55 3 3 2 19" xfId="38580"/>
    <cellStyle name="asd 55 3 3 2 2" xfId="7271"/>
    <cellStyle name="asd 55 3 3 2 20" xfId="39536"/>
    <cellStyle name="asd 55 3 3 2 21" xfId="41210"/>
    <cellStyle name="asd 55 3 3 2 22" xfId="42938"/>
    <cellStyle name="asd 55 3 3 2 3" xfId="8725"/>
    <cellStyle name="asd 55 3 3 2 4" xfId="10635"/>
    <cellStyle name="asd 55 3 3 2 5" xfId="10966"/>
    <cellStyle name="asd 55 3 3 2 6" xfId="13631"/>
    <cellStyle name="asd 55 3 3 2 7" xfId="15534"/>
    <cellStyle name="asd 55 3 3 2 8" xfId="18254"/>
    <cellStyle name="asd 55 3 3 2 9" xfId="20160"/>
    <cellStyle name="asd 55 3 3 20" xfId="37972"/>
    <cellStyle name="asd 55 3 3 21" xfId="39351"/>
    <cellStyle name="asd 55 3 3 22" xfId="41027"/>
    <cellStyle name="asd 55 3 3 23" xfId="42251"/>
    <cellStyle name="asd 55 3 3 3" xfId="5216"/>
    <cellStyle name="asd 55 3 3 4" xfId="8117"/>
    <cellStyle name="asd 55 3 3 5" xfId="10027"/>
    <cellStyle name="asd 55 3 3 6" xfId="2306"/>
    <cellStyle name="asd 55 3 3 7" xfId="12908"/>
    <cellStyle name="asd 55 3 3 8" xfId="14813"/>
    <cellStyle name="asd 55 3 3 9" xfId="17646"/>
    <cellStyle name="asd 55 3 4" xfId="4089"/>
    <cellStyle name="asd 55 3 4 10" xfId="19724"/>
    <cellStyle name="asd 55 3 4 11" xfId="21636"/>
    <cellStyle name="asd 55 3 4 12" xfId="22963"/>
    <cellStyle name="asd 55 3 4 13" xfId="25438"/>
    <cellStyle name="asd 55 3 4 14" xfId="26294"/>
    <cellStyle name="asd 55 3 4 15" xfId="28360"/>
    <cellStyle name="asd 55 3 4 16" xfId="29903"/>
    <cellStyle name="asd 55 3 4 17" xfId="31633"/>
    <cellStyle name="asd 55 3 4 18" xfId="34494"/>
    <cellStyle name="asd 55 3 4 19" xfId="36265"/>
    <cellStyle name="asd 55 3 4 2" xfId="5994"/>
    <cellStyle name="asd 55 3 4 2 10" xfId="22244"/>
    <cellStyle name="asd 55 3 4 2 11" xfId="22974"/>
    <cellStyle name="asd 55 3 4 2 12" xfId="26046"/>
    <cellStyle name="asd 55 3 4 2 13" xfId="26648"/>
    <cellStyle name="asd 55 3 4 2 14" xfId="28974"/>
    <cellStyle name="asd 55 3 4 2 15" xfId="30250"/>
    <cellStyle name="asd 55 3 4 2 16" xfId="31629"/>
    <cellStyle name="asd 55 3 4 2 17" xfId="33380"/>
    <cellStyle name="asd 55 3 4 2 18" xfId="36873"/>
    <cellStyle name="asd 55 3 4 2 19" xfId="38752"/>
    <cellStyle name="asd 55 3 4 2 2" xfId="7443"/>
    <cellStyle name="asd 55 3 4 2 20" xfId="38876"/>
    <cellStyle name="asd 55 3 4 2 21" xfId="40561"/>
    <cellStyle name="asd 55 3 4 2 22" xfId="42760"/>
    <cellStyle name="asd 55 3 4 2 3" xfId="8897"/>
    <cellStyle name="asd 55 3 4 2 4" xfId="10807"/>
    <cellStyle name="asd 55 3 4 2 5" xfId="12335"/>
    <cellStyle name="asd 55 3 4 2 6" xfId="13443"/>
    <cellStyle name="asd 55 3 4 2 7" xfId="15348"/>
    <cellStyle name="asd 55 3 4 2 8" xfId="18426"/>
    <cellStyle name="asd 55 3 4 2 9" xfId="20332"/>
    <cellStyle name="asd 55 3 4 20" xfId="38144"/>
    <cellStyle name="asd 55 3 4 21" xfId="38880"/>
    <cellStyle name="asd 55 3 4 22" xfId="40565"/>
    <cellStyle name="asd 55 3 4 23" xfId="42749"/>
    <cellStyle name="asd 55 3 4 3" xfId="6835"/>
    <cellStyle name="asd 55 3 4 4" xfId="8289"/>
    <cellStyle name="asd 55 3 4 5" xfId="10199"/>
    <cellStyle name="asd 55 3 4 6" xfId="12434"/>
    <cellStyle name="asd 55 3 4 7" xfId="13432"/>
    <cellStyle name="asd 55 3 4 8" xfId="15337"/>
    <cellStyle name="asd 55 3 4 9" xfId="17818"/>
    <cellStyle name="asd 55 3 5" xfId="4943"/>
    <cellStyle name="asd 55 3 5 10" xfId="21191"/>
    <cellStyle name="asd 55 3 5 11" xfId="22655"/>
    <cellStyle name="asd 55 3 5 12" xfId="24993"/>
    <cellStyle name="asd 55 3 5 13" xfId="27814"/>
    <cellStyle name="asd 55 3 5 14" xfId="29163"/>
    <cellStyle name="asd 55 3 5 15" xfId="31392"/>
    <cellStyle name="asd 55 3 5 16" xfId="32306"/>
    <cellStyle name="asd 55 3 5 17" xfId="33847"/>
    <cellStyle name="asd 55 3 5 18" xfId="35820"/>
    <cellStyle name="asd 55 3 5 19" xfId="37699"/>
    <cellStyle name="asd 55 3 5 2" xfId="6393"/>
    <cellStyle name="asd 55 3 5 20" xfId="39525"/>
    <cellStyle name="asd 55 3 5 21" xfId="41199"/>
    <cellStyle name="asd 55 3 5 22" xfId="42461"/>
    <cellStyle name="asd 55 3 5 3" xfId="7844"/>
    <cellStyle name="asd 55 3 5 4" xfId="9754"/>
    <cellStyle name="asd 55 3 5 5" xfId="12283"/>
    <cellStyle name="asd 55 3 5 6" xfId="13122"/>
    <cellStyle name="asd 55 3 5 7" xfId="15027"/>
    <cellStyle name="asd 55 3 5 8" xfId="17373"/>
    <cellStyle name="asd 55 3 5 9" xfId="19279"/>
    <cellStyle name="asd 55 3 6" xfId="4573"/>
    <cellStyle name="asd 55 3 6 10" xfId="20818"/>
    <cellStyle name="asd 55 3 6 11" xfId="22568"/>
    <cellStyle name="asd 55 3 6 12" xfId="24620"/>
    <cellStyle name="asd 55 3 6 13" xfId="27156"/>
    <cellStyle name="asd 55 3 6 14" xfId="29633"/>
    <cellStyle name="asd 55 3 6 15" xfId="30747"/>
    <cellStyle name="asd 55 3 6 16" xfId="31671"/>
    <cellStyle name="asd 55 3 6 17" xfId="33379"/>
    <cellStyle name="asd 55 3 6 18" xfId="35448"/>
    <cellStyle name="asd 55 3 6 19" xfId="37326"/>
    <cellStyle name="asd 55 3 6 2" xfId="2693"/>
    <cellStyle name="asd 55 3 6 20" xfId="38915"/>
    <cellStyle name="asd 55 3 6 21" xfId="40599"/>
    <cellStyle name="asd 55 3 6 22" xfId="42377"/>
    <cellStyle name="asd 55 3 6 3" xfId="4503"/>
    <cellStyle name="asd 55 3 6 4" xfId="9380"/>
    <cellStyle name="asd 55 3 6 5" xfId="11841"/>
    <cellStyle name="asd 55 3 6 6" xfId="13036"/>
    <cellStyle name="asd 55 3 6 7" xfId="14940"/>
    <cellStyle name="asd 55 3 6 8" xfId="16999"/>
    <cellStyle name="asd 55 3 6 9" xfId="18906"/>
    <cellStyle name="asd 55 3 7" xfId="6142"/>
    <cellStyle name="asd 55 3 8" xfId="9240"/>
    <cellStyle name="asd 55 3 9" xfId="12175"/>
    <cellStyle name="asd 55 4" xfId="3383"/>
    <cellStyle name="asd 55 4 10" xfId="15493"/>
    <cellStyle name="asd 55 4 11" xfId="16705"/>
    <cellStyle name="asd 55 4 12" xfId="18612"/>
    <cellStyle name="asd 55 4 13" xfId="20524"/>
    <cellStyle name="asd 55 4 14" xfId="23119"/>
    <cellStyle name="asd 55 4 15" xfId="24326"/>
    <cellStyle name="asd 55 4 16" xfId="27951"/>
    <cellStyle name="asd 55 4 17" xfId="29531"/>
    <cellStyle name="asd 55 4 18" xfId="31531"/>
    <cellStyle name="asd 55 4 19" xfId="33283"/>
    <cellStyle name="asd 55 4 2" xfId="3563"/>
    <cellStyle name="asd 55 4 2 10" xfId="17454"/>
    <cellStyle name="asd 55 4 2 11" xfId="19360"/>
    <cellStyle name="asd 55 4 2 12" xfId="21272"/>
    <cellStyle name="asd 55 4 2 13" xfId="22721"/>
    <cellStyle name="asd 55 4 2 14" xfId="25074"/>
    <cellStyle name="asd 55 4 2 15" xfId="27779"/>
    <cellStyle name="asd 55 4 2 16" xfId="29358"/>
    <cellStyle name="asd 55 4 2 17" xfId="31356"/>
    <cellStyle name="asd 55 4 2 18" xfId="32364"/>
    <cellStyle name="asd 55 4 2 19" xfId="33586"/>
    <cellStyle name="asd 55 4 2 2" xfId="4475"/>
    <cellStyle name="asd 55 4 2 2 10" xfId="20720"/>
    <cellStyle name="asd 55 4 2 2 11" xfId="23191"/>
    <cellStyle name="asd 55 4 2 2 12" xfId="24522"/>
    <cellStyle name="asd 55 4 2 2 13" xfId="27481"/>
    <cellStyle name="asd 55 4 2 2 14" xfId="2662"/>
    <cellStyle name="asd 55 4 2 2 15" xfId="31068"/>
    <cellStyle name="asd 55 4 2 2 16" xfId="32176"/>
    <cellStyle name="asd 55 4 2 2 17" xfId="35005"/>
    <cellStyle name="asd 55 4 2 2 18" xfId="35350"/>
    <cellStyle name="asd 55 4 2 2 19" xfId="37228"/>
    <cellStyle name="asd 55 4 2 2 2" xfId="3055"/>
    <cellStyle name="asd 55 4 2 2 20" xfId="39398"/>
    <cellStyle name="asd 55 4 2 2 21" xfId="41074"/>
    <cellStyle name="asd 55 4 2 2 22" xfId="42969"/>
    <cellStyle name="asd 55 4 2 2 3" xfId="4684"/>
    <cellStyle name="asd 55 4 2 2 4" xfId="9282"/>
    <cellStyle name="asd 55 4 2 2 5" xfId="11037"/>
    <cellStyle name="asd 55 4 2 2 6" xfId="13663"/>
    <cellStyle name="asd 55 4 2 2 7" xfId="15565"/>
    <cellStyle name="asd 55 4 2 2 8" xfId="16901"/>
    <cellStyle name="asd 55 4 2 2 9" xfId="18808"/>
    <cellStyle name="asd 55 4 2 20" xfId="35901"/>
    <cellStyle name="asd 55 4 2 21" xfId="37780"/>
    <cellStyle name="asd 55 4 2 22" xfId="39583"/>
    <cellStyle name="asd 55 4 2 23" xfId="41257"/>
    <cellStyle name="asd 55 4 2 24" xfId="42519"/>
    <cellStyle name="asd 55 4 2 25" xfId="45922"/>
    <cellStyle name="asd 55 4 2 3" xfId="5024"/>
    <cellStyle name="asd 55 4 2 4" xfId="6474"/>
    <cellStyle name="asd 55 4 2 5" xfId="7925"/>
    <cellStyle name="asd 55 4 2 6" xfId="9835"/>
    <cellStyle name="asd 55 4 2 7" xfId="11526"/>
    <cellStyle name="asd 55 4 2 8" xfId="13190"/>
    <cellStyle name="asd 55 4 2 9" xfId="15093"/>
    <cellStyle name="asd 55 4 20" xfId="34260"/>
    <cellStyle name="asd 55 4 21" xfId="35154"/>
    <cellStyle name="asd 55 4 22" xfId="37032"/>
    <cellStyle name="asd 55 4 23" xfId="40467"/>
    <cellStyle name="asd 55 4 24" xfId="42122"/>
    <cellStyle name="asd 55 4 25" xfId="42899"/>
    <cellStyle name="asd 55 4 26" xfId="45335"/>
    <cellStyle name="asd 55 4 3" xfId="3172"/>
    <cellStyle name="asd 55 4 3 10" xfId="19172"/>
    <cellStyle name="asd 55 4 3 11" xfId="21084"/>
    <cellStyle name="asd 55 4 3 12" xfId="22468"/>
    <cellStyle name="asd 55 4 3 13" xfId="24886"/>
    <cellStyle name="asd 55 4 3 14" xfId="27756"/>
    <cellStyle name="asd 55 4 3 15" xfId="29330"/>
    <cellStyle name="asd 55 4 3 16" xfId="31335"/>
    <cellStyle name="asd 55 4 3 17" xfId="32363"/>
    <cellStyle name="asd 55 4 3 18" xfId="34276"/>
    <cellStyle name="asd 55 4 3 19" xfId="35713"/>
    <cellStyle name="asd 55 4 3 2" xfId="5702"/>
    <cellStyle name="asd 55 4 3 2 10" xfId="21952"/>
    <cellStyle name="asd 55 4 3 2 11" xfId="23038"/>
    <cellStyle name="asd 55 4 3 2 12" xfId="25754"/>
    <cellStyle name="asd 55 4 3 2 13" xfId="27642"/>
    <cellStyle name="asd 55 4 3 2 14" xfId="4179"/>
    <cellStyle name="asd 55 4 3 2 15" xfId="31219"/>
    <cellStyle name="asd 55 4 3 2 16" xfId="2779"/>
    <cellStyle name="asd 55 4 3 2 17" xfId="2838"/>
    <cellStyle name="asd 55 4 3 2 18" xfId="36581"/>
    <cellStyle name="asd 55 4 3 2 19" xfId="38460"/>
    <cellStyle name="asd 55 4 3 2 2" xfId="7151"/>
    <cellStyle name="asd 55 4 3 2 20" xfId="30119"/>
    <cellStyle name="asd 55 4 3 2 21" xfId="28468"/>
    <cellStyle name="asd 55 4 3 2 22" xfId="42821"/>
    <cellStyle name="asd 55 4 3 2 3" xfId="8605"/>
    <cellStyle name="asd 55 4 3 2 4" xfId="10515"/>
    <cellStyle name="asd 55 4 3 2 5" xfId="12633"/>
    <cellStyle name="asd 55 4 3 2 6" xfId="13508"/>
    <cellStyle name="asd 55 4 3 2 7" xfId="15412"/>
    <cellStyle name="asd 55 4 3 2 8" xfId="18134"/>
    <cellStyle name="asd 55 4 3 2 9" xfId="20040"/>
    <cellStyle name="asd 55 4 3 20" xfId="37592"/>
    <cellStyle name="asd 55 4 3 21" xfId="39582"/>
    <cellStyle name="asd 55 4 3 22" xfId="41256"/>
    <cellStyle name="asd 55 4 3 23" xfId="42279"/>
    <cellStyle name="asd 55 4 3 24" xfId="46280"/>
    <cellStyle name="asd 55 4 3 3" xfId="4836"/>
    <cellStyle name="asd 55 4 3 4" xfId="7737"/>
    <cellStyle name="asd 55 4 3 5" xfId="9647"/>
    <cellStyle name="asd 55 4 3 6" xfId="11672"/>
    <cellStyle name="asd 55 4 3 7" xfId="12936"/>
    <cellStyle name="asd 55 4 3 8" xfId="14841"/>
    <cellStyle name="asd 55 4 3 9" xfId="17266"/>
    <cellStyle name="asd 55 4 4" xfId="4015"/>
    <cellStyle name="asd 55 4 4 10" xfId="19650"/>
    <cellStyle name="asd 55 4 4 11" xfId="21562"/>
    <cellStyle name="asd 55 4 4 12" xfId="23203"/>
    <cellStyle name="asd 55 4 4 13" xfId="25364"/>
    <cellStyle name="asd 55 4 4 14" xfId="26426"/>
    <cellStyle name="asd 55 4 4 15" xfId="28086"/>
    <cellStyle name="asd 55 4 4 16" xfId="30032"/>
    <cellStyle name="asd 55 4 4 17" xfId="33271"/>
    <cellStyle name="asd 55 4 4 18" xfId="34953"/>
    <cellStyle name="asd 55 4 4 19" xfId="36191"/>
    <cellStyle name="asd 55 4 4 2" xfId="5920"/>
    <cellStyle name="asd 55 4 4 2 10" xfId="22170"/>
    <cellStyle name="asd 55 4 4 2 11" xfId="23774"/>
    <cellStyle name="asd 55 4 4 2 12" xfId="25972"/>
    <cellStyle name="asd 55 4 4 2 13" xfId="26299"/>
    <cellStyle name="asd 55 4 4 2 14" xfId="29343"/>
    <cellStyle name="asd 55 4 4 2 15" xfId="29908"/>
    <cellStyle name="asd 55 4 4 2 16" xfId="32055"/>
    <cellStyle name="asd 55 4 4 2 17" xfId="34745"/>
    <cellStyle name="asd 55 4 4 2 18" xfId="36799"/>
    <cellStyle name="asd 55 4 4 2 19" xfId="38678"/>
    <cellStyle name="asd 55 4 4 2 2" xfId="7369"/>
    <cellStyle name="asd 55 4 4 2 20" xfId="39282"/>
    <cellStyle name="asd 55 4 4 2 21" xfId="40958"/>
    <cellStyle name="asd 55 4 4 2 22" xfId="43527"/>
    <cellStyle name="asd 55 4 4 2 3" xfId="8823"/>
    <cellStyle name="asd 55 4 4 2 4" xfId="10733"/>
    <cellStyle name="asd 55 4 4 2 5" xfId="11734"/>
    <cellStyle name="asd 55 4 4 2 6" xfId="14244"/>
    <cellStyle name="asd 55 4 4 2 7" xfId="16148"/>
    <cellStyle name="asd 55 4 4 2 8" xfId="18352"/>
    <cellStyle name="asd 55 4 4 2 9" xfId="20258"/>
    <cellStyle name="asd 55 4 4 20" xfId="38070"/>
    <cellStyle name="asd 55 4 4 21" xfId="40457"/>
    <cellStyle name="asd 55 4 4 22" xfId="42112"/>
    <cellStyle name="asd 55 4 4 23" xfId="42981"/>
    <cellStyle name="asd 55 4 4 24" xfId="46632"/>
    <cellStyle name="asd 55 4 4 3" xfId="6761"/>
    <cellStyle name="asd 55 4 4 4" xfId="8215"/>
    <cellStyle name="asd 55 4 4 5" xfId="10125"/>
    <cellStyle name="asd 55 4 4 6" xfId="11071"/>
    <cellStyle name="asd 55 4 4 7" xfId="13675"/>
    <cellStyle name="asd 55 4 4 8" xfId="15577"/>
    <cellStyle name="asd 55 4 4 9" xfId="17744"/>
    <cellStyle name="asd 55 4 5" xfId="5724"/>
    <cellStyle name="asd 55 4 5 10" xfId="21974"/>
    <cellStyle name="asd 55 4 5 11" xfId="22553"/>
    <cellStyle name="asd 55 4 5 12" xfId="25776"/>
    <cellStyle name="asd 55 4 5 13" xfId="26260"/>
    <cellStyle name="asd 55 4 5 14" xfId="29512"/>
    <cellStyle name="asd 55 4 5 15" xfId="29870"/>
    <cellStyle name="asd 55 4 5 16" xfId="31965"/>
    <cellStyle name="asd 55 4 5 17" xfId="33655"/>
    <cellStyle name="asd 55 4 5 18" xfId="36603"/>
    <cellStyle name="asd 55 4 5 19" xfId="38482"/>
    <cellStyle name="asd 55 4 5 2" xfId="7173"/>
    <cellStyle name="asd 55 4 5 20" xfId="39194"/>
    <cellStyle name="asd 55 4 5 21" xfId="40875"/>
    <cellStyle name="asd 55 4 5 22" xfId="42362"/>
    <cellStyle name="asd 55 4 5 23" xfId="45552"/>
    <cellStyle name="asd 55 4 5 3" xfId="8627"/>
    <cellStyle name="asd 55 4 5 4" xfId="10537"/>
    <cellStyle name="asd 55 4 5 5" xfId="12387"/>
    <cellStyle name="asd 55 4 5 6" xfId="13021"/>
    <cellStyle name="asd 55 4 5 7" xfId="14925"/>
    <cellStyle name="asd 55 4 5 8" xfId="18156"/>
    <cellStyle name="asd 55 4 5 9" xfId="20062"/>
    <cellStyle name="asd 55 4 6" xfId="5408"/>
    <cellStyle name="asd 55 4 7" xfId="9086"/>
    <cellStyle name="asd 55 4 8" xfId="11695"/>
    <cellStyle name="asd 55 4 9" xfId="13590"/>
    <cellStyle name="asd 55 5" xfId="2367"/>
    <cellStyle name="asd 55 5 10" xfId="17153"/>
    <cellStyle name="asd 55 5 11" xfId="19059"/>
    <cellStyle name="asd 55 5 12" xfId="20971"/>
    <cellStyle name="asd 55 5 13" xfId="22390"/>
    <cellStyle name="asd 55 5 14" xfId="24773"/>
    <cellStyle name="asd 55 5 15" xfId="16591"/>
    <cellStyle name="asd 55 5 16" xfId="24218"/>
    <cellStyle name="asd 55 5 17" xfId="16616"/>
    <cellStyle name="asd 55 5 18" xfId="13165"/>
    <cellStyle name="asd 55 5 19" xfId="26143"/>
    <cellStyle name="asd 55 5 2" xfId="4280"/>
    <cellStyle name="asd 55 5 2 10" xfId="20556"/>
    <cellStyle name="asd 55 5 2 11" xfId="22745"/>
    <cellStyle name="asd 55 5 2 12" xfId="24358"/>
    <cellStyle name="asd 55 5 2 13" xfId="26456"/>
    <cellStyle name="asd 55 5 2 14" xfId="29153"/>
    <cellStyle name="asd 55 5 2 15" xfId="30062"/>
    <cellStyle name="asd 55 5 2 16" xfId="31595"/>
    <cellStyle name="asd 55 5 2 17" xfId="33744"/>
    <cellStyle name="asd 55 5 2 18" xfId="35186"/>
    <cellStyle name="asd 55 5 2 19" xfId="37064"/>
    <cellStyle name="asd 55 5 2 2" xfId="4450"/>
    <cellStyle name="asd 55 5 2 20" xfId="38842"/>
    <cellStyle name="asd 55 5 2 21" xfId="40528"/>
    <cellStyle name="asd 55 5 2 22" xfId="42543"/>
    <cellStyle name="asd 55 5 2 23" xfId="45645"/>
    <cellStyle name="asd 55 5 2 3" xfId="5294"/>
    <cellStyle name="asd 55 5 2 4" xfId="9118"/>
    <cellStyle name="asd 55 5 2 5" xfId="12197"/>
    <cellStyle name="asd 55 5 2 6" xfId="13214"/>
    <cellStyle name="asd 55 5 2 7" xfId="15117"/>
    <cellStyle name="asd 55 5 2 8" xfId="16737"/>
    <cellStyle name="asd 55 5 2 9" xfId="18644"/>
    <cellStyle name="asd 55 5 20" xfId="35600"/>
    <cellStyle name="asd 55 5 21" xfId="37479"/>
    <cellStyle name="asd 55 5 22" xfId="27977"/>
    <cellStyle name="asd 55 5 23" xfId="29348"/>
    <cellStyle name="asd 55 5 24" xfId="42201"/>
    <cellStyle name="asd 55 5 3" xfId="4725"/>
    <cellStyle name="asd 55 5 3 2" xfId="46034"/>
    <cellStyle name="asd 55 5 4" xfId="6173"/>
    <cellStyle name="asd 55 5 4 2" xfId="46392"/>
    <cellStyle name="asd 55 5 5" xfId="7624"/>
    <cellStyle name="asd 55 5 5 2" xfId="46744"/>
    <cellStyle name="asd 55 5 6" xfId="9534"/>
    <cellStyle name="asd 55 5 6 2" xfId="47059"/>
    <cellStyle name="asd 55 5 7" xfId="11501"/>
    <cellStyle name="asd 55 5 7 2" xfId="47378"/>
    <cellStyle name="asd 55 5 8" xfId="12857"/>
    <cellStyle name="asd 55 5 8 2" xfId="47696"/>
    <cellStyle name="asd 55 5 9" xfId="14762"/>
    <cellStyle name="asd 55 6" xfId="3153"/>
    <cellStyle name="asd 55 6 10" xfId="19165"/>
    <cellStyle name="asd 55 6 11" xfId="21077"/>
    <cellStyle name="asd 55 6 12" xfId="24108"/>
    <cellStyle name="asd 55 6 13" xfId="24879"/>
    <cellStyle name="asd 55 6 14" xfId="26569"/>
    <cellStyle name="asd 55 6 15" xfId="27976"/>
    <cellStyle name="asd 55 6 16" xfId="30171"/>
    <cellStyle name="asd 55 6 17" xfId="32421"/>
    <cellStyle name="asd 55 6 18" xfId="33375"/>
    <cellStyle name="asd 55 6 19" xfId="35706"/>
    <cellStyle name="asd 55 6 2" xfId="5506"/>
    <cellStyle name="asd 55 6 2 10" xfId="21756"/>
    <cellStyle name="asd 55 6 2 11" xfId="23579"/>
    <cellStyle name="asd 55 6 2 12" xfId="25558"/>
    <cellStyle name="asd 55 6 2 13" xfId="26816"/>
    <cellStyle name="asd 55 6 2 14" xfId="28564"/>
    <cellStyle name="asd 55 6 2 15" xfId="30415"/>
    <cellStyle name="asd 55 6 2 16" xfId="32663"/>
    <cellStyle name="asd 55 6 2 17" xfId="34531"/>
    <cellStyle name="asd 55 6 2 18" xfId="36385"/>
    <cellStyle name="asd 55 6 2 19" xfId="38264"/>
    <cellStyle name="asd 55 6 2 2" xfId="6955"/>
    <cellStyle name="asd 55 6 2 20" xfId="39870"/>
    <cellStyle name="asd 55 6 2 21" xfId="41539"/>
    <cellStyle name="asd 55 6 2 22" xfId="43341"/>
    <cellStyle name="asd 55 6 2 23" xfId="45618"/>
    <cellStyle name="asd 55 6 2 3" xfId="8409"/>
    <cellStyle name="asd 55 6 2 4" xfId="10319"/>
    <cellStyle name="asd 55 6 2 5" xfId="12532"/>
    <cellStyle name="asd 55 6 2 6" xfId="14051"/>
    <cellStyle name="asd 55 6 2 7" xfId="15952"/>
    <cellStyle name="asd 55 6 2 8" xfId="17938"/>
    <cellStyle name="asd 55 6 2 9" xfId="19844"/>
    <cellStyle name="asd 55 6 20" xfId="37585"/>
    <cellStyle name="asd 55 6 21" xfId="39638"/>
    <cellStyle name="asd 55 6 22" xfId="41312"/>
    <cellStyle name="asd 55 6 23" xfId="43851"/>
    <cellStyle name="asd 55 6 24" xfId="45381"/>
    <cellStyle name="asd 55 6 3" xfId="4829"/>
    <cellStyle name="asd 55 6 3 2" xfId="46007"/>
    <cellStyle name="asd 55 6 4" xfId="7730"/>
    <cellStyle name="asd 55 6 4 2" xfId="46365"/>
    <cellStyle name="asd 55 6 5" xfId="9640"/>
    <cellStyle name="asd 55 6 5 2" xfId="46717"/>
    <cellStyle name="asd 55 6 6" xfId="12067"/>
    <cellStyle name="asd 55 6 6 2" xfId="47032"/>
    <cellStyle name="asd 55 6 7" xfId="14578"/>
    <cellStyle name="asd 55 6 7 2" xfId="47351"/>
    <cellStyle name="asd 55 6 8" xfId="16484"/>
    <cellStyle name="asd 55 6 8 2" xfId="47669"/>
    <cellStyle name="asd 55 6 9" xfId="17259"/>
    <cellStyle name="asd 55 7" xfId="2909"/>
    <cellStyle name="asd 55 7 10" xfId="19124"/>
    <cellStyle name="asd 55 7 11" xfId="21036"/>
    <cellStyle name="asd 55 7 12" xfId="14727"/>
    <cellStyle name="asd 55 7 13" xfId="24838"/>
    <cellStyle name="asd 55 7 14" xfId="3084"/>
    <cellStyle name="asd 55 7 15" xfId="16606"/>
    <cellStyle name="asd 55 7 16" xfId="20427"/>
    <cellStyle name="asd 55 7 17" xfId="27958"/>
    <cellStyle name="asd 55 7 18" xfId="2858"/>
    <cellStyle name="asd 55 7 19" xfId="35665"/>
    <cellStyle name="asd 55 7 2" xfId="5639"/>
    <cellStyle name="asd 55 7 2 10" xfId="21889"/>
    <cellStyle name="asd 55 7 2 11" xfId="23995"/>
    <cellStyle name="asd 55 7 2 12" xfId="25691"/>
    <cellStyle name="asd 55 7 2 13" xfId="27430"/>
    <cellStyle name="asd 55 7 2 14" xfId="28660"/>
    <cellStyle name="asd 55 7 2 15" xfId="31016"/>
    <cellStyle name="asd 55 7 2 16" xfId="32239"/>
    <cellStyle name="asd 55 7 2 17" xfId="34464"/>
    <cellStyle name="asd 55 7 2 18" xfId="36518"/>
    <cellStyle name="asd 55 7 2 19" xfId="38397"/>
    <cellStyle name="asd 55 7 2 2" xfId="7088"/>
    <cellStyle name="asd 55 7 2 20" xfId="39457"/>
    <cellStyle name="asd 55 7 2 21" xfId="41132"/>
    <cellStyle name="asd 55 7 2 22" xfId="43739"/>
    <cellStyle name="asd 55 7 2 23" xfId="45683"/>
    <cellStyle name="asd 55 7 2 3" xfId="8542"/>
    <cellStyle name="asd 55 7 2 4" xfId="10452"/>
    <cellStyle name="asd 55 7 2 5" xfId="11954"/>
    <cellStyle name="asd 55 7 2 6" xfId="14465"/>
    <cellStyle name="asd 55 7 2 7" xfId="16371"/>
    <cellStyle name="asd 55 7 2 8" xfId="18071"/>
    <cellStyle name="asd 55 7 2 9" xfId="19977"/>
    <cellStyle name="asd 55 7 20" xfId="37544"/>
    <cellStyle name="asd 55 7 21" xfId="2160"/>
    <cellStyle name="asd 55 7 22" xfId="34427"/>
    <cellStyle name="asd 55 7 23" xfId="40104"/>
    <cellStyle name="asd 55 7 24" xfId="45394"/>
    <cellStyle name="asd 55 7 3" xfId="6238"/>
    <cellStyle name="asd 55 7 3 2" xfId="46072"/>
    <cellStyle name="asd 55 7 4" xfId="7689"/>
    <cellStyle name="asd 55 7 4 2" xfId="46430"/>
    <cellStyle name="asd 55 7 5" xfId="9599"/>
    <cellStyle name="asd 55 7 5 2" xfId="46782"/>
    <cellStyle name="asd 55 7 6" xfId="12347"/>
    <cellStyle name="asd 55 7 6 2" xfId="47097"/>
    <cellStyle name="asd 55 7 7" xfId="4157"/>
    <cellStyle name="asd 55 7 7 2" xfId="47416"/>
    <cellStyle name="asd 55 7 8" xfId="2857"/>
    <cellStyle name="asd 55 7 8 2" xfId="47734"/>
    <cellStyle name="asd 55 7 9" xfId="17218"/>
    <cellStyle name="asd 55 8" xfId="4263"/>
    <cellStyle name="asd 55 9" xfId="3112"/>
    <cellStyle name="asd 56" xfId="45290"/>
    <cellStyle name="asd 56 2" xfId="45303"/>
    <cellStyle name="asd 57" xfId="45300"/>
    <cellStyle name="asd 57 2" xfId="45337"/>
    <cellStyle name="asd 57 2 2" xfId="45582"/>
    <cellStyle name="asd 57 2 3" xfId="45931"/>
    <cellStyle name="asd 57 2 4" xfId="46289"/>
    <cellStyle name="asd 57 2 5" xfId="46641"/>
    <cellStyle name="asd 57 2 6" xfId="46992"/>
    <cellStyle name="asd 57 2 7" xfId="47309"/>
    <cellStyle name="asd 57 2 8" xfId="45559"/>
    <cellStyle name="asd 57 3" xfId="45395"/>
    <cellStyle name="asd 57 3 2" xfId="45688"/>
    <cellStyle name="asd 57 3 3" xfId="46077"/>
    <cellStyle name="asd 57 3 4" xfId="46435"/>
    <cellStyle name="asd 57 3 5" xfId="46787"/>
    <cellStyle name="asd 57 3 6" xfId="47102"/>
    <cellStyle name="asd 57 3 7" xfId="47421"/>
    <cellStyle name="asd 57 3 8" xfId="47739"/>
    <cellStyle name="asd 57 4" xfId="45385"/>
    <cellStyle name="asd 57 4 2" xfId="45627"/>
    <cellStyle name="asd 57 4 3" xfId="46016"/>
    <cellStyle name="asd 57 4 4" xfId="46374"/>
    <cellStyle name="asd 57 4 5" xfId="46726"/>
    <cellStyle name="asd 57 4 6" xfId="47041"/>
    <cellStyle name="asd 57 4 7" xfId="47360"/>
    <cellStyle name="asd 57 4 8" xfId="47678"/>
    <cellStyle name="asd 57 5" xfId="45545"/>
    <cellStyle name="asd 57 6" xfId="45533"/>
    <cellStyle name="asd 57 7" xfId="45307"/>
    <cellStyle name="asd 57 8" xfId="47937"/>
    <cellStyle name="asd 58" xfId="45302"/>
    <cellStyle name="asd 58 2" xfId="45340"/>
    <cellStyle name="asd 58 2 2" xfId="45934"/>
    <cellStyle name="asd 58 2 3" xfId="46292"/>
    <cellStyle name="asd 58 2 4" xfId="46644"/>
    <cellStyle name="asd 58 2 5" xfId="46278"/>
    <cellStyle name="asd 58 3" xfId="45398"/>
    <cellStyle name="asd 58 3 2" xfId="45694"/>
    <cellStyle name="asd 58 3 3" xfId="46083"/>
    <cellStyle name="asd 58 3 4" xfId="46441"/>
    <cellStyle name="asd 58 3 5" xfId="46793"/>
    <cellStyle name="asd 58 3 6" xfId="47108"/>
    <cellStyle name="asd 58 3 7" xfId="47427"/>
    <cellStyle name="asd 58 3 8" xfId="47745"/>
    <cellStyle name="asd 58 4" xfId="45423"/>
    <cellStyle name="asd 58 4 2" xfId="45751"/>
    <cellStyle name="asd 58 4 3" xfId="46140"/>
    <cellStyle name="asd 58 4 4" xfId="46498"/>
    <cellStyle name="asd 58 4 5" xfId="46850"/>
    <cellStyle name="asd 58 4 6" xfId="47165"/>
    <cellStyle name="asd 58 4 7" xfId="47484"/>
    <cellStyle name="asd 58 4 8" xfId="47802"/>
    <cellStyle name="asd 58 5" xfId="45453"/>
    <cellStyle name="asd 58 5 2" xfId="46208"/>
    <cellStyle name="asd 58 5 3" xfId="46566"/>
    <cellStyle name="asd 58 5 4" xfId="46918"/>
    <cellStyle name="asd 58 5 5" xfId="47233"/>
    <cellStyle name="asd 58 5 6" xfId="47552"/>
    <cellStyle name="asd 58 5 7" xfId="47870"/>
    <cellStyle name="asd 58 6" xfId="45889"/>
    <cellStyle name="asd 58 7" xfId="45520"/>
    <cellStyle name="asd 58 8" xfId="45510"/>
    <cellStyle name="asd 58 9" xfId="47939"/>
    <cellStyle name="asd 6" xfId="713"/>
    <cellStyle name="asd 6 10" xfId="3825"/>
    <cellStyle name="asd 6 11" xfId="9002"/>
    <cellStyle name="asd 6 12" xfId="2449"/>
    <cellStyle name="asd 6 13" xfId="12801"/>
    <cellStyle name="asd 6 14" xfId="10885"/>
    <cellStyle name="asd 6 15" xfId="3284"/>
    <cellStyle name="asd 6 16" xfId="2943"/>
    <cellStyle name="asd 6 17" xfId="15136"/>
    <cellStyle name="asd 6 18" xfId="10882"/>
    <cellStyle name="asd 6 19" xfId="27368"/>
    <cellStyle name="asd 6 2" xfId="3361"/>
    <cellStyle name="asd 6 2 10" xfId="14370"/>
    <cellStyle name="asd 6 2 11" xfId="16277"/>
    <cellStyle name="asd 6 2 12" xfId="16654"/>
    <cellStyle name="asd 6 2 13" xfId="18561"/>
    <cellStyle name="asd 6 2 14" xfId="20473"/>
    <cellStyle name="asd 6 2 15" xfId="23902"/>
    <cellStyle name="asd 6 2 16" xfId="24275"/>
    <cellStyle name="asd 6 2 17" xfId="27115"/>
    <cellStyle name="asd 6 2 18" xfId="28697"/>
    <cellStyle name="asd 6 2 19" xfId="30706"/>
    <cellStyle name="asd 6 2 2" xfId="3541"/>
    <cellStyle name="asd 6 2 2 10" xfId="17432"/>
    <cellStyle name="asd 6 2 2 11" xfId="19338"/>
    <cellStyle name="asd 6 2 2 12" xfId="21250"/>
    <cellStyle name="asd 6 2 2 13" xfId="23077"/>
    <cellStyle name="asd 6 2 2 14" xfId="25052"/>
    <cellStyle name="asd 6 2 2 15" xfId="26407"/>
    <cellStyle name="asd 6 2 2 16" xfId="2924"/>
    <cellStyle name="asd 6 2 2 17" xfId="30015"/>
    <cellStyle name="asd 6 2 2 18" xfId="32602"/>
    <cellStyle name="asd 6 2 2 19" xfId="33614"/>
    <cellStyle name="asd 6 2 2 2" xfId="5623"/>
    <cellStyle name="asd 6 2 2 2 10" xfId="21873"/>
    <cellStyle name="asd 6 2 2 2 11" xfId="23737"/>
    <cellStyle name="asd 6 2 2 2 12" xfId="25675"/>
    <cellStyle name="asd 6 2 2 2 13" xfId="27478"/>
    <cellStyle name="asd 6 2 2 2 14" xfId="28524"/>
    <cellStyle name="asd 6 2 2 2 15" xfId="31065"/>
    <cellStyle name="asd 6 2 2 2 16" xfId="31817"/>
    <cellStyle name="asd 6 2 2 2 17" xfId="34904"/>
    <cellStyle name="asd 6 2 2 2 18" xfId="36502"/>
    <cellStyle name="asd 6 2 2 2 19" xfId="38381"/>
    <cellStyle name="asd 6 2 2 2 2" xfId="7072"/>
    <cellStyle name="asd 6 2 2 2 20" xfId="39055"/>
    <cellStyle name="asd 6 2 2 2 21" xfId="40737"/>
    <cellStyle name="asd 6 2 2 2 22" xfId="43490"/>
    <cellStyle name="asd 6 2 2 2 3" xfId="8526"/>
    <cellStyle name="asd 6 2 2 2 4" xfId="10436"/>
    <cellStyle name="asd 6 2 2 2 5" xfId="11767"/>
    <cellStyle name="asd 6 2 2 2 6" xfId="14207"/>
    <cellStyle name="asd 6 2 2 2 7" xfId="16111"/>
    <cellStyle name="asd 6 2 2 2 8" xfId="18055"/>
    <cellStyle name="asd 6 2 2 2 9" xfId="19961"/>
    <cellStyle name="asd 6 2 2 20" xfId="35879"/>
    <cellStyle name="asd 6 2 2 21" xfId="37758"/>
    <cellStyle name="asd 6 2 2 22" xfId="39812"/>
    <cellStyle name="asd 6 2 2 23" xfId="41481"/>
    <cellStyle name="asd 6 2 2 24" xfId="42859"/>
    <cellStyle name="asd 6 2 2 3" xfId="5002"/>
    <cellStyle name="asd 6 2 2 4" xfId="6452"/>
    <cellStyle name="asd 6 2 2 5" xfId="7903"/>
    <cellStyle name="asd 6 2 2 6" xfId="9813"/>
    <cellStyle name="asd 6 2 2 7" xfId="12685"/>
    <cellStyle name="asd 6 2 2 8" xfId="13548"/>
    <cellStyle name="asd 6 2 2 9" xfId="15451"/>
    <cellStyle name="asd 6 2 20" xfId="31628"/>
    <cellStyle name="asd 6 2 21" xfId="33781"/>
    <cellStyle name="asd 6 2 22" xfId="35103"/>
    <cellStyle name="asd 6 2 23" xfId="36981"/>
    <cellStyle name="asd 6 2 24" xfId="38875"/>
    <cellStyle name="asd 6 2 25" xfId="40560"/>
    <cellStyle name="asd 6 2 26" xfId="43649"/>
    <cellStyle name="asd 6 2 3" xfId="3810"/>
    <cellStyle name="asd 6 2 3 10" xfId="19541"/>
    <cellStyle name="asd 6 2 3 11" xfId="21453"/>
    <cellStyle name="asd 6 2 3 12" xfId="22763"/>
    <cellStyle name="asd 6 2 3 13" xfId="25255"/>
    <cellStyle name="asd 6 2 3 14" xfId="27753"/>
    <cellStyle name="asd 6 2 3 15" xfId="29355"/>
    <cellStyle name="asd 6 2 3 16" xfId="31332"/>
    <cellStyle name="asd 6 2 3 17" xfId="33121"/>
    <cellStyle name="asd 6 2 3 18" xfId="33426"/>
    <cellStyle name="asd 6 2 3 19" xfId="36082"/>
    <cellStyle name="asd 6 2 3 2" xfId="5811"/>
    <cellStyle name="asd 6 2 3 2 10" xfId="22061"/>
    <cellStyle name="asd 6 2 3 2 11" xfId="22930"/>
    <cellStyle name="asd 6 2 3 2 12" xfId="25863"/>
    <cellStyle name="asd 6 2 3 2 13" xfId="26513"/>
    <cellStyle name="asd 6 2 3 2 14" xfId="28861"/>
    <cellStyle name="asd 6 2 3 2 15" xfId="30118"/>
    <cellStyle name="asd 6 2 3 2 16" xfId="32804"/>
    <cellStyle name="asd 6 2 3 2 17" xfId="34130"/>
    <cellStyle name="asd 6 2 3 2 18" xfId="36690"/>
    <cellStyle name="asd 6 2 3 2 19" xfId="38569"/>
    <cellStyle name="asd 6 2 3 2 2" xfId="7260"/>
    <cellStyle name="asd 6 2 3 2 20" xfId="40013"/>
    <cellStyle name="asd 6 2 3 2 21" xfId="41677"/>
    <cellStyle name="asd 6 2 3 2 22" xfId="42716"/>
    <cellStyle name="asd 6 2 3 2 3" xfId="8714"/>
    <cellStyle name="asd 6 2 3 2 4" xfId="10624"/>
    <cellStyle name="asd 6 2 3 2 5" xfId="12386"/>
    <cellStyle name="asd 6 2 3 2 6" xfId="13398"/>
    <cellStyle name="asd 6 2 3 2 7" xfId="15303"/>
    <cellStyle name="asd 6 2 3 2 8" xfId="18243"/>
    <cellStyle name="asd 6 2 3 2 9" xfId="20149"/>
    <cellStyle name="asd 6 2 3 20" xfId="37961"/>
    <cellStyle name="asd 6 2 3 21" xfId="40315"/>
    <cellStyle name="asd 6 2 3 22" xfId="41971"/>
    <cellStyle name="asd 6 2 3 23" xfId="42560"/>
    <cellStyle name="asd 6 2 3 3" xfId="5205"/>
    <cellStyle name="asd 6 2 3 4" xfId="8106"/>
    <cellStyle name="asd 6 2 3 5" xfId="10016"/>
    <cellStyle name="asd 6 2 3 6" xfId="11820"/>
    <cellStyle name="asd 6 2 3 7" xfId="13232"/>
    <cellStyle name="asd 6 2 3 8" xfId="15135"/>
    <cellStyle name="asd 6 2 3 9" xfId="17635"/>
    <cellStyle name="asd 6 2 4" xfId="3993"/>
    <cellStyle name="asd 6 2 4 10" xfId="19628"/>
    <cellStyle name="asd 6 2 4 11" xfId="21540"/>
    <cellStyle name="asd 6 2 4 12" xfId="23472"/>
    <cellStyle name="asd 6 2 4 13" xfId="25342"/>
    <cellStyle name="asd 6 2 4 14" xfId="27917"/>
    <cellStyle name="asd 6 2 4 15" xfId="28358"/>
    <cellStyle name="asd 6 2 4 16" xfId="31499"/>
    <cellStyle name="asd 6 2 4 17" xfId="32787"/>
    <cellStyle name="asd 6 2 4 18" xfId="34909"/>
    <cellStyle name="asd 6 2 4 19" xfId="36169"/>
    <cellStyle name="asd 6 2 4 2" xfId="5898"/>
    <cellStyle name="asd 6 2 4 2 10" xfId="22148"/>
    <cellStyle name="asd 6 2 4 2 11" xfId="22622"/>
    <cellStyle name="asd 6 2 4 2 12" xfId="25950"/>
    <cellStyle name="asd 6 2 4 2 13" xfId="27860"/>
    <cellStyle name="asd 6 2 4 2 14" xfId="28227"/>
    <cellStyle name="asd 6 2 4 2 15" xfId="31440"/>
    <cellStyle name="asd 6 2 4 2 16" xfId="32454"/>
    <cellStyle name="asd 6 2 4 2 17" xfId="34088"/>
    <cellStyle name="asd 6 2 4 2 18" xfId="36777"/>
    <cellStyle name="asd 6 2 4 2 19" xfId="38656"/>
    <cellStyle name="asd 6 2 4 2 2" xfId="7347"/>
    <cellStyle name="asd 6 2 4 2 20" xfId="39671"/>
    <cellStyle name="asd 6 2 4 2 21" xfId="41345"/>
    <cellStyle name="asd 6 2 4 2 22" xfId="42428"/>
    <cellStyle name="asd 6 2 4 2 3" xfId="8801"/>
    <cellStyle name="asd 6 2 4 2 4" xfId="10711"/>
    <cellStyle name="asd 6 2 4 2 5" xfId="11046"/>
    <cellStyle name="asd 6 2 4 2 6" xfId="13089"/>
    <cellStyle name="asd 6 2 4 2 7" xfId="14994"/>
    <cellStyle name="asd 6 2 4 2 8" xfId="18330"/>
    <cellStyle name="asd 6 2 4 2 9" xfId="20236"/>
    <cellStyle name="asd 6 2 4 20" xfId="38048"/>
    <cellStyle name="asd 6 2 4 21" xfId="39996"/>
    <cellStyle name="asd 6 2 4 22" xfId="41660"/>
    <cellStyle name="asd 6 2 4 23" xfId="43239"/>
    <cellStyle name="asd 6 2 4 3" xfId="6739"/>
    <cellStyle name="asd 6 2 4 4" xfId="8193"/>
    <cellStyle name="asd 6 2 4 5" xfId="10103"/>
    <cellStyle name="asd 6 2 4 6" xfId="12581"/>
    <cellStyle name="asd 6 2 4 7" xfId="13944"/>
    <cellStyle name="asd 6 2 4 8" xfId="15845"/>
    <cellStyle name="asd 6 2 4 9" xfId="17722"/>
    <cellStyle name="asd 6 2 5" xfId="4871"/>
    <cellStyle name="asd 6 2 5 10" xfId="21119"/>
    <cellStyle name="asd 6 2 5 11" xfId="24089"/>
    <cellStyle name="asd 6 2 5 12" xfId="24921"/>
    <cellStyle name="asd 6 2 5 13" xfId="26721"/>
    <cellStyle name="asd 6 2 5 14" xfId="28140"/>
    <cellStyle name="asd 6 2 5 15" xfId="30321"/>
    <cellStyle name="asd 6 2 5 16" xfId="33054"/>
    <cellStyle name="asd 6 2 5 17" xfId="33987"/>
    <cellStyle name="asd 6 2 5 18" xfId="35748"/>
    <cellStyle name="asd 6 2 5 19" xfId="37627"/>
    <cellStyle name="asd 6 2 5 2" xfId="6321"/>
    <cellStyle name="asd 6 2 5 20" xfId="40251"/>
    <cellStyle name="asd 6 2 5 21" xfId="41909"/>
    <cellStyle name="asd 6 2 5 22" xfId="43832"/>
    <cellStyle name="asd 6 2 5 3" xfId="7772"/>
    <cellStyle name="asd 6 2 5 4" xfId="9682"/>
    <cellStyle name="asd 6 2 5 5" xfId="12048"/>
    <cellStyle name="asd 6 2 5 6" xfId="14559"/>
    <cellStyle name="asd 6 2 5 7" xfId="16465"/>
    <cellStyle name="asd 6 2 5 8" xfId="17301"/>
    <cellStyle name="asd 6 2 5 9" xfId="19207"/>
    <cellStyle name="asd 6 2 6" xfId="4589"/>
    <cellStyle name="asd 6 2 6 10" xfId="20834"/>
    <cellStyle name="asd 6 2 6 11" xfId="23961"/>
    <cellStyle name="asd 6 2 6 12" xfId="24636"/>
    <cellStyle name="asd 6 2 6 13" xfId="26685"/>
    <cellStyle name="asd 6 2 6 14" xfId="20445"/>
    <cellStyle name="asd 6 2 6 15" xfId="30285"/>
    <cellStyle name="asd 6 2 6 16" xfId="32644"/>
    <cellStyle name="asd 6 2 6 17" xfId="28261"/>
    <cellStyle name="asd 6 2 6 18" xfId="35464"/>
    <cellStyle name="asd 6 2 6 19" xfId="37342"/>
    <cellStyle name="asd 6 2 6 2" xfId="4490"/>
    <cellStyle name="asd 6 2 6 20" xfId="39851"/>
    <cellStyle name="asd 6 2 6 21" xfId="41520"/>
    <cellStyle name="asd 6 2 6 22" xfId="43707"/>
    <cellStyle name="asd 6 2 6 3" xfId="5341"/>
    <cellStyle name="asd 6 2 6 4" xfId="9396"/>
    <cellStyle name="asd 6 2 6 5" xfId="11921"/>
    <cellStyle name="asd 6 2 6 6" xfId="14431"/>
    <cellStyle name="asd 6 2 6 7" xfId="16337"/>
    <cellStyle name="asd 6 2 6 8" xfId="17015"/>
    <cellStyle name="asd 6 2 6 9" xfId="18922"/>
    <cellStyle name="asd 6 2 7" xfId="6259"/>
    <cellStyle name="asd 6 2 8" xfId="9035"/>
    <cellStyle name="asd 6 2 9" xfId="11861"/>
    <cellStyle name="asd 6 20" xfId="29515"/>
    <cellStyle name="asd 6 21" xfId="3123"/>
    <cellStyle name="asd 6 22" xfId="28004"/>
    <cellStyle name="asd 6 23" xfId="1981"/>
    <cellStyle name="asd 6 24" xfId="16600"/>
    <cellStyle name="asd 6 25" xfId="35067"/>
    <cellStyle name="asd 6 26" xfId="3937"/>
    <cellStyle name="asd 6 27" xfId="40479"/>
    <cellStyle name="asd 6 3" xfId="3427"/>
    <cellStyle name="asd 6 3 10" xfId="12836"/>
    <cellStyle name="asd 6 3 11" xfId="14741"/>
    <cellStyle name="asd 6 3 12" xfId="16803"/>
    <cellStyle name="asd 6 3 13" xfId="18710"/>
    <cellStyle name="asd 6 3 14" xfId="20622"/>
    <cellStyle name="asd 6 3 15" xfId="22369"/>
    <cellStyle name="asd 6 3 16" xfId="24424"/>
    <cellStyle name="asd 6 3 17" xfId="27342"/>
    <cellStyle name="asd 6 3 18" xfId="28929"/>
    <cellStyle name="asd 6 3 19" xfId="30931"/>
    <cellStyle name="asd 6 3 2" xfId="3607"/>
    <cellStyle name="asd 6 3 2 10" xfId="17498"/>
    <cellStyle name="asd 6 3 2 11" xfId="19404"/>
    <cellStyle name="asd 6 3 2 12" xfId="21316"/>
    <cellStyle name="asd 6 3 2 13" xfId="23018"/>
    <cellStyle name="asd 6 3 2 14" xfId="25118"/>
    <cellStyle name="asd 6 3 2 15" xfId="26285"/>
    <cellStyle name="asd 6 3 2 16" xfId="29149"/>
    <cellStyle name="asd 6 3 2 17" xfId="29894"/>
    <cellStyle name="asd 6 3 2 18" xfId="32077"/>
    <cellStyle name="asd 6 3 2 19" xfId="34680"/>
    <cellStyle name="asd 6 3 2 2" xfId="4523"/>
    <cellStyle name="asd 6 3 2 2 10" xfId="20768"/>
    <cellStyle name="asd 6 3 2 2 11" xfId="24003"/>
    <cellStyle name="asd 6 3 2 2 12" xfId="24570"/>
    <cellStyle name="asd 6 3 2 2 13" xfId="27417"/>
    <cellStyle name="asd 6 3 2 2 14" xfId="29100"/>
    <cellStyle name="asd 6 3 2 2 15" xfId="31003"/>
    <cellStyle name="asd 6 3 2 2 16" xfId="32805"/>
    <cellStyle name="asd 6 3 2 2 17" xfId="33458"/>
    <cellStyle name="asd 6 3 2 2 18" xfId="35398"/>
    <cellStyle name="asd 6 3 2 2 19" xfId="37276"/>
    <cellStyle name="asd 6 3 2 2 2" xfId="4385"/>
    <cellStyle name="asd 6 3 2 2 20" xfId="40014"/>
    <cellStyle name="asd 6 3 2 2 21" xfId="41678"/>
    <cellStyle name="asd 6 3 2 2 22" xfId="43747"/>
    <cellStyle name="asd 6 3 2 2 3" xfId="4296"/>
    <cellStyle name="asd 6 3 2 2 4" xfId="9330"/>
    <cellStyle name="asd 6 3 2 2 5" xfId="11962"/>
    <cellStyle name="asd 6 3 2 2 6" xfId="14473"/>
    <cellStyle name="asd 6 3 2 2 7" xfId="16379"/>
    <cellStyle name="asd 6 3 2 2 8" xfId="16949"/>
    <cellStyle name="asd 6 3 2 2 9" xfId="18856"/>
    <cellStyle name="asd 6 3 2 20" xfId="35945"/>
    <cellStyle name="asd 6 3 2 21" xfId="37824"/>
    <cellStyle name="asd 6 3 2 22" xfId="39301"/>
    <cellStyle name="asd 6 3 2 23" xfId="40977"/>
    <cellStyle name="asd 6 3 2 24" xfId="42801"/>
    <cellStyle name="asd 6 3 2 3" xfId="5068"/>
    <cellStyle name="asd 6 3 2 4" xfId="6518"/>
    <cellStyle name="asd 6 3 2 5" xfId="7969"/>
    <cellStyle name="asd 6 3 2 6" xfId="9879"/>
    <cellStyle name="asd 6 3 2 7" xfId="12599"/>
    <cellStyle name="asd 6 3 2 8" xfId="13488"/>
    <cellStyle name="asd 6 3 2 9" xfId="15392"/>
    <cellStyle name="asd 6 3 20" xfId="32321"/>
    <cellStyle name="asd 6 3 21" xfId="34493"/>
    <cellStyle name="asd 6 3 22" xfId="35252"/>
    <cellStyle name="asd 6 3 23" xfId="37130"/>
    <cellStyle name="asd 6 3 24" xfId="39540"/>
    <cellStyle name="asd 6 3 25" xfId="41214"/>
    <cellStyle name="asd 6 3 26" xfId="42181"/>
    <cellStyle name="asd 6 3 3" xfId="2150"/>
    <cellStyle name="asd 6 3 3 10" xfId="19027"/>
    <cellStyle name="asd 6 3 3 11" xfId="20939"/>
    <cellStyle name="asd 6 3 3 12" xfId="22984"/>
    <cellStyle name="asd 6 3 3 13" xfId="24741"/>
    <cellStyle name="asd 6 3 3 14" xfId="26218"/>
    <cellStyle name="asd 6 3 3 15" xfId="28065"/>
    <cellStyle name="asd 6 3 3 16" xfId="29829"/>
    <cellStyle name="asd 6 3 3 17" xfId="31657"/>
    <cellStyle name="asd 6 3 3 18" xfId="34658"/>
    <cellStyle name="asd 6 3 3 19" xfId="35568"/>
    <cellStyle name="asd 6 3 3 2" xfId="5700"/>
    <cellStyle name="asd 6 3 3 2 10" xfId="21950"/>
    <cellStyle name="asd 6 3 3 2 11" xfId="22713"/>
    <cellStyle name="asd 6 3 3 2 12" xfId="25752"/>
    <cellStyle name="asd 6 3 3 2 13" xfId="27653"/>
    <cellStyle name="asd 6 3 3 2 14" xfId="29431"/>
    <cellStyle name="asd 6 3 3 2 15" xfId="31230"/>
    <cellStyle name="asd 6 3 3 2 16" xfId="32107"/>
    <cellStyle name="asd 6 3 3 2 17" xfId="34126"/>
    <cellStyle name="asd 6 3 3 2 18" xfId="36579"/>
    <cellStyle name="asd 6 3 3 2 19" xfId="38458"/>
    <cellStyle name="asd 6 3 3 2 2" xfId="7149"/>
    <cellStyle name="asd 6 3 3 2 20" xfId="39331"/>
    <cellStyle name="asd 6 3 3 2 21" xfId="41007"/>
    <cellStyle name="asd 6 3 3 2 22" xfId="42513"/>
    <cellStyle name="asd 6 3 3 2 3" xfId="8603"/>
    <cellStyle name="asd 6 3 3 2 4" xfId="10513"/>
    <cellStyle name="asd 6 3 3 2 5" xfId="12286"/>
    <cellStyle name="asd 6 3 3 2 6" xfId="13181"/>
    <cellStyle name="asd 6 3 3 2 7" xfId="15085"/>
    <cellStyle name="asd 6 3 3 2 8" xfId="18132"/>
    <cellStyle name="asd 6 3 3 2 9" xfId="20038"/>
    <cellStyle name="asd 6 3 3 20" xfId="37447"/>
    <cellStyle name="asd 6 3 3 21" xfId="38902"/>
    <cellStyle name="asd 6 3 3 22" xfId="40587"/>
    <cellStyle name="asd 6 3 3 23" xfId="42770"/>
    <cellStyle name="asd 6 3 3 3" xfId="4693"/>
    <cellStyle name="asd 6 3 3 4" xfId="7592"/>
    <cellStyle name="asd 6 3 3 5" xfId="9502"/>
    <cellStyle name="asd 6 3 3 6" xfId="11307"/>
    <cellStyle name="asd 6 3 3 7" xfId="13453"/>
    <cellStyle name="asd 6 3 3 8" xfId="15358"/>
    <cellStyle name="asd 6 3 3 9" xfId="17121"/>
    <cellStyle name="asd 6 3 4" xfId="4059"/>
    <cellStyle name="asd 6 3 4 10" xfId="19694"/>
    <cellStyle name="asd 6 3 4 11" xfId="21606"/>
    <cellStyle name="asd 6 3 4 12" xfId="23470"/>
    <cellStyle name="asd 6 3 4 13" xfId="25408"/>
    <cellStyle name="asd 6 3 4 14" xfId="26594"/>
    <cellStyle name="asd 6 3 4 15" xfId="3709"/>
    <cellStyle name="asd 6 3 4 16" xfId="30196"/>
    <cellStyle name="asd 6 3 4 17" xfId="31835"/>
    <cellStyle name="asd 6 3 4 18" xfId="34902"/>
    <cellStyle name="asd 6 3 4 19" xfId="36235"/>
    <cellStyle name="asd 6 3 4 2" xfId="5964"/>
    <cellStyle name="asd 6 3 4 2 10" xfId="22214"/>
    <cellStyle name="asd 6 3 4 2 11" xfId="22477"/>
    <cellStyle name="asd 6 3 4 2 12" xfId="26016"/>
    <cellStyle name="asd 6 3 4 2 13" xfId="27767"/>
    <cellStyle name="asd 6 3 4 2 14" xfId="26842"/>
    <cellStyle name="asd 6 3 4 2 15" xfId="31345"/>
    <cellStyle name="asd 6 3 4 2 16" xfId="3737"/>
    <cellStyle name="asd 6 3 4 2 17" xfId="30160"/>
    <cellStyle name="asd 6 3 4 2 18" xfId="36843"/>
    <cellStyle name="asd 6 3 4 2 19" xfId="38722"/>
    <cellStyle name="asd 6 3 4 2 2" xfId="7413"/>
    <cellStyle name="asd 6 3 4 2 20" xfId="33357"/>
    <cellStyle name="asd 6 3 4 2 21" xfId="15369"/>
    <cellStyle name="asd 6 3 4 2 22" xfId="42287"/>
    <cellStyle name="asd 6 3 4 2 3" xfId="8867"/>
    <cellStyle name="asd 6 3 4 2 4" xfId="10777"/>
    <cellStyle name="asd 6 3 4 2 5" xfId="11066"/>
    <cellStyle name="asd 6 3 4 2 6" xfId="12945"/>
    <cellStyle name="asd 6 3 4 2 7" xfId="14849"/>
    <cellStyle name="asd 6 3 4 2 8" xfId="18396"/>
    <cellStyle name="asd 6 3 4 2 9" xfId="20302"/>
    <cellStyle name="asd 6 3 4 20" xfId="38114"/>
    <cellStyle name="asd 6 3 4 21" xfId="39072"/>
    <cellStyle name="asd 6 3 4 22" xfId="40754"/>
    <cellStyle name="asd 6 3 4 23" xfId="43237"/>
    <cellStyle name="asd 6 3 4 3" xfId="6805"/>
    <cellStyle name="asd 6 3 4 4" xfId="8259"/>
    <cellStyle name="asd 6 3 4 5" xfId="10169"/>
    <cellStyle name="asd 6 3 4 6" xfId="12312"/>
    <cellStyle name="asd 6 3 4 7" xfId="13942"/>
    <cellStyle name="asd 6 3 4 8" xfId="15843"/>
    <cellStyle name="asd 6 3 4 9" xfId="17788"/>
    <cellStyle name="asd 6 3 5" xfId="4918"/>
    <cellStyle name="asd 6 3 5 10" xfId="21166"/>
    <cellStyle name="asd 6 3 5 11" xfId="23263"/>
    <cellStyle name="asd 6 3 5 12" xfId="24968"/>
    <cellStyle name="asd 6 3 5 13" xfId="27691"/>
    <cellStyle name="asd 6 3 5 14" xfId="28467"/>
    <cellStyle name="asd 6 3 5 15" xfId="31265"/>
    <cellStyle name="asd 6 3 5 16" xfId="32640"/>
    <cellStyle name="asd 6 3 5 17" xfId="34295"/>
    <cellStyle name="asd 6 3 5 18" xfId="35795"/>
    <cellStyle name="asd 6 3 5 19" xfId="37674"/>
    <cellStyle name="asd 6 3 5 2" xfId="6368"/>
    <cellStyle name="asd 6 3 5 20" xfId="39847"/>
    <cellStyle name="asd 6 3 5 21" xfId="41516"/>
    <cellStyle name="asd 6 3 5 22" xfId="43039"/>
    <cellStyle name="asd 6 3 5 3" xfId="7819"/>
    <cellStyle name="asd 6 3 5 4" xfId="9729"/>
    <cellStyle name="asd 6 3 5 5" xfId="11198"/>
    <cellStyle name="asd 6 3 5 6" xfId="13735"/>
    <cellStyle name="asd 6 3 5 7" xfId="15637"/>
    <cellStyle name="asd 6 3 5 8" xfId="17348"/>
    <cellStyle name="asd 6 3 5 9" xfId="19254"/>
    <cellStyle name="asd 6 3 6" xfId="5530"/>
    <cellStyle name="asd 6 3 6 10" xfId="21780"/>
    <cellStyle name="asd 6 3 6 11" xfId="23527"/>
    <cellStyle name="asd 6 3 6 12" xfId="25582"/>
    <cellStyle name="asd 6 3 6 13" xfId="27690"/>
    <cellStyle name="asd 6 3 6 14" xfId="22316"/>
    <cellStyle name="asd 6 3 6 15" xfId="31264"/>
    <cellStyle name="asd 6 3 6 16" xfId="33201"/>
    <cellStyle name="asd 6 3 6 17" xfId="34863"/>
    <cellStyle name="asd 6 3 6 18" xfId="36409"/>
    <cellStyle name="asd 6 3 6 19" xfId="38288"/>
    <cellStyle name="asd 6 3 6 2" xfId="6979"/>
    <cellStyle name="asd 6 3 6 20" xfId="40391"/>
    <cellStyle name="asd 6 3 6 21" xfId="42047"/>
    <cellStyle name="asd 6 3 6 22" xfId="43292"/>
    <cellStyle name="asd 6 3 6 3" xfId="8433"/>
    <cellStyle name="asd 6 3 6 4" xfId="10343"/>
    <cellStyle name="asd 6 3 6 5" xfId="12597"/>
    <cellStyle name="asd 6 3 6 6" xfId="13999"/>
    <cellStyle name="asd 6 3 6 7" xfId="15900"/>
    <cellStyle name="asd 6 3 6 8" xfId="17962"/>
    <cellStyle name="asd 6 3 6 9" xfId="19868"/>
    <cellStyle name="asd 6 3 7" xfId="6282"/>
    <cellStyle name="asd 6 3 8" xfId="9184"/>
    <cellStyle name="asd 6 3 9" xfId="12241"/>
    <cellStyle name="asd 6 4" xfId="3357"/>
    <cellStyle name="asd 6 4 10" xfId="15928"/>
    <cellStyle name="asd 6 4 11" xfId="16642"/>
    <cellStyle name="asd 6 4 12" xfId="18549"/>
    <cellStyle name="asd 6 4 13" xfId="20461"/>
    <cellStyle name="asd 6 4 14" xfId="23555"/>
    <cellStyle name="asd 6 4 15" xfId="24263"/>
    <cellStyle name="asd 6 4 16" xfId="26914"/>
    <cellStyle name="asd 6 4 17" xfId="29296"/>
    <cellStyle name="asd 6 4 18" xfId="30510"/>
    <cellStyle name="asd 6 4 19" xfId="32743"/>
    <cellStyle name="asd 6 4 2" xfId="3537"/>
    <cellStyle name="asd 6 4 2 10" xfId="17428"/>
    <cellStyle name="asd 6 4 2 11" xfId="19334"/>
    <cellStyle name="asd 6 4 2 12" xfId="21246"/>
    <cellStyle name="asd 6 4 2 13" xfId="23829"/>
    <cellStyle name="asd 6 4 2 14" xfId="25048"/>
    <cellStyle name="asd 6 4 2 15" xfId="27538"/>
    <cellStyle name="asd 6 4 2 16" xfId="28787"/>
    <cellStyle name="asd 6 4 2 17" xfId="31119"/>
    <cellStyle name="asd 6 4 2 18" xfId="33118"/>
    <cellStyle name="asd 6 4 2 19" xfId="34307"/>
    <cellStyle name="asd 6 4 2 2" xfId="4234"/>
    <cellStyle name="asd 6 4 2 2 10" xfId="20475"/>
    <cellStyle name="asd 6 4 2 2 11" xfId="22702"/>
    <cellStyle name="asd 6 4 2 2 12" xfId="24277"/>
    <cellStyle name="asd 6 4 2 2 13" xfId="26392"/>
    <cellStyle name="asd 6 4 2 2 14" xfId="28902"/>
    <cellStyle name="asd 6 4 2 2 15" xfId="30000"/>
    <cellStyle name="asd 6 4 2 2 16" xfId="31709"/>
    <cellStyle name="asd 6 4 2 2 17" xfId="34223"/>
    <cellStyle name="asd 6 4 2 2 18" xfId="35105"/>
    <cellStyle name="asd 6 4 2 2 19" xfId="36983"/>
    <cellStyle name="asd 6 4 2 2 2" xfId="5375"/>
    <cellStyle name="asd 6 4 2 2 20" xfId="38950"/>
    <cellStyle name="asd 6 4 2 2 21" xfId="40633"/>
    <cellStyle name="asd 6 4 2 2 22" xfId="42503"/>
    <cellStyle name="asd 6 4 2 2 3" xfId="6643"/>
    <cellStyle name="asd 6 4 2 2 4" xfId="9037"/>
    <cellStyle name="asd 6 4 2 2 5" xfId="2562"/>
    <cellStyle name="asd 6 4 2 2 6" xfId="13170"/>
    <cellStyle name="asd 6 4 2 2 7" xfId="15074"/>
    <cellStyle name="asd 6 4 2 2 8" xfId="16656"/>
    <cellStyle name="asd 6 4 2 2 9" xfId="18563"/>
    <cellStyle name="asd 6 4 2 20" xfId="35875"/>
    <cellStyle name="asd 6 4 2 21" xfId="37754"/>
    <cellStyle name="asd 6 4 2 22" xfId="40312"/>
    <cellStyle name="asd 6 4 2 23" xfId="41968"/>
    <cellStyle name="asd 6 4 2 24" xfId="43580"/>
    <cellStyle name="asd 6 4 2 3" xfId="4998"/>
    <cellStyle name="asd 6 4 2 4" xfId="6448"/>
    <cellStyle name="asd 6 4 2 5" xfId="7899"/>
    <cellStyle name="asd 6 4 2 6" xfId="9809"/>
    <cellStyle name="asd 6 4 2 7" xfId="11728"/>
    <cellStyle name="asd 6 4 2 8" xfId="14299"/>
    <cellStyle name="asd 6 4 2 9" xfId="16203"/>
    <cellStyle name="asd 6 4 20" xfId="33630"/>
    <cellStyle name="asd 6 4 21" xfId="35091"/>
    <cellStyle name="asd 6 4 22" xfId="36969"/>
    <cellStyle name="asd 6 4 23" xfId="39951"/>
    <cellStyle name="asd 6 4 24" xfId="41616"/>
    <cellStyle name="asd 6 4 25" xfId="43319"/>
    <cellStyle name="asd 6 4 3" xfId="3875"/>
    <cellStyle name="asd 6 4 3 10" xfId="19586"/>
    <cellStyle name="asd 6 4 3 11" xfId="21498"/>
    <cellStyle name="asd 6 4 3 12" xfId="12823"/>
    <cellStyle name="asd 6 4 3 13" xfId="25300"/>
    <cellStyle name="asd 6 4 3 14" xfId="2079"/>
    <cellStyle name="asd 6 4 3 15" xfId="24250"/>
    <cellStyle name="asd 6 4 3 16" xfId="10886"/>
    <cellStyle name="asd 6 4 3 17" xfId="26595"/>
    <cellStyle name="asd 6 4 3 18" xfId="13765"/>
    <cellStyle name="asd 6 4 3 19" xfId="36127"/>
    <cellStyle name="asd 6 4 3 2" xfId="5856"/>
    <cellStyle name="asd 6 4 3 2 10" xfId="22106"/>
    <cellStyle name="asd 6 4 3 2 11" xfId="22415"/>
    <cellStyle name="asd 6 4 3 2 12" xfId="25908"/>
    <cellStyle name="asd 6 4 3 2 13" xfId="26311"/>
    <cellStyle name="asd 6 4 3 2 14" xfId="28649"/>
    <cellStyle name="asd 6 4 3 2 15" xfId="29919"/>
    <cellStyle name="asd 6 4 3 2 16" xfId="31953"/>
    <cellStyle name="asd 6 4 3 2 17" xfId="34139"/>
    <cellStyle name="asd 6 4 3 2 18" xfId="36735"/>
    <cellStyle name="asd 6 4 3 2 19" xfId="38614"/>
    <cellStyle name="asd 6 4 3 2 2" xfId="7305"/>
    <cellStyle name="asd 6 4 3 2 20" xfId="39182"/>
    <cellStyle name="asd 6 4 3 2 21" xfId="40863"/>
    <cellStyle name="asd 6 4 3 2 22" xfId="42226"/>
    <cellStyle name="asd 6 4 3 2 3" xfId="8759"/>
    <cellStyle name="asd 6 4 3 2 4" xfId="10669"/>
    <cellStyle name="asd 6 4 3 2 5" xfId="12193"/>
    <cellStyle name="asd 6 4 3 2 6" xfId="12882"/>
    <cellStyle name="asd 6 4 3 2 7" xfId="14787"/>
    <cellStyle name="asd 6 4 3 2 8" xfId="18288"/>
    <cellStyle name="asd 6 4 3 2 9" xfId="20194"/>
    <cellStyle name="asd 6 4 3 20" xfId="38006"/>
    <cellStyle name="asd 6 4 3 21" xfId="34417"/>
    <cellStyle name="asd 6 4 3 22" xfId="11447"/>
    <cellStyle name="asd 6 4 3 23" xfId="28799"/>
    <cellStyle name="asd 6 4 3 3" xfId="5250"/>
    <cellStyle name="asd 6 4 3 4" xfId="8151"/>
    <cellStyle name="asd 6 4 3 5" xfId="10061"/>
    <cellStyle name="asd 6 4 3 6" xfId="12190"/>
    <cellStyle name="asd 6 4 3 7" xfId="9006"/>
    <cellStyle name="asd 6 4 3 8" xfId="2170"/>
    <cellStyle name="asd 6 4 3 9" xfId="17680"/>
    <cellStyle name="asd 6 4 4" xfId="3989"/>
    <cellStyle name="asd 6 4 4 10" xfId="19624"/>
    <cellStyle name="asd 6 4 4 11" xfId="21536"/>
    <cellStyle name="asd 6 4 4 12" xfId="22560"/>
    <cellStyle name="asd 6 4 4 13" xfId="25338"/>
    <cellStyle name="asd 6 4 4 14" xfId="26422"/>
    <cellStyle name="asd 6 4 4 15" xfId="28207"/>
    <cellStyle name="asd 6 4 4 16" xfId="30028"/>
    <cellStyle name="asd 6 4 4 17" xfId="32390"/>
    <cellStyle name="asd 6 4 4 18" xfId="34605"/>
    <cellStyle name="asd 6 4 4 19" xfId="36165"/>
    <cellStyle name="asd 6 4 4 2" xfId="5894"/>
    <cellStyle name="asd 6 4 4 2 10" xfId="22144"/>
    <cellStyle name="asd 6 4 4 2 11" xfId="22772"/>
    <cellStyle name="asd 6 4 4 2 12" xfId="25946"/>
    <cellStyle name="asd 6 4 4 2 13" xfId="27127"/>
    <cellStyle name="asd 6 4 4 2 14" xfId="28176"/>
    <cellStyle name="asd 6 4 4 2 15" xfId="30717"/>
    <cellStyle name="asd 6 4 4 2 16" xfId="32221"/>
    <cellStyle name="asd 6 4 4 2 17" xfId="33631"/>
    <cellStyle name="asd 6 4 4 2 18" xfId="36773"/>
    <cellStyle name="asd 6 4 4 2 19" xfId="38652"/>
    <cellStyle name="asd 6 4 4 2 2" xfId="7343"/>
    <cellStyle name="asd 6 4 4 2 20" xfId="39440"/>
    <cellStyle name="asd 6 4 4 2 21" xfId="41116"/>
    <cellStyle name="asd 6 4 4 2 22" xfId="42567"/>
    <cellStyle name="asd 6 4 4 2 3" xfId="8797"/>
    <cellStyle name="asd 6 4 4 2 4" xfId="10707"/>
    <cellStyle name="asd 6 4 4 2 5" xfId="11496"/>
    <cellStyle name="asd 6 4 4 2 6" xfId="13242"/>
    <cellStyle name="asd 6 4 4 2 7" xfId="15145"/>
    <cellStyle name="asd 6 4 4 2 8" xfId="18326"/>
    <cellStyle name="asd 6 4 4 2 9" xfId="20232"/>
    <cellStyle name="asd 6 4 4 20" xfId="38044"/>
    <cellStyle name="asd 6 4 4 21" xfId="39607"/>
    <cellStyle name="asd 6 4 4 22" xfId="41281"/>
    <cellStyle name="asd 6 4 4 23" xfId="42369"/>
    <cellStyle name="asd 6 4 4 3" xfId="6735"/>
    <cellStyle name="asd 6 4 4 4" xfId="8189"/>
    <cellStyle name="asd 6 4 4 5" xfId="10099"/>
    <cellStyle name="asd 6 4 4 6" xfId="11582"/>
    <cellStyle name="asd 6 4 4 7" xfId="13028"/>
    <cellStyle name="asd 6 4 4 8" xfId="14932"/>
    <cellStyle name="asd 6 4 4 9" xfId="17718"/>
    <cellStyle name="asd 6 4 5" xfId="4358"/>
    <cellStyle name="asd 6 4 5 10" xfId="20463"/>
    <cellStyle name="asd 6 4 5 11" xfId="23325"/>
    <cellStyle name="asd 6 4 5 12" xfId="24265"/>
    <cellStyle name="asd 6 4 5 13" xfId="27859"/>
    <cellStyle name="asd 6 4 5 14" xfId="28516"/>
    <cellStyle name="asd 6 4 5 15" xfId="31439"/>
    <cellStyle name="asd 6 4 5 16" xfId="32271"/>
    <cellStyle name="asd 6 4 5 17" xfId="34850"/>
    <cellStyle name="asd 6 4 5 18" xfId="35093"/>
    <cellStyle name="asd 6 4 5 19" xfId="36971"/>
    <cellStyle name="asd 6 4 5 2" xfId="5285"/>
    <cellStyle name="asd 6 4 5 20" xfId="39489"/>
    <cellStyle name="asd 6 4 5 21" xfId="41164"/>
    <cellStyle name="asd 6 4 5 22" xfId="43096"/>
    <cellStyle name="asd 6 4 5 3" xfId="6686"/>
    <cellStyle name="asd 6 4 5 4" xfId="9025"/>
    <cellStyle name="asd 6 4 5 5" xfId="12443"/>
    <cellStyle name="asd 6 4 5 6" xfId="13797"/>
    <cellStyle name="asd 6 4 5 7" xfId="15699"/>
    <cellStyle name="asd 6 4 5 8" xfId="16644"/>
    <cellStyle name="asd 6 4 5 9" xfId="18551"/>
    <cellStyle name="asd 6 4 6" xfId="1866"/>
    <cellStyle name="asd 6 4 7" xfId="9023"/>
    <cellStyle name="asd 6 4 8" xfId="12492"/>
    <cellStyle name="asd 6 4 9" xfId="14027"/>
    <cellStyle name="asd 6 5" xfId="1888"/>
    <cellStyle name="asd 6 5 10" xfId="17076"/>
    <cellStyle name="asd 6 5 11" xfId="18982"/>
    <cellStyle name="asd 6 5 12" xfId="20894"/>
    <cellStyle name="asd 6 5 13" xfId="22510"/>
    <cellStyle name="asd 6 5 14" xfId="24696"/>
    <cellStyle name="asd 6 5 15" xfId="26571"/>
    <cellStyle name="asd 6 5 16" xfId="27505"/>
    <cellStyle name="asd 6 5 17" xfId="30173"/>
    <cellStyle name="asd 6 5 18" xfId="23857"/>
    <cellStyle name="asd 6 5 19" xfId="30701"/>
    <cellStyle name="asd 6 5 2" xfId="4624"/>
    <cellStyle name="asd 6 5 2 10" xfId="20869"/>
    <cellStyle name="asd 6 5 2 11" xfId="22753"/>
    <cellStyle name="asd 6 5 2 12" xfId="24671"/>
    <cellStyle name="asd 6 5 2 13" xfId="27245"/>
    <cellStyle name="asd 6 5 2 14" xfId="28873"/>
    <cellStyle name="asd 6 5 2 15" xfId="30836"/>
    <cellStyle name="asd 6 5 2 16" xfId="33233"/>
    <cellStyle name="asd 6 5 2 17" xfId="34818"/>
    <cellStyle name="asd 6 5 2 18" xfId="35499"/>
    <cellStyle name="asd 6 5 2 19" xfId="37377"/>
    <cellStyle name="asd 6 5 2 2" xfId="6072"/>
    <cellStyle name="asd 6 5 2 20" xfId="40422"/>
    <cellStyle name="asd 6 5 2 21" xfId="42078"/>
    <cellStyle name="asd 6 5 2 22" xfId="42550"/>
    <cellStyle name="asd 6 5 2 3" xfId="7521"/>
    <cellStyle name="asd 6 5 2 4" xfId="9431"/>
    <cellStyle name="asd 6 5 2 5" xfId="11790"/>
    <cellStyle name="asd 6 5 2 6" xfId="13222"/>
    <cellStyle name="asd 6 5 2 7" xfId="15125"/>
    <cellStyle name="asd 6 5 2 8" xfId="17050"/>
    <cellStyle name="asd 6 5 2 9" xfId="18957"/>
    <cellStyle name="asd 6 5 20" xfId="35523"/>
    <cellStyle name="asd 6 5 21" xfId="37402"/>
    <cellStyle name="asd 6 5 22" xfId="2308"/>
    <cellStyle name="asd 6 5 23" xfId="28185"/>
    <cellStyle name="asd 6 5 24" xfId="42320"/>
    <cellStyle name="asd 6 5 3" xfId="4650"/>
    <cellStyle name="asd 6 5 4" xfId="6097"/>
    <cellStyle name="asd 6 5 5" xfId="7547"/>
    <cellStyle name="asd 6 5 6" xfId="9457"/>
    <cellStyle name="asd 6 5 7" xfId="11172"/>
    <cellStyle name="asd 6 5 8" xfId="12978"/>
    <cellStyle name="asd 6 5 9" xfId="14882"/>
    <cellStyle name="asd 6 6" xfId="2579"/>
    <cellStyle name="asd 6 6 10" xfId="19086"/>
    <cellStyle name="asd 6 6 11" xfId="20998"/>
    <cellStyle name="asd 6 6 12" xfId="23669"/>
    <cellStyle name="asd 6 6 13" xfId="24800"/>
    <cellStyle name="asd 6 6 14" xfId="27836"/>
    <cellStyle name="asd 6 6 15" xfId="28729"/>
    <cellStyle name="asd 6 6 16" xfId="31414"/>
    <cellStyle name="asd 6 6 17" xfId="32837"/>
    <cellStyle name="asd 6 6 18" xfId="33598"/>
    <cellStyle name="asd 6 6 19" xfId="35627"/>
    <cellStyle name="asd 6 6 2" xfId="5616"/>
    <cellStyle name="asd 6 6 2 10" xfId="21866"/>
    <cellStyle name="asd 6 6 2 11" xfId="22366"/>
    <cellStyle name="asd 6 6 2 12" xfId="25668"/>
    <cellStyle name="asd 6 6 2 13" xfId="26802"/>
    <cellStyle name="asd 6 6 2 14" xfId="2136"/>
    <cellStyle name="asd 6 6 2 15" xfId="30400"/>
    <cellStyle name="asd 6 6 2 16" xfId="32945"/>
    <cellStyle name="asd 6 6 2 17" xfId="23122"/>
    <cellStyle name="asd 6 6 2 18" xfId="36495"/>
    <cellStyle name="asd 6 6 2 19" xfId="38374"/>
    <cellStyle name="asd 6 6 2 2" xfId="7065"/>
    <cellStyle name="asd 6 6 2 20" xfId="40148"/>
    <cellStyle name="asd 6 6 2 21" xfId="41807"/>
    <cellStyle name="asd 6 6 2 22" xfId="42178"/>
    <cellStyle name="asd 6 6 2 3" xfId="8519"/>
    <cellStyle name="asd 6 6 2 4" xfId="10429"/>
    <cellStyle name="asd 6 6 2 5" xfId="11467"/>
    <cellStyle name="asd 6 6 2 6" xfId="12833"/>
    <cellStyle name="asd 6 6 2 7" xfId="14738"/>
    <cellStyle name="asd 6 6 2 8" xfId="18048"/>
    <cellStyle name="asd 6 6 2 9" xfId="19954"/>
    <cellStyle name="asd 6 6 20" xfId="37506"/>
    <cellStyle name="asd 6 6 21" xfId="40045"/>
    <cellStyle name="asd 6 6 22" xfId="41709"/>
    <cellStyle name="asd 6 6 23" xfId="43427"/>
    <cellStyle name="asd 6 6 3" xfId="4751"/>
    <cellStyle name="asd 6 6 4" xfId="7651"/>
    <cellStyle name="asd 6 6 5" xfId="9561"/>
    <cellStyle name="asd 6 6 6" xfId="11418"/>
    <cellStyle name="asd 6 6 7" xfId="14140"/>
    <cellStyle name="asd 6 6 8" xfId="16043"/>
    <cellStyle name="asd 6 6 9" xfId="17180"/>
    <cellStyle name="asd 6 7" xfId="2701"/>
    <cellStyle name="asd 6 7 10" xfId="19095"/>
    <cellStyle name="asd 6 7 11" xfId="21007"/>
    <cellStyle name="asd 6 7 12" xfId="22897"/>
    <cellStyle name="asd 6 7 13" xfId="24809"/>
    <cellStyle name="asd 6 7 14" xfId="26235"/>
    <cellStyle name="asd 6 7 15" xfId="28911"/>
    <cellStyle name="asd 6 7 16" xfId="29845"/>
    <cellStyle name="asd 6 7 17" xfId="32486"/>
    <cellStyle name="asd 6 7 18" xfId="33850"/>
    <cellStyle name="asd 6 7 19" xfId="35636"/>
    <cellStyle name="asd 6 7 2" xfId="4517"/>
    <cellStyle name="asd 6 7 2 10" xfId="20762"/>
    <cellStyle name="asd 6 7 2 11" xfId="23235"/>
    <cellStyle name="asd 6 7 2 12" xfId="24564"/>
    <cellStyle name="asd 6 7 2 13" xfId="26626"/>
    <cellStyle name="asd 6 7 2 14" xfId="29170"/>
    <cellStyle name="asd 6 7 2 15" xfId="30229"/>
    <cellStyle name="asd 6 7 2 16" xfId="32279"/>
    <cellStyle name="asd 6 7 2 17" xfId="33808"/>
    <cellStyle name="asd 6 7 2 18" xfId="35392"/>
    <cellStyle name="asd 6 7 2 19" xfId="37270"/>
    <cellStyle name="asd 6 7 2 2" xfId="4395"/>
    <cellStyle name="asd 6 7 2 20" xfId="39498"/>
    <cellStyle name="asd 6 7 2 21" xfId="41173"/>
    <cellStyle name="asd 6 7 2 22" xfId="43012"/>
    <cellStyle name="asd 6 7 2 3" xfId="5286"/>
    <cellStyle name="asd 6 7 2 4" xfId="9324"/>
    <cellStyle name="asd 6 7 2 5" xfId="11120"/>
    <cellStyle name="asd 6 7 2 6" xfId="13707"/>
    <cellStyle name="asd 6 7 2 7" xfId="15609"/>
    <cellStyle name="asd 6 7 2 8" xfId="16943"/>
    <cellStyle name="asd 6 7 2 9" xfId="18850"/>
    <cellStyle name="asd 6 7 20" xfId="37515"/>
    <cellStyle name="asd 6 7 21" xfId="39702"/>
    <cellStyle name="asd 6 7 22" xfId="41374"/>
    <cellStyle name="asd 6 7 23" xfId="42683"/>
    <cellStyle name="asd 6 7 3" xfId="6209"/>
    <cellStyle name="asd 6 7 4" xfId="7660"/>
    <cellStyle name="asd 6 7 5" xfId="9570"/>
    <cellStyle name="asd 6 7 6" xfId="10999"/>
    <cellStyle name="asd 6 7 7" xfId="13365"/>
    <cellStyle name="asd 6 7 8" xfId="15270"/>
    <cellStyle name="asd 6 7 9" xfId="17189"/>
    <cellStyle name="asd 6 8" xfId="2295"/>
    <cellStyle name="asd 6 9" xfId="2992"/>
    <cellStyle name="asd 7" xfId="721"/>
    <cellStyle name="asd 7 10" xfId="3340"/>
    <cellStyle name="asd 7 11" xfId="6248"/>
    <cellStyle name="asd 7 12" xfId="2047"/>
    <cellStyle name="asd 7 13" xfId="2364"/>
    <cellStyle name="asd 7 14" xfId="2588"/>
    <cellStyle name="asd 7 15" xfId="11858"/>
    <cellStyle name="asd 7 16" xfId="20442"/>
    <cellStyle name="asd 7 17" xfId="2898"/>
    <cellStyle name="asd 7 18" xfId="1900"/>
    <cellStyle name="asd 7 19" xfId="5444"/>
    <cellStyle name="asd 7 2" xfId="3515"/>
    <cellStyle name="asd 7 2 10" xfId="13659"/>
    <cellStyle name="asd 7 2 11" xfId="15562"/>
    <cellStyle name="asd 7 2 12" xfId="17009"/>
    <cellStyle name="asd 7 2 13" xfId="18916"/>
    <cellStyle name="asd 7 2 14" xfId="20828"/>
    <cellStyle name="asd 7 2 15" xfId="23188"/>
    <cellStyle name="asd 7 2 16" xfId="24630"/>
    <cellStyle name="asd 7 2 17" xfId="27190"/>
    <cellStyle name="asd 7 2 18" xfId="29400"/>
    <cellStyle name="asd 7 2 19" xfId="30781"/>
    <cellStyle name="asd 7 2 2" xfId="3695"/>
    <cellStyle name="asd 7 2 2 10" xfId="17586"/>
    <cellStyle name="asd 7 2 2 11" xfId="19492"/>
    <cellStyle name="asd 7 2 2 12" xfId="21404"/>
    <cellStyle name="asd 7 2 2 13" xfId="22738"/>
    <cellStyle name="asd 7 2 2 14" xfId="25206"/>
    <cellStyle name="asd 7 2 2 15" xfId="27322"/>
    <cellStyle name="asd 7 2 2 16" xfId="20400"/>
    <cellStyle name="asd 7 2 2 17" xfId="30912"/>
    <cellStyle name="asd 7 2 2 18" xfId="32933"/>
    <cellStyle name="asd 7 2 2 19" xfId="33581"/>
    <cellStyle name="asd 7 2 2 2" xfId="5762"/>
    <cellStyle name="asd 7 2 2 2 10" xfId="22012"/>
    <cellStyle name="asd 7 2 2 2 11" xfId="24013"/>
    <cellStyle name="asd 7 2 2 2 12" xfId="25814"/>
    <cellStyle name="asd 7 2 2 2 13" xfId="26881"/>
    <cellStyle name="asd 7 2 2 2 14" xfId="29679"/>
    <cellStyle name="asd 7 2 2 2 15" xfId="30478"/>
    <cellStyle name="asd 7 2 2 2 16" xfId="32735"/>
    <cellStyle name="asd 7 2 2 2 17" xfId="33697"/>
    <cellStyle name="asd 7 2 2 2 18" xfId="36641"/>
    <cellStyle name="asd 7 2 2 2 19" xfId="38520"/>
    <cellStyle name="asd 7 2 2 2 2" xfId="7211"/>
    <cellStyle name="asd 7 2 2 2 20" xfId="39944"/>
    <cellStyle name="asd 7 2 2 2 21" xfId="41610"/>
    <cellStyle name="asd 7 2 2 2 22" xfId="43757"/>
    <cellStyle name="asd 7 2 2 2 3" xfId="8665"/>
    <cellStyle name="asd 7 2 2 2 4" xfId="10575"/>
    <cellStyle name="asd 7 2 2 2 5" xfId="11972"/>
    <cellStyle name="asd 7 2 2 2 6" xfId="14483"/>
    <cellStyle name="asd 7 2 2 2 7" xfId="16389"/>
    <cellStyle name="asd 7 2 2 2 8" xfId="18194"/>
    <cellStyle name="asd 7 2 2 2 9" xfId="20100"/>
    <cellStyle name="asd 7 2 2 20" xfId="36033"/>
    <cellStyle name="asd 7 2 2 21" xfId="37912"/>
    <cellStyle name="asd 7 2 2 22" xfId="40137"/>
    <cellStyle name="asd 7 2 2 23" xfId="41796"/>
    <cellStyle name="asd 7 2 2 24" xfId="42536"/>
    <cellStyle name="asd 7 2 2 3" xfId="5156"/>
    <cellStyle name="asd 7 2 2 4" xfId="6606"/>
    <cellStyle name="asd 7 2 2 5" xfId="8057"/>
    <cellStyle name="asd 7 2 2 6" xfId="9967"/>
    <cellStyle name="asd 7 2 2 7" xfId="11441"/>
    <cellStyle name="asd 7 2 2 8" xfId="13207"/>
    <cellStyle name="asd 7 2 2 9" xfId="15110"/>
    <cellStyle name="asd 7 2 20" xfId="32502"/>
    <cellStyle name="asd 7 2 21" xfId="33536"/>
    <cellStyle name="asd 7 2 22" xfId="35458"/>
    <cellStyle name="asd 7 2 23" xfId="37336"/>
    <cellStyle name="asd 7 2 24" xfId="39717"/>
    <cellStyle name="asd 7 2 25" xfId="41389"/>
    <cellStyle name="asd 7 2 26" xfId="42966"/>
    <cellStyle name="asd 7 2 3" xfId="3009"/>
    <cellStyle name="asd 7 2 3 10" xfId="19137"/>
    <cellStyle name="asd 7 2 3 11" xfId="21049"/>
    <cellStyle name="asd 7 2 3 12" xfId="23154"/>
    <cellStyle name="asd 7 2 3 13" xfId="24851"/>
    <cellStyle name="asd 7 2 3 14" xfId="26414"/>
    <cellStyle name="asd 7 2 3 15" xfId="29374"/>
    <cellStyle name="asd 7 2 3 16" xfId="30021"/>
    <cellStyle name="asd 7 2 3 17" xfId="32191"/>
    <cellStyle name="asd 7 2 3 18" xfId="34430"/>
    <cellStyle name="asd 7 2 3 19" xfId="35678"/>
    <cellStyle name="asd 7 2 3 2" xfId="4627"/>
    <cellStyle name="asd 7 2 3 2 10" xfId="20872"/>
    <cellStyle name="asd 7 2 3 2 11" xfId="3527"/>
    <cellStyle name="asd 7 2 3 2 12" xfId="24674"/>
    <cellStyle name="asd 7 2 3 2 13" xfId="3017"/>
    <cellStyle name="asd 7 2 3 2 14" xfId="23583"/>
    <cellStyle name="asd 7 2 3 2 15" xfId="3015"/>
    <cellStyle name="asd 7 2 3 2 16" xfId="31500"/>
    <cellStyle name="asd 7 2 3 2 17" xfId="29083"/>
    <cellStyle name="asd 7 2 3 2 18" xfId="35502"/>
    <cellStyle name="asd 7 2 3 2 19" xfId="37380"/>
    <cellStyle name="asd 7 2 3 2 2" xfId="6075"/>
    <cellStyle name="asd 7 2 3 2 20" xfId="3782"/>
    <cellStyle name="asd 7 2 3 2 21" xfId="39445"/>
    <cellStyle name="asd 7 2 3 2 22" xfId="33739"/>
    <cellStyle name="asd 7 2 3 2 3" xfId="7524"/>
    <cellStyle name="asd 7 2 3 2 4" xfId="9434"/>
    <cellStyle name="asd 7 2 3 2 5" xfId="12396"/>
    <cellStyle name="asd 7 2 3 2 6" xfId="2301"/>
    <cellStyle name="asd 7 2 3 2 7" xfId="1804"/>
    <cellStyle name="asd 7 2 3 2 8" xfId="17053"/>
    <cellStyle name="asd 7 2 3 2 9" xfId="18960"/>
    <cellStyle name="asd 7 2 3 20" xfId="37557"/>
    <cellStyle name="asd 7 2 3 21" xfId="39413"/>
    <cellStyle name="asd 7 2 3 22" xfId="41089"/>
    <cellStyle name="asd 7 2 3 23" xfId="42932"/>
    <cellStyle name="asd 7 2 3 3" xfId="4801"/>
    <cellStyle name="asd 7 2 3 4" xfId="7702"/>
    <cellStyle name="asd 7 2 3 5" xfId="9612"/>
    <cellStyle name="asd 7 2 3 6" xfId="10949"/>
    <cellStyle name="asd 7 2 3 7" xfId="13625"/>
    <cellStyle name="asd 7 2 3 8" xfId="15528"/>
    <cellStyle name="asd 7 2 3 9" xfId="17231"/>
    <cellStyle name="asd 7 2 4" xfId="4147"/>
    <cellStyle name="asd 7 2 4 10" xfId="19782"/>
    <cellStyle name="asd 7 2 4 11" xfId="21694"/>
    <cellStyle name="asd 7 2 4 12" xfId="23212"/>
    <cellStyle name="asd 7 2 4 13" xfId="25496"/>
    <cellStyle name="asd 7 2 4 14" xfId="26412"/>
    <cellStyle name="asd 7 2 4 15" xfId="20429"/>
    <cellStyle name="asd 7 2 4 16" xfId="30019"/>
    <cellStyle name="asd 7 2 4 17" xfId="32007"/>
    <cellStyle name="asd 7 2 4 18" xfId="34972"/>
    <cellStyle name="asd 7 2 4 19" xfId="36323"/>
    <cellStyle name="asd 7 2 4 2" xfId="6052"/>
    <cellStyle name="asd 7 2 4 2 10" xfId="22302"/>
    <cellStyle name="asd 7 2 4 2 11" xfId="2294"/>
    <cellStyle name="asd 7 2 4 2 12" xfId="26104"/>
    <cellStyle name="asd 7 2 4 2 13" xfId="2866"/>
    <cellStyle name="asd 7 2 4 2 14" xfId="29277"/>
    <cellStyle name="asd 7 2 4 2 15" xfId="9008"/>
    <cellStyle name="asd 7 2 4 2 16" xfId="28887"/>
    <cellStyle name="asd 7 2 4 2 17" xfId="34141"/>
    <cellStyle name="asd 7 2 4 2 18" xfId="36931"/>
    <cellStyle name="asd 7 2 4 2 19" xfId="38810"/>
    <cellStyle name="asd 7 2 4 2 2" xfId="7501"/>
    <cellStyle name="asd 7 2 4 2 20" xfId="28613"/>
    <cellStyle name="asd 7 2 4 2 21" xfId="3217"/>
    <cellStyle name="asd 7 2 4 2 22" xfId="41359"/>
    <cellStyle name="asd 7 2 4 2 3" xfId="8955"/>
    <cellStyle name="asd 7 2 4 2 4" xfId="10865"/>
    <cellStyle name="asd 7 2 4 2 5" xfId="2018"/>
    <cellStyle name="asd 7 2 4 2 6" xfId="3046"/>
    <cellStyle name="asd 7 2 4 2 7" xfId="2374"/>
    <cellStyle name="asd 7 2 4 2 8" xfId="18484"/>
    <cellStyle name="asd 7 2 4 2 9" xfId="20390"/>
    <cellStyle name="asd 7 2 4 20" xfId="38202"/>
    <cellStyle name="asd 7 2 4 21" xfId="39238"/>
    <cellStyle name="asd 7 2 4 22" xfId="40915"/>
    <cellStyle name="asd 7 2 4 23" xfId="42990"/>
    <cellStyle name="asd 7 2 4 3" xfId="6893"/>
    <cellStyle name="asd 7 2 4 4" xfId="8347"/>
    <cellStyle name="asd 7 2 4 5" xfId="10257"/>
    <cellStyle name="asd 7 2 4 6" xfId="11084"/>
    <cellStyle name="asd 7 2 4 7" xfId="13684"/>
    <cellStyle name="asd 7 2 4 8" xfId="15586"/>
    <cellStyle name="asd 7 2 4 9" xfId="17876"/>
    <cellStyle name="asd 7 2 5" xfId="4988"/>
    <cellStyle name="asd 7 2 5 10" xfId="21236"/>
    <cellStyle name="asd 7 2 5 11" xfId="22914"/>
    <cellStyle name="asd 7 2 5 12" xfId="25038"/>
    <cellStyle name="asd 7 2 5 13" xfId="26530"/>
    <cellStyle name="asd 7 2 5 14" xfId="29340"/>
    <cellStyle name="asd 7 2 5 15" xfId="30136"/>
    <cellStyle name="asd 7 2 5 16" xfId="32295"/>
    <cellStyle name="asd 7 2 5 17" xfId="34221"/>
    <cellStyle name="asd 7 2 5 18" xfId="35865"/>
    <cellStyle name="asd 7 2 5 19" xfId="37744"/>
    <cellStyle name="asd 7 2 5 2" xfId="6438"/>
    <cellStyle name="asd 7 2 5 20" xfId="39515"/>
    <cellStyle name="asd 7 2 5 21" xfId="41189"/>
    <cellStyle name="asd 7 2 5 22" xfId="42700"/>
    <cellStyle name="asd 7 2 5 3" xfId="7889"/>
    <cellStyle name="asd 7 2 5 4" xfId="9799"/>
    <cellStyle name="asd 7 2 5 5" xfId="11211"/>
    <cellStyle name="asd 7 2 5 6" xfId="13382"/>
    <cellStyle name="asd 7 2 5 7" xfId="15287"/>
    <cellStyle name="asd 7 2 5 8" xfId="17418"/>
    <cellStyle name="asd 7 2 5 9" xfId="19324"/>
    <cellStyle name="asd 7 2 6" xfId="5692"/>
    <cellStyle name="asd 7 2 6 10" xfId="21942"/>
    <cellStyle name="asd 7 2 6 11" xfId="23680"/>
    <cellStyle name="asd 7 2 6 12" xfId="25744"/>
    <cellStyle name="asd 7 2 6 13" xfId="27811"/>
    <cellStyle name="asd 7 2 6 14" xfId="28525"/>
    <cellStyle name="asd 7 2 6 15" xfId="31389"/>
    <cellStyle name="asd 7 2 6 16" xfId="32472"/>
    <cellStyle name="asd 7 2 6 17" xfId="34140"/>
    <cellStyle name="asd 7 2 6 18" xfId="36571"/>
    <cellStyle name="asd 7 2 6 19" xfId="38450"/>
    <cellStyle name="asd 7 2 6 2" xfId="7141"/>
    <cellStyle name="asd 7 2 6 20" xfId="39690"/>
    <cellStyle name="asd 7 2 6 21" xfId="41363"/>
    <cellStyle name="asd 7 2 6 22" xfId="43437"/>
    <cellStyle name="asd 7 2 6 3" xfId="8595"/>
    <cellStyle name="asd 7 2 6 4" xfId="10505"/>
    <cellStyle name="asd 7 2 6 5" xfId="11699"/>
    <cellStyle name="asd 7 2 6 6" xfId="14150"/>
    <cellStyle name="asd 7 2 6 7" xfId="16054"/>
    <cellStyle name="asd 7 2 6 8" xfId="18124"/>
    <cellStyle name="asd 7 2 6 9" xfId="20030"/>
    <cellStyle name="asd 7 2 7" xfId="5403"/>
    <cellStyle name="asd 7 2 8" xfId="9390"/>
    <cellStyle name="asd 7 2 9" xfId="11028"/>
    <cellStyle name="asd 7 20" xfId="29042"/>
    <cellStyle name="asd 7 21" xfId="29088"/>
    <cellStyle name="asd 7 22" xfId="1826"/>
    <cellStyle name="asd 7 23" xfId="33481"/>
    <cellStyle name="asd 7 24" xfId="22353"/>
    <cellStyle name="asd 7 25" xfId="23479"/>
    <cellStyle name="asd 7 26" xfId="33337"/>
    <cellStyle name="asd 7 27" xfId="40100"/>
    <cellStyle name="asd 7 3" xfId="1764"/>
    <cellStyle name="asd 7 3 10" xfId="2849"/>
    <cellStyle name="asd 7 3 11" xfId="2894"/>
    <cellStyle name="asd 7 3 12" xfId="2596"/>
    <cellStyle name="asd 7 3 13" xfId="3313"/>
    <cellStyle name="asd 7 3 14" xfId="4583"/>
    <cellStyle name="asd 7 3 15" xfId="1921"/>
    <cellStyle name="asd 7 3 16" xfId="2787"/>
    <cellStyle name="asd 7 3 17" xfId="20441"/>
    <cellStyle name="asd 7 3 18" xfId="2721"/>
    <cellStyle name="asd 7 3 19" xfId="26127"/>
    <cellStyle name="asd 7 3 2" xfId="2072"/>
    <cellStyle name="asd 7 3 2 10" xfId="17104"/>
    <cellStyle name="asd 7 3 2 11" xfId="19010"/>
    <cellStyle name="asd 7 3 2 12" xfId="20922"/>
    <cellStyle name="asd 7 3 2 13" xfId="23580"/>
    <cellStyle name="asd 7 3 2 14" xfId="24724"/>
    <cellStyle name="asd 7 3 2 15" xfId="27822"/>
    <cellStyle name="asd 7 3 2 16" xfId="29519"/>
    <cellStyle name="asd 7 3 2 17" xfId="31400"/>
    <cellStyle name="asd 7 3 2 18" xfId="31711"/>
    <cellStyle name="asd 7 3 2 19" xfId="34544"/>
    <cellStyle name="asd 7 3 2 2" xfId="4390"/>
    <cellStyle name="asd 7 3 2 2 10" xfId="20633"/>
    <cellStyle name="asd 7 3 2 2 11" xfId="23021"/>
    <cellStyle name="asd 7 3 2 2 12" xfId="24435"/>
    <cellStyle name="asd 7 3 2 2 13" xfId="27864"/>
    <cellStyle name="asd 7 3 2 2 14" xfId="29623"/>
    <cellStyle name="asd 7 3 2 2 15" xfId="31444"/>
    <cellStyle name="asd 7 3 2 2 16" xfId="32138"/>
    <cellStyle name="asd 7 3 2 2 17" xfId="34794"/>
    <cellStyle name="asd 7 3 2 2 18" xfId="35263"/>
    <cellStyle name="asd 7 3 2 2 19" xfId="37141"/>
    <cellStyle name="asd 7 3 2 2 2" xfId="5394"/>
    <cellStyle name="asd 7 3 2 2 20" xfId="39361"/>
    <cellStyle name="asd 7 3 2 2 21" xfId="41037"/>
    <cellStyle name="asd 7 3 2 2 22" xfId="42804"/>
    <cellStyle name="asd 7 3 2 2 3" xfId="6680"/>
    <cellStyle name="asd 7 3 2 2 4" xfId="9195"/>
    <cellStyle name="asd 7 3 2 2 5" xfId="12607"/>
    <cellStyle name="asd 7 3 2 2 6" xfId="13491"/>
    <cellStyle name="asd 7 3 2 2 7" xfId="15395"/>
    <cellStyle name="asd 7 3 2 2 8" xfId="16814"/>
    <cellStyle name="asd 7 3 2 2 9" xfId="18721"/>
    <cellStyle name="asd 7 3 2 20" xfId="35551"/>
    <cellStyle name="asd 7 3 2 21" xfId="37430"/>
    <cellStyle name="asd 7 3 2 22" xfId="38952"/>
    <cellStyle name="asd 7 3 2 23" xfId="40635"/>
    <cellStyle name="asd 7 3 2 24" xfId="43342"/>
    <cellStyle name="asd 7 3 2 3" xfId="4677"/>
    <cellStyle name="asd 7 3 2 4" xfId="6124"/>
    <cellStyle name="asd 7 3 2 5" xfId="7575"/>
    <cellStyle name="asd 7 3 2 6" xfId="9485"/>
    <cellStyle name="asd 7 3 2 7" xfId="12572"/>
    <cellStyle name="asd 7 3 2 8" xfId="14052"/>
    <cellStyle name="asd 7 3 2 9" xfId="15953"/>
    <cellStyle name="asd 7 3 20" xfId="28596"/>
    <cellStyle name="asd 7 3 21" xfId="22859"/>
    <cellStyle name="asd 7 3 22" xfId="29151"/>
    <cellStyle name="asd 7 3 23" xfId="33345"/>
    <cellStyle name="asd 7 3 24" xfId="34376"/>
    <cellStyle name="asd 7 3 25" xfId="34048"/>
    <cellStyle name="asd 7 3 26" xfId="29209"/>
    <cellStyle name="asd 7 3 3" xfId="2144"/>
    <cellStyle name="asd 7 3 3 10" xfId="19026"/>
    <cellStyle name="asd 7 3 3 11" xfId="20938"/>
    <cellStyle name="asd 7 3 3 12" xfId="23852"/>
    <cellStyle name="asd 7 3 3 13" xfId="24740"/>
    <cellStyle name="asd 7 3 3 14" xfId="27846"/>
    <cellStyle name="asd 7 3 3 15" xfId="2404"/>
    <cellStyle name="asd 7 3 3 16" xfId="31425"/>
    <cellStyle name="asd 7 3 3 17" xfId="32287"/>
    <cellStyle name="asd 7 3 3 18" xfId="29548"/>
    <cellStyle name="asd 7 3 3 19" xfId="35567"/>
    <cellStyle name="asd 7 3 3 2" xfId="4931"/>
    <cellStyle name="asd 7 3 3 2 10" xfId="21179"/>
    <cellStyle name="asd 7 3 3 2 11" xfId="23010"/>
    <cellStyle name="asd 7 3 3 2 12" xfId="24981"/>
    <cellStyle name="asd 7 3 3 2 13" xfId="26748"/>
    <cellStyle name="asd 7 3 3 2 14" xfId="29586"/>
    <cellStyle name="asd 7 3 3 2 15" xfId="30347"/>
    <cellStyle name="asd 7 3 3 2 16" xfId="31714"/>
    <cellStyle name="asd 7 3 3 2 17" xfId="33925"/>
    <cellStyle name="asd 7 3 3 2 18" xfId="35808"/>
    <cellStyle name="asd 7 3 3 2 19" xfId="37687"/>
    <cellStyle name="asd 7 3 3 2 2" xfId="6381"/>
    <cellStyle name="asd 7 3 3 2 20" xfId="38955"/>
    <cellStyle name="asd 7 3 3 2 21" xfId="40638"/>
    <cellStyle name="asd 7 3 3 2 22" xfId="42794"/>
    <cellStyle name="asd 7 3 3 2 3" xfId="7832"/>
    <cellStyle name="asd 7 3 3 2 4" xfId="9742"/>
    <cellStyle name="asd 7 3 3 2 5" xfId="12374"/>
    <cellStyle name="asd 7 3 3 2 6" xfId="13480"/>
    <cellStyle name="asd 7 3 3 2 7" xfId="15385"/>
    <cellStyle name="asd 7 3 3 2 8" xfId="17361"/>
    <cellStyle name="asd 7 3 3 2 9" xfId="19267"/>
    <cellStyle name="asd 7 3 3 20" xfId="37446"/>
    <cellStyle name="asd 7 3 3 21" xfId="39507"/>
    <cellStyle name="asd 7 3 3 22" xfId="41181"/>
    <cellStyle name="asd 7 3 3 23" xfId="43603"/>
    <cellStyle name="asd 7 3 3 3" xfId="4692"/>
    <cellStyle name="asd 7 3 3 4" xfId="7591"/>
    <cellStyle name="asd 7 3 3 5" xfId="9501"/>
    <cellStyle name="asd 7 3 3 6" xfId="11549"/>
    <cellStyle name="asd 7 3 3 7" xfId="14322"/>
    <cellStyle name="asd 7 3 3 8" xfId="16226"/>
    <cellStyle name="asd 7 3 3 9" xfId="17120"/>
    <cellStyle name="asd 7 3 4" xfId="2218"/>
    <cellStyle name="asd 7 3 4 10" xfId="19035"/>
    <cellStyle name="asd 7 3 4 11" xfId="20947"/>
    <cellStyle name="asd 7 3 4 12" xfId="24014"/>
    <cellStyle name="asd 7 3 4 13" xfId="24749"/>
    <cellStyle name="asd 7 3 4 14" xfId="27908"/>
    <cellStyle name="asd 7 3 4 15" xfId="28263"/>
    <cellStyle name="asd 7 3 4 16" xfId="31490"/>
    <cellStyle name="asd 7 3 4 17" xfId="31659"/>
    <cellStyle name="asd 7 3 4 18" xfId="34573"/>
    <cellStyle name="asd 7 3 4 19" xfId="35576"/>
    <cellStyle name="asd 7 3 4 2" xfId="4533"/>
    <cellStyle name="asd 7 3 4 2 10" xfId="20778"/>
    <cellStyle name="asd 7 3 4 2 11" xfId="23747"/>
    <cellStyle name="asd 7 3 4 2 12" xfId="24580"/>
    <cellStyle name="asd 7 3 4 2 13" xfId="27206"/>
    <cellStyle name="asd 7 3 4 2 14" xfId="2998"/>
    <cellStyle name="asd 7 3 4 2 15" xfId="30797"/>
    <cellStyle name="asd 7 3 4 2 16" xfId="32515"/>
    <cellStyle name="asd 7 3 4 2 17" xfId="34324"/>
    <cellStyle name="asd 7 3 4 2 18" xfId="35408"/>
    <cellStyle name="asd 7 3 4 2 19" xfId="37286"/>
    <cellStyle name="asd 7 3 4 2 2" xfId="4547"/>
    <cellStyle name="asd 7 3 4 2 20" xfId="39729"/>
    <cellStyle name="asd 7 3 4 2 21" xfId="41401"/>
    <cellStyle name="asd 7 3 4 2 22" xfId="43500"/>
    <cellStyle name="asd 7 3 4 2 3" xfId="4290"/>
    <cellStyle name="asd 7 3 4 2 4" xfId="9340"/>
    <cellStyle name="asd 7 3 4 2 5" xfId="11383"/>
    <cellStyle name="asd 7 3 4 2 6" xfId="14217"/>
    <cellStyle name="asd 7 3 4 2 7" xfId="16121"/>
    <cellStyle name="asd 7 3 4 2 8" xfId="16959"/>
    <cellStyle name="asd 7 3 4 2 9" xfId="18866"/>
    <cellStyle name="asd 7 3 4 20" xfId="37455"/>
    <cellStyle name="asd 7 3 4 21" xfId="38903"/>
    <cellStyle name="asd 7 3 4 22" xfId="40588"/>
    <cellStyle name="asd 7 3 4 23" xfId="43758"/>
    <cellStyle name="asd 7 3 4 3" xfId="6149"/>
    <cellStyle name="asd 7 3 4 4" xfId="7600"/>
    <cellStyle name="asd 7 3 4 5" xfId="9510"/>
    <cellStyle name="asd 7 3 4 6" xfId="11973"/>
    <cellStyle name="asd 7 3 4 7" xfId="14484"/>
    <cellStyle name="asd 7 3 4 8" xfId="16390"/>
    <cellStyle name="asd 7 3 4 9" xfId="17129"/>
    <cellStyle name="asd 7 3 5" xfId="4632"/>
    <cellStyle name="asd 7 3 5 10" xfId="20876"/>
    <cellStyle name="asd 7 3 5 11" xfId="23070"/>
    <cellStyle name="asd 7 3 5 12" xfId="24678"/>
    <cellStyle name="asd 7 3 5 13" xfId="27766"/>
    <cellStyle name="asd 7 3 5 14" xfId="23369"/>
    <cellStyle name="asd 7 3 5 15" xfId="31344"/>
    <cellStyle name="asd 7 3 5 16" xfId="31869"/>
    <cellStyle name="asd 7 3 5 17" xfId="34154"/>
    <cellStyle name="asd 7 3 5 18" xfId="35505"/>
    <cellStyle name="asd 7 3 5 19" xfId="37384"/>
    <cellStyle name="asd 7 3 5 2" xfId="6079"/>
    <cellStyle name="asd 7 3 5 20" xfId="39104"/>
    <cellStyle name="asd 7 3 5 21" xfId="40785"/>
    <cellStyle name="asd 7 3 5 22" xfId="42852"/>
    <cellStyle name="asd 7 3 5 3" xfId="7529"/>
    <cellStyle name="asd 7 3 5 4" xfId="9439"/>
    <cellStyle name="asd 7 3 5 5" xfId="11572"/>
    <cellStyle name="asd 7 3 5 6" xfId="13541"/>
    <cellStyle name="asd 7 3 5 7" xfId="15444"/>
    <cellStyle name="asd 7 3 5 8" xfId="17058"/>
    <cellStyle name="asd 7 3 5 9" xfId="18964"/>
    <cellStyle name="asd 7 3 6" xfId="4336"/>
    <cellStyle name="asd 7 3 6 10" xfId="20493"/>
    <cellStyle name="asd 7 3 6 11" xfId="23576"/>
    <cellStyle name="asd 7 3 6 12" xfId="24295"/>
    <cellStyle name="asd 7 3 6 13" xfId="26956"/>
    <cellStyle name="asd 7 3 6 14" xfId="29555"/>
    <cellStyle name="asd 7 3 6 15" xfId="30550"/>
    <cellStyle name="asd 7 3 6 16" xfId="32702"/>
    <cellStyle name="asd 7 3 6 17" xfId="34241"/>
    <cellStyle name="asd 7 3 6 18" xfId="35123"/>
    <cellStyle name="asd 7 3 6 19" xfId="37001"/>
    <cellStyle name="asd 7 3 6 2" xfId="2648"/>
    <cellStyle name="asd 7 3 6 20" xfId="39910"/>
    <cellStyle name="asd 7 3 6 21" xfId="41579"/>
    <cellStyle name="asd 7 3 6 22" xfId="43339"/>
    <cellStyle name="asd 7 3 6 3" xfId="3934"/>
    <cellStyle name="asd 7 3 6 4" xfId="9055"/>
    <cellStyle name="asd 7 3 6 5" xfId="12513"/>
    <cellStyle name="asd 7 3 6 6" xfId="14048"/>
    <cellStyle name="asd 7 3 6 7" xfId="15949"/>
    <cellStyle name="asd 7 3 6 8" xfId="16674"/>
    <cellStyle name="asd 7 3 6 9" xfId="18581"/>
    <cellStyle name="asd 7 3 7" xfId="2045"/>
    <cellStyle name="asd 7 3 8" xfId="2709"/>
    <cellStyle name="asd 7 3 9" xfId="2795"/>
    <cellStyle name="asd 7 4" xfId="3442"/>
    <cellStyle name="asd 7 4 10" xfId="15354"/>
    <cellStyle name="asd 7 4 11" xfId="16826"/>
    <cellStyle name="asd 7 4 12" xfId="18733"/>
    <cellStyle name="asd 7 4 13" xfId="20645"/>
    <cellStyle name="asd 7 4 14" xfId="22980"/>
    <cellStyle name="asd 7 4 15" xfId="24447"/>
    <cellStyle name="asd 7 4 16" xfId="27882"/>
    <cellStyle name="asd 7 4 17" xfId="3214"/>
    <cellStyle name="asd 7 4 18" xfId="31463"/>
    <cellStyle name="asd 7 4 19" xfId="31990"/>
    <cellStyle name="asd 7 4 2" xfId="3622"/>
    <cellStyle name="asd 7 4 2 10" xfId="17513"/>
    <cellStyle name="asd 7 4 2 11" xfId="19419"/>
    <cellStyle name="asd 7 4 2 12" xfId="21331"/>
    <cellStyle name="asd 7 4 2 13" xfId="23184"/>
    <cellStyle name="asd 7 4 2 14" xfId="25133"/>
    <cellStyle name="asd 7 4 2 15" xfId="26909"/>
    <cellStyle name="asd 7 4 2 16" xfId="29357"/>
    <cellStyle name="asd 7 4 2 17" xfId="30505"/>
    <cellStyle name="asd 7 4 2 18" xfId="32349"/>
    <cellStyle name="asd 7 4 2 19" xfId="34598"/>
    <cellStyle name="asd 7 4 2 2" xfId="5538"/>
    <cellStyle name="asd 7 4 2 2 10" xfId="21788"/>
    <cellStyle name="asd 7 4 2 2 11" xfId="24135"/>
    <cellStyle name="asd 7 4 2 2 12" xfId="25590"/>
    <cellStyle name="asd 7 4 2 2 13" xfId="26838"/>
    <cellStyle name="asd 7 4 2 2 14" xfId="28991"/>
    <cellStyle name="asd 7 4 2 2 15" xfId="30436"/>
    <cellStyle name="asd 7 4 2 2 16" xfId="32816"/>
    <cellStyle name="asd 7 4 2 2 17" xfId="34077"/>
    <cellStyle name="asd 7 4 2 2 18" xfId="36417"/>
    <cellStyle name="asd 7 4 2 2 19" xfId="38296"/>
    <cellStyle name="asd 7 4 2 2 2" xfId="6987"/>
    <cellStyle name="asd 7 4 2 2 20" xfId="40025"/>
    <cellStyle name="asd 7 4 2 2 21" xfId="41689"/>
    <cellStyle name="asd 7 4 2 2 22" xfId="43878"/>
    <cellStyle name="asd 7 4 2 2 3" xfId="8441"/>
    <cellStyle name="asd 7 4 2 2 4" xfId="10351"/>
    <cellStyle name="asd 7 4 2 2 5" xfId="12095"/>
    <cellStyle name="asd 7 4 2 2 6" xfId="14606"/>
    <cellStyle name="asd 7 4 2 2 7" xfId="16512"/>
    <cellStyle name="asd 7 4 2 2 8" xfId="17970"/>
    <cellStyle name="asd 7 4 2 2 9" xfId="19876"/>
    <cellStyle name="asd 7 4 2 20" xfId="35960"/>
    <cellStyle name="asd 7 4 2 21" xfId="37839"/>
    <cellStyle name="asd 7 4 2 22" xfId="39568"/>
    <cellStyle name="asd 7 4 2 23" xfId="41242"/>
    <cellStyle name="asd 7 4 2 24" xfId="42962"/>
    <cellStyle name="asd 7 4 2 3" xfId="5083"/>
    <cellStyle name="asd 7 4 2 4" xfId="6533"/>
    <cellStyle name="asd 7 4 2 5" xfId="7984"/>
    <cellStyle name="asd 7 4 2 6" xfId="9894"/>
    <cellStyle name="asd 7 4 2 7" xfId="11019"/>
    <cellStyle name="asd 7 4 2 8" xfId="13655"/>
    <cellStyle name="asd 7 4 2 9" xfId="15558"/>
    <cellStyle name="asd 7 4 20" xfId="34175"/>
    <cellStyle name="asd 7 4 21" xfId="35275"/>
    <cellStyle name="asd 7 4 22" xfId="37153"/>
    <cellStyle name="asd 7 4 23" xfId="39221"/>
    <cellStyle name="asd 7 4 24" xfId="40899"/>
    <cellStyle name="asd 7 4 25" xfId="42766"/>
    <cellStyle name="asd 7 4 3" xfId="3856"/>
    <cellStyle name="asd 7 4 3 10" xfId="19577"/>
    <cellStyle name="asd 7 4 3 11" xfId="21489"/>
    <cellStyle name="asd 7 4 3 12" xfId="22628"/>
    <cellStyle name="asd 7 4 3 13" xfId="25291"/>
    <cellStyle name="asd 7 4 3 14" xfId="26271"/>
    <cellStyle name="asd 7 4 3 15" xfId="29015"/>
    <cellStyle name="asd 7 4 3 16" xfId="29880"/>
    <cellStyle name="asd 7 4 3 17" xfId="32319"/>
    <cellStyle name="asd 7 4 3 18" xfId="34075"/>
    <cellStyle name="asd 7 4 3 19" xfId="36118"/>
    <cellStyle name="asd 7 4 3 2" xfId="5847"/>
    <cellStyle name="asd 7 4 3 2 10" xfId="22097"/>
    <cellStyle name="asd 7 4 3 2 11" xfId="23613"/>
    <cellStyle name="asd 7 4 3 2 12" xfId="25899"/>
    <cellStyle name="asd 7 4 3 2 13" xfId="27865"/>
    <cellStyle name="asd 7 4 3 2 14" xfId="29001"/>
    <cellStyle name="asd 7 4 3 2 15" xfId="31446"/>
    <cellStyle name="asd 7 4 3 2 16" xfId="32068"/>
    <cellStyle name="asd 7 4 3 2 17" xfId="34656"/>
    <cellStyle name="asd 7 4 3 2 18" xfId="36726"/>
    <cellStyle name="asd 7 4 3 2 19" xfId="38605"/>
    <cellStyle name="asd 7 4 3 2 2" xfId="7296"/>
    <cellStyle name="asd 7 4 3 2 20" xfId="39294"/>
    <cellStyle name="asd 7 4 3 2 21" xfId="40970"/>
    <cellStyle name="asd 7 4 3 2 22" xfId="43371"/>
    <cellStyle name="asd 7 4 3 2 3" xfId="8750"/>
    <cellStyle name="asd 7 4 3 2 4" xfId="10660"/>
    <cellStyle name="asd 7 4 3 2 5" xfId="11353"/>
    <cellStyle name="asd 7 4 3 2 6" xfId="14083"/>
    <cellStyle name="asd 7 4 3 2 7" xfId="15986"/>
    <cellStyle name="asd 7 4 3 2 8" xfId="18279"/>
    <cellStyle name="asd 7 4 3 2 9" xfId="20185"/>
    <cellStyle name="asd 7 4 3 20" xfId="37997"/>
    <cellStyle name="asd 7 4 3 21" xfId="39538"/>
    <cellStyle name="asd 7 4 3 22" xfId="41212"/>
    <cellStyle name="asd 7 4 3 23" xfId="42434"/>
    <cellStyle name="asd 7 4 3 3" xfId="5241"/>
    <cellStyle name="asd 7 4 3 4" xfId="8142"/>
    <cellStyle name="asd 7 4 3 5" xfId="10052"/>
    <cellStyle name="asd 7 4 3 6" xfId="11678"/>
    <cellStyle name="asd 7 4 3 7" xfId="13095"/>
    <cellStyle name="asd 7 4 3 8" xfId="15000"/>
    <cellStyle name="asd 7 4 3 9" xfId="17671"/>
    <cellStyle name="asd 7 4 4" xfId="4074"/>
    <cellStyle name="asd 7 4 4 10" xfId="19709"/>
    <cellStyle name="asd 7 4 4 11" xfId="21621"/>
    <cellStyle name="asd 7 4 4 12" xfId="23605"/>
    <cellStyle name="asd 7 4 4 13" xfId="25423"/>
    <cellStyle name="asd 7 4 4 14" xfId="27230"/>
    <cellStyle name="asd 7 4 4 15" xfId="29674"/>
    <cellStyle name="asd 7 4 4 16" xfId="30821"/>
    <cellStyle name="asd 7 4 4 17" xfId="32595"/>
    <cellStyle name="asd 7 4 4 18" xfId="34055"/>
    <cellStyle name="asd 7 4 4 19" xfId="36250"/>
    <cellStyle name="asd 7 4 4 2" xfId="5979"/>
    <cellStyle name="asd 7 4 4 2 10" xfId="22229"/>
    <cellStyle name="asd 7 4 4 2 11" xfId="22600"/>
    <cellStyle name="asd 7 4 4 2 12" xfId="26031"/>
    <cellStyle name="asd 7 4 4 2 13" xfId="27736"/>
    <cellStyle name="asd 7 4 4 2 14" xfId="28736"/>
    <cellStyle name="asd 7 4 4 2 15" xfId="31314"/>
    <cellStyle name="asd 7 4 4 2 16" xfId="31727"/>
    <cellStyle name="asd 7 4 4 2 17" xfId="33677"/>
    <cellStyle name="asd 7 4 4 2 18" xfId="36858"/>
    <cellStyle name="asd 7 4 4 2 19" xfId="38737"/>
    <cellStyle name="asd 7 4 4 2 2" xfId="7428"/>
    <cellStyle name="asd 7 4 4 2 20" xfId="38968"/>
    <cellStyle name="asd 7 4 4 2 21" xfId="40651"/>
    <cellStyle name="asd 7 4 4 2 22" xfId="42409"/>
    <cellStyle name="asd 7 4 4 2 3" xfId="8882"/>
    <cellStyle name="asd 7 4 4 2 4" xfId="10792"/>
    <cellStyle name="asd 7 4 4 2 5" xfId="11378"/>
    <cellStyle name="asd 7 4 4 2 6" xfId="13068"/>
    <cellStyle name="asd 7 4 4 2 7" xfId="14972"/>
    <cellStyle name="asd 7 4 4 2 8" xfId="18411"/>
    <cellStyle name="asd 7 4 4 2 9" xfId="20317"/>
    <cellStyle name="asd 7 4 4 20" xfId="38129"/>
    <cellStyle name="asd 7 4 4 21" xfId="39806"/>
    <cellStyle name="asd 7 4 4 22" xfId="41475"/>
    <cellStyle name="asd 7 4 4 23" xfId="43363"/>
    <cellStyle name="asd 7 4 4 3" xfId="6820"/>
    <cellStyle name="asd 7 4 4 4" xfId="8274"/>
    <cellStyle name="asd 7 4 4 5" xfId="10184"/>
    <cellStyle name="asd 7 4 4 6" xfId="11702"/>
    <cellStyle name="asd 7 4 4 7" xfId="14075"/>
    <cellStyle name="asd 7 4 4 8" xfId="15978"/>
    <cellStyle name="asd 7 4 4 9" xfId="17803"/>
    <cellStyle name="asd 7 4 5" xfId="4341"/>
    <cellStyle name="asd 7 4 5 10" xfId="20577"/>
    <cellStyle name="asd 7 4 5 11" xfId="22945"/>
    <cellStyle name="asd 7 4 5 12" xfId="24379"/>
    <cellStyle name="asd 7 4 5 13" xfId="26236"/>
    <cellStyle name="asd 7 4 5 14" xfId="29407"/>
    <cellStyle name="asd 7 4 5 15" xfId="29846"/>
    <cellStyle name="asd 7 4 5 16" xfId="31922"/>
    <cellStyle name="asd 7 4 5 17" xfId="34723"/>
    <cellStyle name="asd 7 4 5 18" xfId="35207"/>
    <cellStyle name="asd 7 4 5 19" xfId="37085"/>
    <cellStyle name="asd 7 4 5 2" xfId="5425"/>
    <cellStyle name="asd 7 4 5 20" xfId="39153"/>
    <cellStyle name="asd 7 4 5 21" xfId="40834"/>
    <cellStyle name="asd 7 4 5 22" xfId="42731"/>
    <cellStyle name="asd 7 4 5 3" xfId="6681"/>
    <cellStyle name="asd 7 4 5 4" xfId="9139"/>
    <cellStyle name="asd 7 4 5 5" xfId="12298"/>
    <cellStyle name="asd 7 4 5 6" xfId="13413"/>
    <cellStyle name="asd 7 4 5 7" xfId="15318"/>
    <cellStyle name="asd 7 4 5 8" xfId="16758"/>
    <cellStyle name="asd 7 4 5 9" xfId="18665"/>
    <cellStyle name="asd 7 4 6" xfId="2250"/>
    <cellStyle name="asd 7 4 7" xfId="9207"/>
    <cellStyle name="asd 7 4 8" xfId="11026"/>
    <cellStyle name="asd 7 4 9" xfId="13449"/>
    <cellStyle name="asd 7 5" xfId="2309"/>
    <cellStyle name="asd 7 5 10" xfId="17143"/>
    <cellStyle name="asd 7 5 11" xfId="19049"/>
    <cellStyle name="asd 7 5 12" xfId="20961"/>
    <cellStyle name="asd 7 5 13" xfId="23784"/>
    <cellStyle name="asd 7 5 14" xfId="24763"/>
    <cellStyle name="asd 7 5 15" xfId="27535"/>
    <cellStyle name="asd 7 5 16" xfId="28302"/>
    <cellStyle name="asd 7 5 17" xfId="31116"/>
    <cellStyle name="asd 7 5 18" xfId="32253"/>
    <cellStyle name="asd 7 5 19" xfId="35046"/>
    <cellStyle name="asd 7 5 2" xfId="4340"/>
    <cellStyle name="asd 7 5 2 10" xfId="20557"/>
    <cellStyle name="asd 7 5 2 11" xfId="23636"/>
    <cellStyle name="asd 7 5 2 12" xfId="24359"/>
    <cellStyle name="asd 7 5 2 13" xfId="27611"/>
    <cellStyle name="asd 7 5 2 14" xfId="1879"/>
    <cellStyle name="asd 7 5 2 15" xfId="31189"/>
    <cellStyle name="asd 7 5 2 16" xfId="32145"/>
    <cellStyle name="asd 7 5 2 17" xfId="33528"/>
    <cellStyle name="asd 7 5 2 18" xfId="35187"/>
    <cellStyle name="asd 7 5 2 19" xfId="37065"/>
    <cellStyle name="asd 7 5 2 2" xfId="2049"/>
    <cellStyle name="asd 7 5 2 20" xfId="39368"/>
    <cellStyle name="asd 7 5 2 21" xfId="41044"/>
    <cellStyle name="asd 7 5 2 22" xfId="43394"/>
    <cellStyle name="asd 7 5 2 3" xfId="3763"/>
    <cellStyle name="asd 7 5 2 4" xfId="9119"/>
    <cellStyle name="asd 7 5 2 5" xfId="11668"/>
    <cellStyle name="asd 7 5 2 6" xfId="14106"/>
    <cellStyle name="asd 7 5 2 7" xfId="16009"/>
    <cellStyle name="asd 7 5 2 8" xfId="16738"/>
    <cellStyle name="asd 7 5 2 9" xfId="18645"/>
    <cellStyle name="asd 7 5 20" xfId="35590"/>
    <cellStyle name="asd 7 5 21" xfId="37469"/>
    <cellStyle name="asd 7 5 22" xfId="39471"/>
    <cellStyle name="asd 7 5 23" xfId="41146"/>
    <cellStyle name="asd 7 5 24" xfId="43537"/>
    <cellStyle name="asd 7 5 3" xfId="4715"/>
    <cellStyle name="asd 7 5 4" xfId="6163"/>
    <cellStyle name="asd 7 5 5" xfId="7614"/>
    <cellStyle name="asd 7 5 6" xfId="9524"/>
    <cellStyle name="asd 7 5 7" xfId="11600"/>
    <cellStyle name="asd 7 5 8" xfId="14254"/>
    <cellStyle name="asd 7 5 9" xfId="16158"/>
    <cellStyle name="asd 7 6" xfId="3052"/>
    <cellStyle name="asd 7 6 10" xfId="19147"/>
    <cellStyle name="asd 7 6 11" xfId="21059"/>
    <cellStyle name="asd 7 6 12" xfId="22752"/>
    <cellStyle name="asd 7 6 13" xfId="24861"/>
    <cellStyle name="asd 7 6 14" xfId="27838"/>
    <cellStyle name="asd 7 6 15" xfId="28098"/>
    <cellStyle name="asd 7 6 16" xfId="31416"/>
    <cellStyle name="asd 7 6 17" xfId="32943"/>
    <cellStyle name="asd 7 6 18" xfId="34157"/>
    <cellStyle name="asd 7 6 19" xfId="35688"/>
    <cellStyle name="asd 7 6 2" xfId="5587"/>
    <cellStyle name="asd 7 6 2 10" xfId="21837"/>
    <cellStyle name="asd 7 6 2 11" xfId="23601"/>
    <cellStyle name="asd 7 6 2 12" xfId="25639"/>
    <cellStyle name="asd 7 6 2 13" xfId="26306"/>
    <cellStyle name="asd 7 6 2 14" xfId="29069"/>
    <cellStyle name="asd 7 6 2 15" xfId="29915"/>
    <cellStyle name="asd 7 6 2 16" xfId="32758"/>
    <cellStyle name="asd 7 6 2 17" xfId="34164"/>
    <cellStyle name="asd 7 6 2 18" xfId="36466"/>
    <cellStyle name="asd 7 6 2 19" xfId="38345"/>
    <cellStyle name="asd 7 6 2 2" xfId="7036"/>
    <cellStyle name="asd 7 6 2 20" xfId="39967"/>
    <cellStyle name="asd 7 6 2 21" xfId="41631"/>
    <cellStyle name="asd 7 6 2 22" xfId="43360"/>
    <cellStyle name="asd 7 6 2 3" xfId="8490"/>
    <cellStyle name="asd 7 6 2 4" xfId="10400"/>
    <cellStyle name="asd 7 6 2 5" xfId="12257"/>
    <cellStyle name="asd 7 6 2 6" xfId="14071"/>
    <cellStyle name="asd 7 6 2 7" xfId="15974"/>
    <cellStyle name="asd 7 6 2 8" xfId="18019"/>
    <cellStyle name="asd 7 6 2 9" xfId="19925"/>
    <cellStyle name="asd 7 6 20" xfId="37567"/>
    <cellStyle name="asd 7 6 21" xfId="40146"/>
    <cellStyle name="asd 7 6 22" xfId="41805"/>
    <cellStyle name="asd 7 6 23" xfId="42549"/>
    <cellStyle name="asd 7 6 3" xfId="4811"/>
    <cellStyle name="asd 7 6 4" xfId="7712"/>
    <cellStyle name="asd 7 6 5" xfId="9622"/>
    <cellStyle name="asd 7 6 6" xfId="11060"/>
    <cellStyle name="asd 7 6 7" xfId="13221"/>
    <cellStyle name="asd 7 6 8" xfId="15124"/>
    <cellStyle name="asd 7 6 9" xfId="17241"/>
    <cellStyle name="asd 7 7" xfId="2932"/>
    <cellStyle name="asd 7 7 10" xfId="19129"/>
    <cellStyle name="asd 7 7 11" xfId="21041"/>
    <cellStyle name="asd 7 7 12" xfId="22439"/>
    <cellStyle name="asd 7 7 13" xfId="24843"/>
    <cellStyle name="asd 7 7 14" xfId="26495"/>
    <cellStyle name="asd 7 7 15" xfId="28843"/>
    <cellStyle name="asd 7 7 16" xfId="30100"/>
    <cellStyle name="asd 7 7 17" xfId="32980"/>
    <cellStyle name="asd 7 7 18" xfId="33951"/>
    <cellStyle name="asd 7 7 19" xfId="35670"/>
    <cellStyle name="asd 7 7 2" xfId="5480"/>
    <cellStyle name="asd 7 7 2 10" xfId="21730"/>
    <cellStyle name="asd 7 7 2 11" xfId="23622"/>
    <cellStyle name="asd 7 7 2 12" xfId="25532"/>
    <cellStyle name="asd 7 7 2 13" xfId="27840"/>
    <cellStyle name="asd 7 7 2 14" xfId="28367"/>
    <cellStyle name="asd 7 7 2 15" xfId="31418"/>
    <cellStyle name="asd 7 7 2 16" xfId="32636"/>
    <cellStyle name="asd 7 7 2 17" xfId="34011"/>
    <cellStyle name="asd 7 7 2 18" xfId="36359"/>
    <cellStyle name="asd 7 7 2 19" xfId="38238"/>
    <cellStyle name="asd 7 7 2 2" xfId="6929"/>
    <cellStyle name="asd 7 7 2 20" xfId="39843"/>
    <cellStyle name="asd 7 7 2 21" xfId="41512"/>
    <cellStyle name="asd 7 7 2 22" xfId="43380"/>
    <cellStyle name="asd 7 7 2 3" xfId="8383"/>
    <cellStyle name="asd 7 7 2 4" xfId="10293"/>
    <cellStyle name="asd 7 7 2 5" xfId="11437"/>
    <cellStyle name="asd 7 7 2 6" xfId="14092"/>
    <cellStyle name="asd 7 7 2 7" xfId="15995"/>
    <cellStyle name="asd 7 7 2 8" xfId="17912"/>
    <cellStyle name="asd 7 7 2 9" xfId="19818"/>
    <cellStyle name="asd 7 7 20" xfId="37549"/>
    <cellStyle name="asd 7 7 21" xfId="40181"/>
    <cellStyle name="asd 7 7 22" xfId="41840"/>
    <cellStyle name="asd 7 7 23" xfId="42250"/>
    <cellStyle name="asd 7 7 3" xfId="6243"/>
    <cellStyle name="asd 7 7 4" xfId="7694"/>
    <cellStyle name="asd 7 7 5" xfId="9604"/>
    <cellStyle name="asd 7 7 6" xfId="11547"/>
    <cellStyle name="asd 7 7 7" xfId="12907"/>
    <cellStyle name="asd 7 7 8" xfId="14812"/>
    <cellStyle name="asd 7 7 9" xfId="17223"/>
    <cellStyle name="asd 7 8" xfId="3967"/>
    <cellStyle name="asd 7 9" xfId="2938"/>
    <cellStyle name="asd 8" xfId="729"/>
    <cellStyle name="asd 8 10" xfId="3773"/>
    <cellStyle name="asd 8 11" xfId="2685"/>
    <cellStyle name="asd 8 12" xfId="2641"/>
    <cellStyle name="asd 8 13" xfId="1907"/>
    <cellStyle name="asd 8 14" xfId="1896"/>
    <cellStyle name="asd 8 15" xfId="2124"/>
    <cellStyle name="asd 8 16" xfId="4171"/>
    <cellStyle name="asd 8 17" xfId="20444"/>
    <cellStyle name="asd 8 18" xfId="18535"/>
    <cellStyle name="asd 8 19" xfId="28408"/>
    <cellStyle name="asd 8 2" xfId="3489"/>
    <cellStyle name="asd 8 2 10" xfId="13859"/>
    <cellStyle name="asd 8 2 11" xfId="15760"/>
    <cellStyle name="asd 8 2 12" xfId="16932"/>
    <cellStyle name="asd 8 2 13" xfId="18839"/>
    <cellStyle name="asd 8 2 14" xfId="20751"/>
    <cellStyle name="asd 8 2 15" xfId="23387"/>
    <cellStyle name="asd 8 2 16" xfId="24553"/>
    <cellStyle name="asd 8 2 17" xfId="27094"/>
    <cellStyle name="asd 8 2 18" xfId="28593"/>
    <cellStyle name="asd 8 2 19" xfId="30685"/>
    <cellStyle name="asd 8 2 2" xfId="3669"/>
    <cellStyle name="asd 8 2 2 10" xfId="17560"/>
    <cellStyle name="asd 8 2 2 11" xfId="19466"/>
    <cellStyle name="asd 8 2 2 12" xfId="21378"/>
    <cellStyle name="asd 8 2 2 13" xfId="23840"/>
    <cellStyle name="asd 8 2 2 14" xfId="25180"/>
    <cellStyle name="asd 8 2 2 15" xfId="26258"/>
    <cellStyle name="asd 8 2 2 16" xfId="29134"/>
    <cellStyle name="asd 8 2 2 17" xfId="29868"/>
    <cellStyle name="asd 8 2 2 18" xfId="33059"/>
    <cellStyle name="asd 8 2 2 19" xfId="33688"/>
    <cellStyle name="asd 8 2 2 2" xfId="4578"/>
    <cellStyle name="asd 8 2 2 2 10" xfId="20823"/>
    <cellStyle name="asd 8 2 2 2 11" xfId="24081"/>
    <cellStyle name="asd 8 2 2 2 12" xfId="24625"/>
    <cellStyle name="asd 8 2 2 2 13" xfId="27335"/>
    <cellStyle name="asd 8 2 2 2 14" xfId="28230"/>
    <cellStyle name="asd 8 2 2 2 15" xfId="30924"/>
    <cellStyle name="asd 8 2 2 2 16" xfId="32761"/>
    <cellStyle name="asd 8 2 2 2 17" xfId="34534"/>
    <cellStyle name="asd 8 2 2 2 18" xfId="35453"/>
    <cellStyle name="asd 8 2 2 2 19" xfId="37331"/>
    <cellStyle name="asd 8 2 2 2 2" xfId="5374"/>
    <cellStyle name="asd 8 2 2 2 20" xfId="39970"/>
    <cellStyle name="asd 8 2 2 2 21" xfId="41634"/>
    <cellStyle name="asd 8 2 2 2 22" xfId="43825"/>
    <cellStyle name="asd 8 2 2 2 3" xfId="6662"/>
    <cellStyle name="asd 8 2 2 2 4" xfId="9385"/>
    <cellStyle name="asd 8 2 2 2 5" xfId="12040"/>
    <cellStyle name="asd 8 2 2 2 6" xfId="14551"/>
    <cellStyle name="asd 8 2 2 2 7" xfId="16457"/>
    <cellStyle name="asd 8 2 2 2 8" xfId="17004"/>
    <cellStyle name="asd 8 2 2 2 9" xfId="18911"/>
    <cellStyle name="asd 8 2 2 20" xfId="36007"/>
    <cellStyle name="asd 8 2 2 21" xfId="37886"/>
    <cellStyle name="asd 8 2 2 22" xfId="40255"/>
    <cellStyle name="asd 8 2 2 23" xfId="41913"/>
    <cellStyle name="asd 8 2 2 24" xfId="43591"/>
    <cellStyle name="asd 8 2 2 3" xfId="5130"/>
    <cellStyle name="asd 8 2 2 4" xfId="6580"/>
    <cellStyle name="asd 8 2 2 5" xfId="8031"/>
    <cellStyle name="asd 8 2 2 6" xfId="9941"/>
    <cellStyle name="asd 8 2 2 7" xfId="11756"/>
    <cellStyle name="asd 8 2 2 8" xfId="14310"/>
    <cellStyle name="asd 8 2 2 9" xfId="16214"/>
    <cellStyle name="asd 8 2 20" xfId="33064"/>
    <cellStyle name="asd 8 2 21" xfId="34380"/>
    <cellStyle name="asd 8 2 22" xfId="35381"/>
    <cellStyle name="asd 8 2 23" xfId="37259"/>
    <cellStyle name="asd 8 2 24" xfId="40260"/>
    <cellStyle name="asd 8 2 25" xfId="41918"/>
    <cellStyle name="asd 8 2 26" xfId="43154"/>
    <cellStyle name="asd 8 2 3" xfId="3850"/>
    <cellStyle name="asd 8 2 3 10" xfId="19572"/>
    <cellStyle name="asd 8 2 3 11" xfId="21484"/>
    <cellStyle name="asd 8 2 3 12" xfId="22423"/>
    <cellStyle name="asd 8 2 3 13" xfId="25286"/>
    <cellStyle name="asd 8 2 3 14" xfId="26807"/>
    <cellStyle name="asd 8 2 3 15" xfId="22339"/>
    <cellStyle name="asd 8 2 3 16" xfId="30406"/>
    <cellStyle name="asd 8 2 3 17" xfId="32664"/>
    <cellStyle name="asd 8 2 3 18" xfId="34199"/>
    <cellStyle name="asd 8 2 3 19" xfId="36113"/>
    <cellStyle name="asd 8 2 3 2" xfId="5842"/>
    <cellStyle name="asd 8 2 3 2 10" xfId="22092"/>
    <cellStyle name="asd 8 2 3 2 11" xfId="13217"/>
    <cellStyle name="asd 8 2 3 2 12" xfId="25894"/>
    <cellStyle name="asd 8 2 3 2 13" xfId="3717"/>
    <cellStyle name="asd 8 2 3 2 14" xfId="2336"/>
    <cellStyle name="asd 8 2 3 2 15" xfId="2083"/>
    <cellStyle name="asd 8 2 3 2 16" xfId="12782"/>
    <cellStyle name="asd 8 2 3 2 17" xfId="31624"/>
    <cellStyle name="asd 8 2 3 2 18" xfId="36721"/>
    <cellStyle name="asd 8 2 3 2 19" xfId="38600"/>
    <cellStyle name="asd 8 2 3 2 2" xfId="7291"/>
    <cellStyle name="asd 8 2 3 2 20" xfId="6249"/>
    <cellStyle name="asd 8 2 3 2 21" xfId="24237"/>
    <cellStyle name="asd 8 2 3 2 22" xfId="38836"/>
    <cellStyle name="asd 8 2 3 2 3" xfId="8745"/>
    <cellStyle name="asd 8 2 3 2 4" xfId="10655"/>
    <cellStyle name="asd 8 2 3 2 5" xfId="12320"/>
    <cellStyle name="asd 8 2 3 2 6" xfId="1775"/>
    <cellStyle name="asd 8 2 3 2 7" xfId="12149"/>
    <cellStyle name="asd 8 2 3 2 8" xfId="18274"/>
    <cellStyle name="asd 8 2 3 2 9" xfId="20180"/>
    <cellStyle name="asd 8 2 3 20" xfId="37992"/>
    <cellStyle name="asd 8 2 3 21" xfId="39871"/>
    <cellStyle name="asd 8 2 3 22" xfId="41540"/>
    <cellStyle name="asd 8 2 3 23" xfId="42234"/>
    <cellStyle name="asd 8 2 3 3" xfId="5236"/>
    <cellStyle name="asd 8 2 3 4" xfId="8137"/>
    <cellStyle name="asd 8 2 3 5" xfId="10047"/>
    <cellStyle name="asd 8 2 3 6" xfId="11559"/>
    <cellStyle name="asd 8 2 3 7" xfId="12890"/>
    <cellStyle name="asd 8 2 3 8" xfId="14795"/>
    <cellStyle name="asd 8 2 3 9" xfId="17666"/>
    <cellStyle name="asd 8 2 4" xfId="4121"/>
    <cellStyle name="asd 8 2 4 10" xfId="19756"/>
    <cellStyle name="asd 8 2 4 11" xfId="21668"/>
    <cellStyle name="asd 8 2 4 12" xfId="22714"/>
    <cellStyle name="asd 8 2 4 13" xfId="25470"/>
    <cellStyle name="asd 8 2 4 14" xfId="26714"/>
    <cellStyle name="asd 8 2 4 15" xfId="28631"/>
    <cellStyle name="asd 8 2 4 16" xfId="30314"/>
    <cellStyle name="asd 8 2 4 17" xfId="31612"/>
    <cellStyle name="asd 8 2 4 18" xfId="34626"/>
    <cellStyle name="asd 8 2 4 19" xfId="36297"/>
    <cellStyle name="asd 8 2 4 2" xfId="6026"/>
    <cellStyle name="asd 8 2 4 2 10" xfId="22276"/>
    <cellStyle name="asd 8 2 4 2 11" xfId="23979"/>
    <cellStyle name="asd 8 2 4 2 12" xfId="26078"/>
    <cellStyle name="asd 8 2 4 2 13" xfId="27485"/>
    <cellStyle name="asd 8 2 4 2 14" xfId="2304"/>
    <cellStyle name="asd 8 2 4 2 15" xfId="31072"/>
    <cellStyle name="asd 8 2 4 2 16" xfId="33235"/>
    <cellStyle name="asd 8 2 4 2 17" xfId="34214"/>
    <cellStyle name="asd 8 2 4 2 18" xfId="36905"/>
    <cellStyle name="asd 8 2 4 2 19" xfId="38784"/>
    <cellStyle name="asd 8 2 4 2 2" xfId="7475"/>
    <cellStyle name="asd 8 2 4 2 20" xfId="40425"/>
    <cellStyle name="asd 8 2 4 2 21" xfId="42080"/>
    <cellStyle name="asd 8 2 4 2 22" xfId="43724"/>
    <cellStyle name="asd 8 2 4 2 3" xfId="8929"/>
    <cellStyle name="asd 8 2 4 2 4" xfId="10839"/>
    <cellStyle name="asd 8 2 4 2 5" xfId="11939"/>
    <cellStyle name="asd 8 2 4 2 6" xfId="14449"/>
    <cellStyle name="asd 8 2 4 2 7" xfId="16355"/>
    <cellStyle name="asd 8 2 4 2 8" xfId="18458"/>
    <cellStyle name="asd 8 2 4 2 9" xfId="20364"/>
    <cellStyle name="asd 8 2 4 20" xfId="38176"/>
    <cellStyle name="asd 8 2 4 21" xfId="38859"/>
    <cellStyle name="asd 8 2 4 22" xfId="40545"/>
    <cellStyle name="asd 8 2 4 23" xfId="42514"/>
    <cellStyle name="asd 8 2 4 3" xfId="6867"/>
    <cellStyle name="asd 8 2 4 4" xfId="8321"/>
    <cellStyle name="asd 8 2 4 5" xfId="10231"/>
    <cellStyle name="asd 8 2 4 6" xfId="11448"/>
    <cellStyle name="asd 8 2 4 7" xfId="13182"/>
    <cellStyle name="asd 8 2 4 8" xfId="15086"/>
    <cellStyle name="asd 8 2 4 9" xfId="17850"/>
    <cellStyle name="asd 8 2 5" xfId="4969"/>
    <cellStyle name="asd 8 2 5 10" xfId="21217"/>
    <cellStyle name="asd 8 2 5 11" xfId="23123"/>
    <cellStyle name="asd 8 2 5 12" xfId="25019"/>
    <cellStyle name="asd 8 2 5 13" xfId="26266"/>
    <cellStyle name="asd 8 2 5 14" xfId="28835"/>
    <cellStyle name="asd 8 2 5 15" xfId="29876"/>
    <cellStyle name="asd 8 2 5 16" xfId="32557"/>
    <cellStyle name="asd 8 2 5 17" xfId="34914"/>
    <cellStyle name="asd 8 2 5 18" xfId="35846"/>
    <cellStyle name="asd 8 2 5 19" xfId="37725"/>
    <cellStyle name="asd 8 2 5 2" xfId="6419"/>
    <cellStyle name="asd 8 2 5 20" xfId="39770"/>
    <cellStyle name="asd 8 2 5 21" xfId="41440"/>
    <cellStyle name="asd 8 2 5 22" xfId="42902"/>
    <cellStyle name="asd 8 2 5 3" xfId="7870"/>
    <cellStyle name="asd 8 2 5 4" xfId="9780"/>
    <cellStyle name="asd 8 2 5 5" xfId="12742"/>
    <cellStyle name="asd 8 2 5 6" xfId="13594"/>
    <cellStyle name="asd 8 2 5 7" xfId="15497"/>
    <cellStyle name="asd 8 2 5 8" xfId="17399"/>
    <cellStyle name="asd 8 2 5 9" xfId="19305"/>
    <cellStyle name="asd 8 2 6" xfId="4618"/>
    <cellStyle name="asd 8 2 6 10" xfId="20863"/>
    <cellStyle name="asd 8 2 6 11" xfId="22619"/>
    <cellStyle name="asd 8 2 6 12" xfId="24665"/>
    <cellStyle name="asd 8 2 6 13" xfId="27614"/>
    <cellStyle name="asd 8 2 6 14" xfId="29481"/>
    <cellStyle name="asd 8 2 6 15" xfId="31192"/>
    <cellStyle name="asd 8 2 6 16" xfId="32771"/>
    <cellStyle name="asd 8 2 6 17" xfId="34537"/>
    <cellStyle name="asd 8 2 6 18" xfId="35493"/>
    <cellStyle name="asd 8 2 6 19" xfId="37371"/>
    <cellStyle name="asd 8 2 6 2" xfId="6066"/>
    <cellStyle name="asd 8 2 6 20" xfId="39980"/>
    <cellStyle name="asd 8 2 6 21" xfId="41644"/>
    <cellStyle name="asd 8 2 6 22" xfId="42425"/>
    <cellStyle name="asd 8 2 6 3" xfId="7515"/>
    <cellStyle name="asd 8 2 6 4" xfId="9425"/>
    <cellStyle name="asd 8 2 6 5" xfId="11639"/>
    <cellStyle name="asd 8 2 6 6" xfId="13086"/>
    <cellStyle name="asd 8 2 6 7" xfId="14991"/>
    <cellStyle name="asd 8 2 6 8" xfId="17044"/>
    <cellStyle name="asd 8 2 6 9" xfId="18951"/>
    <cellStyle name="asd 8 2 7" xfId="6626"/>
    <cellStyle name="asd 8 2 8" xfId="9313"/>
    <cellStyle name="asd 8 2 9" xfId="12303"/>
    <cellStyle name="asd 8 20" xfId="10891"/>
    <cellStyle name="asd 8 21" xfId="3064"/>
    <cellStyle name="asd 8 22" xfId="32838"/>
    <cellStyle name="asd 8 23" xfId="34000"/>
    <cellStyle name="asd 8 24" xfId="34128"/>
    <cellStyle name="asd 8 25" xfId="35072"/>
    <cellStyle name="asd 8 26" xfId="34381"/>
    <cellStyle name="asd 8 27" xfId="2402"/>
    <cellStyle name="asd 8 3" xfId="3468"/>
    <cellStyle name="asd 8 3 10" xfId="13734"/>
    <cellStyle name="asd 8 3 11" xfId="15636"/>
    <cellStyle name="asd 8 3 12" xfId="16886"/>
    <cellStyle name="asd 8 3 13" xfId="18793"/>
    <cellStyle name="asd 8 3 14" xfId="20705"/>
    <cellStyle name="asd 8 3 15" xfId="23262"/>
    <cellStyle name="asd 8 3 16" xfId="24507"/>
    <cellStyle name="asd 8 3 17" xfId="26792"/>
    <cellStyle name="asd 8 3 18" xfId="28658"/>
    <cellStyle name="asd 8 3 19" xfId="30390"/>
    <cellStyle name="asd 8 3 2" xfId="3648"/>
    <cellStyle name="asd 8 3 2 10" xfId="17539"/>
    <cellStyle name="asd 8 3 2 11" xfId="19445"/>
    <cellStyle name="asd 8 3 2 12" xfId="21357"/>
    <cellStyle name="asd 8 3 2 13" xfId="22449"/>
    <cellStyle name="asd 8 3 2 14" xfId="25159"/>
    <cellStyle name="asd 8 3 2 15" xfId="14712"/>
    <cellStyle name="asd 8 3 2 16" xfId="8994"/>
    <cellStyle name="asd 8 3 2 17" xfId="26863"/>
    <cellStyle name="asd 8 3 2 18" xfId="27955"/>
    <cellStyle name="asd 8 3 2 19" xfId="29495"/>
    <cellStyle name="asd 8 3 2 2" xfId="5522"/>
    <cellStyle name="asd 8 3 2 2 10" xfId="21772"/>
    <cellStyle name="asd 8 3 2 2 11" xfId="23931"/>
    <cellStyle name="asd 8 3 2 2 12" xfId="25574"/>
    <cellStyle name="asd 8 3 2 2 13" xfId="27948"/>
    <cellStyle name="asd 8 3 2 2 14" xfId="29566"/>
    <cellStyle name="asd 8 3 2 2 15" xfId="31528"/>
    <cellStyle name="asd 8 3 2 2 16" xfId="31867"/>
    <cellStyle name="asd 8 3 2 2 17" xfId="34884"/>
    <cellStyle name="asd 8 3 2 2 18" xfId="36401"/>
    <cellStyle name="asd 8 3 2 2 19" xfId="38280"/>
    <cellStyle name="asd 8 3 2 2 2" xfId="6971"/>
    <cellStyle name="asd 8 3 2 2 20" xfId="39102"/>
    <cellStyle name="asd 8 3 2 2 21" xfId="40783"/>
    <cellStyle name="asd 8 3 2 2 22" xfId="43677"/>
    <cellStyle name="asd 8 3 2 2 3" xfId="8425"/>
    <cellStyle name="asd 8 3 2 2 4" xfId="10335"/>
    <cellStyle name="asd 8 3 2 2 5" xfId="11890"/>
    <cellStyle name="asd 8 3 2 2 6" xfId="14400"/>
    <cellStyle name="asd 8 3 2 2 7" xfId="16306"/>
    <cellStyle name="asd 8 3 2 2 8" xfId="17954"/>
    <cellStyle name="asd 8 3 2 2 9" xfId="19860"/>
    <cellStyle name="asd 8 3 2 20" xfId="35986"/>
    <cellStyle name="asd 8 3 2 21" xfId="37865"/>
    <cellStyle name="asd 8 3 2 22" xfId="15142"/>
    <cellStyle name="asd 8 3 2 23" xfId="40239"/>
    <cellStyle name="asd 8 3 2 24" xfId="42260"/>
    <cellStyle name="asd 8 3 2 3" xfId="5109"/>
    <cellStyle name="asd 8 3 2 4" xfId="6559"/>
    <cellStyle name="asd 8 3 2 5" xfId="8010"/>
    <cellStyle name="asd 8 3 2 6" xfId="9920"/>
    <cellStyle name="asd 8 3 2 7" xfId="11703"/>
    <cellStyle name="asd 8 3 2 8" xfId="12917"/>
    <cellStyle name="asd 8 3 2 9" xfId="14822"/>
    <cellStyle name="asd 8 3 20" xfId="33258"/>
    <cellStyle name="asd 8 3 21" xfId="33940"/>
    <cellStyle name="asd 8 3 22" xfId="35335"/>
    <cellStyle name="asd 8 3 23" xfId="37213"/>
    <cellStyle name="asd 8 3 24" xfId="40444"/>
    <cellStyle name="asd 8 3 25" xfId="42099"/>
    <cellStyle name="asd 8 3 26" xfId="43038"/>
    <cellStyle name="asd 8 3 3" xfId="3836"/>
    <cellStyle name="asd 8 3 3 10" xfId="19561"/>
    <cellStyle name="asd 8 3 3 11" xfId="21473"/>
    <cellStyle name="asd 8 3 3 12" xfId="24038"/>
    <cellStyle name="asd 8 3 3 13" xfId="25275"/>
    <cellStyle name="asd 8 3 3 14" xfId="27927"/>
    <cellStyle name="asd 8 3 3 15" xfId="29705"/>
    <cellStyle name="asd 8 3 3 16" xfId="31509"/>
    <cellStyle name="asd 8 3 3 17" xfId="31722"/>
    <cellStyle name="asd 8 3 3 18" xfId="34595"/>
    <cellStyle name="asd 8 3 3 19" xfId="36102"/>
    <cellStyle name="asd 8 3 3 2" xfId="5831"/>
    <cellStyle name="asd 8 3 3 2 10" xfId="22081"/>
    <cellStyle name="asd 8 3 3 2 11" xfId="23164"/>
    <cellStyle name="asd 8 3 3 2 12" xfId="25883"/>
    <cellStyle name="asd 8 3 3 2 13" xfId="27131"/>
    <cellStyle name="asd 8 3 3 2 14" xfId="29316"/>
    <cellStyle name="asd 8 3 3 2 15" xfId="30722"/>
    <cellStyle name="asd 8 3 3 2 16" xfId="31791"/>
    <cellStyle name="asd 8 3 3 2 17" xfId="35012"/>
    <cellStyle name="asd 8 3 3 2 18" xfId="36710"/>
    <cellStyle name="asd 8 3 3 2 19" xfId="38589"/>
    <cellStyle name="asd 8 3 3 2 2" xfId="7280"/>
    <cellStyle name="asd 8 3 3 2 20" xfId="39030"/>
    <cellStyle name="asd 8 3 3 2 21" xfId="40712"/>
    <cellStyle name="asd 8 3 3 2 22" xfId="42942"/>
    <cellStyle name="asd 8 3 3 2 3" xfId="8734"/>
    <cellStyle name="asd 8 3 3 2 4" xfId="10644"/>
    <cellStyle name="asd 8 3 3 2 5" xfId="10976"/>
    <cellStyle name="asd 8 3 3 2 6" xfId="13635"/>
    <cellStyle name="asd 8 3 3 2 7" xfId="15538"/>
    <cellStyle name="asd 8 3 3 2 8" xfId="18263"/>
    <cellStyle name="asd 8 3 3 2 9" xfId="20169"/>
    <cellStyle name="asd 8 3 3 20" xfId="37981"/>
    <cellStyle name="asd 8 3 3 21" xfId="38963"/>
    <cellStyle name="asd 8 3 3 22" xfId="40646"/>
    <cellStyle name="asd 8 3 3 23" xfId="43782"/>
    <cellStyle name="asd 8 3 3 3" xfId="5225"/>
    <cellStyle name="asd 8 3 3 4" xfId="8126"/>
    <cellStyle name="asd 8 3 3 5" xfId="10036"/>
    <cellStyle name="asd 8 3 3 6" xfId="11997"/>
    <cellStyle name="asd 8 3 3 7" xfId="14508"/>
    <cellStyle name="asd 8 3 3 8" xfId="16414"/>
    <cellStyle name="asd 8 3 3 9" xfId="17655"/>
    <cellStyle name="asd 8 3 4" xfId="4100"/>
    <cellStyle name="asd 8 3 4 10" xfId="19735"/>
    <cellStyle name="asd 8 3 4 11" xfId="21647"/>
    <cellStyle name="asd 8 3 4 12" xfId="24199"/>
    <cellStyle name="asd 8 3 4 13" xfId="25449"/>
    <cellStyle name="asd 8 3 4 14" xfId="14451"/>
    <cellStyle name="asd 8 3 4 15" xfId="2431"/>
    <cellStyle name="asd 8 3 4 16" xfId="18496"/>
    <cellStyle name="asd 8 3 4 17" xfId="29472"/>
    <cellStyle name="asd 8 3 4 18" xfId="31541"/>
    <cellStyle name="asd 8 3 4 19" xfId="36276"/>
    <cellStyle name="asd 8 3 4 2" xfId="6005"/>
    <cellStyle name="asd 8 3 4 2 10" xfId="22255"/>
    <cellStyle name="asd 8 3 4 2 11" xfId="23142"/>
    <cellStyle name="asd 8 3 4 2 12" xfId="26057"/>
    <cellStyle name="asd 8 3 4 2 13" xfId="27573"/>
    <cellStyle name="asd 8 3 4 2 14" xfId="28755"/>
    <cellStyle name="asd 8 3 4 2 15" xfId="31152"/>
    <cellStyle name="asd 8 3 4 2 16" xfId="32238"/>
    <cellStyle name="asd 8 3 4 2 17" xfId="35017"/>
    <cellStyle name="asd 8 3 4 2 18" xfId="36884"/>
    <cellStyle name="asd 8 3 4 2 19" xfId="38763"/>
    <cellStyle name="asd 8 3 4 2 2" xfId="7454"/>
    <cellStyle name="asd 8 3 4 2 20" xfId="39456"/>
    <cellStyle name="asd 8 3 4 2 21" xfId="41131"/>
    <cellStyle name="asd 8 3 4 2 22" xfId="42920"/>
    <cellStyle name="asd 8 3 4 2 3" xfId="8908"/>
    <cellStyle name="asd 8 3 4 2 4" xfId="10818"/>
    <cellStyle name="asd 8 3 4 2 5" xfId="10922"/>
    <cellStyle name="asd 8 3 4 2 6" xfId="13613"/>
    <cellStyle name="asd 8 3 4 2 7" xfId="15516"/>
    <cellStyle name="asd 8 3 4 2 8" xfId="18437"/>
    <cellStyle name="asd 8 3 4 2 9" xfId="20343"/>
    <cellStyle name="asd 8 3 4 20" xfId="38155"/>
    <cellStyle name="asd 8 3 4 21" xfId="33632"/>
    <cellStyle name="asd 8 3 4 22" xfId="38832"/>
    <cellStyle name="asd 8 3 4 23" xfId="43937"/>
    <cellStyle name="asd 8 3 4 3" xfId="6846"/>
    <cellStyle name="asd 8 3 4 4" xfId="8300"/>
    <cellStyle name="asd 8 3 4 5" xfId="10210"/>
    <cellStyle name="asd 8 3 4 6" xfId="12159"/>
    <cellStyle name="asd 8 3 4 7" xfId="14671"/>
    <cellStyle name="asd 8 3 4 8" xfId="16577"/>
    <cellStyle name="asd 8 3 4 9" xfId="17829"/>
    <cellStyle name="asd 8 3 5" xfId="4952"/>
    <cellStyle name="asd 8 3 5 10" xfId="21200"/>
    <cellStyle name="asd 8 3 5 11" xfId="22432"/>
    <cellStyle name="asd 8 3 5 12" xfId="25002"/>
    <cellStyle name="asd 8 3 5 13" xfId="26922"/>
    <cellStyle name="asd 8 3 5 14" xfId="29450"/>
    <cellStyle name="asd 8 3 5 15" xfId="30517"/>
    <cellStyle name="asd 8 3 5 16" xfId="33250"/>
    <cellStyle name="asd 8 3 5 17" xfId="34342"/>
    <cellStyle name="asd 8 3 5 18" xfId="35829"/>
    <cellStyle name="asd 8 3 5 19" xfId="37708"/>
    <cellStyle name="asd 8 3 5 2" xfId="6402"/>
    <cellStyle name="asd 8 3 5 20" xfId="40437"/>
    <cellStyle name="asd 8 3 5 21" xfId="42092"/>
    <cellStyle name="asd 8 3 5 22" xfId="42243"/>
    <cellStyle name="asd 8 3 5 3" xfId="7853"/>
    <cellStyle name="asd 8 3 5 4" xfId="9763"/>
    <cellStyle name="asd 8 3 5 5" xfId="1833"/>
    <cellStyle name="asd 8 3 5 6" xfId="12900"/>
    <cellStyle name="asd 8 3 5 7" xfId="14805"/>
    <cellStyle name="asd 8 3 5 8" xfId="17382"/>
    <cellStyle name="asd 8 3 5 9" xfId="19288"/>
    <cellStyle name="asd 8 3 6" xfId="5486"/>
    <cellStyle name="asd 8 3 6 10" xfId="21736"/>
    <cellStyle name="asd 8 3 6 11" xfId="23828"/>
    <cellStyle name="asd 8 3 6 12" xfId="25538"/>
    <cellStyle name="asd 8 3 6 13" xfId="26728"/>
    <cellStyle name="asd 8 3 6 14" xfId="12536"/>
    <cellStyle name="asd 8 3 6 15" xfId="30328"/>
    <cellStyle name="asd 8 3 6 16" xfId="31751"/>
    <cellStyle name="asd 8 3 6 17" xfId="34882"/>
    <cellStyle name="asd 8 3 6 18" xfId="36365"/>
    <cellStyle name="asd 8 3 6 19" xfId="38244"/>
    <cellStyle name="asd 8 3 6 2" xfId="6935"/>
    <cellStyle name="asd 8 3 6 20" xfId="38991"/>
    <cellStyle name="asd 8 3 6 21" xfId="40674"/>
    <cellStyle name="asd 8 3 6 22" xfId="43579"/>
    <cellStyle name="asd 8 3 6 3" xfId="8389"/>
    <cellStyle name="asd 8 3 6 4" xfId="10299"/>
    <cellStyle name="asd 8 3 6 5" xfId="12635"/>
    <cellStyle name="asd 8 3 6 6" xfId="14298"/>
    <cellStyle name="asd 8 3 6 7" xfId="16202"/>
    <cellStyle name="asd 8 3 6 8" xfId="17918"/>
    <cellStyle name="asd 8 3 6 9" xfId="19824"/>
    <cellStyle name="asd 8 3 7" xfId="6205"/>
    <cellStyle name="asd 8 3 8" xfId="9267"/>
    <cellStyle name="asd 8 3 9" xfId="11195"/>
    <cellStyle name="asd 8 4" xfId="3517"/>
    <cellStyle name="asd 8 4 10" xfId="15033"/>
    <cellStyle name="asd 8 4 11" xfId="17021"/>
    <cellStyle name="asd 8 4 12" xfId="18928"/>
    <cellStyle name="asd 8 4 13" xfId="20840"/>
    <cellStyle name="asd 8 4 14" xfId="22661"/>
    <cellStyle name="asd 8 4 15" xfId="24642"/>
    <cellStyle name="asd 8 4 16" xfId="26159"/>
    <cellStyle name="asd 8 4 17" xfId="18528"/>
    <cellStyle name="asd 8 4 18" xfId="29773"/>
    <cellStyle name="asd 8 4 19" xfId="31979"/>
    <cellStyle name="asd 8 4 2" xfId="3697"/>
    <cellStyle name="asd 8 4 2 10" xfId="17588"/>
    <cellStyle name="asd 8 4 2 11" xfId="19494"/>
    <cellStyle name="asd 8 4 2 12" xfId="21406"/>
    <cellStyle name="asd 8 4 2 13" xfId="23762"/>
    <cellStyle name="asd 8 4 2 14" xfId="25208"/>
    <cellStyle name="asd 8 4 2 15" xfId="26737"/>
    <cellStyle name="asd 8 4 2 16" xfId="28912"/>
    <cellStyle name="asd 8 4 2 17" xfId="30337"/>
    <cellStyle name="asd 8 4 2 18" xfId="32180"/>
    <cellStyle name="asd 8 4 2 19" xfId="34191"/>
    <cellStyle name="asd 8 4 2 2" xfId="5764"/>
    <cellStyle name="asd 8 4 2 2 10" xfId="22014"/>
    <cellStyle name="asd 8 4 2 2 11" xfId="22696"/>
    <cellStyle name="asd 8 4 2 2 12" xfId="25816"/>
    <cellStyle name="asd 8 4 2 2 13" xfId="27915"/>
    <cellStyle name="asd 8 4 2 2 14" xfId="28457"/>
    <cellStyle name="asd 8 4 2 2 15" xfId="31497"/>
    <cellStyle name="asd 8 4 2 2 16" xfId="32383"/>
    <cellStyle name="asd 8 4 2 2 17" xfId="35034"/>
    <cellStyle name="asd 8 4 2 2 18" xfId="36643"/>
    <cellStyle name="asd 8 4 2 2 19" xfId="38522"/>
    <cellStyle name="asd 8 4 2 2 2" xfId="7213"/>
    <cellStyle name="asd 8 4 2 2 20" xfId="39601"/>
    <cellStyle name="asd 8 4 2 2 21" xfId="41275"/>
    <cellStyle name="asd 8 4 2 2 22" xfId="42498"/>
    <cellStyle name="asd 8 4 2 2 3" xfId="8667"/>
    <cellStyle name="asd 8 4 2 2 4" xfId="10577"/>
    <cellStyle name="asd 8 4 2 2 5" xfId="11738"/>
    <cellStyle name="asd 8 4 2 2 6" xfId="13164"/>
    <cellStyle name="asd 8 4 2 2 7" xfId="15069"/>
    <cellStyle name="asd 8 4 2 2 8" xfId="18196"/>
    <cellStyle name="asd 8 4 2 2 9" xfId="20102"/>
    <cellStyle name="asd 8 4 2 20" xfId="36035"/>
    <cellStyle name="asd 8 4 2 21" xfId="37914"/>
    <cellStyle name="asd 8 4 2 22" xfId="39402"/>
    <cellStyle name="asd 8 4 2 23" xfId="41078"/>
    <cellStyle name="asd 8 4 2 24" xfId="43515"/>
    <cellStyle name="asd 8 4 2 3" xfId="5158"/>
    <cellStyle name="asd 8 4 2 4" xfId="6608"/>
    <cellStyle name="asd 8 4 2 5" xfId="8059"/>
    <cellStyle name="asd 8 4 2 6" xfId="9969"/>
    <cellStyle name="asd 8 4 2 7" xfId="12676"/>
    <cellStyle name="asd 8 4 2 8" xfId="14232"/>
    <cellStyle name="asd 8 4 2 9" xfId="16136"/>
    <cellStyle name="asd 8 4 20" xfId="34426"/>
    <cellStyle name="asd 8 4 21" xfId="35470"/>
    <cellStyle name="asd 8 4 22" xfId="37348"/>
    <cellStyle name="asd 8 4 23" xfId="39210"/>
    <cellStyle name="asd 8 4 24" xfId="40890"/>
    <cellStyle name="asd 8 4 25" xfId="42467"/>
    <cellStyle name="asd 8 4 3" xfId="2993"/>
    <cellStyle name="asd 8 4 3 10" xfId="19134"/>
    <cellStyle name="asd 8 4 3 11" xfId="21046"/>
    <cellStyle name="asd 8 4 3 12" xfId="24024"/>
    <cellStyle name="asd 8 4 3 13" xfId="24848"/>
    <cellStyle name="asd 8 4 3 14" xfId="27601"/>
    <cellStyle name="asd 8 4 3 15" xfId="28819"/>
    <cellStyle name="asd 8 4 3 16" xfId="31179"/>
    <cellStyle name="asd 8 4 3 17" xfId="32314"/>
    <cellStyle name="asd 8 4 3 18" xfId="34290"/>
    <cellStyle name="asd 8 4 3 19" xfId="35675"/>
    <cellStyle name="asd 8 4 3 2" xfId="4393"/>
    <cellStyle name="asd 8 4 3 2 10" xfId="20637"/>
    <cellStyle name="asd 8 4 3 2 11" xfId="23353"/>
    <cellStyle name="asd 8 4 3 2 12" xfId="24439"/>
    <cellStyle name="asd 8 4 3 2 13" xfId="26557"/>
    <cellStyle name="asd 8 4 3 2 14" xfId="29698"/>
    <cellStyle name="asd 8 4 3 2 15" xfId="30162"/>
    <cellStyle name="asd 8 4 3 2 16" xfId="33117"/>
    <cellStyle name="asd 8 4 3 2 17" xfId="34859"/>
    <cellStyle name="asd 8 4 3 2 18" xfId="35267"/>
    <cellStyle name="asd 8 4 3 2 19" xfId="37145"/>
    <cellStyle name="asd 8 4 3 2 2" xfId="2796"/>
    <cellStyle name="asd 8 4 3 2 20" xfId="40311"/>
    <cellStyle name="asd 8 4 3 2 21" xfId="41967"/>
    <cellStyle name="asd 8 4 3 2 22" xfId="43123"/>
    <cellStyle name="asd 8 4 3 2 3" xfId="2368"/>
    <cellStyle name="asd 8 4 3 2 4" xfId="9199"/>
    <cellStyle name="asd 8 4 3 2 5" xfId="12334"/>
    <cellStyle name="asd 8 4 3 2 6" xfId="13825"/>
    <cellStyle name="asd 8 4 3 2 7" xfId="15727"/>
    <cellStyle name="asd 8 4 3 2 8" xfId="16818"/>
    <cellStyle name="asd 8 4 3 2 9" xfId="18725"/>
    <cellStyle name="asd 8 4 3 20" xfId="37554"/>
    <cellStyle name="asd 8 4 3 21" xfId="39533"/>
    <cellStyle name="asd 8 4 3 22" xfId="41207"/>
    <cellStyle name="asd 8 4 3 23" xfId="43768"/>
    <cellStyle name="asd 8 4 3 3" xfId="4798"/>
    <cellStyle name="asd 8 4 3 4" xfId="7699"/>
    <cellStyle name="asd 8 4 3 5" xfId="9609"/>
    <cellStyle name="asd 8 4 3 6" xfId="11983"/>
    <cellStyle name="asd 8 4 3 7" xfId="14494"/>
    <cellStyle name="asd 8 4 3 8" xfId="16400"/>
    <cellStyle name="asd 8 4 3 9" xfId="17228"/>
    <cellStyle name="asd 8 4 4" xfId="4149"/>
    <cellStyle name="asd 8 4 4 10" xfId="19784"/>
    <cellStyle name="asd 8 4 4 11" xfId="21696"/>
    <cellStyle name="asd 8 4 4 12" xfId="15852"/>
    <cellStyle name="asd 8 4 4 13" xfId="25498"/>
    <cellStyle name="asd 8 4 4 14" xfId="26120"/>
    <cellStyle name="asd 8 4 4 15" xfId="1779"/>
    <cellStyle name="asd 8 4 4 16" xfId="29732"/>
    <cellStyle name="asd 8 4 4 17" xfId="2811"/>
    <cellStyle name="asd 8 4 4 18" xfId="28331"/>
    <cellStyle name="asd 8 4 4 19" xfId="36325"/>
    <cellStyle name="asd 8 4 4 2" xfId="6054"/>
    <cellStyle name="asd 8 4 4 2 10" xfId="22304"/>
    <cellStyle name="asd 8 4 4 2 11" xfId="20875"/>
    <cellStyle name="asd 8 4 4 2 12" xfId="26106"/>
    <cellStyle name="asd 8 4 4 2 13" xfId="2395"/>
    <cellStyle name="asd 8 4 4 2 14" xfId="29332"/>
    <cellStyle name="asd 8 4 4 2 15" xfId="6653"/>
    <cellStyle name="asd 8 4 4 2 16" xfId="29697"/>
    <cellStyle name="asd 8 4 4 2 17" xfId="29027"/>
    <cellStyle name="asd 8 4 4 2 18" xfId="36933"/>
    <cellStyle name="asd 8 4 4 2 19" xfId="38812"/>
    <cellStyle name="asd 8 4 4 2 2" xfId="7503"/>
    <cellStyle name="asd 8 4 4 2 20" xfId="34319"/>
    <cellStyle name="asd 8 4 4 2 21" xfId="40272"/>
    <cellStyle name="asd 8 4 4 2 22" xfId="32998"/>
    <cellStyle name="asd 8 4 4 2 3" xfId="8957"/>
    <cellStyle name="asd 8 4 4 2 4" xfId="10867"/>
    <cellStyle name="asd 8 4 4 2 5" xfId="1872"/>
    <cellStyle name="asd 8 4 4 2 6" xfId="2207"/>
    <cellStyle name="asd 8 4 4 2 7" xfId="2441"/>
    <cellStyle name="asd 8 4 4 2 8" xfId="18486"/>
    <cellStyle name="asd 8 4 4 2 9" xfId="20392"/>
    <cellStyle name="asd 8 4 4 20" xfId="38204"/>
    <cellStyle name="asd 8 4 4 21" xfId="3115"/>
    <cellStyle name="asd 8 4 4 22" xfId="31770"/>
    <cellStyle name="asd 8 4 4 23" xfId="38871"/>
    <cellStyle name="asd 8 4 4 3" xfId="6895"/>
    <cellStyle name="asd 8 4 4 4" xfId="8349"/>
    <cellStyle name="asd 8 4 4 5" xfId="10259"/>
    <cellStyle name="asd 8 4 4 6" xfId="12181"/>
    <cellStyle name="asd 8 4 4 7" xfId="1940"/>
    <cellStyle name="asd 8 4 4 8" xfId="2110"/>
    <cellStyle name="asd 8 4 4 9" xfId="17878"/>
    <cellStyle name="asd 8 4 5" xfId="5732"/>
    <cellStyle name="asd 8 4 5 10" xfId="21982"/>
    <cellStyle name="asd 8 4 5 11" xfId="23227"/>
    <cellStyle name="asd 8 4 5 12" xfId="25784"/>
    <cellStyle name="asd 8 4 5 13" xfId="27261"/>
    <cellStyle name="asd 8 4 5 14" xfId="24208"/>
    <cellStyle name="asd 8 4 5 15" xfId="30852"/>
    <cellStyle name="asd 8 4 5 16" xfId="32712"/>
    <cellStyle name="asd 8 4 5 17" xfId="34873"/>
    <cellStyle name="asd 8 4 5 18" xfId="36611"/>
    <cellStyle name="asd 8 4 5 19" xfId="38490"/>
    <cellStyle name="asd 8 4 5 2" xfId="7181"/>
    <cellStyle name="asd 8 4 5 20" xfId="39922"/>
    <cellStyle name="asd 8 4 5 21" xfId="41589"/>
    <cellStyle name="asd 8 4 5 22" xfId="43004"/>
    <cellStyle name="asd 8 4 5 3" xfId="8635"/>
    <cellStyle name="asd 8 4 5 4" xfId="10545"/>
    <cellStyle name="asd 8 4 5 5" xfId="11109"/>
    <cellStyle name="asd 8 4 5 6" xfId="13699"/>
    <cellStyle name="asd 8 4 5 7" xfId="15601"/>
    <cellStyle name="asd 8 4 5 8" xfId="18164"/>
    <cellStyle name="asd 8 4 5 9" xfId="20070"/>
    <cellStyle name="asd 8 4 6" xfId="1823"/>
    <cellStyle name="asd 8 4 7" xfId="9402"/>
    <cellStyle name="asd 8 4 8" xfId="11436"/>
    <cellStyle name="asd 8 4 9" xfId="13128"/>
    <cellStyle name="asd 8 5" xfId="2056"/>
    <cellStyle name="asd 8 5 10" xfId="17101"/>
    <cellStyle name="asd 8 5 11" xfId="19007"/>
    <cellStyle name="asd 8 5 12" xfId="20919"/>
    <cellStyle name="asd 8 5 13" xfId="22458"/>
    <cellStyle name="asd 8 5 14" xfId="24721"/>
    <cellStyle name="asd 8 5 15" xfId="27381"/>
    <cellStyle name="asd 8 5 16" xfId="14700"/>
    <cellStyle name="asd 8 5 17" xfId="30967"/>
    <cellStyle name="asd 8 5 18" xfId="2266"/>
    <cellStyle name="asd 8 5 19" xfId="33339"/>
    <cellStyle name="asd 8 5 2" xfId="4347"/>
    <cellStyle name="asd 8 5 2 10" xfId="20583"/>
    <cellStyle name="asd 8 5 2 11" xfId="24124"/>
    <cellStyle name="asd 8 5 2 12" xfId="24385"/>
    <cellStyle name="asd 8 5 2 13" xfId="26397"/>
    <cellStyle name="asd 8 5 2 14" xfId="29399"/>
    <cellStyle name="asd 8 5 2 15" xfId="30005"/>
    <cellStyle name="asd 8 5 2 16" xfId="33100"/>
    <cellStyle name="asd 8 5 2 17" xfId="33504"/>
    <cellStyle name="asd 8 5 2 18" xfId="35213"/>
    <cellStyle name="asd 8 5 2 19" xfId="37091"/>
    <cellStyle name="asd 8 5 2 2" xfId="5302"/>
    <cellStyle name="asd 8 5 2 20" xfId="40296"/>
    <cellStyle name="asd 8 5 2 21" xfId="41952"/>
    <cellStyle name="asd 8 5 2 22" xfId="43867"/>
    <cellStyle name="asd 8 5 2 3" xfId="6185"/>
    <cellStyle name="asd 8 5 2 4" xfId="9145"/>
    <cellStyle name="asd 8 5 2 5" xfId="12084"/>
    <cellStyle name="asd 8 5 2 6" xfId="14595"/>
    <cellStyle name="asd 8 5 2 7" xfId="16501"/>
    <cellStyle name="asd 8 5 2 8" xfId="16764"/>
    <cellStyle name="asd 8 5 2 9" xfId="18671"/>
    <cellStyle name="asd 8 5 20" xfId="35548"/>
    <cellStyle name="asd 8 5 21" xfId="37427"/>
    <cellStyle name="asd 8 5 22" xfId="34719"/>
    <cellStyle name="asd 8 5 23" xfId="29742"/>
    <cellStyle name="asd 8 5 24" xfId="42269"/>
    <cellStyle name="asd 8 5 3" xfId="4674"/>
    <cellStyle name="asd 8 5 4" xfId="6121"/>
    <cellStyle name="asd 8 5 5" xfId="7572"/>
    <cellStyle name="asd 8 5 6" xfId="9482"/>
    <cellStyle name="asd 8 5 7" xfId="11693"/>
    <cellStyle name="asd 8 5 8" xfId="12926"/>
    <cellStyle name="asd 8 5 9" xfId="14831"/>
    <cellStyle name="asd 8 6" xfId="2873"/>
    <cellStyle name="asd 8 6 10" xfId="19122"/>
    <cellStyle name="asd 8 6 11" xfId="21034"/>
    <cellStyle name="asd 8 6 12" xfId="23244"/>
    <cellStyle name="asd 8 6 13" xfId="24836"/>
    <cellStyle name="asd 8 6 14" xfId="26610"/>
    <cellStyle name="asd 8 6 15" xfId="28067"/>
    <cellStyle name="asd 8 6 16" xfId="30213"/>
    <cellStyle name="asd 8 6 17" xfId="31982"/>
    <cellStyle name="asd 8 6 18" xfId="34763"/>
    <cellStyle name="asd 8 6 19" xfId="35663"/>
    <cellStyle name="asd 8 6 2" xfId="4579"/>
    <cellStyle name="asd 8 6 2 10" xfId="20824"/>
    <cellStyle name="asd 8 6 2 11" xfId="23477"/>
    <cellStyle name="asd 8 6 2 12" xfId="24626"/>
    <cellStyle name="asd 8 6 2 13" xfId="27045"/>
    <cellStyle name="asd 8 6 2 14" xfId="29650"/>
    <cellStyle name="asd 8 6 2 15" xfId="30638"/>
    <cellStyle name="asd 8 6 2 16" xfId="33231"/>
    <cellStyle name="asd 8 6 2 17" xfId="35029"/>
    <cellStyle name="asd 8 6 2 18" xfId="35454"/>
    <cellStyle name="asd 8 6 2 19" xfId="37332"/>
    <cellStyle name="asd 8 6 2 2" xfId="4403"/>
    <cellStyle name="asd 8 6 2 20" xfId="40420"/>
    <cellStyle name="asd 8 6 2 21" xfId="42076"/>
    <cellStyle name="asd 8 6 2 22" xfId="43244"/>
    <cellStyle name="asd 8 6 2 3" xfId="5361"/>
    <cellStyle name="asd 8 6 2 4" xfId="9386"/>
    <cellStyle name="asd 8 6 2 5" xfId="12517"/>
    <cellStyle name="asd 8 6 2 6" xfId="13949"/>
    <cellStyle name="asd 8 6 2 7" xfId="15850"/>
    <cellStyle name="asd 8 6 2 8" xfId="17005"/>
    <cellStyle name="asd 8 6 2 9" xfId="18912"/>
    <cellStyle name="asd 8 6 20" xfId="37542"/>
    <cellStyle name="asd 8 6 21" xfId="39212"/>
    <cellStyle name="asd 8 6 22" xfId="40892"/>
    <cellStyle name="asd 8 6 23" xfId="43021"/>
    <cellStyle name="asd 8 6 3" xfId="4787"/>
    <cellStyle name="asd 8 6 4" xfId="7687"/>
    <cellStyle name="asd 8 6 5" xfId="9597"/>
    <cellStyle name="asd 8 6 6" xfId="11138"/>
    <cellStyle name="asd 8 6 7" xfId="13716"/>
    <cellStyle name="asd 8 6 8" xfId="15618"/>
    <cellStyle name="asd 8 6 9" xfId="17216"/>
    <cellStyle name="asd 8 7" xfId="2853"/>
    <cellStyle name="asd 8 7 10" xfId="19118"/>
    <cellStyle name="asd 8 7 11" xfId="21030"/>
    <cellStyle name="asd 8 7 12" xfId="23534"/>
    <cellStyle name="asd 8 7 13" xfId="24832"/>
    <cellStyle name="asd 8 7 14" xfId="26637"/>
    <cellStyle name="asd 8 7 15" xfId="29037"/>
    <cellStyle name="asd 8 7 16" xfId="30240"/>
    <cellStyle name="asd 8 7 17" xfId="31962"/>
    <cellStyle name="asd 8 7 18" xfId="34197"/>
    <cellStyle name="asd 8 7 19" xfId="35659"/>
    <cellStyle name="asd 8 7 2" xfId="5491"/>
    <cellStyle name="asd 8 7 2 10" xfId="21741"/>
    <cellStyle name="asd 8 7 2 11" xfId="23653"/>
    <cellStyle name="asd 8 7 2 12" xfId="25543"/>
    <cellStyle name="asd 8 7 2 13" xfId="26572"/>
    <cellStyle name="asd 8 7 2 14" xfId="1919"/>
    <cellStyle name="asd 8 7 2 15" xfId="30174"/>
    <cellStyle name="asd 8 7 2 16" xfId="32984"/>
    <cellStyle name="asd 8 7 2 17" xfId="34955"/>
    <cellStyle name="asd 8 7 2 18" xfId="36370"/>
    <cellStyle name="asd 8 7 2 19" xfId="38249"/>
    <cellStyle name="asd 8 7 2 2" xfId="6940"/>
    <cellStyle name="asd 8 7 2 20" xfId="40185"/>
    <cellStyle name="asd 8 7 2 21" xfId="41844"/>
    <cellStyle name="asd 8 7 2 22" xfId="43411"/>
    <cellStyle name="asd 8 7 2 3" xfId="8394"/>
    <cellStyle name="asd 8 7 2 4" xfId="10304"/>
    <cellStyle name="asd 8 7 2 5" xfId="11746"/>
    <cellStyle name="asd 8 7 2 6" xfId="14123"/>
    <cellStyle name="asd 8 7 2 7" xfId="16026"/>
    <cellStyle name="asd 8 7 2 8" xfId="17923"/>
    <cellStyle name="asd 8 7 2 9" xfId="19829"/>
    <cellStyle name="asd 8 7 20" xfId="37538"/>
    <cellStyle name="asd 8 7 21" xfId="39191"/>
    <cellStyle name="asd 8 7 22" xfId="40872"/>
    <cellStyle name="asd 8 7 23" xfId="43299"/>
    <cellStyle name="asd 8 7 3" xfId="6232"/>
    <cellStyle name="asd 8 7 4" xfId="7683"/>
    <cellStyle name="asd 8 7 5" xfId="9593"/>
    <cellStyle name="asd 8 7 6" xfId="11088"/>
    <cellStyle name="asd 8 7 7" xfId="14006"/>
    <cellStyle name="asd 8 7 8" xfId="15907"/>
    <cellStyle name="asd 8 7 9" xfId="17212"/>
    <cellStyle name="asd 8 8" xfId="3787"/>
    <cellStyle name="asd 8 9" xfId="4205"/>
    <cellStyle name="asd 9" xfId="737"/>
    <cellStyle name="asd 9 10" xfId="1865"/>
    <cellStyle name="asd 9 11" xfId="11342"/>
    <cellStyle name="asd 9 12" xfId="8986"/>
    <cellStyle name="asd 9 13" xfId="2966"/>
    <cellStyle name="asd 9 14" xfId="2357"/>
    <cellStyle name="asd 9 15" xfId="2174"/>
    <cellStyle name="asd 9 16" xfId="2901"/>
    <cellStyle name="asd 9 17" xfId="2286"/>
    <cellStyle name="asd 9 18" xfId="3751"/>
    <cellStyle name="asd 9 19" xfId="27580"/>
    <cellStyle name="asd 9 2" xfId="3358"/>
    <cellStyle name="asd 9 2 10" xfId="14660"/>
    <cellStyle name="asd 9 2 11" xfId="16566"/>
    <cellStyle name="asd 9 2 12" xfId="16650"/>
    <cellStyle name="asd 9 2 13" xfId="18557"/>
    <cellStyle name="asd 9 2 14" xfId="20469"/>
    <cellStyle name="asd 9 2 15" xfId="24188"/>
    <cellStyle name="asd 9 2 16" xfId="24271"/>
    <cellStyle name="asd 9 2 17" xfId="12419"/>
    <cellStyle name="asd 9 2 18" xfId="3089"/>
    <cellStyle name="asd 9 2 19" xfId="29255"/>
    <cellStyle name="asd 9 2 2" xfId="3538"/>
    <cellStyle name="asd 9 2 2 10" xfId="17429"/>
    <cellStyle name="asd 9 2 2 11" xfId="19335"/>
    <cellStyle name="asd 9 2 2 12" xfId="21247"/>
    <cellStyle name="asd 9 2 2 13" xfId="23161"/>
    <cellStyle name="asd 9 2 2 14" xfId="25049"/>
    <cellStyle name="asd 9 2 2 15" xfId="27905"/>
    <cellStyle name="asd 9 2 2 16" xfId="28677"/>
    <cellStyle name="asd 9 2 2 17" xfId="31487"/>
    <cellStyle name="asd 9 2 2 18" xfId="32778"/>
    <cellStyle name="asd 9 2 2 19" xfId="34857"/>
    <cellStyle name="asd 9 2 2 2" xfId="4548"/>
    <cellStyle name="asd 9 2 2 2 10" xfId="20793"/>
    <cellStyle name="asd 9 2 2 2 11" xfId="22960"/>
    <cellStyle name="asd 9 2 2 2 12" xfId="24595"/>
    <cellStyle name="asd 9 2 2 2 13" xfId="27696"/>
    <cellStyle name="asd 9 2 2 2 14" xfId="28562"/>
    <cellStyle name="asd 9 2 2 2 15" xfId="31270"/>
    <cellStyle name="asd 9 2 2 2 16" xfId="31656"/>
    <cellStyle name="asd 9 2 2 2 17" xfId="35006"/>
    <cellStyle name="asd 9 2 2 2 18" xfId="35423"/>
    <cellStyle name="asd 9 2 2 2 19" xfId="37301"/>
    <cellStyle name="asd 9 2 2 2 2" xfId="5366"/>
    <cellStyle name="asd 9 2 2 2 20" xfId="38901"/>
    <cellStyle name="asd 9 2 2 2 21" xfId="40586"/>
    <cellStyle name="asd 9 2 2 2 22" xfId="42746"/>
    <cellStyle name="asd 9 2 2 2 3" xfId="6640"/>
    <cellStyle name="asd 9 2 2 2 4" xfId="9355"/>
    <cellStyle name="asd 9 2 2 2 5" xfId="12392"/>
    <cellStyle name="asd 9 2 2 2 6" xfId="13429"/>
    <cellStyle name="asd 9 2 2 2 7" xfId="15334"/>
    <cellStyle name="asd 9 2 2 2 8" xfId="16974"/>
    <cellStyle name="asd 9 2 2 2 9" xfId="18881"/>
    <cellStyle name="asd 9 2 2 20" xfId="35876"/>
    <cellStyle name="asd 9 2 2 21" xfId="37755"/>
    <cellStyle name="asd 9 2 2 22" xfId="39987"/>
    <cellStyle name="asd 9 2 2 23" xfId="41651"/>
    <cellStyle name="asd 9 2 2 24" xfId="42939"/>
    <cellStyle name="asd 9 2 2 3" xfId="4999"/>
    <cellStyle name="asd 9 2 2 4" xfId="6449"/>
    <cellStyle name="asd 9 2 2 5" xfId="7900"/>
    <cellStyle name="asd 9 2 2 6" xfId="9810"/>
    <cellStyle name="asd 9 2 2 7" xfId="10968"/>
    <cellStyle name="asd 9 2 2 8" xfId="13632"/>
    <cellStyle name="asd 9 2 2 9" xfId="15535"/>
    <cellStyle name="asd 9 2 20" xfId="29583"/>
    <cellStyle name="asd 9 2 21" xfId="26438"/>
    <cellStyle name="asd 9 2 22" xfId="35099"/>
    <cellStyle name="asd 9 2 23" xfId="36977"/>
    <cellStyle name="asd 9 2 24" xfId="5289"/>
    <cellStyle name="asd 9 2 25" xfId="36954"/>
    <cellStyle name="asd 9 2 26" xfId="43927"/>
    <cellStyle name="asd 9 2 3" xfId="3845"/>
    <cellStyle name="asd 9 2 3 10" xfId="19568"/>
    <cellStyle name="asd 9 2 3 11" xfId="21480"/>
    <cellStyle name="asd 9 2 3 12" xfId="22384"/>
    <cellStyle name="asd 9 2 3 13" xfId="25282"/>
    <cellStyle name="asd 9 2 3 14" xfId="2521"/>
    <cellStyle name="asd 9 2 3 15" xfId="26137"/>
    <cellStyle name="asd 9 2 3 16" xfId="14702"/>
    <cellStyle name="asd 9 2 3 17" xfId="2183"/>
    <cellStyle name="asd 9 2 3 18" xfId="29670"/>
    <cellStyle name="asd 9 2 3 19" xfId="36109"/>
    <cellStyle name="asd 9 2 3 2" xfId="5838"/>
    <cellStyle name="asd 9 2 3 2 10" xfId="22088"/>
    <cellStyle name="asd 9 2 3 2 11" xfId="23412"/>
    <cellStyle name="asd 9 2 3 2 12" xfId="25890"/>
    <cellStyle name="asd 9 2 3 2 13" xfId="26331"/>
    <cellStyle name="asd 9 2 3 2 14" xfId="28102"/>
    <cellStyle name="asd 9 2 3 2 15" xfId="29939"/>
    <cellStyle name="asd 9 2 3 2 16" xfId="32999"/>
    <cellStyle name="asd 9 2 3 2 17" xfId="33702"/>
    <cellStyle name="asd 9 2 3 2 18" xfId="36717"/>
    <cellStyle name="asd 9 2 3 2 19" xfId="38596"/>
    <cellStyle name="asd 9 2 3 2 2" xfId="7287"/>
    <cellStyle name="asd 9 2 3 2 20" xfId="40199"/>
    <cellStyle name="asd 9 2 3 2 21" xfId="41858"/>
    <cellStyle name="asd 9 2 3 2 22" xfId="43179"/>
    <cellStyle name="asd 9 2 3 2 3" xfId="8741"/>
    <cellStyle name="asd 9 2 3 2 4" xfId="10651"/>
    <cellStyle name="asd 9 2 3 2 5" xfId="11187"/>
    <cellStyle name="asd 9 2 3 2 6" xfId="13884"/>
    <cellStyle name="asd 9 2 3 2 7" xfId="15785"/>
    <cellStyle name="asd 9 2 3 2 8" xfId="18270"/>
    <cellStyle name="asd 9 2 3 2 9" xfId="20176"/>
    <cellStyle name="asd 9 2 3 20" xfId="37988"/>
    <cellStyle name="asd 9 2 3 21" xfId="30418"/>
    <cellStyle name="asd 9 2 3 22" xfId="34549"/>
    <cellStyle name="asd 9 2 3 23" xfId="42195"/>
    <cellStyle name="asd 9 2 3 3" xfId="5232"/>
    <cellStyle name="asd 9 2 3 4" xfId="8133"/>
    <cellStyle name="asd 9 2 3 5" xfId="10043"/>
    <cellStyle name="asd 9 2 3 6" xfId="11700"/>
    <cellStyle name="asd 9 2 3 7" xfId="12851"/>
    <cellStyle name="asd 9 2 3 8" xfId="14756"/>
    <cellStyle name="asd 9 2 3 9" xfId="17662"/>
    <cellStyle name="asd 9 2 4" xfId="3990"/>
    <cellStyle name="asd 9 2 4 10" xfId="19625"/>
    <cellStyle name="asd 9 2 4 11" xfId="21537"/>
    <cellStyle name="asd 9 2 4 12" xfId="23016"/>
    <cellStyle name="asd 9 2 4 13" xfId="25339"/>
    <cellStyle name="asd 9 2 4 14" xfId="27577"/>
    <cellStyle name="asd 9 2 4 15" xfId="28351"/>
    <cellStyle name="asd 9 2 4 16" xfId="31156"/>
    <cellStyle name="asd 9 2 4 17" xfId="32791"/>
    <cellStyle name="asd 9 2 4 18" xfId="33436"/>
    <cellStyle name="asd 9 2 4 19" xfId="36166"/>
    <cellStyle name="asd 9 2 4 2" xfId="5895"/>
    <cellStyle name="asd 9 2 4 2 10" xfId="22145"/>
    <cellStyle name="asd 9 2 4 2 11" xfId="22932"/>
    <cellStyle name="asd 9 2 4 2 12" xfId="25947"/>
    <cellStyle name="asd 9 2 4 2 13" xfId="26884"/>
    <cellStyle name="asd 9 2 4 2 14" xfId="28212"/>
    <cellStyle name="asd 9 2 4 2 15" xfId="30481"/>
    <cellStyle name="asd 9 2 4 2 16" xfId="32907"/>
    <cellStyle name="asd 9 2 4 2 17" xfId="34403"/>
    <cellStyle name="asd 9 2 4 2 18" xfId="36774"/>
    <cellStyle name="asd 9 2 4 2 19" xfId="38653"/>
    <cellStyle name="asd 9 2 4 2 2" xfId="7344"/>
    <cellStyle name="asd 9 2 4 2 20" xfId="40111"/>
    <cellStyle name="asd 9 2 4 2 21" xfId="41771"/>
    <cellStyle name="asd 9 2 4 2 22" xfId="42718"/>
    <cellStyle name="asd 9 2 4 2 3" xfId="8798"/>
    <cellStyle name="asd 9 2 4 2 4" xfId="10708"/>
    <cellStyle name="asd 9 2 4 2 5" xfId="11269"/>
    <cellStyle name="asd 9 2 4 2 6" xfId="13400"/>
    <cellStyle name="asd 9 2 4 2 7" xfId="15305"/>
    <cellStyle name="asd 9 2 4 2 8" xfId="18327"/>
    <cellStyle name="asd 9 2 4 2 9" xfId="20233"/>
    <cellStyle name="asd 9 2 4 20" xfId="38045"/>
    <cellStyle name="asd 9 2 4 21" xfId="40000"/>
    <cellStyle name="asd 9 2 4 22" xfId="41664"/>
    <cellStyle name="asd 9 2 4 23" xfId="42799"/>
    <cellStyle name="asd 9 2 4 3" xfId="6736"/>
    <cellStyle name="asd 9 2 4 4" xfId="8190"/>
    <cellStyle name="asd 9 2 4 5" xfId="10100"/>
    <cellStyle name="asd 9 2 4 6" xfId="12366"/>
    <cellStyle name="asd 9 2 4 7" xfId="13486"/>
    <cellStyle name="asd 9 2 4 8" xfId="15390"/>
    <cellStyle name="asd 9 2 4 9" xfId="17719"/>
    <cellStyle name="asd 9 2 5" xfId="4870"/>
    <cellStyle name="asd 9 2 5 10" xfId="21118"/>
    <cellStyle name="asd 9 2 5 11" xfId="23051"/>
    <cellStyle name="asd 9 2 5 12" xfId="24920"/>
    <cellStyle name="asd 9 2 5 13" xfId="26528"/>
    <cellStyle name="asd 9 2 5 14" xfId="29084"/>
    <cellStyle name="asd 9 2 5 15" xfId="30134"/>
    <cellStyle name="asd 9 2 5 16" xfId="31696"/>
    <cellStyle name="asd 9 2 5 17" xfId="34053"/>
    <cellStyle name="asd 9 2 5 18" xfId="35747"/>
    <cellStyle name="asd 9 2 5 19" xfId="37626"/>
    <cellStyle name="asd 9 2 5 2" xfId="6320"/>
    <cellStyle name="asd 9 2 5 20" xfId="38938"/>
    <cellStyle name="asd 9 2 5 21" xfId="40622"/>
    <cellStyle name="asd 9 2 5 22" xfId="42834"/>
    <cellStyle name="asd 9 2 5 3" xfId="7771"/>
    <cellStyle name="asd 9 2 5 4" xfId="9681"/>
    <cellStyle name="asd 9 2 5 5" xfId="12652"/>
    <cellStyle name="asd 9 2 5 6" xfId="13522"/>
    <cellStyle name="asd 9 2 5 7" xfId="15425"/>
    <cellStyle name="asd 9 2 5 8" xfId="17300"/>
    <cellStyle name="asd 9 2 5 9" xfId="19206"/>
    <cellStyle name="asd 9 2 6" xfId="4329"/>
    <cellStyle name="asd 9 2 6 10" xfId="20456"/>
    <cellStyle name="asd 9 2 6 11" xfId="22918"/>
    <cellStyle name="asd 9 2 6 12" xfId="24258"/>
    <cellStyle name="asd 9 2 6 13" xfId="26773"/>
    <cellStyle name="asd 9 2 6 14" xfId="28566"/>
    <cellStyle name="asd 9 2 6 15" xfId="30372"/>
    <cellStyle name="asd 9 2 6 16" xfId="32769"/>
    <cellStyle name="asd 9 2 6 17" xfId="34584"/>
    <cellStyle name="asd 9 2 6 18" xfId="35086"/>
    <cellStyle name="asd 9 2 6 19" xfId="36964"/>
    <cellStyle name="asd 9 2 6 2" xfId="4291"/>
    <cellStyle name="asd 9 2 6 20" xfId="39978"/>
    <cellStyle name="asd 9 2 6 21" xfId="41642"/>
    <cellStyle name="asd 9 2 6 22" xfId="42704"/>
    <cellStyle name="asd 9 2 6 3" xfId="4817"/>
    <cellStyle name="asd 9 2 6 4" xfId="9018"/>
    <cellStyle name="asd 9 2 6 5" xfId="12228"/>
    <cellStyle name="asd 9 2 6 6" xfId="13386"/>
    <cellStyle name="asd 9 2 6 7" xfId="15291"/>
    <cellStyle name="asd 9 2 6 8" xfId="16637"/>
    <cellStyle name="asd 9 2 6 9" xfId="18544"/>
    <cellStyle name="asd 9 2 7" xfId="2401"/>
    <cellStyle name="asd 9 2 8" xfId="9031"/>
    <cellStyle name="asd 9 2 9" xfId="12148"/>
    <cellStyle name="asd 9 20" xfId="27994"/>
    <cellStyle name="asd 9 21" xfId="3099"/>
    <cellStyle name="asd 9 22" xfId="33079"/>
    <cellStyle name="asd 9 23" xfId="27775"/>
    <cellStyle name="asd 9 24" xfId="33438"/>
    <cellStyle name="asd 9 25" xfId="32738"/>
    <cellStyle name="asd 9 26" xfId="26151"/>
    <cellStyle name="asd 9 27" xfId="41898"/>
    <cellStyle name="asd 9 3" xfId="3506"/>
    <cellStyle name="asd 9 3 10" xfId="14300"/>
    <cellStyle name="asd 9 3 11" xfId="16204"/>
    <cellStyle name="asd 9 3 12" xfId="16975"/>
    <cellStyle name="asd 9 3 13" xfId="18882"/>
    <cellStyle name="asd 9 3 14" xfId="20794"/>
    <cellStyle name="asd 9 3 15" xfId="23830"/>
    <cellStyle name="asd 9 3 16" xfId="24596"/>
    <cellStyle name="asd 9 3 17" xfId="26783"/>
    <cellStyle name="asd 9 3 18" xfId="28505"/>
    <cellStyle name="asd 9 3 19" xfId="30382"/>
    <cellStyle name="asd 9 3 2" xfId="3686"/>
    <cellStyle name="asd 9 3 2 10" xfId="17577"/>
    <cellStyle name="asd 9 3 2 11" xfId="19483"/>
    <cellStyle name="asd 9 3 2 12" xfId="21395"/>
    <cellStyle name="asd 9 3 2 13" xfId="22886"/>
    <cellStyle name="asd 9 3 2 14" xfId="25197"/>
    <cellStyle name="asd 9 3 2 15" xfId="26374"/>
    <cellStyle name="asd 9 3 2 16" xfId="28892"/>
    <cellStyle name="asd 9 3 2 17" xfId="29982"/>
    <cellStyle name="asd 9 3 2 18" xfId="32553"/>
    <cellStyle name="asd 9 3 2 19" xfId="34807"/>
    <cellStyle name="asd 9 3 2 2" xfId="5753"/>
    <cellStyle name="asd 9 3 2 2 10" xfId="22003"/>
    <cellStyle name="asd 9 3 2 2 11" xfId="23927"/>
    <cellStyle name="asd 9 3 2 2 12" xfId="25805"/>
    <cellStyle name="asd 9 3 2 2 13" xfId="26577"/>
    <cellStyle name="asd 9 3 2 2 14" xfId="28598"/>
    <cellStyle name="asd 9 3 2 2 15" xfId="30180"/>
    <cellStyle name="asd 9 3 2 2 16" xfId="31847"/>
    <cellStyle name="asd 9 3 2 2 17" xfId="33714"/>
    <cellStyle name="asd 9 3 2 2 18" xfId="36632"/>
    <cellStyle name="asd 9 3 2 2 19" xfId="38511"/>
    <cellStyle name="asd 9 3 2 2 2" xfId="7202"/>
    <cellStyle name="asd 9 3 2 2 20" xfId="39084"/>
    <cellStyle name="asd 9 3 2 2 21" xfId="40765"/>
    <cellStyle name="asd 9 3 2 2 22" xfId="43673"/>
    <cellStyle name="asd 9 3 2 2 3" xfId="8656"/>
    <cellStyle name="asd 9 3 2 2 4" xfId="10566"/>
    <cellStyle name="asd 9 3 2 2 5" xfId="11886"/>
    <cellStyle name="asd 9 3 2 2 6" xfId="14396"/>
    <cellStyle name="asd 9 3 2 2 7" xfId="16302"/>
    <cellStyle name="asd 9 3 2 2 8" xfId="18185"/>
    <cellStyle name="asd 9 3 2 2 9" xfId="20091"/>
    <cellStyle name="asd 9 3 2 20" xfId="36024"/>
    <cellStyle name="asd 9 3 2 21" xfId="37903"/>
    <cellStyle name="asd 9 3 2 22" xfId="39766"/>
    <cellStyle name="asd 9 3 2 23" xfId="41437"/>
    <cellStyle name="asd 9 3 2 24" xfId="42672"/>
    <cellStyle name="asd 9 3 2 3" xfId="5147"/>
    <cellStyle name="asd 9 3 2 4" xfId="6597"/>
    <cellStyle name="asd 9 3 2 5" xfId="8048"/>
    <cellStyle name="asd 9 3 2 6" xfId="9958"/>
    <cellStyle name="asd 9 3 2 7" xfId="11101"/>
    <cellStyle name="asd 9 3 2 8" xfId="13354"/>
    <cellStyle name="asd 9 3 2 9" xfId="15259"/>
    <cellStyle name="asd 9 3 20" xfId="33289"/>
    <cellStyle name="asd 9 3 21" xfId="33931"/>
    <cellStyle name="asd 9 3 22" xfId="35424"/>
    <cellStyle name="asd 9 3 23" xfId="37302"/>
    <cellStyle name="asd 9 3 24" xfId="40473"/>
    <cellStyle name="asd 9 3 25" xfId="42128"/>
    <cellStyle name="asd 9 3 26" xfId="43581"/>
    <cellStyle name="asd 9 3 3" xfId="3171"/>
    <cellStyle name="asd 9 3 3 10" xfId="19171"/>
    <cellStyle name="asd 9 3 3 11" xfId="21083"/>
    <cellStyle name="asd 9 3 3 12" xfId="22523"/>
    <cellStyle name="asd 9 3 3 13" xfId="24885"/>
    <cellStyle name="asd 9 3 3 14" xfId="27817"/>
    <cellStyle name="asd 9 3 3 15" xfId="28310"/>
    <cellStyle name="asd 9 3 3 16" xfId="31395"/>
    <cellStyle name="asd 9 3 3 17" xfId="31988"/>
    <cellStyle name="asd 9 3 3 18" xfId="34271"/>
    <cellStyle name="asd 9 3 3 19" xfId="35712"/>
    <cellStyle name="asd 9 3 3 2" xfId="4619"/>
    <cellStyle name="asd 9 3 3 2 10" xfId="20864"/>
    <cellStyle name="asd 9 3 3 2 11" xfId="23072"/>
    <cellStyle name="asd 9 3 3 2 12" xfId="24666"/>
    <cellStyle name="asd 9 3 3 2 13" xfId="27492"/>
    <cellStyle name="asd 9 3 3 2 14" xfId="28676"/>
    <cellStyle name="asd 9 3 3 2 15" xfId="31078"/>
    <cellStyle name="asd 9 3 3 2 16" xfId="31719"/>
    <cellStyle name="asd 9 3 3 2 17" xfId="34447"/>
    <cellStyle name="asd 9 3 3 2 18" xfId="35494"/>
    <cellStyle name="asd 9 3 3 2 19" xfId="37372"/>
    <cellStyle name="asd 9 3 3 2 2" xfId="6067"/>
    <cellStyle name="asd 9 3 3 2 20" xfId="38960"/>
    <cellStyle name="asd 9 3 3 2 21" xfId="40643"/>
    <cellStyle name="asd 9 3 3 2 22" xfId="42854"/>
    <cellStyle name="asd 9 3 3 2 3" xfId="7516"/>
    <cellStyle name="asd 9 3 3 2 4" xfId="9426"/>
    <cellStyle name="asd 9 3 3 2 5" xfId="12680"/>
    <cellStyle name="asd 9 3 3 2 6" xfId="13543"/>
    <cellStyle name="asd 9 3 3 2 7" xfId="15446"/>
    <cellStyle name="asd 9 3 3 2 8" xfId="17045"/>
    <cellStyle name="asd 9 3 3 2 9" xfId="18952"/>
    <cellStyle name="asd 9 3 3 20" xfId="37591"/>
    <cellStyle name="asd 9 3 3 21" xfId="39219"/>
    <cellStyle name="asd 9 3 3 22" xfId="40897"/>
    <cellStyle name="asd 9 3 3 23" xfId="42333"/>
    <cellStyle name="asd 9 3 3 3" xfId="4835"/>
    <cellStyle name="asd 9 3 3 4" xfId="7736"/>
    <cellStyle name="asd 9 3 3 5" xfId="9646"/>
    <cellStyle name="asd 9 3 3 6" xfId="11031"/>
    <cellStyle name="asd 9 3 3 7" xfId="12991"/>
    <cellStyle name="asd 9 3 3 8" xfId="14895"/>
    <cellStyle name="asd 9 3 3 9" xfId="17265"/>
    <cellStyle name="asd 9 3 4" xfId="4138"/>
    <cellStyle name="asd 9 3 4 10" xfId="19773"/>
    <cellStyle name="asd 9 3 4 11" xfId="21685"/>
    <cellStyle name="asd 9 3 4 12" xfId="23152"/>
    <cellStyle name="asd 9 3 4 13" xfId="25487"/>
    <cellStyle name="asd 9 3 4 14" xfId="27895"/>
    <cellStyle name="asd 9 3 4 15" xfId="28791"/>
    <cellStyle name="asd 9 3 4 16" xfId="31477"/>
    <cellStyle name="asd 9 3 4 17" xfId="32019"/>
    <cellStyle name="asd 9 3 4 18" xfId="33771"/>
    <cellStyle name="asd 9 3 4 19" xfId="36314"/>
    <cellStyle name="asd 9 3 4 2" xfId="6043"/>
    <cellStyle name="asd 9 3 4 2 10" xfId="22293"/>
    <cellStyle name="asd 9 3 4 2 11" xfId="14371"/>
    <cellStyle name="asd 9 3 4 2 12" xfId="26095"/>
    <cellStyle name="asd 9 3 4 2 13" xfId="24231"/>
    <cellStyle name="asd 9 3 4 2 14" xfId="26795"/>
    <cellStyle name="asd 9 3 4 2 15" xfId="3759"/>
    <cellStyle name="asd 9 3 4 2 16" xfId="29194"/>
    <cellStyle name="asd 9 3 4 2 17" xfId="32766"/>
    <cellStyle name="asd 9 3 4 2 18" xfId="36922"/>
    <cellStyle name="asd 9 3 4 2 19" xfId="38801"/>
    <cellStyle name="asd 9 3 4 2 2" xfId="7492"/>
    <cellStyle name="asd 9 3 4 2 20" xfId="33251"/>
    <cellStyle name="asd 9 3 4 2 21" xfId="34349"/>
    <cellStyle name="asd 9 3 4 2 22" xfId="29935"/>
    <cellStyle name="asd 9 3 4 2 3" xfId="8946"/>
    <cellStyle name="asd 9 3 4 2 4" xfId="10856"/>
    <cellStyle name="asd 9 3 4 2 5" xfId="5327"/>
    <cellStyle name="asd 9 3 4 2 6" xfId="1796"/>
    <cellStyle name="asd 9 3 4 2 7" xfId="2829"/>
    <cellStyle name="asd 9 3 4 2 8" xfId="18475"/>
    <cellStyle name="asd 9 3 4 2 9" xfId="20381"/>
    <cellStyle name="asd 9 3 4 20" xfId="38193"/>
    <cellStyle name="asd 9 3 4 21" xfId="39249"/>
    <cellStyle name="asd 9 3 4 22" xfId="40926"/>
    <cellStyle name="asd 9 3 4 23" xfId="42930"/>
    <cellStyle name="asd 9 3 4 3" xfId="6884"/>
    <cellStyle name="asd 9 3 4 4" xfId="8338"/>
    <cellStyle name="asd 9 3 4 5" xfId="10248"/>
    <cellStyle name="asd 9 3 4 6" xfId="10944"/>
    <cellStyle name="asd 9 3 4 7" xfId="13623"/>
    <cellStyle name="asd 9 3 4 8" xfId="15526"/>
    <cellStyle name="asd 9 3 4 9" xfId="17867"/>
    <cellStyle name="asd 9 3 5" xfId="4979"/>
    <cellStyle name="asd 9 3 5 10" xfId="21227"/>
    <cellStyle name="asd 9 3 5 11" xfId="24115"/>
    <cellStyle name="asd 9 3 5 12" xfId="25029"/>
    <cellStyle name="asd 9 3 5 13" xfId="27201"/>
    <cellStyle name="asd 9 3 5 14" xfId="28549"/>
    <cellStyle name="asd 9 3 5 15" xfId="30792"/>
    <cellStyle name="asd 9 3 5 16" xfId="32944"/>
    <cellStyle name="asd 9 3 5 17" xfId="33515"/>
    <cellStyle name="asd 9 3 5 18" xfId="35856"/>
    <cellStyle name="asd 9 3 5 19" xfId="37735"/>
    <cellStyle name="asd 9 3 5 2" xfId="6429"/>
    <cellStyle name="asd 9 3 5 20" xfId="40147"/>
    <cellStyle name="asd 9 3 5 21" xfId="41806"/>
    <cellStyle name="asd 9 3 5 22" xfId="43858"/>
    <cellStyle name="asd 9 3 5 3" xfId="7880"/>
    <cellStyle name="asd 9 3 5 4" xfId="9790"/>
    <cellStyle name="asd 9 3 5 5" xfId="12075"/>
    <cellStyle name="asd 9 3 5 6" xfId="14586"/>
    <cellStyle name="asd 9 3 5 7" xfId="16492"/>
    <cellStyle name="asd 9 3 5 8" xfId="17409"/>
    <cellStyle name="asd 9 3 5 9" xfId="19315"/>
    <cellStyle name="asd 9 3 6" xfId="4970"/>
    <cellStyle name="asd 9 3 6 10" xfId="21218"/>
    <cellStyle name="asd 9 3 6 11" xfId="24178"/>
    <cellStyle name="asd 9 3 6 12" xfId="25020"/>
    <cellStyle name="asd 9 3 6 13" xfId="27922"/>
    <cellStyle name="asd 9 3 6 14" xfId="29663"/>
    <cellStyle name="asd 9 3 6 15" xfId="31504"/>
    <cellStyle name="asd 9 3 6 16" xfId="32510"/>
    <cellStyle name="asd 9 3 6 17" xfId="34582"/>
    <cellStyle name="asd 9 3 6 18" xfId="35847"/>
    <cellStyle name="asd 9 3 6 19" xfId="37726"/>
    <cellStyle name="asd 9 3 6 2" xfId="6420"/>
    <cellStyle name="asd 9 3 6 20" xfId="39725"/>
    <cellStyle name="asd 9 3 6 21" xfId="41397"/>
    <cellStyle name="asd 9 3 6 22" xfId="43919"/>
    <cellStyle name="asd 9 3 6 3" xfId="7871"/>
    <cellStyle name="asd 9 3 6 4" xfId="9781"/>
    <cellStyle name="asd 9 3 6 5" xfId="12138"/>
    <cellStyle name="asd 9 3 6 6" xfId="14649"/>
    <cellStyle name="asd 9 3 6 7" xfId="16555"/>
    <cellStyle name="asd 9 3 6 8" xfId="17400"/>
    <cellStyle name="asd 9 3 6 9" xfId="19306"/>
    <cellStyle name="asd 9 3 7" xfId="4451"/>
    <cellStyle name="asd 9 3 8" xfId="9356"/>
    <cellStyle name="asd 9 3 9" xfId="11815"/>
    <cellStyle name="asd 9 4" xfId="3451"/>
    <cellStyle name="asd 9 4 10" xfId="16239"/>
    <cellStyle name="asd 9 4 11" xfId="16843"/>
    <cellStyle name="asd 9 4 12" xfId="18750"/>
    <cellStyle name="asd 9 4 13" xfId="20662"/>
    <cellStyle name="asd 9 4 14" xfId="23865"/>
    <cellStyle name="asd 9 4 15" xfId="24464"/>
    <cellStyle name="asd 9 4 16" xfId="26702"/>
    <cellStyle name="asd 9 4 17" xfId="28807"/>
    <cellStyle name="asd 9 4 18" xfId="30302"/>
    <cellStyle name="asd 9 4 19" xfId="32115"/>
    <cellStyle name="asd 9 4 2" xfId="3631"/>
    <cellStyle name="asd 9 4 2 10" xfId="17522"/>
    <cellStyle name="asd 9 4 2 11" xfId="19428"/>
    <cellStyle name="asd 9 4 2 12" xfId="21340"/>
    <cellStyle name="asd 9 4 2 13" xfId="22593"/>
    <cellStyle name="asd 9 4 2 14" xfId="25142"/>
    <cellStyle name="asd 9 4 2 15" xfId="26186"/>
    <cellStyle name="asd 9 4 2 16" xfId="28369"/>
    <cellStyle name="asd 9 4 2 17" xfId="29798"/>
    <cellStyle name="asd 9 4 2 18" xfId="30306"/>
    <cellStyle name="asd 9 4 2 19" xfId="29598"/>
    <cellStyle name="asd 9 4 2 2" xfId="5511"/>
    <cellStyle name="asd 9 4 2 2 10" xfId="21761"/>
    <cellStyle name="asd 9 4 2 2 11" xfId="22681"/>
    <cellStyle name="asd 9 4 2 2 12" xfId="25563"/>
    <cellStyle name="asd 9 4 2 2 13" xfId="26561"/>
    <cellStyle name="asd 9 4 2 2 14" xfId="28563"/>
    <cellStyle name="asd 9 4 2 2 15" xfId="30164"/>
    <cellStyle name="asd 9 4 2 2 16" xfId="31744"/>
    <cellStyle name="asd 9 4 2 2 17" xfId="34662"/>
    <cellStyle name="asd 9 4 2 2 18" xfId="36390"/>
    <cellStyle name="asd 9 4 2 2 19" xfId="38269"/>
    <cellStyle name="asd 9 4 2 2 2" xfId="6960"/>
    <cellStyle name="asd 9 4 2 2 20" xfId="38985"/>
    <cellStyle name="asd 9 4 2 2 21" xfId="40668"/>
    <cellStyle name="asd 9 4 2 2 22" xfId="42485"/>
    <cellStyle name="asd 9 4 2 2 3" xfId="8414"/>
    <cellStyle name="asd 9 4 2 2 4" xfId="10324"/>
    <cellStyle name="asd 9 4 2 2 5" xfId="2913"/>
    <cellStyle name="asd 9 4 2 2 6" xfId="13148"/>
    <cellStyle name="asd 9 4 2 2 7" xfId="15053"/>
    <cellStyle name="asd 9 4 2 2 8" xfId="17943"/>
    <cellStyle name="asd 9 4 2 2 9" xfId="19849"/>
    <cellStyle name="asd 9 4 2 20" xfId="35969"/>
    <cellStyle name="asd 9 4 2 21" xfId="37848"/>
    <cellStyle name="asd 9 4 2 22" xfId="4376"/>
    <cellStyle name="asd 9 4 2 23" xfId="39263"/>
    <cellStyle name="asd 9 4 2 24" xfId="42402"/>
    <cellStyle name="asd 9 4 2 3" xfId="5092"/>
    <cellStyle name="asd 9 4 2 4" xfId="6542"/>
    <cellStyle name="asd 9 4 2 5" xfId="7993"/>
    <cellStyle name="asd 9 4 2 6" xfId="9903"/>
    <cellStyle name="asd 9 4 2 7" xfId="12745"/>
    <cellStyle name="asd 9 4 2 8" xfId="13061"/>
    <cellStyle name="asd 9 4 2 9" xfId="14965"/>
    <cellStyle name="asd 9 4 20" xfId="34791"/>
    <cellStyle name="asd 9 4 21" xfId="35292"/>
    <cellStyle name="asd 9 4 22" xfId="37170"/>
    <cellStyle name="asd 9 4 23" xfId="39339"/>
    <cellStyle name="asd 9 4 24" xfId="41015"/>
    <cellStyle name="asd 9 4 25" xfId="43615"/>
    <cellStyle name="asd 9 4 3" xfId="1765"/>
    <cellStyle name="asd 9 4 3 10" xfId="18965"/>
    <cellStyle name="asd 9 4 3 11" xfId="20877"/>
    <cellStyle name="asd 9 4 3 12" xfId="23006"/>
    <cellStyle name="asd 9 4 3 13" xfId="24679"/>
    <cellStyle name="asd 9 4 3 14" xfId="26596"/>
    <cellStyle name="asd 9 4 3 15" xfId="28827"/>
    <cellStyle name="asd 9 4 3 16" xfId="30198"/>
    <cellStyle name="asd 9 4 3 17" xfId="33188"/>
    <cellStyle name="asd 9 4 3 18" xfId="34337"/>
    <cellStyle name="asd 9 4 3 19" xfId="35506"/>
    <cellStyle name="asd 9 4 3 2" xfId="5612"/>
    <cellStyle name="asd 9 4 3 2 10" xfId="21862"/>
    <cellStyle name="asd 9 4 3 2 11" xfId="23877"/>
    <cellStyle name="asd 9 4 3 2 12" xfId="25664"/>
    <cellStyle name="asd 9 4 3 2 13" xfId="27304"/>
    <cellStyle name="asd 9 4 3 2 14" xfId="28894"/>
    <cellStyle name="asd 9 4 3 2 15" xfId="30894"/>
    <cellStyle name="asd 9 4 3 2 16" xfId="32508"/>
    <cellStyle name="asd 9 4 3 2 17" xfId="34110"/>
    <cellStyle name="asd 9 4 3 2 18" xfId="36491"/>
    <cellStyle name="asd 9 4 3 2 19" xfId="38370"/>
    <cellStyle name="asd 9 4 3 2 2" xfId="7061"/>
    <cellStyle name="asd 9 4 3 2 20" xfId="39723"/>
    <cellStyle name="asd 9 4 3 2 21" xfId="41395"/>
    <cellStyle name="asd 9 4 3 2 22" xfId="43627"/>
    <cellStyle name="asd 9 4 3 2 3" xfId="8515"/>
    <cellStyle name="asd 9 4 3 2 4" xfId="10425"/>
    <cellStyle name="asd 9 4 3 2 5" xfId="11508"/>
    <cellStyle name="asd 9 4 3 2 6" xfId="14347"/>
    <cellStyle name="asd 9 4 3 2 7" xfId="16251"/>
    <cellStyle name="asd 9 4 3 2 8" xfId="18044"/>
    <cellStyle name="asd 9 4 3 2 9" xfId="19950"/>
    <cellStyle name="asd 9 4 3 20" xfId="37385"/>
    <cellStyle name="asd 9 4 3 21" xfId="40379"/>
    <cellStyle name="asd 9 4 3 22" xfId="42035"/>
    <cellStyle name="asd 9 4 3 23" xfId="42790"/>
    <cellStyle name="asd 9 4 3 3" xfId="4633"/>
    <cellStyle name="asd 9 4 3 4" xfId="7530"/>
    <cellStyle name="asd 9 4 3 5" xfId="9440"/>
    <cellStyle name="asd 9 4 3 6" xfId="11184"/>
    <cellStyle name="asd 9 4 3 7" xfId="13476"/>
    <cellStyle name="asd 9 4 3 8" xfId="15381"/>
    <cellStyle name="asd 9 4 3 9" xfId="17059"/>
    <cellStyle name="asd 9 4 4" xfId="4083"/>
    <cellStyle name="asd 9 4 4 10" xfId="19718"/>
    <cellStyle name="asd 9 4 4 11" xfId="21630"/>
    <cellStyle name="asd 9 4 4 12" xfId="2156"/>
    <cellStyle name="asd 9 4 4 13" xfId="25432"/>
    <cellStyle name="asd 9 4 4 14" xfId="22332"/>
    <cellStyle name="asd 9 4 4 15" xfId="28011"/>
    <cellStyle name="asd 9 4 4 16" xfId="24245"/>
    <cellStyle name="asd 9 4 4 17" xfId="31575"/>
    <cellStyle name="asd 9 4 4 18" xfId="3045"/>
    <cellStyle name="asd 9 4 4 19" xfId="36259"/>
    <cellStyle name="asd 9 4 4 2" xfId="5988"/>
    <cellStyle name="asd 9 4 4 2 10" xfId="22238"/>
    <cellStyle name="asd 9 4 4 2 11" xfId="22554"/>
    <cellStyle name="asd 9 4 4 2 12" xfId="26040"/>
    <cellStyle name="asd 9 4 4 2 13" xfId="26668"/>
    <cellStyle name="asd 9 4 4 2 14" xfId="2516"/>
    <cellStyle name="asd 9 4 4 2 15" xfId="30268"/>
    <cellStyle name="asd 9 4 4 2 16" xfId="31623"/>
    <cellStyle name="asd 9 4 4 2 17" xfId="31940"/>
    <cellStyle name="asd 9 4 4 2 18" xfId="36867"/>
    <cellStyle name="asd 9 4 4 2 19" xfId="38746"/>
    <cellStyle name="asd 9 4 4 2 2" xfId="7437"/>
    <cellStyle name="asd 9 4 4 2 20" xfId="38870"/>
    <cellStyle name="asd 9 4 4 2 21" xfId="40556"/>
    <cellStyle name="asd 9 4 4 2 22" xfId="42363"/>
    <cellStyle name="asd 9 4 4 2 3" xfId="8891"/>
    <cellStyle name="asd 9 4 4 2 4" xfId="10801"/>
    <cellStyle name="asd 9 4 4 2 5" xfId="10991"/>
    <cellStyle name="asd 9 4 4 2 6" xfId="13022"/>
    <cellStyle name="asd 9 4 4 2 7" xfId="14926"/>
    <cellStyle name="asd 9 4 4 2 8" xfId="18420"/>
    <cellStyle name="asd 9 4 4 2 9" xfId="20326"/>
    <cellStyle name="asd 9 4 4 20" xfId="38138"/>
    <cellStyle name="asd 9 4 4 21" xfId="38829"/>
    <cellStyle name="asd 9 4 4 22" xfId="40520"/>
    <cellStyle name="asd 9 4 4 23" xfId="40946"/>
    <cellStyle name="asd 9 4 4 3" xfId="6829"/>
    <cellStyle name="asd 9 4 4 4" xfId="8283"/>
    <cellStyle name="asd 9 4 4 5" xfId="10193"/>
    <cellStyle name="asd 9 4 4 6" xfId="10935"/>
    <cellStyle name="asd 9 4 4 7" xfId="12754"/>
    <cellStyle name="asd 9 4 4 8" xfId="13601"/>
    <cellStyle name="asd 9 4 4 9" xfId="17812"/>
    <cellStyle name="asd 9 4 5" xfId="5696"/>
    <cellStyle name="asd 9 4 5 10" xfId="21946"/>
    <cellStyle name="asd 9 4 5 11" xfId="23837"/>
    <cellStyle name="asd 9 4 5 12" xfId="25748"/>
    <cellStyle name="asd 9 4 5 13" xfId="27117"/>
    <cellStyle name="asd 9 4 5 14" xfId="28459"/>
    <cellStyle name="asd 9 4 5 15" xfId="30708"/>
    <cellStyle name="asd 9 4 5 16" xfId="32255"/>
    <cellStyle name="asd 9 4 5 17" xfId="34786"/>
    <cellStyle name="asd 9 4 5 18" xfId="36575"/>
    <cellStyle name="asd 9 4 5 19" xfId="38454"/>
    <cellStyle name="asd 9 4 5 2" xfId="7145"/>
    <cellStyle name="asd 9 4 5 20" xfId="39473"/>
    <cellStyle name="asd 9 4 5 21" xfId="41148"/>
    <cellStyle name="asd 9 4 5 22" xfId="43588"/>
    <cellStyle name="asd 9 4 5 3" xfId="8599"/>
    <cellStyle name="asd 9 4 5 4" xfId="10509"/>
    <cellStyle name="asd 9 4 5 5" xfId="11541"/>
    <cellStyle name="asd 9 4 5 6" xfId="14307"/>
    <cellStyle name="asd 9 4 5 7" xfId="16211"/>
    <cellStyle name="asd 9 4 5 8" xfId="18128"/>
    <cellStyle name="asd 9 4 5 9" xfId="20034"/>
    <cellStyle name="asd 9 4 6" xfId="6234"/>
    <cellStyle name="asd 9 4 7" xfId="9224"/>
    <cellStyle name="asd 9 4 8" xfId="11813"/>
    <cellStyle name="asd 9 4 9" xfId="14335"/>
    <cellStyle name="asd 9 5" xfId="3326"/>
    <cellStyle name="asd 9 5 10" xfId="17293"/>
    <cellStyle name="asd 9 5 11" xfId="19199"/>
    <cellStyle name="asd 9 5 12" xfId="21111"/>
    <cellStyle name="asd 9 5 13" xfId="23486"/>
    <cellStyle name="asd 9 5 14" xfId="24913"/>
    <cellStyle name="asd 9 5 15" xfId="27042"/>
    <cellStyle name="asd 9 5 16" xfId="15496"/>
    <cellStyle name="asd 9 5 17" xfId="30635"/>
    <cellStyle name="asd 9 5 18" xfId="31903"/>
    <cellStyle name="asd 9 5 19" xfId="31289"/>
    <cellStyle name="asd 9 5 2" xfId="4252"/>
    <cellStyle name="asd 9 5 2 10" xfId="20519"/>
    <cellStyle name="asd 9 5 2 11" xfId="23761"/>
    <cellStyle name="asd 9 5 2 12" xfId="24321"/>
    <cellStyle name="asd 9 5 2 13" xfId="27660"/>
    <cellStyle name="asd 9 5 2 14" xfId="2107"/>
    <cellStyle name="asd 9 5 2 15" xfId="31237"/>
    <cellStyle name="asd 9 5 2 16" xfId="32691"/>
    <cellStyle name="asd 9 5 2 17" xfId="34258"/>
    <cellStyle name="asd 9 5 2 18" xfId="35149"/>
    <cellStyle name="asd 9 5 2 19" xfId="37027"/>
    <cellStyle name="asd 9 5 2 2" xfId="5390"/>
    <cellStyle name="asd 9 5 2 20" xfId="39899"/>
    <cellStyle name="asd 9 5 2 21" xfId="41568"/>
    <cellStyle name="asd 9 5 2 22" xfId="43514"/>
    <cellStyle name="asd 9 5 2 3" xfId="6648"/>
    <cellStyle name="asd 9 5 2 4" xfId="9081"/>
    <cellStyle name="asd 9 5 2 5" xfId="11345"/>
    <cellStyle name="asd 9 5 2 6" xfId="14231"/>
    <cellStyle name="asd 9 5 2 7" xfId="16135"/>
    <cellStyle name="asd 9 5 2 8" xfId="16700"/>
    <cellStyle name="asd 9 5 2 9" xfId="18607"/>
    <cellStyle name="asd 9 5 20" xfId="35740"/>
    <cellStyle name="asd 9 5 21" xfId="37619"/>
    <cellStyle name="asd 9 5 22" xfId="39135"/>
    <cellStyle name="asd 9 5 23" xfId="40816"/>
    <cellStyle name="asd 9 5 24" xfId="43252"/>
    <cellStyle name="asd 9 5 3" xfId="4863"/>
    <cellStyle name="asd 9 5 4" xfId="6313"/>
    <cellStyle name="asd 9 5 5" xfId="7764"/>
    <cellStyle name="asd 9 5 6" xfId="9674"/>
    <cellStyle name="asd 9 5 7" xfId="11306"/>
    <cellStyle name="asd 9 5 8" xfId="13958"/>
    <cellStyle name="asd 9 5 9" xfId="15859"/>
    <cellStyle name="asd 9 6" xfId="2690"/>
    <cellStyle name="asd 9 6 10" xfId="19094"/>
    <cellStyle name="asd 9 6 11" xfId="21006"/>
    <cellStyle name="asd 9 6 12" xfId="22710"/>
    <cellStyle name="asd 9 6 13" xfId="24808"/>
    <cellStyle name="asd 9 6 14" xfId="27029"/>
    <cellStyle name="asd 9 6 15" xfId="2021"/>
    <cellStyle name="asd 9 6 16" xfId="30622"/>
    <cellStyle name="asd 9 6 17" xfId="32249"/>
    <cellStyle name="asd 9 6 18" xfId="33888"/>
    <cellStyle name="asd 9 6 19" xfId="35635"/>
    <cellStyle name="asd 9 6 2" xfId="4522"/>
    <cellStyle name="asd 9 6 2 10" xfId="20767"/>
    <cellStyle name="asd 9 6 2 11" xfId="23445"/>
    <cellStyle name="asd 9 6 2 12" xfId="24569"/>
    <cellStyle name="asd 9 6 2 13" xfId="26250"/>
    <cellStyle name="asd 9 6 2 14" xfId="28817"/>
    <cellStyle name="asd 9 6 2 15" xfId="29860"/>
    <cellStyle name="asd 9 6 2 16" xfId="32148"/>
    <cellStyle name="asd 9 6 2 17" xfId="34196"/>
    <cellStyle name="asd 9 6 2 18" xfId="35397"/>
    <cellStyle name="asd 9 6 2 19" xfId="37275"/>
    <cellStyle name="asd 9 6 2 2" xfId="5362"/>
    <cellStyle name="asd 9 6 2 20" xfId="39371"/>
    <cellStyle name="asd 9 6 2 21" xfId="41047"/>
    <cellStyle name="asd 9 6 2 22" xfId="43212"/>
    <cellStyle name="asd 9 6 2 3" xfId="6624"/>
    <cellStyle name="asd 9 6 2 4" xfId="9329"/>
    <cellStyle name="asd 9 6 2 5" xfId="12566"/>
    <cellStyle name="asd 9 6 2 6" xfId="13917"/>
    <cellStyle name="asd 9 6 2 7" xfId="15818"/>
    <cellStyle name="asd 9 6 2 8" xfId="16948"/>
    <cellStyle name="asd 9 6 2 9" xfId="18855"/>
    <cellStyle name="asd 9 6 20" xfId="37514"/>
    <cellStyle name="asd 9 6 21" xfId="39467"/>
    <cellStyle name="asd 9 6 22" xfId="41142"/>
    <cellStyle name="asd 9 6 23" xfId="42510"/>
    <cellStyle name="asd 9 6 3" xfId="4759"/>
    <cellStyle name="asd 9 6 4" xfId="7659"/>
    <cellStyle name="asd 9 6 5" xfId="9569"/>
    <cellStyle name="asd 9 6 6" xfId="11461"/>
    <cellStyle name="asd 9 6 7" xfId="13178"/>
    <cellStyle name="asd 9 6 8" xfId="15082"/>
    <cellStyle name="asd 9 6 9" xfId="17188"/>
    <cellStyle name="asd 9 7" xfId="2513"/>
    <cellStyle name="asd 9 7 10" xfId="19075"/>
    <cellStyle name="asd 9 7 11" xfId="20987"/>
    <cellStyle name="asd 9 7 12" xfId="24068"/>
    <cellStyle name="asd 9 7 13" xfId="24789"/>
    <cellStyle name="asd 9 7 14" xfId="26213"/>
    <cellStyle name="asd 9 7 15" xfId="2702"/>
    <cellStyle name="asd 9 7 16" xfId="29824"/>
    <cellStyle name="asd 9 7 17" xfId="27501"/>
    <cellStyle name="asd 9 7 18" xfId="16621"/>
    <cellStyle name="asd 9 7 19" xfId="35616"/>
    <cellStyle name="asd 9 7 2" xfId="5460"/>
    <cellStyle name="asd 9 7 2 10" xfId="21710"/>
    <cellStyle name="asd 9 7 2 11" xfId="22386"/>
    <cellStyle name="asd 9 7 2 12" xfId="25512"/>
    <cellStyle name="asd 9 7 2 13" xfId="14800"/>
    <cellStyle name="asd 9 7 2 14" xfId="29208"/>
    <cellStyle name="asd 9 7 2 15" xfId="28688"/>
    <cellStyle name="asd 9 7 2 16" xfId="28967"/>
    <cellStyle name="asd 9 7 2 17" xfId="34169"/>
    <cellStyle name="asd 9 7 2 18" xfId="36339"/>
    <cellStyle name="asd 9 7 2 19" xfId="38218"/>
    <cellStyle name="asd 9 7 2 2" xfId="6909"/>
    <cellStyle name="asd 9 7 2 20" xfId="3079"/>
    <cellStyle name="asd 9 7 2 21" xfId="32634"/>
    <cellStyle name="asd 9 7 2 22" xfId="42197"/>
    <cellStyle name="asd 9 7 2 3" xfId="8363"/>
    <cellStyle name="asd 9 7 2 4" xfId="10273"/>
    <cellStyle name="asd 9 7 2 5" xfId="11151"/>
    <cellStyle name="asd 9 7 2 6" xfId="12853"/>
    <cellStyle name="asd 9 7 2 7" xfId="14758"/>
    <cellStyle name="asd 9 7 2 8" xfId="17892"/>
    <cellStyle name="asd 9 7 2 9" xfId="19798"/>
    <cellStyle name="asd 9 7 20" xfId="37495"/>
    <cellStyle name="asd 9 7 21" xfId="34820"/>
    <cellStyle name="asd 9 7 22" xfId="31902"/>
    <cellStyle name="asd 9 7 23" xfId="43812"/>
    <cellStyle name="asd 9 7 3" xfId="6189"/>
    <cellStyle name="asd 9 7 4" xfId="7640"/>
    <cellStyle name="asd 9 7 5" xfId="9550"/>
    <cellStyle name="asd 9 7 6" xfId="12027"/>
    <cellStyle name="asd 9 7 7" xfId="14538"/>
    <cellStyle name="asd 9 7 8" xfId="16444"/>
    <cellStyle name="asd 9 7 9" xfId="17169"/>
    <cellStyle name="asd 9 8" xfId="3306"/>
    <cellStyle name="asd 9 9" xfId="1910"/>
    <cellStyle name="asd_Mem." xfId="48073"/>
    <cellStyle name="Bad" xfId="51551"/>
    <cellStyle name="Bom" xfId="43947" builtinId="26" customBuiltin="1"/>
    <cellStyle name="Bom 10" xfId="51962"/>
    <cellStyle name="Bom 11" xfId="52004"/>
    <cellStyle name="Bom 12" xfId="52047"/>
    <cellStyle name="Bom 13" xfId="52090"/>
    <cellStyle name="Bom 14" xfId="52133"/>
    <cellStyle name="Bom 2" xfId="22"/>
    <cellStyle name="Bom 3" xfId="51654"/>
    <cellStyle name="Bom 4" xfId="51704"/>
    <cellStyle name="Bom 5" xfId="51747"/>
    <cellStyle name="Bom 6" xfId="51789"/>
    <cellStyle name="Bom 7" xfId="51831"/>
    <cellStyle name="Bom 8" xfId="51872"/>
    <cellStyle name="Bom 9" xfId="51919"/>
    <cellStyle name="Calculation" xfId="51552"/>
    <cellStyle name="Cálculo" xfId="43952" builtinId="22" customBuiltin="1"/>
    <cellStyle name="Cálculo 10" xfId="51961"/>
    <cellStyle name="Cálculo 11" xfId="52003"/>
    <cellStyle name="Cálculo 12" xfId="52046"/>
    <cellStyle name="Cálculo 13" xfId="52089"/>
    <cellStyle name="Cálculo 14" xfId="52132"/>
    <cellStyle name="Cálculo 2" xfId="23"/>
    <cellStyle name="Cálculo 2 10" xfId="2209"/>
    <cellStyle name="Cálculo 2 11" xfId="10889"/>
    <cellStyle name="Cálculo 2 12" xfId="12800"/>
    <cellStyle name="Cálculo 2 13" xfId="2196"/>
    <cellStyle name="Cálculo 2 14" xfId="2673"/>
    <cellStyle name="Cálculo 2 15" xfId="1797"/>
    <cellStyle name="Cálculo 2 16" xfId="2222"/>
    <cellStyle name="Cálculo 2 17" xfId="3725"/>
    <cellStyle name="Cálculo 2 18" xfId="22310"/>
    <cellStyle name="Cálculo 2 19" xfId="28069"/>
    <cellStyle name="Cálculo 2 2" xfId="3418"/>
    <cellStyle name="Cálculo 2 2 10" xfId="13202"/>
    <cellStyle name="Cálculo 2 2 11" xfId="15105"/>
    <cellStyle name="Cálculo 2 2 12" xfId="16788"/>
    <cellStyle name="Cálculo 2 2 13" xfId="18695"/>
    <cellStyle name="Cálculo 2 2 14" xfId="20607"/>
    <cellStyle name="Cálculo 2 2 15" xfId="22733"/>
    <cellStyle name="Cálculo 2 2 16" xfId="24409"/>
    <cellStyle name="Cálculo 2 2 17" xfId="26982"/>
    <cellStyle name="Cálculo 2 2 18" xfId="29307"/>
    <cellStyle name="Cálculo 2 2 19" xfId="30576"/>
    <cellStyle name="Cálculo 2 2 2" xfId="3598"/>
    <cellStyle name="Cálculo 2 2 2 10" xfId="17489"/>
    <cellStyle name="Cálculo 2 2 2 11" xfId="19395"/>
    <cellStyle name="Cálculo 2 2 2 12" xfId="21307"/>
    <cellStyle name="Cálculo 2 2 2 13" xfId="23868"/>
    <cellStyle name="Cálculo 2 2 2 14" xfId="25109"/>
    <cellStyle name="Cálculo 2 2 2 15" xfId="27309"/>
    <cellStyle name="Cálculo 2 2 2 16" xfId="26542"/>
    <cellStyle name="Cálculo 2 2 2 17" xfId="30899"/>
    <cellStyle name="Cálculo 2 2 2 18" xfId="32334"/>
    <cellStyle name="Cálculo 2 2 2 19" xfId="11614"/>
    <cellStyle name="Cálculo 2 2 2 2" xfId="5704"/>
    <cellStyle name="Cálculo 2 2 2 2 10" xfId="21954"/>
    <cellStyle name="Cálculo 2 2 2 2 11" xfId="23466"/>
    <cellStyle name="Cálculo 2 2 2 2 12" xfId="25756"/>
    <cellStyle name="Cálculo 2 2 2 2 13" xfId="26583"/>
    <cellStyle name="Cálculo 2 2 2 2 14" xfId="29646"/>
    <cellStyle name="Cálculo 2 2 2 2 15" xfId="30185"/>
    <cellStyle name="Cálculo 2 2 2 2 16" xfId="32499"/>
    <cellStyle name="Cálculo 2 2 2 2 17" xfId="34853"/>
    <cellStyle name="Cálculo 2 2 2 2 18" xfId="36583"/>
    <cellStyle name="Cálculo 2 2 2 2 19" xfId="38462"/>
    <cellStyle name="Cálculo 2 2 2 2 2" xfId="7153"/>
    <cellStyle name="Cálculo 2 2 2 2 20" xfId="39714"/>
    <cellStyle name="Cálculo 2 2 2 2 21" xfId="41386"/>
    <cellStyle name="Cálculo 2 2 2 2 22" xfId="43233"/>
    <cellStyle name="Cálculo 2 2 2 2 3" xfId="8607"/>
    <cellStyle name="Cálculo 2 2 2 2 4" xfId="10517"/>
    <cellStyle name="Cálculo 2 2 2 2 5" xfId="11258"/>
    <cellStyle name="Cálculo 2 2 2 2 6" xfId="13938"/>
    <cellStyle name="Cálculo 2 2 2 2 7" xfId="15839"/>
    <cellStyle name="Cálculo 2 2 2 2 8" xfId="18136"/>
    <cellStyle name="Cálculo 2 2 2 2 9" xfId="20042"/>
    <cellStyle name="Cálculo 2 2 2 20" xfId="35936"/>
    <cellStyle name="Cálculo 2 2 2 21" xfId="37815"/>
    <cellStyle name="Cálculo 2 2 2 22" xfId="39553"/>
    <cellStyle name="Cálculo 2 2 2 23" xfId="41227"/>
    <cellStyle name="Cálculo 2 2 2 24" xfId="43618"/>
    <cellStyle name="Cálculo 2 2 2 3" xfId="5059"/>
    <cellStyle name="Cálculo 2 2 2 3 2" xfId="45665"/>
    <cellStyle name="Cálculo 2 2 2 3 3" xfId="46054"/>
    <cellStyle name="Cálculo 2 2 2 3 4" xfId="46412"/>
    <cellStyle name="Cálculo 2 2 2 3 5" xfId="46764"/>
    <cellStyle name="Cálculo 2 2 2 3 6" xfId="47079"/>
    <cellStyle name="Cálculo 2 2 2 3 7" xfId="47398"/>
    <cellStyle name="Cálculo 2 2 2 3 8" xfId="47716"/>
    <cellStyle name="Cálculo 2 2 2 4" xfId="6509"/>
    <cellStyle name="Cálculo 2 2 2 4 2" xfId="45646"/>
    <cellStyle name="Cálculo 2 2 2 4 3" xfId="46035"/>
    <cellStyle name="Cálculo 2 2 2 4 4" xfId="46393"/>
    <cellStyle name="Cálculo 2 2 2 4 5" xfId="46745"/>
    <cellStyle name="Cálculo 2 2 2 4 6" xfId="47060"/>
    <cellStyle name="Cálculo 2 2 2 4 7" xfId="47379"/>
    <cellStyle name="Cálculo 2 2 2 4 8" xfId="47697"/>
    <cellStyle name="Cálculo 2 2 2 5" xfId="7960"/>
    <cellStyle name="Cálculo 2 2 2 6" xfId="9870"/>
    <cellStyle name="Cálculo 2 2 2 7" xfId="12741"/>
    <cellStyle name="Cálculo 2 2 2 8" xfId="14338"/>
    <cellStyle name="Cálculo 2 2 2 9" xfId="16242"/>
    <cellStyle name="Cálculo 2 2 20" xfId="32583"/>
    <cellStyle name="Cálculo 2 2 21" xfId="34251"/>
    <cellStyle name="Cálculo 2 2 22" xfId="35237"/>
    <cellStyle name="Cálculo 2 2 23" xfId="37115"/>
    <cellStyle name="Cálculo 2 2 24" xfId="39794"/>
    <cellStyle name="Cálculo 2 2 25" xfId="41463"/>
    <cellStyle name="Cálculo 2 2 26" xfId="42531"/>
    <cellStyle name="Cálculo 2 2 3" xfId="3841"/>
    <cellStyle name="Cálculo 2 2 3 10" xfId="19564"/>
    <cellStyle name="Cálculo 2 2 3 11" xfId="21476"/>
    <cellStyle name="Cálculo 2 2 3 12" xfId="22850"/>
    <cellStyle name="Cálculo 2 2 3 13" xfId="25278"/>
    <cellStyle name="Cálculo 2 2 3 14" xfId="27236"/>
    <cellStyle name="Cálculo 2 2 3 15" xfId="28195"/>
    <cellStyle name="Cálculo 2 2 3 16" xfId="30827"/>
    <cellStyle name="Cálculo 2 2 3 17" xfId="33291"/>
    <cellStyle name="Cálculo 2 2 3 18" xfId="34707"/>
    <cellStyle name="Cálculo 2 2 3 19" xfId="36105"/>
    <cellStyle name="Cálculo 2 2 3 2" xfId="5834"/>
    <cellStyle name="Cálculo 2 2 3 2 10" xfId="22084"/>
    <cellStyle name="Cálculo 2 2 3 2 11" xfId="23114"/>
    <cellStyle name="Cálculo 2 2 3 2 12" xfId="25886"/>
    <cellStyle name="Cálculo 2 2 3 2 13" xfId="27518"/>
    <cellStyle name="Cálculo 2 2 3 2 14" xfId="29080"/>
    <cellStyle name="Cálculo 2 2 3 2 15" xfId="31101"/>
    <cellStyle name="Cálculo 2 2 3 2 16" xfId="33332"/>
    <cellStyle name="Cálculo 2 2 3 2 17" xfId="32572"/>
    <cellStyle name="Cálculo 2 2 3 2 18" xfId="36713"/>
    <cellStyle name="Cálculo 2 2 3 2 19" xfId="38592"/>
    <cellStyle name="Cálculo 2 2 3 2 2" xfId="7283"/>
    <cellStyle name="Cálculo 2 2 3 2 20" xfId="40512"/>
    <cellStyle name="Cálculo 2 2 3 2 21" xfId="42164"/>
    <cellStyle name="Cálculo 2 2 3 2 22" xfId="42894"/>
    <cellStyle name="Cálculo 2 2 3 2 3" xfId="8737"/>
    <cellStyle name="Cálculo 2 2 3 2 4" xfId="10647"/>
    <cellStyle name="Cálculo 2 2 3 2 5" xfId="12730"/>
    <cellStyle name="Cálculo 2 2 3 2 6" xfId="13585"/>
    <cellStyle name="Cálculo 2 2 3 2 7" xfId="15488"/>
    <cellStyle name="Cálculo 2 2 3 2 8" xfId="18266"/>
    <cellStyle name="Cálculo 2 2 3 2 9" xfId="20172"/>
    <cellStyle name="Cálculo 2 2 3 20" xfId="37984"/>
    <cellStyle name="Cálculo 2 2 3 21" xfId="40475"/>
    <cellStyle name="Cálculo 2 2 3 22" xfId="42130"/>
    <cellStyle name="Cálculo 2 2 3 23" xfId="42641"/>
    <cellStyle name="Cálculo 2 2 3 3" xfId="5228"/>
    <cellStyle name="Cálculo 2 2 3 3 2" xfId="45696"/>
    <cellStyle name="Cálculo 2 2 3 3 3" xfId="46085"/>
    <cellStyle name="Cálculo 2 2 3 3 4" xfId="46443"/>
    <cellStyle name="Cálculo 2 2 3 3 5" xfId="46795"/>
    <cellStyle name="Cálculo 2 2 3 3 6" xfId="47110"/>
    <cellStyle name="Cálculo 2 2 3 3 7" xfId="47429"/>
    <cellStyle name="Cálculo 2 2 3 3 8" xfId="47747"/>
    <cellStyle name="Cálculo 2 2 3 4" xfId="8129"/>
    <cellStyle name="Cálculo 2 2 3 4 2" xfId="45750"/>
    <cellStyle name="Cálculo 2 2 3 4 3" xfId="46139"/>
    <cellStyle name="Cálculo 2 2 3 4 4" xfId="46497"/>
    <cellStyle name="Cálculo 2 2 3 4 5" xfId="46849"/>
    <cellStyle name="Cálculo 2 2 3 4 6" xfId="47164"/>
    <cellStyle name="Cálculo 2 2 3 4 7" xfId="47483"/>
    <cellStyle name="Cálculo 2 2 3 4 8" xfId="47801"/>
    <cellStyle name="Cálculo 2 2 3 5" xfId="10039"/>
    <cellStyle name="Cálculo 2 2 3 5 2" xfId="45818"/>
    <cellStyle name="Cálculo 2 2 3 5 3" xfId="46207"/>
    <cellStyle name="Cálculo 2 2 3 5 4" xfId="46565"/>
    <cellStyle name="Cálculo 2 2 3 5 5" xfId="46917"/>
    <cellStyle name="Cálculo 2 2 3 5 6" xfId="47232"/>
    <cellStyle name="Cálculo 2 2 3 5 7" xfId="47551"/>
    <cellStyle name="Cálculo 2 2 3 5 8" xfId="47869"/>
    <cellStyle name="Cálculo 2 2 3 6" xfId="11188"/>
    <cellStyle name="Cálculo 2 2 3 7" xfId="13319"/>
    <cellStyle name="Cálculo 2 2 3 8" xfId="15223"/>
    <cellStyle name="Cálculo 2 2 3 9" xfId="17658"/>
    <cellStyle name="Cálculo 2 2 4" xfId="4050"/>
    <cellStyle name="Cálculo 2 2 4 10" xfId="19685"/>
    <cellStyle name="Cálculo 2 2 4 11" xfId="21597"/>
    <cellStyle name="Cálculo 2 2 4 12" xfId="16601"/>
    <cellStyle name="Cálculo 2 2 4 13" xfId="25399"/>
    <cellStyle name="Cálculo 2 2 4 14" xfId="2338"/>
    <cellStyle name="Cálculo 2 2 4 15" xfId="16589"/>
    <cellStyle name="Cálculo 2 2 4 16" xfId="2815"/>
    <cellStyle name="Cálculo 2 2 4 17" xfId="32478"/>
    <cellStyle name="Cálculo 2 2 4 18" xfId="33399"/>
    <cellStyle name="Cálculo 2 2 4 19" xfId="36226"/>
    <cellStyle name="Cálculo 2 2 4 2" xfId="5955"/>
    <cellStyle name="Cálculo 2 2 4 2 10" xfId="22205"/>
    <cellStyle name="Cálculo 2 2 4 2 11" xfId="22638"/>
    <cellStyle name="Cálculo 2 2 4 2 12" xfId="26007"/>
    <cellStyle name="Cálculo 2 2 4 2 13" xfId="26196"/>
    <cellStyle name="Cálculo 2 2 4 2 14" xfId="28450"/>
    <cellStyle name="Cálculo 2 2 4 2 15" xfId="29809"/>
    <cellStyle name="Cálculo 2 2 4 2 16" xfId="33310"/>
    <cellStyle name="Cálculo 2 2 4 2 17" xfId="34467"/>
    <cellStyle name="Cálculo 2 2 4 2 18" xfId="36834"/>
    <cellStyle name="Cálculo 2 2 4 2 19" xfId="38713"/>
    <cellStyle name="Cálculo 2 2 4 2 2" xfId="7404"/>
    <cellStyle name="Cálculo 2 2 4 2 20" xfId="40492"/>
    <cellStyle name="Cálculo 2 2 4 2 21" xfId="42145"/>
    <cellStyle name="Cálculo 2 2 4 2 22" xfId="42444"/>
    <cellStyle name="Cálculo 2 2 4 2 3" xfId="8858"/>
    <cellStyle name="Cálculo 2 2 4 2 4" xfId="10768"/>
    <cellStyle name="Cálculo 2 2 4 2 5" xfId="12235"/>
    <cellStyle name="Cálculo 2 2 4 2 6" xfId="13105"/>
    <cellStyle name="Cálculo 2 2 4 2 7" xfId="15010"/>
    <cellStyle name="Cálculo 2 2 4 2 8" xfId="18387"/>
    <cellStyle name="Cálculo 2 2 4 2 9" xfId="20293"/>
    <cellStyle name="Cálculo 2 2 4 20" xfId="38105"/>
    <cellStyle name="Cálculo 2 2 4 21" xfId="39696"/>
    <cellStyle name="Cálculo 2 2 4 22" xfId="41369"/>
    <cellStyle name="Cálculo 2 2 4 23" xfId="34666"/>
    <cellStyle name="Cálculo 2 2 4 3" xfId="6796"/>
    <cellStyle name="Cálculo 2 2 4 3 2" xfId="45711"/>
    <cellStyle name="Cálculo 2 2 4 3 3" xfId="46100"/>
    <cellStyle name="Cálculo 2 2 4 3 4" xfId="46458"/>
    <cellStyle name="Cálculo 2 2 4 3 5" xfId="46810"/>
    <cellStyle name="Cálculo 2 2 4 3 6" xfId="47125"/>
    <cellStyle name="Cálculo 2 2 4 3 7" xfId="47444"/>
    <cellStyle name="Cálculo 2 2 4 3 8" xfId="47762"/>
    <cellStyle name="Cálculo 2 2 4 4" xfId="8250"/>
    <cellStyle name="Cálculo 2 2 4 4 2" xfId="45596"/>
    <cellStyle name="Cálculo 2 2 4 4 3" xfId="45985"/>
    <cellStyle name="Cálculo 2 2 4 4 4" xfId="46343"/>
    <cellStyle name="Cálculo 2 2 4 4 5" xfId="46695"/>
    <cellStyle name="Cálculo 2 2 4 4 6" xfId="47010"/>
    <cellStyle name="Cálculo 2 2 4 4 7" xfId="47329"/>
    <cellStyle name="Cálculo 2 2 4 4 8" xfId="47647"/>
    <cellStyle name="Cálculo 2 2 4 5" xfId="10160"/>
    <cellStyle name="Cálculo 2 2 4 5 2" xfId="45619"/>
    <cellStyle name="Cálculo 2 2 4 5 3" xfId="46008"/>
    <cellStyle name="Cálculo 2 2 4 5 4" xfId="46366"/>
    <cellStyle name="Cálculo 2 2 4 5 5" xfId="46718"/>
    <cellStyle name="Cálculo 2 2 4 5 6" xfId="47033"/>
    <cellStyle name="Cálculo 2 2 4 5 7" xfId="47352"/>
    <cellStyle name="Cálculo 2 2 4 5 8" xfId="47670"/>
    <cellStyle name="Cálculo 2 2 4 6" xfId="12318"/>
    <cellStyle name="Cálculo 2 2 4 7" xfId="4182"/>
    <cellStyle name="Cálculo 2 2 4 8" xfId="1912"/>
    <cellStyle name="Cálculo 2 2 4 9" xfId="17779"/>
    <cellStyle name="Cálculo 2 2 5" xfId="4911"/>
    <cellStyle name="Cálculo 2 2 5 10" xfId="21159"/>
    <cellStyle name="Cálculo 2 2 5 11" xfId="23779"/>
    <cellStyle name="Cálculo 2 2 5 12" xfId="24961"/>
    <cellStyle name="Cálculo 2 2 5 13" xfId="27716"/>
    <cellStyle name="Cálculo 2 2 5 14" xfId="29579"/>
    <cellStyle name="Cálculo 2 2 5 15" xfId="31294"/>
    <cellStyle name="Cálculo 2 2 5 16" xfId="31889"/>
    <cellStyle name="Cálculo 2 2 5 17" xfId="34864"/>
    <cellStyle name="Cálculo 2 2 5 18" xfId="35788"/>
    <cellStyle name="Cálculo 2 2 5 19" xfId="37667"/>
    <cellStyle name="Cálculo 2 2 5 2" xfId="6361"/>
    <cellStyle name="Cálculo 2 2 5 2 2" xfId="45967"/>
    <cellStyle name="Cálculo 2 2 5 2 3" xfId="46325"/>
    <cellStyle name="Cálculo 2 2 5 2 4" xfId="46677"/>
    <cellStyle name="Cálculo 2 2 5 2 5" xfId="47629"/>
    <cellStyle name="Cálculo 2 2 5 20" xfId="39124"/>
    <cellStyle name="Cálculo 2 2 5 21" xfId="40805"/>
    <cellStyle name="Cálculo 2 2 5 22" xfId="43532"/>
    <cellStyle name="Cálculo 2 2 5 3" xfId="7812"/>
    <cellStyle name="Cálculo 2 2 5 3 2" xfId="45759"/>
    <cellStyle name="Cálculo 2 2 5 3 3" xfId="46148"/>
    <cellStyle name="Cálculo 2 2 5 3 4" xfId="46506"/>
    <cellStyle name="Cálculo 2 2 5 3 5" xfId="46858"/>
    <cellStyle name="Cálculo 2 2 5 3 6" xfId="47173"/>
    <cellStyle name="Cálculo 2 2 5 3 7" xfId="47492"/>
    <cellStyle name="Cálculo 2 2 5 3 8" xfId="47810"/>
    <cellStyle name="Cálculo 2 2 5 4" xfId="9722"/>
    <cellStyle name="Cálculo 2 2 5 4 2" xfId="45828"/>
    <cellStyle name="Cálculo 2 2 5 4 3" xfId="46217"/>
    <cellStyle name="Cálculo 2 2 5 4 4" xfId="46575"/>
    <cellStyle name="Cálculo 2 2 5 4 5" xfId="46927"/>
    <cellStyle name="Cálculo 2 2 5 4 6" xfId="47242"/>
    <cellStyle name="Cálculo 2 2 5 4 7" xfId="47561"/>
    <cellStyle name="Cálculo 2 2 5 4 8" xfId="47879"/>
    <cellStyle name="Cálculo 2 2 5 5" xfId="11674"/>
    <cellStyle name="Cálculo 2 2 5 5 2" xfId="45865"/>
    <cellStyle name="Cálculo 2 2 5 5 3" xfId="46254"/>
    <cellStyle name="Cálculo 2 2 5 5 4" xfId="46612"/>
    <cellStyle name="Cálculo 2 2 5 5 5" xfId="46964"/>
    <cellStyle name="Cálculo 2 2 5 5 6" xfId="47279"/>
    <cellStyle name="Cálculo 2 2 5 5 7" xfId="47598"/>
    <cellStyle name="Cálculo 2 2 5 5 8" xfId="47916"/>
    <cellStyle name="Cálculo 2 2 5 6" xfId="14249"/>
    <cellStyle name="Cálculo 2 2 5 7" xfId="16153"/>
    <cellStyle name="Cálculo 2 2 5 8" xfId="17341"/>
    <cellStyle name="Cálculo 2 2 5 9" xfId="19247"/>
    <cellStyle name="Cálculo 2 2 6" xfId="4233"/>
    <cellStyle name="Cálculo 2 2 6 10" xfId="20575"/>
    <cellStyle name="Cálculo 2 2 6 11" xfId="16297"/>
    <cellStyle name="Cálculo 2 2 6 12" xfId="24377"/>
    <cellStyle name="Cálculo 2 2 6 13" xfId="2961"/>
    <cellStyle name="Cálculo 2 2 6 14" xfId="28105"/>
    <cellStyle name="Cálculo 2 2 6 15" xfId="2064"/>
    <cellStyle name="Cálculo 2 2 6 16" xfId="4719"/>
    <cellStyle name="Cálculo 2 2 6 17" xfId="26136"/>
    <cellStyle name="Cálculo 2 2 6 18" xfId="35205"/>
    <cellStyle name="Cálculo 2 2 6 19" xfId="37083"/>
    <cellStyle name="Cálculo 2 2 6 2" xfId="5291"/>
    <cellStyle name="Cálculo 2 2 6 20" xfId="32074"/>
    <cellStyle name="Cálculo 2 2 6 21" xfId="33616"/>
    <cellStyle name="Cálculo 2 2 6 22" xfId="41605"/>
    <cellStyle name="Cálculo 2 2 6 3" xfId="6654"/>
    <cellStyle name="Cálculo 2 2 6 4" xfId="9137"/>
    <cellStyle name="Cálculo 2 2 6 5" xfId="12191"/>
    <cellStyle name="Cálculo 2 2 6 6" xfId="2828"/>
    <cellStyle name="Cálculo 2 2 6 7" xfId="3021"/>
    <cellStyle name="Cálculo 2 2 6 8" xfId="16756"/>
    <cellStyle name="Cálculo 2 2 6 9" xfId="18663"/>
    <cellStyle name="Cálculo 2 2 7" xfId="6114"/>
    <cellStyle name="Cálculo 2 2 7 2" xfId="45661"/>
    <cellStyle name="Cálculo 2 2 7 3" xfId="46050"/>
    <cellStyle name="Cálculo 2 2 7 4" xfId="46408"/>
    <cellStyle name="Cálculo 2 2 7 5" xfId="46760"/>
    <cellStyle name="Cálculo 2 2 7 6" xfId="47075"/>
    <cellStyle name="Cálculo 2 2 7 7" xfId="47394"/>
    <cellStyle name="Cálculo 2 2 7 8" xfId="47712"/>
    <cellStyle name="Cálculo 2 2 8" xfId="9169"/>
    <cellStyle name="Cálculo 2 2 9" xfId="2490"/>
    <cellStyle name="Cálculo 2 20" xfId="1756"/>
    <cellStyle name="Cálculo 2 21" xfId="28376"/>
    <cellStyle name="Cálculo 2 22" xfId="18513"/>
    <cellStyle name="Cálculo 2 23" xfId="29767"/>
    <cellStyle name="Cálculo 2 24" xfId="3162"/>
    <cellStyle name="Cálculo 2 25" xfId="29133"/>
    <cellStyle name="Cálculo 2 26" xfId="34787"/>
    <cellStyle name="Cálculo 2 3" xfId="3497"/>
    <cellStyle name="Cálculo 2 3 10" xfId="15530"/>
    <cellStyle name="Cálculo 2 3 11" xfId="16952"/>
    <cellStyle name="Cálculo 2 3 12" xfId="18859"/>
    <cellStyle name="Cálculo 2 3 13" xfId="20771"/>
    <cellStyle name="Cálculo 2 3 14" xfId="23156"/>
    <cellStyle name="Cálculo 2 3 15" xfId="24573"/>
    <cellStyle name="Cálculo 2 3 16" xfId="27547"/>
    <cellStyle name="Cálculo 2 3 17" xfId="28257"/>
    <cellStyle name="Cálculo 2 3 18" xfId="31128"/>
    <cellStyle name="Cálculo 2 3 19" xfId="32203"/>
    <cellStyle name="Cálculo 2 3 2" xfId="3677"/>
    <cellStyle name="Cálculo 2 3 2 10" xfId="17568"/>
    <cellStyle name="Cálculo 2 3 2 11" xfId="19474"/>
    <cellStyle name="Cálculo 2 3 2 12" xfId="21386"/>
    <cellStyle name="Cálculo 2 3 2 13" xfId="23401"/>
    <cellStyle name="Cálculo 2 3 2 14" xfId="25188"/>
    <cellStyle name="Cálculo 2 3 2 15" xfId="27701"/>
    <cellStyle name="Cálculo 2 3 2 16" xfId="22716"/>
    <cellStyle name="Cálculo 2 3 2 17" xfId="31275"/>
    <cellStyle name="Cálculo 2 3 2 18" xfId="33161"/>
    <cellStyle name="Cálculo 2 3 2 19" xfId="29608"/>
    <cellStyle name="Cálculo 2 3 2 2" xfId="5744"/>
    <cellStyle name="Cálculo 2 3 2 2 10" xfId="21994"/>
    <cellStyle name="Cálculo 2 3 2 2 11" xfId="23625"/>
    <cellStyle name="Cálculo 2 3 2 2 12" xfId="25796"/>
    <cellStyle name="Cálculo 2 3 2 2 13" xfId="27217"/>
    <cellStyle name="Cálculo 2 3 2 2 14" xfId="28712"/>
    <cellStyle name="Cálculo 2 3 2 2 15" xfId="30808"/>
    <cellStyle name="Cálculo 2 3 2 2 16" xfId="32397"/>
    <cellStyle name="Cálculo 2 3 2 2 17" xfId="34131"/>
    <cellStyle name="Cálculo 2 3 2 2 18" xfId="36623"/>
    <cellStyle name="Cálculo 2 3 2 2 19" xfId="38502"/>
    <cellStyle name="Cálculo 2 3 2 2 2" xfId="7193"/>
    <cellStyle name="Cálculo 2 3 2 2 20" xfId="39614"/>
    <cellStyle name="Cálculo 2 3 2 2 21" xfId="41288"/>
    <cellStyle name="Cálculo 2 3 2 2 22" xfId="43383"/>
    <cellStyle name="Cálculo 2 3 2 2 3" xfId="8647"/>
    <cellStyle name="Cálculo 2 3 2 2 4" xfId="10557"/>
    <cellStyle name="Cálculo 2 3 2 2 5" xfId="11379"/>
    <cellStyle name="Cálculo 2 3 2 2 6" xfId="14095"/>
    <cellStyle name="Cálculo 2 3 2 2 7" xfId="15998"/>
    <cellStyle name="Cálculo 2 3 2 2 8" xfId="18176"/>
    <cellStyle name="Cálculo 2 3 2 2 9" xfId="20082"/>
    <cellStyle name="Cálculo 2 3 2 20" xfId="36015"/>
    <cellStyle name="Cálculo 2 3 2 21" xfId="37894"/>
    <cellStyle name="Cálculo 2 3 2 22" xfId="40353"/>
    <cellStyle name="Cálculo 2 3 2 23" xfId="42009"/>
    <cellStyle name="Cálculo 2 3 2 24" xfId="43168"/>
    <cellStyle name="Cálculo 2 3 2 3" xfId="5138"/>
    <cellStyle name="Cálculo 2 3 2 3 2" xfId="45725"/>
    <cellStyle name="Cálculo 2 3 2 3 3" xfId="46114"/>
    <cellStyle name="Cálculo 2 3 2 3 4" xfId="46472"/>
    <cellStyle name="Cálculo 2 3 2 3 5" xfId="46824"/>
    <cellStyle name="Cálculo 2 3 2 3 6" xfId="47139"/>
    <cellStyle name="Cálculo 2 3 2 3 7" xfId="47458"/>
    <cellStyle name="Cálculo 2 3 2 3 8" xfId="47776"/>
    <cellStyle name="Cálculo 2 3 2 4" xfId="6588"/>
    <cellStyle name="Cálculo 2 3 2 4 2" xfId="45787"/>
    <cellStyle name="Cálculo 2 3 2 4 3" xfId="46176"/>
    <cellStyle name="Cálculo 2 3 2 4 4" xfId="46534"/>
    <cellStyle name="Cálculo 2 3 2 4 5" xfId="46886"/>
    <cellStyle name="Cálculo 2 3 2 4 6" xfId="47201"/>
    <cellStyle name="Cálculo 2 3 2 4 7" xfId="47520"/>
    <cellStyle name="Cálculo 2 3 2 4 8" xfId="47838"/>
    <cellStyle name="Cálculo 2 3 2 5" xfId="8039"/>
    <cellStyle name="Cálculo 2 3 2 5 2" xfId="45614"/>
    <cellStyle name="Cálculo 2 3 2 5 3" xfId="46003"/>
    <cellStyle name="Cálculo 2 3 2 5 4" xfId="46361"/>
    <cellStyle name="Cálculo 2 3 2 5 5" xfId="46713"/>
    <cellStyle name="Cálculo 2 3 2 5 6" xfId="47028"/>
    <cellStyle name="Cálculo 2 3 2 5 7" xfId="47347"/>
    <cellStyle name="Cálculo 2 3 2 5 8" xfId="47665"/>
    <cellStyle name="Cálculo 2 3 2 6" xfId="9949"/>
    <cellStyle name="Cálculo 2 3 2 7" xfId="10947"/>
    <cellStyle name="Cálculo 2 3 2 8" xfId="13873"/>
    <cellStyle name="Cálculo 2 3 2 9" xfId="15774"/>
    <cellStyle name="Cálculo 2 3 20" xfId="34624"/>
    <cellStyle name="Cálculo 2 3 21" xfId="35401"/>
    <cellStyle name="Cálculo 2 3 22" xfId="37279"/>
    <cellStyle name="Cálculo 2 3 23" xfId="39425"/>
    <cellStyle name="Cálculo 2 3 24" xfId="41101"/>
    <cellStyle name="Cálculo 2 3 25" xfId="42934"/>
    <cellStyle name="Cálculo 2 3 3" xfId="3799"/>
    <cellStyle name="Cálculo 2 3 3 10" xfId="19534"/>
    <cellStyle name="Cálculo 2 3 3 11" xfId="21446"/>
    <cellStyle name="Cálculo 2 3 3 12" xfId="22522"/>
    <cellStyle name="Cálculo 2 3 3 13" xfId="25248"/>
    <cellStyle name="Cálculo 2 3 3 14" xfId="26169"/>
    <cellStyle name="Cálculo 2 3 3 15" xfId="28769"/>
    <cellStyle name="Cálculo 2 3 3 16" xfId="29783"/>
    <cellStyle name="Cálculo 2 3 3 17" xfId="32512"/>
    <cellStyle name="Cálculo 2 3 3 18" xfId="34959"/>
    <cellStyle name="Cálculo 2 3 3 19" xfId="36075"/>
    <cellStyle name="Cálculo 2 3 3 2" xfId="5804"/>
    <cellStyle name="Cálculo 2 3 3 2 10" xfId="22054"/>
    <cellStyle name="Cálculo 2 3 3 2 11" xfId="23889"/>
    <cellStyle name="Cálculo 2 3 3 2 12" xfId="25856"/>
    <cellStyle name="Cálculo 2 3 3 2 13" xfId="27099"/>
    <cellStyle name="Cálculo 2 3 3 2 14" xfId="29272"/>
    <cellStyle name="Cálculo 2 3 3 2 15" xfId="30690"/>
    <cellStyle name="Cálculo 2 3 3 2 16" xfId="32089"/>
    <cellStyle name="Cálculo 2 3 3 2 17" xfId="33660"/>
    <cellStyle name="Cálculo 2 3 3 2 18" xfId="36683"/>
    <cellStyle name="Cálculo 2 3 3 2 19" xfId="38562"/>
    <cellStyle name="Cálculo 2 3 3 2 2" xfId="7253"/>
    <cellStyle name="Cálculo 2 3 3 2 20" xfId="39313"/>
    <cellStyle name="Cálculo 2 3 3 2 21" xfId="40989"/>
    <cellStyle name="Cálculo 2 3 3 2 22" xfId="43639"/>
    <cellStyle name="Cálculo 2 3 3 2 3" xfId="8707"/>
    <cellStyle name="Cálculo 2 3 3 2 4" xfId="10617"/>
    <cellStyle name="Cálculo 2 3 3 2 5" xfId="11490"/>
    <cellStyle name="Cálculo 2 3 3 2 6" xfId="14359"/>
    <cellStyle name="Cálculo 2 3 3 2 7" xfId="16264"/>
    <cellStyle name="Cálculo 2 3 3 2 8" xfId="18236"/>
    <cellStyle name="Cálculo 2 3 3 2 9" xfId="20142"/>
    <cellStyle name="Cálculo 2 3 3 20" xfId="37954"/>
    <cellStyle name="Cálculo 2 3 3 21" xfId="39727"/>
    <cellStyle name="Cálculo 2 3 3 22" xfId="41399"/>
    <cellStyle name="Cálculo 2 3 3 23" xfId="42332"/>
    <cellStyle name="Cálculo 2 3 3 3" xfId="5198"/>
    <cellStyle name="Cálculo 2 3 3 3 2" xfId="45740"/>
    <cellStyle name="Cálculo 2 3 3 3 3" xfId="46129"/>
    <cellStyle name="Cálculo 2 3 3 3 4" xfId="46487"/>
    <cellStyle name="Cálculo 2 3 3 3 5" xfId="46839"/>
    <cellStyle name="Cálculo 2 3 3 3 6" xfId="47154"/>
    <cellStyle name="Cálculo 2 3 3 3 7" xfId="47473"/>
    <cellStyle name="Cálculo 2 3 3 3 8" xfId="47791"/>
    <cellStyle name="Cálculo 2 3 3 4" xfId="8099"/>
    <cellStyle name="Cálculo 2 3 3 4 2" xfId="45802"/>
    <cellStyle name="Cálculo 2 3 3 4 3" xfId="46191"/>
    <cellStyle name="Cálculo 2 3 3 4 4" xfId="46549"/>
    <cellStyle name="Cálculo 2 3 3 4 5" xfId="46901"/>
    <cellStyle name="Cálculo 2 3 3 4 6" xfId="47216"/>
    <cellStyle name="Cálculo 2 3 3 4 7" xfId="47535"/>
    <cellStyle name="Cálculo 2 3 3 4 8" xfId="47853"/>
    <cellStyle name="Cálculo 2 3 3 5" xfId="10009"/>
    <cellStyle name="Cálculo 2 3 3 5 2" xfId="45855"/>
    <cellStyle name="Cálculo 2 3 3 5 3" xfId="46244"/>
    <cellStyle name="Cálculo 2 3 3 5 4" xfId="46602"/>
    <cellStyle name="Cálculo 2 3 3 5 5" xfId="46954"/>
    <cellStyle name="Cálculo 2 3 3 5 6" xfId="47269"/>
    <cellStyle name="Cálculo 2 3 3 5 7" xfId="47588"/>
    <cellStyle name="Cálculo 2 3 3 5 8" xfId="47906"/>
    <cellStyle name="Cálculo 2 3 3 6" xfId="10975"/>
    <cellStyle name="Cálculo 2 3 3 7" xfId="12990"/>
    <cellStyle name="Cálculo 2 3 3 8" xfId="14894"/>
    <cellStyle name="Cálculo 2 3 3 9" xfId="17628"/>
    <cellStyle name="Cálculo 2 3 4" xfId="4129"/>
    <cellStyle name="Cálculo 2 3 4 10" xfId="19764"/>
    <cellStyle name="Cálculo 2 3 4 11" xfId="21676"/>
    <cellStyle name="Cálculo 2 3 4 12" xfId="23162"/>
    <cellStyle name="Cálculo 2 3 4 13" xfId="25478"/>
    <cellStyle name="Cálculo 2 3 4 14" xfId="27315"/>
    <cellStyle name="Cálculo 2 3 4 15" xfId="28382"/>
    <cellStyle name="Cálculo 2 3 4 16" xfId="30905"/>
    <cellStyle name="Cálculo 2 3 4 17" xfId="32492"/>
    <cellStyle name="Cálculo 2 3 4 18" xfId="33382"/>
    <cellStyle name="Cálculo 2 3 4 19" xfId="36305"/>
    <cellStyle name="Cálculo 2 3 4 2" xfId="6034"/>
    <cellStyle name="Cálculo 2 3 4 2 10" xfId="22284"/>
    <cellStyle name="Cálculo 2 3 4 2 11" xfId="23545"/>
    <cellStyle name="Cálculo 2 3 4 2 12" xfId="26086"/>
    <cellStyle name="Cálculo 2 3 4 2 13" xfId="27644"/>
    <cellStyle name="Cálculo 2 3 4 2 14" xfId="29017"/>
    <cellStyle name="Cálculo 2 3 4 2 15" xfId="31221"/>
    <cellStyle name="Cálculo 2 3 4 2 16" xfId="32122"/>
    <cellStyle name="Cálculo 2 3 4 2 17" xfId="33448"/>
    <cellStyle name="Cálculo 2 3 4 2 18" xfId="36913"/>
    <cellStyle name="Cálculo 2 3 4 2 19" xfId="38792"/>
    <cellStyle name="Cálculo 2 3 4 2 2" xfId="7483"/>
    <cellStyle name="Cálculo 2 3 4 2 20" xfId="39346"/>
    <cellStyle name="Cálculo 2 3 4 2 21" xfId="41022"/>
    <cellStyle name="Cálculo 2 3 4 2 22" xfId="43309"/>
    <cellStyle name="Cálculo 2 3 4 2 3" xfId="8937"/>
    <cellStyle name="Cálculo 2 3 4 2 4" xfId="10847"/>
    <cellStyle name="Cálculo 2 3 4 2 5" xfId="12593"/>
    <cellStyle name="Cálculo 2 3 4 2 6" xfId="14017"/>
    <cellStyle name="Cálculo 2 3 4 2 7" xfId="15918"/>
    <cellStyle name="Cálculo 2 3 4 2 8" xfId="18466"/>
    <cellStyle name="Cálculo 2 3 4 2 9" xfId="20372"/>
    <cellStyle name="Cálculo 2 3 4 20" xfId="38184"/>
    <cellStyle name="Cálculo 2 3 4 21" xfId="39707"/>
    <cellStyle name="Cálculo 2 3 4 22" xfId="41379"/>
    <cellStyle name="Cálculo 2 3 4 23" xfId="42940"/>
    <cellStyle name="Cálculo 2 3 4 3" xfId="6875"/>
    <cellStyle name="Cálculo 2 3 4 3 2" xfId="45774"/>
    <cellStyle name="Cálculo 2 3 4 3 3" xfId="46163"/>
    <cellStyle name="Cálculo 2 3 4 3 4" xfId="46521"/>
    <cellStyle name="Cálculo 2 3 4 3 5" xfId="46873"/>
    <cellStyle name="Cálculo 2 3 4 3 6" xfId="47188"/>
    <cellStyle name="Cálculo 2 3 4 3 7" xfId="47507"/>
    <cellStyle name="Cálculo 2 3 4 3 8" xfId="47825"/>
    <cellStyle name="Cálculo 2 3 4 4" xfId="8329"/>
    <cellStyle name="Cálculo 2 3 4 4 2" xfId="45843"/>
    <cellStyle name="Cálculo 2 3 4 4 3" xfId="46232"/>
    <cellStyle name="Cálculo 2 3 4 4 4" xfId="46590"/>
    <cellStyle name="Cálculo 2 3 4 4 5" xfId="46942"/>
    <cellStyle name="Cálculo 2 3 4 4 6" xfId="47257"/>
    <cellStyle name="Cálculo 2 3 4 4 7" xfId="47576"/>
    <cellStyle name="Cálculo 2 3 4 4 8" xfId="47894"/>
    <cellStyle name="Cálculo 2 3 4 5" xfId="10239"/>
    <cellStyle name="Cálculo 2 3 4 5 2" xfId="45880"/>
    <cellStyle name="Cálculo 2 3 4 5 3" xfId="46269"/>
    <cellStyle name="Cálculo 2 3 4 5 4" xfId="46627"/>
    <cellStyle name="Cálculo 2 3 4 5 5" xfId="46979"/>
    <cellStyle name="Cálculo 2 3 4 5 6" xfId="47294"/>
    <cellStyle name="Cálculo 2 3 4 5 7" xfId="47613"/>
    <cellStyle name="Cálculo 2 3 4 5 8" xfId="47931"/>
    <cellStyle name="Cálculo 2 3 4 6" xfId="10969"/>
    <cellStyle name="Cálculo 2 3 4 7" xfId="13633"/>
    <cellStyle name="Cálculo 2 3 4 8" xfId="15536"/>
    <cellStyle name="Cálculo 2 3 4 9" xfId="17858"/>
    <cellStyle name="Cálculo 2 3 5" xfId="5550"/>
    <cellStyle name="Cálculo 2 3 5 10" xfId="21800"/>
    <cellStyle name="Cálculo 2 3 5 11" xfId="23714"/>
    <cellStyle name="Cálculo 2 3 5 12" xfId="25602"/>
    <cellStyle name="Cálculo 2 3 5 13" xfId="27141"/>
    <cellStyle name="Cálculo 2 3 5 14" xfId="27459"/>
    <cellStyle name="Cálculo 2 3 5 15" xfId="30732"/>
    <cellStyle name="Cálculo 2 3 5 16" xfId="33281"/>
    <cellStyle name="Cálculo 2 3 5 17" xfId="34360"/>
    <cellStyle name="Cálculo 2 3 5 18" xfId="36429"/>
    <cellStyle name="Cálculo 2 3 5 19" xfId="38308"/>
    <cellStyle name="Cálculo 2 3 5 2" xfId="6999"/>
    <cellStyle name="Cálculo 2 3 5 20" xfId="40466"/>
    <cellStyle name="Cálculo 2 3 5 21" xfId="42121"/>
    <cellStyle name="Cálculo 2 3 5 22" xfId="43471"/>
    <cellStyle name="Cálculo 2 3 5 3" xfId="8453"/>
    <cellStyle name="Cálculo 2 3 5 4" xfId="10363"/>
    <cellStyle name="Cálculo 2 3 5 5" xfId="11372"/>
    <cellStyle name="Cálculo 2 3 5 6" xfId="14184"/>
    <cellStyle name="Cálculo 2 3 5 7" xfId="16088"/>
    <cellStyle name="Cálculo 2 3 5 8" xfId="17982"/>
    <cellStyle name="Cálculo 2 3 5 9" xfId="19888"/>
    <cellStyle name="Cálculo 2 3 6" xfId="6716"/>
    <cellStyle name="Cálculo 2 3 6 2" xfId="45666"/>
    <cellStyle name="Cálculo 2 3 6 3" xfId="46055"/>
    <cellStyle name="Cálculo 2 3 6 4" xfId="46413"/>
    <cellStyle name="Cálculo 2 3 6 5" xfId="46765"/>
    <cellStyle name="Cálculo 2 3 6 6" xfId="47080"/>
    <cellStyle name="Cálculo 2 3 6 7" xfId="47399"/>
    <cellStyle name="Cálculo 2 3 6 8" xfId="47717"/>
    <cellStyle name="Cálculo 2 3 7" xfId="9333"/>
    <cellStyle name="Cálculo 2 3 7 2" xfId="45826"/>
    <cellStyle name="Cálculo 2 3 7 3" xfId="46215"/>
    <cellStyle name="Cálculo 2 3 7 4" xfId="46573"/>
    <cellStyle name="Cálculo 2 3 7 5" xfId="46925"/>
    <cellStyle name="Cálculo 2 3 7 6" xfId="47240"/>
    <cellStyle name="Cálculo 2 3 7 7" xfId="47559"/>
    <cellStyle name="Cálculo 2 3 7 8" xfId="47877"/>
    <cellStyle name="Cálculo 2 3 8" xfId="10954"/>
    <cellStyle name="Cálculo 2 3 9" xfId="13627"/>
    <cellStyle name="Cálculo 2 4" xfId="3006"/>
    <cellStyle name="Cálculo 2 4 10" xfId="17230"/>
    <cellStyle name="Cálculo 2 4 11" xfId="19136"/>
    <cellStyle name="Cálculo 2 4 12" xfId="21048"/>
    <cellStyle name="Cálculo 2 4 13" xfId="23692"/>
    <cellStyle name="Cálculo 2 4 14" xfId="24850"/>
    <cellStyle name="Cálculo 2 4 15" xfId="27037"/>
    <cellStyle name="Cálculo 2 4 16" xfId="28786"/>
    <cellStyle name="Cálculo 2 4 17" xfId="30630"/>
    <cellStyle name="Cálculo 2 4 18" xfId="32745"/>
    <cellStyle name="Cálculo 2 4 19" xfId="34673"/>
    <cellStyle name="Cálculo 2 4 2" xfId="4299"/>
    <cellStyle name="Cálculo 2 4 2 10" xfId="20457"/>
    <cellStyle name="Cálculo 2 4 2 11" xfId="23666"/>
    <cellStyle name="Cálculo 2 4 2 12" xfId="24259"/>
    <cellStyle name="Cálculo 2 4 2 13" xfId="26452"/>
    <cellStyle name="Cálculo 2 4 2 14" xfId="28617"/>
    <cellStyle name="Cálculo 2 4 2 15" xfId="30058"/>
    <cellStyle name="Cálculo 2 4 2 16" xfId="33133"/>
    <cellStyle name="Cálculo 2 4 2 17" xfId="34771"/>
    <cellStyle name="Cálculo 2 4 2 18" xfId="35087"/>
    <cellStyle name="Cálculo 2 4 2 19" xfId="36965"/>
    <cellStyle name="Cálculo 2 4 2 2" xfId="5384"/>
    <cellStyle name="Cálculo 2 4 2 2 2" xfId="45952"/>
    <cellStyle name="Cálculo 2 4 2 2 3" xfId="46310"/>
    <cellStyle name="Cálculo 2 4 2 2 4" xfId="46662"/>
    <cellStyle name="Cálculo 2 4 2 2 5" xfId="45488"/>
    <cellStyle name="Cálculo 2 4 2 20" xfId="40327"/>
    <cellStyle name="Cálculo 2 4 2 21" xfId="41983"/>
    <cellStyle name="Cálculo 2 4 2 22" xfId="43424"/>
    <cellStyle name="Cálculo 2 4 2 3" xfId="6661"/>
    <cellStyle name="Cálculo 2 4 2 3 2" xfId="45726"/>
    <cellStyle name="Cálculo 2 4 2 3 3" xfId="46115"/>
    <cellStyle name="Cálculo 2 4 2 3 4" xfId="46473"/>
    <cellStyle name="Cálculo 2 4 2 3 5" xfId="46825"/>
    <cellStyle name="Cálculo 2 4 2 3 6" xfId="47140"/>
    <cellStyle name="Cálculo 2 4 2 3 7" xfId="47459"/>
    <cellStyle name="Cálculo 2 4 2 3 8" xfId="47777"/>
    <cellStyle name="Cálculo 2 4 2 4" xfId="9019"/>
    <cellStyle name="Cálculo 2 4 2 4 2" xfId="45788"/>
    <cellStyle name="Cálculo 2 4 2 4 3" xfId="46177"/>
    <cellStyle name="Cálculo 2 4 2 4 4" xfId="46535"/>
    <cellStyle name="Cálculo 2 4 2 4 5" xfId="46887"/>
    <cellStyle name="Cálculo 2 4 2 4 6" xfId="47202"/>
    <cellStyle name="Cálculo 2 4 2 4 7" xfId="47521"/>
    <cellStyle name="Cálculo 2 4 2 4 8" xfId="47839"/>
    <cellStyle name="Cálculo 2 4 2 5" xfId="11573"/>
    <cellStyle name="Cálculo 2 4 2 5 2" xfId="45637"/>
    <cellStyle name="Cálculo 2 4 2 5 3" xfId="46026"/>
    <cellStyle name="Cálculo 2 4 2 5 4" xfId="46384"/>
    <cellStyle name="Cálculo 2 4 2 5 5" xfId="46736"/>
    <cellStyle name="Cálculo 2 4 2 5 6" xfId="47051"/>
    <cellStyle name="Cálculo 2 4 2 5 7" xfId="47370"/>
    <cellStyle name="Cálculo 2 4 2 5 8" xfId="47688"/>
    <cellStyle name="Cálculo 2 4 2 6" xfId="14137"/>
    <cellStyle name="Cálculo 2 4 2 7" xfId="16040"/>
    <cellStyle name="Cálculo 2 4 2 8" xfId="16638"/>
    <cellStyle name="Cálculo 2 4 2 9" xfId="18545"/>
    <cellStyle name="Cálculo 2 4 20" xfId="35677"/>
    <cellStyle name="Cálculo 2 4 21" xfId="37556"/>
    <cellStyle name="Cálculo 2 4 22" xfId="39954"/>
    <cellStyle name="Cálculo 2 4 23" xfId="41618"/>
    <cellStyle name="Cálculo 2 4 24" xfId="43449"/>
    <cellStyle name="Cálculo 2 4 3" xfId="4800"/>
    <cellStyle name="Cálculo 2 4 3 2" xfId="45358"/>
    <cellStyle name="Cálculo 2 4 3 2 2" xfId="45960"/>
    <cellStyle name="Cálculo 2 4 3 2 3" xfId="46318"/>
    <cellStyle name="Cálculo 2 4 3 2 4" xfId="46670"/>
    <cellStyle name="Cálculo 2 4 3 2 5" xfId="47622"/>
    <cellStyle name="Cálculo 2 4 3 3" xfId="45416"/>
    <cellStyle name="Cálculo 2 4 3 3 2" xfId="45741"/>
    <cellStyle name="Cálculo 2 4 3 3 3" xfId="46130"/>
    <cellStyle name="Cálculo 2 4 3 3 4" xfId="46488"/>
    <cellStyle name="Cálculo 2 4 3 3 5" xfId="46840"/>
    <cellStyle name="Cálculo 2 4 3 3 6" xfId="47155"/>
    <cellStyle name="Cálculo 2 4 3 3 7" xfId="47474"/>
    <cellStyle name="Cálculo 2 4 3 3 8" xfId="47792"/>
    <cellStyle name="Cálculo 2 4 3 4" xfId="45443"/>
    <cellStyle name="Cálculo 2 4 3 4 2" xfId="45803"/>
    <cellStyle name="Cálculo 2 4 3 4 3" xfId="46192"/>
    <cellStyle name="Cálculo 2 4 3 4 4" xfId="46550"/>
    <cellStyle name="Cálculo 2 4 3 4 5" xfId="46902"/>
    <cellStyle name="Cálculo 2 4 3 4 6" xfId="47217"/>
    <cellStyle name="Cálculo 2 4 3 4 7" xfId="47536"/>
    <cellStyle name="Cálculo 2 4 3 4 8" xfId="47854"/>
    <cellStyle name="Cálculo 2 4 3 5" xfId="45467"/>
    <cellStyle name="Cálculo 2 4 3 5 2" xfId="45856"/>
    <cellStyle name="Cálculo 2 4 3 5 3" xfId="46245"/>
    <cellStyle name="Cálculo 2 4 3 5 4" xfId="46603"/>
    <cellStyle name="Cálculo 2 4 3 5 5" xfId="46955"/>
    <cellStyle name="Cálculo 2 4 3 5 6" xfId="47270"/>
    <cellStyle name="Cálculo 2 4 3 5 7" xfId="47589"/>
    <cellStyle name="Cálculo 2 4 3 5 8" xfId="47907"/>
    <cellStyle name="Cálculo 2 4 3 6" xfId="45907"/>
    <cellStyle name="Cálculo 2 4 3 7" xfId="45550"/>
    <cellStyle name="Cálculo 2 4 3 8" xfId="45516"/>
    <cellStyle name="Cálculo 2 4 3 9" xfId="45327"/>
    <cellStyle name="Cálculo 2 4 4" xfId="6250"/>
    <cellStyle name="Cálculo 2 4 4 2" xfId="45371"/>
    <cellStyle name="Cálculo 2 4 4 2 2" xfId="45978"/>
    <cellStyle name="Cálculo 2 4 4 2 3" xfId="46336"/>
    <cellStyle name="Cálculo 2 4 4 2 4" xfId="46688"/>
    <cellStyle name="Cálculo 2 4 4 2 5" xfId="47640"/>
    <cellStyle name="Cálculo 2 4 4 3" xfId="45430"/>
    <cellStyle name="Cálculo 2 4 4 3 2" xfId="45775"/>
    <cellStyle name="Cálculo 2 4 4 3 3" xfId="46164"/>
    <cellStyle name="Cálculo 2 4 4 3 4" xfId="46522"/>
    <cellStyle name="Cálculo 2 4 4 3 5" xfId="46874"/>
    <cellStyle name="Cálculo 2 4 4 3 6" xfId="47189"/>
    <cellStyle name="Cálculo 2 4 4 3 7" xfId="47508"/>
    <cellStyle name="Cálculo 2 4 4 3 8" xfId="47826"/>
    <cellStyle name="Cálculo 2 4 4 4" xfId="45460"/>
    <cellStyle name="Cálculo 2 4 4 4 2" xfId="45844"/>
    <cellStyle name="Cálculo 2 4 4 4 3" xfId="46233"/>
    <cellStyle name="Cálculo 2 4 4 4 4" xfId="46591"/>
    <cellStyle name="Cálculo 2 4 4 4 5" xfId="46943"/>
    <cellStyle name="Cálculo 2 4 4 4 6" xfId="47258"/>
    <cellStyle name="Cálculo 2 4 4 4 7" xfId="47577"/>
    <cellStyle name="Cálculo 2 4 4 4 8" xfId="47895"/>
    <cellStyle name="Cálculo 2 4 4 5" xfId="45480"/>
    <cellStyle name="Cálculo 2 4 4 5 2" xfId="45881"/>
    <cellStyle name="Cálculo 2 4 4 5 3" xfId="46270"/>
    <cellStyle name="Cálculo 2 4 4 5 4" xfId="46628"/>
    <cellStyle name="Cálculo 2 4 4 5 5" xfId="46980"/>
    <cellStyle name="Cálculo 2 4 4 5 6" xfId="47295"/>
    <cellStyle name="Cálculo 2 4 4 5 7" xfId="47614"/>
    <cellStyle name="Cálculo 2 4 4 5 8" xfId="47932"/>
    <cellStyle name="Cálculo 2 4 4 6" xfId="45920"/>
    <cellStyle name="Cálculo 2 4 4 7" xfId="45525"/>
    <cellStyle name="Cálculo 2 4 4 8" xfId="45524"/>
    <cellStyle name="Cálculo 2 4 4 9" xfId="47951"/>
    <cellStyle name="Cálculo 2 4 5" xfId="7701"/>
    <cellStyle name="Cálculo 2 4 5 2" xfId="45574"/>
    <cellStyle name="Cálculo 2 4 5 3" xfId="45923"/>
    <cellStyle name="Cálculo 2 4 5 4" xfId="46281"/>
    <cellStyle name="Cálculo 2 4 5 5" xfId="46633"/>
    <cellStyle name="Cálculo 2 4 5 6" xfId="46984"/>
    <cellStyle name="Cálculo 2 4 5 7" xfId="47301"/>
    <cellStyle name="Cálculo 2 4 5 8" xfId="45489"/>
    <cellStyle name="Cálculo 2 4 6" xfId="9611"/>
    <cellStyle name="Cálculo 2 4 6 2" xfId="45667"/>
    <cellStyle name="Cálculo 2 4 6 3" xfId="46056"/>
    <cellStyle name="Cálculo 2 4 6 4" xfId="46414"/>
    <cellStyle name="Cálculo 2 4 6 5" xfId="46766"/>
    <cellStyle name="Cálculo 2 4 6 6" xfId="47081"/>
    <cellStyle name="Cálculo 2 4 6 7" xfId="47400"/>
    <cellStyle name="Cálculo 2 4 6 8" xfId="47718"/>
    <cellStyle name="Cálculo 2 4 7" xfId="11721"/>
    <cellStyle name="Cálculo 2 4 7 2" xfId="45647"/>
    <cellStyle name="Cálculo 2 4 7 3" xfId="46036"/>
    <cellStyle name="Cálculo 2 4 7 4" xfId="46394"/>
    <cellStyle name="Cálculo 2 4 7 5" xfId="46746"/>
    <cellStyle name="Cálculo 2 4 7 6" xfId="47061"/>
    <cellStyle name="Cálculo 2 4 7 7" xfId="47380"/>
    <cellStyle name="Cálculo 2 4 7 8" xfId="47698"/>
    <cellStyle name="Cálculo 2 4 8" xfId="14162"/>
    <cellStyle name="Cálculo 2 4 9" xfId="16066"/>
    <cellStyle name="Cálculo 2 5" xfId="1948"/>
    <cellStyle name="Cálculo 2 5 10" xfId="18991"/>
    <cellStyle name="Cálculo 2 5 11" xfId="20903"/>
    <cellStyle name="Cálculo 2 5 12" xfId="22395"/>
    <cellStyle name="Cálculo 2 5 13" xfId="24705"/>
    <cellStyle name="Cálculo 2 5 14" xfId="26457"/>
    <cellStyle name="Cálculo 2 5 15" xfId="29488"/>
    <cellStyle name="Cálculo 2 5 16" xfId="30063"/>
    <cellStyle name="Cálculo 2 5 17" xfId="32930"/>
    <cellStyle name="Cálculo 2 5 18" xfId="34486"/>
    <cellStyle name="Cálculo 2 5 19" xfId="35532"/>
    <cellStyle name="Cálculo 2 5 2" xfId="4510"/>
    <cellStyle name="Cálculo 2 5 2 10" xfId="20755"/>
    <cellStyle name="Cálculo 2 5 2 11" xfId="23778"/>
    <cellStyle name="Cálculo 2 5 2 12" xfId="24557"/>
    <cellStyle name="Cálculo 2 5 2 13" xfId="27353"/>
    <cellStyle name="Cálculo 2 5 2 14" xfId="28915"/>
    <cellStyle name="Cálculo 2 5 2 15" xfId="30942"/>
    <cellStyle name="Cálculo 2 5 2 16" xfId="32075"/>
    <cellStyle name="Cálculo 2 5 2 17" xfId="34203"/>
    <cellStyle name="Cálculo 2 5 2 18" xfId="35385"/>
    <cellStyle name="Cálculo 2 5 2 19" xfId="37263"/>
    <cellStyle name="Cálculo 2 5 2 2" xfId="5317"/>
    <cellStyle name="Cálculo 2 5 2 2 2" xfId="45584"/>
    <cellStyle name="Cálculo 2 5 2 2 3" xfId="45938"/>
    <cellStyle name="Cálculo 2 5 2 2 4" xfId="46296"/>
    <cellStyle name="Cálculo 2 5 2 2 5" xfId="46648"/>
    <cellStyle name="Cálculo 2 5 2 2 6" xfId="46994"/>
    <cellStyle name="Cálculo 2 5 2 2 7" xfId="47313"/>
    <cellStyle name="Cálculo 2 5 2 2 8" xfId="45519"/>
    <cellStyle name="Cálculo 2 5 2 20" xfId="39299"/>
    <cellStyle name="Cálculo 2 5 2 21" xfId="40975"/>
    <cellStyle name="Cálculo 2 5 2 22" xfId="43531"/>
    <cellStyle name="Cálculo 2 5 2 3" xfId="6102"/>
    <cellStyle name="Cálculo 2 5 2 3 2" xfId="45702"/>
    <cellStyle name="Cálculo 2 5 2 3 3" xfId="46091"/>
    <cellStyle name="Cálculo 2 5 2 3 4" xfId="46449"/>
    <cellStyle name="Cálculo 2 5 2 3 5" xfId="46801"/>
    <cellStyle name="Cálculo 2 5 2 3 6" xfId="47116"/>
    <cellStyle name="Cálculo 2 5 2 3 7" xfId="47435"/>
    <cellStyle name="Cálculo 2 5 2 3 8" xfId="47753"/>
    <cellStyle name="Cálculo 2 5 2 4" xfId="9317"/>
    <cellStyle name="Cálculo 2 5 2 4 2" xfId="45605"/>
    <cellStyle name="Cálculo 2 5 2 4 3" xfId="45994"/>
    <cellStyle name="Cálculo 2 5 2 4 4" xfId="46352"/>
    <cellStyle name="Cálculo 2 5 2 4 5" xfId="46704"/>
    <cellStyle name="Cálculo 2 5 2 4 6" xfId="47019"/>
    <cellStyle name="Cálculo 2 5 2 4 7" xfId="47338"/>
    <cellStyle name="Cálculo 2 5 2 4 8" xfId="47656"/>
    <cellStyle name="Cálculo 2 5 2 5" xfId="11649"/>
    <cellStyle name="Cálculo 2 5 2 6" xfId="14248"/>
    <cellStyle name="Cálculo 2 5 2 7" xfId="16152"/>
    <cellStyle name="Cálculo 2 5 2 8" xfId="16936"/>
    <cellStyle name="Cálculo 2 5 2 9" xfId="18843"/>
    <cellStyle name="Cálculo 2 5 20" xfId="37411"/>
    <cellStyle name="Cálculo 2 5 21" xfId="40134"/>
    <cellStyle name="Cálculo 2 5 22" xfId="41793"/>
    <cellStyle name="Cálculo 2 5 23" xfId="42206"/>
    <cellStyle name="Cálculo 2 5 3" xfId="4659"/>
    <cellStyle name="Cálculo 2 5 3 2" xfId="45347"/>
    <cellStyle name="Cálculo 2 5 3 2 2" xfId="45946"/>
    <cellStyle name="Cálculo 2 5 3 2 3" xfId="46304"/>
    <cellStyle name="Cálculo 2 5 3 2 4" xfId="46656"/>
    <cellStyle name="Cálculo 2 5 3 2 5" xfId="45514"/>
    <cellStyle name="Cálculo 2 5 3 3" xfId="45405"/>
    <cellStyle name="Cálculo 2 5 3 3 2" xfId="45717"/>
    <cellStyle name="Cálculo 2 5 3 3 3" xfId="46106"/>
    <cellStyle name="Cálculo 2 5 3 3 4" xfId="46464"/>
    <cellStyle name="Cálculo 2 5 3 3 5" xfId="46816"/>
    <cellStyle name="Cálculo 2 5 3 3 6" xfId="47131"/>
    <cellStyle name="Cálculo 2 5 3 3 7" xfId="47450"/>
    <cellStyle name="Cálculo 2 5 3 3 8" xfId="47768"/>
    <cellStyle name="Cálculo 2 5 3 4" xfId="45432"/>
    <cellStyle name="Cálculo 2 5 3 4 2" xfId="45779"/>
    <cellStyle name="Cálculo 2 5 3 4 3" xfId="46168"/>
    <cellStyle name="Cálculo 2 5 3 4 4" xfId="46526"/>
    <cellStyle name="Cálculo 2 5 3 4 5" xfId="46878"/>
    <cellStyle name="Cálculo 2 5 3 4 6" xfId="47193"/>
    <cellStyle name="Cálculo 2 5 3 4 7" xfId="47512"/>
    <cellStyle name="Cálculo 2 5 3 4 8" xfId="47830"/>
    <cellStyle name="Cálculo 2 5 3 5" xfId="45389"/>
    <cellStyle name="Cálculo 2 5 3 5 2" xfId="45641"/>
    <cellStyle name="Cálculo 2 5 3 5 3" xfId="46030"/>
    <cellStyle name="Cálculo 2 5 3 5 4" xfId="46388"/>
    <cellStyle name="Cálculo 2 5 3 5 5" xfId="46740"/>
    <cellStyle name="Cálculo 2 5 3 5 6" xfId="47055"/>
    <cellStyle name="Cálculo 2 5 3 5 7" xfId="47374"/>
    <cellStyle name="Cálculo 2 5 3 5 8" xfId="47692"/>
    <cellStyle name="Cálculo 2 5 3 6" xfId="45896"/>
    <cellStyle name="Cálculo 2 5 3 7" xfId="45483"/>
    <cellStyle name="Cálculo 2 5 3 8" xfId="47300"/>
    <cellStyle name="Cálculo 2 5 3 9" xfId="45316"/>
    <cellStyle name="Cálculo 2 5 4" xfId="7556"/>
    <cellStyle name="Cálculo 2 5 4 2" xfId="45352"/>
    <cellStyle name="Cálculo 2 5 4 2 2" xfId="45954"/>
    <cellStyle name="Cálculo 2 5 4 2 3" xfId="46312"/>
    <cellStyle name="Cálculo 2 5 4 2 4" xfId="46664"/>
    <cellStyle name="Cálculo 2 5 4 2 5" xfId="45527"/>
    <cellStyle name="Cálculo 2 5 4 3" xfId="45410"/>
    <cellStyle name="Cálculo 2 5 4 3 2" xfId="45732"/>
    <cellStyle name="Cálculo 2 5 4 3 3" xfId="46121"/>
    <cellStyle name="Cálculo 2 5 4 3 4" xfId="46479"/>
    <cellStyle name="Cálculo 2 5 4 3 5" xfId="46831"/>
    <cellStyle name="Cálculo 2 5 4 3 6" xfId="47146"/>
    <cellStyle name="Cálculo 2 5 4 3 7" xfId="47465"/>
    <cellStyle name="Cálculo 2 5 4 3 8" xfId="47783"/>
    <cellStyle name="Cálculo 2 5 4 4" xfId="45437"/>
    <cellStyle name="Cálculo 2 5 4 4 2" xfId="45794"/>
    <cellStyle name="Cálculo 2 5 4 4 3" xfId="46183"/>
    <cellStyle name="Cálculo 2 5 4 4 4" xfId="46541"/>
    <cellStyle name="Cálculo 2 5 4 4 5" xfId="46893"/>
    <cellStyle name="Cálculo 2 5 4 4 6" xfId="47208"/>
    <cellStyle name="Cálculo 2 5 4 4 7" xfId="47527"/>
    <cellStyle name="Cálculo 2 5 4 4 8" xfId="47845"/>
    <cellStyle name="Cálculo 2 5 4 5" xfId="45388"/>
    <cellStyle name="Cálculo 2 5 4 5 2" xfId="45640"/>
    <cellStyle name="Cálculo 2 5 4 5 3" xfId="46029"/>
    <cellStyle name="Cálculo 2 5 4 5 4" xfId="46387"/>
    <cellStyle name="Cálculo 2 5 4 5 5" xfId="46739"/>
    <cellStyle name="Cálculo 2 5 4 5 6" xfId="47054"/>
    <cellStyle name="Cálculo 2 5 4 5 7" xfId="47373"/>
    <cellStyle name="Cálculo 2 5 4 5 8" xfId="47691"/>
    <cellStyle name="Cálculo 2 5 4 6" xfId="45901"/>
    <cellStyle name="Cálculo 2 5 4 7" xfId="45537"/>
    <cellStyle name="Cálculo 2 5 4 8" xfId="45485"/>
    <cellStyle name="Cálculo 2 5 4 9" xfId="45321"/>
    <cellStyle name="Cálculo 2 5 5" xfId="9466"/>
    <cellStyle name="Cálculo 2 5 5 2" xfId="45360"/>
    <cellStyle name="Cálculo 2 5 5 2 2" xfId="45962"/>
    <cellStyle name="Cálculo 2 5 5 2 3" xfId="46320"/>
    <cellStyle name="Cálculo 2 5 5 2 4" xfId="46672"/>
    <cellStyle name="Cálculo 2 5 5 2 5" xfId="47624"/>
    <cellStyle name="Cálculo 2 5 5 3" xfId="45418"/>
    <cellStyle name="Cálculo 2 5 5 3 2" xfId="45745"/>
    <cellStyle name="Cálculo 2 5 5 3 3" xfId="46134"/>
    <cellStyle name="Cálculo 2 5 5 3 4" xfId="46492"/>
    <cellStyle name="Cálculo 2 5 5 3 5" xfId="46844"/>
    <cellStyle name="Cálculo 2 5 5 3 6" xfId="47159"/>
    <cellStyle name="Cálculo 2 5 5 3 7" xfId="47478"/>
    <cellStyle name="Cálculo 2 5 5 3 8" xfId="47796"/>
    <cellStyle name="Cálculo 2 5 5 4" xfId="45445"/>
    <cellStyle name="Cálculo 2 5 5 4 2" xfId="45807"/>
    <cellStyle name="Cálculo 2 5 5 4 3" xfId="46196"/>
    <cellStyle name="Cálculo 2 5 5 4 4" xfId="46554"/>
    <cellStyle name="Cálculo 2 5 5 4 5" xfId="46906"/>
    <cellStyle name="Cálculo 2 5 5 4 6" xfId="47221"/>
    <cellStyle name="Cálculo 2 5 5 4 7" xfId="47540"/>
    <cellStyle name="Cálculo 2 5 5 4 8" xfId="47858"/>
    <cellStyle name="Cálculo 2 5 5 5" xfId="45469"/>
    <cellStyle name="Cálculo 2 5 5 5 2" xfId="45860"/>
    <cellStyle name="Cálculo 2 5 5 5 3" xfId="46249"/>
    <cellStyle name="Cálculo 2 5 5 5 4" xfId="46607"/>
    <cellStyle name="Cálculo 2 5 5 5 5" xfId="46959"/>
    <cellStyle name="Cálculo 2 5 5 5 6" xfId="47274"/>
    <cellStyle name="Cálculo 2 5 5 5 7" xfId="47593"/>
    <cellStyle name="Cálculo 2 5 5 5 8" xfId="47911"/>
    <cellStyle name="Cálculo 2 5 5 6" xfId="45909"/>
    <cellStyle name="Cálculo 2 5 5 7" xfId="45562"/>
    <cellStyle name="Cálculo 2 5 5 8" xfId="45561"/>
    <cellStyle name="Cálculo 2 5 5 9" xfId="47940"/>
    <cellStyle name="Cálculo 2 5 6" xfId="5398"/>
    <cellStyle name="Cálculo 2 5 6 10" xfId="47945"/>
    <cellStyle name="Cálculo 2 5 6 2" xfId="45365"/>
    <cellStyle name="Cálculo 2 5 6 2 2" xfId="45972"/>
    <cellStyle name="Cálculo 2 5 6 2 3" xfId="46330"/>
    <cellStyle name="Cálculo 2 5 6 2 4" xfId="46682"/>
    <cellStyle name="Cálculo 2 5 6 2 5" xfId="47634"/>
    <cellStyle name="Cálculo 2 5 6 3" xfId="45424"/>
    <cellStyle name="Cálculo 2 5 6 3 2" xfId="45766"/>
    <cellStyle name="Cálculo 2 5 6 3 3" xfId="46155"/>
    <cellStyle name="Cálculo 2 5 6 3 4" xfId="46513"/>
    <cellStyle name="Cálculo 2 5 6 3 5" xfId="46865"/>
    <cellStyle name="Cálculo 2 5 6 3 6" xfId="47180"/>
    <cellStyle name="Cálculo 2 5 6 3 7" xfId="47499"/>
    <cellStyle name="Cálculo 2 5 6 3 8" xfId="47817"/>
    <cellStyle name="Cálculo 2 5 6 4" xfId="45454"/>
    <cellStyle name="Cálculo 2 5 6 4 2" xfId="45835"/>
    <cellStyle name="Cálculo 2 5 6 4 3" xfId="46224"/>
    <cellStyle name="Cálculo 2 5 6 4 4" xfId="46582"/>
    <cellStyle name="Cálculo 2 5 6 4 5" xfId="46934"/>
    <cellStyle name="Cálculo 2 5 6 4 6" xfId="47249"/>
    <cellStyle name="Cálculo 2 5 6 4 7" xfId="47568"/>
    <cellStyle name="Cálculo 2 5 6 4 8" xfId="47886"/>
    <cellStyle name="Cálculo 2 5 6 5" xfId="45474"/>
    <cellStyle name="Cálculo 2 5 6 5 2" xfId="45872"/>
    <cellStyle name="Cálculo 2 5 6 5 3" xfId="46261"/>
    <cellStyle name="Cálculo 2 5 6 5 4" xfId="46619"/>
    <cellStyle name="Cálculo 2 5 6 5 5" xfId="46971"/>
    <cellStyle name="Cálculo 2 5 6 5 6" xfId="47286"/>
    <cellStyle name="Cálculo 2 5 6 5 7" xfId="47605"/>
    <cellStyle name="Cálculo 2 5 6 5 8" xfId="47923"/>
    <cellStyle name="Cálculo 2 5 6 6" xfId="45914"/>
    <cellStyle name="Cálculo 2 5 6 7" xfId="45523"/>
    <cellStyle name="Cálculo 2 5 6 8" xfId="45511"/>
    <cellStyle name="Cálculo 2 5 6 9" xfId="45330"/>
    <cellStyle name="Cálculo 2 5 7" xfId="12862"/>
    <cellStyle name="Cálculo 2 5 7 2" xfId="45575"/>
    <cellStyle name="Cálculo 2 5 7 3" xfId="45924"/>
    <cellStyle name="Cálculo 2 5 7 4" xfId="46282"/>
    <cellStyle name="Cálculo 2 5 7 5" xfId="46634"/>
    <cellStyle name="Cálculo 2 5 7 6" xfId="46985"/>
    <cellStyle name="Cálculo 2 5 7 7" xfId="47302"/>
    <cellStyle name="Cálculo 2 5 7 8" xfId="45539"/>
    <cellStyle name="Cálculo 2 5 8" xfId="14767"/>
    <cellStyle name="Cálculo 2 5 8 2" xfId="45668"/>
    <cellStyle name="Cálculo 2 5 8 3" xfId="46057"/>
    <cellStyle name="Cálculo 2 5 8 4" xfId="46415"/>
    <cellStyle name="Cálculo 2 5 8 5" xfId="46767"/>
    <cellStyle name="Cálculo 2 5 8 6" xfId="47082"/>
    <cellStyle name="Cálculo 2 5 8 7" xfId="47401"/>
    <cellStyle name="Cálculo 2 5 8 8" xfId="47719"/>
    <cellStyle name="Cálculo 2 5 9" xfId="17085"/>
    <cellStyle name="Cálculo 2 6" xfId="2406"/>
    <cellStyle name="Cálculo 2 6 10" xfId="19063"/>
    <cellStyle name="Cálculo 2 6 11" xfId="20975"/>
    <cellStyle name="Cálculo 2 6 12" xfId="23885"/>
    <cellStyle name="Cálculo 2 6 13" xfId="24777"/>
    <cellStyle name="Cálculo 2 6 14" xfId="27380"/>
    <cellStyle name="Cálculo 2 6 15" xfId="29382"/>
    <cellStyle name="Cálculo 2 6 16" xfId="30966"/>
    <cellStyle name="Cálculo 2 6 17" xfId="31747"/>
    <cellStyle name="Cálculo 2 6 18" xfId="33775"/>
    <cellStyle name="Cálculo 2 6 19" xfId="35604"/>
    <cellStyle name="Cálculo 2 6 2" xfId="5579"/>
    <cellStyle name="Cálculo 2 6 2 10" xfId="21829"/>
    <cellStyle name="Cálculo 2 6 2 11" xfId="23644"/>
    <cellStyle name="Cálculo 2 6 2 12" xfId="25631"/>
    <cellStyle name="Cálculo 2 6 2 13" xfId="26207"/>
    <cellStyle name="Cálculo 2 6 2 14" xfId="29725"/>
    <cellStyle name="Cálculo 2 6 2 15" xfId="29819"/>
    <cellStyle name="Cálculo 2 6 2 16" xfId="33123"/>
    <cellStyle name="Cálculo 2 6 2 17" xfId="34066"/>
    <cellStyle name="Cálculo 2 6 2 18" xfId="36458"/>
    <cellStyle name="Cálculo 2 6 2 19" xfId="38337"/>
    <cellStyle name="Cálculo 2 6 2 2" xfId="7028"/>
    <cellStyle name="Cálculo 2 6 2 20" xfId="40317"/>
    <cellStyle name="Cálculo 2 6 2 21" xfId="41973"/>
    <cellStyle name="Cálculo 2 6 2 22" xfId="43402"/>
    <cellStyle name="Cálculo 2 6 2 3" xfId="8482"/>
    <cellStyle name="Cálculo 2 6 2 4" xfId="10392"/>
    <cellStyle name="Cálculo 2 6 2 5" xfId="11570"/>
    <cellStyle name="Cálculo 2 6 2 6" xfId="14114"/>
    <cellStyle name="Cálculo 2 6 2 7" xfId="16017"/>
    <cellStyle name="Cálculo 2 6 2 8" xfId="18011"/>
    <cellStyle name="Cálculo 2 6 2 9" xfId="19917"/>
    <cellStyle name="Cálculo 2 6 20" xfId="37483"/>
    <cellStyle name="Cálculo 2 6 21" xfId="38987"/>
    <cellStyle name="Cálculo 2 6 22" xfId="40670"/>
    <cellStyle name="Cálculo 2 6 23" xfId="43635"/>
    <cellStyle name="Cálculo 2 6 3" xfId="6177"/>
    <cellStyle name="Cálculo 2 6 3 2" xfId="45664"/>
    <cellStyle name="Cálculo 2 6 3 3" xfId="46053"/>
    <cellStyle name="Cálculo 2 6 3 4" xfId="46411"/>
    <cellStyle name="Cálculo 2 6 3 5" xfId="46763"/>
    <cellStyle name="Cálculo 2 6 3 6" xfId="47078"/>
    <cellStyle name="Cálculo 2 6 3 7" xfId="47397"/>
    <cellStyle name="Cálculo 2 6 3 8" xfId="47715"/>
    <cellStyle name="Cálculo 2 6 4" xfId="7628"/>
    <cellStyle name="Cálculo 2 6 4 2" xfId="45827"/>
    <cellStyle name="Cálculo 2 6 4 3" xfId="46216"/>
    <cellStyle name="Cálculo 2 6 4 4" xfId="46574"/>
    <cellStyle name="Cálculo 2 6 4 5" xfId="46926"/>
    <cellStyle name="Cálculo 2 6 4 6" xfId="47241"/>
    <cellStyle name="Cálculo 2 6 4 7" xfId="47560"/>
    <cellStyle name="Cálculo 2 6 4 8" xfId="47878"/>
    <cellStyle name="Cálculo 2 6 5" xfId="9538"/>
    <cellStyle name="Cálculo 2 6 6" xfId="11575"/>
    <cellStyle name="Cálculo 2 6 7" xfId="14355"/>
    <cellStyle name="Cálculo 2 6 8" xfId="16260"/>
    <cellStyle name="Cálculo 2 6 9" xfId="17157"/>
    <cellStyle name="Cálculo 2 7" xfId="2145"/>
    <cellStyle name="Cálculo 2 7 2" xfId="45339"/>
    <cellStyle name="Cálculo 2 7 2 2" xfId="45933"/>
    <cellStyle name="Cálculo 2 7 2 3" xfId="46291"/>
    <cellStyle name="Cálculo 2 7 2 4" xfId="46643"/>
    <cellStyle name="Cálculo 2 7 2 5" xfId="45509"/>
    <cellStyle name="Cálculo 2 7 3" xfId="45397"/>
    <cellStyle name="Cálculo 2 7 3 2" xfId="45691"/>
    <cellStyle name="Cálculo 2 7 3 3" xfId="46080"/>
    <cellStyle name="Cálculo 2 7 3 4" xfId="46438"/>
    <cellStyle name="Cálculo 2 7 3 5" xfId="46790"/>
    <cellStyle name="Cálculo 2 7 3 6" xfId="47105"/>
    <cellStyle name="Cálculo 2 7 3 7" xfId="47424"/>
    <cellStyle name="Cálculo 2 7 3 8" xfId="47742"/>
    <cellStyle name="Cálculo 2 7 4" xfId="45383"/>
    <cellStyle name="Cálculo 2 7 4 2" xfId="45625"/>
    <cellStyle name="Cálculo 2 7 4 3" xfId="46014"/>
    <cellStyle name="Cálculo 2 7 4 4" xfId="46372"/>
    <cellStyle name="Cálculo 2 7 4 5" xfId="46724"/>
    <cellStyle name="Cálculo 2 7 4 6" xfId="47039"/>
    <cellStyle name="Cálculo 2 7 4 7" xfId="47358"/>
    <cellStyle name="Cálculo 2 7 4 8" xfId="47676"/>
    <cellStyle name="Cálculo 2 7 5" xfId="45392"/>
    <cellStyle name="Cálculo 2 7 5 2" xfId="45654"/>
    <cellStyle name="Cálculo 2 7 5 3" xfId="46043"/>
    <cellStyle name="Cálculo 2 7 5 4" xfId="46401"/>
    <cellStyle name="Cálculo 2 7 5 5" xfId="46753"/>
    <cellStyle name="Cálculo 2 7 5 6" xfId="47068"/>
    <cellStyle name="Cálculo 2 7 5 7" xfId="47387"/>
    <cellStyle name="Cálculo 2 7 5 8" xfId="47705"/>
    <cellStyle name="Cálculo 2 7 6" xfId="45888"/>
    <cellStyle name="Cálculo 2 7 7" xfId="45512"/>
    <cellStyle name="Cálculo 2 7 8" xfId="47311"/>
    <cellStyle name="Cálculo 2 7 9" xfId="45309"/>
    <cellStyle name="Cálculo 2 8" xfId="2597"/>
    <cellStyle name="Cálculo 2 8 2" xfId="45345"/>
    <cellStyle name="Cálculo 2 8 2 2" xfId="45944"/>
    <cellStyle name="Cálculo 2 8 2 3" xfId="46302"/>
    <cellStyle name="Cálculo 2 8 2 4" xfId="46654"/>
    <cellStyle name="Cálculo 2 8 2 5" xfId="45493"/>
    <cellStyle name="Cálculo 2 8 3" xfId="45403"/>
    <cellStyle name="Cálculo 2 8 3 2" xfId="45713"/>
    <cellStyle name="Cálculo 2 8 3 3" xfId="46102"/>
    <cellStyle name="Cálculo 2 8 3 4" xfId="46460"/>
    <cellStyle name="Cálculo 2 8 3 5" xfId="46812"/>
    <cellStyle name="Cálculo 2 8 3 6" xfId="47127"/>
    <cellStyle name="Cálculo 2 8 3 7" xfId="47446"/>
    <cellStyle name="Cálculo 2 8 3 8" xfId="47764"/>
    <cellStyle name="Cálculo 2 8 4" xfId="45374"/>
    <cellStyle name="Cálculo 2 8 4 2" xfId="45594"/>
    <cellStyle name="Cálculo 2 8 4 3" xfId="45983"/>
    <cellStyle name="Cálculo 2 8 4 4" xfId="46341"/>
    <cellStyle name="Cálculo 2 8 4 5" xfId="46693"/>
    <cellStyle name="Cálculo 2 8 4 6" xfId="47008"/>
    <cellStyle name="Cálculo 2 8 4 7" xfId="47327"/>
    <cellStyle name="Cálculo 2 8 4 8" xfId="47645"/>
    <cellStyle name="Cálculo 2 8 5" xfId="45390"/>
    <cellStyle name="Cálculo 2 8 5 2" xfId="45643"/>
    <cellStyle name="Cálculo 2 8 5 3" xfId="46032"/>
    <cellStyle name="Cálculo 2 8 5 4" xfId="46390"/>
    <cellStyle name="Cálculo 2 8 5 5" xfId="46742"/>
    <cellStyle name="Cálculo 2 8 5 6" xfId="47057"/>
    <cellStyle name="Cálculo 2 8 5 7" xfId="47376"/>
    <cellStyle name="Cálculo 2 8 5 8" xfId="47694"/>
    <cellStyle name="Cálculo 2 8 6" xfId="45894"/>
    <cellStyle name="Cálculo 2 8 7" xfId="45536"/>
    <cellStyle name="Cálculo 2 8 8" xfId="45886"/>
    <cellStyle name="Cálculo 2 8 9" xfId="45314"/>
    <cellStyle name="Cálculo 2 9" xfId="3211"/>
    <cellStyle name="Cálculo 3" xfId="51653"/>
    <cellStyle name="Cálculo 4" xfId="51703"/>
    <cellStyle name="Cálculo 5" xfId="51746"/>
    <cellStyle name="Cálculo 6" xfId="51788"/>
    <cellStyle name="Cálculo 7" xfId="51830"/>
    <cellStyle name="Cálculo 8" xfId="51871"/>
    <cellStyle name="Cálculo 9" xfId="51918"/>
    <cellStyle name="Célula de Verificação" xfId="43954" builtinId="23" customBuiltin="1"/>
    <cellStyle name="Célula de Verificação 10" xfId="51960"/>
    <cellStyle name="Célula de Verificação 11" xfId="52002"/>
    <cellStyle name="Célula de Verificação 12" xfId="52045"/>
    <cellStyle name="Célula de Verificação 13" xfId="52088"/>
    <cellStyle name="Célula de Verificação 14" xfId="52131"/>
    <cellStyle name="Célula de Verificação 2" xfId="24"/>
    <cellStyle name="Célula de Verificação 3" xfId="51652"/>
    <cellStyle name="Célula de Verificação 4" xfId="51702"/>
    <cellStyle name="Célula de Verificação 5" xfId="51745"/>
    <cellStyle name="Célula de Verificação 6" xfId="51787"/>
    <cellStyle name="Célula de Verificação 7" xfId="51829"/>
    <cellStyle name="Célula de Verificação 8" xfId="51870"/>
    <cellStyle name="Célula de Verificação 9" xfId="51917"/>
    <cellStyle name="Célula Vinculada" xfId="43953" builtinId="24" customBuiltin="1"/>
    <cellStyle name="Célula Vinculada 10" xfId="51959"/>
    <cellStyle name="Célula Vinculada 11" xfId="52001"/>
    <cellStyle name="Célula Vinculada 12" xfId="52044"/>
    <cellStyle name="Célula Vinculada 13" xfId="52087"/>
    <cellStyle name="Célula Vinculada 14" xfId="52130"/>
    <cellStyle name="Célula Vinculada 2" xfId="25"/>
    <cellStyle name="Célula Vinculada 3" xfId="51651"/>
    <cellStyle name="Célula Vinculada 4" xfId="51701"/>
    <cellStyle name="Célula Vinculada 5" xfId="51744"/>
    <cellStyle name="Célula Vinculada 6" xfId="51786"/>
    <cellStyle name="Célula Vinculada 7" xfId="51828"/>
    <cellStyle name="Célula Vinculada 8" xfId="51869"/>
    <cellStyle name="Célula Vinculada 9" xfId="51916"/>
    <cellStyle name="Check Cell" xfId="51553"/>
    <cellStyle name="Ênfase1" xfId="43959" builtinId="29" customBuiltin="1"/>
    <cellStyle name="Ênfase1 10" xfId="51958"/>
    <cellStyle name="Ênfase1 11" xfId="52000"/>
    <cellStyle name="Ênfase1 12" xfId="52043"/>
    <cellStyle name="Ênfase1 13" xfId="52086"/>
    <cellStyle name="Ênfase1 14" xfId="52129"/>
    <cellStyle name="Ênfase1 2" xfId="26"/>
    <cellStyle name="Ênfase1 3" xfId="51650"/>
    <cellStyle name="Ênfase1 4" xfId="51700"/>
    <cellStyle name="Ênfase1 5" xfId="51743"/>
    <cellStyle name="Ênfase1 6" xfId="51785"/>
    <cellStyle name="Ênfase1 7" xfId="51827"/>
    <cellStyle name="Ênfase1 8" xfId="51868"/>
    <cellStyle name="Ênfase1 9" xfId="51915"/>
    <cellStyle name="Ênfase2" xfId="43963" builtinId="33" customBuiltin="1"/>
    <cellStyle name="Ênfase2 10" xfId="51957"/>
    <cellStyle name="Ênfase2 11" xfId="51999"/>
    <cellStyle name="Ênfase2 12" xfId="52042"/>
    <cellStyle name="Ênfase2 13" xfId="52085"/>
    <cellStyle name="Ênfase2 14" xfId="52128"/>
    <cellStyle name="Ênfase2 2" xfId="27"/>
    <cellStyle name="Ênfase2 3" xfId="51649"/>
    <cellStyle name="Ênfase2 4" xfId="51699"/>
    <cellStyle name="Ênfase2 5" xfId="51742"/>
    <cellStyle name="Ênfase2 6" xfId="51784"/>
    <cellStyle name="Ênfase2 7" xfId="51826"/>
    <cellStyle name="Ênfase2 8" xfId="51867"/>
    <cellStyle name="Ênfase2 9" xfId="51914"/>
    <cellStyle name="Ênfase3" xfId="43967" builtinId="37" customBuiltin="1"/>
    <cellStyle name="Ênfase3 10" xfId="51956"/>
    <cellStyle name="Ênfase3 11" xfId="51998"/>
    <cellStyle name="Ênfase3 12" xfId="52041"/>
    <cellStyle name="Ênfase3 13" xfId="52084"/>
    <cellStyle name="Ênfase3 14" xfId="52127"/>
    <cellStyle name="Ênfase3 2" xfId="28"/>
    <cellStyle name="Ênfase3 3" xfId="51648"/>
    <cellStyle name="Ênfase3 4" xfId="51698"/>
    <cellStyle name="Ênfase3 5" xfId="51741"/>
    <cellStyle name="Ênfase3 6" xfId="51783"/>
    <cellStyle name="Ênfase3 7" xfId="51825"/>
    <cellStyle name="Ênfase3 8" xfId="51866"/>
    <cellStyle name="Ênfase3 9" xfId="51913"/>
    <cellStyle name="Ênfase4" xfId="43971" builtinId="41" customBuiltin="1"/>
    <cellStyle name="Ênfase4 10" xfId="51955"/>
    <cellStyle name="Ênfase4 11" xfId="51997"/>
    <cellStyle name="Ênfase4 12" xfId="52040"/>
    <cellStyle name="Ênfase4 13" xfId="52083"/>
    <cellStyle name="Ênfase4 14" xfId="52126"/>
    <cellStyle name="Ênfase4 2" xfId="29"/>
    <cellStyle name="Ênfase4 3" xfId="51647"/>
    <cellStyle name="Ênfase4 4" xfId="51697"/>
    <cellStyle name="Ênfase4 5" xfId="51740"/>
    <cellStyle name="Ênfase4 6" xfId="51782"/>
    <cellStyle name="Ênfase4 7" xfId="51824"/>
    <cellStyle name="Ênfase4 8" xfId="51865"/>
    <cellStyle name="Ênfase4 9" xfId="51912"/>
    <cellStyle name="Ênfase5" xfId="43975" builtinId="45" customBuiltin="1"/>
    <cellStyle name="Ênfase5 10" xfId="51954"/>
    <cellStyle name="Ênfase5 11" xfId="51996"/>
    <cellStyle name="Ênfase5 12" xfId="52039"/>
    <cellStyle name="Ênfase5 13" xfId="52082"/>
    <cellStyle name="Ênfase5 14" xfId="52125"/>
    <cellStyle name="Ênfase5 2" xfId="30"/>
    <cellStyle name="Ênfase5 3" xfId="51646"/>
    <cellStyle name="Ênfase5 4" xfId="51696"/>
    <cellStyle name="Ênfase5 5" xfId="51739"/>
    <cellStyle name="Ênfase5 6" xfId="51781"/>
    <cellStyle name="Ênfase5 7" xfId="51823"/>
    <cellStyle name="Ênfase5 8" xfId="51864"/>
    <cellStyle name="Ênfase5 9" xfId="51911"/>
    <cellStyle name="Ênfase6" xfId="43979" builtinId="49" customBuiltin="1"/>
    <cellStyle name="Ênfase6 10" xfId="51953"/>
    <cellStyle name="Ênfase6 11" xfId="51995"/>
    <cellStyle name="Ênfase6 12" xfId="52038"/>
    <cellStyle name="Ênfase6 13" xfId="52081"/>
    <cellStyle name="Ênfase6 14" xfId="52124"/>
    <cellStyle name="Ênfase6 2" xfId="31"/>
    <cellStyle name="Ênfase6 3" xfId="51645"/>
    <cellStyle name="Ênfase6 4" xfId="51695"/>
    <cellStyle name="Ênfase6 5" xfId="51738"/>
    <cellStyle name="Ênfase6 6" xfId="51780"/>
    <cellStyle name="Ênfase6 7" xfId="51822"/>
    <cellStyle name="Ênfase6 8" xfId="51863"/>
    <cellStyle name="Ênfase6 9" xfId="51910"/>
    <cellStyle name="Entrada" xfId="43950" builtinId="20" customBuiltin="1"/>
    <cellStyle name="Entrada 10" xfId="51952"/>
    <cellStyle name="Entrada 11" xfId="51994"/>
    <cellStyle name="Entrada 12" xfId="52037"/>
    <cellStyle name="Entrada 13" xfId="52080"/>
    <cellStyle name="Entrada 14" xfId="52123"/>
    <cellStyle name="Entrada 2" xfId="32"/>
    <cellStyle name="Entrada 2 10" xfId="4222"/>
    <cellStyle name="Entrada 2 11" xfId="3218"/>
    <cellStyle name="Entrada 2 12" xfId="2249"/>
    <cellStyle name="Entrada 2 13" xfId="11417"/>
    <cellStyle name="Entrada 2 14" xfId="2500"/>
    <cellStyle name="Entrada 2 15" xfId="3928"/>
    <cellStyle name="Entrada 2 16" xfId="14697"/>
    <cellStyle name="Entrada 2 17" xfId="1974"/>
    <cellStyle name="Entrada 2 18" xfId="2225"/>
    <cellStyle name="Entrada 2 19" xfId="29241"/>
    <cellStyle name="Entrada 2 2" xfId="3507"/>
    <cellStyle name="Entrada 2 2 10" xfId="13063"/>
    <cellStyle name="Entrada 2 2 11" xfId="14967"/>
    <cellStyle name="Entrada 2 2 12" xfId="16977"/>
    <cellStyle name="Entrada 2 2 13" xfId="18884"/>
    <cellStyle name="Entrada 2 2 14" xfId="20796"/>
    <cellStyle name="Entrada 2 2 15" xfId="22595"/>
    <cellStyle name="Entrada 2 2 16" xfId="24598"/>
    <cellStyle name="Entrada 2 2 17" xfId="26277"/>
    <cellStyle name="Entrada 2 2 18" xfId="28780"/>
    <cellStyle name="Entrada 2 2 19" xfId="29886"/>
    <cellStyle name="Entrada 2 2 2" xfId="3687"/>
    <cellStyle name="Entrada 2 2 2 10" xfId="17578"/>
    <cellStyle name="Entrada 2 2 2 11" xfId="19484"/>
    <cellStyle name="Entrada 2 2 2 12" xfId="21396"/>
    <cellStyle name="Entrada 2 2 2 13" xfId="22538"/>
    <cellStyle name="Entrada 2 2 2 14" xfId="25198"/>
    <cellStyle name="Entrada 2 2 2 15" xfId="26326"/>
    <cellStyle name="Entrada 2 2 2 16" xfId="28771"/>
    <cellStyle name="Entrada 2 2 2 17" xfId="29934"/>
    <cellStyle name="Entrada 2 2 2 18" xfId="31603"/>
    <cellStyle name="Entrada 2 2 2 19" xfId="34477"/>
    <cellStyle name="Entrada 2 2 2 2" xfId="5754"/>
    <cellStyle name="Entrada 2 2 2 2 10" xfId="22004"/>
    <cellStyle name="Entrada 2 2 2 2 11" xfId="23322"/>
    <cellStyle name="Entrada 2 2 2 2 12" xfId="25806"/>
    <cellStyle name="Entrada 2 2 2 2 13" xfId="26192"/>
    <cellStyle name="Entrada 2 2 2 2 14" xfId="29477"/>
    <cellStyle name="Entrada 2 2 2 2 15" xfId="29805"/>
    <cellStyle name="Entrada 2 2 2 2 16" xfId="32021"/>
    <cellStyle name="Entrada 2 2 2 2 17" xfId="33409"/>
    <cellStyle name="Entrada 2 2 2 2 18" xfId="36633"/>
    <cellStyle name="Entrada 2 2 2 2 19" xfId="38512"/>
    <cellStyle name="Entrada 2 2 2 2 2" xfId="7203"/>
    <cellStyle name="Entrada 2 2 2 2 20" xfId="39251"/>
    <cellStyle name="Entrada 2 2 2 2 21" xfId="40928"/>
    <cellStyle name="Entrada 2 2 2 2 22" xfId="43093"/>
    <cellStyle name="Entrada 2 2 2 2 3" xfId="8657"/>
    <cellStyle name="Entrada 2 2 2 2 4" xfId="10567"/>
    <cellStyle name="Entrada 2 2 2 2 5" xfId="12302"/>
    <cellStyle name="Entrada 2 2 2 2 6" xfId="13794"/>
    <cellStyle name="Entrada 2 2 2 2 7" xfId="15696"/>
    <cellStyle name="Entrada 2 2 2 2 8" xfId="18186"/>
    <cellStyle name="Entrada 2 2 2 2 9" xfId="20092"/>
    <cellStyle name="Entrada 2 2 2 20" xfId="36025"/>
    <cellStyle name="Entrada 2 2 2 21" xfId="37904"/>
    <cellStyle name="Entrada 2 2 2 22" xfId="38850"/>
    <cellStyle name="Entrada 2 2 2 23" xfId="40536"/>
    <cellStyle name="Entrada 2 2 2 24" xfId="42347"/>
    <cellStyle name="Entrada 2 2 2 3" xfId="5148"/>
    <cellStyle name="Entrada 2 2 2 3 2" xfId="45670"/>
    <cellStyle name="Entrada 2 2 2 3 3" xfId="46059"/>
    <cellStyle name="Entrada 2 2 2 3 4" xfId="46417"/>
    <cellStyle name="Entrada 2 2 2 3 5" xfId="46769"/>
    <cellStyle name="Entrada 2 2 2 3 6" xfId="47084"/>
    <cellStyle name="Entrada 2 2 2 3 7" xfId="47403"/>
    <cellStyle name="Entrada 2 2 2 3 8" xfId="47721"/>
    <cellStyle name="Entrada 2 2 2 4" xfId="6598"/>
    <cellStyle name="Entrada 2 2 2 4 2" xfId="45825"/>
    <cellStyle name="Entrada 2 2 2 4 3" xfId="46214"/>
    <cellStyle name="Entrada 2 2 2 4 4" xfId="46572"/>
    <cellStyle name="Entrada 2 2 2 4 5" xfId="46924"/>
    <cellStyle name="Entrada 2 2 2 4 6" xfId="47239"/>
    <cellStyle name="Entrada 2 2 2 4 7" xfId="47558"/>
    <cellStyle name="Entrada 2 2 2 4 8" xfId="47876"/>
    <cellStyle name="Entrada 2 2 2 5" xfId="8049"/>
    <cellStyle name="Entrada 2 2 2 6" xfId="9959"/>
    <cellStyle name="Entrada 2 2 2 7" xfId="11835"/>
    <cellStyle name="Entrada 2 2 2 8" xfId="13006"/>
    <cellStyle name="Entrada 2 2 2 9" xfId="14910"/>
    <cellStyle name="Entrada 2 2 20" xfId="32471"/>
    <cellStyle name="Entrada 2 2 21" xfId="34733"/>
    <cellStyle name="Entrada 2 2 22" xfId="35426"/>
    <cellStyle name="Entrada 2 2 23" xfId="37304"/>
    <cellStyle name="Entrada 2 2 24" xfId="39689"/>
    <cellStyle name="Entrada 2 2 25" xfId="41362"/>
    <cellStyle name="Entrada 2 2 26" xfId="42404"/>
    <cellStyle name="Entrada 2 2 3" xfId="2171"/>
    <cellStyle name="Entrada 2 2 3 10" xfId="19029"/>
    <cellStyle name="Entrada 2 2 3 11" xfId="20941"/>
    <cellStyle name="Entrada 2 2 3 12" xfId="22964"/>
    <cellStyle name="Entrada 2 2 3 13" xfId="24743"/>
    <cellStyle name="Entrada 2 2 3 14" xfId="26880"/>
    <cellStyle name="Entrada 2 2 3 15" xfId="28621"/>
    <cellStyle name="Entrada 2 2 3 16" xfId="30477"/>
    <cellStyle name="Entrada 2 2 3 17" xfId="33301"/>
    <cellStyle name="Entrada 2 2 3 18" xfId="35032"/>
    <cellStyle name="Entrada 2 2 3 19" xfId="35570"/>
    <cellStyle name="Entrada 2 2 3 2" xfId="5576"/>
    <cellStyle name="Entrada 2 2 3 2 10" xfId="21826"/>
    <cellStyle name="Entrada 2 2 3 2 11" xfId="23229"/>
    <cellStyle name="Entrada 2 2 3 2 12" xfId="25628"/>
    <cellStyle name="Entrada 2 2 3 2 13" xfId="27191"/>
    <cellStyle name="Entrada 2 2 3 2 14" xfId="29387"/>
    <cellStyle name="Entrada 2 2 3 2 15" xfId="30782"/>
    <cellStyle name="Entrada 2 2 3 2 16" xfId="32789"/>
    <cellStyle name="Entrada 2 2 3 2 17" xfId="34579"/>
    <cellStyle name="Entrada 2 2 3 2 18" xfId="36455"/>
    <cellStyle name="Entrada 2 2 3 2 19" xfId="38334"/>
    <cellStyle name="Entrada 2 2 3 2 2" xfId="7025"/>
    <cellStyle name="Entrada 2 2 3 2 20" xfId="39998"/>
    <cellStyle name="Entrada 2 2 3 2 21" xfId="41662"/>
    <cellStyle name="Entrada 2 2 3 2 22" xfId="43006"/>
    <cellStyle name="Entrada 2 2 3 2 3" xfId="8479"/>
    <cellStyle name="Entrada 2 2 3 2 4" xfId="10389"/>
    <cellStyle name="Entrada 2 2 3 2 5" xfId="11111"/>
    <cellStyle name="Entrada 2 2 3 2 6" xfId="13701"/>
    <cellStyle name="Entrada 2 2 3 2 7" xfId="15603"/>
    <cellStyle name="Entrada 2 2 3 2 8" xfId="18008"/>
    <cellStyle name="Entrada 2 2 3 2 9" xfId="19914"/>
    <cellStyle name="Entrada 2 2 3 20" xfId="37449"/>
    <cellStyle name="Entrada 2 2 3 21" xfId="40484"/>
    <cellStyle name="Entrada 2 2 3 22" xfId="42138"/>
    <cellStyle name="Entrada 2 2 3 23" xfId="42750"/>
    <cellStyle name="Entrada 2 2 3 3" xfId="4695"/>
    <cellStyle name="Entrada 2 2 3 3 2" xfId="45695"/>
    <cellStyle name="Entrada 2 2 3 3 3" xfId="46084"/>
    <cellStyle name="Entrada 2 2 3 3 4" xfId="46442"/>
    <cellStyle name="Entrada 2 2 3 3 5" xfId="46794"/>
    <cellStyle name="Entrada 2 2 3 3 6" xfId="47109"/>
    <cellStyle name="Entrada 2 2 3 3 7" xfId="47428"/>
    <cellStyle name="Entrada 2 2 3 3 8" xfId="47746"/>
    <cellStyle name="Entrada 2 2 3 4" xfId="7594"/>
    <cellStyle name="Entrada 2 2 3 4 2" xfId="45623"/>
    <cellStyle name="Entrada 2 2 3 4 3" xfId="46012"/>
    <cellStyle name="Entrada 2 2 3 4 4" xfId="46370"/>
    <cellStyle name="Entrada 2 2 3 4 5" xfId="46722"/>
    <cellStyle name="Entrada 2 2 3 4 6" xfId="47037"/>
    <cellStyle name="Entrada 2 2 3 4 7" xfId="47356"/>
    <cellStyle name="Entrada 2 2 3 4 8" xfId="47674"/>
    <cellStyle name="Entrada 2 2 3 5" xfId="9504"/>
    <cellStyle name="Entrada 2 2 3 5 2" xfId="45655"/>
    <cellStyle name="Entrada 2 2 3 5 3" xfId="46044"/>
    <cellStyle name="Entrada 2 2 3 5 4" xfId="46402"/>
    <cellStyle name="Entrada 2 2 3 5 5" xfId="46754"/>
    <cellStyle name="Entrada 2 2 3 5 6" xfId="47069"/>
    <cellStyle name="Entrada 2 2 3 5 7" xfId="47388"/>
    <cellStyle name="Entrada 2 2 3 5 8" xfId="47706"/>
    <cellStyle name="Entrada 2 2 3 6" xfId="12445"/>
    <cellStyle name="Entrada 2 2 3 7" xfId="13433"/>
    <cellStyle name="Entrada 2 2 3 8" xfId="15338"/>
    <cellStyle name="Entrada 2 2 3 9" xfId="17123"/>
    <cellStyle name="Entrada 2 2 4" xfId="4139"/>
    <cellStyle name="Entrada 2 2 4 10" xfId="19774"/>
    <cellStyle name="Entrada 2 2 4 11" xfId="21686"/>
    <cellStyle name="Entrada 2 2 4 12" xfId="22382"/>
    <cellStyle name="Entrada 2 2 4 13" xfId="25488"/>
    <cellStyle name="Entrada 2 2 4 14" xfId="27090"/>
    <cellStyle name="Entrada 2 2 4 15" xfId="29695"/>
    <cellStyle name="Entrada 2 2 4 16" xfId="30681"/>
    <cellStyle name="Entrada 2 2 4 17" xfId="31764"/>
    <cellStyle name="Entrada 2 2 4 18" xfId="33532"/>
    <cellStyle name="Entrada 2 2 4 19" xfId="36315"/>
    <cellStyle name="Entrada 2 2 4 2" xfId="6044"/>
    <cellStyle name="Entrada 2 2 4 2 10" xfId="22294"/>
    <cellStyle name="Entrada 2 2 4 2 11" xfId="18517"/>
    <cellStyle name="Entrada 2 2 4 2 12" xfId="26096"/>
    <cellStyle name="Entrada 2 2 4 2 13" xfId="1798"/>
    <cellStyle name="Entrada 2 2 4 2 14" xfId="28846"/>
    <cellStyle name="Entrada 2 2 4 2 15" xfId="2841"/>
    <cellStyle name="Entrada 2 2 4 2 16" xfId="28174"/>
    <cellStyle name="Entrada 2 2 4 2 17" xfId="31090"/>
    <cellStyle name="Entrada 2 2 4 2 18" xfId="36923"/>
    <cellStyle name="Entrada 2 2 4 2 19" xfId="38802"/>
    <cellStyle name="Entrada 2 2 4 2 2" xfId="7493"/>
    <cellStyle name="Entrada 2 2 4 2 20" xfId="28620"/>
    <cellStyle name="Entrada 2 2 4 2 21" xfId="4542"/>
    <cellStyle name="Entrada 2 2 4 2 22" xfId="41168"/>
    <cellStyle name="Entrada 2 2 4 2 3" xfId="8947"/>
    <cellStyle name="Entrada 2 2 4 2 4" xfId="10857"/>
    <cellStyle name="Entrada 2 2 4 2 5" xfId="2042"/>
    <cellStyle name="Entrada 2 2 4 2 6" xfId="2761"/>
    <cellStyle name="Entrada 2 2 4 2 7" xfId="5381"/>
    <cellStyle name="Entrada 2 2 4 2 8" xfId="18476"/>
    <cellStyle name="Entrada 2 2 4 2 9" xfId="20382"/>
    <cellStyle name="Entrada 2 2 4 20" xfId="38194"/>
    <cellStyle name="Entrada 2 2 4 21" xfId="39004"/>
    <cellStyle name="Entrada 2 2 4 22" xfId="40687"/>
    <cellStyle name="Entrada 2 2 4 23" xfId="42193"/>
    <cellStyle name="Entrada 2 2 4 3" xfId="6885"/>
    <cellStyle name="Entrada 2 2 4 3 2" xfId="45701"/>
    <cellStyle name="Entrada 2 2 4 3 3" xfId="46090"/>
    <cellStyle name="Entrada 2 2 4 3 4" xfId="46448"/>
    <cellStyle name="Entrada 2 2 4 3 5" xfId="46800"/>
    <cellStyle name="Entrada 2 2 4 3 6" xfId="47115"/>
    <cellStyle name="Entrada 2 2 4 3 7" xfId="47434"/>
    <cellStyle name="Entrada 2 2 4 3 8" xfId="47752"/>
    <cellStyle name="Entrada 2 2 4 4" xfId="8339"/>
    <cellStyle name="Entrada 2 2 4 4 2" xfId="45606"/>
    <cellStyle name="Entrada 2 2 4 4 3" xfId="45995"/>
    <cellStyle name="Entrada 2 2 4 4 4" xfId="46353"/>
    <cellStyle name="Entrada 2 2 4 4 5" xfId="46705"/>
    <cellStyle name="Entrada 2 2 4 4 6" xfId="47020"/>
    <cellStyle name="Entrada 2 2 4 4 7" xfId="47339"/>
    <cellStyle name="Entrada 2 2 4 4 8" xfId="47657"/>
    <cellStyle name="Entrada 2 2 4 5" xfId="10249"/>
    <cellStyle name="Entrada 2 2 4 5 2" xfId="45658"/>
    <cellStyle name="Entrada 2 2 4 5 3" xfId="46047"/>
    <cellStyle name="Entrada 2 2 4 5 4" xfId="46405"/>
    <cellStyle name="Entrada 2 2 4 5 5" xfId="46757"/>
    <cellStyle name="Entrada 2 2 4 5 6" xfId="47072"/>
    <cellStyle name="Entrada 2 2 4 5 7" xfId="47391"/>
    <cellStyle name="Entrada 2 2 4 5 8" xfId="47709"/>
    <cellStyle name="Entrada 2 2 4 6" xfId="12410"/>
    <cellStyle name="Entrada 2 2 4 7" xfId="12849"/>
    <cellStyle name="Entrada 2 2 4 8" xfId="14754"/>
    <cellStyle name="Entrada 2 2 4 9" xfId="17868"/>
    <cellStyle name="Entrada 2 2 5" xfId="4980"/>
    <cellStyle name="Entrada 2 2 5 10" xfId="21228"/>
    <cellStyle name="Entrada 2 2 5 11" xfId="23512"/>
    <cellStyle name="Entrada 2 2 5 12" xfId="25030"/>
    <cellStyle name="Entrada 2 2 5 13" xfId="27598"/>
    <cellStyle name="Entrada 2 2 5 14" xfId="29626"/>
    <cellStyle name="Entrada 2 2 5 15" xfId="31176"/>
    <cellStyle name="Entrada 2 2 5 16" xfId="32408"/>
    <cellStyle name="Entrada 2 2 5 17" xfId="34492"/>
    <cellStyle name="Entrada 2 2 5 18" xfId="35857"/>
    <cellStyle name="Entrada 2 2 5 19" xfId="37736"/>
    <cellStyle name="Entrada 2 2 5 2" xfId="6430"/>
    <cellStyle name="Entrada 2 2 5 2 2" xfId="45968"/>
    <cellStyle name="Entrada 2 2 5 2 3" xfId="46326"/>
    <cellStyle name="Entrada 2 2 5 2 4" xfId="46678"/>
    <cellStyle name="Entrada 2 2 5 2 5" xfId="47630"/>
    <cellStyle name="Entrada 2 2 5 20" xfId="39625"/>
    <cellStyle name="Entrada 2 2 5 21" xfId="41299"/>
    <cellStyle name="Entrada 2 2 5 22" xfId="43277"/>
    <cellStyle name="Entrada 2 2 5 3" xfId="7881"/>
    <cellStyle name="Entrada 2 2 5 3 2" xfId="45760"/>
    <cellStyle name="Entrada 2 2 5 3 3" xfId="46149"/>
    <cellStyle name="Entrada 2 2 5 3 4" xfId="46507"/>
    <cellStyle name="Entrada 2 2 5 3 5" xfId="46859"/>
    <cellStyle name="Entrada 2 2 5 3 6" xfId="47174"/>
    <cellStyle name="Entrada 2 2 5 3 7" xfId="47493"/>
    <cellStyle name="Entrada 2 2 5 3 8" xfId="47811"/>
    <cellStyle name="Entrada 2 2 5 4" xfId="9791"/>
    <cellStyle name="Entrada 2 2 5 4 2" xfId="45829"/>
    <cellStyle name="Entrada 2 2 5 4 3" xfId="46218"/>
    <cellStyle name="Entrada 2 2 5 4 4" xfId="46576"/>
    <cellStyle name="Entrada 2 2 5 4 5" xfId="46928"/>
    <cellStyle name="Entrada 2 2 5 4 6" xfId="47243"/>
    <cellStyle name="Entrada 2 2 5 4 7" xfId="47562"/>
    <cellStyle name="Entrada 2 2 5 4 8" xfId="47880"/>
    <cellStyle name="Entrada 2 2 5 5" xfId="12522"/>
    <cellStyle name="Entrada 2 2 5 5 2" xfId="45866"/>
    <cellStyle name="Entrada 2 2 5 5 3" xfId="46255"/>
    <cellStyle name="Entrada 2 2 5 5 4" xfId="46613"/>
    <cellStyle name="Entrada 2 2 5 5 5" xfId="46965"/>
    <cellStyle name="Entrada 2 2 5 5 6" xfId="47280"/>
    <cellStyle name="Entrada 2 2 5 5 7" xfId="47599"/>
    <cellStyle name="Entrada 2 2 5 5 8" xfId="47917"/>
    <cellStyle name="Entrada 2 2 5 6" xfId="13984"/>
    <cellStyle name="Entrada 2 2 5 7" xfId="15885"/>
    <cellStyle name="Entrada 2 2 5 8" xfId="17410"/>
    <cellStyle name="Entrada 2 2 5 9" xfId="19316"/>
    <cellStyle name="Entrada 2 2 6" xfId="5726"/>
    <cellStyle name="Entrada 2 2 6 10" xfId="21976"/>
    <cellStyle name="Entrada 2 2 6 11" xfId="23076"/>
    <cellStyle name="Entrada 2 2 6 12" xfId="25778"/>
    <cellStyle name="Entrada 2 2 6 13" xfId="26565"/>
    <cellStyle name="Entrada 2 2 6 14" xfId="26655"/>
    <cellStyle name="Entrada 2 2 6 15" xfId="30167"/>
    <cellStyle name="Entrada 2 2 6 16" xfId="32687"/>
    <cellStyle name="Entrada 2 2 6 17" xfId="34023"/>
    <cellStyle name="Entrada 2 2 6 18" xfId="36605"/>
    <cellStyle name="Entrada 2 2 6 19" xfId="38484"/>
    <cellStyle name="Entrada 2 2 6 2" xfId="7175"/>
    <cellStyle name="Entrada 2 2 6 20" xfId="39895"/>
    <cellStyle name="Entrada 2 2 6 21" xfId="41564"/>
    <cellStyle name="Entrada 2 2 6 22" xfId="42858"/>
    <cellStyle name="Entrada 2 2 6 3" xfId="8629"/>
    <cellStyle name="Entrada 2 2 6 4" xfId="10539"/>
    <cellStyle name="Entrada 2 2 6 5" xfId="12684"/>
    <cellStyle name="Entrada 2 2 6 6" xfId="13547"/>
    <cellStyle name="Entrada 2 2 6 7" xfId="15450"/>
    <cellStyle name="Entrada 2 2 6 8" xfId="18158"/>
    <cellStyle name="Entrada 2 2 6 9" xfId="20064"/>
    <cellStyle name="Entrada 2 2 7" xfId="5391"/>
    <cellStyle name="Entrada 2 2 7 2" xfId="45660"/>
    <cellStyle name="Entrada 2 2 7 3" xfId="46049"/>
    <cellStyle name="Entrada 2 2 7 4" xfId="46407"/>
    <cellStyle name="Entrada 2 2 7 5" xfId="46759"/>
    <cellStyle name="Entrada 2 2 7 6" xfId="47074"/>
    <cellStyle name="Entrada 2 2 7 7" xfId="47393"/>
    <cellStyle name="Entrada 2 2 7 8" xfId="47711"/>
    <cellStyle name="Entrada 2 2 8" xfId="9358"/>
    <cellStyle name="Entrada 2 2 9" xfId="11112"/>
    <cellStyle name="Entrada 2 20" xfId="31503"/>
    <cellStyle name="Entrada 2 21" xfId="28845"/>
    <cellStyle name="Entrada 2 22" xfId="16631"/>
    <cellStyle name="Entrada 2 23" xfId="20399"/>
    <cellStyle name="Entrada 2 24" xfId="34314"/>
    <cellStyle name="Entrada 2 25" xfId="40269"/>
    <cellStyle name="Entrada 2 26" xfId="40126"/>
    <cellStyle name="Entrada 2 3" xfId="3476"/>
    <cellStyle name="Entrada 2 3 10" xfId="14945"/>
    <cellStyle name="Entrada 2 3 11" xfId="16911"/>
    <cellStyle name="Entrada 2 3 12" xfId="18818"/>
    <cellStyle name="Entrada 2 3 13" xfId="20730"/>
    <cellStyle name="Entrada 2 3 14" xfId="22573"/>
    <cellStyle name="Entrada 2 3 15" xfId="24532"/>
    <cellStyle name="Entrada 2 3 16" xfId="26813"/>
    <cellStyle name="Entrada 2 3 17" xfId="2194"/>
    <cellStyle name="Entrada 2 3 18" xfId="30412"/>
    <cellStyle name="Entrada 2 3 19" xfId="32864"/>
    <cellStyle name="Entrada 2 3 2" xfId="3656"/>
    <cellStyle name="Entrada 2 3 2 10" xfId="17547"/>
    <cellStyle name="Entrada 2 3 2 11" xfId="19453"/>
    <cellStyle name="Entrada 2 3 2 12" xfId="21365"/>
    <cellStyle name="Entrada 2 3 2 13" xfId="22730"/>
    <cellStyle name="Entrada 2 3 2 14" xfId="25167"/>
    <cellStyle name="Entrada 2 3 2 15" xfId="27734"/>
    <cellStyle name="Entrada 2 3 2 16" xfId="20402"/>
    <cellStyle name="Entrada 2 3 2 17" xfId="31312"/>
    <cellStyle name="Entrada 2 3 2 18" xfId="31741"/>
    <cellStyle name="Entrada 2 3 2 19" xfId="20413"/>
    <cellStyle name="Entrada 2 3 2 2" xfId="5733"/>
    <cellStyle name="Entrada 2 3 2 2 10" xfId="21983"/>
    <cellStyle name="Entrada 2 3 2 2 11" xfId="22546"/>
    <cellStyle name="Entrada 2 3 2 2 12" xfId="25785"/>
    <cellStyle name="Entrada 2 3 2 2 13" xfId="26945"/>
    <cellStyle name="Entrada 2 3 2 2 14" xfId="28604"/>
    <cellStyle name="Entrada 2 3 2 2 15" xfId="30539"/>
    <cellStyle name="Entrada 2 3 2 2 16" xfId="32283"/>
    <cellStyle name="Entrada 2 3 2 2 17" xfId="33608"/>
    <cellStyle name="Entrada 2 3 2 2 18" xfId="36612"/>
    <cellStyle name="Entrada 2 3 2 2 19" xfId="38491"/>
    <cellStyle name="Entrada 2 3 2 2 2" xfId="7182"/>
    <cellStyle name="Entrada 2 3 2 2 20" xfId="39502"/>
    <cellStyle name="Entrada 2 3 2 2 21" xfId="41177"/>
    <cellStyle name="Entrada 2 3 2 2 22" xfId="42355"/>
    <cellStyle name="Entrada 2 3 2 2 3" xfId="8636"/>
    <cellStyle name="Entrada 2 3 2 2 4" xfId="10546"/>
    <cellStyle name="Entrada 2 3 2 2 5" xfId="12378"/>
    <cellStyle name="Entrada 2 3 2 2 6" xfId="13014"/>
    <cellStyle name="Entrada 2 3 2 2 7" xfId="14918"/>
    <cellStyle name="Entrada 2 3 2 2 8" xfId="18165"/>
    <cellStyle name="Entrada 2 3 2 2 9" xfId="20071"/>
    <cellStyle name="Entrada 2 3 2 20" xfId="35994"/>
    <cellStyle name="Entrada 2 3 2 21" xfId="37873"/>
    <cellStyle name="Entrada 2 3 2 22" xfId="38982"/>
    <cellStyle name="Entrada 2 3 2 23" xfId="40665"/>
    <cellStyle name="Entrada 2 3 2 24" xfId="42528"/>
    <cellStyle name="Entrada 2 3 2 3" xfId="5117"/>
    <cellStyle name="Entrada 2 3 2 3 2" xfId="45716"/>
    <cellStyle name="Entrada 2 3 2 3 3" xfId="46105"/>
    <cellStyle name="Entrada 2 3 2 3 4" xfId="46463"/>
    <cellStyle name="Entrada 2 3 2 3 5" xfId="46815"/>
    <cellStyle name="Entrada 2 3 2 3 6" xfId="47130"/>
    <cellStyle name="Entrada 2 3 2 3 7" xfId="47449"/>
    <cellStyle name="Entrada 2 3 2 3 8" xfId="47767"/>
    <cellStyle name="Entrada 2 3 2 4" xfId="6567"/>
    <cellStyle name="Entrada 2 3 2 4 2" xfId="45591"/>
    <cellStyle name="Entrada 2 3 2 4 3" xfId="45980"/>
    <cellStyle name="Entrada 2 3 2 4 4" xfId="46338"/>
    <cellStyle name="Entrada 2 3 2 4 5" xfId="46690"/>
    <cellStyle name="Entrada 2 3 2 4 6" xfId="47005"/>
    <cellStyle name="Entrada 2 3 2 4 7" xfId="47324"/>
    <cellStyle name="Entrada 2 3 2 4 8" xfId="47642"/>
    <cellStyle name="Entrada 2 3 2 5" xfId="8018"/>
    <cellStyle name="Entrada 2 3 2 5 2" xfId="45620"/>
    <cellStyle name="Entrada 2 3 2 5 3" xfId="46009"/>
    <cellStyle name="Entrada 2 3 2 5 4" xfId="46367"/>
    <cellStyle name="Entrada 2 3 2 5 5" xfId="46719"/>
    <cellStyle name="Entrada 2 3 2 5 6" xfId="47034"/>
    <cellStyle name="Entrada 2 3 2 5 7" xfId="47353"/>
    <cellStyle name="Entrada 2 3 2 5 8" xfId="47671"/>
    <cellStyle name="Entrada 2 3 2 6" xfId="9928"/>
    <cellStyle name="Entrada 2 3 2 7" xfId="2213"/>
    <cellStyle name="Entrada 2 3 2 8" xfId="13199"/>
    <cellStyle name="Entrada 2 3 2 9" xfId="15102"/>
    <cellStyle name="Entrada 2 3 20" xfId="34576"/>
    <cellStyle name="Entrada 2 3 21" xfId="35360"/>
    <cellStyle name="Entrada 2 3 22" xfId="37238"/>
    <cellStyle name="Entrada 2 3 23" xfId="40070"/>
    <cellStyle name="Entrada 2 3 24" xfId="41734"/>
    <cellStyle name="Entrada 2 3 25" xfId="42382"/>
    <cellStyle name="Entrada 2 3 3" xfId="3774"/>
    <cellStyle name="Entrada 2 3 3 10" xfId="19513"/>
    <cellStyle name="Entrada 2 3 3 11" xfId="21425"/>
    <cellStyle name="Entrada 2 3 3 12" xfId="24084"/>
    <cellStyle name="Entrada 2 3 3 13" xfId="25227"/>
    <cellStyle name="Entrada 2 3 3 14" xfId="26859"/>
    <cellStyle name="Entrada 2 3 3 15" xfId="28758"/>
    <cellStyle name="Entrada 2 3 3 16" xfId="30456"/>
    <cellStyle name="Entrada 2 3 3 17" xfId="33111"/>
    <cellStyle name="Entrada 2 3 3 18" xfId="33583"/>
    <cellStyle name="Entrada 2 3 3 19" xfId="36054"/>
    <cellStyle name="Entrada 2 3 3 2" xfId="5783"/>
    <cellStyle name="Entrada 2 3 3 2 10" xfId="22033"/>
    <cellStyle name="Entrada 2 3 3 2 11" xfId="22587"/>
    <cellStyle name="Entrada 2 3 3 2 12" xfId="25835"/>
    <cellStyle name="Entrada 2 3 3 2 13" xfId="26612"/>
    <cellStyle name="Entrada 2 3 3 2 14" xfId="29221"/>
    <cellStyle name="Entrada 2 3 3 2 15" xfId="30215"/>
    <cellStyle name="Entrada 2 3 3 2 16" xfId="31705"/>
    <cellStyle name="Entrada 2 3 3 2 17" xfId="34487"/>
    <cellStyle name="Entrada 2 3 3 2 18" xfId="36662"/>
    <cellStyle name="Entrada 2 3 3 2 19" xfId="38541"/>
    <cellStyle name="Entrada 2 3 3 2 2" xfId="7232"/>
    <cellStyle name="Entrada 2 3 3 2 20" xfId="38946"/>
    <cellStyle name="Entrada 2 3 3 2 21" xfId="40629"/>
    <cellStyle name="Entrada 2 3 3 2 22" xfId="42396"/>
    <cellStyle name="Entrada 2 3 3 2 3" xfId="8686"/>
    <cellStyle name="Entrada 2 3 3 2 4" xfId="10596"/>
    <cellStyle name="Entrada 2 3 3 2 5" xfId="12739"/>
    <cellStyle name="Entrada 2 3 3 2 6" xfId="13055"/>
    <cellStyle name="Entrada 2 3 3 2 7" xfId="14959"/>
    <cellStyle name="Entrada 2 3 3 2 8" xfId="18215"/>
    <cellStyle name="Entrada 2 3 3 2 9" xfId="20121"/>
    <cellStyle name="Entrada 2 3 3 20" xfId="37933"/>
    <cellStyle name="Entrada 2 3 3 21" xfId="40306"/>
    <cellStyle name="Entrada 2 3 3 22" xfId="41962"/>
    <cellStyle name="Entrada 2 3 3 23" xfId="43827"/>
    <cellStyle name="Entrada 2 3 3 3" xfId="5177"/>
    <cellStyle name="Entrada 2 3 3 3 2" xfId="45731"/>
    <cellStyle name="Entrada 2 3 3 3 3" xfId="46120"/>
    <cellStyle name="Entrada 2 3 3 3 4" xfId="46478"/>
    <cellStyle name="Entrada 2 3 3 3 5" xfId="46830"/>
    <cellStyle name="Entrada 2 3 3 3 6" xfId="47145"/>
    <cellStyle name="Entrada 2 3 3 3 7" xfId="47464"/>
    <cellStyle name="Entrada 2 3 3 3 8" xfId="47782"/>
    <cellStyle name="Entrada 2 3 3 4" xfId="8078"/>
    <cellStyle name="Entrada 2 3 3 4 2" xfId="45793"/>
    <cellStyle name="Entrada 2 3 3 4 3" xfId="46182"/>
    <cellStyle name="Entrada 2 3 3 4 4" xfId="46540"/>
    <cellStyle name="Entrada 2 3 3 4 5" xfId="46892"/>
    <cellStyle name="Entrada 2 3 3 4 6" xfId="47207"/>
    <cellStyle name="Entrada 2 3 3 4 7" xfId="47526"/>
    <cellStyle name="Entrada 2 3 3 4 8" xfId="47844"/>
    <cellStyle name="Entrada 2 3 3 5" xfId="9988"/>
    <cellStyle name="Entrada 2 3 3 5 2" xfId="45617"/>
    <cellStyle name="Entrada 2 3 3 5 3" xfId="46006"/>
    <cellStyle name="Entrada 2 3 3 5 4" xfId="46364"/>
    <cellStyle name="Entrada 2 3 3 5 5" xfId="46716"/>
    <cellStyle name="Entrada 2 3 3 5 6" xfId="47031"/>
    <cellStyle name="Entrada 2 3 3 5 7" xfId="47350"/>
    <cellStyle name="Entrada 2 3 3 5 8" xfId="47668"/>
    <cellStyle name="Entrada 2 3 3 6" xfId="12043"/>
    <cellStyle name="Entrada 2 3 3 7" xfId="14554"/>
    <cellStyle name="Entrada 2 3 3 8" xfId="16460"/>
    <cellStyle name="Entrada 2 3 3 9" xfId="17607"/>
    <cellStyle name="Entrada 2 3 4" xfId="4108"/>
    <cellStyle name="Entrada 2 3 4 10" xfId="19743"/>
    <cellStyle name="Entrada 2 3 4 11" xfId="21655"/>
    <cellStyle name="Entrada 2 3 4 12" xfId="23120"/>
    <cellStyle name="Entrada 2 3 4 13" xfId="25457"/>
    <cellStyle name="Entrada 2 3 4 14" xfId="27360"/>
    <cellStyle name="Entrada 2 3 4 15" xfId="28762"/>
    <cellStyle name="Entrada 2 3 4 16" xfId="30948"/>
    <cellStyle name="Entrada 2 3 4 17" xfId="31859"/>
    <cellStyle name="Entrada 2 3 4 18" xfId="34848"/>
    <cellStyle name="Entrada 2 3 4 19" xfId="36284"/>
    <cellStyle name="Entrada 2 3 4 2" xfId="6013"/>
    <cellStyle name="Entrada 2 3 4 2 10" xfId="22263"/>
    <cellStyle name="Entrada 2 3 4 2 11" xfId="22840"/>
    <cellStyle name="Entrada 2 3 4 2 12" xfId="26065"/>
    <cellStyle name="Entrada 2 3 4 2 13" xfId="26336"/>
    <cellStyle name="Entrada 2 3 4 2 14" xfId="28115"/>
    <cellStyle name="Entrada 2 3 4 2 15" xfId="29944"/>
    <cellStyle name="Entrada 2 3 4 2 16" xfId="31959"/>
    <cellStyle name="Entrada 2 3 4 2 17" xfId="34844"/>
    <cellStyle name="Entrada 2 3 4 2 18" xfId="36892"/>
    <cellStyle name="Entrada 2 3 4 2 19" xfId="38771"/>
    <cellStyle name="Entrada 2 3 4 2 2" xfId="7462"/>
    <cellStyle name="Entrada 2 3 4 2 20" xfId="39188"/>
    <cellStyle name="Entrada 2 3 4 2 21" xfId="40869"/>
    <cellStyle name="Entrada 2 3 4 2 22" xfId="42631"/>
    <cellStyle name="Entrada 2 3 4 2 3" xfId="8916"/>
    <cellStyle name="Entrada 2 3 4 2 4" xfId="10826"/>
    <cellStyle name="Entrada 2 3 4 2 5" xfId="12385"/>
    <cellStyle name="Entrada 2 3 4 2 6" xfId="13309"/>
    <cellStyle name="Entrada 2 3 4 2 7" xfId="15213"/>
    <cellStyle name="Entrada 2 3 4 2 8" xfId="18445"/>
    <cellStyle name="Entrada 2 3 4 2 9" xfId="20351"/>
    <cellStyle name="Entrada 2 3 4 20" xfId="38163"/>
    <cellStyle name="Entrada 2 3 4 21" xfId="39094"/>
    <cellStyle name="Entrada 2 3 4 22" xfId="40775"/>
    <cellStyle name="Entrada 2 3 4 23" xfId="42900"/>
    <cellStyle name="Entrada 2 3 4 3" xfId="6854"/>
    <cellStyle name="Entrada 2 3 4 3 2" xfId="45765"/>
    <cellStyle name="Entrada 2 3 4 3 3" xfId="46154"/>
    <cellStyle name="Entrada 2 3 4 3 4" xfId="46512"/>
    <cellStyle name="Entrada 2 3 4 3 5" xfId="46864"/>
    <cellStyle name="Entrada 2 3 4 3 6" xfId="47179"/>
    <cellStyle name="Entrada 2 3 4 3 7" xfId="47498"/>
    <cellStyle name="Entrada 2 3 4 3 8" xfId="47816"/>
    <cellStyle name="Entrada 2 3 4 4" xfId="8308"/>
    <cellStyle name="Entrada 2 3 4 4 2" xfId="45834"/>
    <cellStyle name="Entrada 2 3 4 4 3" xfId="46223"/>
    <cellStyle name="Entrada 2 3 4 4 4" xfId="46581"/>
    <cellStyle name="Entrada 2 3 4 4 5" xfId="46933"/>
    <cellStyle name="Entrada 2 3 4 4 6" xfId="47248"/>
    <cellStyle name="Entrada 2 3 4 4 7" xfId="47567"/>
    <cellStyle name="Entrada 2 3 4 4 8" xfId="47885"/>
    <cellStyle name="Entrada 2 3 4 5" xfId="10218"/>
    <cellStyle name="Entrada 2 3 4 5 2" xfId="45871"/>
    <cellStyle name="Entrada 2 3 4 5 3" xfId="46260"/>
    <cellStyle name="Entrada 2 3 4 5 4" xfId="46618"/>
    <cellStyle name="Entrada 2 3 4 5 5" xfId="46970"/>
    <cellStyle name="Entrada 2 3 4 5 6" xfId="47285"/>
    <cellStyle name="Entrada 2 3 4 5 7" xfId="47604"/>
    <cellStyle name="Entrada 2 3 4 5 8" xfId="47922"/>
    <cellStyle name="Entrada 2 3 4 6" xfId="12737"/>
    <cellStyle name="Entrada 2 3 4 7" xfId="13591"/>
    <cellStyle name="Entrada 2 3 4 8" xfId="15494"/>
    <cellStyle name="Entrada 2 3 4 9" xfId="17837"/>
    <cellStyle name="Entrada 2 3 5" xfId="4456"/>
    <cellStyle name="Entrada 2 3 5 10" xfId="20701"/>
    <cellStyle name="Entrada 2 3 5 11" xfId="23552"/>
    <cellStyle name="Entrada 2 3 5 12" xfId="24503"/>
    <cellStyle name="Entrada 2 3 5 13" xfId="27101"/>
    <cellStyle name="Entrada 2 3 5 14" xfId="28550"/>
    <cellStyle name="Entrada 2 3 5 15" xfId="30692"/>
    <cellStyle name="Entrada 2 3 5 16" xfId="33247"/>
    <cellStyle name="Entrada 2 3 5 17" xfId="34982"/>
    <cellStyle name="Entrada 2 3 5 18" xfId="35331"/>
    <cellStyle name="Entrada 2 3 5 19" xfId="37209"/>
    <cellStyle name="Entrada 2 3 5 2" xfId="2523"/>
    <cellStyle name="Entrada 2 3 5 20" xfId="40435"/>
    <cellStyle name="Entrada 2 3 5 21" xfId="42090"/>
    <cellStyle name="Entrada 2 3 5 22" xfId="43316"/>
    <cellStyle name="Entrada 2 3 5 3" xfId="2479"/>
    <cellStyle name="Entrada 2 3 5 4" xfId="9263"/>
    <cellStyle name="Entrada 2 3 5 5" xfId="12588"/>
    <cellStyle name="Entrada 2 3 5 6" xfId="14024"/>
    <cellStyle name="Entrada 2 3 5 7" xfId="15925"/>
    <cellStyle name="Entrada 2 3 5 8" xfId="16882"/>
    <cellStyle name="Entrada 2 3 5 9" xfId="18789"/>
    <cellStyle name="Entrada 2 3 6" xfId="4377"/>
    <cellStyle name="Entrada 2 3 6 2" xfId="45671"/>
    <cellStyle name="Entrada 2 3 6 3" xfId="46060"/>
    <cellStyle name="Entrada 2 3 6 4" xfId="46418"/>
    <cellStyle name="Entrada 2 3 6 5" xfId="46770"/>
    <cellStyle name="Entrada 2 3 6 6" xfId="47085"/>
    <cellStyle name="Entrada 2 3 6 7" xfId="47404"/>
    <cellStyle name="Entrada 2 3 6 8" xfId="47722"/>
    <cellStyle name="Entrada 2 3 7" xfId="9292"/>
    <cellStyle name="Entrada 2 3 7 2" xfId="45649"/>
    <cellStyle name="Entrada 2 3 7 3" xfId="46038"/>
    <cellStyle name="Entrada 2 3 7 4" xfId="46396"/>
    <cellStyle name="Entrada 2 3 7 5" xfId="46748"/>
    <cellStyle name="Entrada 2 3 7 6" xfId="47063"/>
    <cellStyle name="Entrada 2 3 7 7" xfId="47382"/>
    <cellStyle name="Entrada 2 3 7 8" xfId="47700"/>
    <cellStyle name="Entrada 2 3 8" xfId="10962"/>
    <cellStyle name="Entrada 2 3 9" xfId="13041"/>
    <cellStyle name="Entrada 2 4" xfId="3288"/>
    <cellStyle name="Entrada 2 4 10" xfId="17287"/>
    <cellStyle name="Entrada 2 4 11" xfId="19193"/>
    <cellStyle name="Entrada 2 4 12" xfId="21105"/>
    <cellStyle name="Entrada 2 4 13" xfId="23793"/>
    <cellStyle name="Entrada 2 4 14" xfId="24907"/>
    <cellStyle name="Entrada 2 4 15" xfId="23731"/>
    <cellStyle name="Entrada 2 4 16" xfId="3276"/>
    <cellStyle name="Entrada 2 4 17" xfId="1755"/>
    <cellStyle name="Entrada 2 4 18" xfId="15691"/>
    <cellStyle name="Entrada 2 4 19" xfId="1897"/>
    <cellStyle name="Entrada 2 4 2" xfId="5517"/>
    <cellStyle name="Entrada 2 4 2 10" xfId="21767"/>
    <cellStyle name="Entrada 2 4 2 11" xfId="22657"/>
    <cellStyle name="Entrada 2 4 2 12" xfId="25569"/>
    <cellStyle name="Entrada 2 4 2 13" xfId="27770"/>
    <cellStyle name="Entrada 2 4 2 14" xfId="29392"/>
    <cellStyle name="Entrada 2 4 2 15" xfId="31348"/>
    <cellStyle name="Entrada 2 4 2 16" xfId="33027"/>
    <cellStyle name="Entrada 2 4 2 17" xfId="33485"/>
    <cellStyle name="Entrada 2 4 2 18" xfId="36396"/>
    <cellStyle name="Entrada 2 4 2 19" xfId="38275"/>
    <cellStyle name="Entrada 2 4 2 2" xfId="6966"/>
    <cellStyle name="Entrada 2 4 2 2 2" xfId="45950"/>
    <cellStyle name="Entrada 2 4 2 2 3" xfId="46308"/>
    <cellStyle name="Entrada 2 4 2 2 4" xfId="46660"/>
    <cellStyle name="Entrada 2 4 2 2 5" xfId="45532"/>
    <cellStyle name="Entrada 2 4 2 20" xfId="40227"/>
    <cellStyle name="Entrada 2 4 2 21" xfId="41886"/>
    <cellStyle name="Entrada 2 4 2 22" xfId="42463"/>
    <cellStyle name="Entrada 2 4 2 3" xfId="8420"/>
    <cellStyle name="Entrada 2 4 2 3 2" xfId="45723"/>
    <cellStyle name="Entrada 2 4 2 3 3" xfId="46112"/>
    <cellStyle name="Entrada 2 4 2 3 4" xfId="46470"/>
    <cellStyle name="Entrada 2 4 2 3 5" xfId="46822"/>
    <cellStyle name="Entrada 2 4 2 3 6" xfId="47137"/>
    <cellStyle name="Entrada 2 4 2 3 7" xfId="47456"/>
    <cellStyle name="Entrada 2 4 2 3 8" xfId="47774"/>
    <cellStyle name="Entrada 2 4 2 4" xfId="10330"/>
    <cellStyle name="Entrada 2 4 2 4 2" xfId="45785"/>
    <cellStyle name="Entrada 2 4 2 4 3" xfId="46174"/>
    <cellStyle name="Entrada 2 4 2 4 4" xfId="46532"/>
    <cellStyle name="Entrada 2 4 2 4 5" xfId="46884"/>
    <cellStyle name="Entrada 2 4 2 4 6" xfId="47199"/>
    <cellStyle name="Entrada 2 4 2 4 7" xfId="47518"/>
    <cellStyle name="Entrada 2 4 2 4 8" xfId="47836"/>
    <cellStyle name="Entrada 2 4 2 5" xfId="11449"/>
    <cellStyle name="Entrada 2 4 2 5 2" xfId="45612"/>
    <cellStyle name="Entrada 2 4 2 5 3" xfId="46001"/>
    <cellStyle name="Entrada 2 4 2 5 4" xfId="46359"/>
    <cellStyle name="Entrada 2 4 2 5 5" xfId="46711"/>
    <cellStyle name="Entrada 2 4 2 5 6" xfId="47026"/>
    <cellStyle name="Entrada 2 4 2 5 7" xfId="47345"/>
    <cellStyle name="Entrada 2 4 2 5 8" xfId="47663"/>
    <cellStyle name="Entrada 2 4 2 6" xfId="13124"/>
    <cellStyle name="Entrada 2 4 2 7" xfId="15029"/>
    <cellStyle name="Entrada 2 4 2 8" xfId="17949"/>
    <cellStyle name="Entrada 2 4 2 9" xfId="19855"/>
    <cellStyle name="Entrada 2 4 20" xfId="35734"/>
    <cellStyle name="Entrada 2 4 21" xfId="37613"/>
    <cellStyle name="Entrada 2 4 22" xfId="26639"/>
    <cellStyle name="Entrada 2 4 23" xfId="29239"/>
    <cellStyle name="Entrada 2 4 24" xfId="43546"/>
    <cellStyle name="Entrada 2 4 3" xfId="4857"/>
    <cellStyle name="Entrada 2 4 3 2" xfId="45356"/>
    <cellStyle name="Entrada 2 4 3 2 2" xfId="45958"/>
    <cellStyle name="Entrada 2 4 3 2 3" xfId="46316"/>
    <cellStyle name="Entrada 2 4 3 2 4" xfId="46668"/>
    <cellStyle name="Entrada 2 4 3 2 5" xfId="47620"/>
    <cellStyle name="Entrada 2 4 3 3" xfId="45414"/>
    <cellStyle name="Entrada 2 4 3 3 2" xfId="45738"/>
    <cellStyle name="Entrada 2 4 3 3 3" xfId="46127"/>
    <cellStyle name="Entrada 2 4 3 3 4" xfId="46485"/>
    <cellStyle name="Entrada 2 4 3 3 5" xfId="46837"/>
    <cellStyle name="Entrada 2 4 3 3 6" xfId="47152"/>
    <cellStyle name="Entrada 2 4 3 3 7" xfId="47471"/>
    <cellStyle name="Entrada 2 4 3 3 8" xfId="47789"/>
    <cellStyle name="Entrada 2 4 3 4" xfId="45441"/>
    <cellStyle name="Entrada 2 4 3 4 2" xfId="45800"/>
    <cellStyle name="Entrada 2 4 3 4 3" xfId="46189"/>
    <cellStyle name="Entrada 2 4 3 4 4" xfId="46547"/>
    <cellStyle name="Entrada 2 4 3 4 5" xfId="46899"/>
    <cellStyle name="Entrada 2 4 3 4 6" xfId="47214"/>
    <cellStyle name="Entrada 2 4 3 4 7" xfId="47533"/>
    <cellStyle name="Entrada 2 4 3 4 8" xfId="47851"/>
    <cellStyle name="Entrada 2 4 3 5" xfId="45465"/>
    <cellStyle name="Entrada 2 4 3 5 2" xfId="45853"/>
    <cellStyle name="Entrada 2 4 3 5 3" xfId="46242"/>
    <cellStyle name="Entrada 2 4 3 5 4" xfId="46600"/>
    <cellStyle name="Entrada 2 4 3 5 5" xfId="46952"/>
    <cellStyle name="Entrada 2 4 3 5 6" xfId="47267"/>
    <cellStyle name="Entrada 2 4 3 5 7" xfId="47586"/>
    <cellStyle name="Entrada 2 4 3 5 8" xfId="47904"/>
    <cellStyle name="Entrada 2 4 3 6" xfId="45905"/>
    <cellStyle name="Entrada 2 4 3 7" xfId="45528"/>
    <cellStyle name="Entrada 2 4 3 8" xfId="47322"/>
    <cellStyle name="Entrada 2 4 3 9" xfId="45325"/>
    <cellStyle name="Entrada 2 4 4" xfId="6307"/>
    <cellStyle name="Entrada 2 4 4 2" xfId="45369"/>
    <cellStyle name="Entrada 2 4 4 2 2" xfId="45976"/>
    <cellStyle name="Entrada 2 4 4 2 3" xfId="46334"/>
    <cellStyle name="Entrada 2 4 4 2 4" xfId="46686"/>
    <cellStyle name="Entrada 2 4 4 2 5" xfId="47638"/>
    <cellStyle name="Entrada 2 4 4 3" xfId="45428"/>
    <cellStyle name="Entrada 2 4 4 3 2" xfId="45772"/>
    <cellStyle name="Entrada 2 4 4 3 3" xfId="46161"/>
    <cellStyle name="Entrada 2 4 4 3 4" xfId="46519"/>
    <cellStyle name="Entrada 2 4 4 3 5" xfId="46871"/>
    <cellStyle name="Entrada 2 4 4 3 6" xfId="47186"/>
    <cellStyle name="Entrada 2 4 4 3 7" xfId="47505"/>
    <cellStyle name="Entrada 2 4 4 3 8" xfId="47823"/>
    <cellStyle name="Entrada 2 4 4 4" xfId="45458"/>
    <cellStyle name="Entrada 2 4 4 4 2" xfId="45841"/>
    <cellStyle name="Entrada 2 4 4 4 3" xfId="46230"/>
    <cellStyle name="Entrada 2 4 4 4 4" xfId="46588"/>
    <cellStyle name="Entrada 2 4 4 4 5" xfId="46940"/>
    <cellStyle name="Entrada 2 4 4 4 6" xfId="47255"/>
    <cellStyle name="Entrada 2 4 4 4 7" xfId="47574"/>
    <cellStyle name="Entrada 2 4 4 4 8" xfId="47892"/>
    <cellStyle name="Entrada 2 4 4 5" xfId="45478"/>
    <cellStyle name="Entrada 2 4 4 5 2" xfId="45878"/>
    <cellStyle name="Entrada 2 4 4 5 3" xfId="46267"/>
    <cellStyle name="Entrada 2 4 4 5 4" xfId="46625"/>
    <cellStyle name="Entrada 2 4 4 5 5" xfId="46977"/>
    <cellStyle name="Entrada 2 4 4 5 6" xfId="47292"/>
    <cellStyle name="Entrada 2 4 4 5 7" xfId="47611"/>
    <cellStyle name="Entrada 2 4 4 5 8" xfId="47929"/>
    <cellStyle name="Entrada 2 4 4 6" xfId="45918"/>
    <cellStyle name="Entrada 2 4 4 7" xfId="45573"/>
    <cellStyle name="Entrada 2 4 4 8" xfId="45499"/>
    <cellStyle name="Entrada 2 4 4 9" xfId="47949"/>
    <cellStyle name="Entrada 2 4 5" xfId="7758"/>
    <cellStyle name="Entrada 2 4 5 2" xfId="45576"/>
    <cellStyle name="Entrada 2 4 5 3" xfId="45925"/>
    <cellStyle name="Entrada 2 4 5 4" xfId="46283"/>
    <cellStyle name="Entrada 2 4 5 5" xfId="46635"/>
    <cellStyle name="Entrada 2 4 5 6" xfId="46986"/>
    <cellStyle name="Entrada 2 4 5 7" xfId="47303"/>
    <cellStyle name="Entrada 2 4 5 8" xfId="46275"/>
    <cellStyle name="Entrada 2 4 6" xfId="9668"/>
    <cellStyle name="Entrada 2 4 6 2" xfId="45672"/>
    <cellStyle name="Entrada 2 4 6 3" xfId="46061"/>
    <cellStyle name="Entrada 2 4 6 4" xfId="46419"/>
    <cellStyle name="Entrada 2 4 6 5" xfId="46771"/>
    <cellStyle name="Entrada 2 4 6 6" xfId="47086"/>
    <cellStyle name="Entrada 2 4 6 7" xfId="47405"/>
    <cellStyle name="Entrada 2 4 6 8" xfId="47723"/>
    <cellStyle name="Entrada 2 4 7" xfId="11503"/>
    <cellStyle name="Entrada 2 4 7 2" xfId="45824"/>
    <cellStyle name="Entrada 2 4 7 3" xfId="46213"/>
    <cellStyle name="Entrada 2 4 7 4" xfId="46571"/>
    <cellStyle name="Entrada 2 4 7 5" xfId="46923"/>
    <cellStyle name="Entrada 2 4 7 6" xfId="47238"/>
    <cellStyle name="Entrada 2 4 7 7" xfId="47557"/>
    <cellStyle name="Entrada 2 4 7 8" xfId="47875"/>
    <cellStyle name="Entrada 2 4 8" xfId="14263"/>
    <cellStyle name="Entrada 2 4 9" xfId="16167"/>
    <cellStyle name="Entrada 2 5" xfId="2738"/>
    <cellStyle name="Entrada 2 5 10" xfId="19102"/>
    <cellStyle name="Entrada 2 5 11" xfId="21014"/>
    <cellStyle name="Entrada 2 5 12" xfId="22979"/>
    <cellStyle name="Entrada 2 5 13" xfId="24816"/>
    <cellStyle name="Entrada 2 5 14" xfId="27391"/>
    <cellStyle name="Entrada 2 5 15" xfId="29664"/>
    <cellStyle name="Entrada 2 5 16" xfId="30977"/>
    <cellStyle name="Entrada 2 5 17" xfId="32835"/>
    <cellStyle name="Entrada 2 5 18" xfId="34118"/>
    <cellStyle name="Entrada 2 5 19" xfId="35643"/>
    <cellStyle name="Entrada 2 5 2" xfId="5562"/>
    <cellStyle name="Entrada 2 5 2 10" xfId="21812"/>
    <cellStyle name="Entrada 2 5 2 11" xfId="24075"/>
    <cellStyle name="Entrada 2 5 2 12" xfId="25614"/>
    <cellStyle name="Entrada 2 5 2 13" xfId="27670"/>
    <cellStyle name="Entrada 2 5 2 14" xfId="27328"/>
    <cellStyle name="Entrada 2 5 2 15" xfId="31246"/>
    <cellStyle name="Entrada 2 5 2 16" xfId="31886"/>
    <cellStyle name="Entrada 2 5 2 17" xfId="34036"/>
    <cellStyle name="Entrada 2 5 2 18" xfId="36441"/>
    <cellStyle name="Entrada 2 5 2 19" xfId="38320"/>
    <cellStyle name="Entrada 2 5 2 2" xfId="7011"/>
    <cellStyle name="Entrada 2 5 2 2 2" xfId="45585"/>
    <cellStyle name="Entrada 2 5 2 2 3" xfId="45939"/>
    <cellStyle name="Entrada 2 5 2 2 4" xfId="46297"/>
    <cellStyle name="Entrada 2 5 2 2 5" xfId="46649"/>
    <cellStyle name="Entrada 2 5 2 2 6" xfId="46995"/>
    <cellStyle name="Entrada 2 5 2 2 7" xfId="47314"/>
    <cellStyle name="Entrada 2 5 2 2 8" xfId="45535"/>
    <cellStyle name="Entrada 2 5 2 20" xfId="39121"/>
    <cellStyle name="Entrada 2 5 2 21" xfId="40802"/>
    <cellStyle name="Entrada 2 5 2 22" xfId="43819"/>
    <cellStyle name="Entrada 2 5 2 3" xfId="8465"/>
    <cellStyle name="Entrada 2 5 2 3 2" xfId="45703"/>
    <cellStyle name="Entrada 2 5 2 3 3" xfId="46092"/>
    <cellStyle name="Entrada 2 5 2 3 4" xfId="46450"/>
    <cellStyle name="Entrada 2 5 2 3 5" xfId="46802"/>
    <cellStyle name="Entrada 2 5 2 3 6" xfId="47117"/>
    <cellStyle name="Entrada 2 5 2 3 7" xfId="47436"/>
    <cellStyle name="Entrada 2 5 2 3 8" xfId="47754"/>
    <cellStyle name="Entrada 2 5 2 4" xfId="10375"/>
    <cellStyle name="Entrada 2 5 2 4 2" xfId="45604"/>
    <cellStyle name="Entrada 2 5 2 4 3" xfId="45993"/>
    <cellStyle name="Entrada 2 5 2 4 4" xfId="46351"/>
    <cellStyle name="Entrada 2 5 2 4 5" xfId="46703"/>
    <cellStyle name="Entrada 2 5 2 4 6" xfId="47018"/>
    <cellStyle name="Entrada 2 5 2 4 7" xfId="47337"/>
    <cellStyle name="Entrada 2 5 2 4 8" xfId="47655"/>
    <cellStyle name="Entrada 2 5 2 5" xfId="12034"/>
    <cellStyle name="Entrada 2 5 2 6" xfId="14545"/>
    <cellStyle name="Entrada 2 5 2 7" xfId="16451"/>
    <cellStyle name="Entrada 2 5 2 8" xfId="17994"/>
    <cellStyle name="Entrada 2 5 2 9" xfId="19900"/>
    <cellStyle name="Entrada 2 5 20" xfId="37522"/>
    <cellStyle name="Entrada 2 5 21" xfId="40043"/>
    <cellStyle name="Entrada 2 5 22" xfId="41707"/>
    <cellStyle name="Entrada 2 5 23" xfId="42765"/>
    <cellStyle name="Entrada 2 5 3" xfId="4767"/>
    <cellStyle name="Entrada 2 5 3 2" xfId="45348"/>
    <cellStyle name="Entrada 2 5 3 2 2" xfId="45947"/>
    <cellStyle name="Entrada 2 5 3 2 3" xfId="46305"/>
    <cellStyle name="Entrada 2 5 3 2 4" xfId="46657"/>
    <cellStyle name="Entrada 2 5 3 2 5" xfId="45885"/>
    <cellStyle name="Entrada 2 5 3 3" xfId="45406"/>
    <cellStyle name="Entrada 2 5 3 3 2" xfId="45719"/>
    <cellStyle name="Entrada 2 5 3 3 3" xfId="46108"/>
    <cellStyle name="Entrada 2 5 3 3 4" xfId="46466"/>
    <cellStyle name="Entrada 2 5 3 3 5" xfId="46818"/>
    <cellStyle name="Entrada 2 5 3 3 6" xfId="47133"/>
    <cellStyle name="Entrada 2 5 3 3 7" xfId="47452"/>
    <cellStyle name="Entrada 2 5 3 3 8" xfId="47770"/>
    <cellStyle name="Entrada 2 5 3 4" xfId="45433"/>
    <cellStyle name="Entrada 2 5 3 4 2" xfId="45781"/>
    <cellStyle name="Entrada 2 5 3 4 3" xfId="46170"/>
    <cellStyle name="Entrada 2 5 3 4 4" xfId="46528"/>
    <cellStyle name="Entrada 2 5 3 4 5" xfId="46880"/>
    <cellStyle name="Entrada 2 5 3 4 6" xfId="47195"/>
    <cellStyle name="Entrada 2 5 3 4 7" xfId="47514"/>
    <cellStyle name="Entrada 2 5 3 4 8" xfId="47832"/>
    <cellStyle name="Entrada 2 5 3 5" xfId="45379"/>
    <cellStyle name="Entrada 2 5 3 5 2" xfId="45610"/>
    <cellStyle name="Entrada 2 5 3 5 3" xfId="45999"/>
    <cellStyle name="Entrada 2 5 3 5 4" xfId="46357"/>
    <cellStyle name="Entrada 2 5 3 5 5" xfId="46709"/>
    <cellStyle name="Entrada 2 5 3 5 6" xfId="47024"/>
    <cellStyle name="Entrada 2 5 3 5 7" xfId="47343"/>
    <cellStyle name="Entrada 2 5 3 5 8" xfId="47661"/>
    <cellStyle name="Entrada 2 5 3 6" xfId="45897"/>
    <cellStyle name="Entrada 2 5 3 7" xfId="45542"/>
    <cellStyle name="Entrada 2 5 3 8" xfId="45517"/>
    <cellStyle name="Entrada 2 5 3 9" xfId="45317"/>
    <cellStyle name="Entrada 2 5 4" xfId="7667"/>
    <cellStyle name="Entrada 2 5 4 2" xfId="45353"/>
    <cellStyle name="Entrada 2 5 4 2 2" xfId="45955"/>
    <cellStyle name="Entrada 2 5 4 2 3" xfId="46313"/>
    <cellStyle name="Entrada 2 5 4 2 4" xfId="46665"/>
    <cellStyle name="Entrada 2 5 4 2 5" xfId="45544"/>
    <cellStyle name="Entrada 2 5 4 3" xfId="45411"/>
    <cellStyle name="Entrada 2 5 4 3 2" xfId="45734"/>
    <cellStyle name="Entrada 2 5 4 3 3" xfId="46123"/>
    <cellStyle name="Entrada 2 5 4 3 4" xfId="46481"/>
    <cellStyle name="Entrada 2 5 4 3 5" xfId="46833"/>
    <cellStyle name="Entrada 2 5 4 3 6" xfId="47148"/>
    <cellStyle name="Entrada 2 5 4 3 7" xfId="47467"/>
    <cellStyle name="Entrada 2 5 4 3 8" xfId="47785"/>
    <cellStyle name="Entrada 2 5 4 4" xfId="45438"/>
    <cellStyle name="Entrada 2 5 4 4 2" xfId="45796"/>
    <cellStyle name="Entrada 2 5 4 4 3" xfId="46185"/>
    <cellStyle name="Entrada 2 5 4 4 4" xfId="46543"/>
    <cellStyle name="Entrada 2 5 4 4 5" xfId="46895"/>
    <cellStyle name="Entrada 2 5 4 4 6" xfId="47210"/>
    <cellStyle name="Entrada 2 5 4 4 7" xfId="47529"/>
    <cellStyle name="Entrada 2 5 4 4 8" xfId="47847"/>
    <cellStyle name="Entrada 2 5 4 5" xfId="45462"/>
    <cellStyle name="Entrada 2 5 4 5 2" xfId="45849"/>
    <cellStyle name="Entrada 2 5 4 5 3" xfId="46238"/>
    <cellStyle name="Entrada 2 5 4 5 4" xfId="46596"/>
    <cellStyle name="Entrada 2 5 4 5 5" xfId="46948"/>
    <cellStyle name="Entrada 2 5 4 5 6" xfId="47263"/>
    <cellStyle name="Entrada 2 5 4 5 7" xfId="47582"/>
    <cellStyle name="Entrada 2 5 4 5 8" xfId="47900"/>
    <cellStyle name="Entrada 2 5 4 6" xfId="45902"/>
    <cellStyle name="Entrada 2 5 4 7" xfId="45553"/>
    <cellStyle name="Entrada 2 5 4 8" xfId="47318"/>
    <cellStyle name="Entrada 2 5 4 9" xfId="45322"/>
    <cellStyle name="Entrada 2 5 5" xfId="9577"/>
    <cellStyle name="Entrada 2 5 5 2" xfId="45361"/>
    <cellStyle name="Entrada 2 5 5 2 2" xfId="45963"/>
    <cellStyle name="Entrada 2 5 5 2 3" xfId="46321"/>
    <cellStyle name="Entrada 2 5 5 2 4" xfId="46673"/>
    <cellStyle name="Entrada 2 5 5 2 5" xfId="47625"/>
    <cellStyle name="Entrada 2 5 5 3" xfId="45419"/>
    <cellStyle name="Entrada 2 5 5 3 2" xfId="45746"/>
    <cellStyle name="Entrada 2 5 5 3 3" xfId="46135"/>
    <cellStyle name="Entrada 2 5 5 3 4" xfId="46493"/>
    <cellStyle name="Entrada 2 5 5 3 5" xfId="46845"/>
    <cellStyle name="Entrada 2 5 5 3 6" xfId="47160"/>
    <cellStyle name="Entrada 2 5 5 3 7" xfId="47479"/>
    <cellStyle name="Entrada 2 5 5 3 8" xfId="47797"/>
    <cellStyle name="Entrada 2 5 5 4" xfId="45446"/>
    <cellStyle name="Entrada 2 5 5 4 2" xfId="45808"/>
    <cellStyle name="Entrada 2 5 5 4 3" xfId="46197"/>
    <cellStyle name="Entrada 2 5 5 4 4" xfId="46555"/>
    <cellStyle name="Entrada 2 5 5 4 5" xfId="46907"/>
    <cellStyle name="Entrada 2 5 5 4 6" xfId="47222"/>
    <cellStyle name="Entrada 2 5 5 4 7" xfId="47541"/>
    <cellStyle name="Entrada 2 5 5 4 8" xfId="47859"/>
    <cellStyle name="Entrada 2 5 5 5" xfId="45470"/>
    <cellStyle name="Entrada 2 5 5 5 2" xfId="45861"/>
    <cellStyle name="Entrada 2 5 5 5 3" xfId="46250"/>
    <cellStyle name="Entrada 2 5 5 5 4" xfId="46608"/>
    <cellStyle name="Entrada 2 5 5 5 5" xfId="46960"/>
    <cellStyle name="Entrada 2 5 5 5 6" xfId="47275"/>
    <cellStyle name="Entrada 2 5 5 5 7" xfId="47594"/>
    <cellStyle name="Entrada 2 5 5 5 8" xfId="47912"/>
    <cellStyle name="Entrada 2 5 5 6" xfId="45910"/>
    <cellStyle name="Entrada 2 5 5 7" xfId="46274"/>
    <cellStyle name="Entrada 2 5 5 8" xfId="46279"/>
    <cellStyle name="Entrada 2 5 5 9" xfId="47941"/>
    <cellStyle name="Entrada 2 5 6" xfId="11334"/>
    <cellStyle name="Entrada 2 5 6 10" xfId="47946"/>
    <cellStyle name="Entrada 2 5 6 2" xfId="45366"/>
    <cellStyle name="Entrada 2 5 6 2 2" xfId="45973"/>
    <cellStyle name="Entrada 2 5 6 2 3" xfId="46331"/>
    <cellStyle name="Entrada 2 5 6 2 4" xfId="46683"/>
    <cellStyle name="Entrada 2 5 6 2 5" xfId="47635"/>
    <cellStyle name="Entrada 2 5 6 3" xfId="45425"/>
    <cellStyle name="Entrada 2 5 6 3 2" xfId="45768"/>
    <cellStyle name="Entrada 2 5 6 3 3" xfId="46157"/>
    <cellStyle name="Entrada 2 5 6 3 4" xfId="46515"/>
    <cellStyle name="Entrada 2 5 6 3 5" xfId="46867"/>
    <cellStyle name="Entrada 2 5 6 3 6" xfId="47182"/>
    <cellStyle name="Entrada 2 5 6 3 7" xfId="47501"/>
    <cellStyle name="Entrada 2 5 6 3 8" xfId="47819"/>
    <cellStyle name="Entrada 2 5 6 4" xfId="45455"/>
    <cellStyle name="Entrada 2 5 6 4 2" xfId="45837"/>
    <cellStyle name="Entrada 2 5 6 4 3" xfId="46226"/>
    <cellStyle name="Entrada 2 5 6 4 4" xfId="46584"/>
    <cellStyle name="Entrada 2 5 6 4 5" xfId="46936"/>
    <cellStyle name="Entrada 2 5 6 4 6" xfId="47251"/>
    <cellStyle name="Entrada 2 5 6 4 7" xfId="47570"/>
    <cellStyle name="Entrada 2 5 6 4 8" xfId="47888"/>
    <cellStyle name="Entrada 2 5 6 5" xfId="45475"/>
    <cellStyle name="Entrada 2 5 6 5 2" xfId="45874"/>
    <cellStyle name="Entrada 2 5 6 5 3" xfId="46263"/>
    <cellStyle name="Entrada 2 5 6 5 4" xfId="46621"/>
    <cellStyle name="Entrada 2 5 6 5 5" xfId="46973"/>
    <cellStyle name="Entrada 2 5 6 5 6" xfId="47288"/>
    <cellStyle name="Entrada 2 5 6 5 7" xfId="47607"/>
    <cellStyle name="Entrada 2 5 6 5 8" xfId="47925"/>
    <cellStyle name="Entrada 2 5 6 6" xfId="45915"/>
    <cellStyle name="Entrada 2 5 6 7" xfId="45548"/>
    <cellStyle name="Entrada 2 5 6 8" xfId="45497"/>
    <cellStyle name="Entrada 2 5 6 9" xfId="45331"/>
    <cellStyle name="Entrada 2 5 7" xfId="13448"/>
    <cellStyle name="Entrada 2 5 7 2" xfId="45577"/>
    <cellStyle name="Entrada 2 5 7 3" xfId="45926"/>
    <cellStyle name="Entrada 2 5 7 4" xfId="46284"/>
    <cellStyle name="Entrada 2 5 7 5" xfId="46636"/>
    <cellStyle name="Entrada 2 5 7 6" xfId="46987"/>
    <cellStyle name="Entrada 2 5 7 7" xfId="47304"/>
    <cellStyle name="Entrada 2 5 7 8" xfId="45500"/>
    <cellStyle name="Entrada 2 5 8" xfId="15353"/>
    <cellStyle name="Entrada 2 5 8 2" xfId="45673"/>
    <cellStyle name="Entrada 2 5 8 3" xfId="46062"/>
    <cellStyle name="Entrada 2 5 8 4" xfId="46420"/>
    <cellStyle name="Entrada 2 5 8 5" xfId="46772"/>
    <cellStyle name="Entrada 2 5 8 6" xfId="47087"/>
    <cellStyle name="Entrada 2 5 8 7" xfId="47406"/>
    <cellStyle name="Entrada 2 5 8 8" xfId="47724"/>
    <cellStyle name="Entrada 2 5 9" xfId="17196"/>
    <cellStyle name="Entrada 2 6" xfId="3248"/>
    <cellStyle name="Entrada 2 6 10" xfId="19187"/>
    <cellStyle name="Entrada 2 6 11" xfId="21099"/>
    <cellStyle name="Entrada 2 6 12" xfId="23612"/>
    <cellStyle name="Entrada 2 6 13" xfId="24901"/>
    <cellStyle name="Entrada 2 6 14" xfId="26847"/>
    <cellStyle name="Entrada 2 6 15" xfId="29594"/>
    <cellStyle name="Entrada 2 6 16" xfId="30444"/>
    <cellStyle name="Entrada 2 6 17" xfId="32257"/>
    <cellStyle name="Entrada 2 6 18" xfId="33683"/>
    <cellStyle name="Entrada 2 6 19" xfId="35728"/>
    <cellStyle name="Entrada 2 6 2" xfId="4612"/>
    <cellStyle name="Entrada 2 6 2 10" xfId="20857"/>
    <cellStyle name="Entrada 2 6 2 11" xfId="23500"/>
    <cellStyle name="Entrada 2 6 2 12" xfId="24659"/>
    <cellStyle name="Entrada 2 6 2 13" xfId="26230"/>
    <cellStyle name="Entrada 2 6 2 14" xfId="2192"/>
    <cellStyle name="Entrada 2 6 2 15" xfId="29840"/>
    <cellStyle name="Entrada 2 6 2 16" xfId="33317"/>
    <cellStyle name="Entrada 2 6 2 17" xfId="12534"/>
    <cellStyle name="Entrada 2 6 2 18" xfId="35487"/>
    <cellStyle name="Entrada 2 6 2 19" xfId="37365"/>
    <cellStyle name="Entrada 2 6 2 2" xfId="6060"/>
    <cellStyle name="Entrada 2 6 2 20" xfId="40497"/>
    <cellStyle name="Entrada 2 6 2 21" xfId="42150"/>
    <cellStyle name="Entrada 2 6 2 22" xfId="43266"/>
    <cellStyle name="Entrada 2 6 2 3" xfId="7509"/>
    <cellStyle name="Entrada 2 6 2 4" xfId="9419"/>
    <cellStyle name="Entrada 2 6 2 5" xfId="12537"/>
    <cellStyle name="Entrada 2 6 2 6" xfId="13972"/>
    <cellStyle name="Entrada 2 6 2 7" xfId="15873"/>
    <cellStyle name="Entrada 2 6 2 8" xfId="17038"/>
    <cellStyle name="Entrada 2 6 2 9" xfId="18945"/>
    <cellStyle name="Entrada 2 6 20" xfId="37607"/>
    <cellStyle name="Entrada 2 6 21" xfId="39475"/>
    <cellStyle name="Entrada 2 6 22" xfId="41150"/>
    <cellStyle name="Entrada 2 6 23" xfId="43370"/>
    <cellStyle name="Entrada 2 6 3" xfId="6301"/>
    <cellStyle name="Entrada 2 6 3 2" xfId="45669"/>
    <cellStyle name="Entrada 2 6 3 3" xfId="46058"/>
    <cellStyle name="Entrada 2 6 3 4" xfId="46416"/>
    <cellStyle name="Entrada 2 6 3 5" xfId="46768"/>
    <cellStyle name="Entrada 2 6 3 6" xfId="47083"/>
    <cellStyle name="Entrada 2 6 3 7" xfId="47402"/>
    <cellStyle name="Entrada 2 6 3 8" xfId="47720"/>
    <cellStyle name="Entrada 2 6 4" xfId="7752"/>
    <cellStyle name="Entrada 2 6 4 2" xfId="45648"/>
    <cellStyle name="Entrada 2 6 4 3" xfId="46037"/>
    <cellStyle name="Entrada 2 6 4 4" xfId="46395"/>
    <cellStyle name="Entrada 2 6 4 5" xfId="46747"/>
    <cellStyle name="Entrada 2 6 4 6" xfId="47062"/>
    <cellStyle name="Entrada 2 6 4 7" xfId="47381"/>
    <cellStyle name="Entrada 2 6 4 8" xfId="47699"/>
    <cellStyle name="Entrada 2 6 5" xfId="9662"/>
    <cellStyle name="Entrada 2 6 6" xfId="11797"/>
    <cellStyle name="Entrada 2 6 7" xfId="14082"/>
    <cellStyle name="Entrada 2 6 8" xfId="15985"/>
    <cellStyle name="Entrada 2 6 9" xfId="17281"/>
    <cellStyle name="Entrada 2 7" xfId="2147"/>
    <cellStyle name="Entrada 2 7 2" xfId="45341"/>
    <cellStyle name="Entrada 2 7 2 2" xfId="45935"/>
    <cellStyle name="Entrada 2 7 2 3" xfId="46293"/>
    <cellStyle name="Entrada 2 7 2 4" xfId="46645"/>
    <cellStyle name="Entrada 2 7 2 5" xfId="45530"/>
    <cellStyle name="Entrada 2 7 3" xfId="45399"/>
    <cellStyle name="Entrada 2 7 3 2" xfId="45698"/>
    <cellStyle name="Entrada 2 7 3 3" xfId="46087"/>
    <cellStyle name="Entrada 2 7 3 4" xfId="46445"/>
    <cellStyle name="Entrada 2 7 3 5" xfId="46797"/>
    <cellStyle name="Entrada 2 7 3 6" xfId="47112"/>
    <cellStyle name="Entrada 2 7 3 7" xfId="47431"/>
    <cellStyle name="Entrada 2 7 3 8" xfId="47749"/>
    <cellStyle name="Entrada 2 7 4" xfId="45378"/>
    <cellStyle name="Entrada 2 7 4 2" xfId="45609"/>
    <cellStyle name="Entrada 2 7 4 3" xfId="45998"/>
    <cellStyle name="Entrada 2 7 4 4" xfId="46356"/>
    <cellStyle name="Entrada 2 7 4 5" xfId="46708"/>
    <cellStyle name="Entrada 2 7 4 6" xfId="47023"/>
    <cellStyle name="Entrada 2 7 4 7" xfId="47342"/>
    <cellStyle name="Entrada 2 7 4 8" xfId="47660"/>
    <cellStyle name="Entrada 2 7 5" xfId="45452"/>
    <cellStyle name="Entrada 2 7 5 2" xfId="45817"/>
    <cellStyle name="Entrada 2 7 5 3" xfId="46206"/>
    <cellStyle name="Entrada 2 7 5 4" xfId="46564"/>
    <cellStyle name="Entrada 2 7 5 5" xfId="46916"/>
    <cellStyle name="Entrada 2 7 5 6" xfId="47231"/>
    <cellStyle name="Entrada 2 7 5 7" xfId="47550"/>
    <cellStyle name="Entrada 2 7 5 8" xfId="47868"/>
    <cellStyle name="Entrada 2 7 6" xfId="45890"/>
    <cellStyle name="Entrada 2 7 7" xfId="45498"/>
    <cellStyle name="Entrada 2 7 8" xfId="45513"/>
    <cellStyle name="Entrada 2 7 9" xfId="45310"/>
    <cellStyle name="Entrada 2 8" xfId="4325"/>
    <cellStyle name="Entrada 2 8 2" xfId="45342"/>
    <cellStyle name="Entrada 2 8 2 2" xfId="45936"/>
    <cellStyle name="Entrada 2 8 2 3" xfId="46294"/>
    <cellStyle name="Entrada 2 8 2 4" xfId="46646"/>
    <cellStyle name="Entrada 2 8 2 5" xfId="45551"/>
    <cellStyle name="Entrada 2 8 3" xfId="45400"/>
    <cellStyle name="Entrada 2 8 3 2" xfId="45699"/>
    <cellStyle name="Entrada 2 8 3 3" xfId="46088"/>
    <cellStyle name="Entrada 2 8 3 4" xfId="46446"/>
    <cellStyle name="Entrada 2 8 3 5" xfId="46798"/>
    <cellStyle name="Entrada 2 8 3 6" xfId="47113"/>
    <cellStyle name="Entrada 2 8 3 7" xfId="47432"/>
    <cellStyle name="Entrada 2 8 3 8" xfId="47750"/>
    <cellStyle name="Entrada 2 8 4" xfId="45377"/>
    <cellStyle name="Entrada 2 8 4 2" xfId="45608"/>
    <cellStyle name="Entrada 2 8 4 3" xfId="45997"/>
    <cellStyle name="Entrada 2 8 4 4" xfId="46355"/>
    <cellStyle name="Entrada 2 8 4 5" xfId="46707"/>
    <cellStyle name="Entrada 2 8 4 6" xfId="47022"/>
    <cellStyle name="Entrada 2 8 4 7" xfId="47341"/>
    <cellStyle name="Entrada 2 8 4 8" xfId="47659"/>
    <cellStyle name="Entrada 2 8 5" xfId="45393"/>
    <cellStyle name="Entrada 2 8 5 2" xfId="45657"/>
    <cellStyle name="Entrada 2 8 5 3" xfId="46046"/>
    <cellStyle name="Entrada 2 8 5 4" xfId="46404"/>
    <cellStyle name="Entrada 2 8 5 5" xfId="46756"/>
    <cellStyle name="Entrada 2 8 5 6" xfId="47071"/>
    <cellStyle name="Entrada 2 8 5 7" xfId="47390"/>
    <cellStyle name="Entrada 2 8 5 8" xfId="47708"/>
    <cellStyle name="Entrada 2 8 6" xfId="45891"/>
    <cellStyle name="Entrada 2 8 7" xfId="45484"/>
    <cellStyle name="Entrada 2 8 8" xfId="47320"/>
    <cellStyle name="Entrada 2 8 9" xfId="45311"/>
    <cellStyle name="Entrada 2 9" xfId="2199"/>
    <cellStyle name="Entrada 3" xfId="51644"/>
    <cellStyle name="Entrada 4" xfId="51694"/>
    <cellStyle name="Entrada 5" xfId="51737"/>
    <cellStyle name="Entrada 6" xfId="51779"/>
    <cellStyle name="Entrada 7" xfId="51821"/>
    <cellStyle name="Entrada 8" xfId="51862"/>
    <cellStyle name="Entrada 9" xfId="51909"/>
    <cellStyle name="Euro" xfId="33"/>
    <cellStyle name="Euro 10" xfId="34"/>
    <cellStyle name="Euro 10 10" xfId="261"/>
    <cellStyle name="Euro 10 10 2" xfId="1333"/>
    <cellStyle name="Euro 10 11" xfId="390"/>
    <cellStyle name="Euro 10 11 2" xfId="1462"/>
    <cellStyle name="Euro 10 12" xfId="452"/>
    <cellStyle name="Euro 10 12 2" xfId="1523"/>
    <cellStyle name="Euro 10 13" xfId="538"/>
    <cellStyle name="Euro 10 13 2" xfId="1609"/>
    <cellStyle name="Euro 10 14" xfId="640"/>
    <cellStyle name="Euro 10 14 2" xfId="1711"/>
    <cellStyle name="Euro 10 15" xfId="559"/>
    <cellStyle name="Euro 10 15 2" xfId="1630"/>
    <cellStyle name="Euro 10 16" xfId="1123"/>
    <cellStyle name="Euro 10 2" xfId="35"/>
    <cellStyle name="Euro 10 2 10" xfId="553"/>
    <cellStyle name="Euro 10 2 10 2" xfId="1624"/>
    <cellStyle name="Euro 10 2 11" xfId="675"/>
    <cellStyle name="Euro 10 2 11 2" xfId="1746"/>
    <cellStyle name="Euro 10 2 12" xfId="1124"/>
    <cellStyle name="Euro 10 2 2" xfId="105"/>
    <cellStyle name="Euro 10 2 2 2" xfId="1177"/>
    <cellStyle name="Euro 10 2 3" xfId="179"/>
    <cellStyle name="Euro 10 2 3 2" xfId="1251"/>
    <cellStyle name="Euro 10 2 4" xfId="176"/>
    <cellStyle name="Euro 10 2 4 2" xfId="1248"/>
    <cellStyle name="Euro 10 2 5" xfId="205"/>
    <cellStyle name="Euro 10 2 5 2" xfId="1277"/>
    <cellStyle name="Euro 10 2 6" xfId="262"/>
    <cellStyle name="Euro 10 2 6 2" xfId="1334"/>
    <cellStyle name="Euro 10 2 7" xfId="391"/>
    <cellStyle name="Euro 10 2 7 2" xfId="1463"/>
    <cellStyle name="Euro 10 2 8" xfId="453"/>
    <cellStyle name="Euro 10 2 8 2" xfId="1524"/>
    <cellStyle name="Euro 10 2 9" xfId="629"/>
    <cellStyle name="Euro 10 2 9 2" xfId="1700"/>
    <cellStyle name="Euro 10 3" xfId="36"/>
    <cellStyle name="Euro 10 3 10" xfId="548"/>
    <cellStyle name="Euro 10 3 10 2" xfId="1619"/>
    <cellStyle name="Euro 10 3 11" xfId="664"/>
    <cellStyle name="Euro 10 3 11 2" xfId="1735"/>
    <cellStyle name="Euro 10 3 12" xfId="1125"/>
    <cellStyle name="Euro 10 3 2" xfId="106"/>
    <cellStyle name="Euro 10 3 2 2" xfId="1178"/>
    <cellStyle name="Euro 10 3 3" xfId="180"/>
    <cellStyle name="Euro 10 3 3 2" xfId="1252"/>
    <cellStyle name="Euro 10 3 4" xfId="175"/>
    <cellStyle name="Euro 10 3 4 2" xfId="1247"/>
    <cellStyle name="Euro 10 3 5" xfId="208"/>
    <cellStyle name="Euro 10 3 5 2" xfId="1280"/>
    <cellStyle name="Euro 10 3 6" xfId="265"/>
    <cellStyle name="Euro 10 3 6 2" xfId="1337"/>
    <cellStyle name="Euro 10 3 7" xfId="392"/>
    <cellStyle name="Euro 10 3 7 2" xfId="1464"/>
    <cellStyle name="Euro 10 3 8" xfId="454"/>
    <cellStyle name="Euro 10 3 8 2" xfId="1525"/>
    <cellStyle name="Euro 10 3 9" xfId="613"/>
    <cellStyle name="Euro 10 3 9 2" xfId="1684"/>
    <cellStyle name="Euro 10 4" xfId="37"/>
    <cellStyle name="Euro 10 4 10" xfId="556"/>
    <cellStyle name="Euro 10 4 10 2" xfId="1627"/>
    <cellStyle name="Euro 10 4 11" xfId="523"/>
    <cellStyle name="Euro 10 4 11 2" xfId="1594"/>
    <cellStyle name="Euro 10 4 12" xfId="1126"/>
    <cellStyle name="Euro 10 4 2" xfId="107"/>
    <cellStyle name="Euro 10 4 2 2" xfId="1179"/>
    <cellStyle name="Euro 10 4 3" xfId="181"/>
    <cellStyle name="Euro 10 4 3 2" xfId="1253"/>
    <cellStyle name="Euro 10 4 4" xfId="174"/>
    <cellStyle name="Euro 10 4 4 2" xfId="1246"/>
    <cellStyle name="Euro 10 4 5" xfId="209"/>
    <cellStyle name="Euro 10 4 5 2" xfId="1281"/>
    <cellStyle name="Euro 10 4 6" xfId="266"/>
    <cellStyle name="Euro 10 4 6 2" xfId="1338"/>
    <cellStyle name="Euro 10 4 7" xfId="393"/>
    <cellStyle name="Euro 10 4 7 2" xfId="1465"/>
    <cellStyle name="Euro 10 4 8" xfId="455"/>
    <cellStyle name="Euro 10 4 8 2" xfId="1526"/>
    <cellStyle name="Euro 10 4 9" xfId="592"/>
    <cellStyle name="Euro 10 4 9 2" xfId="1663"/>
    <cellStyle name="Euro 10 5" xfId="38"/>
    <cellStyle name="Euro 10 5 10" xfId="653"/>
    <cellStyle name="Euro 10 5 10 2" xfId="1724"/>
    <cellStyle name="Euro 10 5 11" xfId="573"/>
    <cellStyle name="Euro 10 5 11 2" xfId="1644"/>
    <cellStyle name="Euro 10 5 12" xfId="1127"/>
    <cellStyle name="Euro 10 5 2" xfId="108"/>
    <cellStyle name="Euro 10 5 2 2" xfId="1180"/>
    <cellStyle name="Euro 10 5 3" xfId="182"/>
    <cellStyle name="Euro 10 5 3 2" xfId="1254"/>
    <cellStyle name="Euro 10 5 4" xfId="173"/>
    <cellStyle name="Euro 10 5 4 2" xfId="1245"/>
    <cellStyle name="Euro 10 5 5" xfId="214"/>
    <cellStyle name="Euro 10 5 5 2" xfId="1286"/>
    <cellStyle name="Euro 10 5 6" xfId="271"/>
    <cellStyle name="Euro 10 5 6 2" xfId="1343"/>
    <cellStyle name="Euro 10 5 7" xfId="394"/>
    <cellStyle name="Euro 10 5 7 2" xfId="1466"/>
    <cellStyle name="Euro 10 5 8" xfId="456"/>
    <cellStyle name="Euro 10 5 8 2" xfId="1527"/>
    <cellStyle name="Euro 10 5 9" xfId="568"/>
    <cellStyle name="Euro 10 5 9 2" xfId="1639"/>
    <cellStyle name="Euro 10 6" xfId="104"/>
    <cellStyle name="Euro 10 6 2" xfId="1176"/>
    <cellStyle name="Euro 10 7" xfId="178"/>
    <cellStyle name="Euro 10 7 2" xfId="1250"/>
    <cellStyle name="Euro 10 8" xfId="177"/>
    <cellStyle name="Euro 10 8 2" xfId="1249"/>
    <cellStyle name="Euro 10 9" xfId="204"/>
    <cellStyle name="Euro 10 9 2" xfId="1276"/>
    <cellStyle name="Euro 11" xfId="39"/>
    <cellStyle name="Euro 11 10" xfId="639"/>
    <cellStyle name="Euro 11 10 2" xfId="1710"/>
    <cellStyle name="Euro 11 11" xfId="499"/>
    <cellStyle name="Euro 11 11 2" xfId="1570"/>
    <cellStyle name="Euro 11 12" xfId="1128"/>
    <cellStyle name="Euro 11 2" xfId="109"/>
    <cellStyle name="Euro 11 2 2" xfId="1181"/>
    <cellStyle name="Euro 11 3" xfId="183"/>
    <cellStyle name="Euro 11 3 2" xfId="1255"/>
    <cellStyle name="Euro 11 4" xfId="172"/>
    <cellStyle name="Euro 11 4 2" xfId="1244"/>
    <cellStyle name="Euro 11 5" xfId="230"/>
    <cellStyle name="Euro 11 5 2" xfId="1302"/>
    <cellStyle name="Euro 11 6" xfId="287"/>
    <cellStyle name="Euro 11 6 2" xfId="1359"/>
    <cellStyle name="Euro 11 7" xfId="395"/>
    <cellStyle name="Euro 11 7 2" xfId="1467"/>
    <cellStyle name="Euro 11 8" xfId="457"/>
    <cellStyle name="Euro 11 8 2" xfId="1528"/>
    <cellStyle name="Euro 11 9" xfId="537"/>
    <cellStyle name="Euro 11 9 2" xfId="1608"/>
    <cellStyle name="Euro 12" xfId="40"/>
    <cellStyle name="Euro 12 10" xfId="574"/>
    <cellStyle name="Euro 12 10 2" xfId="1645"/>
    <cellStyle name="Euro 12 11" xfId="674"/>
    <cellStyle name="Euro 12 11 2" xfId="1745"/>
    <cellStyle name="Euro 12 12" xfId="1129"/>
    <cellStyle name="Euro 12 2" xfId="110"/>
    <cellStyle name="Euro 12 2 2" xfId="1182"/>
    <cellStyle name="Euro 12 3" xfId="184"/>
    <cellStyle name="Euro 12 3 2" xfId="1256"/>
    <cellStyle name="Euro 12 4" xfId="171"/>
    <cellStyle name="Euro 12 4 2" xfId="1243"/>
    <cellStyle name="Euro 12 5" xfId="231"/>
    <cellStyle name="Euro 12 5 2" xfId="1303"/>
    <cellStyle name="Euro 12 6" xfId="288"/>
    <cellStyle name="Euro 12 6 2" xfId="1360"/>
    <cellStyle name="Euro 12 7" xfId="396"/>
    <cellStyle name="Euro 12 7 2" xfId="1468"/>
    <cellStyle name="Euro 12 8" xfId="458"/>
    <cellStyle name="Euro 12 8 2" xfId="1529"/>
    <cellStyle name="Euro 12 9" xfId="628"/>
    <cellStyle name="Euro 12 9 2" xfId="1699"/>
    <cellStyle name="Euro 13" xfId="41"/>
    <cellStyle name="Euro 13 10" xfId="540"/>
    <cellStyle name="Euro 13 10 2" xfId="1611"/>
    <cellStyle name="Euro 13 11" xfId="663"/>
    <cellStyle name="Euro 13 11 2" xfId="1734"/>
    <cellStyle name="Euro 13 12" xfId="1130"/>
    <cellStyle name="Euro 13 2" xfId="111"/>
    <cellStyle name="Euro 13 2 2" xfId="1183"/>
    <cellStyle name="Euro 13 3" xfId="185"/>
    <cellStyle name="Euro 13 3 2" xfId="1257"/>
    <cellStyle name="Euro 13 4" xfId="170"/>
    <cellStyle name="Euro 13 4 2" xfId="1242"/>
    <cellStyle name="Euro 13 5" xfId="232"/>
    <cellStyle name="Euro 13 5 2" xfId="1304"/>
    <cellStyle name="Euro 13 6" xfId="289"/>
    <cellStyle name="Euro 13 6 2" xfId="1361"/>
    <cellStyle name="Euro 13 7" xfId="397"/>
    <cellStyle name="Euro 13 7 2" xfId="1469"/>
    <cellStyle name="Euro 13 8" xfId="459"/>
    <cellStyle name="Euro 13 8 2" xfId="1530"/>
    <cellStyle name="Euro 13 9" xfId="612"/>
    <cellStyle name="Euro 13 9 2" xfId="1683"/>
    <cellStyle name="Euro 14" xfId="42"/>
    <cellStyle name="Euro 14 10" xfId="576"/>
    <cellStyle name="Euro 14 10 2" xfId="1647"/>
    <cellStyle name="Euro 14 11" xfId="599"/>
    <cellStyle name="Euro 14 11 2" xfId="1670"/>
    <cellStyle name="Euro 14 12" xfId="1131"/>
    <cellStyle name="Euro 14 2" xfId="112"/>
    <cellStyle name="Euro 14 2 2" xfId="1184"/>
    <cellStyle name="Euro 14 3" xfId="186"/>
    <cellStyle name="Euro 14 3 2" xfId="1258"/>
    <cellStyle name="Euro 14 4" xfId="169"/>
    <cellStyle name="Euro 14 4 2" xfId="1241"/>
    <cellStyle name="Euro 14 5" xfId="235"/>
    <cellStyle name="Euro 14 5 2" xfId="1307"/>
    <cellStyle name="Euro 14 6" xfId="292"/>
    <cellStyle name="Euro 14 6 2" xfId="1364"/>
    <cellStyle name="Euro 14 7" xfId="398"/>
    <cellStyle name="Euro 14 7 2" xfId="1470"/>
    <cellStyle name="Euro 14 8" xfId="460"/>
    <cellStyle name="Euro 14 8 2" xfId="1531"/>
    <cellStyle name="Euro 14 9" xfId="591"/>
    <cellStyle name="Euro 14 9 2" xfId="1662"/>
    <cellStyle name="Euro 15" xfId="43"/>
    <cellStyle name="Euro 15 10" xfId="652"/>
    <cellStyle name="Euro 15 10 2" xfId="1723"/>
    <cellStyle name="Euro 15 11" xfId="580"/>
    <cellStyle name="Euro 15 11 2" xfId="1651"/>
    <cellStyle name="Euro 15 12" xfId="1132"/>
    <cellStyle name="Euro 15 2" xfId="113"/>
    <cellStyle name="Euro 15 2 2" xfId="1185"/>
    <cellStyle name="Euro 15 3" xfId="187"/>
    <cellStyle name="Euro 15 3 2" xfId="1259"/>
    <cellStyle name="Euro 15 4" xfId="168"/>
    <cellStyle name="Euro 15 4 2" xfId="1240"/>
    <cellStyle name="Euro 15 5" xfId="249"/>
    <cellStyle name="Euro 15 5 2" xfId="1321"/>
    <cellStyle name="Euro 15 6" xfId="306"/>
    <cellStyle name="Euro 15 6 2" xfId="1378"/>
    <cellStyle name="Euro 15 7" xfId="399"/>
    <cellStyle name="Euro 15 7 2" xfId="1471"/>
    <cellStyle name="Euro 15 8" xfId="461"/>
    <cellStyle name="Euro 15 8 2" xfId="1532"/>
    <cellStyle name="Euro 15 9" xfId="567"/>
    <cellStyle name="Euro 15 9 2" xfId="1638"/>
    <cellStyle name="Euro 16" xfId="44"/>
    <cellStyle name="Euro 16 10" xfId="638"/>
    <cellStyle name="Euro 16 10 2" xfId="1709"/>
    <cellStyle name="Euro 16 11" xfId="527"/>
    <cellStyle name="Euro 16 11 2" xfId="1598"/>
    <cellStyle name="Euro 16 12" xfId="1133"/>
    <cellStyle name="Euro 16 2" xfId="114"/>
    <cellStyle name="Euro 16 2 2" xfId="1186"/>
    <cellStyle name="Euro 16 3" xfId="188"/>
    <cellStyle name="Euro 16 3 2" xfId="1260"/>
    <cellStyle name="Euro 16 4" xfId="167"/>
    <cellStyle name="Euro 16 4 2" xfId="1239"/>
    <cellStyle name="Euro 16 5" xfId="241"/>
    <cellStyle name="Euro 16 5 2" xfId="1313"/>
    <cellStyle name="Euro 16 6" xfId="298"/>
    <cellStyle name="Euro 16 6 2" xfId="1370"/>
    <cellStyle name="Euro 16 7" xfId="400"/>
    <cellStyle name="Euro 16 7 2" xfId="1472"/>
    <cellStyle name="Euro 16 8" xfId="462"/>
    <cellStyle name="Euro 16 8 2" xfId="1533"/>
    <cellStyle name="Euro 16 9" xfId="536"/>
    <cellStyle name="Euro 16 9 2" xfId="1607"/>
    <cellStyle name="Euro 17" xfId="681"/>
    <cellStyle name="Euro 18" xfId="692"/>
    <cellStyle name="Euro 19" xfId="693"/>
    <cellStyle name="Euro 2" xfId="45"/>
    <cellStyle name="Euro 2 10" xfId="515"/>
    <cellStyle name="Euro 2 10 2" xfId="1586"/>
    <cellStyle name="Euro 2 11" xfId="673"/>
    <cellStyle name="Euro 2 11 2" xfId="1744"/>
    <cellStyle name="Euro 2 12" xfId="1134"/>
    <cellStyle name="Euro 2 2" xfId="115"/>
    <cellStyle name="Euro 2 2 2" xfId="1187"/>
    <cellStyle name="Euro 2 3" xfId="189"/>
    <cellStyle name="Euro 2 3 2" xfId="1261"/>
    <cellStyle name="Euro 2 4" xfId="166"/>
    <cellStyle name="Euro 2 4 2" xfId="1238"/>
    <cellStyle name="Euro 2 5" xfId="242"/>
    <cellStyle name="Euro 2 5 2" xfId="1314"/>
    <cellStyle name="Euro 2 6" xfId="299"/>
    <cellStyle name="Euro 2 6 2" xfId="1371"/>
    <cellStyle name="Euro 2 7" xfId="401"/>
    <cellStyle name="Euro 2 7 2" xfId="1473"/>
    <cellStyle name="Euro 2 8" xfId="463"/>
    <cellStyle name="Euro 2 8 2" xfId="1534"/>
    <cellStyle name="Euro 2 9" xfId="627"/>
    <cellStyle name="Euro 2 9 2" xfId="1698"/>
    <cellStyle name="Euro 20" xfId="701"/>
    <cellStyle name="Euro 21" xfId="709"/>
    <cellStyle name="Euro 22" xfId="717"/>
    <cellStyle name="Euro 23" xfId="725"/>
    <cellStyle name="Euro 24" xfId="733"/>
    <cellStyle name="Euro 25" xfId="748"/>
    <cellStyle name="Euro 26" xfId="749"/>
    <cellStyle name="Euro 27" xfId="757"/>
    <cellStyle name="Euro 28" xfId="765"/>
    <cellStyle name="Euro 29" xfId="773"/>
    <cellStyle name="Euro 3" xfId="46"/>
    <cellStyle name="Euro 3 10" xfId="569"/>
    <cellStyle name="Euro 3 10 2" xfId="1640"/>
    <cellStyle name="Euro 3 11" xfId="662"/>
    <cellStyle name="Euro 3 11 2" xfId="1733"/>
    <cellStyle name="Euro 3 12" xfId="1135"/>
    <cellStyle name="Euro 3 2" xfId="116"/>
    <cellStyle name="Euro 3 2 2" xfId="1188"/>
    <cellStyle name="Euro 3 3" xfId="190"/>
    <cellStyle name="Euro 3 3 2" xfId="1262"/>
    <cellStyle name="Euro 3 4" xfId="165"/>
    <cellStyle name="Euro 3 4 2" xfId="1237"/>
    <cellStyle name="Euro 3 5" xfId="243"/>
    <cellStyle name="Euro 3 5 2" xfId="1315"/>
    <cellStyle name="Euro 3 6" xfId="300"/>
    <cellStyle name="Euro 3 6 2" xfId="1372"/>
    <cellStyle name="Euro 3 7" xfId="402"/>
    <cellStyle name="Euro 3 7 2" xfId="1474"/>
    <cellStyle name="Euro 3 8" xfId="464"/>
    <cellStyle name="Euro 3 8 2" xfId="1535"/>
    <cellStyle name="Euro 3 9" xfId="611"/>
    <cellStyle name="Euro 3 9 2" xfId="1682"/>
    <cellStyle name="Euro 30" xfId="781"/>
    <cellStyle name="Euro 31" xfId="789"/>
    <cellStyle name="Euro 32" xfId="797"/>
    <cellStyle name="Euro 33" xfId="811"/>
    <cellStyle name="Euro 34" xfId="812"/>
    <cellStyle name="Euro 35" xfId="819"/>
    <cellStyle name="Euro 36" xfId="826"/>
    <cellStyle name="Euro 37" xfId="834"/>
    <cellStyle name="Euro 38" xfId="842"/>
    <cellStyle name="Euro 39" xfId="850"/>
    <cellStyle name="Euro 4" xfId="47"/>
    <cellStyle name="Euro 4 10" xfId="600"/>
    <cellStyle name="Euro 4 10 2" xfId="1671"/>
    <cellStyle name="Euro 4 11" xfId="522"/>
    <cellStyle name="Euro 4 11 2" xfId="1593"/>
    <cellStyle name="Euro 4 12" xfId="1136"/>
    <cellStyle name="Euro 4 2" xfId="117"/>
    <cellStyle name="Euro 4 2 2" xfId="1189"/>
    <cellStyle name="Euro 4 3" xfId="191"/>
    <cellStyle name="Euro 4 3 2" xfId="1263"/>
    <cellStyle name="Euro 4 4" xfId="164"/>
    <cellStyle name="Euro 4 4 2" xfId="1236"/>
    <cellStyle name="Euro 4 5" xfId="244"/>
    <cellStyle name="Euro 4 5 2" xfId="1316"/>
    <cellStyle name="Euro 4 6" xfId="301"/>
    <cellStyle name="Euro 4 6 2" xfId="1373"/>
    <cellStyle name="Euro 4 7" xfId="403"/>
    <cellStyle name="Euro 4 7 2" xfId="1475"/>
    <cellStyle name="Euro 4 8" xfId="465"/>
    <cellStyle name="Euro 4 8 2" xfId="1536"/>
    <cellStyle name="Euro 4 9" xfId="590"/>
    <cellStyle name="Euro 4 9 2" xfId="1661"/>
    <cellStyle name="Euro 40" xfId="858"/>
    <cellStyle name="Euro 41" xfId="866"/>
    <cellStyle name="Euro 42" xfId="874"/>
    <cellStyle name="Euro 43" xfId="882"/>
    <cellStyle name="Euro 44" xfId="890"/>
    <cellStyle name="Euro 45" xfId="898"/>
    <cellStyle name="Euro 46" xfId="906"/>
    <cellStyle name="Euro 47" xfId="914"/>
    <cellStyle name="Euro 48" xfId="922"/>
    <cellStyle name="Euro 49" xfId="929"/>
    <cellStyle name="Euro 5" xfId="48"/>
    <cellStyle name="Euro 5 10" xfId="192"/>
    <cellStyle name="Euro 5 10 2" xfId="1264"/>
    <cellStyle name="Euro 5 11" xfId="163"/>
    <cellStyle name="Euro 5 11 2" xfId="1235"/>
    <cellStyle name="Euro 5 12" xfId="245"/>
    <cellStyle name="Euro 5 12 2" xfId="1317"/>
    <cellStyle name="Euro 5 13" xfId="302"/>
    <cellStyle name="Euro 5 13 2" xfId="1374"/>
    <cellStyle name="Euro 5 14" xfId="404"/>
    <cellStyle name="Euro 5 14 2" xfId="1476"/>
    <cellStyle name="Euro 5 15" xfId="466"/>
    <cellStyle name="Euro 5 15 2" xfId="1537"/>
    <cellStyle name="Euro 5 16" xfId="566"/>
    <cellStyle name="Euro 5 16 2" xfId="1637"/>
    <cellStyle name="Euro 5 17" xfId="583"/>
    <cellStyle name="Euro 5 17 2" xfId="1654"/>
    <cellStyle name="Euro 5 18" xfId="519"/>
    <cellStyle name="Euro 5 18 2" xfId="1590"/>
    <cellStyle name="Euro 5 19" xfId="1137"/>
    <cellStyle name="Euro 5 2" xfId="49"/>
    <cellStyle name="Euro 5 2 10" xfId="604"/>
    <cellStyle name="Euro 5 2 10 2" xfId="1675"/>
    <cellStyle name="Euro 5 2 11" xfId="521"/>
    <cellStyle name="Euro 5 2 11 2" xfId="1592"/>
    <cellStyle name="Euro 5 2 12" xfId="1138"/>
    <cellStyle name="Euro 5 2 2" xfId="119"/>
    <cellStyle name="Euro 5 2 2 2" xfId="1191"/>
    <cellStyle name="Euro 5 2 3" xfId="193"/>
    <cellStyle name="Euro 5 2 3 2" xfId="1265"/>
    <cellStyle name="Euro 5 2 4" xfId="162"/>
    <cellStyle name="Euro 5 2 4 2" xfId="1234"/>
    <cellStyle name="Euro 5 2 5" xfId="246"/>
    <cellStyle name="Euro 5 2 5 2" xfId="1318"/>
    <cellStyle name="Euro 5 2 6" xfId="303"/>
    <cellStyle name="Euro 5 2 6 2" xfId="1375"/>
    <cellStyle name="Euro 5 2 7" xfId="405"/>
    <cellStyle name="Euro 5 2 7 2" xfId="1477"/>
    <cellStyle name="Euro 5 2 8" xfId="467"/>
    <cellStyle name="Euro 5 2 8 2" xfId="1538"/>
    <cellStyle name="Euro 5 2 9" xfId="535"/>
    <cellStyle name="Euro 5 2 9 2" xfId="1606"/>
    <cellStyle name="Euro 5 3" xfId="50"/>
    <cellStyle name="Euro 5 3 10" xfId="651"/>
    <cellStyle name="Euro 5 3 10 2" xfId="1722"/>
    <cellStyle name="Euro 5 3 11" xfId="557"/>
    <cellStyle name="Euro 5 3 11 2" xfId="1628"/>
    <cellStyle name="Euro 5 3 12" xfId="1139"/>
    <cellStyle name="Euro 5 3 2" xfId="120"/>
    <cellStyle name="Euro 5 3 2 2" xfId="1192"/>
    <cellStyle name="Euro 5 3 3" xfId="194"/>
    <cellStyle name="Euro 5 3 3 2" xfId="1266"/>
    <cellStyle name="Euro 5 3 4" xfId="161"/>
    <cellStyle name="Euro 5 3 4 2" xfId="1233"/>
    <cellStyle name="Euro 5 3 5" xfId="247"/>
    <cellStyle name="Euro 5 3 5 2" xfId="1319"/>
    <cellStyle name="Euro 5 3 6" xfId="304"/>
    <cellStyle name="Euro 5 3 6 2" xfId="1376"/>
    <cellStyle name="Euro 5 3 7" xfId="406"/>
    <cellStyle name="Euro 5 3 7 2" xfId="1478"/>
    <cellStyle name="Euro 5 3 8" xfId="468"/>
    <cellStyle name="Euro 5 3 8 2" xfId="1539"/>
    <cellStyle name="Euro 5 3 9" xfId="504"/>
    <cellStyle name="Euro 5 3 9 2" xfId="1575"/>
    <cellStyle name="Euro 5 4" xfId="51"/>
    <cellStyle name="Euro 5 4 10" xfId="637"/>
    <cellStyle name="Euro 5 4 10 2" xfId="1708"/>
    <cellStyle name="Euro 5 4 11" xfId="520"/>
    <cellStyle name="Euro 5 4 11 2" xfId="1591"/>
    <cellStyle name="Euro 5 4 12" xfId="1140"/>
    <cellStyle name="Euro 5 4 2" xfId="121"/>
    <cellStyle name="Euro 5 4 2 2" xfId="1193"/>
    <cellStyle name="Euro 5 4 3" xfId="195"/>
    <cellStyle name="Euro 5 4 3 2" xfId="1267"/>
    <cellStyle name="Euro 5 4 4" xfId="160"/>
    <cellStyle name="Euro 5 4 4 2" xfId="1232"/>
    <cellStyle name="Euro 5 4 5" xfId="248"/>
    <cellStyle name="Euro 5 4 5 2" xfId="1320"/>
    <cellStyle name="Euro 5 4 6" xfId="305"/>
    <cellStyle name="Euro 5 4 6 2" xfId="1377"/>
    <cellStyle name="Euro 5 4 7" xfId="407"/>
    <cellStyle name="Euro 5 4 7 2" xfId="1479"/>
    <cellStyle name="Euro 5 4 8" xfId="469"/>
    <cellStyle name="Euro 5 4 8 2" xfId="1540"/>
    <cellStyle name="Euro 5 4 9" xfId="503"/>
    <cellStyle name="Euro 5 4 9 2" xfId="1574"/>
    <cellStyle name="Euro 5 5" xfId="52"/>
    <cellStyle name="Euro 5 5 10" xfId="544"/>
    <cellStyle name="Euro 5 5 10 2" xfId="1615"/>
    <cellStyle name="Euro 5 5 11" xfId="672"/>
    <cellStyle name="Euro 5 5 11 2" xfId="1743"/>
    <cellStyle name="Euro 5 5 12" xfId="1141"/>
    <cellStyle name="Euro 5 5 2" xfId="122"/>
    <cellStyle name="Euro 5 5 2 2" xfId="1194"/>
    <cellStyle name="Euro 5 5 3" xfId="196"/>
    <cellStyle name="Euro 5 5 3 2" xfId="1268"/>
    <cellStyle name="Euro 5 5 4" xfId="253"/>
    <cellStyle name="Euro 5 5 4 2" xfId="1325"/>
    <cellStyle name="Euro 5 5 5" xfId="311"/>
    <cellStyle name="Euro 5 5 5 2" xfId="1383"/>
    <cellStyle name="Euro 5 5 6" xfId="350"/>
    <cellStyle name="Euro 5 5 6 2" xfId="1422"/>
    <cellStyle name="Euro 5 5 7" xfId="408"/>
    <cellStyle name="Euro 5 5 7 2" xfId="1480"/>
    <cellStyle name="Euro 5 5 8" xfId="470"/>
    <cellStyle name="Euro 5 5 8 2" xfId="1541"/>
    <cellStyle name="Euro 5 5 9" xfId="626"/>
    <cellStyle name="Euro 5 5 9 2" xfId="1697"/>
    <cellStyle name="Euro 5 6" xfId="53"/>
    <cellStyle name="Euro 5 6 10" xfId="518"/>
    <cellStyle name="Euro 5 6 10 2" xfId="1589"/>
    <cellStyle name="Euro 5 6 11" xfId="661"/>
    <cellStyle name="Euro 5 6 11 2" xfId="1732"/>
    <cellStyle name="Euro 5 6 12" xfId="1142"/>
    <cellStyle name="Euro 5 6 2" xfId="123"/>
    <cellStyle name="Euro 5 6 2 2" xfId="1195"/>
    <cellStyle name="Euro 5 6 3" xfId="197"/>
    <cellStyle name="Euro 5 6 3 2" xfId="1269"/>
    <cellStyle name="Euro 5 6 4" xfId="254"/>
    <cellStyle name="Euro 5 6 4 2" xfId="1326"/>
    <cellStyle name="Euro 5 6 5" xfId="312"/>
    <cellStyle name="Euro 5 6 5 2" xfId="1384"/>
    <cellStyle name="Euro 5 6 6" xfId="351"/>
    <cellStyle name="Euro 5 6 6 2" xfId="1423"/>
    <cellStyle name="Euro 5 6 7" xfId="409"/>
    <cellStyle name="Euro 5 6 7 2" xfId="1481"/>
    <cellStyle name="Euro 5 6 8" xfId="471"/>
    <cellStyle name="Euro 5 6 8 2" xfId="1542"/>
    <cellStyle name="Euro 5 6 9" xfId="610"/>
    <cellStyle name="Euro 5 6 9 2" xfId="1681"/>
    <cellStyle name="Euro 5 7" xfId="54"/>
    <cellStyle name="Euro 5 7 10" xfId="615"/>
    <cellStyle name="Euro 5 7 10 2" xfId="1686"/>
    <cellStyle name="Euro 5 7 11" xfId="579"/>
    <cellStyle name="Euro 5 7 11 2" xfId="1650"/>
    <cellStyle name="Euro 5 7 12" xfId="1143"/>
    <cellStyle name="Euro 5 7 2" xfId="124"/>
    <cellStyle name="Euro 5 7 2 2" xfId="1196"/>
    <cellStyle name="Euro 5 7 3" xfId="198"/>
    <cellStyle name="Euro 5 7 3 2" xfId="1270"/>
    <cellStyle name="Euro 5 7 4" xfId="255"/>
    <cellStyle name="Euro 5 7 4 2" xfId="1327"/>
    <cellStyle name="Euro 5 7 5" xfId="313"/>
    <cellStyle name="Euro 5 7 5 2" xfId="1385"/>
    <cellStyle name="Euro 5 7 6" xfId="352"/>
    <cellStyle name="Euro 5 7 6 2" xfId="1424"/>
    <cellStyle name="Euro 5 7 7" xfId="410"/>
    <cellStyle name="Euro 5 7 7 2" xfId="1482"/>
    <cellStyle name="Euro 5 7 8" xfId="472"/>
    <cellStyle name="Euro 5 7 8 2" xfId="1543"/>
    <cellStyle name="Euro 5 7 9" xfId="589"/>
    <cellStyle name="Euro 5 7 9 2" xfId="1660"/>
    <cellStyle name="Euro 5 8" xfId="55"/>
    <cellStyle name="Euro 5 8 10" xfId="650"/>
    <cellStyle name="Euro 5 8 10 2" xfId="1721"/>
    <cellStyle name="Euro 5 8 11" xfId="547"/>
    <cellStyle name="Euro 5 8 11 2" xfId="1618"/>
    <cellStyle name="Euro 5 8 12" xfId="1144"/>
    <cellStyle name="Euro 5 8 2" xfId="125"/>
    <cellStyle name="Euro 5 8 2 2" xfId="1197"/>
    <cellStyle name="Euro 5 8 3" xfId="199"/>
    <cellStyle name="Euro 5 8 3 2" xfId="1271"/>
    <cellStyle name="Euro 5 8 4" xfId="256"/>
    <cellStyle name="Euro 5 8 4 2" xfId="1328"/>
    <cellStyle name="Euro 5 8 5" xfId="314"/>
    <cellStyle name="Euro 5 8 5 2" xfId="1386"/>
    <cellStyle name="Euro 5 8 6" xfId="353"/>
    <cellStyle name="Euro 5 8 6 2" xfId="1425"/>
    <cellStyle name="Euro 5 8 7" xfId="411"/>
    <cellStyle name="Euro 5 8 7 2" xfId="1483"/>
    <cellStyle name="Euro 5 8 8" xfId="473"/>
    <cellStyle name="Euro 5 8 8 2" xfId="1544"/>
    <cellStyle name="Euro 5 8 9" xfId="565"/>
    <cellStyle name="Euro 5 8 9 2" xfId="1636"/>
    <cellStyle name="Euro 5 9" xfId="118"/>
    <cellStyle name="Euro 5 9 2" xfId="1190"/>
    <cellStyle name="Euro 50" xfId="937"/>
    <cellStyle name="Euro 51" xfId="945"/>
    <cellStyle name="Euro 52" xfId="953"/>
    <cellStyle name="Euro 53" xfId="961"/>
    <cellStyle name="Euro 54" xfId="969"/>
    <cellStyle name="Euro 55" xfId="977"/>
    <cellStyle name="Euro 56" xfId="985"/>
    <cellStyle name="Euro 57" xfId="993"/>
    <cellStyle name="Euro 58" xfId="1001"/>
    <cellStyle name="Euro 59" xfId="1009"/>
    <cellStyle name="Euro 6" xfId="56"/>
    <cellStyle name="Euro 6 10" xfId="636"/>
    <cellStyle name="Euro 6 10 2" xfId="1707"/>
    <cellStyle name="Euro 6 11" xfId="541"/>
    <cellStyle name="Euro 6 11 2" xfId="1612"/>
    <cellStyle name="Euro 6 12" xfId="1145"/>
    <cellStyle name="Euro 6 2" xfId="126"/>
    <cellStyle name="Euro 6 2 2" xfId="1198"/>
    <cellStyle name="Euro 6 3" xfId="200"/>
    <cellStyle name="Euro 6 3 2" xfId="1272"/>
    <cellStyle name="Euro 6 4" xfId="257"/>
    <cellStyle name="Euro 6 4 2" xfId="1329"/>
    <cellStyle name="Euro 6 5" xfId="315"/>
    <cellStyle name="Euro 6 5 2" xfId="1387"/>
    <cellStyle name="Euro 6 6" xfId="354"/>
    <cellStyle name="Euro 6 6 2" xfId="1426"/>
    <cellStyle name="Euro 6 7" xfId="412"/>
    <cellStyle name="Euro 6 7 2" xfId="1484"/>
    <cellStyle name="Euro 6 8" xfId="474"/>
    <cellStyle name="Euro 6 8 2" xfId="1545"/>
    <cellStyle name="Euro 6 9" xfId="534"/>
    <cellStyle name="Euro 6 9 2" xfId="1605"/>
    <cellStyle name="Euro 60" xfId="1017"/>
    <cellStyle name="Euro 61" xfId="1024"/>
    <cellStyle name="Euro 62" xfId="1031"/>
    <cellStyle name="Euro 63" xfId="1038"/>
    <cellStyle name="Euro 64" xfId="1052"/>
    <cellStyle name="Euro 65" xfId="1053"/>
    <cellStyle name="Euro 66" xfId="1061"/>
    <cellStyle name="Euro 67" xfId="1075"/>
    <cellStyle name="Euro 68" xfId="1076"/>
    <cellStyle name="Euro 69" xfId="1084"/>
    <cellStyle name="Euro 7" xfId="57"/>
    <cellStyle name="Euro 7 10" xfId="554"/>
    <cellStyle name="Euro 7 10 2" xfId="1625"/>
    <cellStyle name="Euro 7 11" xfId="671"/>
    <cellStyle name="Euro 7 11 2" xfId="1742"/>
    <cellStyle name="Euro 7 12" xfId="1146"/>
    <cellStyle name="Euro 7 2" xfId="127"/>
    <cellStyle name="Euro 7 2 2" xfId="1199"/>
    <cellStyle name="Euro 7 3" xfId="201"/>
    <cellStyle name="Euro 7 3 2" xfId="1273"/>
    <cellStyle name="Euro 7 4" xfId="258"/>
    <cellStyle name="Euro 7 4 2" xfId="1330"/>
    <cellStyle name="Euro 7 5" xfId="316"/>
    <cellStyle name="Euro 7 5 2" xfId="1388"/>
    <cellStyle name="Euro 7 6" xfId="355"/>
    <cellStyle name="Euro 7 6 2" xfId="1427"/>
    <cellStyle name="Euro 7 7" xfId="413"/>
    <cellStyle name="Euro 7 7 2" xfId="1485"/>
    <cellStyle name="Euro 7 8" xfId="475"/>
    <cellStyle name="Euro 7 8 2" xfId="1546"/>
    <cellStyle name="Euro 7 9" xfId="625"/>
    <cellStyle name="Euro 7 9 2" xfId="1696"/>
    <cellStyle name="Euro 70" xfId="1098"/>
    <cellStyle name="Euro 8" xfId="58"/>
    <cellStyle name="Euro 8 10" xfId="549"/>
    <cellStyle name="Euro 8 10 2" xfId="1620"/>
    <cellStyle name="Euro 8 11" xfId="660"/>
    <cellStyle name="Euro 8 11 2" xfId="1731"/>
    <cellStyle name="Euro 8 12" xfId="1147"/>
    <cellStyle name="Euro 8 2" xfId="128"/>
    <cellStyle name="Euro 8 2 2" xfId="1200"/>
    <cellStyle name="Euro 8 3" xfId="202"/>
    <cellStyle name="Euro 8 3 2" xfId="1274"/>
    <cellStyle name="Euro 8 4" xfId="259"/>
    <cellStyle name="Euro 8 4 2" xfId="1331"/>
    <cellStyle name="Euro 8 5" xfId="317"/>
    <cellStyle name="Euro 8 5 2" xfId="1389"/>
    <cellStyle name="Euro 8 6" xfId="356"/>
    <cellStyle name="Euro 8 6 2" xfId="1428"/>
    <cellStyle name="Euro 8 7" xfId="414"/>
    <cellStyle name="Euro 8 7 2" xfId="1486"/>
    <cellStyle name="Euro 8 8" xfId="476"/>
    <cellStyle name="Euro 8 8 2" xfId="1547"/>
    <cellStyle name="Euro 8 9" xfId="609"/>
    <cellStyle name="Euro 8 9 2" xfId="1680"/>
    <cellStyle name="Euro 9" xfId="59"/>
    <cellStyle name="Euro 9 10" xfId="525"/>
    <cellStyle name="Euro 9 10 2" xfId="1596"/>
    <cellStyle name="Euro 9 11" xfId="614"/>
    <cellStyle name="Euro 9 11 2" xfId="1685"/>
    <cellStyle name="Euro 9 12" xfId="1148"/>
    <cellStyle name="Euro 9 2" xfId="129"/>
    <cellStyle name="Euro 9 2 2" xfId="1201"/>
    <cellStyle name="Euro 9 3" xfId="203"/>
    <cellStyle name="Euro 9 3 2" xfId="1275"/>
    <cellStyle name="Euro 9 4" xfId="260"/>
    <cellStyle name="Euro 9 4 2" xfId="1332"/>
    <cellStyle name="Euro 9 5" xfId="318"/>
    <cellStyle name="Euro 9 5 2" xfId="1390"/>
    <cellStyle name="Euro 9 6" xfId="357"/>
    <cellStyle name="Euro 9 6 2" xfId="1429"/>
    <cellStyle name="Euro 9 7" xfId="415"/>
    <cellStyle name="Euro 9 7 2" xfId="1487"/>
    <cellStyle name="Euro 9 8" xfId="477"/>
    <cellStyle name="Euro 9 8 2" xfId="1548"/>
    <cellStyle name="Euro 9 9" xfId="588"/>
    <cellStyle name="Euro 9 9 2" xfId="1659"/>
    <cellStyle name="Explanatory Text" xfId="51554"/>
    <cellStyle name="Good" xfId="51555"/>
    <cellStyle name="Heading 1" xfId="51556"/>
    <cellStyle name="Heading 2" xfId="51557"/>
    <cellStyle name="Heading 3" xfId="51558"/>
    <cellStyle name="Heading 4" xfId="51559"/>
    <cellStyle name="Hiperlink" xfId="51399" builtinId="8" hidden="1"/>
    <cellStyle name="Hiperlink" xfId="51401" builtinId="8" hidden="1"/>
    <cellStyle name="Hiperlink" xfId="51403" builtinId="8" hidden="1"/>
    <cellStyle name="Hiperlink" xfId="51409" builtinId="8" hidden="1"/>
    <cellStyle name="Hiperlink" xfId="51411" builtinId="8" hidden="1"/>
    <cellStyle name="Hiperlink" xfId="51413" builtinId="8" hidden="1"/>
    <cellStyle name="Hiperlink" xfId="51416" builtinId="8" hidden="1"/>
    <cellStyle name="Hiperlink" xfId="51418" builtinId="8" hidden="1"/>
    <cellStyle name="Hiperlink" xfId="51420" builtinId="8" hidden="1"/>
    <cellStyle name="Hiperlink" xfId="51426" builtinId="8" hidden="1"/>
    <cellStyle name="Hiperlink" xfId="51428" builtinId="8" hidden="1"/>
    <cellStyle name="Hiperlink" xfId="51430" builtinId="8" hidden="1"/>
    <cellStyle name="Hiperlink" xfId="51433" builtinId="8" hidden="1"/>
    <cellStyle name="Hiperlink" xfId="51435" builtinId="8" hidden="1"/>
    <cellStyle name="Hiperlink" xfId="51437" builtinId="8" hidden="1"/>
    <cellStyle name="Hiperlink" xfId="51439" builtinId="8" hidden="1"/>
    <cellStyle name="Hiperlink" xfId="51441" builtinId="8" hidden="1"/>
    <cellStyle name="Hiperlink" xfId="51443" builtinId="8" hidden="1"/>
    <cellStyle name="Hiperlink" xfId="51446" builtinId="8" hidden="1"/>
    <cellStyle name="Hiperlink" xfId="51448" builtinId="8" hidden="1"/>
    <cellStyle name="Hiperlink" xfId="51450" builtinId="8" hidden="1"/>
    <cellStyle name="Hiperlink" xfId="51453" builtinId="8" hidden="1"/>
    <cellStyle name="Hiperlink" xfId="51455" builtinId="8" hidden="1"/>
    <cellStyle name="Hiperlink" xfId="51457" builtinId="8" hidden="1"/>
    <cellStyle name="Hiperlink" xfId="51459" builtinId="8" hidden="1"/>
    <cellStyle name="Hiperlink" xfId="51461" builtinId="8" hidden="1"/>
    <cellStyle name="Hiperlink" xfId="51463" builtinId="8" hidden="1"/>
    <cellStyle name="Hiperlink" xfId="51466" builtinId="8" hidden="1"/>
    <cellStyle name="Hiperlink" xfId="51468" builtinId="8" hidden="1"/>
    <cellStyle name="Hiperlink" xfId="51470" builtinId="8" hidden="1"/>
    <cellStyle name="Hiperlink" xfId="51472" builtinId="8" hidden="1"/>
    <cellStyle name="Hiperlink" xfId="51474" builtinId="8" hidden="1"/>
    <cellStyle name="Hiperlink" xfId="51476" builtinId="8" hidden="1"/>
    <cellStyle name="Hiperlink" xfId="51485" builtinId="8" hidden="1"/>
    <cellStyle name="Hiperlink" xfId="51487" builtinId="8" hidden="1"/>
    <cellStyle name="Hiperlink" xfId="51489" builtinId="8" hidden="1"/>
    <cellStyle name="Hiperlink" xfId="51492" builtinId="8" hidden="1"/>
    <cellStyle name="Hiperlink" xfId="51494" builtinId="8" hidden="1"/>
    <cellStyle name="Hiperlink" xfId="51496" builtinId="8" hidden="1"/>
    <cellStyle name="Hiperlink" xfId="51498" builtinId="8" hidden="1"/>
    <cellStyle name="Hiperlink" xfId="51500" builtinId="8" hidden="1"/>
    <cellStyle name="Hiperlink" xfId="51502" builtinId="8" hidden="1"/>
    <cellStyle name="Hiperlink" xfId="51505" builtinId="8" hidden="1"/>
    <cellStyle name="Hiperlink" xfId="51507" builtinId="8" hidden="1"/>
    <cellStyle name="Hiperlink" xfId="51509" builtinId="8" hidden="1"/>
    <cellStyle name="Hiperlink" xfId="51512" builtinId="8" hidden="1"/>
    <cellStyle name="Hiperlink" xfId="51514" builtinId="8" hidden="1"/>
    <cellStyle name="Hiperlink" xfId="51516" builtinId="8" hidden="1"/>
    <cellStyle name="Hiperlink" xfId="51518" builtinId="8" hidden="1"/>
    <cellStyle name="Hiperlink" xfId="51520" builtinId="8" hidden="1"/>
    <cellStyle name="Hiperlink" xfId="51522" builtinId="8" hidden="1"/>
    <cellStyle name="Hiperlink" xfId="52284" builtinId="8" hidden="1"/>
    <cellStyle name="Hiperlink" xfId="52286" builtinId="8" hidden="1"/>
    <cellStyle name="Hiperlink" xfId="52288" builtinId="8" hidden="1"/>
    <cellStyle name="Hiperlink" xfId="52293" builtinId="8" hidden="1"/>
    <cellStyle name="Hiperlink" xfId="52295" builtinId="8" hidden="1"/>
    <cellStyle name="Hiperlink" xfId="52297" builtinId="8" hidden="1"/>
    <cellStyle name="Hiperlink" xfId="52299" builtinId="8" hidden="1"/>
    <cellStyle name="Hiperlink" xfId="52301" builtinId="8" hidden="1"/>
    <cellStyle name="Hiperlink" xfId="52303" builtinId="8" hidden="1"/>
    <cellStyle name="Hiperlink" xfId="52307" builtinId="8" hidden="1"/>
    <cellStyle name="Hiperlink" xfId="52309" builtinId="8" hidden="1"/>
    <cellStyle name="Hiperlink" xfId="52311" builtinId="8" hidden="1"/>
    <cellStyle name="Hiperlink" xfId="52313" builtinId="8" hidden="1"/>
    <cellStyle name="Hiperlink" xfId="52315" builtinId="8" hidden="1"/>
    <cellStyle name="Hiperlink" xfId="52317" builtinId="8" hidden="1"/>
    <cellStyle name="Hiperlink" xfId="52319" builtinId="8" hidden="1"/>
    <cellStyle name="Hiperlink" xfId="52321" builtinId="8" hidden="1"/>
    <cellStyle name="Hiperlink" xfId="52323" builtinId="8" hidden="1"/>
    <cellStyle name="Hiperlink" xfId="52325" builtinId="8" hidden="1"/>
    <cellStyle name="Hiperlink" xfId="52327" builtinId="8" hidden="1"/>
    <cellStyle name="Hiperlink" xfId="52329" builtinId="8" hidden="1"/>
    <cellStyle name="Hiperlink" xfId="52331" builtinId="8" hidden="1"/>
    <cellStyle name="Hiperlink" xfId="52333" builtinId="8" hidden="1"/>
    <cellStyle name="Hiperlink" xfId="52335" builtinId="8" hidden="1"/>
    <cellStyle name="Hiperlink" xfId="52337" builtinId="8" hidden="1"/>
    <cellStyle name="Hiperlink" xfId="52339" builtinId="8" hidden="1"/>
    <cellStyle name="Hiperlink" xfId="52341" builtinId="8" hidden="1"/>
    <cellStyle name="Hiperlink" xfId="52343" builtinId="8" hidden="1"/>
    <cellStyle name="Hiperlink" xfId="52345" builtinId="8" hidden="1"/>
    <cellStyle name="Hiperlink" xfId="52347" builtinId="8" hidden="1"/>
    <cellStyle name="Hiperlink" xfId="52349" builtinId="8" hidden="1"/>
    <cellStyle name="Hiperlink" xfId="52351" builtinId="8" hidden="1"/>
    <cellStyle name="Hiperlink" xfId="52353" builtinId="8" hidden="1"/>
    <cellStyle name="Hiperlink" xfId="52357" builtinId="8" hidden="1"/>
    <cellStyle name="Hiperlink" xfId="52359" builtinId="8" hidden="1"/>
    <cellStyle name="Hiperlink" xfId="52361" builtinId="8" hidden="1"/>
    <cellStyle name="Hiperlink" xfId="52363" builtinId="8" hidden="1"/>
    <cellStyle name="Hiperlink" xfId="52365" builtinId="8" hidden="1"/>
    <cellStyle name="Hiperlink" xfId="52367" builtinId="8" hidden="1"/>
    <cellStyle name="Hiperlink" xfId="52369" builtinId="8" hidden="1"/>
    <cellStyle name="Hiperlink" xfId="52371" builtinId="8" hidden="1"/>
    <cellStyle name="Hiperlink" xfId="52373" builtinId="8" hidden="1"/>
    <cellStyle name="Hiperlink" xfId="52375" builtinId="8" hidden="1"/>
    <cellStyle name="Hiperlink" xfId="52377" builtinId="8" hidden="1"/>
    <cellStyle name="Hiperlink" xfId="52379" builtinId="8" hidden="1"/>
    <cellStyle name="Hiperlink" xfId="52381" builtinId="8" hidden="1"/>
    <cellStyle name="Hiperlink" xfId="52383" builtinId="8" hidden="1"/>
    <cellStyle name="Hiperlink" xfId="52385" builtinId="8" hidden="1"/>
    <cellStyle name="Hiperlink" xfId="52387" builtinId="8" hidden="1"/>
    <cellStyle name="Hiperlink" xfId="52389" builtinId="8" hidden="1"/>
    <cellStyle name="Hiperlink" xfId="52391" builtinId="8" hidden="1"/>
    <cellStyle name="Hiperlink" xfId="52524" builtinId="8" hidden="1"/>
    <cellStyle name="Hiperlink" xfId="52502" builtinId="8" hidden="1"/>
    <cellStyle name="Hiperlink" xfId="52492" builtinId="8" hidden="1"/>
    <cellStyle name="Hiperlink" xfId="52512" builtinId="8" hidden="1"/>
    <cellStyle name="Hiperlink" xfId="52278" builtinId="8" hidden="1"/>
    <cellStyle name="Hiperlink" xfId="52483" builtinId="8" hidden="1"/>
    <cellStyle name="Hiperlink" xfId="52455" builtinId="8" hidden="1"/>
    <cellStyle name="Hiperlink" xfId="52430" builtinId="8" hidden="1"/>
    <cellStyle name="Hiperlink" xfId="52548" builtinId="8" hidden="1"/>
    <cellStyle name="Hiperlink" xfId="52540" builtinId="8" hidden="1"/>
    <cellStyle name="Hiperlink" xfId="52515" builtinId="8" hidden="1"/>
    <cellStyle name="Hiperlink" xfId="52494" builtinId="8" hidden="1"/>
    <cellStyle name="Hiperlink" xfId="52467" builtinId="8" hidden="1"/>
    <cellStyle name="Hiperlink" xfId="52482" builtinId="8" hidden="1"/>
    <cellStyle name="Hiperlink" xfId="52466" builtinId="8" hidden="1"/>
    <cellStyle name="Hiperlink" xfId="52442" builtinId="8" hidden="1"/>
    <cellStyle name="Hiperlink" xfId="52420" builtinId="8" hidden="1"/>
    <cellStyle name="Hiperlink" xfId="52525" builtinId="8" hidden="1"/>
    <cellStyle name="Hiperlink" xfId="52493" builtinId="8" hidden="1"/>
    <cellStyle name="Hiperlink" xfId="52276" builtinId="8" hidden="1"/>
    <cellStyle name="Hiperlink" xfId="52487" builtinId="8" hidden="1"/>
    <cellStyle name="Hiperlink" xfId="52457" builtinId="8" hidden="1"/>
    <cellStyle name="Hiperlink" xfId="52431" builtinId="8" hidden="1"/>
    <cellStyle name="Hiperlink" xfId="52419" builtinId="8" hidden="1"/>
    <cellStyle name="Hiperlink" xfId="52527" builtinId="8" hidden="1"/>
    <cellStyle name="Hiperlink" xfId="52504" builtinId="8" hidden="1"/>
    <cellStyle name="Hiperlink" xfId="52281" builtinId="8" hidden="1"/>
    <cellStyle name="Hiperlink" xfId="52468" builtinId="8" hidden="1"/>
    <cellStyle name="Hiperlink" xfId="52446" builtinId="8" hidden="1"/>
    <cellStyle name="Hiperlink" xfId="52427" builtinId="8" hidden="1"/>
    <cellStyle name="Hiperlink" xfId="52542" builtinId="8" hidden="1"/>
    <cellStyle name="Hiperlink" xfId="52517" builtinId="8" hidden="1"/>
    <cellStyle name="Hiperlink" xfId="52496" builtinId="8" hidden="1"/>
    <cellStyle name="Hiperlink" xfId="52405" builtinId="8" hidden="1"/>
    <cellStyle name="Hiperlink" xfId="52567" builtinId="8" hidden="1"/>
    <cellStyle name="Hiperlink" xfId="52570" builtinId="8" hidden="1"/>
    <cellStyle name="Hiperlink" xfId="52291" builtinId="8" hidden="1"/>
    <cellStyle name="Hiperlink" xfId="52408" builtinId="8" hidden="1"/>
    <cellStyle name="Hiperlink" xfId="52406" builtinId="8" hidden="1"/>
    <cellStyle name="Hiperlink" xfId="52403" builtinId="8" hidden="1"/>
    <cellStyle name="Hiperlink" xfId="52553" builtinId="8" hidden="1"/>
    <cellStyle name="Hiperlink" xfId="52563" builtinId="8" hidden="1"/>
    <cellStyle name="Hiperlink" xfId="52561" builtinId="8" hidden="1"/>
    <cellStyle name="Hiperlink" xfId="52559" builtinId="8" hidden="1"/>
    <cellStyle name="Hiperlink" xfId="52401" builtinId="8" hidden="1"/>
    <cellStyle name="Hiperlink" xfId="52547" builtinId="8" hidden="1"/>
    <cellStyle name="Hiperlink" xfId="52523" builtinId="8" hidden="1"/>
    <cellStyle name="Hiperlink" xfId="52499" builtinId="8" hidden="1"/>
    <cellStyle name="Hiperlink" xfId="52480" builtinId="8" hidden="1"/>
    <cellStyle name="Hiperlink" xfId="52399" builtinId="8" hidden="1"/>
    <cellStyle name="Hiperlink" xfId="52453" builtinId="8" hidden="1"/>
    <cellStyle name="Hiperlink" xfId="52585" builtinId="8" hidden="1"/>
    <cellStyle name="Hiperlink" xfId="52586" builtinId="8" hidden="1"/>
    <cellStyle name="Hiperlink" xfId="52565" builtinId="8" hidden="1"/>
    <cellStyle name="Hiperlink" xfId="52434" builtinId="8" hidden="1"/>
    <cellStyle name="Hiperlink" xfId="52532" builtinId="8" hidden="1"/>
    <cellStyle name="Hiperlink" xfId="52506" builtinId="8" hidden="1"/>
    <cellStyle name="Hiperlink" xfId="52394" builtinId="8" hidden="1"/>
    <cellStyle name="Hiperlink" xfId="52478" builtinId="8" hidden="1"/>
    <cellStyle name="Hiperlink" xfId="52460" builtinId="8" hidden="1"/>
    <cellStyle name="Hiperlink" xfId="52422" builtinId="8" hidden="1"/>
    <cellStyle name="Hiperlink" xfId="52409" builtinId="8" hidden="1"/>
    <cellStyle name="Hiperlink" xfId="52395" builtinId="8" hidden="1"/>
    <cellStyle name="Hiperlink" xfId="52450" builtinId="8" hidden="1"/>
    <cellStyle name="Hiperlink" xfId="52426" builtinId="8" hidden="1"/>
    <cellStyle name="Hiperlink" xfId="52459" builtinId="8" hidden="1"/>
    <cellStyle name="Hiperlink" xfId="52415" builtinId="8" hidden="1"/>
    <cellStyle name="Hiperlink" xfId="52530" builtinId="8" hidden="1"/>
    <cellStyle name="Hiperlink" xfId="52554" builtinId="8" hidden="1"/>
    <cellStyle name="Hiperlink" xfId="52397" builtinId="8" hidden="1"/>
    <cellStyle name="Hiperlink" xfId="52477" builtinId="8" hidden="1"/>
    <cellStyle name="Hiperlink" xfId="52440" builtinId="8" hidden="1"/>
    <cellStyle name="Hiperlink" xfId="52436" builtinId="8" hidden="1"/>
    <cellStyle name="Hiperlink" xfId="52414" builtinId="8" hidden="1"/>
    <cellStyle name="Hiperlink" xfId="52520" builtinId="8" hidden="1"/>
    <cellStyle name="Hiperlink" xfId="52469" builtinId="8" hidden="1"/>
    <cellStyle name="Hiperlink" xfId="52423" builtinId="8" hidden="1"/>
    <cellStyle name="Hiperlink" xfId="52543" builtinId="8" hidden="1"/>
    <cellStyle name="Hiperlink" xfId="52452" builtinId="8" hidden="1"/>
    <cellStyle name="Hiperlink" xfId="52425" builtinId="8" hidden="1"/>
    <cellStyle name="Hiperlink" xfId="52546" builtinId="8" hidden="1"/>
    <cellStyle name="Hiperlink" xfId="52463" builtinId="8" hidden="1"/>
    <cellStyle name="Hiperlink" xfId="52545" builtinId="8" hidden="1"/>
    <cellStyle name="Hiperlink" xfId="52507" builtinId="8" hidden="1"/>
    <cellStyle name="Hiperlink" xfId="52522" builtinId="8" hidden="1"/>
    <cellStyle name="Hiperlink" xfId="52534" builtinId="8" hidden="1"/>
    <cellStyle name="Hiperlink" xfId="52498" builtinId="8" hidden="1"/>
    <cellStyle name="Hiperlink" xfId="52564" builtinId="8" hidden="1"/>
    <cellStyle name="Hiperlink" xfId="52557" builtinId="8" hidden="1"/>
    <cellStyle name="Hiperlink" xfId="52438" builtinId="8" hidden="1"/>
    <cellStyle name="Hiperlink" xfId="52413" builtinId="8" hidden="1"/>
    <cellStyle name="Hiperlink" xfId="52569" builtinId="8" hidden="1"/>
    <cellStyle name="Hiperlink" xfId="52581" builtinId="8" hidden="1"/>
    <cellStyle name="Hiperlink" xfId="52583" builtinId="8" hidden="1"/>
    <cellStyle name="Hiperlink" xfId="52588" builtinId="8" hidden="1"/>
    <cellStyle name="Hiperlink" xfId="52551" builtinId="8" hidden="1"/>
    <cellStyle name="Hiperlink" xfId="52355" builtinId="8" hidden="1"/>
    <cellStyle name="Hiperlink" xfId="52580" builtinId="8" hidden="1"/>
    <cellStyle name="Hiperlink" xfId="52549" builtinId="8" hidden="1"/>
    <cellStyle name="Hiperlink" xfId="52292" builtinId="8" hidden="1"/>
    <cellStyle name="Hiperlink" xfId="52356" builtinId="8" hidden="1"/>
    <cellStyle name="Hiperlink" xfId="52529" builtinId="8" hidden="1"/>
    <cellStyle name="Hiperlink" xfId="52571" builtinId="8" hidden="1"/>
    <cellStyle name="Hiperlink" xfId="51445" builtinId="8" hidden="1"/>
    <cellStyle name="Hiperlink" xfId="51424" builtinId="8" hidden="1"/>
    <cellStyle name="Hiperlink" xfId="51504" builtinId="8" hidden="1"/>
    <cellStyle name="Hiperlink" xfId="52253" builtinId="8" hidden="1"/>
    <cellStyle name="Hiperlink" xfId="51422" builtinId="8" hidden="1"/>
    <cellStyle name="Hiperlink" xfId="51937" builtinId="8" hidden="1"/>
    <cellStyle name="Hiperlink" xfId="51850" builtinId="8" hidden="1"/>
    <cellStyle name="Hiperlink" xfId="51479" builtinId="8" hidden="1"/>
    <cellStyle name="Hiperlink" xfId="52151" builtinId="8" hidden="1"/>
    <cellStyle name="Hiperlink" xfId="52065" builtinId="8" hidden="1"/>
    <cellStyle name="Hiperlink" xfId="51415" builtinId="8" hidden="1"/>
    <cellStyle name="Hiperlink" xfId="51601" builtinId="8" hidden="1"/>
    <cellStyle name="Hiperlink" xfId="51590" builtinId="8" hidden="1"/>
    <cellStyle name="Hiperlink" xfId="51580" builtinId="8" hidden="1"/>
    <cellStyle name="Hiperlink" xfId="51572" builtinId="8" hidden="1"/>
    <cellStyle name="Hiperlink" xfId="51734" builtinId="8" hidden="1"/>
    <cellStyle name="Hiperlink" xfId="51676" builtinId="8" hidden="1"/>
    <cellStyle name="Hiperlink" xfId="51616" builtinId="8" hidden="1"/>
    <cellStyle name="Hiperlink" xfId="51610" builtinId="8" hidden="1"/>
    <cellStyle name="Hiperlink" xfId="51604" builtinId="8" hidden="1"/>
    <cellStyle name="Hiperlink" xfId="52226" builtinId="8" hidden="1"/>
    <cellStyle name="Hiperlink" xfId="52221" builtinId="8" hidden="1"/>
    <cellStyle name="Hiperlink" xfId="52217" builtinId="8" hidden="1"/>
    <cellStyle name="Hiperlink" xfId="52207" builtinId="8" hidden="1"/>
    <cellStyle name="Hiperlink" xfId="52237" builtinId="8" hidden="1"/>
    <cellStyle name="Hiperlink" xfId="51597" builtinId="8" hidden="1"/>
    <cellStyle name="Hiperlink" xfId="52209" builtinId="8" hidden="1"/>
    <cellStyle name="Hiperlink" xfId="52248" builtinId="8" hidden="1"/>
    <cellStyle name="Hiperlink" xfId="51594" builtinId="8" hidden="1"/>
    <cellStyle name="Hiperlink" xfId="51600" builtinId="8" hidden="1"/>
    <cellStyle name="Hiperlink" xfId="51639" builtinId="8" hidden="1"/>
    <cellStyle name="Hiperlink" xfId="51638" builtinId="8" hidden="1"/>
    <cellStyle name="Hiperlink" xfId="51637" builtinId="8" hidden="1"/>
    <cellStyle name="Hiperlink" xfId="51636" builtinId="8" hidden="1"/>
    <cellStyle name="Hiperlink" xfId="51635" builtinId="8" hidden="1"/>
    <cellStyle name="Hiperlink" xfId="51389" builtinId="8" hidden="1"/>
    <cellStyle name="Hiperlink" xfId="51388" builtinId="8" hidden="1"/>
    <cellStyle name="Hiperlink" xfId="51387" builtinId="8" hidden="1"/>
    <cellStyle name="Hiperlink" xfId="51386" builtinId="8" hidden="1"/>
    <cellStyle name="Hiperlink" xfId="51385" builtinId="8" hidden="1"/>
    <cellStyle name="Hiperlink" xfId="51384" builtinId="8" hidden="1"/>
    <cellStyle name="Hiperlink" xfId="51628" builtinId="8" hidden="1"/>
    <cellStyle name="Hiperlink" xfId="51627" builtinId="8" hidden="1"/>
    <cellStyle name="Hiperlink" xfId="51626" builtinId="8" hidden="1"/>
    <cellStyle name="Hiperlink" xfId="51380" builtinId="8" hidden="1"/>
    <cellStyle name="Hiperlink" xfId="51379" builtinId="8" hidden="1"/>
    <cellStyle name="Hiperlink" xfId="51378" builtinId="8" hidden="1"/>
    <cellStyle name="Hiperlink" xfId="51377" builtinId="8" hidden="1"/>
    <cellStyle name="Hiperlink" xfId="51376" builtinId="8" hidden="1"/>
    <cellStyle name="Hiperlink" xfId="51375" builtinId="8" hidden="1"/>
    <cellStyle name="Hiperlink" xfId="52695" builtinId="8" hidden="1"/>
    <cellStyle name="Hiperlink" xfId="52697" builtinId="8" hidden="1"/>
    <cellStyle name="Hiperlink" xfId="52699" builtinId="8" hidden="1"/>
    <cellStyle name="Hiperlink" xfId="52704" builtinId="8" hidden="1"/>
    <cellStyle name="Hiperlink" xfId="52706" builtinId="8" hidden="1"/>
    <cellStyle name="Hiperlink" xfId="52708" builtinId="8" hidden="1"/>
    <cellStyle name="Hiperlink" xfId="52710" builtinId="8" hidden="1"/>
    <cellStyle name="Hiperlink" xfId="52712" builtinId="8" hidden="1"/>
    <cellStyle name="Hiperlink" xfId="52714" builtinId="8" hidden="1"/>
    <cellStyle name="Hiperlink" xfId="52716" builtinId="8" hidden="1"/>
    <cellStyle name="Hiperlink" xfId="52718" builtinId="8" hidden="1"/>
    <cellStyle name="Hiperlink" xfId="52720" builtinId="8" hidden="1"/>
    <cellStyle name="Hiperlink" xfId="52722" builtinId="8" hidden="1"/>
    <cellStyle name="Hiperlink" xfId="52724" builtinId="8" hidden="1"/>
    <cellStyle name="Hiperlink" xfId="52726" builtinId="8" hidden="1"/>
    <cellStyle name="Hiperlink" xfId="52728" builtinId="8" hidden="1"/>
    <cellStyle name="Hiperlink" xfId="52730" builtinId="8" hidden="1"/>
    <cellStyle name="Hiperlink" xfId="52732" builtinId="8" hidden="1"/>
    <cellStyle name="Hiperlink" xfId="52734" builtinId="8" hidden="1"/>
    <cellStyle name="Hiperlink" xfId="52736" builtinId="8" hidden="1"/>
    <cellStyle name="Hiperlink" xfId="52738" builtinId="8" hidden="1"/>
    <cellStyle name="Hiperlink" xfId="52740" builtinId="8" hidden="1"/>
    <cellStyle name="Hiperlink" xfId="52742" builtinId="8" hidden="1"/>
    <cellStyle name="Hiperlink" xfId="52744" builtinId="8" hidden="1"/>
    <cellStyle name="Hiperlink" xfId="52746" builtinId="8" hidden="1"/>
    <cellStyle name="Hiperlink" xfId="52748" builtinId="8" hidden="1"/>
    <cellStyle name="Hiperlink" xfId="52750" builtinId="8" hidden="1"/>
    <cellStyle name="Hiperlink" xfId="52752" builtinId="8" hidden="1"/>
    <cellStyle name="Hiperlink" xfId="52754" builtinId="8" hidden="1"/>
    <cellStyle name="Hiperlink" xfId="52756" builtinId="8" hidden="1"/>
    <cellStyle name="Hiperlink" xfId="52758" builtinId="8" hidden="1"/>
    <cellStyle name="Hiperlink" xfId="52760" builtinId="8" hidden="1"/>
    <cellStyle name="Hiperlink" xfId="52762" builtinId="8" hidden="1"/>
    <cellStyle name="Hiperlink" xfId="52766" builtinId="8" hidden="1"/>
    <cellStyle name="Hiperlink" xfId="52768" builtinId="8" hidden="1"/>
    <cellStyle name="Hiperlink" xfId="52770" builtinId="8" hidden="1"/>
    <cellStyle name="Hiperlink" xfId="52772" builtinId="8" hidden="1"/>
    <cellStyle name="Hiperlink" xfId="52774" builtinId="8" hidden="1"/>
    <cellStyle name="Hiperlink" xfId="52776" builtinId="8" hidden="1"/>
    <cellStyle name="Hiperlink" xfId="52778" builtinId="8" hidden="1"/>
    <cellStyle name="Hiperlink" xfId="52780" builtinId="8" hidden="1"/>
    <cellStyle name="Hiperlink" xfId="52782" builtinId="8" hidden="1"/>
    <cellStyle name="Hiperlink" xfId="52784" builtinId="8" hidden="1"/>
    <cellStyle name="Hiperlink" xfId="52786" builtinId="8" hidden="1"/>
    <cellStyle name="Hiperlink" xfId="52788" builtinId="8" hidden="1"/>
    <cellStyle name="Hiperlink" xfId="52790" builtinId="8" hidden="1"/>
    <cellStyle name="Hiperlink" xfId="52792" builtinId="8" hidden="1"/>
    <cellStyle name="Hiperlink" xfId="52794" builtinId="8" hidden="1"/>
    <cellStyle name="Hiperlink" xfId="52796" builtinId="8" hidden="1"/>
    <cellStyle name="Hiperlink" xfId="52798" builtinId="8" hidden="1"/>
    <cellStyle name="Hiperlink" xfId="52800" builtinId="8" hidden="1"/>
    <cellStyle name="Hiperlink" xfId="52927" builtinId="8" hidden="1"/>
    <cellStyle name="Hiperlink" xfId="52907" builtinId="8" hidden="1"/>
    <cellStyle name="Hiperlink" xfId="52898" builtinId="8" hidden="1"/>
    <cellStyle name="Hiperlink" xfId="52916" builtinId="8" hidden="1"/>
    <cellStyle name="Hiperlink" xfId="52691" builtinId="8" hidden="1"/>
    <cellStyle name="Hiperlink" xfId="52889" builtinId="8" hidden="1"/>
    <cellStyle name="Hiperlink" xfId="52862" builtinId="8" hidden="1"/>
    <cellStyle name="Hiperlink" xfId="52839" builtinId="8" hidden="1"/>
    <cellStyle name="Hiperlink" xfId="52951" builtinId="8" hidden="1"/>
    <cellStyle name="Hiperlink" xfId="52943" builtinId="8" hidden="1"/>
    <cellStyle name="Hiperlink" xfId="52919" builtinId="8" hidden="1"/>
    <cellStyle name="Hiperlink" xfId="52900" builtinId="8" hidden="1"/>
    <cellStyle name="Hiperlink" xfId="52873" builtinId="8" hidden="1"/>
    <cellStyle name="Hiperlink" xfId="52888" builtinId="8" hidden="1"/>
    <cellStyle name="Hiperlink" xfId="52872" builtinId="8" hidden="1"/>
    <cellStyle name="Hiperlink" xfId="52851" builtinId="8" hidden="1"/>
    <cellStyle name="Hiperlink" xfId="52829" builtinId="8" hidden="1"/>
    <cellStyle name="Hiperlink" xfId="52928" builtinId="8" hidden="1"/>
    <cellStyle name="Hiperlink" xfId="52899" builtinId="8" hidden="1"/>
    <cellStyle name="Hiperlink" xfId="52689" builtinId="8" hidden="1"/>
    <cellStyle name="Hiperlink" xfId="52893" builtinId="8" hidden="1"/>
    <cellStyle name="Hiperlink" xfId="52863" builtinId="8" hidden="1"/>
    <cellStyle name="Hiperlink" xfId="52840" builtinId="8" hidden="1"/>
    <cellStyle name="Hiperlink" xfId="52828" builtinId="8" hidden="1"/>
    <cellStyle name="Hiperlink" xfId="52930" builtinId="8" hidden="1"/>
    <cellStyle name="Hiperlink" xfId="52909" builtinId="8" hidden="1"/>
    <cellStyle name="Hiperlink" xfId="52694" builtinId="8" hidden="1"/>
    <cellStyle name="Hiperlink" xfId="52874" builtinId="8" hidden="1"/>
    <cellStyle name="Hiperlink" xfId="52854" builtinId="8" hidden="1"/>
    <cellStyle name="Hiperlink" xfId="52836" builtinId="8" hidden="1"/>
    <cellStyle name="Hiperlink" xfId="52945" builtinId="8" hidden="1"/>
    <cellStyle name="Hiperlink" xfId="52921" builtinId="8" hidden="1"/>
    <cellStyle name="Hiperlink" xfId="52902" builtinId="8" hidden="1"/>
    <cellStyle name="Hiperlink" xfId="52814" builtinId="8" hidden="1"/>
    <cellStyle name="Hiperlink" xfId="52970" builtinId="8" hidden="1"/>
    <cellStyle name="Hiperlink" xfId="52973" builtinId="8" hidden="1"/>
    <cellStyle name="Hiperlink" xfId="52702" builtinId="8" hidden="1"/>
    <cellStyle name="Hiperlink" xfId="52817" builtinId="8" hidden="1"/>
    <cellStyle name="Hiperlink" xfId="52815" builtinId="8" hidden="1"/>
    <cellStyle name="Hiperlink" xfId="52812" builtinId="8" hidden="1"/>
    <cellStyle name="Hiperlink" xfId="52956" builtinId="8" hidden="1"/>
    <cellStyle name="Hiperlink" xfId="52966" builtinId="8" hidden="1"/>
    <cellStyle name="Hiperlink" xfId="52964" builtinId="8" hidden="1"/>
    <cellStyle name="Hiperlink" xfId="52962" builtinId="8" hidden="1"/>
    <cellStyle name="Hiperlink" xfId="52810" builtinId="8" hidden="1"/>
    <cellStyle name="Hiperlink" xfId="52950" builtinId="8" hidden="1"/>
    <cellStyle name="Hiperlink" xfId="52926" builtinId="8" hidden="1"/>
    <cellStyle name="Hiperlink" xfId="52905" builtinId="8" hidden="1"/>
    <cellStyle name="Hiperlink" xfId="52886" builtinId="8" hidden="1"/>
    <cellStyle name="Hiperlink" xfId="52808" builtinId="8" hidden="1"/>
    <cellStyle name="Hiperlink" xfId="52860" builtinId="8" hidden="1"/>
    <cellStyle name="Hiperlink" xfId="52987" builtinId="8" hidden="1"/>
    <cellStyle name="Hiperlink" xfId="52988" builtinId="8" hidden="1"/>
    <cellStyle name="Hiperlink" xfId="52968" builtinId="8" hidden="1"/>
    <cellStyle name="Hiperlink" xfId="52843" builtinId="8" hidden="1"/>
    <cellStyle name="Hiperlink" xfId="52935" builtinId="8" hidden="1"/>
    <cellStyle name="Hiperlink" xfId="52911" builtinId="8" hidden="1"/>
    <cellStyle name="Hiperlink" xfId="52803" builtinId="8" hidden="1"/>
    <cellStyle name="Hiperlink" xfId="52884" builtinId="8" hidden="1"/>
    <cellStyle name="Hiperlink" xfId="52866" builtinId="8" hidden="1"/>
    <cellStyle name="Hiperlink" xfId="52831" builtinId="8" hidden="1"/>
    <cellStyle name="Hiperlink" xfId="52818" builtinId="8" hidden="1"/>
    <cellStyle name="Hiperlink" xfId="52804" builtinId="8" hidden="1"/>
    <cellStyle name="Hiperlink" xfId="52857" builtinId="8" hidden="1"/>
    <cellStyle name="Hiperlink" xfId="52835" builtinId="8" hidden="1"/>
    <cellStyle name="Hiperlink" xfId="52865" builtinId="8" hidden="1"/>
    <cellStyle name="Hiperlink" xfId="52824" builtinId="8" hidden="1"/>
    <cellStyle name="Hiperlink" xfId="52933" builtinId="8" hidden="1"/>
    <cellStyle name="Hiperlink" xfId="52957" builtinId="8" hidden="1"/>
    <cellStyle name="Hiperlink" xfId="52806" builtinId="8" hidden="1"/>
    <cellStyle name="Hiperlink" xfId="52883" builtinId="8" hidden="1"/>
    <cellStyle name="Hiperlink" xfId="52849" builtinId="8" hidden="1"/>
    <cellStyle name="Hiperlink" xfId="52845" builtinId="8" hidden="1"/>
    <cellStyle name="Hiperlink" xfId="52823" builtinId="8" hidden="1"/>
    <cellStyle name="Hiperlink" xfId="52924" builtinId="8" hidden="1"/>
    <cellStyle name="Hiperlink" xfId="52875" builtinId="8" hidden="1"/>
    <cellStyle name="Hiperlink" xfId="52832" builtinId="8" hidden="1"/>
    <cellStyle name="Hiperlink" xfId="52946" builtinId="8" hidden="1"/>
    <cellStyle name="Hiperlink" xfId="52859" builtinId="8" hidden="1"/>
    <cellStyle name="Hiperlink" xfId="52834" builtinId="8" hidden="1"/>
    <cellStyle name="Hiperlink" xfId="52949" builtinId="8" hidden="1"/>
    <cellStyle name="Hiperlink" xfId="52869" builtinId="8" hidden="1"/>
    <cellStyle name="Hiperlink" xfId="52948" builtinId="8" hidden="1"/>
    <cellStyle name="Hiperlink" xfId="52912" builtinId="8" hidden="1"/>
    <cellStyle name="Hiperlink" xfId="52925" builtinId="8" hidden="1"/>
    <cellStyle name="Hiperlink" xfId="52937" builtinId="8" hidden="1"/>
    <cellStyle name="Hiperlink" xfId="52904" builtinId="8" hidden="1"/>
    <cellStyle name="Hiperlink" xfId="52967" builtinId="8" hidden="1"/>
    <cellStyle name="Hiperlink" xfId="52960" builtinId="8" hidden="1"/>
    <cellStyle name="Hiperlink" xfId="52847" builtinId="8" hidden="1"/>
    <cellStyle name="Hiperlink" xfId="52822" builtinId="8" hidden="1"/>
    <cellStyle name="Hiperlink" xfId="52972" builtinId="8" hidden="1"/>
    <cellStyle name="Hiperlink" xfId="52983" builtinId="8" hidden="1"/>
    <cellStyle name="Hiperlink" xfId="52985" builtinId="8" hidden="1"/>
    <cellStyle name="Hiperlink" xfId="52990" builtinId="8" hidden="1"/>
    <cellStyle name="Hiperlink" xfId="52954" builtinId="8" hidden="1"/>
    <cellStyle name="Hiperlink" xfId="52764" builtinId="8" hidden="1"/>
    <cellStyle name="Hiperlink" xfId="52982" builtinId="8" hidden="1"/>
    <cellStyle name="Hiperlink" xfId="52952" builtinId="8" hidden="1"/>
    <cellStyle name="Hiperlink" xfId="52703" builtinId="8" hidden="1"/>
    <cellStyle name="Hiperlink" xfId="52765" builtinId="8" hidden="1"/>
    <cellStyle name="Hiperlink" xfId="52932" builtinId="8" hidden="1"/>
    <cellStyle name="Hiperlink" xfId="52604" builtinId="8" hidden="1"/>
    <cellStyle name="Hiperlink" xfId="52681" builtinId="8" hidden="1"/>
    <cellStyle name="Hiperlink" xfId="52682" builtinId="8" hidden="1"/>
    <cellStyle name="Hiperlink" xfId="52606" builtinId="8" hidden="1"/>
    <cellStyle name="Hiperlink" xfId="52638" builtinId="8" hidden="1"/>
    <cellStyle name="Hiperlink" xfId="52627" builtinId="8" hidden="1"/>
    <cellStyle name="Hiperlink" xfId="52614" builtinId="8" hidden="1"/>
    <cellStyle name="Hiperlink" xfId="52674" builtinId="8" hidden="1"/>
    <cellStyle name="Hiperlink" xfId="52664" builtinId="8" hidden="1"/>
    <cellStyle name="Hiperlink" xfId="52631" builtinId="8" hidden="1"/>
    <cellStyle name="Hiperlink" xfId="52621" builtinId="8" hidden="1"/>
    <cellStyle name="Hiperlink" xfId="52613" builtinId="8" hidden="1"/>
    <cellStyle name="Hiperlink" xfId="52669" builtinId="8" hidden="1"/>
    <cellStyle name="Hiperlink" xfId="52656" builtinId="8" hidden="1"/>
    <cellStyle name="Hiperlink" xfId="51396" builtinId="8" hidden="1"/>
    <cellStyle name="Hiperlink" xfId="52637" builtinId="8" hidden="1"/>
    <cellStyle name="Hiperlink" xfId="52625" builtinId="8" hidden="1"/>
    <cellStyle name="Hiperlink" xfId="52616" builtinId="8" hidden="1"/>
    <cellStyle name="Hiperlink" xfId="52673" builtinId="8" hidden="1"/>
    <cellStyle name="Hiperlink" xfId="52662" builtinId="8" hidden="1"/>
    <cellStyle name="Hiperlink" xfId="52649" builtinId="8" hidden="1"/>
    <cellStyle name="Hiperlink" xfId="52666" builtinId="8" hidden="1"/>
    <cellStyle name="Hiperlink" xfId="52652" builtinId="8" hidden="1"/>
    <cellStyle name="Hiperlink" xfId="52640" builtinId="8" hidden="1"/>
    <cellStyle name="Hiperlink" xfId="52628" builtinId="8" hidden="1"/>
    <cellStyle name="Hiperlink" xfId="52636" builtinId="8" hidden="1"/>
    <cellStyle name="Hiperlink" xfId="52624" builtinId="8" hidden="1"/>
    <cellStyle name="Hiperlink" xfId="52611" builtinId="8" hidden="1"/>
    <cellStyle name="Hiperlink" xfId="52671" builtinId="8" hidden="1"/>
    <cellStyle name="Hiperlink" xfId="52658" builtinId="8" hidden="1"/>
    <cellStyle name="Hiperlink" xfId="52645" builtinId="8" hidden="1"/>
    <cellStyle name="Hiperlink" xfId="52192" builtinId="8" hidden="1"/>
    <cellStyle name="Hiperlink" xfId="52641" builtinId="8" hidden="1"/>
    <cellStyle name="Hiperlink" xfId="52660" builtinId="8" hidden="1"/>
    <cellStyle name="Hiperlink" xfId="52647" builtinId="8" hidden="1"/>
    <cellStyle name="Hiperlink" xfId="52642" builtinId="8" hidden="1"/>
    <cellStyle name="Hiperlink" xfId="52623" builtinId="8" hidden="1"/>
    <cellStyle name="Hiperlink" xfId="52615" builtinId="8" hidden="1"/>
    <cellStyle name="Hiperlink" xfId="52605" builtinId="8" hidden="1"/>
    <cellStyle name="Hiperlink" xfId="52667" builtinId="8" hidden="1"/>
    <cellStyle name="Hiperlink" xfId="52654" builtinId="8" hidden="1"/>
    <cellStyle name="Hiperlink" xfId="52195" builtinId="8" hidden="1"/>
    <cellStyle name="Hiperlink" xfId="52597" builtinId="8" hidden="1"/>
    <cellStyle name="Hiperlink" xfId="52679" builtinId="8" hidden="1"/>
    <cellStyle name="Hiperlink" xfId="52685" builtinId="8" hidden="1"/>
    <cellStyle name="Hiperlink" xfId="52687" builtinId="8" hidden="1"/>
    <cellStyle name="Hiperlink" xfId="52595" builtinId="8" hidden="1"/>
    <cellStyle name="Hiperlink" xfId="52676" builtinId="8" hidden="1"/>
    <cellStyle name="Hiperlink" xfId="52194" builtinId="8" hidden="1"/>
    <cellStyle name="Hiperlink" xfId="52601" builtinId="8" hidden="1"/>
    <cellStyle name="Hiperlink" xfId="52598" builtinId="8" hidden="1"/>
    <cellStyle name="Hiperlink" xfId="53001" builtinId="8" hidden="1"/>
    <cellStyle name="Hiperlink" xfId="53003" builtinId="8" hidden="1"/>
    <cellStyle name="Hiperlink" xfId="53005" builtinId="8" hidden="1"/>
    <cellStyle name="Hiperlink" xfId="53010" builtinId="8" hidden="1"/>
    <cellStyle name="Hiperlink" xfId="53012" builtinId="8" hidden="1"/>
    <cellStyle name="Hiperlink" xfId="53014" builtinId="8" hidden="1"/>
    <cellStyle name="Hiperlink" xfId="53016" builtinId="8" hidden="1"/>
    <cellStyle name="Hiperlink" xfId="53018" builtinId="8" hidden="1"/>
    <cellStyle name="Hiperlink" xfId="53020" builtinId="8" hidden="1"/>
    <cellStyle name="Hiperlink" xfId="53022" builtinId="8" hidden="1"/>
    <cellStyle name="Hiperlink" xfId="53024" builtinId="8" hidden="1"/>
    <cellStyle name="Hiperlink" xfId="53026" builtinId="8" hidden="1"/>
    <cellStyle name="Hiperlink" xfId="53028" builtinId="8" hidden="1"/>
    <cellStyle name="Hiperlink" xfId="53030" builtinId="8" hidden="1"/>
    <cellStyle name="Hiperlink" xfId="53032" builtinId="8" hidden="1"/>
    <cellStyle name="Hiperlink" xfId="53034" builtinId="8" hidden="1"/>
    <cellStyle name="Hiperlink" xfId="53036" builtinId="8" hidden="1"/>
    <cellStyle name="Hiperlink" xfId="53038" builtinId="8" hidden="1"/>
    <cellStyle name="Hiperlink" xfId="53040" builtinId="8" hidden="1"/>
    <cellStyle name="Hiperlink" xfId="53042" builtinId="8" hidden="1"/>
    <cellStyle name="Hiperlink" xfId="53044" builtinId="8" hidden="1"/>
    <cellStyle name="Hiperlink" xfId="53046" builtinId="8" hidden="1"/>
    <cellStyle name="Hiperlink" xfId="53048" builtinId="8" hidden="1"/>
    <cellStyle name="Hiperlink" xfId="53050" builtinId="8" hidden="1"/>
    <cellStyle name="Hiperlink" xfId="53052" builtinId="8" hidden="1"/>
    <cellStyle name="Hiperlink" xfId="53054" builtinId="8" hidden="1"/>
    <cellStyle name="Hiperlink" xfId="53056" builtinId="8" hidden="1"/>
    <cellStyle name="Hiperlink" xfId="53058" builtinId="8" hidden="1"/>
    <cellStyle name="Hiperlink" xfId="53060" builtinId="8" hidden="1"/>
    <cellStyle name="Hiperlink" xfId="53062" builtinId="8" hidden="1"/>
    <cellStyle name="Hiperlink" xfId="53064" builtinId="8" hidden="1"/>
    <cellStyle name="Hiperlink" xfId="53066" builtinId="8" hidden="1"/>
    <cellStyle name="Hiperlink" xfId="53068" builtinId="8" hidden="1"/>
    <cellStyle name="Hiperlink" xfId="53072" builtinId="8" hidden="1"/>
    <cellStyle name="Hiperlink" xfId="53074" builtinId="8" hidden="1"/>
    <cellStyle name="Hiperlink" xfId="53076" builtinId="8" hidden="1"/>
    <cellStyle name="Hiperlink" xfId="53078" builtinId="8" hidden="1"/>
    <cellStyle name="Hiperlink" xfId="53080" builtinId="8" hidden="1"/>
    <cellStyle name="Hiperlink" xfId="53082" builtinId="8" hidden="1"/>
    <cellStyle name="Hiperlink" xfId="53084" builtinId="8" hidden="1"/>
    <cellStyle name="Hiperlink" xfId="53086" builtinId="8" hidden="1"/>
    <cellStyle name="Hiperlink" xfId="53088" builtinId="8" hidden="1"/>
    <cellStyle name="Hiperlink" xfId="53090" builtinId="8" hidden="1"/>
    <cellStyle name="Hiperlink" xfId="53092" builtinId="8" hidden="1"/>
    <cellStyle name="Hiperlink" xfId="53094" builtinId="8" hidden="1"/>
    <cellStyle name="Hiperlink" xfId="53096" builtinId="8" hidden="1"/>
    <cellStyle name="Hiperlink" xfId="53098" builtinId="8" hidden="1"/>
    <cellStyle name="Hiperlink" xfId="53100" builtinId="8" hidden="1"/>
    <cellStyle name="Hiperlink" xfId="53102" builtinId="8" hidden="1"/>
    <cellStyle name="Hiperlink" xfId="53104" builtinId="8" hidden="1"/>
    <cellStyle name="Hiperlink" xfId="53106" builtinId="8" hidden="1"/>
    <cellStyle name="Hiperlink" xfId="53233" builtinId="8" hidden="1"/>
    <cellStyle name="Hiperlink" xfId="53213" builtinId="8" hidden="1"/>
    <cellStyle name="Hiperlink" xfId="53204" builtinId="8" hidden="1"/>
    <cellStyle name="Hiperlink" xfId="53222" builtinId="8" hidden="1"/>
    <cellStyle name="Hiperlink" xfId="52997" builtinId="8" hidden="1"/>
    <cellStyle name="Hiperlink" xfId="53195" builtinId="8" hidden="1"/>
    <cellStyle name="Hiperlink" xfId="53168" builtinId="8" hidden="1"/>
    <cellStyle name="Hiperlink" xfId="53145" builtinId="8" hidden="1"/>
    <cellStyle name="Hiperlink" xfId="53257" builtinId="8" hidden="1"/>
    <cellStyle name="Hiperlink" xfId="53249" builtinId="8" hidden="1"/>
    <cellStyle name="Hiperlink" xfId="53225" builtinId="8" hidden="1"/>
    <cellStyle name="Hiperlink" xfId="53206" builtinId="8" hidden="1"/>
    <cellStyle name="Hiperlink" xfId="53179" builtinId="8" hidden="1"/>
    <cellStyle name="Hiperlink" xfId="53194" builtinId="8" hidden="1"/>
    <cellStyle name="Hiperlink" xfId="53178" builtinId="8" hidden="1"/>
    <cellStyle name="Hiperlink" xfId="53157" builtinId="8" hidden="1"/>
    <cellStyle name="Hiperlink" xfId="53135" builtinId="8" hidden="1"/>
    <cellStyle name="Hiperlink" xfId="53234" builtinId="8" hidden="1"/>
    <cellStyle name="Hiperlink" xfId="53205" builtinId="8" hidden="1"/>
    <cellStyle name="Hiperlink" xfId="52995" builtinId="8" hidden="1"/>
    <cellStyle name="Hiperlink" xfId="53199" builtinId="8" hidden="1"/>
    <cellStyle name="Hiperlink" xfId="53169" builtinId="8" hidden="1"/>
    <cellStyle name="Hiperlink" xfId="53146" builtinId="8" hidden="1"/>
    <cellStyle name="Hiperlink" xfId="53134" builtinId="8" hidden="1"/>
    <cellStyle name="Hiperlink" xfId="53236" builtinId="8" hidden="1"/>
    <cellStyle name="Hiperlink" xfId="53215" builtinId="8" hidden="1"/>
    <cellStyle name="Hiperlink" xfId="53000" builtinId="8" hidden="1"/>
    <cellStyle name="Hiperlink" xfId="53180" builtinId="8" hidden="1"/>
    <cellStyle name="Hiperlink" xfId="53160" builtinId="8" hidden="1"/>
    <cellStyle name="Hiperlink" xfId="53142" builtinId="8" hidden="1"/>
    <cellStyle name="Hiperlink" xfId="53251" builtinId="8" hidden="1"/>
    <cellStyle name="Hiperlink" xfId="53227" builtinId="8" hidden="1"/>
    <cellStyle name="Hiperlink" xfId="53208" builtinId="8" hidden="1"/>
    <cellStyle name="Hiperlink" xfId="53120" builtinId="8" hidden="1"/>
    <cellStyle name="Hiperlink" xfId="53276" builtinId="8" hidden="1"/>
    <cellStyle name="Hiperlink" xfId="53279" builtinId="8" hidden="1"/>
    <cellStyle name="Hiperlink" xfId="53008" builtinId="8" hidden="1"/>
    <cellStyle name="Hiperlink" xfId="53123" builtinId="8" hidden="1"/>
    <cellStyle name="Hiperlink" xfId="53121" builtinId="8" hidden="1"/>
    <cellStyle name="Hiperlink" xfId="53118" builtinId="8" hidden="1"/>
    <cellStyle name="Hiperlink" xfId="53262" builtinId="8" hidden="1"/>
    <cellStyle name="Hiperlink" xfId="53272" builtinId="8" hidden="1"/>
    <cellStyle name="Hiperlink" xfId="53270" builtinId="8" hidden="1"/>
    <cellStyle name="Hiperlink" xfId="53268" builtinId="8" hidden="1"/>
    <cellStyle name="Hiperlink" xfId="53116" builtinId="8" hidden="1"/>
    <cellStyle name="Hiperlink" xfId="53256" builtinId="8" hidden="1"/>
    <cellStyle name="Hiperlink" xfId="53232" builtinId="8" hidden="1"/>
    <cellStyle name="Hiperlink" xfId="53211" builtinId="8" hidden="1"/>
    <cellStyle name="Hiperlink" xfId="53192" builtinId="8" hidden="1"/>
    <cellStyle name="Hiperlink" xfId="53114" builtinId="8" hidden="1"/>
    <cellStyle name="Hiperlink" xfId="53166" builtinId="8" hidden="1"/>
    <cellStyle name="Hiperlink" xfId="53293" builtinId="8" hidden="1"/>
    <cellStyle name="Hiperlink" xfId="53294" builtinId="8" hidden="1"/>
    <cellStyle name="Hiperlink" xfId="53274" builtinId="8" hidden="1"/>
    <cellStyle name="Hiperlink" xfId="53149" builtinId="8" hidden="1"/>
    <cellStyle name="Hiperlink" xfId="53241" builtinId="8" hidden="1"/>
    <cellStyle name="Hiperlink" xfId="53217" builtinId="8" hidden="1"/>
    <cellStyle name="Hiperlink" xfId="53109" builtinId="8" hidden="1"/>
    <cellStyle name="Hiperlink" xfId="53190" builtinId="8" hidden="1"/>
    <cellStyle name="Hiperlink" xfId="53172" builtinId="8" hidden="1"/>
    <cellStyle name="Hiperlink" xfId="53137" builtinId="8" hidden="1"/>
    <cellStyle name="Hiperlink" xfId="53124" builtinId="8" hidden="1"/>
    <cellStyle name="Hiperlink" xfId="53110" builtinId="8" hidden="1"/>
    <cellStyle name="Hiperlink" xfId="53163" builtinId="8" hidden="1"/>
    <cellStyle name="Hiperlink" xfId="53141" builtinId="8" hidden="1"/>
    <cellStyle name="Hiperlink" xfId="53171" builtinId="8" hidden="1"/>
    <cellStyle name="Hiperlink" xfId="53130" builtinId="8" hidden="1"/>
    <cellStyle name="Hiperlink" xfId="53239" builtinId="8" hidden="1"/>
    <cellStyle name="Hiperlink" xfId="53263" builtinId="8" hidden="1"/>
    <cellStyle name="Hiperlink" xfId="53112" builtinId="8" hidden="1"/>
    <cellStyle name="Hiperlink" xfId="53189" builtinId="8" hidden="1"/>
    <cellStyle name="Hiperlink" xfId="53155" builtinId="8" hidden="1"/>
    <cellStyle name="Hiperlink" xfId="53151" builtinId="8" hidden="1"/>
    <cellStyle name="Hiperlink" xfId="53129" builtinId="8" hidden="1"/>
    <cellStyle name="Hiperlink" xfId="53230" builtinId="8" hidden="1"/>
    <cellStyle name="Hiperlink" xfId="53181" builtinId="8" hidden="1"/>
    <cellStyle name="Hiperlink" xfId="53138" builtinId="8" hidden="1"/>
    <cellStyle name="Hiperlink" xfId="53252" builtinId="8" hidden="1"/>
    <cellStyle name="Hiperlink" xfId="53165" builtinId="8" hidden="1"/>
    <cellStyle name="Hiperlink" xfId="53140" builtinId="8" hidden="1"/>
    <cellStyle name="Hiperlink" xfId="53255" builtinId="8" hidden="1"/>
    <cellStyle name="Hiperlink" xfId="53175" builtinId="8" hidden="1"/>
    <cellStyle name="Hiperlink" xfId="53254" builtinId="8" hidden="1"/>
    <cellStyle name="Hiperlink" xfId="53218" builtinId="8" hidden="1"/>
    <cellStyle name="Hiperlink" xfId="53231" builtinId="8" hidden="1"/>
    <cellStyle name="Hiperlink" xfId="53243" builtinId="8" hidden="1"/>
    <cellStyle name="Hiperlink" xfId="53210" builtinId="8" hidden="1"/>
    <cellStyle name="Hiperlink" xfId="53273" builtinId="8" hidden="1"/>
    <cellStyle name="Hiperlink" xfId="53266" builtinId="8" hidden="1"/>
    <cellStyle name="Hiperlink" xfId="53153" builtinId="8" hidden="1"/>
    <cellStyle name="Hiperlink" xfId="53128" builtinId="8" hidden="1"/>
    <cellStyle name="Hiperlink" xfId="53278" builtinId="8" hidden="1"/>
    <cellStyle name="Hiperlink" xfId="53289" builtinId="8" hidden="1"/>
    <cellStyle name="Hiperlink" xfId="53291" builtinId="8" hidden="1"/>
    <cellStyle name="Hiperlink" xfId="53296" builtinId="8" hidden="1"/>
    <cellStyle name="Hiperlink" xfId="53260" builtinId="8" hidden="1"/>
    <cellStyle name="Hiperlink" xfId="53070" builtinId="8" hidden="1"/>
    <cellStyle name="Hiperlink" xfId="53288" builtinId="8" hidden="1"/>
    <cellStyle name="Hiperlink" xfId="53258" builtinId="8" hidden="1"/>
    <cellStyle name="Hiperlink" xfId="53009" builtinId="8" hidden="1"/>
    <cellStyle name="Hiperlink" xfId="53071" builtinId="8" hidden="1"/>
    <cellStyle name="Hiperlink" xfId="53238" builtinId="8" hidden="1"/>
    <cellStyle name="Hiperlink Visitado" xfId="51400" builtinId="9" hidden="1"/>
    <cellStyle name="Hiperlink Visitado" xfId="51402" builtinId="9" hidden="1"/>
    <cellStyle name="Hiperlink Visitado" xfId="51404" builtinId="9" hidden="1"/>
    <cellStyle name="Hiperlink Visitado" xfId="51410" builtinId="9" hidden="1"/>
    <cellStyle name="Hiperlink Visitado" xfId="51412" builtinId="9" hidden="1"/>
    <cellStyle name="Hiperlink Visitado" xfId="51414" builtinId="9" hidden="1"/>
    <cellStyle name="Hiperlink Visitado" xfId="51417" builtinId="9" hidden="1"/>
    <cellStyle name="Hiperlink Visitado" xfId="51419" builtinId="9" hidden="1"/>
    <cellStyle name="Hiperlink Visitado" xfId="51421" builtinId="9" hidden="1"/>
    <cellStyle name="Hiperlink Visitado" xfId="51427" builtinId="9" hidden="1"/>
    <cellStyle name="Hiperlink Visitado" xfId="51429" builtinId="9" hidden="1"/>
    <cellStyle name="Hiperlink Visitado" xfId="51431" builtinId="9" hidden="1"/>
    <cellStyle name="Hiperlink Visitado" xfId="51434" builtinId="9" hidden="1"/>
    <cellStyle name="Hiperlink Visitado" xfId="51436" builtinId="9" hidden="1"/>
    <cellStyle name="Hiperlink Visitado" xfId="51438" builtinId="9" hidden="1"/>
    <cellStyle name="Hiperlink Visitado" xfId="51440" builtinId="9" hidden="1"/>
    <cellStyle name="Hiperlink Visitado" xfId="51442" builtinId="9" hidden="1"/>
    <cellStyle name="Hiperlink Visitado" xfId="51444" builtinId="9" hidden="1"/>
    <cellStyle name="Hiperlink Visitado" xfId="51447" builtinId="9" hidden="1"/>
    <cellStyle name="Hiperlink Visitado" xfId="51449" builtinId="9" hidden="1"/>
    <cellStyle name="Hiperlink Visitado" xfId="51451" builtinId="9" hidden="1"/>
    <cellStyle name="Hiperlink Visitado" xfId="51454" builtinId="9" hidden="1"/>
    <cellStyle name="Hiperlink Visitado" xfId="51456" builtinId="9" hidden="1"/>
    <cellStyle name="Hiperlink Visitado" xfId="51458" builtinId="9" hidden="1"/>
    <cellStyle name="Hiperlink Visitado" xfId="51460" builtinId="9" hidden="1"/>
    <cellStyle name="Hiperlink Visitado" xfId="51462" builtinId="9" hidden="1"/>
    <cellStyle name="Hiperlink Visitado" xfId="51464" builtinId="9" hidden="1"/>
    <cellStyle name="Hiperlink Visitado" xfId="51467" builtinId="9" hidden="1"/>
    <cellStyle name="Hiperlink Visitado" xfId="51469" builtinId="9" hidden="1"/>
    <cellStyle name="Hiperlink Visitado" xfId="51471" builtinId="9" hidden="1"/>
    <cellStyle name="Hiperlink Visitado" xfId="51473" builtinId="9" hidden="1"/>
    <cellStyle name="Hiperlink Visitado" xfId="51475" builtinId="9" hidden="1"/>
    <cellStyle name="Hiperlink Visitado" xfId="51477" builtinId="9" hidden="1"/>
    <cellStyle name="Hiperlink Visitado" xfId="51486" builtinId="9" hidden="1"/>
    <cellStyle name="Hiperlink Visitado" xfId="51488" builtinId="9" hidden="1"/>
    <cellStyle name="Hiperlink Visitado" xfId="51490" builtinId="9" hidden="1"/>
    <cellStyle name="Hiperlink Visitado" xfId="51493" builtinId="9" hidden="1"/>
    <cellStyle name="Hiperlink Visitado" xfId="51495" builtinId="9" hidden="1"/>
    <cellStyle name="Hiperlink Visitado" xfId="51497" builtinId="9" hidden="1"/>
    <cellStyle name="Hiperlink Visitado" xfId="51499" builtinId="9" hidden="1"/>
    <cellStyle name="Hiperlink Visitado" xfId="51501" builtinId="9" hidden="1"/>
    <cellStyle name="Hiperlink Visitado" xfId="51503" builtinId="9" hidden="1"/>
    <cellStyle name="Hiperlink Visitado" xfId="51506" builtinId="9" hidden="1"/>
    <cellStyle name="Hiperlink Visitado" xfId="51508" builtinId="9" hidden="1"/>
    <cellStyle name="Hiperlink Visitado" xfId="51510" builtinId="9" hidden="1"/>
    <cellStyle name="Hiperlink Visitado" xfId="51513" builtinId="9" hidden="1"/>
    <cellStyle name="Hiperlink Visitado" xfId="51515" builtinId="9" hidden="1"/>
    <cellStyle name="Hiperlink Visitado" xfId="51517" builtinId="9" hidden="1"/>
    <cellStyle name="Hiperlink Visitado" xfId="51519" builtinId="9" hidden="1"/>
    <cellStyle name="Hiperlink Visitado" xfId="51521" builtinId="9" hidden="1"/>
    <cellStyle name="Hiperlink Visitado" xfId="51523" builtinId="9" hidden="1"/>
    <cellStyle name="Hiperlink Visitado" xfId="52285" builtinId="9" hidden="1"/>
    <cellStyle name="Hiperlink Visitado" xfId="52287" builtinId="9" hidden="1"/>
    <cellStyle name="Hiperlink Visitado" xfId="52289" builtinId="9" hidden="1"/>
    <cellStyle name="Hiperlink Visitado" xfId="52294" builtinId="9" hidden="1"/>
    <cellStyle name="Hiperlink Visitado" xfId="52296" builtinId="9" hidden="1"/>
    <cellStyle name="Hiperlink Visitado" xfId="52298" builtinId="9" hidden="1"/>
    <cellStyle name="Hiperlink Visitado" xfId="52300" builtinId="9" hidden="1"/>
    <cellStyle name="Hiperlink Visitado" xfId="52302" builtinId="9" hidden="1"/>
    <cellStyle name="Hiperlink Visitado" xfId="52304" builtinId="9" hidden="1"/>
    <cellStyle name="Hiperlink Visitado" xfId="52308" builtinId="9" hidden="1"/>
    <cellStyle name="Hiperlink Visitado" xfId="52310" builtinId="9" hidden="1"/>
    <cellStyle name="Hiperlink Visitado" xfId="52312" builtinId="9" hidden="1"/>
    <cellStyle name="Hiperlink Visitado" xfId="52314" builtinId="9" hidden="1"/>
    <cellStyle name="Hiperlink Visitado" xfId="52316" builtinId="9" hidden="1"/>
    <cellStyle name="Hiperlink Visitado" xfId="52318" builtinId="9" hidden="1"/>
    <cellStyle name="Hiperlink Visitado" xfId="52320" builtinId="9" hidden="1"/>
    <cellStyle name="Hiperlink Visitado" xfId="52322" builtinId="9" hidden="1"/>
    <cellStyle name="Hiperlink Visitado" xfId="52324" builtinId="9" hidden="1"/>
    <cellStyle name="Hiperlink Visitado" xfId="52326" builtinId="9" hidden="1"/>
    <cellStyle name="Hiperlink Visitado" xfId="52328" builtinId="9" hidden="1"/>
    <cellStyle name="Hiperlink Visitado" xfId="52330" builtinId="9" hidden="1"/>
    <cellStyle name="Hiperlink Visitado" xfId="52332" builtinId="9" hidden="1"/>
    <cellStyle name="Hiperlink Visitado" xfId="52334" builtinId="9" hidden="1"/>
    <cellStyle name="Hiperlink Visitado" xfId="52336" builtinId="9" hidden="1"/>
    <cellStyle name="Hiperlink Visitado" xfId="52338" builtinId="9" hidden="1"/>
    <cellStyle name="Hiperlink Visitado" xfId="52340" builtinId="9" hidden="1"/>
    <cellStyle name="Hiperlink Visitado" xfId="52342" builtinId="9" hidden="1"/>
    <cellStyle name="Hiperlink Visitado" xfId="52344" builtinId="9" hidden="1"/>
    <cellStyle name="Hiperlink Visitado" xfId="52346" builtinId="9" hidden="1"/>
    <cellStyle name="Hiperlink Visitado" xfId="52348" builtinId="9" hidden="1"/>
    <cellStyle name="Hiperlink Visitado" xfId="52350" builtinId="9" hidden="1"/>
    <cellStyle name="Hiperlink Visitado" xfId="52352" builtinId="9" hidden="1"/>
    <cellStyle name="Hiperlink Visitado" xfId="52354" builtinId="9" hidden="1"/>
    <cellStyle name="Hiperlink Visitado" xfId="52358" builtinId="9" hidden="1"/>
    <cellStyle name="Hiperlink Visitado" xfId="52360" builtinId="9" hidden="1"/>
    <cellStyle name="Hiperlink Visitado" xfId="52362" builtinId="9" hidden="1"/>
    <cellStyle name="Hiperlink Visitado" xfId="52364" builtinId="9" hidden="1"/>
    <cellStyle name="Hiperlink Visitado" xfId="52366" builtinId="9" hidden="1"/>
    <cellStyle name="Hiperlink Visitado" xfId="52368" builtinId="9" hidden="1"/>
    <cellStyle name="Hiperlink Visitado" xfId="52370" builtinId="9" hidden="1"/>
    <cellStyle name="Hiperlink Visitado" xfId="52372" builtinId="9" hidden="1"/>
    <cellStyle name="Hiperlink Visitado" xfId="52374" builtinId="9" hidden="1"/>
    <cellStyle name="Hiperlink Visitado" xfId="52376" builtinId="9" hidden="1"/>
    <cellStyle name="Hiperlink Visitado" xfId="52378" builtinId="9" hidden="1"/>
    <cellStyle name="Hiperlink Visitado" xfId="52380" builtinId="9" hidden="1"/>
    <cellStyle name="Hiperlink Visitado" xfId="52382" builtinId="9" hidden="1"/>
    <cellStyle name="Hiperlink Visitado" xfId="52384" builtinId="9" hidden="1"/>
    <cellStyle name="Hiperlink Visitado" xfId="52386" builtinId="9" hidden="1"/>
    <cellStyle name="Hiperlink Visitado" xfId="52388" builtinId="9" hidden="1"/>
    <cellStyle name="Hiperlink Visitado" xfId="52390" builtinId="9" hidden="1"/>
    <cellStyle name="Hiperlink Visitado" xfId="52392" builtinId="9" hidden="1"/>
    <cellStyle name="Hiperlink Visitado" xfId="52513" builtinId="9" hidden="1"/>
    <cellStyle name="Hiperlink Visitado" xfId="52279" builtinId="9" hidden="1"/>
    <cellStyle name="Hiperlink Visitado" xfId="52484" builtinId="9" hidden="1"/>
    <cellStyle name="Hiperlink Visitado" xfId="52501" builtinId="9" hidden="1"/>
    <cellStyle name="Hiperlink Visitado" xfId="52491" builtinId="9" hidden="1"/>
    <cellStyle name="Hiperlink Visitado" xfId="52475" builtinId="9" hidden="1"/>
    <cellStyle name="Hiperlink Visitado" xfId="52443" builtinId="9" hidden="1"/>
    <cellStyle name="Hiperlink Visitado" xfId="52421" builtinId="9" hidden="1"/>
    <cellStyle name="Hiperlink Visitado" xfId="52538" builtinId="9" hidden="1"/>
    <cellStyle name="Hiperlink Visitado" xfId="52526" builtinId="9" hidden="1"/>
    <cellStyle name="Hiperlink Visitado" xfId="52503" builtinId="9" hidden="1"/>
    <cellStyle name="Hiperlink Visitado" xfId="52486" builtinId="9" hidden="1"/>
    <cellStyle name="Hiperlink Visitado" xfId="52485" builtinId="9" hidden="1"/>
    <cellStyle name="Hiperlink Visitado" xfId="52474" builtinId="9" hidden="1"/>
    <cellStyle name="Hiperlink Visitado" xfId="52454" builtinId="9" hidden="1"/>
    <cellStyle name="Hiperlink Visitado" xfId="52429" builtinId="9" hidden="1"/>
    <cellStyle name="Hiperlink Visitado" xfId="52539" builtinId="9" hidden="1"/>
    <cellStyle name="Hiperlink Visitado" xfId="52514" builtinId="9" hidden="1"/>
    <cellStyle name="Hiperlink Visitado" xfId="52277" builtinId="9" hidden="1"/>
    <cellStyle name="Hiperlink Visitado" xfId="52400" builtinId="9" hidden="1"/>
    <cellStyle name="Hiperlink Visitado" xfId="52481" builtinId="9" hidden="1"/>
    <cellStyle name="Hiperlink Visitado" xfId="52445" builtinId="9" hidden="1"/>
    <cellStyle name="Hiperlink Visitado" xfId="52428" builtinId="9" hidden="1"/>
    <cellStyle name="Hiperlink Visitado" xfId="52541" builtinId="9" hidden="1"/>
    <cellStyle name="Hiperlink Visitado" xfId="52516" builtinId="9" hidden="1"/>
    <cellStyle name="Hiperlink Visitado" xfId="52495" builtinId="9" hidden="1"/>
    <cellStyle name="Hiperlink Visitado" xfId="52488" builtinId="9" hidden="1"/>
    <cellStyle name="Hiperlink Visitado" xfId="52458" builtinId="9" hidden="1"/>
    <cellStyle name="Hiperlink Visitado" xfId="52432" builtinId="9" hidden="1"/>
    <cellStyle name="Hiperlink Visitado" xfId="52418" builtinId="9" hidden="1"/>
    <cellStyle name="Hiperlink Visitado" xfId="52528" builtinId="9" hidden="1"/>
    <cellStyle name="Hiperlink Visitado" xfId="52505" builtinId="9" hidden="1"/>
    <cellStyle name="Hiperlink Visitado" xfId="52280" builtinId="9" hidden="1"/>
    <cellStyle name="Hiperlink Visitado" xfId="52577" builtinId="9" hidden="1"/>
    <cellStyle name="Hiperlink Visitado" xfId="52402" builtinId="9" hidden="1"/>
    <cellStyle name="Hiperlink Visitado" xfId="52566" builtinId="9" hidden="1"/>
    <cellStyle name="Hiperlink Visitado" xfId="52410" builtinId="9" hidden="1"/>
    <cellStyle name="Hiperlink Visitado" xfId="52407" builtinId="9" hidden="1"/>
    <cellStyle name="Hiperlink Visitado" xfId="52404" builtinId="9" hidden="1"/>
    <cellStyle name="Hiperlink Visitado" xfId="52579" builtinId="9" hidden="1"/>
    <cellStyle name="Hiperlink Visitado" xfId="52555" builtinId="9" hidden="1"/>
    <cellStyle name="Hiperlink Visitado" xfId="52562" builtinId="9" hidden="1"/>
    <cellStyle name="Hiperlink Visitado" xfId="52560" builtinId="9" hidden="1"/>
    <cellStyle name="Hiperlink Visitado" xfId="52558" builtinId="9" hidden="1"/>
    <cellStyle name="Hiperlink Visitado" xfId="52550" builtinId="9" hidden="1"/>
    <cellStyle name="Hiperlink Visitado" xfId="52537" builtinId="9" hidden="1"/>
    <cellStyle name="Hiperlink Visitado" xfId="52510" builtinId="9" hidden="1"/>
    <cellStyle name="Hiperlink Visitado" xfId="52490" builtinId="9" hidden="1"/>
    <cellStyle name="Hiperlink Visitado" xfId="52473" builtinId="9" hidden="1"/>
    <cellStyle name="Hiperlink Visitado" xfId="52465" builtinId="9" hidden="1"/>
    <cellStyle name="Hiperlink Visitado" xfId="52441" builtinId="9" hidden="1"/>
    <cellStyle name="Hiperlink Visitado" xfId="52479" builtinId="9" hidden="1"/>
    <cellStyle name="Hiperlink Visitado" xfId="52584" builtinId="9" hidden="1"/>
    <cellStyle name="Hiperlink Visitado" xfId="52590" builtinId="9" hidden="1"/>
    <cellStyle name="Hiperlink Visitado" xfId="52508" builtinId="9" hidden="1"/>
    <cellStyle name="Hiperlink Visitado" xfId="52416" builtinId="9" hidden="1"/>
    <cellStyle name="Hiperlink Visitado" xfId="52573" builtinId="9" hidden="1"/>
    <cellStyle name="Hiperlink Visitado" xfId="52464" builtinId="9" hidden="1"/>
    <cellStyle name="Hiperlink Visitado" xfId="52437" builtinId="9" hidden="1"/>
    <cellStyle name="Hiperlink Visitado" xfId="52575" builtinId="9" hidden="1"/>
    <cellStyle name="Hiperlink Visitado" xfId="52518" builtinId="9" hidden="1"/>
    <cellStyle name="Hiperlink Visitado" xfId="52552" builtinId="9" hidden="1"/>
    <cellStyle name="Hiperlink Visitado" xfId="52472" builtinId="9" hidden="1"/>
    <cellStyle name="Hiperlink Visitado" xfId="52470" builtinId="9" hidden="1"/>
    <cellStyle name="Hiperlink Visitado" xfId="52435" builtinId="9" hidden="1"/>
    <cellStyle name="Hiperlink Visitado" xfId="52533" builtinId="9" hidden="1"/>
    <cellStyle name="Hiperlink Visitado" xfId="52433" builtinId="9" hidden="1"/>
    <cellStyle name="Hiperlink Visitado" xfId="52568" builtinId="9" hidden="1"/>
    <cellStyle name="Hiperlink Visitado" xfId="52396" builtinId="9" hidden="1"/>
    <cellStyle name="Hiperlink Visitado" xfId="52461" builtinId="9" hidden="1"/>
    <cellStyle name="Hiperlink Visitado" xfId="52439" builtinId="9" hidden="1"/>
    <cellStyle name="Hiperlink Visitado" xfId="52462" builtinId="9" hidden="1"/>
    <cellStyle name="Hiperlink Visitado" xfId="52535" builtinId="9" hidden="1"/>
    <cellStyle name="Hiperlink Visitado" xfId="52476" builtinId="9" hidden="1"/>
    <cellStyle name="Hiperlink Visitado" xfId="52424" builtinId="9" hidden="1"/>
    <cellStyle name="Hiperlink Visitado" xfId="52544" builtinId="9" hidden="1"/>
    <cellStyle name="Hiperlink Visitado" xfId="52447" builtinId="9" hidden="1"/>
    <cellStyle name="Hiperlink Visitado" xfId="52574" builtinId="9" hidden="1"/>
    <cellStyle name="Hiperlink Visitado" xfId="52471" builtinId="9" hidden="1"/>
    <cellStyle name="Hiperlink Visitado" xfId="52449" builtinId="9" hidden="1"/>
    <cellStyle name="Hiperlink Visitado" xfId="52451" builtinId="9" hidden="1"/>
    <cellStyle name="Hiperlink Visitado" xfId="52290" builtinId="9" hidden="1"/>
    <cellStyle name="Hiperlink Visitado" xfId="52489" builtinId="9" hidden="1"/>
    <cellStyle name="Hiperlink Visitado" xfId="52531" builtinId="9" hidden="1"/>
    <cellStyle name="Hiperlink Visitado" xfId="52411" builtinId="9" hidden="1"/>
    <cellStyle name="Hiperlink Visitado" xfId="52398" builtinId="9" hidden="1"/>
    <cellStyle name="Hiperlink Visitado" xfId="52519" builtinId="9" hidden="1"/>
    <cellStyle name="Hiperlink Visitado" xfId="52576" builtinId="9" hidden="1"/>
    <cellStyle name="Hiperlink Visitado" xfId="52412" builtinId="9" hidden="1"/>
    <cellStyle name="Hiperlink Visitado" xfId="52536" builtinId="9" hidden="1"/>
    <cellStyle name="Hiperlink Visitado" xfId="52509" builtinId="9" hidden="1"/>
    <cellStyle name="Hiperlink Visitado" xfId="52589" builtinId="9" hidden="1"/>
    <cellStyle name="Hiperlink Visitado" xfId="52393" builtinId="9" hidden="1"/>
    <cellStyle name="Hiperlink Visitado" xfId="52572" builtinId="9" hidden="1"/>
    <cellStyle name="Hiperlink Visitado" xfId="52582" builtinId="9" hidden="1"/>
    <cellStyle name="Hiperlink Visitado" xfId="52591" builtinId="9" hidden="1"/>
    <cellStyle name="Hiperlink Visitado" xfId="52587" builtinId="9" hidden="1"/>
    <cellStyle name="Hiperlink Visitado" xfId="52417" builtinId="9" hidden="1"/>
    <cellStyle name="Hiperlink Visitado" xfId="52556" builtinId="9" hidden="1"/>
    <cellStyle name="Hiperlink Visitado" xfId="52578" builtinId="9" hidden="1"/>
    <cellStyle name="Hiperlink Visitado" xfId="52497" builtinId="9" hidden="1"/>
    <cellStyle name="Hiperlink Visitado" xfId="52592" builtinId="9" hidden="1"/>
    <cellStyle name="Hiperlink Visitado" xfId="51484" builtinId="9" hidden="1"/>
    <cellStyle name="Hiperlink Visitado" xfId="52306" builtinId="9" hidden="1"/>
    <cellStyle name="Hiperlink Visitado" xfId="51397" builtinId="9" hidden="1"/>
    <cellStyle name="Hiperlink Visitado" xfId="51425" builtinId="9" hidden="1"/>
    <cellStyle name="Hiperlink Visitado" xfId="51574" builtinId="9" hidden="1"/>
    <cellStyle name="Hiperlink Visitado" xfId="52191" builtinId="9" hidden="1"/>
    <cellStyle name="Hiperlink Visitado" xfId="51891" builtinId="9" hidden="1"/>
    <cellStyle name="Hiperlink Visitado" xfId="51480" builtinId="9" hidden="1"/>
    <cellStyle name="Hiperlink Visitado" xfId="51408" builtinId="9" hidden="1"/>
    <cellStyle name="Hiperlink Visitado" xfId="52108" builtinId="9" hidden="1"/>
    <cellStyle name="Hiperlink Visitado" xfId="52022" builtinId="9" hidden="1"/>
    <cellStyle name="Hiperlink Visitado" xfId="51849" builtinId="9" hidden="1"/>
    <cellStyle name="Hiperlink Visitado" xfId="51592" builtinId="9" hidden="1"/>
    <cellStyle name="Hiperlink Visitado" xfId="51586" builtinId="9" hidden="1"/>
    <cellStyle name="Hiperlink Visitado" xfId="51577" builtinId="9" hidden="1"/>
    <cellStyle name="Hiperlink Visitado" xfId="51526" builtinId="9" hidden="1"/>
    <cellStyle name="Hiperlink Visitado" xfId="51691" builtinId="9" hidden="1"/>
    <cellStyle name="Hiperlink Visitado" xfId="51640" builtinId="9" hidden="1"/>
    <cellStyle name="Hiperlink Visitado" xfId="51613" builtinId="9" hidden="1"/>
    <cellStyle name="Hiperlink Visitado" xfId="51607" builtinId="9" hidden="1"/>
    <cellStyle name="Hiperlink Visitado" xfId="51398" builtinId="9" hidden="1"/>
    <cellStyle name="Hiperlink Visitado" xfId="51722" builtinId="9" hidden="1"/>
    <cellStyle name="Hiperlink Visitado" xfId="51673" builtinId="9" hidden="1"/>
    <cellStyle name="Hiperlink Visitado" xfId="51619" builtinId="9" hidden="1"/>
    <cellStyle name="Hiperlink Visitado" xfId="51596" builtinId="9" hidden="1"/>
    <cellStyle name="Hiperlink Visitado" xfId="52208" builtinId="9" hidden="1"/>
    <cellStyle name="Hiperlink Visitado" xfId="52206" builtinId="9" hidden="1"/>
    <cellStyle name="Hiperlink Visitado" xfId="51598" builtinId="9" hidden="1"/>
    <cellStyle name="Hiperlink Visitado" xfId="52204" builtinId="9" hidden="1"/>
    <cellStyle name="Hiperlink Visitado" xfId="52211" builtinId="9" hidden="1"/>
    <cellStyle name="Hiperlink Visitado" xfId="51373" builtinId="9" hidden="1"/>
    <cellStyle name="Hiperlink Visitado" xfId="51394" builtinId="9" hidden="1"/>
    <cellStyle name="Hiperlink Visitado" xfId="51393" builtinId="9" hidden="1"/>
    <cellStyle name="Hiperlink Visitado" xfId="51392" builtinId="9" hidden="1"/>
    <cellStyle name="Hiperlink Visitado" xfId="51391" builtinId="9" hidden="1"/>
    <cellStyle name="Hiperlink Visitado" xfId="51390" builtinId="9" hidden="1"/>
    <cellStyle name="Hiperlink Visitado" xfId="51634" builtinId="9" hidden="1"/>
    <cellStyle name="Hiperlink Visitado" xfId="51633" builtinId="9" hidden="1"/>
    <cellStyle name="Hiperlink Visitado" xfId="51632" builtinId="9" hidden="1"/>
    <cellStyle name="Hiperlink Visitado" xfId="51631" builtinId="9" hidden="1"/>
    <cellStyle name="Hiperlink Visitado" xfId="51630" builtinId="9" hidden="1"/>
    <cellStyle name="Hiperlink Visitado" xfId="51629" builtinId="9" hidden="1"/>
    <cellStyle name="Hiperlink Visitado" xfId="51383" builtinId="9" hidden="1"/>
    <cellStyle name="Hiperlink Visitado" xfId="51382" builtinId="9" hidden="1"/>
    <cellStyle name="Hiperlink Visitado" xfId="51381" builtinId="9" hidden="1"/>
    <cellStyle name="Hiperlink Visitado" xfId="51625" builtinId="9" hidden="1"/>
    <cellStyle name="Hiperlink Visitado" xfId="51624" builtinId="9" hidden="1"/>
    <cellStyle name="Hiperlink Visitado" xfId="51623" builtinId="9" hidden="1"/>
    <cellStyle name="Hiperlink Visitado" xfId="51622" builtinId="9" hidden="1"/>
    <cellStyle name="Hiperlink Visitado" xfId="51621" builtinId="9" hidden="1"/>
    <cellStyle name="Hiperlink Visitado" xfId="51620" builtinId="9" hidden="1"/>
    <cellStyle name="Hiperlink Visitado" xfId="52696" builtinId="9" hidden="1"/>
    <cellStyle name="Hiperlink Visitado" xfId="52698" builtinId="9" hidden="1"/>
    <cellStyle name="Hiperlink Visitado" xfId="52700" builtinId="9" hidden="1"/>
    <cellStyle name="Hiperlink Visitado" xfId="52705" builtinId="9" hidden="1"/>
    <cellStyle name="Hiperlink Visitado" xfId="52707" builtinId="9" hidden="1"/>
    <cellStyle name="Hiperlink Visitado" xfId="52709" builtinId="9" hidden="1"/>
    <cellStyle name="Hiperlink Visitado" xfId="52711" builtinId="9" hidden="1"/>
    <cellStyle name="Hiperlink Visitado" xfId="52713" builtinId="9" hidden="1"/>
    <cellStyle name="Hiperlink Visitado" xfId="52715" builtinId="9" hidden="1"/>
    <cellStyle name="Hiperlink Visitado" xfId="52717" builtinId="9" hidden="1"/>
    <cellStyle name="Hiperlink Visitado" xfId="52719" builtinId="9" hidden="1"/>
    <cellStyle name="Hiperlink Visitado" xfId="52721" builtinId="9" hidden="1"/>
    <cellStyle name="Hiperlink Visitado" xfId="52723" builtinId="9" hidden="1"/>
    <cellStyle name="Hiperlink Visitado" xfId="52725" builtinId="9" hidden="1"/>
    <cellStyle name="Hiperlink Visitado" xfId="52727" builtinId="9" hidden="1"/>
    <cellStyle name="Hiperlink Visitado" xfId="52729" builtinId="9" hidden="1"/>
    <cellStyle name="Hiperlink Visitado" xfId="52731" builtinId="9" hidden="1"/>
    <cellStyle name="Hiperlink Visitado" xfId="52733" builtinId="9" hidden="1"/>
    <cellStyle name="Hiperlink Visitado" xfId="52735" builtinId="9" hidden="1"/>
    <cellStyle name="Hiperlink Visitado" xfId="52737" builtinId="9" hidden="1"/>
    <cellStyle name="Hiperlink Visitado" xfId="52739" builtinId="9" hidden="1"/>
    <cellStyle name="Hiperlink Visitado" xfId="52741" builtinId="9" hidden="1"/>
    <cellStyle name="Hiperlink Visitado" xfId="52743" builtinId="9" hidden="1"/>
    <cellStyle name="Hiperlink Visitado" xfId="52745" builtinId="9" hidden="1"/>
    <cellStyle name="Hiperlink Visitado" xfId="52747" builtinId="9" hidden="1"/>
    <cellStyle name="Hiperlink Visitado" xfId="52749" builtinId="9" hidden="1"/>
    <cellStyle name="Hiperlink Visitado" xfId="52751" builtinId="9" hidden="1"/>
    <cellStyle name="Hiperlink Visitado" xfId="52753" builtinId="9" hidden="1"/>
    <cellStyle name="Hiperlink Visitado" xfId="52755" builtinId="9" hidden="1"/>
    <cellStyle name="Hiperlink Visitado" xfId="52757" builtinId="9" hidden="1"/>
    <cellStyle name="Hiperlink Visitado" xfId="52759" builtinId="9" hidden="1"/>
    <cellStyle name="Hiperlink Visitado" xfId="52761" builtinId="9" hidden="1"/>
    <cellStyle name="Hiperlink Visitado" xfId="52763" builtinId="9" hidden="1"/>
    <cellStyle name="Hiperlink Visitado" xfId="52767" builtinId="9" hidden="1"/>
    <cellStyle name="Hiperlink Visitado" xfId="52769" builtinId="9" hidden="1"/>
    <cellStyle name="Hiperlink Visitado" xfId="52771" builtinId="9" hidden="1"/>
    <cellStyle name="Hiperlink Visitado" xfId="52773" builtinId="9" hidden="1"/>
    <cellStyle name="Hiperlink Visitado" xfId="52775" builtinId="9" hidden="1"/>
    <cellStyle name="Hiperlink Visitado" xfId="52777" builtinId="9" hidden="1"/>
    <cellStyle name="Hiperlink Visitado" xfId="52779" builtinId="9" hidden="1"/>
    <cellStyle name="Hiperlink Visitado" xfId="52781" builtinId="9" hidden="1"/>
    <cellStyle name="Hiperlink Visitado" xfId="52783" builtinId="9" hidden="1"/>
    <cellStyle name="Hiperlink Visitado" xfId="52785" builtinId="9" hidden="1"/>
    <cellStyle name="Hiperlink Visitado" xfId="52787" builtinId="9" hidden="1"/>
    <cellStyle name="Hiperlink Visitado" xfId="52789" builtinId="9" hidden="1"/>
    <cellStyle name="Hiperlink Visitado" xfId="52791" builtinId="9" hidden="1"/>
    <cellStyle name="Hiperlink Visitado" xfId="52793" builtinId="9" hidden="1"/>
    <cellStyle name="Hiperlink Visitado" xfId="52795" builtinId="9" hidden="1"/>
    <cellStyle name="Hiperlink Visitado" xfId="52797" builtinId="9" hidden="1"/>
    <cellStyle name="Hiperlink Visitado" xfId="52799" builtinId="9" hidden="1"/>
    <cellStyle name="Hiperlink Visitado" xfId="52801" builtinId="9" hidden="1"/>
    <cellStyle name="Hiperlink Visitado" xfId="52917" builtinId="9" hidden="1"/>
    <cellStyle name="Hiperlink Visitado" xfId="52692" builtinId="9" hidden="1"/>
    <cellStyle name="Hiperlink Visitado" xfId="52890" builtinId="9" hidden="1"/>
    <cellStyle name="Hiperlink Visitado" xfId="52906" builtinId="9" hidden="1"/>
    <cellStyle name="Hiperlink Visitado" xfId="52897" builtinId="9" hidden="1"/>
    <cellStyle name="Hiperlink Visitado" xfId="52881" builtinId="9" hidden="1"/>
    <cellStyle name="Hiperlink Visitado" xfId="52852" builtinId="9" hidden="1"/>
    <cellStyle name="Hiperlink Visitado" xfId="52830" builtinId="9" hidden="1"/>
    <cellStyle name="Hiperlink Visitado" xfId="52941" builtinId="9" hidden="1"/>
    <cellStyle name="Hiperlink Visitado" xfId="52929" builtinId="9" hidden="1"/>
    <cellStyle name="Hiperlink Visitado" xfId="52908" builtinId="9" hidden="1"/>
    <cellStyle name="Hiperlink Visitado" xfId="52892" builtinId="9" hidden="1"/>
    <cellStyle name="Hiperlink Visitado" xfId="52891" builtinId="9" hidden="1"/>
    <cellStyle name="Hiperlink Visitado" xfId="52880" builtinId="9" hidden="1"/>
    <cellStyle name="Hiperlink Visitado" xfId="52861" builtinId="9" hidden="1"/>
    <cellStyle name="Hiperlink Visitado" xfId="52838" builtinId="9" hidden="1"/>
    <cellStyle name="Hiperlink Visitado" xfId="52942" builtinId="9" hidden="1"/>
    <cellStyle name="Hiperlink Visitado" xfId="52918" builtinId="9" hidden="1"/>
    <cellStyle name="Hiperlink Visitado" xfId="52690" builtinId="9" hidden="1"/>
    <cellStyle name="Hiperlink Visitado" xfId="52809" builtinId="9" hidden="1"/>
    <cellStyle name="Hiperlink Visitado" xfId="52887" builtinId="9" hidden="1"/>
    <cellStyle name="Hiperlink Visitado" xfId="52853" builtinId="9" hidden="1"/>
    <cellStyle name="Hiperlink Visitado" xfId="52837" builtinId="9" hidden="1"/>
    <cellStyle name="Hiperlink Visitado" xfId="52944" builtinId="9" hidden="1"/>
    <cellStyle name="Hiperlink Visitado" xfId="52920" builtinId="9" hidden="1"/>
    <cellStyle name="Hiperlink Visitado" xfId="52901" builtinId="9" hidden="1"/>
    <cellStyle name="Hiperlink Visitado" xfId="52894" builtinId="9" hidden="1"/>
    <cellStyle name="Hiperlink Visitado" xfId="52864" builtinId="9" hidden="1"/>
    <cellStyle name="Hiperlink Visitado" xfId="52841" builtinId="9" hidden="1"/>
    <cellStyle name="Hiperlink Visitado" xfId="52827" builtinId="9" hidden="1"/>
    <cellStyle name="Hiperlink Visitado" xfId="52931" builtinId="9" hidden="1"/>
    <cellStyle name="Hiperlink Visitado" xfId="52910" builtinId="9" hidden="1"/>
    <cellStyle name="Hiperlink Visitado" xfId="52693" builtinId="9" hidden="1"/>
    <cellStyle name="Hiperlink Visitado" xfId="52979" builtinId="9" hidden="1"/>
    <cellStyle name="Hiperlink Visitado" xfId="52811" builtinId="9" hidden="1"/>
    <cellStyle name="Hiperlink Visitado" xfId="52969" builtinId="9" hidden="1"/>
    <cellStyle name="Hiperlink Visitado" xfId="52819" builtinId="9" hidden="1"/>
    <cellStyle name="Hiperlink Visitado" xfId="52816" builtinId="9" hidden="1"/>
    <cellStyle name="Hiperlink Visitado" xfId="52813" builtinId="9" hidden="1"/>
    <cellStyle name="Hiperlink Visitado" xfId="52981" builtinId="9" hidden="1"/>
    <cellStyle name="Hiperlink Visitado" xfId="52958" builtinId="9" hidden="1"/>
    <cellStyle name="Hiperlink Visitado" xfId="52965" builtinId="9" hidden="1"/>
    <cellStyle name="Hiperlink Visitado" xfId="52963" builtinId="9" hidden="1"/>
    <cellStyle name="Hiperlink Visitado" xfId="52961" builtinId="9" hidden="1"/>
    <cellStyle name="Hiperlink Visitado" xfId="52953" builtinId="9" hidden="1"/>
    <cellStyle name="Hiperlink Visitado" xfId="52940" builtinId="9" hidden="1"/>
    <cellStyle name="Hiperlink Visitado" xfId="52915" builtinId="9" hidden="1"/>
    <cellStyle name="Hiperlink Visitado" xfId="52896" builtinId="9" hidden="1"/>
    <cellStyle name="Hiperlink Visitado" xfId="52879" builtinId="9" hidden="1"/>
    <cellStyle name="Hiperlink Visitado" xfId="52871" builtinId="9" hidden="1"/>
    <cellStyle name="Hiperlink Visitado" xfId="52850" builtinId="9" hidden="1"/>
    <cellStyle name="Hiperlink Visitado" xfId="52885" builtinId="9" hidden="1"/>
    <cellStyle name="Hiperlink Visitado" xfId="52986" builtinId="9" hidden="1"/>
    <cellStyle name="Hiperlink Visitado" xfId="52992" builtinId="9" hidden="1"/>
    <cellStyle name="Hiperlink Visitado" xfId="52913" builtinId="9" hidden="1"/>
    <cellStyle name="Hiperlink Visitado" xfId="52825" builtinId="9" hidden="1"/>
    <cellStyle name="Hiperlink Visitado" xfId="52975" builtinId="9" hidden="1"/>
    <cellStyle name="Hiperlink Visitado" xfId="52870" builtinId="9" hidden="1"/>
    <cellStyle name="Hiperlink Visitado" xfId="52846" builtinId="9" hidden="1"/>
    <cellStyle name="Hiperlink Visitado" xfId="52977" builtinId="9" hidden="1"/>
    <cellStyle name="Hiperlink Visitado" xfId="52922" builtinId="9" hidden="1"/>
    <cellStyle name="Hiperlink Visitado" xfId="52955" builtinId="9" hidden="1"/>
    <cellStyle name="Hiperlink Visitado" xfId="52878" builtinId="9" hidden="1"/>
    <cellStyle name="Hiperlink Visitado" xfId="52876" builtinId="9" hidden="1"/>
    <cellStyle name="Hiperlink Visitado" xfId="52844" builtinId="9" hidden="1"/>
    <cellStyle name="Hiperlink Visitado" xfId="52936" builtinId="9" hidden="1"/>
    <cellStyle name="Hiperlink Visitado" xfId="52842" builtinId="9" hidden="1"/>
    <cellStyle name="Hiperlink Visitado" xfId="52971" builtinId="9" hidden="1"/>
    <cellStyle name="Hiperlink Visitado" xfId="52805" builtinId="9" hidden="1"/>
    <cellStyle name="Hiperlink Visitado" xfId="52867" builtinId="9" hidden="1"/>
    <cellStyle name="Hiperlink Visitado" xfId="52848" builtinId="9" hidden="1"/>
    <cellStyle name="Hiperlink Visitado" xfId="52868" builtinId="9" hidden="1"/>
    <cellStyle name="Hiperlink Visitado" xfId="52938" builtinId="9" hidden="1"/>
    <cellStyle name="Hiperlink Visitado" xfId="52882" builtinId="9" hidden="1"/>
    <cellStyle name="Hiperlink Visitado" xfId="52833" builtinId="9" hidden="1"/>
    <cellStyle name="Hiperlink Visitado" xfId="52947" builtinId="9" hidden="1"/>
    <cellStyle name="Hiperlink Visitado" xfId="52855" builtinId="9" hidden="1"/>
    <cellStyle name="Hiperlink Visitado" xfId="52976" builtinId="9" hidden="1"/>
    <cellStyle name="Hiperlink Visitado" xfId="52877" builtinId="9" hidden="1"/>
    <cellStyle name="Hiperlink Visitado" xfId="52856" builtinId="9" hidden="1"/>
    <cellStyle name="Hiperlink Visitado" xfId="52858" builtinId="9" hidden="1"/>
    <cellStyle name="Hiperlink Visitado" xfId="52701" builtinId="9" hidden="1"/>
    <cellStyle name="Hiperlink Visitado" xfId="52895" builtinId="9" hidden="1"/>
    <cellStyle name="Hiperlink Visitado" xfId="52934" builtinId="9" hidden="1"/>
    <cellStyle name="Hiperlink Visitado" xfId="52820" builtinId="9" hidden="1"/>
    <cellStyle name="Hiperlink Visitado" xfId="52807" builtinId="9" hidden="1"/>
    <cellStyle name="Hiperlink Visitado" xfId="52923" builtinId="9" hidden="1"/>
    <cellStyle name="Hiperlink Visitado" xfId="52978" builtinId="9" hidden="1"/>
    <cellStyle name="Hiperlink Visitado" xfId="52821" builtinId="9" hidden="1"/>
    <cellStyle name="Hiperlink Visitado" xfId="52939" builtinId="9" hidden="1"/>
    <cellStyle name="Hiperlink Visitado" xfId="52914" builtinId="9" hidden="1"/>
    <cellStyle name="Hiperlink Visitado" xfId="52991" builtinId="9" hidden="1"/>
    <cellStyle name="Hiperlink Visitado" xfId="52802" builtinId="9" hidden="1"/>
    <cellStyle name="Hiperlink Visitado" xfId="52974" builtinId="9" hidden="1"/>
    <cellStyle name="Hiperlink Visitado" xfId="52984" builtinId="9" hidden="1"/>
    <cellStyle name="Hiperlink Visitado" xfId="52993" builtinId="9" hidden="1"/>
    <cellStyle name="Hiperlink Visitado" xfId="52989" builtinId="9" hidden="1"/>
    <cellStyle name="Hiperlink Visitado" xfId="52826" builtinId="9" hidden="1"/>
    <cellStyle name="Hiperlink Visitado" xfId="52959" builtinId="9" hidden="1"/>
    <cellStyle name="Hiperlink Visitado" xfId="52980" builtinId="9" hidden="1"/>
    <cellStyle name="Hiperlink Visitado" xfId="52903" builtinId="9" hidden="1"/>
    <cellStyle name="Hiperlink Visitado" xfId="52994" builtinId="9" hidden="1"/>
    <cellStyle name="Hiperlink Visitado" xfId="52688" builtinId="9" hidden="1"/>
    <cellStyle name="Hiperlink Visitado" xfId="52603" builtinId="9" hidden="1"/>
    <cellStyle name="Hiperlink Visitado" xfId="52680" builtinId="9" hidden="1"/>
    <cellStyle name="Hiperlink Visitado" xfId="52644" builtinId="9" hidden="1"/>
    <cellStyle name="Hiperlink Visitado" xfId="52632" builtinId="9" hidden="1"/>
    <cellStyle name="Hiperlink Visitado" xfId="52622" builtinId="9" hidden="1"/>
    <cellStyle name="Hiperlink Visitado" xfId="52609" builtinId="9" hidden="1"/>
    <cellStyle name="Hiperlink Visitado" xfId="52670" builtinId="9" hidden="1"/>
    <cellStyle name="Hiperlink Visitado" xfId="52657" builtinId="9" hidden="1"/>
    <cellStyle name="Hiperlink Visitado" xfId="52626" builtinId="9" hidden="1"/>
    <cellStyle name="Hiperlink Visitado" xfId="52617" builtinId="9" hidden="1"/>
    <cellStyle name="Hiperlink Visitado" xfId="52608" builtinId="9" hidden="1"/>
    <cellStyle name="Hiperlink Visitado" xfId="52663" builtinId="9" hidden="1"/>
    <cellStyle name="Hiperlink Visitado" xfId="52650" builtinId="9" hidden="1"/>
    <cellStyle name="Hiperlink Visitado" xfId="52643" builtinId="9" hidden="1"/>
    <cellStyle name="Hiperlink Visitado" xfId="52630" builtinId="9" hidden="1"/>
    <cellStyle name="Hiperlink Visitado" xfId="52620" builtinId="9" hidden="1"/>
    <cellStyle name="Hiperlink Visitado" xfId="52612" builtinId="9" hidden="1"/>
    <cellStyle name="Hiperlink Visitado" xfId="52668" builtinId="9" hidden="1"/>
    <cellStyle name="Hiperlink Visitado" xfId="52655" builtinId="9" hidden="1"/>
    <cellStyle name="Hiperlink Visitado" xfId="51642" builtinId="9" hidden="1"/>
    <cellStyle name="Hiperlink Visitado" xfId="52659" builtinId="9" hidden="1"/>
    <cellStyle name="Hiperlink Visitado" xfId="52646" builtinId="9" hidden="1"/>
    <cellStyle name="Hiperlink Visitado" xfId="52635" builtinId="9" hidden="1"/>
    <cellStyle name="Hiperlink Visitado" xfId="52639" builtinId="9" hidden="1"/>
    <cellStyle name="Hiperlink Visitado" xfId="52629" builtinId="9" hidden="1"/>
    <cellStyle name="Hiperlink Visitado" xfId="52619" builtinId="9" hidden="1"/>
    <cellStyle name="Hiperlink Visitado" xfId="52607" builtinId="9" hidden="1"/>
    <cellStyle name="Hiperlink Visitado" xfId="52665" builtinId="9" hidden="1"/>
    <cellStyle name="Hiperlink Visitado" xfId="52651" builtinId="9" hidden="1"/>
    <cellStyle name="Hiperlink Visitado" xfId="51407" builtinId="9" hidden="1"/>
    <cellStyle name="Hiperlink Visitado" xfId="52593" builtinId="9" hidden="1"/>
    <cellStyle name="Hiperlink Visitado" xfId="52634" builtinId="9" hidden="1"/>
    <cellStyle name="Hiperlink Visitado" xfId="52653" builtinId="9" hidden="1"/>
    <cellStyle name="Hiperlink Visitado" xfId="52228" builtinId="9" hidden="1"/>
    <cellStyle name="Hiperlink Visitado" xfId="52633" builtinId="9" hidden="1"/>
    <cellStyle name="Hiperlink Visitado" xfId="52618" builtinId="9" hidden="1"/>
    <cellStyle name="Hiperlink Visitado" xfId="52610" builtinId="9" hidden="1"/>
    <cellStyle name="Hiperlink Visitado" xfId="52672" builtinId="9" hidden="1"/>
    <cellStyle name="Hiperlink Visitado" xfId="52661" builtinId="9" hidden="1"/>
    <cellStyle name="Hiperlink Visitado" xfId="52648" builtinId="9" hidden="1"/>
    <cellStyle name="Hiperlink Visitado" xfId="52686" builtinId="9" hidden="1"/>
    <cellStyle name="Hiperlink Visitado" xfId="52684" builtinId="9" hidden="1"/>
    <cellStyle name="Hiperlink Visitado" xfId="52599" builtinId="9" hidden="1"/>
    <cellStyle name="Hiperlink Visitado" xfId="52678" builtinId="9" hidden="1"/>
    <cellStyle name="Hiperlink Visitado" xfId="52677" builtinId="9" hidden="1"/>
    <cellStyle name="Hiperlink Visitado" xfId="52683" builtinId="9" hidden="1"/>
    <cellStyle name="Hiperlink Visitado" xfId="52594" builtinId="9" hidden="1"/>
    <cellStyle name="Hiperlink Visitado" xfId="52602" builtinId="9" hidden="1"/>
    <cellStyle name="Hiperlink Visitado" xfId="52600" builtinId="9" hidden="1"/>
    <cellStyle name="Hiperlink Visitado" xfId="52596" builtinId="9" hidden="1"/>
    <cellStyle name="Hiperlink Visitado" xfId="53002" builtinId="9" hidden="1"/>
    <cellStyle name="Hiperlink Visitado" xfId="53004" builtinId="9" hidden="1"/>
    <cellStyle name="Hiperlink Visitado" xfId="53006" builtinId="9" hidden="1"/>
    <cellStyle name="Hiperlink Visitado" xfId="53011" builtinId="9" hidden="1"/>
    <cellStyle name="Hiperlink Visitado" xfId="53013" builtinId="9" hidden="1"/>
    <cellStyle name="Hiperlink Visitado" xfId="53015" builtinId="9" hidden="1"/>
    <cellStyle name="Hiperlink Visitado" xfId="53017" builtinId="9" hidden="1"/>
    <cellStyle name="Hiperlink Visitado" xfId="53019" builtinId="9" hidden="1"/>
    <cellStyle name="Hiperlink Visitado" xfId="53021" builtinId="9" hidden="1"/>
    <cellStyle name="Hiperlink Visitado" xfId="53023" builtinId="9" hidden="1"/>
    <cellStyle name="Hiperlink Visitado" xfId="53025" builtinId="9" hidden="1"/>
    <cellStyle name="Hiperlink Visitado" xfId="53027" builtinId="9" hidden="1"/>
    <cellStyle name="Hiperlink Visitado" xfId="53029" builtinId="9" hidden="1"/>
    <cellStyle name="Hiperlink Visitado" xfId="53031" builtinId="9" hidden="1"/>
    <cellStyle name="Hiperlink Visitado" xfId="53033" builtinId="9" hidden="1"/>
    <cellStyle name="Hiperlink Visitado" xfId="53035" builtinId="9" hidden="1"/>
    <cellStyle name="Hiperlink Visitado" xfId="53037" builtinId="9" hidden="1"/>
    <cellStyle name="Hiperlink Visitado" xfId="53039" builtinId="9" hidden="1"/>
    <cellStyle name="Hiperlink Visitado" xfId="53041" builtinId="9" hidden="1"/>
    <cellStyle name="Hiperlink Visitado" xfId="53043" builtinId="9" hidden="1"/>
    <cellStyle name="Hiperlink Visitado" xfId="53045" builtinId="9" hidden="1"/>
    <cellStyle name="Hiperlink Visitado" xfId="53047" builtinId="9" hidden="1"/>
    <cellStyle name="Hiperlink Visitado" xfId="53049" builtinId="9" hidden="1"/>
    <cellStyle name="Hiperlink Visitado" xfId="53051" builtinId="9" hidden="1"/>
    <cellStyle name="Hiperlink Visitado" xfId="53053" builtinId="9" hidden="1"/>
    <cellStyle name="Hiperlink Visitado" xfId="53055" builtinId="9" hidden="1"/>
    <cellStyle name="Hiperlink Visitado" xfId="53057" builtinId="9" hidden="1"/>
    <cellStyle name="Hiperlink Visitado" xfId="53059" builtinId="9" hidden="1"/>
    <cellStyle name="Hiperlink Visitado" xfId="53061" builtinId="9" hidden="1"/>
    <cellStyle name="Hiperlink Visitado" xfId="53063" builtinId="9" hidden="1"/>
    <cellStyle name="Hiperlink Visitado" xfId="53065" builtinId="9" hidden="1"/>
    <cellStyle name="Hiperlink Visitado" xfId="53067" builtinId="9" hidden="1"/>
    <cellStyle name="Hiperlink Visitado" xfId="53069" builtinId="9" hidden="1"/>
    <cellStyle name="Hiperlink Visitado" xfId="53073" builtinId="9" hidden="1"/>
    <cellStyle name="Hiperlink Visitado" xfId="53075" builtinId="9" hidden="1"/>
    <cellStyle name="Hiperlink Visitado" xfId="53077" builtinId="9" hidden="1"/>
    <cellStyle name="Hiperlink Visitado" xfId="53079" builtinId="9" hidden="1"/>
    <cellStyle name="Hiperlink Visitado" xfId="53081" builtinId="9" hidden="1"/>
    <cellStyle name="Hiperlink Visitado" xfId="53083" builtinId="9" hidden="1"/>
    <cellStyle name="Hiperlink Visitado" xfId="53085" builtinId="9" hidden="1"/>
    <cellStyle name="Hiperlink Visitado" xfId="53087" builtinId="9" hidden="1"/>
    <cellStyle name="Hiperlink Visitado" xfId="53089" builtinId="9" hidden="1"/>
    <cellStyle name="Hiperlink Visitado" xfId="53091" builtinId="9" hidden="1"/>
    <cellStyle name="Hiperlink Visitado" xfId="53093" builtinId="9" hidden="1"/>
    <cellStyle name="Hiperlink Visitado" xfId="53095" builtinId="9" hidden="1"/>
    <cellStyle name="Hiperlink Visitado" xfId="53097" builtinId="9" hidden="1"/>
    <cellStyle name="Hiperlink Visitado" xfId="53099" builtinId="9" hidden="1"/>
    <cellStyle name="Hiperlink Visitado" xfId="53101" builtinId="9" hidden="1"/>
    <cellStyle name="Hiperlink Visitado" xfId="53103" builtinId="9" hidden="1"/>
    <cellStyle name="Hiperlink Visitado" xfId="53105" builtinId="9" hidden="1"/>
    <cellStyle name="Hiperlink Visitado" xfId="53107" builtinId="9" hidden="1"/>
    <cellStyle name="Hiperlink Visitado" xfId="53223" builtinId="9" hidden="1"/>
    <cellStyle name="Hiperlink Visitado" xfId="52998" builtinId="9" hidden="1"/>
    <cellStyle name="Hiperlink Visitado" xfId="53196" builtinId="9" hidden="1"/>
    <cellStyle name="Hiperlink Visitado" xfId="53212" builtinId="9" hidden="1"/>
    <cellStyle name="Hiperlink Visitado" xfId="53203" builtinId="9" hidden="1"/>
    <cellStyle name="Hiperlink Visitado" xfId="53187" builtinId="9" hidden="1"/>
    <cellStyle name="Hiperlink Visitado" xfId="53158" builtinId="9" hidden="1"/>
    <cellStyle name="Hiperlink Visitado" xfId="53136" builtinId="9" hidden="1"/>
    <cellStyle name="Hiperlink Visitado" xfId="53247" builtinId="9" hidden="1"/>
    <cellStyle name="Hiperlink Visitado" xfId="53235" builtinId="9" hidden="1"/>
    <cellStyle name="Hiperlink Visitado" xfId="53214" builtinId="9" hidden="1"/>
    <cellStyle name="Hiperlink Visitado" xfId="53198" builtinId="9" hidden="1"/>
    <cellStyle name="Hiperlink Visitado" xfId="53197" builtinId="9" hidden="1"/>
    <cellStyle name="Hiperlink Visitado" xfId="53186" builtinId="9" hidden="1"/>
    <cellStyle name="Hiperlink Visitado" xfId="53167" builtinId="9" hidden="1"/>
    <cellStyle name="Hiperlink Visitado" xfId="53144" builtinId="9" hidden="1"/>
    <cellStyle name="Hiperlink Visitado" xfId="53248" builtinId="9" hidden="1"/>
    <cellStyle name="Hiperlink Visitado" xfId="53224" builtinId="9" hidden="1"/>
    <cellStyle name="Hiperlink Visitado" xfId="52996" builtinId="9" hidden="1"/>
    <cellStyle name="Hiperlink Visitado" xfId="53115" builtinId="9" hidden="1"/>
    <cellStyle name="Hiperlink Visitado" xfId="53193" builtinId="9" hidden="1"/>
    <cellStyle name="Hiperlink Visitado" xfId="53159" builtinId="9" hidden="1"/>
    <cellStyle name="Hiperlink Visitado" xfId="53143" builtinId="9" hidden="1"/>
    <cellStyle name="Hiperlink Visitado" xfId="53250" builtinId="9" hidden="1"/>
    <cellStyle name="Hiperlink Visitado" xfId="53226" builtinId="9" hidden="1"/>
    <cellStyle name="Hiperlink Visitado" xfId="53207" builtinId="9" hidden="1"/>
    <cellStyle name="Hiperlink Visitado" xfId="53200" builtinId="9" hidden="1"/>
    <cellStyle name="Hiperlink Visitado" xfId="53170" builtinId="9" hidden="1"/>
    <cellStyle name="Hiperlink Visitado" xfId="53147" builtinId="9" hidden="1"/>
    <cellStyle name="Hiperlink Visitado" xfId="53133" builtinId="9" hidden="1"/>
    <cellStyle name="Hiperlink Visitado" xfId="53237" builtinId="9" hidden="1"/>
    <cellStyle name="Hiperlink Visitado" xfId="53216" builtinId="9" hidden="1"/>
    <cellStyle name="Hiperlink Visitado" xfId="52999" builtinId="9" hidden="1"/>
    <cellStyle name="Hiperlink Visitado" xfId="53285" builtinId="9" hidden="1"/>
    <cellStyle name="Hiperlink Visitado" xfId="53117" builtinId="9" hidden="1"/>
    <cellStyle name="Hiperlink Visitado" xfId="53275" builtinId="9" hidden="1"/>
    <cellStyle name="Hiperlink Visitado" xfId="53125" builtinId="9" hidden="1"/>
    <cellStyle name="Hiperlink Visitado" xfId="53122" builtinId="9" hidden="1"/>
    <cellStyle name="Hiperlink Visitado" xfId="53119" builtinId="9" hidden="1"/>
    <cellStyle name="Hiperlink Visitado" xfId="53287" builtinId="9" hidden="1"/>
    <cellStyle name="Hiperlink Visitado" xfId="53264" builtinId="9" hidden="1"/>
    <cellStyle name="Hiperlink Visitado" xfId="53271" builtinId="9" hidden="1"/>
    <cellStyle name="Hiperlink Visitado" xfId="53269" builtinId="9" hidden="1"/>
    <cellStyle name="Hiperlink Visitado" xfId="53267" builtinId="9" hidden="1"/>
    <cellStyle name="Hiperlink Visitado" xfId="53259" builtinId="9" hidden="1"/>
    <cellStyle name="Hiperlink Visitado" xfId="53246" builtinId="9" hidden="1"/>
    <cellStyle name="Hiperlink Visitado" xfId="53221" builtinId="9" hidden="1"/>
    <cellStyle name="Hiperlink Visitado" xfId="53202" builtinId="9" hidden="1"/>
    <cellStyle name="Hiperlink Visitado" xfId="53185" builtinId="9" hidden="1"/>
    <cellStyle name="Hiperlink Visitado" xfId="53177" builtinId="9" hidden="1"/>
    <cellStyle name="Hiperlink Visitado" xfId="53156" builtinId="9" hidden="1"/>
    <cellStyle name="Hiperlink Visitado" xfId="53191" builtinId="9" hidden="1"/>
    <cellStyle name="Hiperlink Visitado" xfId="53292" builtinId="9" hidden="1"/>
    <cellStyle name="Hiperlink Visitado" xfId="53298" builtinId="9" hidden="1"/>
    <cellStyle name="Hiperlink Visitado" xfId="53219" builtinId="9" hidden="1"/>
    <cellStyle name="Hiperlink Visitado" xfId="53131" builtinId="9" hidden="1"/>
    <cellStyle name="Hiperlink Visitado" xfId="53281" builtinId="9" hidden="1"/>
    <cellStyle name="Hiperlink Visitado" xfId="53176" builtinId="9" hidden="1"/>
    <cellStyle name="Hiperlink Visitado" xfId="53152" builtinId="9" hidden="1"/>
    <cellStyle name="Hiperlink Visitado" xfId="53283" builtinId="9" hidden="1"/>
    <cellStyle name="Hiperlink Visitado" xfId="53228" builtinId="9" hidden="1"/>
    <cellStyle name="Hiperlink Visitado" xfId="53261" builtinId="9" hidden="1"/>
    <cellStyle name="Hiperlink Visitado" xfId="53184" builtinId="9" hidden="1"/>
    <cellStyle name="Hiperlink Visitado" xfId="53182" builtinId="9" hidden="1"/>
    <cellStyle name="Hiperlink Visitado" xfId="53150" builtinId="9" hidden="1"/>
    <cellStyle name="Hiperlink Visitado" xfId="53242" builtinId="9" hidden="1"/>
    <cellStyle name="Hiperlink Visitado" xfId="53148" builtinId="9" hidden="1"/>
    <cellStyle name="Hiperlink Visitado" xfId="53277" builtinId="9" hidden="1"/>
    <cellStyle name="Hiperlink Visitado" xfId="53111" builtinId="9" hidden="1"/>
    <cellStyle name="Hiperlink Visitado" xfId="53173" builtinId="9" hidden="1"/>
    <cellStyle name="Hiperlink Visitado" xfId="53154" builtinId="9" hidden="1"/>
    <cellStyle name="Hiperlink Visitado" xfId="53174" builtinId="9" hidden="1"/>
    <cellStyle name="Hiperlink Visitado" xfId="53244" builtinId="9" hidden="1"/>
    <cellStyle name="Hiperlink Visitado" xfId="53188" builtinId="9" hidden="1"/>
    <cellStyle name="Hiperlink Visitado" xfId="53139" builtinId="9" hidden="1"/>
    <cellStyle name="Hiperlink Visitado" xfId="53253" builtinId="9" hidden="1"/>
    <cellStyle name="Hiperlink Visitado" xfId="53161" builtinId="9" hidden="1"/>
    <cellStyle name="Hiperlink Visitado" xfId="53282" builtinId="9" hidden="1"/>
    <cellStyle name="Hiperlink Visitado" xfId="53183" builtinId="9" hidden="1"/>
    <cellStyle name="Hiperlink Visitado" xfId="53162" builtinId="9" hidden="1"/>
    <cellStyle name="Hiperlink Visitado" xfId="53164" builtinId="9" hidden="1"/>
    <cellStyle name="Hiperlink Visitado" xfId="53007" builtinId="9" hidden="1"/>
    <cellStyle name="Hiperlink Visitado" xfId="53201" builtinId="9" hidden="1"/>
    <cellStyle name="Hiperlink Visitado" xfId="53240" builtinId="9" hidden="1"/>
    <cellStyle name="Hiperlink Visitado" xfId="53126" builtinId="9" hidden="1"/>
    <cellStyle name="Hiperlink Visitado" xfId="53113" builtinId="9" hidden="1"/>
    <cellStyle name="Hiperlink Visitado" xfId="53229" builtinId="9" hidden="1"/>
    <cellStyle name="Hiperlink Visitado" xfId="53284" builtinId="9" hidden="1"/>
    <cellStyle name="Hiperlink Visitado" xfId="53127" builtinId="9" hidden="1"/>
    <cellStyle name="Hiperlink Visitado" xfId="53245" builtinId="9" hidden="1"/>
    <cellStyle name="Hiperlink Visitado" xfId="53220" builtinId="9" hidden="1"/>
    <cellStyle name="Hiperlink Visitado" xfId="53297" builtinId="9" hidden="1"/>
    <cellStyle name="Hiperlink Visitado" xfId="53108" builtinId="9" hidden="1"/>
    <cellStyle name="Hiperlink Visitado" xfId="53280" builtinId="9" hidden="1"/>
    <cellStyle name="Hiperlink Visitado" xfId="53290" builtinId="9" hidden="1"/>
    <cellStyle name="Hiperlink Visitado" xfId="53299" builtinId="9" hidden="1"/>
    <cellStyle name="Hiperlink Visitado" xfId="53295" builtinId="9" hidden="1"/>
    <cellStyle name="Hiperlink Visitado" xfId="53132" builtinId="9" hidden="1"/>
    <cellStyle name="Hiperlink Visitado" xfId="53265" builtinId="9" hidden="1"/>
    <cellStyle name="Hiperlink Visitado" xfId="53286" builtinId="9" hidden="1"/>
    <cellStyle name="Hiperlink Visitado" xfId="53209" builtinId="9" hidden="1"/>
    <cellStyle name="Hiperlink Visitado" xfId="53300" builtinId="9" hidden="1"/>
    <cellStyle name="Incorreto" xfId="43948" builtinId="27" customBuiltin="1"/>
    <cellStyle name="Incorreto 10" xfId="51951"/>
    <cellStyle name="Incorreto 11" xfId="51993"/>
    <cellStyle name="Incorreto 12" xfId="52036"/>
    <cellStyle name="Incorreto 13" xfId="52079"/>
    <cellStyle name="Incorreto 14" xfId="52122"/>
    <cellStyle name="Incorreto 2" xfId="60"/>
    <cellStyle name="Incorreto 3" xfId="51643"/>
    <cellStyle name="Incorreto 4" xfId="51693"/>
    <cellStyle name="Incorreto 5" xfId="51736"/>
    <cellStyle name="Incorreto 6" xfId="51778"/>
    <cellStyle name="Incorreto 7" xfId="51820"/>
    <cellStyle name="Incorreto 8" xfId="51861"/>
    <cellStyle name="Incorreto 9" xfId="51908"/>
    <cellStyle name="Input" xfId="51560"/>
    <cellStyle name="Linked Cell" xfId="51561"/>
    <cellStyle name="Moeda 10" xfId="48074"/>
    <cellStyle name="Moeda 2" xfId="682"/>
    <cellStyle name="Moeda 2 10" xfId="584"/>
    <cellStyle name="Moeda 2 10 2" xfId="1655"/>
    <cellStyle name="Moeda 2 11" xfId="641"/>
    <cellStyle name="Moeda 2 11 2" xfId="1712"/>
    <cellStyle name="Moeda 2 12" xfId="48075"/>
    <cellStyle name="Moeda 2 2" xfId="61"/>
    <cellStyle name="Moeda 2 2 10" xfId="48076"/>
    <cellStyle name="Moeda 2 2 2" xfId="1149"/>
    <cellStyle name="Moeda 2 2 2 2" xfId="48077"/>
    <cellStyle name="Moeda 2 2 2 2 2" xfId="48078"/>
    <cellStyle name="Moeda 2 2 2 2 2 2" xfId="48079"/>
    <cellStyle name="Moeda 2 2 2 2 2 2 2" xfId="51091"/>
    <cellStyle name="Moeda 2 2 2 2 2 3" xfId="50349"/>
    <cellStyle name="Moeda 2 2 2 2 3" xfId="48080"/>
    <cellStyle name="Moeda 2 2 2 2 3 2" xfId="50731"/>
    <cellStyle name="Moeda 2 2 2 2 4" xfId="50046"/>
    <cellStyle name="Moeda 2 2 2 3" xfId="48081"/>
    <cellStyle name="Moeda 2 2 2 3 2" xfId="48082"/>
    <cellStyle name="Moeda 2 2 2 3 2 2" xfId="50957"/>
    <cellStyle name="Moeda 2 2 2 3 3" xfId="50221"/>
    <cellStyle name="Moeda 2 2 2 4" xfId="48083"/>
    <cellStyle name="Moeda 2 2 2 4 2" xfId="50594"/>
    <cellStyle name="Moeda 2 2 2 5" xfId="48084"/>
    <cellStyle name="Moeda 2 2 3" xfId="48085"/>
    <cellStyle name="Moeda 2 2 3 2" xfId="48086"/>
    <cellStyle name="Moeda 2 2 3 2 2" xfId="48087"/>
    <cellStyle name="Moeda 2 2 3 2 2 2" xfId="48088"/>
    <cellStyle name="Moeda 2 2 3 2 2 2 2" xfId="51130"/>
    <cellStyle name="Moeda 2 2 3 2 2 3" xfId="50387"/>
    <cellStyle name="Moeda 2 2 3 2 3" xfId="48089"/>
    <cellStyle name="Moeda 2 2 3 2 3 2" xfId="50770"/>
    <cellStyle name="Moeda 2 2 3 2 4" xfId="50076"/>
    <cellStyle name="Moeda 2 2 3 3" xfId="48090"/>
    <cellStyle name="Moeda 2 2 3 3 2" xfId="48091"/>
    <cellStyle name="Moeda 2 2 3 3 2 2" xfId="50995"/>
    <cellStyle name="Moeda 2 2 3 3 3" xfId="50259"/>
    <cellStyle name="Moeda 2 2 3 4" xfId="48092"/>
    <cellStyle name="Moeda 2 2 3 4 2" xfId="50633"/>
    <cellStyle name="Moeda 2 2 3 5" xfId="49972"/>
    <cellStyle name="Moeda 2 2 4" xfId="48093"/>
    <cellStyle name="Moeda 2 2 4 2" xfId="48094"/>
    <cellStyle name="Moeda 2 2 4 2 2" xfId="48095"/>
    <cellStyle name="Moeda 2 2 4 2 2 2" xfId="51058"/>
    <cellStyle name="Moeda 2 2 4 2 3" xfId="50317"/>
    <cellStyle name="Moeda 2 2 4 3" xfId="48096"/>
    <cellStyle name="Moeda 2 2 4 3 2" xfId="50698"/>
    <cellStyle name="Moeda 2 2 4 4" xfId="50020"/>
    <cellStyle name="Moeda 2 2 5" xfId="48097"/>
    <cellStyle name="Moeda 2 2 5 2" xfId="48098"/>
    <cellStyle name="Moeda 2 2 5 2 2" xfId="48099"/>
    <cellStyle name="Moeda 2 2 5 2 2 2" xfId="50925"/>
    <cellStyle name="Moeda 2 2 5 2 3" xfId="50189"/>
    <cellStyle name="Moeda 2 2 5 3" xfId="48100"/>
    <cellStyle name="Moeda 2 2 5 3 2" xfId="50561"/>
    <cellStyle name="Moeda 2 2 5 4" xfId="49925"/>
    <cellStyle name="Moeda 2 2 6" xfId="48101"/>
    <cellStyle name="Moeda 2 2 6 2" xfId="48102"/>
    <cellStyle name="Moeda 2 2 6 2 2" xfId="48103"/>
    <cellStyle name="Moeda 2 2 6 2 2 2" xfId="51165"/>
    <cellStyle name="Moeda 2 2 6 2 3" xfId="50421"/>
    <cellStyle name="Moeda 2 2 6 3" xfId="48104"/>
    <cellStyle name="Moeda 2 2 6 3 2" xfId="50805"/>
    <cellStyle name="Moeda 2 2 6 4" xfId="50104"/>
    <cellStyle name="Moeda 2 2 7" xfId="48105"/>
    <cellStyle name="Moeda 2 2 7 2" xfId="48106"/>
    <cellStyle name="Moeda 2 2 7 2 2" xfId="50851"/>
    <cellStyle name="Moeda 2 2 7 3" xfId="50129"/>
    <cellStyle name="Moeda 2 2 8" xfId="48107"/>
    <cellStyle name="Moeda 2 2 8 2" xfId="48108"/>
    <cellStyle name="Moeda 2 2 8 2 2" xfId="51200"/>
    <cellStyle name="Moeda 2 2 8 3" xfId="50448"/>
    <cellStyle name="Moeda 2 2 9" xfId="48109"/>
    <cellStyle name="Moeda 2 2 9 2" xfId="50475"/>
    <cellStyle name="Moeda 2 3" xfId="206"/>
    <cellStyle name="Moeda 2 3 2" xfId="1278"/>
    <cellStyle name="Moeda 2 4" xfId="263"/>
    <cellStyle name="Moeda 2 4 2" xfId="1335"/>
    <cellStyle name="Moeda 2 5" xfId="319"/>
    <cellStyle name="Moeda 2 5 2" xfId="1391"/>
    <cellStyle name="Moeda 2 6" xfId="358"/>
    <cellStyle name="Moeda 2 6 2" xfId="1430"/>
    <cellStyle name="Moeda 2 7" xfId="416"/>
    <cellStyle name="Moeda 2 7 2" xfId="1488"/>
    <cellStyle name="Moeda 2 8" xfId="478"/>
    <cellStyle name="Moeda 2 8 2" xfId="1549"/>
    <cellStyle name="Moeda 2 9" xfId="533"/>
    <cellStyle name="Moeda 2 9 2" xfId="1604"/>
    <cellStyle name="Moeda 2_Mem." xfId="48110"/>
    <cellStyle name="Moeda 3" xfId="62"/>
    <cellStyle name="Moeda 3 10" xfId="450"/>
    <cellStyle name="Moeda 3 10 2" xfId="1521"/>
    <cellStyle name="Moeda 3 10 2 2" xfId="48111"/>
    <cellStyle name="Moeda 3 10 3" xfId="48112"/>
    <cellStyle name="Moeda 3 11" xfId="645"/>
    <cellStyle name="Moeda 3 11 2" xfId="1716"/>
    <cellStyle name="Moeda 3 11 2 2" xfId="48113"/>
    <cellStyle name="Moeda 3 11 3" xfId="48114"/>
    <cellStyle name="Moeda 3 12" xfId="1150"/>
    <cellStyle name="Moeda 3 12 2" xfId="48115"/>
    <cellStyle name="Moeda 3 13" xfId="48116"/>
    <cellStyle name="Moeda 3 2" xfId="130"/>
    <cellStyle name="Moeda 3 2 10" xfId="48117"/>
    <cellStyle name="Moeda 3 2 10 2" xfId="50476"/>
    <cellStyle name="Moeda 3 2 11" xfId="48118"/>
    <cellStyle name="Moeda 3 2 2" xfId="1202"/>
    <cellStyle name="Moeda 3 2 2 2" xfId="48119"/>
    <cellStyle name="Moeda 3 2 2 2 2" xfId="48120"/>
    <cellStyle name="Moeda 3 2 2 2 2 2" xfId="48121"/>
    <cellStyle name="Moeda 3 2 2 2 2 2 2" xfId="51060"/>
    <cellStyle name="Moeda 3 2 2 2 2 3" xfId="50319"/>
    <cellStyle name="Moeda 3 2 2 2 3" xfId="48122"/>
    <cellStyle name="Moeda 3 2 2 2 3 2" xfId="50700"/>
    <cellStyle name="Moeda 3 2 2 2 4" xfId="50021"/>
    <cellStyle name="Moeda 3 2 2 3" xfId="48123"/>
    <cellStyle name="Moeda 3 2 2 3 2" xfId="48124"/>
    <cellStyle name="Moeda 3 2 2 3 2 2" xfId="50927"/>
    <cellStyle name="Moeda 3 2 2 3 3" xfId="50191"/>
    <cellStyle name="Moeda 3 2 2 4" xfId="48125"/>
    <cellStyle name="Moeda 3 2 2 4 2" xfId="50563"/>
    <cellStyle name="Moeda 3 2 2 5" xfId="48126"/>
    <cellStyle name="Moeda 3 2 3" xfId="48127"/>
    <cellStyle name="Moeda 3 2 3 2" xfId="48128"/>
    <cellStyle name="Moeda 3 2 3 2 2" xfId="48129"/>
    <cellStyle name="Moeda 3 2 3 2 2 2" xfId="48130"/>
    <cellStyle name="Moeda 3 2 3 2 2 2 2" xfId="51093"/>
    <cellStyle name="Moeda 3 2 3 2 2 3" xfId="50351"/>
    <cellStyle name="Moeda 3 2 3 2 3" xfId="48131"/>
    <cellStyle name="Moeda 3 2 3 2 3 2" xfId="50733"/>
    <cellStyle name="Moeda 3 2 3 2 4" xfId="50047"/>
    <cellStyle name="Moeda 3 2 3 3" xfId="48132"/>
    <cellStyle name="Moeda 3 2 3 3 2" xfId="48133"/>
    <cellStyle name="Moeda 3 2 3 3 2 2" xfId="50959"/>
    <cellStyle name="Moeda 3 2 3 3 3" xfId="50223"/>
    <cellStyle name="Moeda 3 2 3 4" xfId="48134"/>
    <cellStyle name="Moeda 3 2 3 4 2" xfId="50596"/>
    <cellStyle name="Moeda 3 2 3 5" xfId="49945"/>
    <cellStyle name="Moeda 3 2 4" xfId="48135"/>
    <cellStyle name="Moeda 3 2 4 2" xfId="48136"/>
    <cellStyle name="Moeda 3 2 4 2 2" xfId="48137"/>
    <cellStyle name="Moeda 3 2 4 2 2 2" xfId="48138"/>
    <cellStyle name="Moeda 3 2 4 2 2 2 2" xfId="51132"/>
    <cellStyle name="Moeda 3 2 4 2 2 3" xfId="50389"/>
    <cellStyle name="Moeda 3 2 4 2 3" xfId="48139"/>
    <cellStyle name="Moeda 3 2 4 2 3 2" xfId="50772"/>
    <cellStyle name="Moeda 3 2 4 2 4" xfId="50077"/>
    <cellStyle name="Moeda 3 2 4 3" xfId="48140"/>
    <cellStyle name="Moeda 3 2 4 3 2" xfId="48141"/>
    <cellStyle name="Moeda 3 2 4 3 2 2" xfId="50997"/>
    <cellStyle name="Moeda 3 2 4 3 3" xfId="50261"/>
    <cellStyle name="Moeda 3 2 4 4" xfId="48142"/>
    <cellStyle name="Moeda 3 2 4 4 2" xfId="50635"/>
    <cellStyle name="Moeda 3 2 4 5" xfId="49973"/>
    <cellStyle name="Moeda 3 2 5" xfId="48143"/>
    <cellStyle name="Moeda 3 2 5 2" xfId="48144"/>
    <cellStyle name="Moeda 3 2 5 2 2" xfId="48145"/>
    <cellStyle name="Moeda 3 2 5 2 2 2" xfId="51055"/>
    <cellStyle name="Moeda 3 2 5 2 3" xfId="50314"/>
    <cellStyle name="Moeda 3 2 5 3" xfId="48146"/>
    <cellStyle name="Moeda 3 2 5 3 2" xfId="50695"/>
    <cellStyle name="Moeda 3 2 5 4" xfId="50017"/>
    <cellStyle name="Moeda 3 2 6" xfId="48147"/>
    <cellStyle name="Moeda 3 2 6 2" xfId="48148"/>
    <cellStyle name="Moeda 3 2 6 2 2" xfId="48149"/>
    <cellStyle name="Moeda 3 2 6 2 2 2" xfId="50922"/>
    <cellStyle name="Moeda 3 2 6 2 3" xfId="50186"/>
    <cellStyle name="Moeda 3 2 6 3" xfId="48150"/>
    <cellStyle name="Moeda 3 2 6 3 2" xfId="50558"/>
    <cellStyle name="Moeda 3 2 6 4" xfId="49922"/>
    <cellStyle name="Moeda 3 2 7" xfId="48151"/>
    <cellStyle name="Moeda 3 2 7 2" xfId="48152"/>
    <cellStyle name="Moeda 3 2 7 2 2" xfId="48153"/>
    <cellStyle name="Moeda 3 2 7 2 2 2" xfId="51167"/>
    <cellStyle name="Moeda 3 2 7 2 3" xfId="50422"/>
    <cellStyle name="Moeda 3 2 7 3" xfId="48154"/>
    <cellStyle name="Moeda 3 2 7 3 2" xfId="50807"/>
    <cellStyle name="Moeda 3 2 7 4" xfId="50105"/>
    <cellStyle name="Moeda 3 2 8" xfId="48155"/>
    <cellStyle name="Moeda 3 2 8 2" xfId="48156"/>
    <cellStyle name="Moeda 3 2 8 2 2" xfId="50852"/>
    <cellStyle name="Moeda 3 2 8 3" xfId="50130"/>
    <cellStyle name="Moeda 3 2 9" xfId="48157"/>
    <cellStyle name="Moeda 3 2 9 2" xfId="48158"/>
    <cellStyle name="Moeda 3 2 9 2 2" xfId="51201"/>
    <cellStyle name="Moeda 3 2 9 3" xfId="50449"/>
    <cellStyle name="Moeda 3 3" xfId="207"/>
    <cellStyle name="Moeda 3 3 10" xfId="48159"/>
    <cellStyle name="Moeda 3 3 10 2" xfId="50477"/>
    <cellStyle name="Moeda 3 3 11" xfId="48160"/>
    <cellStyle name="Moeda 3 3 2" xfId="1279"/>
    <cellStyle name="Moeda 3 3 2 2" xfId="48161"/>
    <cellStyle name="Moeda 3 3 2 2 2" xfId="48162"/>
    <cellStyle name="Moeda 3 3 2 2 2 2" xfId="48163"/>
    <cellStyle name="Moeda 3 3 2 2 2 2 2" xfId="51061"/>
    <cellStyle name="Moeda 3 3 2 2 2 3" xfId="50320"/>
    <cellStyle name="Moeda 3 3 2 2 3" xfId="48164"/>
    <cellStyle name="Moeda 3 3 2 2 3 2" xfId="50701"/>
    <cellStyle name="Moeda 3 3 2 2 4" xfId="50022"/>
    <cellStyle name="Moeda 3 3 2 3" xfId="48165"/>
    <cellStyle name="Moeda 3 3 2 3 2" xfId="48166"/>
    <cellStyle name="Moeda 3 3 2 3 2 2" xfId="50928"/>
    <cellStyle name="Moeda 3 3 2 3 3" xfId="50192"/>
    <cellStyle name="Moeda 3 3 2 4" xfId="48167"/>
    <cellStyle name="Moeda 3 3 2 4 2" xfId="50564"/>
    <cellStyle name="Moeda 3 3 2 5" xfId="48168"/>
    <cellStyle name="Moeda 3 3 3" xfId="48169"/>
    <cellStyle name="Moeda 3 3 3 2" xfId="48170"/>
    <cellStyle name="Moeda 3 3 3 2 2" xfId="48171"/>
    <cellStyle name="Moeda 3 3 3 2 2 2" xfId="48172"/>
    <cellStyle name="Moeda 3 3 3 2 2 2 2" xfId="51094"/>
    <cellStyle name="Moeda 3 3 3 2 2 3" xfId="50352"/>
    <cellStyle name="Moeda 3 3 3 2 3" xfId="48173"/>
    <cellStyle name="Moeda 3 3 3 2 3 2" xfId="50734"/>
    <cellStyle name="Moeda 3 3 3 2 4" xfId="50048"/>
    <cellStyle name="Moeda 3 3 3 3" xfId="48174"/>
    <cellStyle name="Moeda 3 3 3 3 2" xfId="48175"/>
    <cellStyle name="Moeda 3 3 3 3 2 2" xfId="50960"/>
    <cellStyle name="Moeda 3 3 3 3 3" xfId="50224"/>
    <cellStyle name="Moeda 3 3 3 4" xfId="48176"/>
    <cellStyle name="Moeda 3 3 3 4 2" xfId="50597"/>
    <cellStyle name="Moeda 3 3 3 5" xfId="49946"/>
    <cellStyle name="Moeda 3 3 4" xfId="48177"/>
    <cellStyle name="Moeda 3 3 4 2" xfId="48178"/>
    <cellStyle name="Moeda 3 3 4 2 2" xfId="48179"/>
    <cellStyle name="Moeda 3 3 4 2 2 2" xfId="48180"/>
    <cellStyle name="Moeda 3 3 4 2 2 2 2" xfId="51133"/>
    <cellStyle name="Moeda 3 3 4 2 2 3" xfId="50390"/>
    <cellStyle name="Moeda 3 3 4 2 3" xfId="48181"/>
    <cellStyle name="Moeda 3 3 4 2 3 2" xfId="50773"/>
    <cellStyle name="Moeda 3 3 4 2 4" xfId="50078"/>
    <cellStyle name="Moeda 3 3 4 3" xfId="48182"/>
    <cellStyle name="Moeda 3 3 4 3 2" xfId="48183"/>
    <cellStyle name="Moeda 3 3 4 3 2 2" xfId="50998"/>
    <cellStyle name="Moeda 3 3 4 3 3" xfId="50262"/>
    <cellStyle name="Moeda 3 3 4 4" xfId="48184"/>
    <cellStyle name="Moeda 3 3 4 4 2" xfId="50636"/>
    <cellStyle name="Moeda 3 3 4 5" xfId="49974"/>
    <cellStyle name="Moeda 3 3 5" xfId="48185"/>
    <cellStyle name="Moeda 3 3 5 2" xfId="48186"/>
    <cellStyle name="Moeda 3 3 5 2 2" xfId="48187"/>
    <cellStyle name="Moeda 3 3 5 2 2 2" xfId="51045"/>
    <cellStyle name="Moeda 3 3 5 2 3" xfId="50305"/>
    <cellStyle name="Moeda 3 3 5 3" xfId="48188"/>
    <cellStyle name="Moeda 3 3 5 3 2" xfId="50685"/>
    <cellStyle name="Moeda 3 3 5 4" xfId="50008"/>
    <cellStyle name="Moeda 3 3 6" xfId="48189"/>
    <cellStyle name="Moeda 3 3 6 2" xfId="48190"/>
    <cellStyle name="Moeda 3 3 6 2 2" xfId="48191"/>
    <cellStyle name="Moeda 3 3 6 2 2 2" xfId="50912"/>
    <cellStyle name="Moeda 3 3 6 2 3" xfId="50177"/>
    <cellStyle name="Moeda 3 3 6 3" xfId="48192"/>
    <cellStyle name="Moeda 3 3 6 3 2" xfId="50548"/>
    <cellStyle name="Moeda 3 3 6 4" xfId="49913"/>
    <cellStyle name="Moeda 3 3 7" xfId="48193"/>
    <cellStyle name="Moeda 3 3 7 2" xfId="48194"/>
    <cellStyle name="Moeda 3 3 7 2 2" xfId="48195"/>
    <cellStyle name="Moeda 3 3 7 2 2 2" xfId="51168"/>
    <cellStyle name="Moeda 3 3 7 2 3" xfId="50423"/>
    <cellStyle name="Moeda 3 3 7 3" xfId="48196"/>
    <cellStyle name="Moeda 3 3 7 3 2" xfId="50808"/>
    <cellStyle name="Moeda 3 3 7 4" xfId="50106"/>
    <cellStyle name="Moeda 3 3 8" xfId="48197"/>
    <cellStyle name="Moeda 3 3 8 2" xfId="48198"/>
    <cellStyle name="Moeda 3 3 8 2 2" xfId="50853"/>
    <cellStyle name="Moeda 3 3 8 3" xfId="50131"/>
    <cellStyle name="Moeda 3 3 9" xfId="48199"/>
    <cellStyle name="Moeda 3 3 9 2" xfId="48200"/>
    <cellStyle name="Moeda 3 3 9 2 2" xfId="51202"/>
    <cellStyle name="Moeda 3 3 9 3" xfId="50450"/>
    <cellStyle name="Moeda 3 4" xfId="264"/>
    <cellStyle name="Moeda 3 4 2" xfId="1336"/>
    <cellStyle name="Moeda 3 4 2 2" xfId="48201"/>
    <cellStyle name="Moeda 3 4 2 2 2" xfId="48202"/>
    <cellStyle name="Moeda 3 4 2 2 2 2" xfId="51059"/>
    <cellStyle name="Moeda 3 4 2 2 3" xfId="50318"/>
    <cellStyle name="Moeda 3 4 2 3" xfId="48203"/>
    <cellStyle name="Moeda 3 4 2 3 2" xfId="50699"/>
    <cellStyle name="Moeda 3 4 2 4" xfId="48204"/>
    <cellStyle name="Moeda 3 4 3" xfId="48205"/>
    <cellStyle name="Moeda 3 4 3 2" xfId="48206"/>
    <cellStyle name="Moeda 3 4 3 2 2" xfId="50926"/>
    <cellStyle name="Moeda 3 4 3 3" xfId="50190"/>
    <cellStyle name="Moeda 3 4 4" xfId="48207"/>
    <cellStyle name="Moeda 3 4 4 2" xfId="50562"/>
    <cellStyle name="Moeda 3 4 5" xfId="48208"/>
    <cellStyle name="Moeda 3 5" xfId="320"/>
    <cellStyle name="Moeda 3 5 2" xfId="1392"/>
    <cellStyle name="Moeda 3 5 2 2" xfId="48209"/>
    <cellStyle name="Moeda 3 5 2 2 2" xfId="48210"/>
    <cellStyle name="Moeda 3 5 2 2 2 2" xfId="51092"/>
    <cellStyle name="Moeda 3 5 2 2 3" xfId="50350"/>
    <cellStyle name="Moeda 3 5 2 3" xfId="48211"/>
    <cellStyle name="Moeda 3 5 2 3 2" xfId="50732"/>
    <cellStyle name="Moeda 3 5 2 4" xfId="48212"/>
    <cellStyle name="Moeda 3 5 3" xfId="48213"/>
    <cellStyle name="Moeda 3 5 3 2" xfId="48214"/>
    <cellStyle name="Moeda 3 5 3 2 2" xfId="50958"/>
    <cellStyle name="Moeda 3 5 3 3" xfId="50222"/>
    <cellStyle name="Moeda 3 5 4" xfId="48215"/>
    <cellStyle name="Moeda 3 5 4 2" xfId="50595"/>
    <cellStyle name="Moeda 3 5 5" xfId="48216"/>
    <cellStyle name="Moeda 3 6" xfId="359"/>
    <cellStyle name="Moeda 3 6 2" xfId="1431"/>
    <cellStyle name="Moeda 3 6 2 2" xfId="48217"/>
    <cellStyle name="Moeda 3 6 2 2 2" xfId="48218"/>
    <cellStyle name="Moeda 3 6 2 2 2 2" xfId="51131"/>
    <cellStyle name="Moeda 3 6 2 2 3" xfId="50388"/>
    <cellStyle name="Moeda 3 6 2 3" xfId="48219"/>
    <cellStyle name="Moeda 3 6 2 3 2" xfId="50771"/>
    <cellStyle name="Moeda 3 6 2 4" xfId="48220"/>
    <cellStyle name="Moeda 3 6 3" xfId="48221"/>
    <cellStyle name="Moeda 3 6 3 2" xfId="48222"/>
    <cellStyle name="Moeda 3 6 3 2 2" xfId="50996"/>
    <cellStyle name="Moeda 3 6 3 3" xfId="50260"/>
    <cellStyle name="Moeda 3 6 4" xfId="48223"/>
    <cellStyle name="Moeda 3 6 4 2" xfId="50634"/>
    <cellStyle name="Moeda 3 6 5" xfId="48224"/>
    <cellStyle name="Moeda 3 7" xfId="417"/>
    <cellStyle name="Moeda 3 7 2" xfId="1489"/>
    <cellStyle name="Moeda 3 7 2 2" xfId="48225"/>
    <cellStyle name="Moeda 3 7 2 2 2" xfId="51035"/>
    <cellStyle name="Moeda 3 7 2 3" xfId="48226"/>
    <cellStyle name="Moeda 3 7 3" xfId="48227"/>
    <cellStyle name="Moeda 3 7 3 2" xfId="50675"/>
    <cellStyle name="Moeda 3 7 4" xfId="48228"/>
    <cellStyle name="Moeda 3 8" xfId="479"/>
    <cellStyle name="Moeda 3 8 2" xfId="1550"/>
    <cellStyle name="Moeda 3 8 2 2" xfId="48229"/>
    <cellStyle name="Moeda 3 8 2 2 2" xfId="50902"/>
    <cellStyle name="Moeda 3 8 2 3" xfId="48230"/>
    <cellStyle name="Moeda 3 8 3" xfId="48231"/>
    <cellStyle name="Moeda 3 8 3 2" xfId="50538"/>
    <cellStyle name="Moeda 3 8 4" xfId="48232"/>
    <cellStyle name="Moeda 3 9" xfId="500"/>
    <cellStyle name="Moeda 3 9 2" xfId="1571"/>
    <cellStyle name="Moeda 3 9 2 2" xfId="48233"/>
    <cellStyle name="Moeda 3 9 2 2 2" xfId="51166"/>
    <cellStyle name="Moeda 3 9 2 3" xfId="48234"/>
    <cellStyle name="Moeda 3 9 3" xfId="48235"/>
    <cellStyle name="Moeda 3 9 3 2" xfId="50806"/>
    <cellStyle name="Moeda 3 9 4" xfId="48236"/>
    <cellStyle name="Moeda 4" xfId="43989"/>
    <cellStyle name="Moeda 4 2" xfId="48237"/>
    <cellStyle name="Moeda 4_Mem." xfId="48238"/>
    <cellStyle name="Moeda 5" xfId="48239"/>
    <cellStyle name="Moeda 5 10" xfId="48240"/>
    <cellStyle name="Moeda 5 10 2" xfId="48241"/>
    <cellStyle name="Moeda 5 10 2 2" xfId="50854"/>
    <cellStyle name="Moeda 5 10 3" xfId="50132"/>
    <cellStyle name="Moeda 5 11" xfId="48242"/>
    <cellStyle name="Moeda 5 11 2" xfId="48243"/>
    <cellStyle name="Moeda 5 11 2 2" xfId="51203"/>
    <cellStyle name="Moeda 5 11 3" xfId="50451"/>
    <cellStyle name="Moeda 5 12" xfId="48244"/>
    <cellStyle name="Moeda 5 12 2" xfId="50478"/>
    <cellStyle name="Moeda 5 13" xfId="49862"/>
    <cellStyle name="Moeda 5 2" xfId="48245"/>
    <cellStyle name="Moeda 5 2 10" xfId="48246"/>
    <cellStyle name="Moeda 5 2 10 2" xfId="50479"/>
    <cellStyle name="Moeda 5 2 11" xfId="49863"/>
    <cellStyle name="Moeda 5 2 2" xfId="48247"/>
    <cellStyle name="Moeda 5 2 2 2" xfId="48248"/>
    <cellStyle name="Moeda 5 2 2 2 2" xfId="48249"/>
    <cellStyle name="Moeda 5 2 2 2 2 2" xfId="48250"/>
    <cellStyle name="Moeda 5 2 2 2 2 2 2" xfId="51063"/>
    <cellStyle name="Moeda 5 2 2 2 2 3" xfId="50322"/>
    <cellStyle name="Moeda 5 2 2 2 3" xfId="48251"/>
    <cellStyle name="Moeda 5 2 2 2 3 2" xfId="50703"/>
    <cellStyle name="Moeda 5 2 2 2 4" xfId="50024"/>
    <cellStyle name="Moeda 5 2 2 3" xfId="48252"/>
    <cellStyle name="Moeda 5 2 2 3 2" xfId="48253"/>
    <cellStyle name="Moeda 5 2 2 3 2 2" xfId="50930"/>
    <cellStyle name="Moeda 5 2 2 3 3" xfId="50194"/>
    <cellStyle name="Moeda 5 2 2 4" xfId="48254"/>
    <cellStyle name="Moeda 5 2 2 4 2" xfId="50566"/>
    <cellStyle name="Moeda 5 2 2 5" xfId="49927"/>
    <cellStyle name="Moeda 5 2 3" xfId="48255"/>
    <cellStyle name="Moeda 5 2 3 2" xfId="48256"/>
    <cellStyle name="Moeda 5 2 3 2 2" xfId="48257"/>
    <cellStyle name="Moeda 5 2 3 2 2 2" xfId="48258"/>
    <cellStyle name="Moeda 5 2 3 2 2 2 2" xfId="51096"/>
    <cellStyle name="Moeda 5 2 3 2 2 3" xfId="50354"/>
    <cellStyle name="Moeda 5 2 3 2 3" xfId="48259"/>
    <cellStyle name="Moeda 5 2 3 2 3 2" xfId="50736"/>
    <cellStyle name="Moeda 5 2 3 2 4" xfId="50050"/>
    <cellStyle name="Moeda 5 2 3 3" xfId="48260"/>
    <cellStyle name="Moeda 5 2 3 3 2" xfId="48261"/>
    <cellStyle name="Moeda 5 2 3 3 2 2" xfId="50962"/>
    <cellStyle name="Moeda 5 2 3 3 3" xfId="50226"/>
    <cellStyle name="Moeda 5 2 3 4" xfId="48262"/>
    <cellStyle name="Moeda 5 2 3 4 2" xfId="50599"/>
    <cellStyle name="Moeda 5 2 3 5" xfId="49948"/>
    <cellStyle name="Moeda 5 2 4" xfId="48263"/>
    <cellStyle name="Moeda 5 2 4 2" xfId="48264"/>
    <cellStyle name="Moeda 5 2 4 2 2" xfId="48265"/>
    <cellStyle name="Moeda 5 2 4 2 2 2" xfId="48266"/>
    <cellStyle name="Moeda 5 2 4 2 2 2 2" xfId="51135"/>
    <cellStyle name="Moeda 5 2 4 2 2 3" xfId="50392"/>
    <cellStyle name="Moeda 5 2 4 2 3" xfId="48267"/>
    <cellStyle name="Moeda 5 2 4 2 3 2" xfId="50775"/>
    <cellStyle name="Moeda 5 2 4 2 4" xfId="50080"/>
    <cellStyle name="Moeda 5 2 4 3" xfId="48268"/>
    <cellStyle name="Moeda 5 2 4 3 2" xfId="48269"/>
    <cellStyle name="Moeda 5 2 4 3 2 2" xfId="51000"/>
    <cellStyle name="Moeda 5 2 4 3 3" xfId="50264"/>
    <cellStyle name="Moeda 5 2 4 4" xfId="48270"/>
    <cellStyle name="Moeda 5 2 4 4 2" xfId="50638"/>
    <cellStyle name="Moeda 5 2 4 5" xfId="49976"/>
    <cellStyle name="Moeda 5 2 5" xfId="48271"/>
    <cellStyle name="Moeda 5 2 5 2" xfId="48272"/>
    <cellStyle name="Moeda 5 2 5 2 2" xfId="48273"/>
    <cellStyle name="Moeda 5 2 5 2 2 2" xfId="51051"/>
    <cellStyle name="Moeda 5 2 5 2 3" xfId="50310"/>
    <cellStyle name="Moeda 5 2 5 3" xfId="48274"/>
    <cellStyle name="Moeda 5 2 5 3 2" xfId="50691"/>
    <cellStyle name="Moeda 5 2 5 4" xfId="50013"/>
    <cellStyle name="Moeda 5 2 6" xfId="48275"/>
    <cellStyle name="Moeda 5 2 6 2" xfId="48276"/>
    <cellStyle name="Moeda 5 2 6 2 2" xfId="48277"/>
    <cellStyle name="Moeda 5 2 6 2 2 2" xfId="50918"/>
    <cellStyle name="Moeda 5 2 6 2 3" xfId="50182"/>
    <cellStyle name="Moeda 5 2 6 3" xfId="48278"/>
    <cellStyle name="Moeda 5 2 6 3 2" xfId="50554"/>
    <cellStyle name="Moeda 5 2 6 4" xfId="49918"/>
    <cellStyle name="Moeda 5 2 7" xfId="48279"/>
    <cellStyle name="Moeda 5 2 7 2" xfId="48280"/>
    <cellStyle name="Moeda 5 2 7 2 2" xfId="48281"/>
    <cellStyle name="Moeda 5 2 7 2 2 2" xfId="51170"/>
    <cellStyle name="Moeda 5 2 7 2 3" xfId="50425"/>
    <cellStyle name="Moeda 5 2 7 3" xfId="48282"/>
    <cellStyle name="Moeda 5 2 7 3 2" xfId="50810"/>
    <cellStyle name="Moeda 5 2 7 4" xfId="50108"/>
    <cellStyle name="Moeda 5 2 8" xfId="48283"/>
    <cellStyle name="Moeda 5 2 8 2" xfId="48284"/>
    <cellStyle name="Moeda 5 2 8 2 2" xfId="50855"/>
    <cellStyle name="Moeda 5 2 8 3" xfId="50133"/>
    <cellStyle name="Moeda 5 2 9" xfId="48285"/>
    <cellStyle name="Moeda 5 2 9 2" xfId="48286"/>
    <cellStyle name="Moeda 5 2 9 2 2" xfId="51204"/>
    <cellStyle name="Moeda 5 2 9 3" xfId="50452"/>
    <cellStyle name="Moeda 5 3" xfId="48287"/>
    <cellStyle name="Moeda 5 3 10" xfId="48288"/>
    <cellStyle name="Moeda 5 3 10 2" xfId="50480"/>
    <cellStyle name="Moeda 5 3 11" xfId="49864"/>
    <cellStyle name="Moeda 5 3 2" xfId="48289"/>
    <cellStyle name="Moeda 5 3 2 2" xfId="48290"/>
    <cellStyle name="Moeda 5 3 2 2 2" xfId="48291"/>
    <cellStyle name="Moeda 5 3 2 2 2 2" xfId="48292"/>
    <cellStyle name="Moeda 5 3 2 2 2 2 2" xfId="51064"/>
    <cellStyle name="Moeda 5 3 2 2 2 3" xfId="50323"/>
    <cellStyle name="Moeda 5 3 2 2 3" xfId="48293"/>
    <cellStyle name="Moeda 5 3 2 2 3 2" xfId="50704"/>
    <cellStyle name="Moeda 5 3 2 2 4" xfId="50025"/>
    <cellStyle name="Moeda 5 3 2 3" xfId="48294"/>
    <cellStyle name="Moeda 5 3 2 3 2" xfId="48295"/>
    <cellStyle name="Moeda 5 3 2 3 2 2" xfId="50931"/>
    <cellStyle name="Moeda 5 3 2 3 3" xfId="50195"/>
    <cellStyle name="Moeda 5 3 2 4" xfId="48296"/>
    <cellStyle name="Moeda 5 3 2 4 2" xfId="50567"/>
    <cellStyle name="Moeda 5 3 2 5" xfId="49928"/>
    <cellStyle name="Moeda 5 3 3" xfId="48297"/>
    <cellStyle name="Moeda 5 3 3 2" xfId="48298"/>
    <cellStyle name="Moeda 5 3 3 2 2" xfId="48299"/>
    <cellStyle name="Moeda 5 3 3 2 2 2" xfId="48300"/>
    <cellStyle name="Moeda 5 3 3 2 2 2 2" xfId="51097"/>
    <cellStyle name="Moeda 5 3 3 2 2 3" xfId="50355"/>
    <cellStyle name="Moeda 5 3 3 2 3" xfId="48301"/>
    <cellStyle name="Moeda 5 3 3 2 3 2" xfId="50737"/>
    <cellStyle name="Moeda 5 3 3 2 4" xfId="50051"/>
    <cellStyle name="Moeda 5 3 3 3" xfId="48302"/>
    <cellStyle name="Moeda 5 3 3 3 2" xfId="48303"/>
    <cellStyle name="Moeda 5 3 3 3 2 2" xfId="50963"/>
    <cellStyle name="Moeda 5 3 3 3 3" xfId="50227"/>
    <cellStyle name="Moeda 5 3 3 4" xfId="48304"/>
    <cellStyle name="Moeda 5 3 3 4 2" xfId="50600"/>
    <cellStyle name="Moeda 5 3 3 5" xfId="49949"/>
    <cellStyle name="Moeda 5 3 4" xfId="48305"/>
    <cellStyle name="Moeda 5 3 4 2" xfId="48306"/>
    <cellStyle name="Moeda 5 3 4 2 2" xfId="48307"/>
    <cellStyle name="Moeda 5 3 4 2 2 2" xfId="48308"/>
    <cellStyle name="Moeda 5 3 4 2 2 2 2" xfId="51136"/>
    <cellStyle name="Moeda 5 3 4 2 2 3" xfId="50393"/>
    <cellStyle name="Moeda 5 3 4 2 3" xfId="48309"/>
    <cellStyle name="Moeda 5 3 4 2 3 2" xfId="50776"/>
    <cellStyle name="Moeda 5 3 4 2 4" xfId="50081"/>
    <cellStyle name="Moeda 5 3 4 3" xfId="48310"/>
    <cellStyle name="Moeda 5 3 4 3 2" xfId="48311"/>
    <cellStyle name="Moeda 5 3 4 3 2 2" xfId="51001"/>
    <cellStyle name="Moeda 5 3 4 3 3" xfId="50265"/>
    <cellStyle name="Moeda 5 3 4 4" xfId="48312"/>
    <cellStyle name="Moeda 5 3 4 4 2" xfId="50639"/>
    <cellStyle name="Moeda 5 3 4 5" xfId="49977"/>
    <cellStyle name="Moeda 5 3 5" xfId="48313"/>
    <cellStyle name="Moeda 5 3 5 2" xfId="48314"/>
    <cellStyle name="Moeda 5 3 5 2 2" xfId="48315"/>
    <cellStyle name="Moeda 5 3 5 2 2 2" xfId="51041"/>
    <cellStyle name="Moeda 5 3 5 2 3" xfId="50301"/>
    <cellStyle name="Moeda 5 3 5 3" xfId="48316"/>
    <cellStyle name="Moeda 5 3 5 3 2" xfId="50681"/>
    <cellStyle name="Moeda 5 3 5 4" xfId="50004"/>
    <cellStyle name="Moeda 5 3 6" xfId="48317"/>
    <cellStyle name="Moeda 5 3 6 2" xfId="48318"/>
    <cellStyle name="Moeda 5 3 6 2 2" xfId="48319"/>
    <cellStyle name="Moeda 5 3 6 2 2 2" xfId="50908"/>
    <cellStyle name="Moeda 5 3 6 2 3" xfId="50173"/>
    <cellStyle name="Moeda 5 3 6 3" xfId="48320"/>
    <cellStyle name="Moeda 5 3 6 3 2" xfId="50544"/>
    <cellStyle name="Moeda 5 3 6 4" xfId="49909"/>
    <cellStyle name="Moeda 5 3 7" xfId="48321"/>
    <cellStyle name="Moeda 5 3 7 2" xfId="48322"/>
    <cellStyle name="Moeda 5 3 7 2 2" xfId="48323"/>
    <cellStyle name="Moeda 5 3 7 2 2 2" xfId="51171"/>
    <cellStyle name="Moeda 5 3 7 2 3" xfId="50426"/>
    <cellStyle name="Moeda 5 3 7 3" xfId="48324"/>
    <cellStyle name="Moeda 5 3 7 3 2" xfId="50811"/>
    <cellStyle name="Moeda 5 3 7 4" xfId="50109"/>
    <cellStyle name="Moeda 5 3 8" xfId="48325"/>
    <cellStyle name="Moeda 5 3 8 2" xfId="48326"/>
    <cellStyle name="Moeda 5 3 8 2 2" xfId="50856"/>
    <cellStyle name="Moeda 5 3 8 3" xfId="50134"/>
    <cellStyle name="Moeda 5 3 9" xfId="48327"/>
    <cellStyle name="Moeda 5 3 9 2" xfId="48328"/>
    <cellStyle name="Moeda 5 3 9 2 2" xfId="51205"/>
    <cellStyle name="Moeda 5 3 9 3" xfId="50453"/>
    <cellStyle name="Moeda 5 4" xfId="48329"/>
    <cellStyle name="Moeda 5 4 2" xfId="48330"/>
    <cellStyle name="Moeda 5 4 2 2" xfId="48331"/>
    <cellStyle name="Moeda 5 4 2 2 2" xfId="48332"/>
    <cellStyle name="Moeda 5 4 2 2 2 2" xfId="51062"/>
    <cellStyle name="Moeda 5 4 2 2 3" xfId="50321"/>
    <cellStyle name="Moeda 5 4 2 3" xfId="48333"/>
    <cellStyle name="Moeda 5 4 2 3 2" xfId="50702"/>
    <cellStyle name="Moeda 5 4 2 4" xfId="50023"/>
    <cellStyle name="Moeda 5 4 3" xfId="48334"/>
    <cellStyle name="Moeda 5 4 3 2" xfId="48335"/>
    <cellStyle name="Moeda 5 4 3 2 2" xfId="50929"/>
    <cellStyle name="Moeda 5 4 3 3" xfId="50193"/>
    <cellStyle name="Moeda 5 4 4" xfId="48336"/>
    <cellStyle name="Moeda 5 4 4 2" xfId="50565"/>
    <cellStyle name="Moeda 5 4 5" xfId="49926"/>
    <cellStyle name="Moeda 5 5" xfId="48337"/>
    <cellStyle name="Moeda 5 5 2" xfId="48338"/>
    <cellStyle name="Moeda 5 5 2 2" xfId="48339"/>
    <cellStyle name="Moeda 5 5 2 2 2" xfId="48340"/>
    <cellStyle name="Moeda 5 5 2 2 2 2" xfId="51095"/>
    <cellStyle name="Moeda 5 5 2 2 3" xfId="50353"/>
    <cellStyle name="Moeda 5 5 2 3" xfId="48341"/>
    <cellStyle name="Moeda 5 5 2 3 2" xfId="50735"/>
    <cellStyle name="Moeda 5 5 2 4" xfId="50049"/>
    <cellStyle name="Moeda 5 5 3" xfId="48342"/>
    <cellStyle name="Moeda 5 5 3 2" xfId="48343"/>
    <cellStyle name="Moeda 5 5 3 2 2" xfId="50961"/>
    <cellStyle name="Moeda 5 5 3 3" xfId="50225"/>
    <cellStyle name="Moeda 5 5 4" xfId="48344"/>
    <cellStyle name="Moeda 5 5 4 2" xfId="50598"/>
    <cellStyle name="Moeda 5 5 5" xfId="49947"/>
    <cellStyle name="Moeda 5 6" xfId="48345"/>
    <cellStyle name="Moeda 5 6 2" xfId="48346"/>
    <cellStyle name="Moeda 5 6 2 2" xfId="48347"/>
    <cellStyle name="Moeda 5 6 2 2 2" xfId="48348"/>
    <cellStyle name="Moeda 5 6 2 2 2 2" xfId="51134"/>
    <cellStyle name="Moeda 5 6 2 2 3" xfId="50391"/>
    <cellStyle name="Moeda 5 6 2 3" xfId="48349"/>
    <cellStyle name="Moeda 5 6 2 3 2" xfId="50774"/>
    <cellStyle name="Moeda 5 6 2 4" xfId="50079"/>
    <cellStyle name="Moeda 5 6 3" xfId="48350"/>
    <cellStyle name="Moeda 5 6 3 2" xfId="48351"/>
    <cellStyle name="Moeda 5 6 3 2 2" xfId="50999"/>
    <cellStyle name="Moeda 5 6 3 3" xfId="50263"/>
    <cellStyle name="Moeda 5 6 4" xfId="48352"/>
    <cellStyle name="Moeda 5 6 4 2" xfId="50637"/>
    <cellStyle name="Moeda 5 6 5" xfId="49975"/>
    <cellStyle name="Moeda 5 7" xfId="48353"/>
    <cellStyle name="Moeda 5 7 2" xfId="48354"/>
    <cellStyle name="Moeda 5 7 2 2" xfId="48355"/>
    <cellStyle name="Moeda 5 7 2 2 2" xfId="51031"/>
    <cellStyle name="Moeda 5 7 2 3" xfId="50294"/>
    <cellStyle name="Moeda 5 7 3" xfId="48356"/>
    <cellStyle name="Moeda 5 7 3 2" xfId="50671"/>
    <cellStyle name="Moeda 5 7 4" xfId="50000"/>
    <cellStyle name="Moeda 5 8" xfId="48357"/>
    <cellStyle name="Moeda 5 8 2" xfId="48358"/>
    <cellStyle name="Moeda 5 8 2 2" xfId="48359"/>
    <cellStyle name="Moeda 5 8 2 2 2" xfId="50898"/>
    <cellStyle name="Moeda 5 8 2 3" xfId="50166"/>
    <cellStyle name="Moeda 5 8 3" xfId="48360"/>
    <cellStyle name="Moeda 5 8 3 2" xfId="50534"/>
    <cellStyle name="Moeda 5 8 4" xfId="49905"/>
    <cellStyle name="Moeda 5 9" xfId="48361"/>
    <cellStyle name="Moeda 5 9 2" xfId="48362"/>
    <cellStyle name="Moeda 5 9 2 2" xfId="48363"/>
    <cellStyle name="Moeda 5 9 2 2 2" xfId="51169"/>
    <cellStyle name="Moeda 5 9 2 3" xfId="50424"/>
    <cellStyle name="Moeda 5 9 3" xfId="48364"/>
    <cellStyle name="Moeda 5 9 3 2" xfId="50809"/>
    <cellStyle name="Moeda 5 9 4" xfId="50107"/>
    <cellStyle name="Moeda 6" xfId="131"/>
    <cellStyle name="Moeda 6 2" xfId="1203"/>
    <cellStyle name="Moeda 6 3" xfId="48365"/>
    <cellStyle name="Moeda 7" xfId="48366"/>
    <cellStyle name="Moeda 7 2" xfId="48367"/>
    <cellStyle name="Moeda 7 2 2" xfId="48368"/>
    <cellStyle name="Moeda 7 2 2 2" xfId="48369"/>
    <cellStyle name="Moeda 7 2 2 2 2" xfId="48370"/>
    <cellStyle name="Moeda 7 2 2 2 2 2" xfId="51137"/>
    <cellStyle name="Moeda 7 2 2 2 3" xfId="50394"/>
    <cellStyle name="Moeda 7 2 2 3" xfId="48371"/>
    <cellStyle name="Moeda 7 2 2 3 2" xfId="50777"/>
    <cellStyle name="Moeda 7 2 2 4" xfId="50082"/>
    <cellStyle name="Moeda 7 2 3" xfId="48372"/>
    <cellStyle name="Moeda 7 2 3 2" xfId="48373"/>
    <cellStyle name="Moeda 7 2 3 2 2" xfId="51002"/>
    <cellStyle name="Moeda 7 2 3 3" xfId="50266"/>
    <cellStyle name="Moeda 7 2 4" xfId="48374"/>
    <cellStyle name="Moeda 7 2 4 2" xfId="50640"/>
    <cellStyle name="Moeda 7 2 5" xfId="49978"/>
    <cellStyle name="Moeda 7 3" xfId="48375"/>
    <cellStyle name="Moeda 7 3 2" xfId="48376"/>
    <cellStyle name="Moeda 7 3 2 2" xfId="48377"/>
    <cellStyle name="Moeda 7 3 2 2 2" xfId="51124"/>
    <cellStyle name="Moeda 7 3 2 3" xfId="50381"/>
    <cellStyle name="Moeda 7 3 3" xfId="48378"/>
    <cellStyle name="Moeda 7 3 3 2" xfId="50764"/>
    <cellStyle name="Moeda 7 3 4" xfId="50072"/>
    <cellStyle name="Moeda 7 4" xfId="48379"/>
    <cellStyle name="Moeda 7 4 2" xfId="48380"/>
    <cellStyle name="Moeda 7 4 2 2" xfId="50989"/>
    <cellStyle name="Moeda 7 4 3" xfId="50253"/>
    <cellStyle name="Moeda 7 5" xfId="48381"/>
    <cellStyle name="Moeda 7 5 2" xfId="48382"/>
    <cellStyle name="Moeda 7 5 2 2" xfId="51206"/>
    <cellStyle name="Moeda 7 5 3" xfId="50454"/>
    <cellStyle name="Moeda 7 6" xfId="48383"/>
    <cellStyle name="Moeda 7 6 2" xfId="50627"/>
    <cellStyle name="Moeda 7 7" xfId="49968"/>
    <cellStyle name="Moeda 8" xfId="48384"/>
    <cellStyle name="Moeda 9" xfId="1099"/>
    <cellStyle name="Moeda 9 2" xfId="48385"/>
    <cellStyle name="Moeda 9_Mem." xfId="48386"/>
    <cellStyle name="Neutra" xfId="43949" builtinId="28" customBuiltin="1"/>
    <cellStyle name="Neutra 10" xfId="51950"/>
    <cellStyle name="Neutra 11" xfId="51992"/>
    <cellStyle name="Neutra 12" xfId="52035"/>
    <cellStyle name="Neutra 13" xfId="52078"/>
    <cellStyle name="Neutra 14" xfId="52121"/>
    <cellStyle name="Neutra 2" xfId="63"/>
    <cellStyle name="Neutra 3" xfId="51675"/>
    <cellStyle name="Neutra 4" xfId="51692"/>
    <cellStyle name="Neutra 5" xfId="51735"/>
    <cellStyle name="Neutra 6" xfId="51777"/>
    <cellStyle name="Neutra 7" xfId="51819"/>
    <cellStyle name="Neutra 8" xfId="51860"/>
    <cellStyle name="Neutra 9" xfId="51907"/>
    <cellStyle name="Neutral" xfId="51562"/>
    <cellStyle name="Normal" xfId="0" builtinId="0"/>
    <cellStyle name="Normal 10" xfId="389"/>
    <cellStyle name="Normal 10 2" xfId="1461"/>
    <cellStyle name="Normal 10 2 2" xfId="48387"/>
    <cellStyle name="Normal 10 2 2 2" xfId="51275"/>
    <cellStyle name="Normal 10 3" xfId="1762"/>
    <cellStyle name="Normal 10 3 2" xfId="48388"/>
    <cellStyle name="Normal 10 3 2 2" xfId="50886"/>
    <cellStyle name="Normal 10 3 3" xfId="50160"/>
    <cellStyle name="Normal 10 3 4" xfId="52229"/>
    <cellStyle name="Normal 10 4" xfId="48389"/>
    <cellStyle name="Normal 10 4 2" xfId="50520"/>
    <cellStyle name="Normal 10 5" xfId="48390"/>
    <cellStyle name="Normal 10 5 2" xfId="51232"/>
    <cellStyle name="Normal 10 6" xfId="49846"/>
    <cellStyle name="Normal 10 6 2" xfId="51350"/>
    <cellStyle name="Normal 10 7" xfId="49892"/>
    <cellStyle name="Normal 10_Mem." xfId="48391"/>
    <cellStyle name="Normal 11" xfId="676"/>
    <cellStyle name="Normal 11 2" xfId="64"/>
    <cellStyle name="Normal 11 2 10" xfId="649"/>
    <cellStyle name="Normal 11 2 10 2" xfId="1720"/>
    <cellStyle name="Normal 11 2 11" xfId="510"/>
    <cellStyle name="Normal 11 2 11 2" xfId="1581"/>
    <cellStyle name="Normal 11 2 12" xfId="1151"/>
    <cellStyle name="Normal 11 2 13" xfId="48392"/>
    <cellStyle name="Normal 11 2 2" xfId="132"/>
    <cellStyle name="Normal 11 2 2 2" xfId="1204"/>
    <cellStyle name="Normal 11 2 2 2 2" xfId="50887"/>
    <cellStyle name="Normal 11 2 2 3" xfId="48393"/>
    <cellStyle name="Normal 11 2 2_Mem." xfId="48394"/>
    <cellStyle name="Normal 11 2 3" xfId="210"/>
    <cellStyle name="Normal 11 2 3 2" xfId="1282"/>
    <cellStyle name="Normal 11 2 3 2 2" xfId="51276"/>
    <cellStyle name="Normal 11 2 3 3" xfId="48395"/>
    <cellStyle name="Normal 11 2 3_Mem." xfId="48396"/>
    <cellStyle name="Normal 11 2 4" xfId="267"/>
    <cellStyle name="Normal 11 2 4 2" xfId="1339"/>
    <cellStyle name="Normal 11 2 4 3" xfId="50161"/>
    <cellStyle name="Normal 11 2 5" xfId="321"/>
    <cellStyle name="Normal 11 2 5 2" xfId="1393"/>
    <cellStyle name="Normal 11 2 6" xfId="360"/>
    <cellStyle name="Normal 11 2 6 2" xfId="1432"/>
    <cellStyle name="Normal 11 2 7" xfId="418"/>
    <cellStyle name="Normal 11 2 7 2" xfId="1490"/>
    <cellStyle name="Normal 11 2 8" xfId="480"/>
    <cellStyle name="Normal 11 2 8 2" xfId="1551"/>
    <cellStyle name="Normal 11 2 9" xfId="596"/>
    <cellStyle name="Normal 11 2 9 2" xfId="1667"/>
    <cellStyle name="Normal 11 2_Mem." xfId="48397"/>
    <cellStyle name="Normal 11 3" xfId="65"/>
    <cellStyle name="Normal 11 3 10" xfId="635"/>
    <cellStyle name="Normal 11 3 10 2" xfId="1706"/>
    <cellStyle name="Normal 11 3 11" xfId="448"/>
    <cellStyle name="Normal 11 3 11 2" xfId="1519"/>
    <cellStyle name="Normal 11 3 12" xfId="1152"/>
    <cellStyle name="Normal 11 3 13" xfId="48398"/>
    <cellStyle name="Normal 11 3 2" xfId="133"/>
    <cellStyle name="Normal 11 3 2 2" xfId="1205"/>
    <cellStyle name="Normal 11 3 2 3" xfId="50521"/>
    <cellStyle name="Normal 11 3 3" xfId="211"/>
    <cellStyle name="Normal 11 3 3 2" xfId="1283"/>
    <cellStyle name="Normal 11 3 4" xfId="268"/>
    <cellStyle name="Normal 11 3 4 2" xfId="1340"/>
    <cellStyle name="Normal 11 3 5" xfId="322"/>
    <cellStyle name="Normal 11 3 5 2" xfId="1394"/>
    <cellStyle name="Normal 11 3 6" xfId="361"/>
    <cellStyle name="Normal 11 3 6 2" xfId="1433"/>
    <cellStyle name="Normal 11 3 7" xfId="419"/>
    <cellStyle name="Normal 11 3 7 2" xfId="1491"/>
    <cellStyle name="Normal 11 3 8" xfId="481"/>
    <cellStyle name="Normal 11 3 8 2" xfId="1552"/>
    <cellStyle name="Normal 11 3 9" xfId="514"/>
    <cellStyle name="Normal 11 3 9 2" xfId="1585"/>
    <cellStyle name="Normal 11 3_Mem." xfId="48399"/>
    <cellStyle name="Normal 11 4" xfId="1747"/>
    <cellStyle name="Normal 11 4 2" xfId="48400"/>
    <cellStyle name="Normal 11 4_Mem." xfId="48401"/>
    <cellStyle name="Normal 11 5" xfId="48402"/>
    <cellStyle name="Normal 11 5 2" xfId="51351"/>
    <cellStyle name="Normal 11 6" xfId="49893"/>
    <cellStyle name="Normal 11_Mem." xfId="48403"/>
    <cellStyle name="Normal 12" xfId="694"/>
    <cellStyle name="Normal 12 2" xfId="1749"/>
    <cellStyle name="Normal 12 2 2" xfId="48404"/>
    <cellStyle name="Normal 12 2 2 2" xfId="50888"/>
    <cellStyle name="Normal 12 2 3" xfId="48405"/>
    <cellStyle name="Normal 12 2 3 2" xfId="51277"/>
    <cellStyle name="Normal 12 2 4" xfId="48406"/>
    <cellStyle name="Normal 12 2_Mem." xfId="48407"/>
    <cellStyle name="Normal 12 3" xfId="48408"/>
    <cellStyle name="Normal 12 3 2" xfId="50522"/>
    <cellStyle name="Normal 12 3 3" xfId="52235"/>
    <cellStyle name="Normal 12 4" xfId="48409"/>
    <cellStyle name="Normal 12 4 2" xfId="51233"/>
    <cellStyle name="Normal 12 5" xfId="48410"/>
    <cellStyle name="Normal 12 5 2" xfId="51352"/>
    <cellStyle name="Normal 12 6" xfId="49894"/>
    <cellStyle name="Normal 12_Mem." xfId="48411"/>
    <cellStyle name="Normal 13" xfId="702"/>
    <cellStyle name="Normal 13 2" xfId="1750"/>
    <cellStyle name="Normal 13 2 2" xfId="48412"/>
    <cellStyle name="Normal 13 2 2 2" xfId="50889"/>
    <cellStyle name="Normal 13 2 3" xfId="48413"/>
    <cellStyle name="Normal 13 2 3 2" xfId="51278"/>
    <cellStyle name="Normal 13 2 4" xfId="48414"/>
    <cellStyle name="Normal 13 2_Mem." xfId="48415"/>
    <cellStyle name="Normal 13 3" xfId="48416"/>
    <cellStyle name="Normal 13 3 2" xfId="50523"/>
    <cellStyle name="Normal 13 3 3" xfId="52190"/>
    <cellStyle name="Normal 13 4" xfId="48417"/>
    <cellStyle name="Normal 13 4 2" xfId="51234"/>
    <cellStyle name="Normal 13 5" xfId="48418"/>
    <cellStyle name="Normal 13 5 2" xfId="51353"/>
    <cellStyle name="Normal 13 6" xfId="49895"/>
    <cellStyle name="Normal 13_Mem." xfId="48419"/>
    <cellStyle name="Normal 14" xfId="66"/>
    <cellStyle name="Normal 14 10" xfId="543"/>
    <cellStyle name="Normal 14 10 2" xfId="1614"/>
    <cellStyle name="Normal 14 11" xfId="670"/>
    <cellStyle name="Normal 14 11 2" xfId="1741"/>
    <cellStyle name="Normal 14 12" xfId="1153"/>
    <cellStyle name="Normal 14 13" xfId="48420"/>
    <cellStyle name="Normal 14 2" xfId="134"/>
    <cellStyle name="Normal 14 2 2" xfId="1206"/>
    <cellStyle name="Normal 14 2 2 2" xfId="48421"/>
    <cellStyle name="Normal 14 2 2_Mem." xfId="48422"/>
    <cellStyle name="Normal 14 2 3" xfId="48423"/>
    <cellStyle name="Normal 14 2 3 2" xfId="51279"/>
    <cellStyle name="Normal 14 2 4" xfId="48424"/>
    <cellStyle name="Normal 14 2_Mem." xfId="48425"/>
    <cellStyle name="Normal 14 3" xfId="212"/>
    <cellStyle name="Normal 14 3 2" xfId="1284"/>
    <cellStyle name="Normal 14 3 2 2" xfId="50524"/>
    <cellStyle name="Normal 14 3 3" xfId="48426"/>
    <cellStyle name="Normal 14 3_Mem." xfId="48427"/>
    <cellStyle name="Normal 14 4" xfId="269"/>
    <cellStyle name="Normal 14 4 2" xfId="1341"/>
    <cellStyle name="Normal 14 4 2 2" xfId="51235"/>
    <cellStyle name="Normal 14 4 3" xfId="48428"/>
    <cellStyle name="Normal 14 4_Mem." xfId="48429"/>
    <cellStyle name="Normal 14 5" xfId="323"/>
    <cellStyle name="Normal 14 5 2" xfId="1395"/>
    <cellStyle name="Normal 14 5 2 2" xfId="51354"/>
    <cellStyle name="Normal 14 5 3" xfId="49847"/>
    <cellStyle name="Normal 14 6" xfId="362"/>
    <cellStyle name="Normal 14 6 2" xfId="1434"/>
    <cellStyle name="Normal 14 6 3" xfId="49896"/>
    <cellStyle name="Normal 14 7" xfId="420"/>
    <cellStyle name="Normal 14 7 2" xfId="1492"/>
    <cellStyle name="Normal 14 8" xfId="482"/>
    <cellStyle name="Normal 14 8 2" xfId="1553"/>
    <cellStyle name="Normal 14 9" xfId="624"/>
    <cellStyle name="Normal 14 9 2" xfId="1695"/>
    <cellStyle name="Normal 14_Mem." xfId="48430"/>
    <cellStyle name="Normal 15" xfId="710"/>
    <cellStyle name="Normal 15 2" xfId="1751"/>
    <cellStyle name="Normal 15 2 2" xfId="48431"/>
    <cellStyle name="Normal 15 2 2 2" xfId="50890"/>
    <cellStyle name="Normal 15 2 3" xfId="48432"/>
    <cellStyle name="Normal 15 2 3 2" xfId="51280"/>
    <cellStyle name="Normal 15 2 4" xfId="48433"/>
    <cellStyle name="Normal 15 2_Mem." xfId="48434"/>
    <cellStyle name="Normal 15 3" xfId="48435"/>
    <cellStyle name="Normal 15 3 2" xfId="50525"/>
    <cellStyle name="Normal 15 3 3" xfId="52242"/>
    <cellStyle name="Normal 15 4" xfId="48436"/>
    <cellStyle name="Normal 15 4 2" xfId="51236"/>
    <cellStyle name="Normal 15 5" xfId="48437"/>
    <cellStyle name="Normal 15 5 2" xfId="51355"/>
    <cellStyle name="Normal 15 6" xfId="49897"/>
    <cellStyle name="Normal 15_Mem." xfId="48438"/>
    <cellStyle name="Normal 16" xfId="718"/>
    <cellStyle name="Normal 16 2" xfId="1752"/>
    <cellStyle name="Normal 16 3" xfId="52249"/>
    <cellStyle name="Normal 16_Mem." xfId="48439"/>
    <cellStyle name="Normal 17" xfId="726"/>
    <cellStyle name="Normal 17 2" xfId="1753"/>
    <cellStyle name="Normal 17 2 2" xfId="48440"/>
    <cellStyle name="Normal 17 2 2 2" xfId="50891"/>
    <cellStyle name="Normal 17 2 3" xfId="48441"/>
    <cellStyle name="Normal 17 2 3 2" xfId="51281"/>
    <cellStyle name="Normal 17 2 4" xfId="48442"/>
    <cellStyle name="Normal 17 2_Mem." xfId="48443"/>
    <cellStyle name="Normal 17 3" xfId="48444"/>
    <cellStyle name="Normal 17 3 2" xfId="50526"/>
    <cellStyle name="Normal 17 3 3" xfId="52250"/>
    <cellStyle name="Normal 17 4" xfId="48445"/>
    <cellStyle name="Normal 17 4 2" xfId="51237"/>
    <cellStyle name="Normal 17 5" xfId="48446"/>
    <cellStyle name="Normal 17 5 2" xfId="51356"/>
    <cellStyle name="Normal 17 6" xfId="49898"/>
    <cellStyle name="Normal 17_Mem." xfId="48447"/>
    <cellStyle name="Normal 18" xfId="734"/>
    <cellStyle name="Normal 18 2" xfId="1754"/>
    <cellStyle name="Normal 18 2 2" xfId="48448"/>
    <cellStyle name="Normal 18 2 2 2" xfId="50892"/>
    <cellStyle name="Normal 18 2 3" xfId="48449"/>
    <cellStyle name="Normal 18 2 3 2" xfId="51282"/>
    <cellStyle name="Normal 18 2 4" xfId="48450"/>
    <cellStyle name="Normal 18 2_Mem." xfId="48451"/>
    <cellStyle name="Normal 18 3" xfId="48452"/>
    <cellStyle name="Normal 18 3 2" xfId="50527"/>
    <cellStyle name="Normal 18 3 3" xfId="52219"/>
    <cellStyle name="Normal 18 4" xfId="48453"/>
    <cellStyle name="Normal 18 4 2" xfId="51238"/>
    <cellStyle name="Normal 18 5" xfId="48454"/>
    <cellStyle name="Normal 18 5 2" xfId="51357"/>
    <cellStyle name="Normal 18 6" xfId="49899"/>
    <cellStyle name="Normal 18_Mem." xfId="48455"/>
    <cellStyle name="Normal 19" xfId="746"/>
    <cellStyle name="Normal 19 2" xfId="48456"/>
    <cellStyle name="Normal 19 2 2" xfId="48457"/>
    <cellStyle name="Normal 19 2 2 2" xfId="50893"/>
    <cellStyle name="Normal 19 2 3" xfId="48458"/>
    <cellStyle name="Normal 19 2 3 2" xfId="51283"/>
    <cellStyle name="Normal 19 2 4" xfId="50162"/>
    <cellStyle name="Normal 19 2 5" xfId="52230"/>
    <cellStyle name="Normal 19 3" xfId="48459"/>
    <cellStyle name="Normal 19 3 2" xfId="50528"/>
    <cellStyle name="Normal 19 3 3" xfId="52218"/>
    <cellStyle name="Normal 19 4" xfId="48460"/>
    <cellStyle name="Normal 19 4 2" xfId="51239"/>
    <cellStyle name="Normal 19 5" xfId="48461"/>
    <cellStyle name="Normal 19 5 2" xfId="51358"/>
    <cellStyle name="Normal 19 6" xfId="49900"/>
    <cellStyle name="Normal 19_Mem." xfId="48462"/>
    <cellStyle name="Normal 2" xfId="2"/>
    <cellStyle name="Normal 2 10" xfId="550"/>
    <cellStyle name="Normal 2 10 2" xfId="1621"/>
    <cellStyle name="Normal 2 10 2 2" xfId="48463"/>
    <cellStyle name="Normal 2 10 2 2 2" xfId="48464"/>
    <cellStyle name="Normal 2 10 2 2 2 2" xfId="51138"/>
    <cellStyle name="Normal 2 10 2 2 3" xfId="50395"/>
    <cellStyle name="Normal 2 10 2 3" xfId="48465"/>
    <cellStyle name="Normal 2 10 2 3 2" xfId="50778"/>
    <cellStyle name="Normal 2 10 2 4" xfId="48466"/>
    <cellStyle name="Normal 2 10 2_Mem." xfId="48467"/>
    <cellStyle name="Normal 2 10 3" xfId="48468"/>
    <cellStyle name="Normal 2 10 3 2" xfId="48469"/>
    <cellStyle name="Normal 2 10 3 2 2" xfId="48470"/>
    <cellStyle name="Normal 2 10 3 2 2 2" xfId="51003"/>
    <cellStyle name="Normal 2 10 3 2 3" xfId="50267"/>
    <cellStyle name="Normal 2 10 3 3" xfId="48471"/>
    <cellStyle name="Normal 2 10 3 3 2" xfId="50641"/>
    <cellStyle name="Normal 2 10 3 4" xfId="49979"/>
    <cellStyle name="Normal 2 10_Mem." xfId="48472"/>
    <cellStyle name="Normal 2 11" xfId="659"/>
    <cellStyle name="Normal 2 11 2" xfId="1730"/>
    <cellStyle name="Normal 2 11 2 2" xfId="48473"/>
    <cellStyle name="Normal 2 11 2 2 2" xfId="48474"/>
    <cellStyle name="Normal 2 11 2 2 2 2" xfId="51029"/>
    <cellStyle name="Normal 2 11 2 2 3" xfId="50293"/>
    <cellStyle name="Normal 2 11 2 3" xfId="48475"/>
    <cellStyle name="Normal 2 11 2 3 2" xfId="50668"/>
    <cellStyle name="Normal 2 11 2 4" xfId="48476"/>
    <cellStyle name="Normal 2 11 2_Mem." xfId="48477"/>
    <cellStyle name="Normal 2 11_Mem." xfId="48478"/>
    <cellStyle name="Normal 2 12" xfId="48479"/>
    <cellStyle name="Normal 2 13" xfId="48480"/>
    <cellStyle name="Normal 2 14" xfId="48481"/>
    <cellStyle name="Normal 2 15" xfId="48482"/>
    <cellStyle name="Normal 2 16" xfId="48483"/>
    <cellStyle name="Normal 2 17" xfId="48484"/>
    <cellStyle name="Normal 2 18" xfId="48485"/>
    <cellStyle name="Normal 2 19" xfId="48486"/>
    <cellStyle name="Normal 2 2" xfId="67"/>
    <cellStyle name="Normal 2 2 2" xfId="1100"/>
    <cellStyle name="Normal 2 2 2 2" xfId="48487"/>
    <cellStyle name="Normal 2 2 2_Mem." xfId="48488"/>
    <cellStyle name="Normal 2 2 3" xfId="43990"/>
    <cellStyle name="Normal 2 2 3 2" xfId="45291"/>
    <cellStyle name="Normal 2 2 3_Mem." xfId="48489"/>
    <cellStyle name="Normal 2 2 4" xfId="48490"/>
    <cellStyle name="Normal 2 2 5" xfId="51525"/>
    <cellStyle name="Normal 2 2 6" xfId="51374"/>
    <cellStyle name="Normal 2 2 7" xfId="52675"/>
    <cellStyle name="Normal 2 2_Mem." xfId="48491"/>
    <cellStyle name="Normal 2 20" xfId="48492"/>
    <cellStyle name="Normal 2 20 2" xfId="48493"/>
    <cellStyle name="Normal 2 20 2 2" xfId="48494"/>
    <cellStyle name="Normal 2 20 2 2 2" xfId="50894"/>
    <cellStyle name="Normal 2 20 2 3" xfId="48495"/>
    <cellStyle name="Normal 2 20 2 3 2" xfId="51311"/>
    <cellStyle name="Normal 2 20 2 4" xfId="50163"/>
    <cellStyle name="Normal 2 20 3" xfId="48496"/>
    <cellStyle name="Normal 2 20 3 2" xfId="50529"/>
    <cellStyle name="Normal 2 20 4" xfId="48497"/>
    <cellStyle name="Normal 2 20 4 2" xfId="51268"/>
    <cellStyle name="Normal 2 20 5" xfId="49901"/>
    <cellStyle name="Normal 2 20 6" xfId="51776"/>
    <cellStyle name="Normal 2 21" xfId="48498"/>
    <cellStyle name="Normal 2 21 2" xfId="48499"/>
    <cellStyle name="Normal 2 21 2 2" xfId="48500"/>
    <cellStyle name="Normal 2 21 2 2 2" xfId="50896"/>
    <cellStyle name="Normal 2 21 2 3" xfId="50165"/>
    <cellStyle name="Normal 2 21 3" xfId="48501"/>
    <cellStyle name="Normal 2 21 3 2" xfId="50531"/>
    <cellStyle name="Normal 2 21 4" xfId="48502"/>
    <cellStyle name="Normal 2 21 4 2" xfId="51296"/>
    <cellStyle name="Normal 2 21 5" xfId="49903"/>
    <cellStyle name="Normal 2 21 6" xfId="51818"/>
    <cellStyle name="Normal 2 22" xfId="48503"/>
    <cellStyle name="Normal 2 22 2" xfId="48504"/>
    <cellStyle name="Normal 2 22 2 2" xfId="48505"/>
    <cellStyle name="Normal 2 22 2 2 2" xfId="51172"/>
    <cellStyle name="Normal 2 22 2 3" xfId="50427"/>
    <cellStyle name="Normal 2 22 3" xfId="48506"/>
    <cellStyle name="Normal 2 22 3 2" xfId="50812"/>
    <cellStyle name="Normal 2 22 4" xfId="48507"/>
    <cellStyle name="Normal 2 22 4 2" xfId="51325"/>
    <cellStyle name="Normal 2 22 5" xfId="50110"/>
    <cellStyle name="Normal 2 22 6" xfId="51859"/>
    <cellStyle name="Normal 2 23" xfId="48508"/>
    <cellStyle name="Normal 2 23 2" xfId="48509"/>
    <cellStyle name="Normal 2 23 2 2" xfId="50857"/>
    <cellStyle name="Normal 2 23 3" xfId="48510"/>
    <cellStyle name="Normal 2 23 3 2" xfId="51341"/>
    <cellStyle name="Normal 2 23 4" xfId="50135"/>
    <cellStyle name="Normal 2 23 5" xfId="51906"/>
    <cellStyle name="Normal 2 24" xfId="48511"/>
    <cellStyle name="Normal 2 24 2" xfId="48512"/>
    <cellStyle name="Normal 2 24 2 2" xfId="51207"/>
    <cellStyle name="Normal 2 24 3" xfId="50455"/>
    <cellStyle name="Normal 2 24 4" xfId="51949"/>
    <cellStyle name="Normal 2 25" xfId="48513"/>
    <cellStyle name="Normal 2 25 2" xfId="50481"/>
    <cellStyle name="Normal 2 25 3" xfId="51991"/>
    <cellStyle name="Normal 2 26" xfId="48514"/>
    <cellStyle name="Normal 2 26 2" xfId="51252"/>
    <cellStyle name="Normal 2 26 3" xfId="52034"/>
    <cellStyle name="Normal 2 27" xfId="48515"/>
    <cellStyle name="Normal 2 27 2" xfId="51344"/>
    <cellStyle name="Normal 2 27 3" xfId="52077"/>
    <cellStyle name="Normal 2 28" xfId="49860"/>
    <cellStyle name="Normal 2 28 2" xfId="51371"/>
    <cellStyle name="Normal 2 28 3" xfId="52120"/>
    <cellStyle name="Normal 2 29" xfId="49865"/>
    <cellStyle name="Normal 2 29 2" xfId="52189"/>
    <cellStyle name="Normal 2 29 2 2" xfId="52255"/>
    <cellStyle name="Normal 2 29 2 3" xfId="52275"/>
    <cellStyle name="Normal 2 29 3" xfId="52264"/>
    <cellStyle name="Normal 2 29 4" xfId="52273"/>
    <cellStyle name="Normal 2 29 5" xfId="52159"/>
    <cellStyle name="Normal 2 3" xfId="213"/>
    <cellStyle name="Normal 2 3 2" xfId="1285"/>
    <cellStyle name="Normal 2 3 3" xfId="43991"/>
    <cellStyle name="Normal 2 3 4" xfId="48516"/>
    <cellStyle name="Normal 2 3_Mem." xfId="48517"/>
    <cellStyle name="Normal 2 30" xfId="52162"/>
    <cellStyle name="Normal 2 31" xfId="52168"/>
    <cellStyle name="Normal 2 32" xfId="52171"/>
    <cellStyle name="Normal 2 33" xfId="52172"/>
    <cellStyle name="Normal 2 34" xfId="52178"/>
    <cellStyle name="Normal 2 35" xfId="52177"/>
    <cellStyle name="Normal 2 36" xfId="52165"/>
    <cellStyle name="Normal 2 37" xfId="52170"/>
    <cellStyle name="Normal 2 38" xfId="52167"/>
    <cellStyle name="Normal 2 38 2" xfId="52245"/>
    <cellStyle name="Normal 2 38 3" xfId="52274"/>
    <cellStyle name="Normal 2 39" xfId="52166"/>
    <cellStyle name="Normal 2 4" xfId="270"/>
    <cellStyle name="Normal 2 4 2" xfId="1342"/>
    <cellStyle name="Normal 2 4 3" xfId="43992"/>
    <cellStyle name="Normal 2 4_Mem." xfId="48518"/>
    <cellStyle name="Normal 2 5" xfId="324"/>
    <cellStyle name="Normal 2 5 10" xfId="48519"/>
    <cellStyle name="Normal 2 5 10 2" xfId="50482"/>
    <cellStyle name="Normal 2 5 11" xfId="49866"/>
    <cellStyle name="Normal 2 5 2" xfId="1396"/>
    <cellStyle name="Normal 2 5 2 2" xfId="48520"/>
    <cellStyle name="Normal 2 5 2 2 2" xfId="48521"/>
    <cellStyle name="Normal 2 5 2 2 2 2" xfId="48522"/>
    <cellStyle name="Normal 2 5 2 2 2 2 2" xfId="51066"/>
    <cellStyle name="Normal 2 5 2 2 2 3" xfId="50325"/>
    <cellStyle name="Normal 2 5 2 2 3" xfId="48523"/>
    <cellStyle name="Normal 2 5 2 2 3 2" xfId="50706"/>
    <cellStyle name="Normal 2 5 2 2 4" xfId="50026"/>
    <cellStyle name="Normal 2 5 2 3" xfId="48524"/>
    <cellStyle name="Normal 2 5 2 3 2" xfId="48525"/>
    <cellStyle name="Normal 2 5 2 3 2 2" xfId="48526"/>
    <cellStyle name="Normal 2 5 2 3 2 2 2" xfId="50933"/>
    <cellStyle name="Normal 2 5 2 3 2 3" xfId="50197"/>
    <cellStyle name="Normal 2 5 2 3 3" xfId="48527"/>
    <cellStyle name="Normal 2 5 2 3 3 2" xfId="50569"/>
    <cellStyle name="Normal 2 5 2 3 4" xfId="49930"/>
    <cellStyle name="Normal 2 5 3" xfId="43993"/>
    <cellStyle name="Normal 2 5 3 2" xfId="48528"/>
    <cellStyle name="Normal 2 5 3 2 2" xfId="48529"/>
    <cellStyle name="Normal 2 5 3 2 2 2" xfId="48530"/>
    <cellStyle name="Normal 2 5 3 2 2 2 2" xfId="51099"/>
    <cellStyle name="Normal 2 5 3 2 2 3" xfId="50357"/>
    <cellStyle name="Normal 2 5 3 2 3" xfId="48531"/>
    <cellStyle name="Normal 2 5 3 2 3 2" xfId="50739"/>
    <cellStyle name="Normal 2 5 3 2 4" xfId="50052"/>
    <cellStyle name="Normal 2 5 3 3" xfId="48532"/>
    <cellStyle name="Normal 2 5 3 3 2" xfId="48533"/>
    <cellStyle name="Normal 2 5 3 3 2 2" xfId="50965"/>
    <cellStyle name="Normal 2 5 3 3 3" xfId="50229"/>
    <cellStyle name="Normal 2 5 3 4" xfId="48534"/>
    <cellStyle name="Normal 2 5 3 4 2" xfId="50602"/>
    <cellStyle name="Normal 2 5 3 5" xfId="49951"/>
    <cellStyle name="Normal 2 5 4" xfId="48535"/>
    <cellStyle name="Normal 2 5 4 2" xfId="48536"/>
    <cellStyle name="Normal 2 5 4 2 2" xfId="48537"/>
    <cellStyle name="Normal 2 5 4 2 2 2" xfId="48538"/>
    <cellStyle name="Normal 2 5 4 2 2 2 2" xfId="51139"/>
    <cellStyle name="Normal 2 5 4 2 2 3" xfId="50396"/>
    <cellStyle name="Normal 2 5 4 2 3" xfId="48539"/>
    <cellStyle name="Normal 2 5 4 2 3 2" xfId="50779"/>
    <cellStyle name="Normal 2 5 4 2 4" xfId="50083"/>
    <cellStyle name="Normal 2 5 4 3" xfId="48540"/>
    <cellStyle name="Normal 2 5 4 3 2" xfId="48541"/>
    <cellStyle name="Normal 2 5 4 3 2 2" xfId="51004"/>
    <cellStyle name="Normal 2 5 4 3 3" xfId="50268"/>
    <cellStyle name="Normal 2 5 4 4" xfId="48542"/>
    <cellStyle name="Normal 2 5 4 4 2" xfId="50642"/>
    <cellStyle name="Normal 2 5 4 5" xfId="49980"/>
    <cellStyle name="Normal 2 5 5" xfId="48543"/>
    <cellStyle name="Normal 2 5 5 2" xfId="48544"/>
    <cellStyle name="Normal 2 5 5 2 2" xfId="48545"/>
    <cellStyle name="Normal 2 5 5 2 2 2" xfId="51048"/>
    <cellStyle name="Normal 2 5 5 2 3" xfId="50308"/>
    <cellStyle name="Normal 2 5 5 3" xfId="48546"/>
    <cellStyle name="Normal 2 5 5 3 2" xfId="50688"/>
    <cellStyle name="Normal 2 5 5 4" xfId="50011"/>
    <cellStyle name="Normal 2 5 6" xfId="48547"/>
    <cellStyle name="Normal 2 5 6 2" xfId="48548"/>
    <cellStyle name="Normal 2 5 6 2 2" xfId="48549"/>
    <cellStyle name="Normal 2 5 6 2 2 2" xfId="50915"/>
    <cellStyle name="Normal 2 5 6 2 3" xfId="50180"/>
    <cellStyle name="Normal 2 5 6 3" xfId="48550"/>
    <cellStyle name="Normal 2 5 6 3 2" xfId="50551"/>
    <cellStyle name="Normal 2 5 6 4" xfId="49916"/>
    <cellStyle name="Normal 2 5 7" xfId="48551"/>
    <cellStyle name="Normal 2 5 7 2" xfId="48552"/>
    <cellStyle name="Normal 2 5 7 2 2" xfId="48553"/>
    <cellStyle name="Normal 2 5 7 2 2 2" xfId="51173"/>
    <cellStyle name="Normal 2 5 7 2 3" xfId="50428"/>
    <cellStyle name="Normal 2 5 7 3" xfId="48554"/>
    <cellStyle name="Normal 2 5 7 3 2" xfId="50813"/>
    <cellStyle name="Normal 2 5 7 4" xfId="50111"/>
    <cellStyle name="Normal 2 5 8" xfId="48555"/>
    <cellStyle name="Normal 2 5 8 2" xfId="48556"/>
    <cellStyle name="Normal 2 5 8 2 2" xfId="50858"/>
    <cellStyle name="Normal 2 5 8 3" xfId="50136"/>
    <cellStyle name="Normal 2 5 9" xfId="48557"/>
    <cellStyle name="Normal 2 5 9 2" xfId="48558"/>
    <cellStyle name="Normal 2 5 9 2 2" xfId="51208"/>
    <cellStyle name="Normal 2 5 9 3" xfId="50456"/>
    <cellStyle name="Normal 2 5_Mem." xfId="48559"/>
    <cellStyle name="Normal 2 6" xfId="363"/>
    <cellStyle name="Normal 2 6 10" xfId="48560"/>
    <cellStyle name="Normal 2 6 10 2" xfId="50483"/>
    <cellStyle name="Normal 2 6 11" xfId="48561"/>
    <cellStyle name="Normal 2 6 2" xfId="1435"/>
    <cellStyle name="Normal 2 6 2 2" xfId="48562"/>
    <cellStyle name="Normal 2 6 2 2 2" xfId="48563"/>
    <cellStyle name="Normal 2 6 2 2 2 2" xfId="48564"/>
    <cellStyle name="Normal 2 6 2 2 2 2 2" xfId="51067"/>
    <cellStyle name="Normal 2 6 2 2 2 3" xfId="50326"/>
    <cellStyle name="Normal 2 6 2 2 3" xfId="48565"/>
    <cellStyle name="Normal 2 6 2 2 3 2" xfId="50707"/>
    <cellStyle name="Normal 2 6 2 2 4" xfId="50027"/>
    <cellStyle name="Normal 2 6 2 3" xfId="48566"/>
    <cellStyle name="Normal 2 6 2 3 2" xfId="48567"/>
    <cellStyle name="Normal 2 6 2 3 2 2" xfId="48568"/>
    <cellStyle name="Normal 2 6 2 3 2 2 2" xfId="50934"/>
    <cellStyle name="Normal 2 6 2 3 2 3" xfId="50198"/>
    <cellStyle name="Normal 2 6 2 3 3" xfId="48569"/>
    <cellStyle name="Normal 2 6 2 3 3 2" xfId="50570"/>
    <cellStyle name="Normal 2 6 2 3 4" xfId="49931"/>
    <cellStyle name="Normal 2 6 3" xfId="48570"/>
    <cellStyle name="Normal 2 6 3 2" xfId="48571"/>
    <cellStyle name="Normal 2 6 3 2 2" xfId="48572"/>
    <cellStyle name="Normal 2 6 3 2 2 2" xfId="48573"/>
    <cellStyle name="Normal 2 6 3 2 2 2 2" xfId="51100"/>
    <cellStyle name="Normal 2 6 3 2 2 3" xfId="50358"/>
    <cellStyle name="Normal 2 6 3 2 3" xfId="48574"/>
    <cellStyle name="Normal 2 6 3 2 3 2" xfId="50740"/>
    <cellStyle name="Normal 2 6 3 2 4" xfId="50053"/>
    <cellStyle name="Normal 2 6 3 3" xfId="48575"/>
    <cellStyle name="Normal 2 6 3 3 2" xfId="48576"/>
    <cellStyle name="Normal 2 6 3 3 2 2" xfId="50966"/>
    <cellStyle name="Normal 2 6 3 3 3" xfId="50230"/>
    <cellStyle name="Normal 2 6 3 4" xfId="48577"/>
    <cellStyle name="Normal 2 6 3 4 2" xfId="50603"/>
    <cellStyle name="Normal 2 6 3 5" xfId="49952"/>
    <cellStyle name="Normal 2 6 4" xfId="48578"/>
    <cellStyle name="Normal 2 6 4 2" xfId="48579"/>
    <cellStyle name="Normal 2 6 4 2 2" xfId="48580"/>
    <cellStyle name="Normal 2 6 4 2 2 2" xfId="48581"/>
    <cellStyle name="Normal 2 6 4 2 2 2 2" xfId="51140"/>
    <cellStyle name="Normal 2 6 4 2 2 3" xfId="50397"/>
    <cellStyle name="Normal 2 6 4 2 3" xfId="48582"/>
    <cellStyle name="Normal 2 6 4 2 3 2" xfId="50780"/>
    <cellStyle name="Normal 2 6 4 2 4" xfId="50084"/>
    <cellStyle name="Normal 2 6 4 3" xfId="48583"/>
    <cellStyle name="Normal 2 6 4 3 2" xfId="48584"/>
    <cellStyle name="Normal 2 6 4 3 2 2" xfId="51005"/>
    <cellStyle name="Normal 2 6 4 3 3" xfId="50269"/>
    <cellStyle name="Normal 2 6 4 4" xfId="48585"/>
    <cellStyle name="Normal 2 6 4 4 2" xfId="50643"/>
    <cellStyle name="Normal 2 6 4 5" xfId="49981"/>
    <cellStyle name="Normal 2 6 5" xfId="48586"/>
    <cellStyle name="Normal 2 6 5 2" xfId="48587"/>
    <cellStyle name="Normal 2 6 5 2 2" xfId="48588"/>
    <cellStyle name="Normal 2 6 5 2 2 2" xfId="51038"/>
    <cellStyle name="Normal 2 6 5 2 3" xfId="50299"/>
    <cellStyle name="Normal 2 6 5 3" xfId="48589"/>
    <cellStyle name="Normal 2 6 5 3 2" xfId="50678"/>
    <cellStyle name="Normal 2 6 5 4" xfId="50002"/>
    <cellStyle name="Normal 2 6 6" xfId="48590"/>
    <cellStyle name="Normal 2 6 6 2" xfId="48591"/>
    <cellStyle name="Normal 2 6 6 2 2" xfId="48592"/>
    <cellStyle name="Normal 2 6 6 2 2 2" xfId="50905"/>
    <cellStyle name="Normal 2 6 6 2 3" xfId="50171"/>
    <cellStyle name="Normal 2 6 6 3" xfId="48593"/>
    <cellStyle name="Normal 2 6 6 3 2" xfId="50541"/>
    <cellStyle name="Normal 2 6 6 4" xfId="49907"/>
    <cellStyle name="Normal 2 6 7" xfId="48594"/>
    <cellStyle name="Normal 2 6 7 2" xfId="48595"/>
    <cellStyle name="Normal 2 6 7 2 2" xfId="48596"/>
    <cellStyle name="Normal 2 6 7 2 2 2" xfId="51174"/>
    <cellStyle name="Normal 2 6 7 2 3" xfId="50429"/>
    <cellStyle name="Normal 2 6 7 3" xfId="48597"/>
    <cellStyle name="Normal 2 6 7 3 2" xfId="50814"/>
    <cellStyle name="Normal 2 6 7 4" xfId="50112"/>
    <cellStyle name="Normal 2 6 8" xfId="48598"/>
    <cellStyle name="Normal 2 6 8 2" xfId="48599"/>
    <cellStyle name="Normal 2 6 8 2 2" xfId="50859"/>
    <cellStyle name="Normal 2 6 8 3" xfId="50137"/>
    <cellStyle name="Normal 2 6 9" xfId="48600"/>
    <cellStyle name="Normal 2 6 9 2" xfId="48601"/>
    <cellStyle name="Normal 2 6 9 2 2" xfId="51209"/>
    <cellStyle name="Normal 2 6 9 3" xfId="50457"/>
    <cellStyle name="Normal 2 6_Mem." xfId="48602"/>
    <cellStyle name="Normal 2 7" xfId="421"/>
    <cellStyle name="Normal 2 7 10" xfId="48603"/>
    <cellStyle name="Normal 2 7 2" xfId="1493"/>
    <cellStyle name="Normal 2 7 2 2" xfId="48604"/>
    <cellStyle name="Normal 2 7 2 2 2" xfId="48605"/>
    <cellStyle name="Normal 2 7 2 2 2 2" xfId="48606"/>
    <cellStyle name="Normal 2 7 2 2 2 2 2" xfId="51101"/>
    <cellStyle name="Normal 2 7 2 2 2 3" xfId="50359"/>
    <cellStyle name="Normal 2 7 2 2 3" xfId="48607"/>
    <cellStyle name="Normal 2 7 2 2 3 2" xfId="50741"/>
    <cellStyle name="Normal 2 7 2 2 4" xfId="50054"/>
    <cellStyle name="Normal 2 7 2 3" xfId="48608"/>
    <cellStyle name="Normal 2 7 2 3 2" xfId="48609"/>
    <cellStyle name="Normal 2 7 2 3 2 2" xfId="48610"/>
    <cellStyle name="Normal 2 7 2 3 2 2 2" xfId="50967"/>
    <cellStyle name="Normal 2 7 2 3 2 3" xfId="50231"/>
    <cellStyle name="Normal 2 7 2 3 3" xfId="48611"/>
    <cellStyle name="Normal 2 7 2 3 3 2" xfId="50604"/>
    <cellStyle name="Normal 2 7 2 3 4" xfId="49953"/>
    <cellStyle name="Normal 2 7 3" xfId="48612"/>
    <cellStyle name="Normal 2 7 3 2" xfId="48613"/>
    <cellStyle name="Normal 2 7 3 2 2" xfId="48614"/>
    <cellStyle name="Normal 2 7 3 2 2 2" xfId="48615"/>
    <cellStyle name="Normal 2 7 3 2 2 2 2" xfId="51141"/>
    <cellStyle name="Normal 2 7 3 2 2 3" xfId="50398"/>
    <cellStyle name="Normal 2 7 3 2 3" xfId="48616"/>
    <cellStyle name="Normal 2 7 3 2 3 2" xfId="50781"/>
    <cellStyle name="Normal 2 7 3 2 4" xfId="50085"/>
    <cellStyle name="Normal 2 7 3 3" xfId="48617"/>
    <cellStyle name="Normal 2 7 3 3 2" xfId="48618"/>
    <cellStyle name="Normal 2 7 3 3 2 2" xfId="51006"/>
    <cellStyle name="Normal 2 7 3 3 3" xfId="50270"/>
    <cellStyle name="Normal 2 7 3 4" xfId="48619"/>
    <cellStyle name="Normal 2 7 3 4 2" xfId="50644"/>
    <cellStyle name="Normal 2 7 3 5" xfId="49982"/>
    <cellStyle name="Normal 2 7 4" xfId="48620"/>
    <cellStyle name="Normal 2 7 4 2" xfId="48621"/>
    <cellStyle name="Normal 2 7 4 2 2" xfId="48622"/>
    <cellStyle name="Normal 2 7 4 2 2 2" xfId="51068"/>
    <cellStyle name="Normal 2 7 4 2 3" xfId="50327"/>
    <cellStyle name="Normal 2 7 4 3" xfId="48623"/>
    <cellStyle name="Normal 2 7 4 3 2" xfId="50708"/>
    <cellStyle name="Normal 2 7 4 4" xfId="50028"/>
    <cellStyle name="Normal 2 7 5" xfId="48624"/>
    <cellStyle name="Normal 2 7 5 2" xfId="48625"/>
    <cellStyle name="Normal 2 7 5 2 2" xfId="48626"/>
    <cellStyle name="Normal 2 7 5 2 2 2" xfId="50935"/>
    <cellStyle name="Normal 2 7 5 2 3" xfId="50199"/>
    <cellStyle name="Normal 2 7 5 3" xfId="48627"/>
    <cellStyle name="Normal 2 7 5 3 2" xfId="50571"/>
    <cellStyle name="Normal 2 7 5 4" xfId="49932"/>
    <cellStyle name="Normal 2 7 6" xfId="48628"/>
    <cellStyle name="Normal 2 7 6 2" xfId="48629"/>
    <cellStyle name="Normal 2 7 6 2 2" xfId="48630"/>
    <cellStyle name="Normal 2 7 6 2 2 2" xfId="51175"/>
    <cellStyle name="Normal 2 7 6 2 3" xfId="50430"/>
    <cellStyle name="Normal 2 7 6 3" xfId="48631"/>
    <cellStyle name="Normal 2 7 6 3 2" xfId="50815"/>
    <cellStyle name="Normal 2 7 6 4" xfId="50113"/>
    <cellStyle name="Normal 2 7 7" xfId="48632"/>
    <cellStyle name="Normal 2 7 7 2" xfId="48633"/>
    <cellStyle name="Normal 2 7 7 2 2" xfId="50860"/>
    <cellStyle name="Normal 2 7 7 3" xfId="50138"/>
    <cellStyle name="Normal 2 7 8" xfId="48634"/>
    <cellStyle name="Normal 2 7 8 2" xfId="48635"/>
    <cellStyle name="Normal 2 7 8 2 2" xfId="51210"/>
    <cellStyle name="Normal 2 7 8 3" xfId="50458"/>
    <cellStyle name="Normal 2 7 9" xfId="48636"/>
    <cellStyle name="Normal 2 7 9 2" xfId="50484"/>
    <cellStyle name="Normal 2 7_Mem." xfId="48637"/>
    <cellStyle name="Normal 2 8" xfId="483"/>
    <cellStyle name="Normal 2 8 2" xfId="1554"/>
    <cellStyle name="Normal 2 8 2 2" xfId="48638"/>
    <cellStyle name="Normal 2 8 2 2 2" xfId="48639"/>
    <cellStyle name="Normal 2 8 2 2 2 2" xfId="51065"/>
    <cellStyle name="Normal 2 8 2 2 3" xfId="50324"/>
    <cellStyle name="Normal 2 8 2 3" xfId="48640"/>
    <cellStyle name="Normal 2 8 2 3 2" xfId="50705"/>
    <cellStyle name="Normal 2 8 2 4" xfId="48641"/>
    <cellStyle name="Normal 2 8 2_Mem." xfId="48642"/>
    <cellStyle name="Normal 2 8 3" xfId="48643"/>
    <cellStyle name="Normal 2 8 3 2" xfId="48644"/>
    <cellStyle name="Normal 2 8 3 2 2" xfId="48645"/>
    <cellStyle name="Normal 2 8 3 2 2 2" xfId="50932"/>
    <cellStyle name="Normal 2 8 3 2 3" xfId="50196"/>
    <cellStyle name="Normal 2 8 3 3" xfId="48646"/>
    <cellStyle name="Normal 2 8 3 3 2" xfId="50568"/>
    <cellStyle name="Normal 2 8 3 4" xfId="49929"/>
    <cellStyle name="Normal 2 8_Mem." xfId="48647"/>
    <cellStyle name="Normal 2 9" xfId="608"/>
    <cellStyle name="Normal 2 9 2" xfId="1679"/>
    <cellStyle name="Normal 2 9 2 2" xfId="48648"/>
    <cellStyle name="Normal 2 9 2 2 2" xfId="48649"/>
    <cellStyle name="Normal 2 9 2 2 2 2" xfId="51098"/>
    <cellStyle name="Normal 2 9 2 2 3" xfId="50356"/>
    <cellStyle name="Normal 2 9 2 3" xfId="48650"/>
    <cellStyle name="Normal 2 9 2 3 2" xfId="50738"/>
    <cellStyle name="Normal 2 9 2 4" xfId="48651"/>
    <cellStyle name="Normal 2 9 2_Mem." xfId="48652"/>
    <cellStyle name="Normal 2 9 3" xfId="48653"/>
    <cellStyle name="Normal 2 9 3 2" xfId="48654"/>
    <cellStyle name="Normal 2 9 3 2 2" xfId="48655"/>
    <cellStyle name="Normal 2 9 3 2 2 2" xfId="50964"/>
    <cellStyle name="Normal 2 9 3 2 3" xfId="50228"/>
    <cellStyle name="Normal 2 9 3 3" xfId="48656"/>
    <cellStyle name="Normal 2 9 3 3 2" xfId="50601"/>
    <cellStyle name="Normal 2 9 3 4" xfId="49950"/>
    <cellStyle name="Normal 2 9_Mem." xfId="48657"/>
    <cellStyle name="Normal 2_Mem." xfId="48658"/>
    <cellStyle name="Normal 20" xfId="750"/>
    <cellStyle name="Normal 20 2" xfId="48659"/>
    <cellStyle name="Normal 20 2 2" xfId="50838"/>
    <cellStyle name="Normal 20 2 3" xfId="52234"/>
    <cellStyle name="Normal 20 3" xfId="48660"/>
    <cellStyle name="Normal 20 3 2" xfId="52244"/>
    <cellStyle name="Normal 20_Mem." xfId="48661"/>
    <cellStyle name="Normal 21" xfId="758"/>
    <cellStyle name="Normal 21 2" xfId="48662"/>
    <cellStyle name="Normal 21 2 2" xfId="51197"/>
    <cellStyle name="Normal 21 2 3" xfId="52236"/>
    <cellStyle name="Normal 21 3" xfId="48663"/>
    <cellStyle name="Normal 21 3 2" xfId="51343"/>
    <cellStyle name="Normal 21 3 3" xfId="52225"/>
    <cellStyle name="Normal 21 4" xfId="48664"/>
    <cellStyle name="Normal 21_Mem." xfId="48665"/>
    <cellStyle name="Normal 22" xfId="766"/>
    <cellStyle name="Normal 22 2" xfId="48666"/>
    <cellStyle name="Normal 22 2 2" xfId="51198"/>
    <cellStyle name="Normal 22 2 3" xfId="52257"/>
    <cellStyle name="Normal 22 3" xfId="48667"/>
    <cellStyle name="Normal 22 3 2" xfId="52267"/>
    <cellStyle name="Normal 22 4" xfId="52174"/>
    <cellStyle name="Normal 22_Mem." xfId="48668"/>
    <cellStyle name="Normal 23" xfId="774"/>
    <cellStyle name="Normal 23 2" xfId="52258"/>
    <cellStyle name="Normal 23 3" xfId="52268"/>
    <cellStyle name="Normal 23 4" xfId="52175"/>
    <cellStyle name="Normal 24" xfId="782"/>
    <cellStyle name="Normal 25" xfId="790"/>
    <cellStyle name="Normal 25 2" xfId="52256"/>
    <cellStyle name="Normal 25 3" xfId="52266"/>
    <cellStyle name="Normal 25 4" xfId="52163"/>
    <cellStyle name="Normal 26" xfId="798"/>
    <cellStyle name="Normal 27" xfId="43988"/>
    <cellStyle name="Normal 27 2" xfId="45292"/>
    <cellStyle name="Normal 27 2 2" xfId="52260"/>
    <cellStyle name="Normal 27 3" xfId="52270"/>
    <cellStyle name="Normal 27 4" xfId="52179"/>
    <cellStyle name="Normal 28" xfId="48669"/>
    <cellStyle name="Normal 28 2" xfId="52262"/>
    <cellStyle name="Normal 28 2 2" xfId="53302"/>
    <cellStyle name="Normal 28 3" xfId="52271"/>
    <cellStyle name="Normal 28 4" xfId="52185"/>
    <cellStyle name="Normal 28 5" xfId="53301"/>
    <cellStyle name="Normal 29" xfId="48670"/>
    <cellStyle name="Normal 29 2" xfId="52188"/>
    <cellStyle name="Normal 29 3" xfId="52272"/>
    <cellStyle name="Normal 3" xfId="68"/>
    <cellStyle name="Normal 3 10" xfId="577"/>
    <cellStyle name="Normal 3 10 2" xfId="1648"/>
    <cellStyle name="Normal 3 100" xfId="43994"/>
    <cellStyle name="Normal 3 101" xfId="43995"/>
    <cellStyle name="Normal 3 102" xfId="43996"/>
    <cellStyle name="Normal 3 103" xfId="43997"/>
    <cellStyle name="Normal 3 104" xfId="43998"/>
    <cellStyle name="Normal 3 105" xfId="43999"/>
    <cellStyle name="Normal 3 106" xfId="44000"/>
    <cellStyle name="Normal 3 107" xfId="44001"/>
    <cellStyle name="Normal 3 108" xfId="44002"/>
    <cellStyle name="Normal 3 109" xfId="44003"/>
    <cellStyle name="Normal 3 11" xfId="558"/>
    <cellStyle name="Normal 3 11 2" xfId="1629"/>
    <cellStyle name="Normal 3 110" xfId="44004"/>
    <cellStyle name="Normal 3 111" xfId="44005"/>
    <cellStyle name="Normal 3 112" xfId="44006"/>
    <cellStyle name="Normal 3 113" xfId="44007"/>
    <cellStyle name="Normal 3 114" xfId="44008"/>
    <cellStyle name="Normal 3 115" xfId="44009"/>
    <cellStyle name="Normal 3 116" xfId="44010"/>
    <cellStyle name="Normal 3 117" xfId="44011"/>
    <cellStyle name="Normal 3 118" xfId="44012"/>
    <cellStyle name="Normal 3 119" xfId="44013"/>
    <cellStyle name="Normal 3 12" xfId="685"/>
    <cellStyle name="Normal 3 120" xfId="44014"/>
    <cellStyle name="Normal 3 121" xfId="44015"/>
    <cellStyle name="Normal 3 122" xfId="44016"/>
    <cellStyle name="Normal 3 123" xfId="44017"/>
    <cellStyle name="Normal 3 124" xfId="44018"/>
    <cellStyle name="Normal 3 125" xfId="44019"/>
    <cellStyle name="Normal 3 126" xfId="44020"/>
    <cellStyle name="Normal 3 127" xfId="44021"/>
    <cellStyle name="Normal 3 128" xfId="44022"/>
    <cellStyle name="Normal 3 129" xfId="44023"/>
    <cellStyle name="Normal 3 13" xfId="695"/>
    <cellStyle name="Normal 3 130" xfId="44024"/>
    <cellStyle name="Normal 3 131" xfId="44025"/>
    <cellStyle name="Normal 3 132" xfId="44026"/>
    <cellStyle name="Normal 3 133" xfId="44027"/>
    <cellStyle name="Normal 3 134" xfId="44028"/>
    <cellStyle name="Normal 3 135" xfId="44029"/>
    <cellStyle name="Normal 3 136" xfId="44030"/>
    <cellStyle name="Normal 3 137" xfId="44031"/>
    <cellStyle name="Normal 3 138" xfId="44032"/>
    <cellStyle name="Normal 3 139" xfId="44033"/>
    <cellStyle name="Normal 3 14" xfId="703"/>
    <cellStyle name="Normal 3 140" xfId="44034"/>
    <cellStyle name="Normal 3 141" xfId="44035"/>
    <cellStyle name="Normal 3 142" xfId="44036"/>
    <cellStyle name="Normal 3 143" xfId="44037"/>
    <cellStyle name="Normal 3 144" xfId="44038"/>
    <cellStyle name="Normal 3 145" xfId="44039"/>
    <cellStyle name="Normal 3 146" xfId="44040"/>
    <cellStyle name="Normal 3 147" xfId="44041"/>
    <cellStyle name="Normal 3 148" xfId="44042"/>
    <cellStyle name="Normal 3 149" xfId="44043"/>
    <cellStyle name="Normal 3 15" xfId="711"/>
    <cellStyle name="Normal 3 150" xfId="44044"/>
    <cellStyle name="Normal 3 151" xfId="44045"/>
    <cellStyle name="Normal 3 152" xfId="44046"/>
    <cellStyle name="Normal 3 153" xfId="44047"/>
    <cellStyle name="Normal 3 154" xfId="44048"/>
    <cellStyle name="Normal 3 155" xfId="44049"/>
    <cellStyle name="Normal 3 156" xfId="44050"/>
    <cellStyle name="Normal 3 157" xfId="44051"/>
    <cellStyle name="Normal 3 158" xfId="44052"/>
    <cellStyle name="Normal 3 159" xfId="44053"/>
    <cellStyle name="Normal 3 16" xfId="719"/>
    <cellStyle name="Normal 3 160" xfId="44054"/>
    <cellStyle name="Normal 3 161" xfId="44055"/>
    <cellStyle name="Normal 3 162" xfId="44056"/>
    <cellStyle name="Normal 3 163" xfId="44057"/>
    <cellStyle name="Normal 3 164" xfId="44058"/>
    <cellStyle name="Normal 3 165" xfId="44059"/>
    <cellStyle name="Normal 3 166" xfId="44060"/>
    <cellStyle name="Normal 3 167" xfId="44061"/>
    <cellStyle name="Normal 3 168" xfId="44062"/>
    <cellStyle name="Normal 3 169" xfId="44063"/>
    <cellStyle name="Normal 3 17" xfId="727"/>
    <cellStyle name="Normal 3 170" xfId="44064"/>
    <cellStyle name="Normal 3 171" xfId="44065"/>
    <cellStyle name="Normal 3 172" xfId="44066"/>
    <cellStyle name="Normal 3 173" xfId="44067"/>
    <cellStyle name="Normal 3 174" xfId="44068"/>
    <cellStyle name="Normal 3 175" xfId="44069"/>
    <cellStyle name="Normal 3 176" xfId="44070"/>
    <cellStyle name="Normal 3 177" xfId="44071"/>
    <cellStyle name="Normal 3 178" xfId="44072"/>
    <cellStyle name="Normal 3 179" xfId="44073"/>
    <cellStyle name="Normal 3 18" xfId="735"/>
    <cellStyle name="Normal 3 180" xfId="44074"/>
    <cellStyle name="Normal 3 181" xfId="44075"/>
    <cellStyle name="Normal 3 182" xfId="44076"/>
    <cellStyle name="Normal 3 183" xfId="44077"/>
    <cellStyle name="Normal 3 184" xfId="44078"/>
    <cellStyle name="Normal 3 185" xfId="44079"/>
    <cellStyle name="Normal 3 186" xfId="44080"/>
    <cellStyle name="Normal 3 187" xfId="44081"/>
    <cellStyle name="Normal 3 188" xfId="44082"/>
    <cellStyle name="Normal 3 189" xfId="44083"/>
    <cellStyle name="Normal 3 19" xfId="741"/>
    <cellStyle name="Normal 3 190" xfId="44084"/>
    <cellStyle name="Normal 3 2" xfId="135"/>
    <cellStyle name="Normal 3 2 2" xfId="1122"/>
    <cellStyle name="Normal 3 2 2 2" xfId="45293"/>
    <cellStyle name="Normal 3 2 2 3" xfId="43985"/>
    <cellStyle name="Normal 3 2 3" xfId="1207"/>
    <cellStyle name="Normal 3 2 4" xfId="53303"/>
    <cellStyle name="Normal 3 2 5" xfId="53304"/>
    <cellStyle name="Normal 3 2_Mem." xfId="48671"/>
    <cellStyle name="Normal 3 20" xfId="751"/>
    <cellStyle name="Normal 3 21" xfId="759"/>
    <cellStyle name="Normal 3 22" xfId="767"/>
    <cellStyle name="Normal 3 23" xfId="775"/>
    <cellStyle name="Normal 3 24" xfId="783"/>
    <cellStyle name="Normal 3 25" xfId="791"/>
    <cellStyle name="Normal 3 26" xfId="799"/>
    <cellStyle name="Normal 3 27" xfId="805"/>
    <cellStyle name="Normal 3 28" xfId="813"/>
    <cellStyle name="Normal 3 29" xfId="820"/>
    <cellStyle name="Normal 3 3" xfId="215"/>
    <cellStyle name="Normal 3 3 10" xfId="48672"/>
    <cellStyle name="Normal 3 3 10 2" xfId="48673"/>
    <cellStyle name="Normal 3 3 10 2 2" xfId="50861"/>
    <cellStyle name="Normal 3 3 10 3" xfId="50139"/>
    <cellStyle name="Normal 3 3 11" xfId="48674"/>
    <cellStyle name="Normal 3 3 11 2" xfId="48675"/>
    <cellStyle name="Normal 3 3 11 2 2" xfId="51211"/>
    <cellStyle name="Normal 3 3 11 3" xfId="50459"/>
    <cellStyle name="Normal 3 3 12" xfId="48676"/>
    <cellStyle name="Normal 3 3 12 2" xfId="50485"/>
    <cellStyle name="Normal 3 3 13" xfId="48677"/>
    <cellStyle name="Normal 3 3 2" xfId="1287"/>
    <cellStyle name="Normal 3 3 2 10" xfId="48678"/>
    <cellStyle name="Normal 3 3 2 10 2" xfId="50486"/>
    <cellStyle name="Normal 3 3 2 11" xfId="48679"/>
    <cellStyle name="Normal 3 3 2 2" xfId="48680"/>
    <cellStyle name="Normal 3 3 2 2 2" xfId="48681"/>
    <cellStyle name="Normal 3 3 2 2 2 2" xfId="48682"/>
    <cellStyle name="Normal 3 3 2 2 2 2 2" xfId="48683"/>
    <cellStyle name="Normal 3 3 2 2 2 2 2 2" xfId="51070"/>
    <cellStyle name="Normal 3 3 2 2 2 2 3" xfId="50329"/>
    <cellStyle name="Normal 3 3 2 2 2 3" xfId="48684"/>
    <cellStyle name="Normal 3 3 2 2 2 3 2" xfId="50710"/>
    <cellStyle name="Normal 3 3 2 2 2 4" xfId="50030"/>
    <cellStyle name="Normal 3 3 2 2 3" xfId="48685"/>
    <cellStyle name="Normal 3 3 2 2 3 2" xfId="48686"/>
    <cellStyle name="Normal 3 3 2 2 3 2 2" xfId="50937"/>
    <cellStyle name="Normal 3 3 2 2 3 3" xfId="50201"/>
    <cellStyle name="Normal 3 3 2 2 4" xfId="48687"/>
    <cellStyle name="Normal 3 3 2 2 4 2" xfId="50573"/>
    <cellStyle name="Normal 3 3 2 2 5" xfId="49934"/>
    <cellStyle name="Normal 3 3 2 3" xfId="48688"/>
    <cellStyle name="Normal 3 3 2 3 2" xfId="48689"/>
    <cellStyle name="Normal 3 3 2 3 2 2" xfId="48690"/>
    <cellStyle name="Normal 3 3 2 3 2 2 2" xfId="48691"/>
    <cellStyle name="Normal 3 3 2 3 2 2 2 2" xfId="51103"/>
    <cellStyle name="Normal 3 3 2 3 2 2 3" xfId="50361"/>
    <cellStyle name="Normal 3 3 2 3 2 3" xfId="48692"/>
    <cellStyle name="Normal 3 3 2 3 2 3 2" xfId="50743"/>
    <cellStyle name="Normal 3 3 2 3 2 4" xfId="50056"/>
    <cellStyle name="Normal 3 3 2 3 3" xfId="48693"/>
    <cellStyle name="Normal 3 3 2 3 3 2" xfId="48694"/>
    <cellStyle name="Normal 3 3 2 3 3 2 2" xfId="50969"/>
    <cellStyle name="Normal 3 3 2 3 3 3" xfId="50233"/>
    <cellStyle name="Normal 3 3 2 3 4" xfId="48695"/>
    <cellStyle name="Normal 3 3 2 3 4 2" xfId="50606"/>
    <cellStyle name="Normal 3 3 2 3 5" xfId="49955"/>
    <cellStyle name="Normal 3 3 2 4" xfId="48696"/>
    <cellStyle name="Normal 3 3 2 4 2" xfId="48697"/>
    <cellStyle name="Normal 3 3 2 4 2 2" xfId="48698"/>
    <cellStyle name="Normal 3 3 2 4 2 2 2" xfId="48699"/>
    <cellStyle name="Normal 3 3 2 4 2 2 2 2" xfId="51143"/>
    <cellStyle name="Normal 3 3 2 4 2 2 3" xfId="50400"/>
    <cellStyle name="Normal 3 3 2 4 2 3" xfId="48700"/>
    <cellStyle name="Normal 3 3 2 4 2 3 2" xfId="50783"/>
    <cellStyle name="Normal 3 3 2 4 2 4" xfId="50087"/>
    <cellStyle name="Normal 3 3 2 4 3" xfId="48701"/>
    <cellStyle name="Normal 3 3 2 4 3 2" xfId="48702"/>
    <cellStyle name="Normal 3 3 2 4 3 2 2" xfId="51008"/>
    <cellStyle name="Normal 3 3 2 4 3 3" xfId="50272"/>
    <cellStyle name="Normal 3 3 2 4 4" xfId="48703"/>
    <cellStyle name="Normal 3 3 2 4 4 2" xfId="50646"/>
    <cellStyle name="Normal 3 3 2 4 5" xfId="49984"/>
    <cellStyle name="Normal 3 3 2 5" xfId="48704"/>
    <cellStyle name="Normal 3 3 2 5 2" xfId="48705"/>
    <cellStyle name="Normal 3 3 2 5 2 2" xfId="48706"/>
    <cellStyle name="Normal 3 3 2 5 2 2 2" xfId="51053"/>
    <cellStyle name="Normal 3 3 2 5 2 3" xfId="50312"/>
    <cellStyle name="Normal 3 3 2 5 3" xfId="48707"/>
    <cellStyle name="Normal 3 3 2 5 3 2" xfId="50693"/>
    <cellStyle name="Normal 3 3 2 5 4" xfId="50015"/>
    <cellStyle name="Normal 3 3 2 6" xfId="48708"/>
    <cellStyle name="Normal 3 3 2 6 2" xfId="48709"/>
    <cellStyle name="Normal 3 3 2 6 2 2" xfId="48710"/>
    <cellStyle name="Normal 3 3 2 6 2 2 2" xfId="50920"/>
    <cellStyle name="Normal 3 3 2 6 2 3" xfId="50184"/>
    <cellStyle name="Normal 3 3 2 6 3" xfId="48711"/>
    <cellStyle name="Normal 3 3 2 6 3 2" xfId="50556"/>
    <cellStyle name="Normal 3 3 2 6 4" xfId="49920"/>
    <cellStyle name="Normal 3 3 2 7" xfId="48712"/>
    <cellStyle name="Normal 3 3 2 7 2" xfId="48713"/>
    <cellStyle name="Normal 3 3 2 7 2 2" xfId="48714"/>
    <cellStyle name="Normal 3 3 2 7 2 2 2" xfId="51177"/>
    <cellStyle name="Normal 3 3 2 7 2 3" xfId="50432"/>
    <cellStyle name="Normal 3 3 2 7 3" xfId="48715"/>
    <cellStyle name="Normal 3 3 2 7 3 2" xfId="50817"/>
    <cellStyle name="Normal 3 3 2 7 4" xfId="50115"/>
    <cellStyle name="Normal 3 3 2 8" xfId="48716"/>
    <cellStyle name="Normal 3 3 2 8 2" xfId="48717"/>
    <cellStyle name="Normal 3 3 2 8 2 2" xfId="50862"/>
    <cellStyle name="Normal 3 3 2 8 3" xfId="50140"/>
    <cellStyle name="Normal 3 3 2 9" xfId="48718"/>
    <cellStyle name="Normal 3 3 2 9 2" xfId="48719"/>
    <cellStyle name="Normal 3 3 2 9 2 2" xfId="51212"/>
    <cellStyle name="Normal 3 3 2 9 3" xfId="50460"/>
    <cellStyle name="Normal 3 3 2_Mem." xfId="48720"/>
    <cellStyle name="Normal 3 3 3" xfId="48721"/>
    <cellStyle name="Normal 3 3 3 10" xfId="48722"/>
    <cellStyle name="Normal 3 3 3 10 2" xfId="50487"/>
    <cellStyle name="Normal 3 3 3 11" xfId="49867"/>
    <cellStyle name="Normal 3 3 3 12" xfId="53305"/>
    <cellStyle name="Normal 3 3 3 2" xfId="48723"/>
    <cellStyle name="Normal 3 3 3 2 2" xfId="48724"/>
    <cellStyle name="Normal 3 3 3 2 2 2" xfId="48725"/>
    <cellStyle name="Normal 3 3 3 2 2 2 2" xfId="48726"/>
    <cellStyle name="Normal 3 3 3 2 2 2 2 2" xfId="51071"/>
    <cellStyle name="Normal 3 3 3 2 2 2 3" xfId="50330"/>
    <cellStyle name="Normal 3 3 3 2 2 3" xfId="48727"/>
    <cellStyle name="Normal 3 3 3 2 2 3 2" xfId="50711"/>
    <cellStyle name="Normal 3 3 3 2 2 4" xfId="50031"/>
    <cellStyle name="Normal 3 3 3 2 3" xfId="48728"/>
    <cellStyle name="Normal 3 3 3 2 3 2" xfId="48729"/>
    <cellStyle name="Normal 3 3 3 2 3 2 2" xfId="50938"/>
    <cellStyle name="Normal 3 3 3 2 3 3" xfId="50202"/>
    <cellStyle name="Normal 3 3 3 2 4" xfId="48730"/>
    <cellStyle name="Normal 3 3 3 2 4 2" xfId="50574"/>
    <cellStyle name="Normal 3 3 3 2 5" xfId="49935"/>
    <cellStyle name="Normal 3 3 3 3" xfId="48731"/>
    <cellStyle name="Normal 3 3 3 3 2" xfId="48732"/>
    <cellStyle name="Normal 3 3 3 3 2 2" xfId="48733"/>
    <cellStyle name="Normal 3 3 3 3 2 2 2" xfId="48734"/>
    <cellStyle name="Normal 3 3 3 3 2 2 2 2" xfId="51104"/>
    <cellStyle name="Normal 3 3 3 3 2 2 3" xfId="50362"/>
    <cellStyle name="Normal 3 3 3 3 2 3" xfId="48735"/>
    <cellStyle name="Normal 3 3 3 3 2 3 2" xfId="50744"/>
    <cellStyle name="Normal 3 3 3 3 2 4" xfId="50057"/>
    <cellStyle name="Normal 3 3 3 3 3" xfId="48736"/>
    <cellStyle name="Normal 3 3 3 3 3 2" xfId="48737"/>
    <cellStyle name="Normal 3 3 3 3 3 2 2" xfId="50970"/>
    <cellStyle name="Normal 3 3 3 3 3 3" xfId="50234"/>
    <cellStyle name="Normal 3 3 3 3 4" xfId="48738"/>
    <cellStyle name="Normal 3 3 3 3 4 2" xfId="50607"/>
    <cellStyle name="Normal 3 3 3 3 5" xfId="49956"/>
    <cellStyle name="Normal 3 3 3 4" xfId="48739"/>
    <cellStyle name="Normal 3 3 3 4 2" xfId="48740"/>
    <cellStyle name="Normal 3 3 3 4 2 2" xfId="48741"/>
    <cellStyle name="Normal 3 3 3 4 2 2 2" xfId="48742"/>
    <cellStyle name="Normal 3 3 3 4 2 2 2 2" xfId="51144"/>
    <cellStyle name="Normal 3 3 3 4 2 2 3" xfId="50401"/>
    <cellStyle name="Normal 3 3 3 4 2 3" xfId="48743"/>
    <cellStyle name="Normal 3 3 3 4 2 3 2" xfId="50784"/>
    <cellStyle name="Normal 3 3 3 4 2 4" xfId="50088"/>
    <cellStyle name="Normal 3 3 3 4 3" xfId="48744"/>
    <cellStyle name="Normal 3 3 3 4 3 2" xfId="48745"/>
    <cellStyle name="Normal 3 3 3 4 3 2 2" xfId="51009"/>
    <cellStyle name="Normal 3 3 3 4 3 3" xfId="50273"/>
    <cellStyle name="Normal 3 3 3 4 4" xfId="48746"/>
    <cellStyle name="Normal 3 3 3 4 4 2" xfId="50647"/>
    <cellStyle name="Normal 3 3 3 4 5" xfId="49985"/>
    <cellStyle name="Normal 3 3 3 5" xfId="48747"/>
    <cellStyle name="Normal 3 3 3 5 2" xfId="48748"/>
    <cellStyle name="Normal 3 3 3 5 2 2" xfId="48749"/>
    <cellStyle name="Normal 3 3 3 5 2 2 2" xfId="51043"/>
    <cellStyle name="Normal 3 3 3 5 2 3" xfId="50303"/>
    <cellStyle name="Normal 3 3 3 5 3" xfId="48750"/>
    <cellStyle name="Normal 3 3 3 5 3 2" xfId="50683"/>
    <cellStyle name="Normal 3 3 3 5 4" xfId="50006"/>
    <cellStyle name="Normal 3 3 3 6" xfId="48751"/>
    <cellStyle name="Normal 3 3 3 6 2" xfId="48752"/>
    <cellStyle name="Normal 3 3 3 6 2 2" xfId="48753"/>
    <cellStyle name="Normal 3 3 3 6 2 2 2" xfId="50910"/>
    <cellStyle name="Normal 3 3 3 6 2 3" xfId="50175"/>
    <cellStyle name="Normal 3 3 3 6 3" xfId="48754"/>
    <cellStyle name="Normal 3 3 3 6 3 2" xfId="50546"/>
    <cellStyle name="Normal 3 3 3 6 4" xfId="49911"/>
    <cellStyle name="Normal 3 3 3 7" xfId="48755"/>
    <cellStyle name="Normal 3 3 3 7 2" xfId="48756"/>
    <cellStyle name="Normal 3 3 3 7 2 2" xfId="48757"/>
    <cellStyle name="Normal 3 3 3 7 2 2 2" xfId="51178"/>
    <cellStyle name="Normal 3 3 3 7 2 3" xfId="50433"/>
    <cellStyle name="Normal 3 3 3 7 3" xfId="48758"/>
    <cellStyle name="Normal 3 3 3 7 3 2" xfId="50818"/>
    <cellStyle name="Normal 3 3 3 7 4" xfId="50116"/>
    <cellStyle name="Normal 3 3 3 8" xfId="48759"/>
    <cellStyle name="Normal 3 3 3 8 2" xfId="48760"/>
    <cellStyle name="Normal 3 3 3 8 2 2" xfId="50863"/>
    <cellStyle name="Normal 3 3 3 8 3" xfId="50141"/>
    <cellStyle name="Normal 3 3 3 9" xfId="48761"/>
    <cellStyle name="Normal 3 3 3 9 2" xfId="48762"/>
    <cellStyle name="Normal 3 3 3 9 2 2" xfId="51213"/>
    <cellStyle name="Normal 3 3 3 9 3" xfId="50461"/>
    <cellStyle name="Normal 3 3 4" xfId="48763"/>
    <cellStyle name="Normal 3 3 4 2" xfId="48764"/>
    <cellStyle name="Normal 3 3 4 2 2" xfId="48765"/>
    <cellStyle name="Normal 3 3 4 2 2 2" xfId="48766"/>
    <cellStyle name="Normal 3 3 4 2 2 2 2" xfId="51069"/>
    <cellStyle name="Normal 3 3 4 2 2 3" xfId="50328"/>
    <cellStyle name="Normal 3 3 4 2 3" xfId="48767"/>
    <cellStyle name="Normal 3 3 4 2 3 2" xfId="50709"/>
    <cellStyle name="Normal 3 3 4 2 4" xfId="50029"/>
    <cellStyle name="Normal 3 3 4 3" xfId="48768"/>
    <cellStyle name="Normal 3 3 4 3 2" xfId="48769"/>
    <cellStyle name="Normal 3 3 4 3 2 2" xfId="50936"/>
    <cellStyle name="Normal 3 3 4 3 3" xfId="50200"/>
    <cellStyle name="Normal 3 3 4 4" xfId="48770"/>
    <cellStyle name="Normal 3 3 4 4 2" xfId="50572"/>
    <cellStyle name="Normal 3 3 4 5" xfId="49933"/>
    <cellStyle name="Normal 3 3 5" xfId="48771"/>
    <cellStyle name="Normal 3 3 5 2" xfId="48772"/>
    <cellStyle name="Normal 3 3 5 2 2" xfId="48773"/>
    <cellStyle name="Normal 3 3 5 2 2 2" xfId="48774"/>
    <cellStyle name="Normal 3 3 5 2 2 2 2" xfId="51102"/>
    <cellStyle name="Normal 3 3 5 2 2 3" xfId="50360"/>
    <cellStyle name="Normal 3 3 5 2 3" xfId="48775"/>
    <cellStyle name="Normal 3 3 5 2 3 2" xfId="50742"/>
    <cellStyle name="Normal 3 3 5 2 4" xfId="50055"/>
    <cellStyle name="Normal 3 3 5 3" xfId="48776"/>
    <cellStyle name="Normal 3 3 5 3 2" xfId="48777"/>
    <cellStyle name="Normal 3 3 5 3 2 2" xfId="50968"/>
    <cellStyle name="Normal 3 3 5 3 3" xfId="50232"/>
    <cellStyle name="Normal 3 3 5 4" xfId="48778"/>
    <cellStyle name="Normal 3 3 5 4 2" xfId="50605"/>
    <cellStyle name="Normal 3 3 5 5" xfId="49954"/>
    <cellStyle name="Normal 3 3 6" xfId="48779"/>
    <cellStyle name="Normal 3 3 6 2" xfId="48780"/>
    <cellStyle name="Normal 3 3 6 2 2" xfId="48781"/>
    <cellStyle name="Normal 3 3 6 2 2 2" xfId="48782"/>
    <cellStyle name="Normal 3 3 6 2 2 2 2" xfId="51142"/>
    <cellStyle name="Normal 3 3 6 2 2 3" xfId="50399"/>
    <cellStyle name="Normal 3 3 6 2 3" xfId="48783"/>
    <cellStyle name="Normal 3 3 6 2 3 2" xfId="50782"/>
    <cellStyle name="Normal 3 3 6 2 4" xfId="50086"/>
    <cellStyle name="Normal 3 3 6 3" xfId="48784"/>
    <cellStyle name="Normal 3 3 6 3 2" xfId="48785"/>
    <cellStyle name="Normal 3 3 6 3 2 2" xfId="51007"/>
    <cellStyle name="Normal 3 3 6 3 3" xfId="50271"/>
    <cellStyle name="Normal 3 3 6 4" xfId="48786"/>
    <cellStyle name="Normal 3 3 6 4 2" xfId="50645"/>
    <cellStyle name="Normal 3 3 6 5" xfId="49983"/>
    <cellStyle name="Normal 3 3 7" xfId="48787"/>
    <cellStyle name="Normal 3 3 7 2" xfId="48788"/>
    <cellStyle name="Normal 3 3 7 2 2" xfId="48789"/>
    <cellStyle name="Normal 3 3 7 2 2 2" xfId="51033"/>
    <cellStyle name="Normal 3 3 7 2 3" xfId="50296"/>
    <cellStyle name="Normal 3 3 7 3" xfId="48790"/>
    <cellStyle name="Normal 3 3 7 3 2" xfId="50673"/>
    <cellStyle name="Normal 3 3 7 4" xfId="50001"/>
    <cellStyle name="Normal 3 3 8" xfId="48791"/>
    <cellStyle name="Normal 3 3 8 2" xfId="48792"/>
    <cellStyle name="Normal 3 3 8 2 2" xfId="48793"/>
    <cellStyle name="Normal 3 3 8 2 2 2" xfId="50900"/>
    <cellStyle name="Normal 3 3 8 2 3" xfId="50168"/>
    <cellStyle name="Normal 3 3 8 3" xfId="48794"/>
    <cellStyle name="Normal 3 3 8 3 2" xfId="50536"/>
    <cellStyle name="Normal 3 3 8 4" xfId="49906"/>
    <cellStyle name="Normal 3 3 9" xfId="48795"/>
    <cellStyle name="Normal 3 3 9 2" xfId="48796"/>
    <cellStyle name="Normal 3 3 9 2 2" xfId="48797"/>
    <cellStyle name="Normal 3 3 9 2 2 2" xfId="51176"/>
    <cellStyle name="Normal 3 3 9 2 3" xfId="50431"/>
    <cellStyle name="Normal 3 3 9 3" xfId="48798"/>
    <cellStyle name="Normal 3 3 9 3 2" xfId="50816"/>
    <cellStyle name="Normal 3 3 9 4" xfId="50114"/>
    <cellStyle name="Normal 3 3_Mem." xfId="48799"/>
    <cellStyle name="Normal 3 30" xfId="828"/>
    <cellStyle name="Normal 3 31" xfId="836"/>
    <cellStyle name="Normal 3 32" xfId="844"/>
    <cellStyle name="Normal 3 33" xfId="852"/>
    <cellStyle name="Normal 3 34" xfId="860"/>
    <cellStyle name="Normal 3 35" xfId="868"/>
    <cellStyle name="Normal 3 36" xfId="876"/>
    <cellStyle name="Normal 3 37" xfId="884"/>
    <cellStyle name="Normal 3 38" xfId="892"/>
    <cellStyle name="Normal 3 39" xfId="900"/>
    <cellStyle name="Normal 3 4" xfId="272"/>
    <cellStyle name="Normal 3 4 2" xfId="1344"/>
    <cellStyle name="Normal 3 4 2 2" xfId="51254"/>
    <cellStyle name="Normal 3 4 3" xfId="48800"/>
    <cellStyle name="Normal 3 4 3 2" xfId="53306"/>
    <cellStyle name="Normal 3 4 4" xfId="53307"/>
    <cellStyle name="Normal 3 4_Mem." xfId="48801"/>
    <cellStyle name="Normal 3 40" xfId="908"/>
    <cellStyle name="Normal 3 41" xfId="916"/>
    <cellStyle name="Normal 3 42" xfId="923"/>
    <cellStyle name="Normal 3 43" xfId="931"/>
    <cellStyle name="Normal 3 44" xfId="939"/>
    <cellStyle name="Normal 3 45" xfId="947"/>
    <cellStyle name="Normal 3 46" xfId="955"/>
    <cellStyle name="Normal 3 47" xfId="963"/>
    <cellStyle name="Normal 3 48" xfId="971"/>
    <cellStyle name="Normal 3 49" xfId="979"/>
    <cellStyle name="Normal 3 5" xfId="325"/>
    <cellStyle name="Normal 3 5 2" xfId="1397"/>
    <cellStyle name="Normal 3 5 3" xfId="53309"/>
    <cellStyle name="Normal 3 5 4" xfId="53310"/>
    <cellStyle name="Normal 3 5 5" xfId="53308"/>
    <cellStyle name="Normal 3 50" xfId="987"/>
    <cellStyle name="Normal 3 51" xfId="995"/>
    <cellStyle name="Normal 3 52" xfId="1003"/>
    <cellStyle name="Normal 3 53" xfId="1011"/>
    <cellStyle name="Normal 3 54" xfId="1018"/>
    <cellStyle name="Normal 3 55" xfId="1025"/>
    <cellStyle name="Normal 3 56" xfId="1032"/>
    <cellStyle name="Normal 3 57" xfId="1039"/>
    <cellStyle name="Normal 3 58" xfId="1045"/>
    <cellStyle name="Normal 3 59" xfId="1055"/>
    <cellStyle name="Normal 3 6" xfId="364"/>
    <cellStyle name="Normal 3 6 2" xfId="1436"/>
    <cellStyle name="Normal 3 60" xfId="1063"/>
    <cellStyle name="Normal 3 61" xfId="1070"/>
    <cellStyle name="Normal 3 62" xfId="1078"/>
    <cellStyle name="Normal 3 63" xfId="1086"/>
    <cellStyle name="Normal 3 64" xfId="1092"/>
    <cellStyle name="Normal 3 65" xfId="1101"/>
    <cellStyle name="Normal 3 65 2" xfId="45294"/>
    <cellStyle name="Normal 3 65 3" xfId="44085"/>
    <cellStyle name="Normal 3 66" xfId="44086"/>
    <cellStyle name="Normal 3 67" xfId="44087"/>
    <cellStyle name="Normal 3 67 2" xfId="53311"/>
    <cellStyle name="Normal 3 68" xfId="44088"/>
    <cellStyle name="Normal 3 69" xfId="44089"/>
    <cellStyle name="Normal 3 7" xfId="422"/>
    <cellStyle name="Normal 3 7 2" xfId="1494"/>
    <cellStyle name="Normal 3 70" xfId="44090"/>
    <cellStyle name="Normal 3 71" xfId="44091"/>
    <cellStyle name="Normal 3 72" xfId="44092"/>
    <cellStyle name="Normal 3 73" xfId="44093"/>
    <cellStyle name="Normal 3 74" xfId="44094"/>
    <cellStyle name="Normal 3 75" xfId="44095"/>
    <cellStyle name="Normal 3 76" xfId="44096"/>
    <cellStyle name="Normal 3 77" xfId="44097"/>
    <cellStyle name="Normal 3 78" xfId="44098"/>
    <cellStyle name="Normal 3 79" xfId="44099"/>
    <cellStyle name="Normal 3 8" xfId="484"/>
    <cellStyle name="Normal 3 8 2" xfId="1555"/>
    <cellStyle name="Normal 3 80" xfId="44100"/>
    <cellStyle name="Normal 3 81" xfId="44101"/>
    <cellStyle name="Normal 3 82" xfId="44102"/>
    <cellStyle name="Normal 3 83" xfId="44103"/>
    <cellStyle name="Normal 3 84" xfId="44104"/>
    <cellStyle name="Normal 3 85" xfId="44105"/>
    <cellStyle name="Normal 3 86" xfId="44106"/>
    <cellStyle name="Normal 3 87" xfId="44107"/>
    <cellStyle name="Normal 3 88" xfId="44108"/>
    <cellStyle name="Normal 3 89" xfId="44109"/>
    <cellStyle name="Normal 3 9" xfId="587"/>
    <cellStyle name="Normal 3 9 2" xfId="1658"/>
    <cellStyle name="Normal 3 90" xfId="44110"/>
    <cellStyle name="Normal 3 91" xfId="44111"/>
    <cellStyle name="Normal 3 92" xfId="44112"/>
    <cellStyle name="Normal 3 93" xfId="44113"/>
    <cellStyle name="Normal 3 94" xfId="44114"/>
    <cellStyle name="Normal 3 95" xfId="44115"/>
    <cellStyle name="Normal 3 96" xfId="44116"/>
    <cellStyle name="Normal 3 97" xfId="44117"/>
    <cellStyle name="Normal 3 98" xfId="44118"/>
    <cellStyle name="Normal 3 99" xfId="44119"/>
    <cellStyle name="Normal 3_Mem." xfId="48802"/>
    <cellStyle name="Normal 30" xfId="827"/>
    <cellStyle name="Normal 31" xfId="835"/>
    <cellStyle name="Normal 31 2" xfId="52173"/>
    <cellStyle name="Normal 32" xfId="843"/>
    <cellStyle name="Normal 33" xfId="851"/>
    <cellStyle name="Normal 34" xfId="859"/>
    <cellStyle name="Normal 35" xfId="867"/>
    <cellStyle name="Normal 36" xfId="875"/>
    <cellStyle name="Normal 37" xfId="883"/>
    <cellStyle name="Normal 38" xfId="891"/>
    <cellStyle name="Normal 39" xfId="899"/>
    <cellStyle name="Normal 4" xfId="69"/>
    <cellStyle name="Normal 4 10" xfId="70"/>
    <cellStyle name="Normal 4 10 10" xfId="634"/>
    <cellStyle name="Normal 4 10 10 2" xfId="1705"/>
    <cellStyle name="Normal 4 10 11" xfId="618"/>
    <cellStyle name="Normal 4 10 11 2" xfId="1689"/>
    <cellStyle name="Normal 4 10 12" xfId="1154"/>
    <cellStyle name="Normal 4 10 13" xfId="48803"/>
    <cellStyle name="Normal 4 10 2" xfId="137"/>
    <cellStyle name="Normal 4 10 2 2" xfId="1209"/>
    <cellStyle name="Normal 4 10 2 2 2" xfId="50864"/>
    <cellStyle name="Normal 4 10 2 3" xfId="48804"/>
    <cellStyle name="Normal 4 10 2_Mem." xfId="48805"/>
    <cellStyle name="Normal 4 10 3" xfId="217"/>
    <cellStyle name="Normal 4 10 3 2" xfId="1289"/>
    <cellStyle name="Normal 4 10 3 3" xfId="50142"/>
    <cellStyle name="Normal 4 10 4" xfId="274"/>
    <cellStyle name="Normal 4 10 4 2" xfId="1346"/>
    <cellStyle name="Normal 4 10 5" xfId="327"/>
    <cellStyle name="Normal 4 10 5 2" xfId="1399"/>
    <cellStyle name="Normal 4 10 6" xfId="366"/>
    <cellStyle name="Normal 4 10 6 2" xfId="1438"/>
    <cellStyle name="Normal 4 10 7" xfId="424"/>
    <cellStyle name="Normal 4 10 7 2" xfId="1496"/>
    <cellStyle name="Normal 4 10 8" xfId="486"/>
    <cellStyle name="Normal 4 10 8 2" xfId="1557"/>
    <cellStyle name="Normal 4 10 9" xfId="532"/>
    <cellStyle name="Normal 4 10 9 2" xfId="1603"/>
    <cellStyle name="Normal 4 10_Mem." xfId="48806"/>
    <cellStyle name="Normal 4 100" xfId="44120"/>
    <cellStyle name="Normal 4 101" xfId="44121"/>
    <cellStyle name="Normal 4 102" xfId="44122"/>
    <cellStyle name="Normal 4 103" xfId="44123"/>
    <cellStyle name="Normal 4 104" xfId="44124"/>
    <cellStyle name="Normal 4 105" xfId="44125"/>
    <cellStyle name="Normal 4 106" xfId="44126"/>
    <cellStyle name="Normal 4 107" xfId="44127"/>
    <cellStyle name="Normal 4 108" xfId="44128"/>
    <cellStyle name="Normal 4 109" xfId="44129"/>
    <cellStyle name="Normal 4 11" xfId="71"/>
    <cellStyle name="Normal 4 11 10" xfId="555"/>
    <cellStyle name="Normal 4 11 10 2" xfId="1626"/>
    <cellStyle name="Normal 4 11 11" xfId="669"/>
    <cellStyle name="Normal 4 11 11 2" xfId="1740"/>
    <cellStyle name="Normal 4 11 12" xfId="1155"/>
    <cellStyle name="Normal 4 11 13" xfId="48807"/>
    <cellStyle name="Normal 4 11 2" xfId="138"/>
    <cellStyle name="Normal 4 11 2 2" xfId="1210"/>
    <cellStyle name="Normal 4 11 2 2 2" xfId="51214"/>
    <cellStyle name="Normal 4 11 2 3" xfId="48808"/>
    <cellStyle name="Normal 4 11 2_Mem." xfId="48809"/>
    <cellStyle name="Normal 4 11 3" xfId="218"/>
    <cellStyle name="Normal 4 11 3 2" xfId="1290"/>
    <cellStyle name="Normal 4 11 3 3" xfId="50462"/>
    <cellStyle name="Normal 4 11 4" xfId="275"/>
    <cellStyle name="Normal 4 11 4 2" xfId="1347"/>
    <cellStyle name="Normal 4 11 5" xfId="328"/>
    <cellStyle name="Normal 4 11 5 2" xfId="1400"/>
    <cellStyle name="Normal 4 11 6" xfId="367"/>
    <cellStyle name="Normal 4 11 6 2" xfId="1439"/>
    <cellStyle name="Normal 4 11 7" xfId="425"/>
    <cellStyle name="Normal 4 11 7 2" xfId="1497"/>
    <cellStyle name="Normal 4 11 8" xfId="487"/>
    <cellStyle name="Normal 4 11 8 2" xfId="1558"/>
    <cellStyle name="Normal 4 11 9" xfId="623"/>
    <cellStyle name="Normal 4 11 9 2" xfId="1694"/>
    <cellStyle name="Normal 4 11_Mem." xfId="48810"/>
    <cellStyle name="Normal 4 110" xfId="44130"/>
    <cellStyle name="Normal 4 111" xfId="44131"/>
    <cellStyle name="Normal 4 112" xfId="44132"/>
    <cellStyle name="Normal 4 113" xfId="44133"/>
    <cellStyle name="Normal 4 114" xfId="44134"/>
    <cellStyle name="Normal 4 115" xfId="44135"/>
    <cellStyle name="Normal 4 116" xfId="44136"/>
    <cellStyle name="Normal 4 117" xfId="44137"/>
    <cellStyle name="Normal 4 118" xfId="44138"/>
    <cellStyle name="Normal 4 119" xfId="44139"/>
    <cellStyle name="Normal 4 12" xfId="72"/>
    <cellStyle name="Normal 4 12 10" xfId="539"/>
    <cellStyle name="Normal 4 12 10 2" xfId="1610"/>
    <cellStyle name="Normal 4 12 11" xfId="658"/>
    <cellStyle name="Normal 4 12 11 2" xfId="1729"/>
    <cellStyle name="Normal 4 12 12" xfId="1156"/>
    <cellStyle name="Normal 4 12 13" xfId="48811"/>
    <cellStyle name="Normal 4 12 2" xfId="139"/>
    <cellStyle name="Normal 4 12 2 2" xfId="1211"/>
    <cellStyle name="Normal 4 12 2 3" xfId="50488"/>
    <cellStyle name="Normal 4 12 3" xfId="219"/>
    <cellStyle name="Normal 4 12 3 2" xfId="1291"/>
    <cellStyle name="Normal 4 12 4" xfId="276"/>
    <cellStyle name="Normal 4 12 4 2" xfId="1348"/>
    <cellStyle name="Normal 4 12 5" xfId="329"/>
    <cellStyle name="Normal 4 12 5 2" xfId="1401"/>
    <cellStyle name="Normal 4 12 6" xfId="368"/>
    <cellStyle name="Normal 4 12 6 2" xfId="1440"/>
    <cellStyle name="Normal 4 12 7" xfId="426"/>
    <cellStyle name="Normal 4 12 7 2" xfId="1498"/>
    <cellStyle name="Normal 4 12 8" xfId="488"/>
    <cellStyle name="Normal 4 12 8 2" xfId="1559"/>
    <cellStyle name="Normal 4 12 9" xfId="607"/>
    <cellStyle name="Normal 4 12 9 2" xfId="1678"/>
    <cellStyle name="Normal 4 12_Mem." xfId="48812"/>
    <cellStyle name="Normal 4 120" xfId="44140"/>
    <cellStyle name="Normal 4 121" xfId="44141"/>
    <cellStyle name="Normal 4 122" xfId="44142"/>
    <cellStyle name="Normal 4 123" xfId="44143"/>
    <cellStyle name="Normal 4 124" xfId="44144"/>
    <cellStyle name="Normal 4 125" xfId="44145"/>
    <cellStyle name="Normal 4 126" xfId="44146"/>
    <cellStyle name="Normal 4 127" xfId="44147"/>
    <cellStyle name="Normal 4 128" xfId="44148"/>
    <cellStyle name="Normal 4 129" xfId="44149"/>
    <cellStyle name="Normal 4 13" xfId="73"/>
    <cellStyle name="Normal 4 13 10" xfId="601"/>
    <cellStyle name="Normal 4 13 10 2" xfId="1672"/>
    <cellStyle name="Normal 4 13 11" xfId="598"/>
    <cellStyle name="Normal 4 13 11 2" xfId="1669"/>
    <cellStyle name="Normal 4 13 12" xfId="1157"/>
    <cellStyle name="Normal 4 13 13" xfId="48813"/>
    <cellStyle name="Normal 4 13 2" xfId="140"/>
    <cellStyle name="Normal 4 13 2 2" xfId="1212"/>
    <cellStyle name="Normal 4 13 2 3" xfId="51327"/>
    <cellStyle name="Normal 4 13 3" xfId="220"/>
    <cellStyle name="Normal 4 13 3 2" xfId="1292"/>
    <cellStyle name="Normal 4 13 4" xfId="277"/>
    <cellStyle name="Normal 4 13 4 2" xfId="1349"/>
    <cellStyle name="Normal 4 13 5" xfId="330"/>
    <cellStyle name="Normal 4 13 5 2" xfId="1402"/>
    <cellStyle name="Normal 4 13 6" xfId="369"/>
    <cellStyle name="Normal 4 13 6 2" xfId="1441"/>
    <cellStyle name="Normal 4 13 7" xfId="427"/>
    <cellStyle name="Normal 4 13 7 2" xfId="1499"/>
    <cellStyle name="Normal 4 13 8" xfId="489"/>
    <cellStyle name="Normal 4 13 8 2" xfId="1560"/>
    <cellStyle name="Normal 4 13 9" xfId="586"/>
    <cellStyle name="Normal 4 13 9 2" xfId="1657"/>
    <cellStyle name="Normal 4 13_Mem." xfId="48814"/>
    <cellStyle name="Normal 4 130" xfId="44150"/>
    <cellStyle name="Normal 4 131" xfId="44151"/>
    <cellStyle name="Normal 4 132" xfId="44152"/>
    <cellStyle name="Normal 4 133" xfId="44153"/>
    <cellStyle name="Normal 4 134" xfId="44154"/>
    <cellStyle name="Normal 4 135" xfId="44155"/>
    <cellStyle name="Normal 4 136" xfId="44156"/>
    <cellStyle name="Normal 4 137" xfId="44157"/>
    <cellStyle name="Normal 4 138" xfId="44158"/>
    <cellStyle name="Normal 4 139" xfId="44159"/>
    <cellStyle name="Normal 4 14" xfId="74"/>
    <cellStyle name="Normal 4 14 10" xfId="647"/>
    <cellStyle name="Normal 4 14 10 2" xfId="1718"/>
    <cellStyle name="Normal 4 14 11" xfId="451"/>
    <cellStyle name="Normal 4 14 11 2" xfId="1522"/>
    <cellStyle name="Normal 4 14 12" xfId="1158"/>
    <cellStyle name="Normal 4 14 13" xfId="49868"/>
    <cellStyle name="Normal 4 14 2" xfId="141"/>
    <cellStyle name="Normal 4 14 2 2" xfId="1213"/>
    <cellStyle name="Normal 4 14 3" xfId="221"/>
    <cellStyle name="Normal 4 14 3 2" xfId="1293"/>
    <cellStyle name="Normal 4 14 4" xfId="278"/>
    <cellStyle name="Normal 4 14 4 2" xfId="1350"/>
    <cellStyle name="Normal 4 14 5" xfId="331"/>
    <cellStyle name="Normal 4 14 5 2" xfId="1403"/>
    <cellStyle name="Normal 4 14 6" xfId="370"/>
    <cellStyle name="Normal 4 14 6 2" xfId="1442"/>
    <cellStyle name="Normal 4 14 7" xfId="428"/>
    <cellStyle name="Normal 4 14 7 2" xfId="1500"/>
    <cellStyle name="Normal 4 14 8" xfId="490"/>
    <cellStyle name="Normal 4 14 8 2" xfId="1561"/>
    <cellStyle name="Normal 4 14 9" xfId="563"/>
    <cellStyle name="Normal 4 14 9 2" xfId="1634"/>
    <cellStyle name="Normal 4 140" xfId="44160"/>
    <cellStyle name="Normal 4 141" xfId="44161"/>
    <cellStyle name="Normal 4 142" xfId="44162"/>
    <cellStyle name="Normal 4 143" xfId="44163"/>
    <cellStyle name="Normal 4 144" xfId="44164"/>
    <cellStyle name="Normal 4 145" xfId="44165"/>
    <cellStyle name="Normal 4 146" xfId="44166"/>
    <cellStyle name="Normal 4 147" xfId="44167"/>
    <cellStyle name="Normal 4 148" xfId="44168"/>
    <cellStyle name="Normal 4 149" xfId="44169"/>
    <cellStyle name="Normal 4 15" xfId="136"/>
    <cellStyle name="Normal 4 15 2" xfId="1208"/>
    <cellStyle name="Normal 4 150" xfId="44170"/>
    <cellStyle name="Normal 4 151" xfId="44171"/>
    <cellStyle name="Normal 4 152" xfId="44172"/>
    <cellStyle name="Normal 4 153" xfId="44173"/>
    <cellStyle name="Normal 4 154" xfId="44174"/>
    <cellStyle name="Normal 4 155" xfId="44175"/>
    <cellStyle name="Normal 4 156" xfId="44176"/>
    <cellStyle name="Normal 4 157" xfId="44177"/>
    <cellStyle name="Normal 4 158" xfId="44178"/>
    <cellStyle name="Normal 4 159" xfId="44179"/>
    <cellStyle name="Normal 4 16" xfId="216"/>
    <cellStyle name="Normal 4 16 2" xfId="1288"/>
    <cellStyle name="Normal 4 160" xfId="44180"/>
    <cellStyle name="Normal 4 161" xfId="44181"/>
    <cellStyle name="Normal 4 162" xfId="44182"/>
    <cellStyle name="Normal 4 163" xfId="44183"/>
    <cellStyle name="Normal 4 164" xfId="44184"/>
    <cellStyle name="Normal 4 165" xfId="44185"/>
    <cellStyle name="Normal 4 166" xfId="44186"/>
    <cellStyle name="Normal 4 167" xfId="44187"/>
    <cellStyle name="Normal 4 168" xfId="44188"/>
    <cellStyle name="Normal 4 169" xfId="44189"/>
    <cellStyle name="Normal 4 17" xfId="273"/>
    <cellStyle name="Normal 4 17 2" xfId="1345"/>
    <cellStyle name="Normal 4 170" xfId="44190"/>
    <cellStyle name="Normal 4 171" xfId="44191"/>
    <cellStyle name="Normal 4 172" xfId="44192"/>
    <cellStyle name="Normal 4 173" xfId="44193"/>
    <cellStyle name="Normal 4 174" xfId="44194"/>
    <cellStyle name="Normal 4 175" xfId="44195"/>
    <cellStyle name="Normal 4 176" xfId="44196"/>
    <cellStyle name="Normal 4 177" xfId="44197"/>
    <cellStyle name="Normal 4 178" xfId="44198"/>
    <cellStyle name="Normal 4 179" xfId="44199"/>
    <cellStyle name="Normal 4 18" xfId="326"/>
    <cellStyle name="Normal 4 18 2" xfId="1398"/>
    <cellStyle name="Normal 4 180" xfId="44200"/>
    <cellStyle name="Normal 4 181" xfId="44201"/>
    <cellStyle name="Normal 4 182" xfId="44202"/>
    <cellStyle name="Normal 4 183" xfId="44203"/>
    <cellStyle name="Normal 4 184" xfId="44204"/>
    <cellStyle name="Normal 4 185" xfId="44205"/>
    <cellStyle name="Normal 4 186" xfId="44206"/>
    <cellStyle name="Normal 4 187" xfId="44207"/>
    <cellStyle name="Normal 4 188" xfId="44208"/>
    <cellStyle name="Normal 4 189" xfId="44209"/>
    <cellStyle name="Normal 4 19" xfId="365"/>
    <cellStyle name="Normal 4 19 2" xfId="1437"/>
    <cellStyle name="Normal 4 190" xfId="44210"/>
    <cellStyle name="Normal 4 191" xfId="45515"/>
    <cellStyle name="Normal 4 2" xfId="75"/>
    <cellStyle name="Normal 4 2 10" xfId="633"/>
    <cellStyle name="Normal 4 2 10 2" xfId="1704"/>
    <cellStyle name="Normal 4 2 10 2 2" xfId="50489"/>
    <cellStyle name="Normal 4 2 10 3" xfId="48815"/>
    <cellStyle name="Normal 4 2 10_Mem." xfId="48816"/>
    <cellStyle name="Normal 4 2 11" xfId="595"/>
    <cellStyle name="Normal 4 2 11 2" xfId="1666"/>
    <cellStyle name="Normal 4 2 11 3" xfId="49869"/>
    <cellStyle name="Normal 4 2 12" xfId="1159"/>
    <cellStyle name="Normal 4 2 13" xfId="48817"/>
    <cellStyle name="Normal 4 2 2" xfId="142"/>
    <cellStyle name="Normal 4 2 2 2" xfId="1214"/>
    <cellStyle name="Normal 4 2 2 2 2" xfId="48818"/>
    <cellStyle name="Normal 4 2 2 2 2 2" xfId="48819"/>
    <cellStyle name="Normal 4 2 2 2 2 2 2" xfId="51073"/>
    <cellStyle name="Normal 4 2 2 2 2 3" xfId="50331"/>
    <cellStyle name="Normal 4 2 2 2 3" xfId="48820"/>
    <cellStyle name="Normal 4 2 2 2 3 2" xfId="50713"/>
    <cellStyle name="Normal 4 2 2 2 4" xfId="48821"/>
    <cellStyle name="Normal 4 2 2 2_Mem." xfId="48822"/>
    <cellStyle name="Normal 4 2 2 3" xfId="48823"/>
    <cellStyle name="Normal 4 2 2 3 2" xfId="48824"/>
    <cellStyle name="Normal 4 2 2 3 2 2" xfId="50939"/>
    <cellStyle name="Normal 4 2 2 3 3" xfId="50203"/>
    <cellStyle name="Normal 4 2 2 4" xfId="48825"/>
    <cellStyle name="Normal 4 2 2 4 2" xfId="50576"/>
    <cellStyle name="Normal 4 2 2 5" xfId="48826"/>
    <cellStyle name="Normal 4 2 2_Mem." xfId="48827"/>
    <cellStyle name="Normal 4 2 3" xfId="222"/>
    <cellStyle name="Normal 4 2 3 2" xfId="1294"/>
    <cellStyle name="Normal 4 2 3 2 2" xfId="48828"/>
    <cellStyle name="Normal 4 2 3 2 2 2" xfId="48829"/>
    <cellStyle name="Normal 4 2 3 2 2 2 2" xfId="51106"/>
    <cellStyle name="Normal 4 2 3 2 2 3" xfId="50363"/>
    <cellStyle name="Normal 4 2 3 2 3" xfId="48830"/>
    <cellStyle name="Normal 4 2 3 2 3 2" xfId="50746"/>
    <cellStyle name="Normal 4 2 3 2 4" xfId="48831"/>
    <cellStyle name="Normal 4 2 3 2_Mem." xfId="48832"/>
    <cellStyle name="Normal 4 2 3 3" xfId="48833"/>
    <cellStyle name="Normal 4 2 3 3 2" xfId="48834"/>
    <cellStyle name="Normal 4 2 3 3 2 2" xfId="50971"/>
    <cellStyle name="Normal 4 2 3 3 3" xfId="50235"/>
    <cellStyle name="Normal 4 2 3 4" xfId="48835"/>
    <cellStyle name="Normal 4 2 3 4 2" xfId="50609"/>
    <cellStyle name="Normal 4 2 3 5" xfId="48836"/>
    <cellStyle name="Normal 4 2 3_Mem." xfId="48837"/>
    <cellStyle name="Normal 4 2 4" xfId="279"/>
    <cellStyle name="Normal 4 2 4 2" xfId="1351"/>
    <cellStyle name="Normal 4 2 4 2 2" xfId="48838"/>
    <cellStyle name="Normal 4 2 4 2 2 2" xfId="48839"/>
    <cellStyle name="Normal 4 2 4 2 2 2 2" xfId="51146"/>
    <cellStyle name="Normal 4 2 4 2 2 3" xfId="50402"/>
    <cellStyle name="Normal 4 2 4 2 3" xfId="48840"/>
    <cellStyle name="Normal 4 2 4 2 3 2" xfId="50786"/>
    <cellStyle name="Normal 4 2 4 2 4" xfId="48841"/>
    <cellStyle name="Normal 4 2 4 2_Mem." xfId="48842"/>
    <cellStyle name="Normal 4 2 4 3" xfId="48843"/>
    <cellStyle name="Normal 4 2 4 3 2" xfId="48844"/>
    <cellStyle name="Normal 4 2 4 3 2 2" xfId="51010"/>
    <cellStyle name="Normal 4 2 4 3 3" xfId="50274"/>
    <cellStyle name="Normal 4 2 4 4" xfId="48845"/>
    <cellStyle name="Normal 4 2 4 4 2" xfId="50649"/>
    <cellStyle name="Normal 4 2 4 5" xfId="48846"/>
    <cellStyle name="Normal 4 2 4_Mem." xfId="48847"/>
    <cellStyle name="Normal 4 2 5" xfId="332"/>
    <cellStyle name="Normal 4 2 5 2" xfId="1404"/>
    <cellStyle name="Normal 4 2 5 2 2" xfId="48848"/>
    <cellStyle name="Normal 4 2 5 2 2 2" xfId="51049"/>
    <cellStyle name="Normal 4 2 5 2 3" xfId="48849"/>
    <cellStyle name="Normal 4 2 5 2_Mem." xfId="48850"/>
    <cellStyle name="Normal 4 2 5 3" xfId="48851"/>
    <cellStyle name="Normal 4 2 5 3 2" xfId="50689"/>
    <cellStyle name="Normal 4 2 5 4" xfId="48852"/>
    <cellStyle name="Normal 4 2 5_Mem." xfId="48853"/>
    <cellStyle name="Normal 4 2 6" xfId="371"/>
    <cellStyle name="Normal 4 2 6 2" xfId="1443"/>
    <cellStyle name="Normal 4 2 6 2 2" xfId="48854"/>
    <cellStyle name="Normal 4 2 6 2 2 2" xfId="50916"/>
    <cellStyle name="Normal 4 2 6 2 3" xfId="48855"/>
    <cellStyle name="Normal 4 2 6 2_Mem." xfId="48856"/>
    <cellStyle name="Normal 4 2 6 3" xfId="48857"/>
    <cellStyle name="Normal 4 2 6 3 2" xfId="50552"/>
    <cellStyle name="Normal 4 2 6 4" xfId="48858"/>
    <cellStyle name="Normal 4 2 6_Mem." xfId="48859"/>
    <cellStyle name="Normal 4 2 7" xfId="429"/>
    <cellStyle name="Normal 4 2 7 2" xfId="1501"/>
    <cellStyle name="Normal 4 2 7 2 2" xfId="48860"/>
    <cellStyle name="Normal 4 2 7 2 2 2" xfId="51179"/>
    <cellStyle name="Normal 4 2 7 2 3" xfId="48861"/>
    <cellStyle name="Normal 4 2 7 2_Mem." xfId="48862"/>
    <cellStyle name="Normal 4 2 7 3" xfId="48863"/>
    <cellStyle name="Normal 4 2 7 3 2" xfId="50820"/>
    <cellStyle name="Normal 4 2 7 4" xfId="48864"/>
    <cellStyle name="Normal 4 2 7_Mem." xfId="48865"/>
    <cellStyle name="Normal 4 2 8" xfId="491"/>
    <cellStyle name="Normal 4 2 8 2" xfId="1562"/>
    <cellStyle name="Normal 4 2 8 2 2" xfId="48866"/>
    <cellStyle name="Normal 4 2 8 2_Mem." xfId="48867"/>
    <cellStyle name="Normal 4 2 8 3" xfId="48868"/>
    <cellStyle name="Normal 4 2 8_Mem." xfId="48869"/>
    <cellStyle name="Normal 4 2 9" xfId="531"/>
    <cellStyle name="Normal 4 2 9 2" xfId="1602"/>
    <cellStyle name="Normal 4 2 9 2 2" xfId="48870"/>
    <cellStyle name="Normal 4 2 9 2_Mem." xfId="48871"/>
    <cellStyle name="Normal 4 2 9 3" xfId="48872"/>
    <cellStyle name="Normal 4 2 9_Mem." xfId="48873"/>
    <cellStyle name="Normal 4 2_Mem." xfId="48874"/>
    <cellStyle name="Normal 4 20" xfId="423"/>
    <cellStyle name="Normal 4 20 2" xfId="1495"/>
    <cellStyle name="Normal 4 21" xfId="485"/>
    <cellStyle name="Normal 4 21 2" xfId="1556"/>
    <cellStyle name="Normal 4 22" xfId="564"/>
    <cellStyle name="Normal 4 22 2" xfId="1635"/>
    <cellStyle name="Normal 4 23" xfId="648"/>
    <cellStyle name="Normal 4 23 2" xfId="1719"/>
    <cellStyle name="Normal 4 24" xfId="517"/>
    <cellStyle name="Normal 4 24 2" xfId="1588"/>
    <cellStyle name="Normal 4 25" xfId="687"/>
    <cellStyle name="Normal 4 26" xfId="698"/>
    <cellStyle name="Normal 4 27" xfId="706"/>
    <cellStyle name="Normal 4 28" xfId="714"/>
    <cellStyle name="Normal 4 29" xfId="722"/>
    <cellStyle name="Normal 4 3" xfId="76"/>
    <cellStyle name="Normal 4 3 10" xfId="575"/>
    <cellStyle name="Normal 4 3 10 2" xfId="1646"/>
    <cellStyle name="Normal 4 3 10 2 2" xfId="50490"/>
    <cellStyle name="Normal 4 3 10 3" xfId="48875"/>
    <cellStyle name="Normal 4 3 10_Mem." xfId="48876"/>
    <cellStyle name="Normal 4 3 11" xfId="668"/>
    <cellStyle name="Normal 4 3 11 2" xfId="1739"/>
    <cellStyle name="Normal 4 3 11 3" xfId="49870"/>
    <cellStyle name="Normal 4 3 12" xfId="1160"/>
    <cellStyle name="Normal 4 3 13" xfId="48877"/>
    <cellStyle name="Normal 4 3 2" xfId="143"/>
    <cellStyle name="Normal 4 3 2 2" xfId="1215"/>
    <cellStyle name="Normal 4 3 2 2 2" xfId="48878"/>
    <cellStyle name="Normal 4 3 2 2 2 2" xfId="48879"/>
    <cellStyle name="Normal 4 3 2 2 2 2 2" xfId="51074"/>
    <cellStyle name="Normal 4 3 2 2 2 3" xfId="50332"/>
    <cellStyle name="Normal 4 3 2 2 3" xfId="48880"/>
    <cellStyle name="Normal 4 3 2 2 3 2" xfId="50714"/>
    <cellStyle name="Normal 4 3 2 2 4" xfId="48881"/>
    <cellStyle name="Normal 4 3 2 2_Mem." xfId="48882"/>
    <cellStyle name="Normal 4 3 2 3" xfId="48883"/>
    <cellStyle name="Normal 4 3 2 3 2" xfId="48884"/>
    <cellStyle name="Normal 4 3 2 3 2 2" xfId="50940"/>
    <cellStyle name="Normal 4 3 2 3 3" xfId="50204"/>
    <cellStyle name="Normal 4 3 2 4" xfId="48885"/>
    <cellStyle name="Normal 4 3 2 4 2" xfId="50577"/>
    <cellStyle name="Normal 4 3 2 5" xfId="48886"/>
    <cellStyle name="Normal 4 3 2_Mem." xfId="48887"/>
    <cellStyle name="Normal 4 3 3" xfId="223"/>
    <cellStyle name="Normal 4 3 3 2" xfId="1295"/>
    <cellStyle name="Normal 4 3 3 2 2" xfId="48888"/>
    <cellStyle name="Normal 4 3 3 2 2 2" xfId="48889"/>
    <cellStyle name="Normal 4 3 3 2 2 2 2" xfId="51107"/>
    <cellStyle name="Normal 4 3 3 2 2 3" xfId="50364"/>
    <cellStyle name="Normal 4 3 3 2 3" xfId="48890"/>
    <cellStyle name="Normal 4 3 3 2 3 2" xfId="50747"/>
    <cellStyle name="Normal 4 3 3 2 4" xfId="48891"/>
    <cellStyle name="Normal 4 3 3 2_Mem." xfId="48892"/>
    <cellStyle name="Normal 4 3 3 3" xfId="48893"/>
    <cellStyle name="Normal 4 3 3 3 2" xfId="48894"/>
    <cellStyle name="Normal 4 3 3 3 2 2" xfId="50972"/>
    <cellStyle name="Normal 4 3 3 3 3" xfId="50236"/>
    <cellStyle name="Normal 4 3 3 4" xfId="48895"/>
    <cellStyle name="Normal 4 3 3 4 2" xfId="50610"/>
    <cellStyle name="Normal 4 3 3 5" xfId="48896"/>
    <cellStyle name="Normal 4 3 3_Mem." xfId="48897"/>
    <cellStyle name="Normal 4 3 4" xfId="280"/>
    <cellStyle name="Normal 4 3 4 2" xfId="1352"/>
    <cellStyle name="Normal 4 3 4 2 2" xfId="48898"/>
    <cellStyle name="Normal 4 3 4 2 2 2" xfId="48899"/>
    <cellStyle name="Normal 4 3 4 2 2 2 2" xfId="51147"/>
    <cellStyle name="Normal 4 3 4 2 2 3" xfId="50403"/>
    <cellStyle name="Normal 4 3 4 2 3" xfId="48900"/>
    <cellStyle name="Normal 4 3 4 2 3 2" xfId="50787"/>
    <cellStyle name="Normal 4 3 4 2 4" xfId="48901"/>
    <cellStyle name="Normal 4 3 4 2_Mem." xfId="48902"/>
    <cellStyle name="Normal 4 3 4 3" xfId="48903"/>
    <cellStyle name="Normal 4 3 4 3 2" xfId="48904"/>
    <cellStyle name="Normal 4 3 4 3 2 2" xfId="51011"/>
    <cellStyle name="Normal 4 3 4 3 3" xfId="50275"/>
    <cellStyle name="Normal 4 3 4 4" xfId="48905"/>
    <cellStyle name="Normal 4 3 4 4 2" xfId="50650"/>
    <cellStyle name="Normal 4 3 4 5" xfId="48906"/>
    <cellStyle name="Normal 4 3 4_Mem." xfId="48907"/>
    <cellStyle name="Normal 4 3 5" xfId="333"/>
    <cellStyle name="Normal 4 3 5 2" xfId="1405"/>
    <cellStyle name="Normal 4 3 5 2 2" xfId="48908"/>
    <cellStyle name="Normal 4 3 5 2 2 2" xfId="51039"/>
    <cellStyle name="Normal 4 3 5 2 3" xfId="48909"/>
    <cellStyle name="Normal 4 3 5 2_Mem." xfId="48910"/>
    <cellStyle name="Normal 4 3 5 3" xfId="48911"/>
    <cellStyle name="Normal 4 3 5 3 2" xfId="50679"/>
    <cellStyle name="Normal 4 3 5 4" xfId="48912"/>
    <cellStyle name="Normal 4 3 5_Mem." xfId="48913"/>
    <cellStyle name="Normal 4 3 6" xfId="372"/>
    <cellStyle name="Normal 4 3 6 2" xfId="1444"/>
    <cellStyle name="Normal 4 3 6 2 2" xfId="48914"/>
    <cellStyle name="Normal 4 3 6 2 2 2" xfId="50906"/>
    <cellStyle name="Normal 4 3 6 2 3" xfId="48915"/>
    <cellStyle name="Normal 4 3 6 2_Mem." xfId="48916"/>
    <cellStyle name="Normal 4 3 6 3" xfId="48917"/>
    <cellStyle name="Normal 4 3 6 3 2" xfId="50542"/>
    <cellStyle name="Normal 4 3 6 4" xfId="48918"/>
    <cellStyle name="Normal 4 3 6_Mem." xfId="48919"/>
    <cellStyle name="Normal 4 3 7" xfId="430"/>
    <cellStyle name="Normal 4 3 7 2" xfId="1502"/>
    <cellStyle name="Normal 4 3 7 2 2" xfId="48920"/>
    <cellStyle name="Normal 4 3 7 2 2 2" xfId="51180"/>
    <cellStyle name="Normal 4 3 7 2 3" xfId="48921"/>
    <cellStyle name="Normal 4 3 7 2_Mem." xfId="48922"/>
    <cellStyle name="Normal 4 3 7 3" xfId="48923"/>
    <cellStyle name="Normal 4 3 7 3 2" xfId="50821"/>
    <cellStyle name="Normal 4 3 7 4" xfId="48924"/>
    <cellStyle name="Normal 4 3 7_Mem." xfId="48925"/>
    <cellStyle name="Normal 4 3 8" xfId="492"/>
    <cellStyle name="Normal 4 3 8 2" xfId="1563"/>
    <cellStyle name="Normal 4 3 8 2 2" xfId="48926"/>
    <cellStyle name="Normal 4 3 8 2_Mem." xfId="48927"/>
    <cellStyle name="Normal 4 3 8 3" xfId="48928"/>
    <cellStyle name="Normal 4 3 8_Mem." xfId="48929"/>
    <cellStyle name="Normal 4 3 9" xfId="622"/>
    <cellStyle name="Normal 4 3 9 2" xfId="1693"/>
    <cellStyle name="Normal 4 3 9 2 2" xfId="48930"/>
    <cellStyle name="Normal 4 3 9 2_Mem." xfId="48931"/>
    <cellStyle name="Normal 4 3 9 3" xfId="48932"/>
    <cellStyle name="Normal 4 3 9_Mem." xfId="48933"/>
    <cellStyle name="Normal 4 3_Mem." xfId="48934"/>
    <cellStyle name="Normal 4 30" xfId="730"/>
    <cellStyle name="Normal 4 31" xfId="738"/>
    <cellStyle name="Normal 4 32" xfId="743"/>
    <cellStyle name="Normal 4 33" xfId="754"/>
    <cellStyle name="Normal 4 34" xfId="762"/>
    <cellStyle name="Normal 4 35" xfId="770"/>
    <cellStyle name="Normal 4 36" xfId="778"/>
    <cellStyle name="Normal 4 37" xfId="786"/>
    <cellStyle name="Normal 4 38" xfId="794"/>
    <cellStyle name="Normal 4 39" xfId="802"/>
    <cellStyle name="Normal 4 4" xfId="77"/>
    <cellStyle name="Normal 4 4 10" xfId="570"/>
    <cellStyle name="Normal 4 4 10 2" xfId="1641"/>
    <cellStyle name="Normal 4 4 11" xfId="657"/>
    <cellStyle name="Normal 4 4 11 2" xfId="1728"/>
    <cellStyle name="Normal 4 4 12" xfId="1161"/>
    <cellStyle name="Normal 4 4 13" xfId="48935"/>
    <cellStyle name="Normal 4 4 2" xfId="144"/>
    <cellStyle name="Normal 4 4 2 2" xfId="1216"/>
    <cellStyle name="Normal 4 4 2 2 2" xfId="48936"/>
    <cellStyle name="Normal 4 4 2 2 2 2" xfId="51072"/>
    <cellStyle name="Normal 4 4 2 2 3" xfId="48937"/>
    <cellStyle name="Normal 4 4 2 2_Mem." xfId="48938"/>
    <cellStyle name="Normal 4 4 2 3" xfId="48939"/>
    <cellStyle name="Normal 4 4 2 3 2" xfId="50712"/>
    <cellStyle name="Normal 4 4 2 4" xfId="48940"/>
    <cellStyle name="Normal 4 4 2_Mem." xfId="48941"/>
    <cellStyle name="Normal 4 4 3" xfId="224"/>
    <cellStyle name="Normal 4 4 3 2" xfId="1296"/>
    <cellStyle name="Normal 4 4 3 2 2" xfId="48942"/>
    <cellStyle name="Normal 4 4 3 2_Mem." xfId="48943"/>
    <cellStyle name="Normal 4 4 3 3" xfId="48944"/>
    <cellStyle name="Normal 4 4 3_Mem." xfId="48945"/>
    <cellStyle name="Normal 4 4 4" xfId="281"/>
    <cellStyle name="Normal 4 4 4 2" xfId="1353"/>
    <cellStyle name="Normal 4 4 4 2 2" xfId="50575"/>
    <cellStyle name="Normal 4 4 4 3" xfId="48946"/>
    <cellStyle name="Normal 4 4 4_Mem." xfId="48947"/>
    <cellStyle name="Normal 4 4 5" xfId="334"/>
    <cellStyle name="Normal 4 4 5 2" xfId="1406"/>
    <cellStyle name="Normal 4 4 5 3" xfId="49936"/>
    <cellStyle name="Normal 4 4 6" xfId="373"/>
    <cellStyle name="Normal 4 4 6 2" xfId="1445"/>
    <cellStyle name="Normal 4 4 7" xfId="431"/>
    <cellStyle name="Normal 4 4 7 2" xfId="1503"/>
    <cellStyle name="Normal 4 4 8" xfId="493"/>
    <cellStyle name="Normal 4 4 8 2" xfId="1564"/>
    <cellStyle name="Normal 4 4 9" xfId="606"/>
    <cellStyle name="Normal 4 4 9 2" xfId="1677"/>
    <cellStyle name="Normal 4 4_Mem." xfId="48948"/>
    <cellStyle name="Normal 4 40" xfId="807"/>
    <cellStyle name="Normal 4 41" xfId="816"/>
    <cellStyle name="Normal 4 42" xfId="823"/>
    <cellStyle name="Normal 4 43" xfId="831"/>
    <cellStyle name="Normal 4 44" xfId="839"/>
    <cellStyle name="Normal 4 45" xfId="847"/>
    <cellStyle name="Normal 4 46" xfId="855"/>
    <cellStyle name="Normal 4 47" xfId="863"/>
    <cellStyle name="Normal 4 48" xfId="871"/>
    <cellStyle name="Normal 4 49" xfId="879"/>
    <cellStyle name="Normal 4 5" xfId="78"/>
    <cellStyle name="Normal 4 5 10" xfId="616"/>
    <cellStyle name="Normal 4 5 10 2" xfId="1687"/>
    <cellStyle name="Normal 4 5 11" xfId="524"/>
    <cellStyle name="Normal 4 5 11 2" xfId="1595"/>
    <cellStyle name="Normal 4 5 12" xfId="1162"/>
    <cellStyle name="Normal 4 5 13" xfId="48949"/>
    <cellStyle name="Normal 4 5 2" xfId="145"/>
    <cellStyle name="Normal 4 5 2 2" xfId="1217"/>
    <cellStyle name="Normal 4 5 2 2 2" xfId="48950"/>
    <cellStyle name="Normal 4 5 2 2 2 2" xfId="51105"/>
    <cellStyle name="Normal 4 5 2 2 3" xfId="48951"/>
    <cellStyle name="Normal 4 5 2 2_Mem." xfId="48952"/>
    <cellStyle name="Normal 4 5 2 3" xfId="48953"/>
    <cellStyle name="Normal 4 5 2 3 2" xfId="50745"/>
    <cellStyle name="Normal 4 5 2 4" xfId="48954"/>
    <cellStyle name="Normal 4 5 2_Mem." xfId="48955"/>
    <cellStyle name="Normal 4 5 3" xfId="225"/>
    <cellStyle name="Normal 4 5 3 2" xfId="1297"/>
    <cellStyle name="Normal 4 5 3 2 2" xfId="48956"/>
    <cellStyle name="Normal 4 5 3 2_Mem." xfId="48957"/>
    <cellStyle name="Normal 4 5 3 3" xfId="48958"/>
    <cellStyle name="Normal 4 5 3_Mem." xfId="48959"/>
    <cellStyle name="Normal 4 5 4" xfId="282"/>
    <cellStyle name="Normal 4 5 4 2" xfId="1354"/>
    <cellStyle name="Normal 4 5 4 2 2" xfId="50608"/>
    <cellStyle name="Normal 4 5 4 3" xfId="48960"/>
    <cellStyle name="Normal 4 5 4_Mem." xfId="48961"/>
    <cellStyle name="Normal 4 5 5" xfId="335"/>
    <cellStyle name="Normal 4 5 5 2" xfId="1407"/>
    <cellStyle name="Normal 4 5 5 3" xfId="49957"/>
    <cellStyle name="Normal 4 5 6" xfId="374"/>
    <cellStyle name="Normal 4 5 6 2" xfId="1446"/>
    <cellStyle name="Normal 4 5 7" xfId="432"/>
    <cellStyle name="Normal 4 5 7 2" xfId="1504"/>
    <cellStyle name="Normal 4 5 8" xfId="494"/>
    <cellStyle name="Normal 4 5 8 2" xfId="1565"/>
    <cellStyle name="Normal 4 5 9" xfId="585"/>
    <cellStyle name="Normal 4 5 9 2" xfId="1656"/>
    <cellStyle name="Normal 4 5_Mem." xfId="48962"/>
    <cellStyle name="Normal 4 50" xfId="887"/>
    <cellStyle name="Normal 4 51" xfId="895"/>
    <cellStyle name="Normal 4 52" xfId="903"/>
    <cellStyle name="Normal 4 53" xfId="911"/>
    <cellStyle name="Normal 4 54" xfId="919"/>
    <cellStyle name="Normal 4 55" xfId="926"/>
    <cellStyle name="Normal 4 56" xfId="934"/>
    <cellStyle name="Normal 4 57" xfId="942"/>
    <cellStyle name="Normal 4 58" xfId="950"/>
    <cellStyle name="Normal 4 59" xfId="958"/>
    <cellStyle name="Normal 4 6" xfId="79"/>
    <cellStyle name="Normal 4 6 10" xfId="646"/>
    <cellStyle name="Normal 4 6 10 2" xfId="1717"/>
    <cellStyle name="Normal 4 6 11" xfId="597"/>
    <cellStyle name="Normal 4 6 11 2" xfId="1668"/>
    <cellStyle name="Normal 4 6 12" xfId="1163"/>
    <cellStyle name="Normal 4 6 13" xfId="48963"/>
    <cellStyle name="Normal 4 6 2" xfId="146"/>
    <cellStyle name="Normal 4 6 2 2" xfId="1218"/>
    <cellStyle name="Normal 4 6 2 2 2" xfId="48964"/>
    <cellStyle name="Normal 4 6 2 2 2 2" xfId="51145"/>
    <cellStyle name="Normal 4 6 2 2 3" xfId="48965"/>
    <cellStyle name="Normal 4 6 2 2_Mem." xfId="48966"/>
    <cellStyle name="Normal 4 6 2 3" xfId="48967"/>
    <cellStyle name="Normal 4 6 2 3 2" xfId="50785"/>
    <cellStyle name="Normal 4 6 2 4" xfId="48968"/>
    <cellStyle name="Normal 4 6 2_Mem." xfId="48969"/>
    <cellStyle name="Normal 4 6 3" xfId="226"/>
    <cellStyle name="Normal 4 6 3 2" xfId="1298"/>
    <cellStyle name="Normal 4 6 3 2 2" xfId="48970"/>
    <cellStyle name="Normal 4 6 3 2_Mem." xfId="48971"/>
    <cellStyle name="Normal 4 6 3 3" xfId="48972"/>
    <cellStyle name="Normal 4 6 3_Mem." xfId="48973"/>
    <cellStyle name="Normal 4 6 4" xfId="283"/>
    <cellStyle name="Normal 4 6 4 2" xfId="1355"/>
    <cellStyle name="Normal 4 6 4 2 2" xfId="50648"/>
    <cellStyle name="Normal 4 6 4 3" xfId="48974"/>
    <cellStyle name="Normal 4 6 4_Mem." xfId="48975"/>
    <cellStyle name="Normal 4 6 5" xfId="336"/>
    <cellStyle name="Normal 4 6 5 2" xfId="1408"/>
    <cellStyle name="Normal 4 6 5 3" xfId="49986"/>
    <cellStyle name="Normal 4 6 6" xfId="375"/>
    <cellStyle name="Normal 4 6 6 2" xfId="1447"/>
    <cellStyle name="Normal 4 6 7" xfId="433"/>
    <cellStyle name="Normal 4 6 7 2" xfId="1505"/>
    <cellStyle name="Normal 4 6 8" xfId="495"/>
    <cellStyle name="Normal 4 6 8 2" xfId="1566"/>
    <cellStyle name="Normal 4 6 9" xfId="562"/>
    <cellStyle name="Normal 4 6 9 2" xfId="1633"/>
    <cellStyle name="Normal 4 6_Mem." xfId="48976"/>
    <cellStyle name="Normal 4 60" xfId="966"/>
    <cellStyle name="Normal 4 61" xfId="974"/>
    <cellStyle name="Normal 4 62" xfId="982"/>
    <cellStyle name="Normal 4 63" xfId="990"/>
    <cellStyle name="Normal 4 64" xfId="998"/>
    <cellStyle name="Normal 4 65" xfId="1006"/>
    <cellStyle name="Normal 4 66" xfId="1014"/>
    <cellStyle name="Normal 4 67" xfId="1021"/>
    <cellStyle name="Normal 4 68" xfId="1028"/>
    <cellStyle name="Normal 4 69" xfId="1035"/>
    <cellStyle name="Normal 4 7" xfId="80"/>
    <cellStyle name="Normal 4 7 10" xfId="632"/>
    <cellStyle name="Normal 4 7 10 2" xfId="1703"/>
    <cellStyle name="Normal 4 7 11" xfId="546"/>
    <cellStyle name="Normal 4 7 11 2" xfId="1617"/>
    <cellStyle name="Normal 4 7 12" xfId="1164"/>
    <cellStyle name="Normal 4 7 13" xfId="48977"/>
    <cellStyle name="Normal 4 7 2" xfId="147"/>
    <cellStyle name="Normal 4 7 2 2" xfId="1219"/>
    <cellStyle name="Normal 4 7 2 2 2" xfId="48978"/>
    <cellStyle name="Normal 4 7 2 2_Mem." xfId="48979"/>
    <cellStyle name="Normal 4 7 2 3" xfId="48980"/>
    <cellStyle name="Normal 4 7 2_Mem." xfId="48981"/>
    <cellStyle name="Normal 4 7 3" xfId="227"/>
    <cellStyle name="Normal 4 7 3 2" xfId="1299"/>
    <cellStyle name="Normal 4 7 3 2 2" xfId="50669"/>
    <cellStyle name="Normal 4 7 3 3" xfId="48982"/>
    <cellStyle name="Normal 4 7 3_Mem." xfId="48983"/>
    <cellStyle name="Normal 4 7 4" xfId="284"/>
    <cellStyle name="Normal 4 7 4 2" xfId="1356"/>
    <cellStyle name="Normal 4 7 4 3" xfId="49999"/>
    <cellStyle name="Normal 4 7 5" xfId="337"/>
    <cellStyle name="Normal 4 7 5 2" xfId="1409"/>
    <cellStyle name="Normal 4 7 6" xfId="376"/>
    <cellStyle name="Normal 4 7 6 2" xfId="1448"/>
    <cellStyle name="Normal 4 7 7" xfId="434"/>
    <cellStyle name="Normal 4 7 7 2" xfId="1506"/>
    <cellStyle name="Normal 4 7 8" xfId="496"/>
    <cellStyle name="Normal 4 7 8 2" xfId="1567"/>
    <cellStyle name="Normal 4 7 9" xfId="530"/>
    <cellStyle name="Normal 4 7 9 2" xfId="1601"/>
    <cellStyle name="Normal 4 7_Mem." xfId="48984"/>
    <cellStyle name="Normal 4 70" xfId="1042"/>
    <cellStyle name="Normal 4 71" xfId="1047"/>
    <cellStyle name="Normal 4 72" xfId="1058"/>
    <cellStyle name="Normal 4 73" xfId="1066"/>
    <cellStyle name="Normal 4 74" xfId="1072"/>
    <cellStyle name="Normal 4 75" xfId="1081"/>
    <cellStyle name="Normal 4 76" xfId="1089"/>
    <cellStyle name="Normal 4 77" xfId="1094"/>
    <cellStyle name="Normal 4 78" xfId="1102"/>
    <cellStyle name="Normal 4 79" xfId="44211"/>
    <cellStyle name="Normal 4 8" xfId="81"/>
    <cellStyle name="Normal 4 8 10" xfId="516"/>
    <cellStyle name="Normal 4 8 10 2" xfId="1587"/>
    <cellStyle name="Normal 4 8 11" xfId="667"/>
    <cellStyle name="Normal 4 8 11 2" xfId="1738"/>
    <cellStyle name="Normal 4 8 12" xfId="1165"/>
    <cellStyle name="Normal 4 8 13" xfId="48985"/>
    <cellStyle name="Normal 4 8 2" xfId="148"/>
    <cellStyle name="Normal 4 8 2 2" xfId="1220"/>
    <cellStyle name="Normal 4 8 2 2 2" xfId="48986"/>
    <cellStyle name="Normal 4 8 2 2_Mem." xfId="48987"/>
    <cellStyle name="Normal 4 8 2 3" xfId="48988"/>
    <cellStyle name="Normal 4 8 2_Mem." xfId="48989"/>
    <cellStyle name="Normal 4 8 3" xfId="228"/>
    <cellStyle name="Normal 4 8 3 2" xfId="1300"/>
    <cellStyle name="Normal 4 8 3 2 2" xfId="50532"/>
    <cellStyle name="Normal 4 8 3 3" xfId="48990"/>
    <cellStyle name="Normal 4 8 3_Mem." xfId="48991"/>
    <cellStyle name="Normal 4 8 4" xfId="285"/>
    <cellStyle name="Normal 4 8 4 2" xfId="1357"/>
    <cellStyle name="Normal 4 8 4 3" xfId="49904"/>
    <cellStyle name="Normal 4 8 5" xfId="338"/>
    <cellStyle name="Normal 4 8 5 2" xfId="1410"/>
    <cellStyle name="Normal 4 8 6" xfId="377"/>
    <cellStyle name="Normal 4 8 6 2" xfId="1449"/>
    <cellStyle name="Normal 4 8 7" xfId="435"/>
    <cellStyle name="Normal 4 8 7 2" xfId="1507"/>
    <cellStyle name="Normal 4 8 8" xfId="497"/>
    <cellStyle name="Normal 4 8 8 2" xfId="1568"/>
    <cellStyle name="Normal 4 8 9" xfId="621"/>
    <cellStyle name="Normal 4 8 9 2" xfId="1692"/>
    <cellStyle name="Normal 4 8_Mem." xfId="48992"/>
    <cellStyle name="Normal 4 80" xfId="44212"/>
    <cellStyle name="Normal 4 81" xfId="44213"/>
    <cellStyle name="Normal 4 82" xfId="44214"/>
    <cellStyle name="Normal 4 83" xfId="44215"/>
    <cellStyle name="Normal 4 84" xfId="44216"/>
    <cellStyle name="Normal 4 85" xfId="44217"/>
    <cellStyle name="Normal 4 86" xfId="44218"/>
    <cellStyle name="Normal 4 87" xfId="44219"/>
    <cellStyle name="Normal 4 88" xfId="44220"/>
    <cellStyle name="Normal 4 89" xfId="44221"/>
    <cellStyle name="Normal 4 9" xfId="82"/>
    <cellStyle name="Normal 4 9 10" xfId="594"/>
    <cellStyle name="Normal 4 9 10 2" xfId="1665"/>
    <cellStyle name="Normal 4 9 11" xfId="656"/>
    <cellStyle name="Normal 4 9 11 2" xfId="1727"/>
    <cellStyle name="Normal 4 9 12" xfId="1166"/>
    <cellStyle name="Normal 4 9 13" xfId="48993"/>
    <cellStyle name="Normal 4 9 2" xfId="149"/>
    <cellStyle name="Normal 4 9 2 2" xfId="1221"/>
    <cellStyle name="Normal 4 9 2 2 2" xfId="48994"/>
    <cellStyle name="Normal 4 9 2 2_Mem." xfId="48995"/>
    <cellStyle name="Normal 4 9 2 3" xfId="48996"/>
    <cellStyle name="Normal 4 9 2_Mem." xfId="48997"/>
    <cellStyle name="Normal 4 9 3" xfId="229"/>
    <cellStyle name="Normal 4 9 3 2" xfId="1301"/>
    <cellStyle name="Normal 4 9 3 2 2" xfId="50819"/>
    <cellStyle name="Normal 4 9 3 3" xfId="48998"/>
    <cellStyle name="Normal 4 9 3_Mem." xfId="48999"/>
    <cellStyle name="Normal 4 9 4" xfId="286"/>
    <cellStyle name="Normal 4 9 4 2" xfId="1358"/>
    <cellStyle name="Normal 4 9 4 3" xfId="50117"/>
    <cellStyle name="Normal 4 9 5" xfId="339"/>
    <cellStyle name="Normal 4 9 5 2" xfId="1411"/>
    <cellStyle name="Normal 4 9 6" xfId="378"/>
    <cellStyle name="Normal 4 9 6 2" xfId="1450"/>
    <cellStyle name="Normal 4 9 7" xfId="436"/>
    <cellStyle name="Normal 4 9 7 2" xfId="1508"/>
    <cellStyle name="Normal 4 9 8" xfId="498"/>
    <cellStyle name="Normal 4 9 8 2" xfId="1569"/>
    <cellStyle name="Normal 4 9 9" xfId="605"/>
    <cellStyle name="Normal 4 9 9 2" xfId="1676"/>
    <cellStyle name="Normal 4 9_Mem." xfId="49000"/>
    <cellStyle name="Normal 4 90" xfId="44222"/>
    <cellStyle name="Normal 4 91" xfId="44223"/>
    <cellStyle name="Normal 4 92" xfId="44224"/>
    <cellStyle name="Normal 4 93" xfId="44225"/>
    <cellStyle name="Normal 4 94" xfId="44226"/>
    <cellStyle name="Normal 4 95" xfId="44227"/>
    <cellStyle name="Normal 4 96" xfId="44228"/>
    <cellStyle name="Normal 4 97" xfId="44229"/>
    <cellStyle name="Normal 4 98" xfId="44230"/>
    <cellStyle name="Normal 4 99" xfId="44231"/>
    <cellStyle name="Normal 4_Mem." xfId="49001"/>
    <cellStyle name="Normal 40" xfId="907"/>
    <cellStyle name="Normal 41" xfId="915"/>
    <cellStyle name="Normal 42" xfId="49002"/>
    <cellStyle name="Normal 43" xfId="930"/>
    <cellStyle name="Normal 44" xfId="938"/>
    <cellStyle name="Normal 45" xfId="946"/>
    <cellStyle name="Normal 46" xfId="954"/>
    <cellStyle name="Normal 47" xfId="962"/>
    <cellStyle name="Normal 48" xfId="970"/>
    <cellStyle name="Normal 49" xfId="978"/>
    <cellStyle name="Normal 5" xfId="103"/>
    <cellStyle name="Normal 5 10" xfId="752"/>
    <cellStyle name="Normal 5 10 2" xfId="49003"/>
    <cellStyle name="Normal 5 10 2 2" xfId="50865"/>
    <cellStyle name="Normal 5 10 3" xfId="49004"/>
    <cellStyle name="Normal 5 10_Mem." xfId="49005"/>
    <cellStyle name="Normal 5 100" xfId="44232"/>
    <cellStyle name="Normal 5 101" xfId="44233"/>
    <cellStyle name="Normal 5 102" xfId="44234"/>
    <cellStyle name="Normal 5 103" xfId="44235"/>
    <cellStyle name="Normal 5 104" xfId="44236"/>
    <cellStyle name="Normal 5 105" xfId="44237"/>
    <cellStyle name="Normal 5 106" xfId="44238"/>
    <cellStyle name="Normal 5 107" xfId="44239"/>
    <cellStyle name="Normal 5 108" xfId="44240"/>
    <cellStyle name="Normal 5 109" xfId="44241"/>
    <cellStyle name="Normal 5 11" xfId="760"/>
    <cellStyle name="Normal 5 11 2" xfId="49006"/>
    <cellStyle name="Normal 5 11 2 2" xfId="51215"/>
    <cellStyle name="Normal 5 11 3" xfId="49007"/>
    <cellStyle name="Normal 5 11_Mem." xfId="49008"/>
    <cellStyle name="Normal 5 110" xfId="44242"/>
    <cellStyle name="Normal 5 111" xfId="44243"/>
    <cellStyle name="Normal 5 112" xfId="44244"/>
    <cellStyle name="Normal 5 113" xfId="44245"/>
    <cellStyle name="Normal 5 114" xfId="44246"/>
    <cellStyle name="Normal 5 115" xfId="44247"/>
    <cellStyle name="Normal 5 116" xfId="44248"/>
    <cellStyle name="Normal 5 117" xfId="44249"/>
    <cellStyle name="Normal 5 118" xfId="44250"/>
    <cellStyle name="Normal 5 119" xfId="44251"/>
    <cellStyle name="Normal 5 12" xfId="768"/>
    <cellStyle name="Normal 5 12 2" xfId="49009"/>
    <cellStyle name="Normal 5 12_Mem." xfId="49010"/>
    <cellStyle name="Normal 5 120" xfId="44252"/>
    <cellStyle name="Normal 5 121" xfId="44253"/>
    <cellStyle name="Normal 5 122" xfId="44254"/>
    <cellStyle name="Normal 5 123" xfId="44255"/>
    <cellStyle name="Normal 5 124" xfId="44256"/>
    <cellStyle name="Normal 5 125" xfId="44257"/>
    <cellStyle name="Normal 5 126" xfId="44258"/>
    <cellStyle name="Normal 5 127" xfId="44259"/>
    <cellStyle name="Normal 5 128" xfId="44260"/>
    <cellStyle name="Normal 5 129" xfId="44261"/>
    <cellStyle name="Normal 5 13" xfId="776"/>
    <cellStyle name="Normal 5 13 2" xfId="49011"/>
    <cellStyle name="Normal 5 13_Mem." xfId="49012"/>
    <cellStyle name="Normal 5 130" xfId="44262"/>
    <cellStyle name="Normal 5 131" xfId="44263"/>
    <cellStyle name="Normal 5 132" xfId="44264"/>
    <cellStyle name="Normal 5 133" xfId="44265"/>
    <cellStyle name="Normal 5 134" xfId="44266"/>
    <cellStyle name="Normal 5 135" xfId="44267"/>
    <cellStyle name="Normal 5 136" xfId="44268"/>
    <cellStyle name="Normal 5 137" xfId="44269"/>
    <cellStyle name="Normal 5 138" xfId="44270"/>
    <cellStyle name="Normal 5 139" xfId="44271"/>
    <cellStyle name="Normal 5 14" xfId="784"/>
    <cellStyle name="Normal 5 14 2" xfId="51345"/>
    <cellStyle name="Normal 5 14 3" xfId="49843"/>
    <cellStyle name="Normal 5 140" xfId="44272"/>
    <cellStyle name="Normal 5 141" xfId="44273"/>
    <cellStyle name="Normal 5 142" xfId="44274"/>
    <cellStyle name="Normal 5 143" xfId="44275"/>
    <cellStyle name="Normal 5 144" xfId="44276"/>
    <cellStyle name="Normal 5 145" xfId="44277"/>
    <cellStyle name="Normal 5 146" xfId="44278"/>
    <cellStyle name="Normal 5 147" xfId="44279"/>
    <cellStyle name="Normal 5 148" xfId="44280"/>
    <cellStyle name="Normal 5 149" xfId="44281"/>
    <cellStyle name="Normal 5 15" xfId="792"/>
    <cellStyle name="Normal 5 15 2" xfId="49871"/>
    <cellStyle name="Normal 5 150" xfId="44282"/>
    <cellStyle name="Normal 5 151" xfId="44283"/>
    <cellStyle name="Normal 5 152" xfId="44284"/>
    <cellStyle name="Normal 5 153" xfId="44285"/>
    <cellStyle name="Normal 5 154" xfId="44286"/>
    <cellStyle name="Normal 5 155" xfId="44287"/>
    <cellStyle name="Normal 5 156" xfId="44288"/>
    <cellStyle name="Normal 5 157" xfId="44289"/>
    <cellStyle name="Normal 5 158" xfId="44290"/>
    <cellStyle name="Normal 5 159" xfId="44291"/>
    <cellStyle name="Normal 5 16" xfId="800"/>
    <cellStyle name="Normal 5 160" xfId="44292"/>
    <cellStyle name="Normal 5 161" xfId="44293"/>
    <cellStyle name="Normal 5 162" xfId="44294"/>
    <cellStyle name="Normal 5 163" xfId="44295"/>
    <cellStyle name="Normal 5 164" xfId="44296"/>
    <cellStyle name="Normal 5 165" xfId="44297"/>
    <cellStyle name="Normal 5 166" xfId="44298"/>
    <cellStyle name="Normal 5 167" xfId="44299"/>
    <cellStyle name="Normal 5 168" xfId="44300"/>
    <cellStyle name="Normal 5 169" xfId="44301"/>
    <cellStyle name="Normal 5 17" xfId="806"/>
    <cellStyle name="Normal 5 170" xfId="44302"/>
    <cellStyle name="Normal 5 171" xfId="44303"/>
    <cellStyle name="Normal 5 172" xfId="44304"/>
    <cellStyle name="Normal 5 173" xfId="44305"/>
    <cellStyle name="Normal 5 174" xfId="44306"/>
    <cellStyle name="Normal 5 175" xfId="44307"/>
    <cellStyle name="Normal 5 176" xfId="44308"/>
    <cellStyle name="Normal 5 177" xfId="44309"/>
    <cellStyle name="Normal 5 178" xfId="44310"/>
    <cellStyle name="Normal 5 179" xfId="44311"/>
    <cellStyle name="Normal 5 18" xfId="814"/>
    <cellStyle name="Normal 5 180" xfId="44312"/>
    <cellStyle name="Normal 5 181" xfId="44313"/>
    <cellStyle name="Normal 5 182" xfId="44314"/>
    <cellStyle name="Normal 5 183" xfId="44315"/>
    <cellStyle name="Normal 5 184" xfId="44316"/>
    <cellStyle name="Normal 5 185" xfId="44317"/>
    <cellStyle name="Normal 5 186" xfId="44318"/>
    <cellStyle name="Normal 5 187" xfId="49013"/>
    <cellStyle name="Normal 5 19" xfId="821"/>
    <cellStyle name="Normal 5 2" xfId="686"/>
    <cellStyle name="Normal 5 2 10" xfId="49014"/>
    <cellStyle name="Normal 5 2 10 2" xfId="50491"/>
    <cellStyle name="Normal 5 2 11" xfId="49015"/>
    <cellStyle name="Normal 5 2 11 2" xfId="51270"/>
    <cellStyle name="Normal 5 2 12" xfId="49016"/>
    <cellStyle name="Normal 5 2 2" xfId="49017"/>
    <cellStyle name="Normal 5 2 2 2" xfId="49018"/>
    <cellStyle name="Normal 5 2 2 2 2" xfId="49019"/>
    <cellStyle name="Normal 5 2 2 2 2 2" xfId="49020"/>
    <cellStyle name="Normal 5 2 2 2 2 2 2" xfId="51076"/>
    <cellStyle name="Normal 5 2 2 2 2 3" xfId="50334"/>
    <cellStyle name="Normal 5 2 2 2 3" xfId="49021"/>
    <cellStyle name="Normal 5 2 2 2 3 2" xfId="50716"/>
    <cellStyle name="Normal 5 2 2 2 4" xfId="50033"/>
    <cellStyle name="Normal 5 2 2 3" xfId="49022"/>
    <cellStyle name="Normal 5 2 2 3 2" xfId="49023"/>
    <cellStyle name="Normal 5 2 2 3 2 2" xfId="50942"/>
    <cellStyle name="Normal 5 2 2 3 3" xfId="50206"/>
    <cellStyle name="Normal 5 2 2 4" xfId="49024"/>
    <cellStyle name="Normal 5 2 2 4 2" xfId="50579"/>
    <cellStyle name="Normal 5 2 2 5" xfId="49938"/>
    <cellStyle name="Normal 5 2 2 6" xfId="52254"/>
    <cellStyle name="Normal 5 2 3" xfId="49025"/>
    <cellStyle name="Normal 5 2 3 2" xfId="49026"/>
    <cellStyle name="Normal 5 2 3 2 2" xfId="49027"/>
    <cellStyle name="Normal 5 2 3 2 2 2" xfId="49028"/>
    <cellStyle name="Normal 5 2 3 2 2 2 2" xfId="51109"/>
    <cellStyle name="Normal 5 2 3 2 2 3" xfId="50366"/>
    <cellStyle name="Normal 5 2 3 2 3" xfId="49029"/>
    <cellStyle name="Normal 5 2 3 2 3 2" xfId="50749"/>
    <cellStyle name="Normal 5 2 3 2 4" xfId="50059"/>
    <cellStyle name="Normal 5 2 3 3" xfId="49030"/>
    <cellStyle name="Normal 5 2 3 3 2" xfId="49031"/>
    <cellStyle name="Normal 5 2 3 3 2 2" xfId="50974"/>
    <cellStyle name="Normal 5 2 3 3 3" xfId="50238"/>
    <cellStyle name="Normal 5 2 3 4" xfId="49032"/>
    <cellStyle name="Normal 5 2 3 4 2" xfId="50612"/>
    <cellStyle name="Normal 5 2 3 5" xfId="49958"/>
    <cellStyle name="Normal 5 2 4" xfId="49033"/>
    <cellStyle name="Normal 5 2 4 2" xfId="49034"/>
    <cellStyle name="Normal 5 2 4 2 2" xfId="49035"/>
    <cellStyle name="Normal 5 2 4 2 2 2" xfId="49036"/>
    <cellStyle name="Normal 5 2 4 2 2 2 2" xfId="51149"/>
    <cellStyle name="Normal 5 2 4 2 2 3" xfId="50405"/>
    <cellStyle name="Normal 5 2 4 2 3" xfId="49037"/>
    <cellStyle name="Normal 5 2 4 2 3 2" xfId="50789"/>
    <cellStyle name="Normal 5 2 4 2 4" xfId="50090"/>
    <cellStyle name="Normal 5 2 4 3" xfId="49038"/>
    <cellStyle name="Normal 5 2 4 3 2" xfId="49039"/>
    <cellStyle name="Normal 5 2 4 3 2 2" xfId="51013"/>
    <cellStyle name="Normal 5 2 4 3 3" xfId="50277"/>
    <cellStyle name="Normal 5 2 4 4" xfId="49040"/>
    <cellStyle name="Normal 5 2 4 4 2" xfId="50652"/>
    <cellStyle name="Normal 5 2 4 5" xfId="49987"/>
    <cellStyle name="Normal 5 2 5" xfId="49041"/>
    <cellStyle name="Normal 5 2 5 2" xfId="49042"/>
    <cellStyle name="Normal 5 2 5 2 2" xfId="49043"/>
    <cellStyle name="Normal 5 2 5 2 2 2" xfId="51057"/>
    <cellStyle name="Normal 5 2 5 2 3" xfId="50316"/>
    <cellStyle name="Normal 5 2 5 3" xfId="49044"/>
    <cellStyle name="Normal 5 2 5 3 2" xfId="50697"/>
    <cellStyle name="Normal 5 2 5 4" xfId="50019"/>
    <cellStyle name="Normal 5 2 6" xfId="49045"/>
    <cellStyle name="Normal 5 2 6 2" xfId="49046"/>
    <cellStyle name="Normal 5 2 6 2 2" xfId="49047"/>
    <cellStyle name="Normal 5 2 6 2 2 2" xfId="50924"/>
    <cellStyle name="Normal 5 2 6 2 3" xfId="50188"/>
    <cellStyle name="Normal 5 2 6 3" xfId="49048"/>
    <cellStyle name="Normal 5 2 6 3 2" xfId="50560"/>
    <cellStyle name="Normal 5 2 6 4" xfId="49924"/>
    <cellStyle name="Normal 5 2 7" xfId="49049"/>
    <cellStyle name="Normal 5 2 7 2" xfId="49050"/>
    <cellStyle name="Normal 5 2 7 2 2" xfId="49051"/>
    <cellStyle name="Normal 5 2 7 2 2 2" xfId="51182"/>
    <cellStyle name="Normal 5 2 7 2 3" xfId="50435"/>
    <cellStyle name="Normal 5 2 7 3" xfId="49052"/>
    <cellStyle name="Normal 5 2 7 3 2" xfId="50823"/>
    <cellStyle name="Normal 5 2 7 4" xfId="50118"/>
    <cellStyle name="Normal 5 2 8" xfId="49053"/>
    <cellStyle name="Normal 5 2 8 2" xfId="49054"/>
    <cellStyle name="Normal 5 2 8 2 2" xfId="50866"/>
    <cellStyle name="Normal 5 2 8 3" xfId="50143"/>
    <cellStyle name="Normal 5 2 9" xfId="49055"/>
    <cellStyle name="Normal 5 2 9 2" xfId="49056"/>
    <cellStyle name="Normal 5 2 9 2 2" xfId="51216"/>
    <cellStyle name="Normal 5 2 9 3" xfId="50463"/>
    <cellStyle name="Normal 5 2_Mem." xfId="49057"/>
    <cellStyle name="Normal 5 20" xfId="829"/>
    <cellStyle name="Normal 5 21" xfId="837"/>
    <cellStyle name="Normal 5 22" xfId="845"/>
    <cellStyle name="Normal 5 23" xfId="853"/>
    <cellStyle name="Normal 5 24" xfId="861"/>
    <cellStyle name="Normal 5 25" xfId="869"/>
    <cellStyle name="Normal 5 26" xfId="877"/>
    <cellStyle name="Normal 5 27" xfId="885"/>
    <cellStyle name="Normal 5 28" xfId="893"/>
    <cellStyle name="Normal 5 29" xfId="901"/>
    <cellStyle name="Normal 5 3" xfId="696"/>
    <cellStyle name="Normal 5 3 10" xfId="49058"/>
    <cellStyle name="Normal 5 3 10 2" xfId="50492"/>
    <cellStyle name="Normal 5 3 11" xfId="49059"/>
    <cellStyle name="Normal 5 3 2" xfId="49060"/>
    <cellStyle name="Normal 5 3 2 2" xfId="49061"/>
    <cellStyle name="Normal 5 3 2 2 2" xfId="49062"/>
    <cellStyle name="Normal 5 3 2 2 2 2" xfId="49063"/>
    <cellStyle name="Normal 5 3 2 2 2 2 2" xfId="51077"/>
    <cellStyle name="Normal 5 3 2 2 2 3" xfId="50335"/>
    <cellStyle name="Normal 5 3 2 2 3" xfId="49064"/>
    <cellStyle name="Normal 5 3 2 2 3 2" xfId="50717"/>
    <cellStyle name="Normal 5 3 2 2 4" xfId="50034"/>
    <cellStyle name="Normal 5 3 2 3" xfId="49065"/>
    <cellStyle name="Normal 5 3 2 3 2" xfId="49066"/>
    <cellStyle name="Normal 5 3 2 3 2 2" xfId="50943"/>
    <cellStyle name="Normal 5 3 2 3 3" xfId="50207"/>
    <cellStyle name="Normal 5 3 2 4" xfId="49067"/>
    <cellStyle name="Normal 5 3 2 4 2" xfId="50580"/>
    <cellStyle name="Normal 5 3 2 5" xfId="49939"/>
    <cellStyle name="Normal 5 3 2 6" xfId="52263"/>
    <cellStyle name="Normal 5 3 3" xfId="49068"/>
    <cellStyle name="Normal 5 3 3 2" xfId="49069"/>
    <cellStyle name="Normal 5 3 3 2 2" xfId="49070"/>
    <cellStyle name="Normal 5 3 3 2 2 2" xfId="49071"/>
    <cellStyle name="Normal 5 3 3 2 2 2 2" xfId="51110"/>
    <cellStyle name="Normal 5 3 3 2 2 3" xfId="50367"/>
    <cellStyle name="Normal 5 3 3 2 3" xfId="49072"/>
    <cellStyle name="Normal 5 3 3 2 3 2" xfId="50750"/>
    <cellStyle name="Normal 5 3 3 2 4" xfId="50060"/>
    <cellStyle name="Normal 5 3 3 3" xfId="49073"/>
    <cellStyle name="Normal 5 3 3 3 2" xfId="49074"/>
    <cellStyle name="Normal 5 3 3 3 2 2" xfId="50975"/>
    <cellStyle name="Normal 5 3 3 3 3" xfId="50239"/>
    <cellStyle name="Normal 5 3 3 4" xfId="49075"/>
    <cellStyle name="Normal 5 3 3 4 2" xfId="50613"/>
    <cellStyle name="Normal 5 3 3 5" xfId="49959"/>
    <cellStyle name="Normal 5 3 4" xfId="49076"/>
    <cellStyle name="Normal 5 3 4 2" xfId="49077"/>
    <cellStyle name="Normal 5 3 4 2 2" xfId="49078"/>
    <cellStyle name="Normal 5 3 4 2 2 2" xfId="49079"/>
    <cellStyle name="Normal 5 3 4 2 2 2 2" xfId="51150"/>
    <cellStyle name="Normal 5 3 4 2 2 3" xfId="50406"/>
    <cellStyle name="Normal 5 3 4 2 3" xfId="49080"/>
    <cellStyle name="Normal 5 3 4 2 3 2" xfId="50790"/>
    <cellStyle name="Normal 5 3 4 2 4" xfId="50091"/>
    <cellStyle name="Normal 5 3 4 3" xfId="49081"/>
    <cellStyle name="Normal 5 3 4 3 2" xfId="49082"/>
    <cellStyle name="Normal 5 3 4 3 2 2" xfId="51014"/>
    <cellStyle name="Normal 5 3 4 3 3" xfId="50278"/>
    <cellStyle name="Normal 5 3 4 4" xfId="49083"/>
    <cellStyle name="Normal 5 3 4 4 2" xfId="50653"/>
    <cellStyle name="Normal 5 3 4 5" xfId="49988"/>
    <cellStyle name="Normal 5 3 5" xfId="49084"/>
    <cellStyle name="Normal 5 3 5 2" xfId="49085"/>
    <cellStyle name="Normal 5 3 5 2 2" xfId="49086"/>
    <cellStyle name="Normal 5 3 5 2 2 2" xfId="51047"/>
    <cellStyle name="Normal 5 3 5 2 3" xfId="50307"/>
    <cellStyle name="Normal 5 3 5 3" xfId="49087"/>
    <cellStyle name="Normal 5 3 5 3 2" xfId="50687"/>
    <cellStyle name="Normal 5 3 5 4" xfId="50010"/>
    <cellStyle name="Normal 5 3 6" xfId="49088"/>
    <cellStyle name="Normal 5 3 6 2" xfId="49089"/>
    <cellStyle name="Normal 5 3 6 2 2" xfId="49090"/>
    <cellStyle name="Normal 5 3 6 2 2 2" xfId="50914"/>
    <cellStyle name="Normal 5 3 6 2 3" xfId="50179"/>
    <cellStyle name="Normal 5 3 6 3" xfId="49091"/>
    <cellStyle name="Normal 5 3 6 3 2" xfId="50550"/>
    <cellStyle name="Normal 5 3 6 4" xfId="49915"/>
    <cellStyle name="Normal 5 3 7" xfId="49092"/>
    <cellStyle name="Normal 5 3 7 2" xfId="49093"/>
    <cellStyle name="Normal 5 3 7 2 2" xfId="49094"/>
    <cellStyle name="Normal 5 3 7 2 2 2" xfId="51183"/>
    <cellStyle name="Normal 5 3 7 2 3" xfId="50436"/>
    <cellStyle name="Normal 5 3 7 3" xfId="49095"/>
    <cellStyle name="Normal 5 3 7 3 2" xfId="50824"/>
    <cellStyle name="Normal 5 3 7 4" xfId="50119"/>
    <cellStyle name="Normal 5 3 8" xfId="49096"/>
    <cellStyle name="Normal 5 3 8 2" xfId="49097"/>
    <cellStyle name="Normal 5 3 8 2 2" xfId="50867"/>
    <cellStyle name="Normal 5 3 8 3" xfId="50144"/>
    <cellStyle name="Normal 5 3 9" xfId="49098"/>
    <cellStyle name="Normal 5 3 9 2" xfId="49099"/>
    <cellStyle name="Normal 5 3 9 2 2" xfId="51217"/>
    <cellStyle name="Normal 5 3 9 3" xfId="50464"/>
    <cellStyle name="Normal 5 3_Mem." xfId="49100"/>
    <cellStyle name="Normal 5 30" xfId="909"/>
    <cellStyle name="Normal 5 31" xfId="917"/>
    <cellStyle name="Normal 5 32" xfId="924"/>
    <cellStyle name="Normal 5 33" xfId="932"/>
    <cellStyle name="Normal 5 34" xfId="940"/>
    <cellStyle name="Normal 5 35" xfId="948"/>
    <cellStyle name="Normal 5 36" xfId="956"/>
    <cellStyle name="Normal 5 37" xfId="964"/>
    <cellStyle name="Normal 5 38" xfId="972"/>
    <cellStyle name="Normal 5 39" xfId="980"/>
    <cellStyle name="Normal 5 4" xfId="704"/>
    <cellStyle name="Normal 5 4 2" xfId="49101"/>
    <cellStyle name="Normal 5 4 2 2" xfId="49102"/>
    <cellStyle name="Normal 5 4 2 2 2" xfId="49103"/>
    <cellStyle name="Normal 5 4 2 2 2 2" xfId="51075"/>
    <cellStyle name="Normal 5 4 2 2 3" xfId="50333"/>
    <cellStyle name="Normal 5 4 2 3" xfId="49104"/>
    <cellStyle name="Normal 5 4 2 3 2" xfId="50715"/>
    <cellStyle name="Normal 5 4 2 4" xfId="50032"/>
    <cellStyle name="Normal 5 4 3" xfId="49105"/>
    <cellStyle name="Normal 5 4 3 2" xfId="49106"/>
    <cellStyle name="Normal 5 4 3 2 2" xfId="49107"/>
    <cellStyle name="Normal 5 4 3 2 2 2" xfId="50941"/>
    <cellStyle name="Normal 5 4 3 2 3" xfId="50205"/>
    <cellStyle name="Normal 5 4 3 3" xfId="49108"/>
    <cellStyle name="Normal 5 4 3 3 2" xfId="50578"/>
    <cellStyle name="Normal 5 4 3 4" xfId="49937"/>
    <cellStyle name="Normal 5 4 4" xfId="49109"/>
    <cellStyle name="Normal 5 4 4 2" xfId="49110"/>
    <cellStyle name="Normal 5 4 4 2 2" xfId="50882"/>
    <cellStyle name="Normal 5 4 4 3" xfId="50156"/>
    <cellStyle name="Normal 5 4 5" xfId="49111"/>
    <cellStyle name="Normal 5 4 5 2" xfId="50516"/>
    <cellStyle name="Normal 5 4 6" xfId="49112"/>
    <cellStyle name="Normal 5 4 7" xfId="52158"/>
    <cellStyle name="Normal 5 4_Mem." xfId="49113"/>
    <cellStyle name="Normal 5 40" xfId="988"/>
    <cellStyle name="Normal 5 41" xfId="996"/>
    <cellStyle name="Normal 5 42" xfId="1004"/>
    <cellStyle name="Normal 5 43" xfId="1012"/>
    <cellStyle name="Normal 5 44" xfId="1019"/>
    <cellStyle name="Normal 5 45" xfId="1026"/>
    <cellStyle name="Normal 5 46" xfId="1033"/>
    <cellStyle name="Normal 5 47" xfId="1040"/>
    <cellStyle name="Normal 5 48" xfId="1046"/>
    <cellStyle name="Normal 5 49" xfId="1056"/>
    <cellStyle name="Normal 5 5" xfId="712"/>
    <cellStyle name="Normal 5 5 2" xfId="49114"/>
    <cellStyle name="Normal 5 5 2 2" xfId="49115"/>
    <cellStyle name="Normal 5 5 2 2 2" xfId="49116"/>
    <cellStyle name="Normal 5 5 2 2 2 2" xfId="51108"/>
    <cellStyle name="Normal 5 5 2 2 3" xfId="50365"/>
    <cellStyle name="Normal 5 5 2 3" xfId="49117"/>
    <cellStyle name="Normal 5 5 2 3 2" xfId="50748"/>
    <cellStyle name="Normal 5 5 2 4" xfId="50058"/>
    <cellStyle name="Normal 5 5 3" xfId="49118"/>
    <cellStyle name="Normal 5 5 3 2" xfId="49119"/>
    <cellStyle name="Normal 5 5 3 2 2" xfId="50973"/>
    <cellStyle name="Normal 5 5 3 3" xfId="50237"/>
    <cellStyle name="Normal 5 5 4" xfId="49120"/>
    <cellStyle name="Normal 5 5 4 2" xfId="50611"/>
    <cellStyle name="Normal 5 5 5" xfId="49121"/>
    <cellStyle name="Normal 5 5_Mem." xfId="49122"/>
    <cellStyle name="Normal 5 50" xfId="1064"/>
    <cellStyle name="Normal 5 51" xfId="1071"/>
    <cellStyle name="Normal 5 52" xfId="1079"/>
    <cellStyle name="Normal 5 53" xfId="1087"/>
    <cellStyle name="Normal 5 54" xfId="1093"/>
    <cellStyle name="Normal 5 55" xfId="1103"/>
    <cellStyle name="Normal 5 56" xfId="44319"/>
    <cellStyle name="Normal 5 57" xfId="44320"/>
    <cellStyle name="Normal 5 58" xfId="44321"/>
    <cellStyle name="Normal 5 59" xfId="44322"/>
    <cellStyle name="Normal 5 6" xfId="720"/>
    <cellStyle name="Normal 5 6 2" xfId="49123"/>
    <cellStyle name="Normal 5 6 2 2" xfId="49124"/>
    <cellStyle name="Normal 5 6 2 2 2" xfId="49125"/>
    <cellStyle name="Normal 5 6 2 2 2 2" xfId="51148"/>
    <cellStyle name="Normal 5 6 2 2 3" xfId="50404"/>
    <cellStyle name="Normal 5 6 2 3" xfId="49126"/>
    <cellStyle name="Normal 5 6 2 3 2" xfId="50788"/>
    <cellStyle name="Normal 5 6 2 4" xfId="50089"/>
    <cellStyle name="Normal 5 6 3" xfId="49127"/>
    <cellStyle name="Normal 5 6 3 2" xfId="49128"/>
    <cellStyle name="Normal 5 6 3 2 2" xfId="51012"/>
    <cellStyle name="Normal 5 6 3 3" xfId="50276"/>
    <cellStyle name="Normal 5 6 4" xfId="49129"/>
    <cellStyle name="Normal 5 6 4 2" xfId="50651"/>
    <cellStyle name="Normal 5 6 5" xfId="49130"/>
    <cellStyle name="Normal 5 6_Mem." xfId="49131"/>
    <cellStyle name="Normal 5 60" xfId="44323"/>
    <cellStyle name="Normal 5 61" xfId="44324"/>
    <cellStyle name="Normal 5 62" xfId="44325"/>
    <cellStyle name="Normal 5 63" xfId="44326"/>
    <cellStyle name="Normal 5 64" xfId="44327"/>
    <cellStyle name="Normal 5 65" xfId="44328"/>
    <cellStyle name="Normal 5 66" xfId="44329"/>
    <cellStyle name="Normal 5 67" xfId="44330"/>
    <cellStyle name="Normal 5 68" xfId="44331"/>
    <cellStyle name="Normal 5 69" xfId="44332"/>
    <cellStyle name="Normal 5 7" xfId="728"/>
    <cellStyle name="Normal 5 7 2" xfId="49132"/>
    <cellStyle name="Normal 5 7 2 2" xfId="49133"/>
    <cellStyle name="Normal 5 7 2 2 2" xfId="51037"/>
    <cellStyle name="Normal 5 7 2 3" xfId="50298"/>
    <cellStyle name="Normal 5 7 3" xfId="49134"/>
    <cellStyle name="Normal 5 7 3 2" xfId="50677"/>
    <cellStyle name="Normal 5 7 4" xfId="49135"/>
    <cellStyle name="Normal 5 7_Mem." xfId="49136"/>
    <cellStyle name="Normal 5 70" xfId="44333"/>
    <cellStyle name="Normal 5 71" xfId="44334"/>
    <cellStyle name="Normal 5 72" xfId="44335"/>
    <cellStyle name="Normal 5 73" xfId="44336"/>
    <cellStyle name="Normal 5 74" xfId="44337"/>
    <cellStyle name="Normal 5 75" xfId="44338"/>
    <cellStyle name="Normal 5 76" xfId="44339"/>
    <cellStyle name="Normal 5 77" xfId="44340"/>
    <cellStyle name="Normal 5 78" xfId="44341"/>
    <cellStyle name="Normal 5 79" xfId="44342"/>
    <cellStyle name="Normal 5 8" xfId="736"/>
    <cellStyle name="Normal 5 8 2" xfId="49137"/>
    <cellStyle name="Normal 5 8 2 2" xfId="49138"/>
    <cellStyle name="Normal 5 8 2 2 2" xfId="50904"/>
    <cellStyle name="Normal 5 8 2 3" xfId="50170"/>
    <cellStyle name="Normal 5 8 3" xfId="49139"/>
    <cellStyle name="Normal 5 8 3 2" xfId="50540"/>
    <cellStyle name="Normal 5 8 4" xfId="49140"/>
    <cellStyle name="Normal 5 8_Mem." xfId="49141"/>
    <cellStyle name="Normal 5 80" xfId="44343"/>
    <cellStyle name="Normal 5 81" xfId="44344"/>
    <cellStyle name="Normal 5 82" xfId="44345"/>
    <cellStyle name="Normal 5 83" xfId="44346"/>
    <cellStyle name="Normal 5 84" xfId="44347"/>
    <cellStyle name="Normal 5 85" xfId="44348"/>
    <cellStyle name="Normal 5 86" xfId="44349"/>
    <cellStyle name="Normal 5 87" xfId="44350"/>
    <cellStyle name="Normal 5 88" xfId="44351"/>
    <cellStyle name="Normal 5 89" xfId="44352"/>
    <cellStyle name="Normal 5 9" xfId="742"/>
    <cellStyle name="Normal 5 9 2" xfId="49142"/>
    <cellStyle name="Normal 5 9 2 2" xfId="49143"/>
    <cellStyle name="Normal 5 9 2 2 2" xfId="51181"/>
    <cellStyle name="Normal 5 9 2 3" xfId="50434"/>
    <cellStyle name="Normal 5 9 3" xfId="49144"/>
    <cellStyle name="Normal 5 9 3 2" xfId="50822"/>
    <cellStyle name="Normal 5 9 4" xfId="49145"/>
    <cellStyle name="Normal 5 9_Mem." xfId="49146"/>
    <cellStyle name="Normal 5 90" xfId="44353"/>
    <cellStyle name="Normal 5 91" xfId="44354"/>
    <cellStyle name="Normal 5 92" xfId="44355"/>
    <cellStyle name="Normal 5 93" xfId="44356"/>
    <cellStyle name="Normal 5 94" xfId="44357"/>
    <cellStyle name="Normal 5 95" xfId="44358"/>
    <cellStyle name="Normal 5 96" xfId="44359"/>
    <cellStyle name="Normal 5 97" xfId="44360"/>
    <cellStyle name="Normal 5 98" xfId="44361"/>
    <cellStyle name="Normal 5 99" xfId="44362"/>
    <cellStyle name="Normal 5_Mem." xfId="49147"/>
    <cellStyle name="Normal 50" xfId="986"/>
    <cellStyle name="Normal 51" xfId="994"/>
    <cellStyle name="Normal 52" xfId="1002"/>
    <cellStyle name="Normal 53" xfId="1010"/>
    <cellStyle name="Normal 54" xfId="49148"/>
    <cellStyle name="Normal 55" xfId="49149"/>
    <cellStyle name="Normal 56" xfId="49839"/>
    <cellStyle name="Normal 57" xfId="49842"/>
    <cellStyle name="Normal 58" xfId="1050"/>
    <cellStyle name="Normal 59" xfId="1054"/>
    <cellStyle name="Normal 6" xfId="447"/>
    <cellStyle name="Normal 6 10" xfId="755"/>
    <cellStyle name="Normal 6 11" xfId="763"/>
    <cellStyle name="Normal 6 12" xfId="771"/>
    <cellStyle name="Normal 6 13" xfId="779"/>
    <cellStyle name="Normal 6 14" xfId="787"/>
    <cellStyle name="Normal 6 15" xfId="795"/>
    <cellStyle name="Normal 6 16" xfId="803"/>
    <cellStyle name="Normal 6 17" xfId="808"/>
    <cellStyle name="Normal 6 18" xfId="817"/>
    <cellStyle name="Normal 6 19" xfId="824"/>
    <cellStyle name="Normal 6 2" xfId="688"/>
    <cellStyle name="Normal 6 2 2" xfId="49150"/>
    <cellStyle name="Normal 6 2 2 2" xfId="49151"/>
    <cellStyle name="Normal 6 2 2 2 2" xfId="50883"/>
    <cellStyle name="Normal 6 2 2 3" xfId="50157"/>
    <cellStyle name="Normal 6 2 3" xfId="49152"/>
    <cellStyle name="Normal 6 2 3 2" xfId="50517"/>
    <cellStyle name="Normal 6 2 4" xfId="49153"/>
    <cellStyle name="Normal 6 2 4 2" xfId="51271"/>
    <cellStyle name="Normal 6 2 5" xfId="49154"/>
    <cellStyle name="Normal 6 2_Mem." xfId="49155"/>
    <cellStyle name="Normal 6 20" xfId="832"/>
    <cellStyle name="Normal 6 21" xfId="840"/>
    <cellStyle name="Normal 6 22" xfId="848"/>
    <cellStyle name="Normal 6 23" xfId="856"/>
    <cellStyle name="Normal 6 24" xfId="864"/>
    <cellStyle name="Normal 6 25" xfId="872"/>
    <cellStyle name="Normal 6 26" xfId="880"/>
    <cellStyle name="Normal 6 27" xfId="888"/>
    <cellStyle name="Normal 6 28" xfId="896"/>
    <cellStyle name="Normal 6 29" xfId="904"/>
    <cellStyle name="Normal 6 3" xfId="699"/>
    <cellStyle name="Normal 6 3 2" xfId="49156"/>
    <cellStyle name="Normal 6 3_Mem." xfId="49157"/>
    <cellStyle name="Normal 6 30" xfId="912"/>
    <cellStyle name="Normal 6 31" xfId="920"/>
    <cellStyle name="Normal 6 32" xfId="927"/>
    <cellStyle name="Normal 6 33" xfId="935"/>
    <cellStyle name="Normal 6 34" xfId="943"/>
    <cellStyle name="Normal 6 35" xfId="951"/>
    <cellStyle name="Normal 6 36" xfId="959"/>
    <cellStyle name="Normal 6 37" xfId="967"/>
    <cellStyle name="Normal 6 38" xfId="975"/>
    <cellStyle name="Normal 6 39" xfId="983"/>
    <cellStyle name="Normal 6 4" xfId="707"/>
    <cellStyle name="Normal 6 4 2" xfId="51346"/>
    <cellStyle name="Normal 6 4 3" xfId="49844"/>
    <cellStyle name="Normal 6 40" xfId="991"/>
    <cellStyle name="Normal 6 41" xfId="999"/>
    <cellStyle name="Normal 6 42" xfId="1007"/>
    <cellStyle name="Normal 6 43" xfId="1015"/>
    <cellStyle name="Normal 6 44" xfId="1022"/>
    <cellStyle name="Normal 6 45" xfId="1029"/>
    <cellStyle name="Normal 6 46" xfId="1036"/>
    <cellStyle name="Normal 6 47" xfId="1043"/>
    <cellStyle name="Normal 6 48" xfId="1048"/>
    <cellStyle name="Normal 6 49" xfId="1059"/>
    <cellStyle name="Normal 6 5" xfId="715"/>
    <cellStyle name="Normal 6 50" xfId="1067"/>
    <cellStyle name="Normal 6 51" xfId="1073"/>
    <cellStyle name="Normal 6 52" xfId="1082"/>
    <cellStyle name="Normal 6 53" xfId="1090"/>
    <cellStyle name="Normal 6 54" xfId="1095"/>
    <cellStyle name="Normal 6 55" xfId="2163"/>
    <cellStyle name="Normal 6 56" xfId="1758"/>
    <cellStyle name="Normal 6 57" xfId="49158"/>
    <cellStyle name="Normal 6 58" xfId="49159"/>
    <cellStyle name="Normal 6 59" xfId="49160"/>
    <cellStyle name="Normal 6 6" xfId="723"/>
    <cellStyle name="Normal 6 60" xfId="49161"/>
    <cellStyle name="Normal 6 61" xfId="49162"/>
    <cellStyle name="Normal 6 62" xfId="49163"/>
    <cellStyle name="Normal 6 63" xfId="49164"/>
    <cellStyle name="Normal 6 64" xfId="49165"/>
    <cellStyle name="Normal 6 65" xfId="49840"/>
    <cellStyle name="Normal 6 66" xfId="49841"/>
    <cellStyle name="Normal 6 7" xfId="731"/>
    <cellStyle name="Normal 6 8" xfId="739"/>
    <cellStyle name="Normal 6 9" xfId="744"/>
    <cellStyle name="Normal 6_Mem." xfId="49166"/>
    <cellStyle name="Normal 60" xfId="1062"/>
    <cellStyle name="Normal 61" xfId="53317"/>
    <cellStyle name="Normal 62" xfId="1077"/>
    <cellStyle name="Normal 63" xfId="1085"/>
    <cellStyle name="Normal 64" xfId="53318"/>
    <cellStyle name="Normal 65" xfId="53321"/>
    <cellStyle name="Normal 7" xfId="678"/>
    <cellStyle name="Normal 7 10" xfId="756"/>
    <cellStyle name="Normal 7 10 2" xfId="49888"/>
    <cellStyle name="Normal 7 11" xfId="764"/>
    <cellStyle name="Normal 7 12" xfId="772"/>
    <cellStyle name="Normal 7 13" xfId="780"/>
    <cellStyle name="Normal 7 14" xfId="788"/>
    <cellStyle name="Normal 7 15" xfId="796"/>
    <cellStyle name="Normal 7 16" xfId="804"/>
    <cellStyle name="Normal 7 17" xfId="809"/>
    <cellStyle name="Normal 7 18" xfId="818"/>
    <cellStyle name="Normal 7 19" xfId="825"/>
    <cellStyle name="Normal 7 2" xfId="689"/>
    <cellStyle name="Normal 7 2 2" xfId="49167"/>
    <cellStyle name="Normal 7 2 2 2" xfId="49168"/>
    <cellStyle name="Normal 7 2 2 2 2" xfId="49169"/>
    <cellStyle name="Normal 7 2 2 2 2 2" xfId="51129"/>
    <cellStyle name="Normal 7 2 2 2 3" xfId="50386"/>
    <cellStyle name="Normal 7 2 2 3" xfId="49170"/>
    <cellStyle name="Normal 7 2 2 3 2" xfId="50769"/>
    <cellStyle name="Normal 7 2 2 4" xfId="50075"/>
    <cellStyle name="Normal 7 2 3" xfId="49171"/>
    <cellStyle name="Normal 7 2 3 2" xfId="49172"/>
    <cellStyle name="Normal 7 2 3 2 2" xfId="50994"/>
    <cellStyle name="Normal 7 2 3 3" xfId="50258"/>
    <cellStyle name="Normal 7 2 4" xfId="49173"/>
    <cellStyle name="Normal 7 2 4 2" xfId="50632"/>
    <cellStyle name="Normal 7 2 5" xfId="49174"/>
    <cellStyle name="Normal 7 2 5 2" xfId="51272"/>
    <cellStyle name="Normal 7 2 6" xfId="49175"/>
    <cellStyle name="Normal 7 2_Mem." xfId="49176"/>
    <cellStyle name="Normal 7 20" xfId="833"/>
    <cellStyle name="Normal 7 21" xfId="841"/>
    <cellStyle name="Normal 7 22" xfId="849"/>
    <cellStyle name="Normal 7 23" xfId="857"/>
    <cellStyle name="Normal 7 24" xfId="865"/>
    <cellStyle name="Normal 7 25" xfId="873"/>
    <cellStyle name="Normal 7 26" xfId="881"/>
    <cellStyle name="Normal 7 27" xfId="889"/>
    <cellStyle name="Normal 7 28" xfId="897"/>
    <cellStyle name="Normal 7 29" xfId="905"/>
    <cellStyle name="Normal 7 3" xfId="700"/>
    <cellStyle name="Normal 7 3 2" xfId="49177"/>
    <cellStyle name="Normal 7 3 2 2" xfId="49178"/>
    <cellStyle name="Normal 7 3 2 2 2" xfId="51125"/>
    <cellStyle name="Normal 7 3 2 3" xfId="50382"/>
    <cellStyle name="Normal 7 3 3" xfId="49179"/>
    <cellStyle name="Normal 7 3 3 2" xfId="50765"/>
    <cellStyle name="Normal 7 3 4" xfId="49180"/>
    <cellStyle name="Normal 7 3_Mem." xfId="49181"/>
    <cellStyle name="Normal 7 30" xfId="913"/>
    <cellStyle name="Normal 7 31" xfId="921"/>
    <cellStyle name="Normal 7 32" xfId="928"/>
    <cellStyle name="Normal 7 33" xfId="936"/>
    <cellStyle name="Normal 7 34" xfId="944"/>
    <cellStyle name="Normal 7 35" xfId="952"/>
    <cellStyle name="Normal 7 36" xfId="960"/>
    <cellStyle name="Normal 7 37" xfId="968"/>
    <cellStyle name="Normal 7 38" xfId="976"/>
    <cellStyle name="Normal 7 39" xfId="984"/>
    <cellStyle name="Normal 7 4" xfId="708"/>
    <cellStyle name="Normal 7 4 2" xfId="49182"/>
    <cellStyle name="Normal 7 4 2 2" xfId="49183"/>
    <cellStyle name="Normal 7 4 2 2 2" xfId="50990"/>
    <cellStyle name="Normal 7 4 2 3" xfId="50254"/>
    <cellStyle name="Normal 7 4 3" xfId="49184"/>
    <cellStyle name="Normal 7 4 3 2" xfId="50628"/>
    <cellStyle name="Normal 7 4 4" xfId="49185"/>
    <cellStyle name="Normal 7 4_Mem." xfId="49186"/>
    <cellStyle name="Normal 7 40" xfId="992"/>
    <cellStyle name="Normal 7 41" xfId="1000"/>
    <cellStyle name="Normal 7 42" xfId="1008"/>
    <cellStyle name="Normal 7 43" xfId="1016"/>
    <cellStyle name="Normal 7 44" xfId="1023"/>
    <cellStyle name="Normal 7 45" xfId="1030"/>
    <cellStyle name="Normal 7 46" xfId="1037"/>
    <cellStyle name="Normal 7 47" xfId="1044"/>
    <cellStyle name="Normal 7 48" xfId="1049"/>
    <cellStyle name="Normal 7 49" xfId="1060"/>
    <cellStyle name="Normal 7 5" xfId="716"/>
    <cellStyle name="Normal 7 5 2" xfId="49187"/>
    <cellStyle name="Normal 7 5 2 2" xfId="50879"/>
    <cellStyle name="Normal 7 5 3" xfId="49188"/>
    <cellStyle name="Normal 7 5_Mem." xfId="49189"/>
    <cellStyle name="Normal 7 50" xfId="1068"/>
    <cellStyle name="Normal 7 51" xfId="1074"/>
    <cellStyle name="Normal 7 52" xfId="1083"/>
    <cellStyle name="Normal 7 53" xfId="1091"/>
    <cellStyle name="Normal 7 54" xfId="1096"/>
    <cellStyle name="Normal 7 55" xfId="49190"/>
    <cellStyle name="Normal 7 6" xfId="724"/>
    <cellStyle name="Normal 7 6 2" xfId="49191"/>
    <cellStyle name="Normal 7 6 2 2" xfId="51199"/>
    <cellStyle name="Normal 7 6 3" xfId="49192"/>
    <cellStyle name="Normal 7 6_Mem." xfId="49193"/>
    <cellStyle name="Normal 7 7" xfId="732"/>
    <cellStyle name="Normal 7 7 2" xfId="49194"/>
    <cellStyle name="Normal 7 7_Mem." xfId="49195"/>
    <cellStyle name="Normal 7 8" xfId="740"/>
    <cellStyle name="Normal 7 8 2" xfId="49196"/>
    <cellStyle name="Normal 7 8_Mem." xfId="49197"/>
    <cellStyle name="Normal 7 9" xfId="745"/>
    <cellStyle name="Normal 7 9 2" xfId="51347"/>
    <cellStyle name="Normal 7 9 3" xfId="49845"/>
    <cellStyle name="Normal 7_Mem." xfId="49198"/>
    <cellStyle name="Normal 72" xfId="45304"/>
    <cellStyle name="Normal 8" xfId="308"/>
    <cellStyle name="Normal 8 2" xfId="1380"/>
    <cellStyle name="Normal 8 2 2" xfId="49199"/>
    <cellStyle name="Normal 8 2 2 2" xfId="51273"/>
    <cellStyle name="Normal 8 3" xfId="49200"/>
    <cellStyle name="Normal 8 3 2" xfId="49201"/>
    <cellStyle name="Normal 8 3 2 2" xfId="50884"/>
    <cellStyle name="Normal 8 3 3" xfId="50158"/>
    <cellStyle name="Normal 8 3 4" xfId="52223"/>
    <cellStyle name="Normal 8 4" xfId="49202"/>
    <cellStyle name="Normal 8 4 2" xfId="50518"/>
    <cellStyle name="Normal 8 5" xfId="49203"/>
    <cellStyle name="Normal 8 5 2" xfId="51230"/>
    <cellStyle name="Normal 8 6" xfId="49204"/>
    <cellStyle name="Normal 8 6 2" xfId="51348"/>
    <cellStyle name="Normal 8 7" xfId="49890"/>
    <cellStyle name="Normal 8_Mem." xfId="49205"/>
    <cellStyle name="Normal 9" xfId="690"/>
    <cellStyle name="Normal 9 2" xfId="1748"/>
    <cellStyle name="Normal 9 2 2" xfId="49206"/>
    <cellStyle name="Normal 9 2 2 2" xfId="49207"/>
    <cellStyle name="Normal 9 2 2 2 2" xfId="51127"/>
    <cellStyle name="Normal 9 2 2 3" xfId="50384"/>
    <cellStyle name="Normal 9 2 3" xfId="49208"/>
    <cellStyle name="Normal 9 2 3 2" xfId="50767"/>
    <cellStyle name="Normal 9 2 4" xfId="49209"/>
    <cellStyle name="Normal 9 2 4 2" xfId="51274"/>
    <cellStyle name="Normal 9 2 5" xfId="49210"/>
    <cellStyle name="Normal 9 2 6" xfId="52161"/>
    <cellStyle name="Normal 9 2_Mem." xfId="49211"/>
    <cellStyle name="Normal 9 3" xfId="49212"/>
    <cellStyle name="Normal 9 3 2" xfId="49213"/>
    <cellStyle name="Normal 9 3 2 2" xfId="49214"/>
    <cellStyle name="Normal 9 3 2 2 2" xfId="50992"/>
    <cellStyle name="Normal 9 3 2 3" xfId="50256"/>
    <cellStyle name="Normal 9 3 3" xfId="49215"/>
    <cellStyle name="Normal 9 3 3 2" xfId="50630"/>
    <cellStyle name="Normal 9 3 4" xfId="49970"/>
    <cellStyle name="Normal 9 3 5" xfId="52265"/>
    <cellStyle name="Normal 9 4" xfId="49216"/>
    <cellStyle name="Normal 9 4 2" xfId="49217"/>
    <cellStyle name="Normal 9 4 2 2" xfId="50885"/>
    <cellStyle name="Normal 9 4 3" xfId="50159"/>
    <cellStyle name="Normal 9 5" xfId="49218"/>
    <cellStyle name="Normal 9 5 2" xfId="50519"/>
    <cellStyle name="Normal 9 6" xfId="49219"/>
    <cellStyle name="Normal 9 6 2" xfId="51231"/>
    <cellStyle name="Normal 9 7" xfId="49220"/>
    <cellStyle name="Normal 9 7 2" xfId="51349"/>
    <cellStyle name="Normal 9 8" xfId="49891"/>
    <cellStyle name="Normal 9_Mem." xfId="49221"/>
    <cellStyle name="Nota" xfId="43956" builtinId="10" customBuiltin="1"/>
    <cellStyle name="Nota 10" xfId="51524"/>
    <cellStyle name="Nota 10 2" xfId="51948"/>
    <cellStyle name="Nota 11" xfId="51990"/>
    <cellStyle name="Nota 12" xfId="52033"/>
    <cellStyle name="Nota 13" xfId="52076"/>
    <cellStyle name="Nota 14" xfId="52119"/>
    <cellStyle name="Nota 15" xfId="51395"/>
    <cellStyle name="Nota 2" xfId="83"/>
    <cellStyle name="Nota 2 10" xfId="14443"/>
    <cellStyle name="Nota 2 11" xfId="16349"/>
    <cellStyle name="Nota 2 12" xfId="2267"/>
    <cellStyle name="Nota 2 13" xfId="3291"/>
    <cellStyle name="Nota 2 14" xfId="2699"/>
    <cellStyle name="Nota 2 15" xfId="23973"/>
    <cellStyle name="Nota 2 16" xfId="3263"/>
    <cellStyle name="Nota 2 17" xfId="27241"/>
    <cellStyle name="Nota 2 18" xfId="28182"/>
    <cellStyle name="Nota 2 19" xfId="30832"/>
    <cellStyle name="Nota 2 2" xfId="3508"/>
    <cellStyle name="Nota 2 2 10" xfId="13552"/>
    <cellStyle name="Nota 2 2 11" xfId="15455"/>
    <cellStyle name="Nota 2 2 12" xfId="16979"/>
    <cellStyle name="Nota 2 2 13" xfId="18886"/>
    <cellStyle name="Nota 2 2 14" xfId="20798"/>
    <cellStyle name="Nota 2 2 15" xfId="23081"/>
    <cellStyle name="Nota 2 2 16" xfId="24600"/>
    <cellStyle name="Nota 2 2 17" xfId="27595"/>
    <cellStyle name="Nota 2 2 18" xfId="28200"/>
    <cellStyle name="Nota 2 2 19" xfId="31173"/>
    <cellStyle name="Nota 2 2 2" xfId="3688"/>
    <cellStyle name="Nota 2 2 2 10" xfId="17579"/>
    <cellStyle name="Nota 2 2 2 11" xfId="19485"/>
    <cellStyle name="Nota 2 2 2 12" xfId="21397"/>
    <cellStyle name="Nota 2 2 2 13" xfId="23268"/>
    <cellStyle name="Nota 2 2 2 14" xfId="25199"/>
    <cellStyle name="Nota 2 2 2 15" xfId="26760"/>
    <cellStyle name="Nota 2 2 2 16" xfId="1881"/>
    <cellStyle name="Nota 2 2 2 17" xfId="30359"/>
    <cellStyle name="Nota 2 2 2 18" xfId="32703"/>
    <cellStyle name="Nota 2 2 2 19" xfId="33712"/>
    <cellStyle name="Nota 2 2 2 2" xfId="5755"/>
    <cellStyle name="Nota 2 2 2 2 10" xfId="22005"/>
    <cellStyle name="Nota 2 2 2 2 11" xfId="23740"/>
    <cellStyle name="Nota 2 2 2 2 12" xfId="25807"/>
    <cellStyle name="Nota 2 2 2 2 13" xfId="27105"/>
    <cellStyle name="Nota 2 2 2 2 14" xfId="29125"/>
    <cellStyle name="Nota 2 2 2 2 15" xfId="30696"/>
    <cellStyle name="Nota 2 2 2 2 16" xfId="31644"/>
    <cellStyle name="Nota 2 2 2 2 17" xfId="34309"/>
    <cellStyle name="Nota 2 2 2 2 18" xfId="36634"/>
    <cellStyle name="Nota 2 2 2 2 19" xfId="38513"/>
    <cellStyle name="Nota 2 2 2 2 2" xfId="7204"/>
    <cellStyle name="Nota 2 2 2 2 2 2" xfId="51312"/>
    <cellStyle name="Nota 2 2 2 2 20" xfId="38889"/>
    <cellStyle name="Nota 2 2 2 2 21" xfId="40574"/>
    <cellStyle name="Nota 2 2 2 2 22" xfId="43493"/>
    <cellStyle name="Nota 2 2 2 2 23" xfId="49222"/>
    <cellStyle name="Nota 2 2 2 2 24" xfId="52305"/>
    <cellStyle name="Nota 2 2 2 2 3" xfId="8658"/>
    <cellStyle name="Nota 2 2 2 2 3 2" xfId="52500"/>
    <cellStyle name="Nota 2 2 2 2 4" xfId="10568"/>
    <cellStyle name="Nota 2 2 2 2 4 2" xfId="52521"/>
    <cellStyle name="Nota 2 2 2 2 5" xfId="11788"/>
    <cellStyle name="Nota 2 2 2 2 6" xfId="14210"/>
    <cellStyle name="Nota 2 2 2 2 7" xfId="16114"/>
    <cellStyle name="Nota 2 2 2 2 8" xfId="18187"/>
    <cellStyle name="Nota 2 2 2 2 9" xfId="20093"/>
    <cellStyle name="Nota 2 2 2 2_Mem." xfId="49223"/>
    <cellStyle name="Nota 2 2 2 20" xfId="36026"/>
    <cellStyle name="Nota 2 2 2 21" xfId="37905"/>
    <cellStyle name="Nota 2 2 2 22" xfId="39911"/>
    <cellStyle name="Nota 2 2 2 23" xfId="41580"/>
    <cellStyle name="Nota 2 2 2 24" xfId="43044"/>
    <cellStyle name="Nota 2 2 2 25" xfId="49224"/>
    <cellStyle name="Nota 2 2 2 3" xfId="5149"/>
    <cellStyle name="Nota 2 2 2 3 10" xfId="52511"/>
    <cellStyle name="Nota 2 2 2 3 2" xfId="45675"/>
    <cellStyle name="Nota 2 2 2 3 3" xfId="46064"/>
    <cellStyle name="Nota 2 2 2 3 4" xfId="46422"/>
    <cellStyle name="Nota 2 2 2 3 5" xfId="46774"/>
    <cellStyle name="Nota 2 2 2 3 6" xfId="47089"/>
    <cellStyle name="Nota 2 2 2 3 7" xfId="47408"/>
    <cellStyle name="Nota 2 2 2 3 8" xfId="47726"/>
    <cellStyle name="Nota 2 2 2 3 9" xfId="50895"/>
    <cellStyle name="Nota 2 2 2 4" xfId="6599"/>
    <cellStyle name="Nota 2 2 2 4 2" xfId="45823"/>
    <cellStyle name="Nota 2 2 2 4 3" xfId="46212"/>
    <cellStyle name="Nota 2 2 2 4 4" xfId="46570"/>
    <cellStyle name="Nota 2 2 2 4 5" xfId="46922"/>
    <cellStyle name="Nota 2 2 2 4 6" xfId="47237"/>
    <cellStyle name="Nota 2 2 2 4 7" xfId="47556"/>
    <cellStyle name="Nota 2 2 2 4 8" xfId="47874"/>
    <cellStyle name="Nota 2 2 2 4 9" xfId="52448"/>
    <cellStyle name="Nota 2 2 2 5" xfId="8050"/>
    <cellStyle name="Nota 2 2 2 6" xfId="9960"/>
    <cellStyle name="Nota 2 2 2 7" xfId="11203"/>
    <cellStyle name="Nota 2 2 2 8" xfId="13740"/>
    <cellStyle name="Nota 2 2 2 9" xfId="15642"/>
    <cellStyle name="Nota 2 2 2_Mem." xfId="49225"/>
    <cellStyle name="Nota 2 2 20" xfId="33090"/>
    <cellStyle name="Nota 2 2 21" xfId="33647"/>
    <cellStyle name="Nota 2 2 22" xfId="35428"/>
    <cellStyle name="Nota 2 2 23" xfId="37306"/>
    <cellStyle name="Nota 2 2 24" xfId="40286"/>
    <cellStyle name="Nota 2 2 25" xfId="41942"/>
    <cellStyle name="Nota 2 2 26" xfId="42863"/>
    <cellStyle name="Nota 2 2 27" xfId="51423"/>
    <cellStyle name="Nota 2 2 3" xfId="2093"/>
    <cellStyle name="Nota 2 2 3 10" xfId="19016"/>
    <cellStyle name="Nota 2 2 3 11" xfId="20928"/>
    <cellStyle name="Nota 2 2 3 12" xfId="22459"/>
    <cellStyle name="Nota 2 2 3 13" xfId="24730"/>
    <cellStyle name="Nota 2 2 3 14" xfId="26341"/>
    <cellStyle name="Nota 2 2 3 15" xfId="29264"/>
    <cellStyle name="Nota 2 2 3 16" xfId="29949"/>
    <cellStyle name="Nota 2 2 3 17" xfId="32538"/>
    <cellStyle name="Nota 2 2 3 18" xfId="33745"/>
    <cellStyle name="Nota 2 2 3 19" xfId="35557"/>
    <cellStyle name="Nota 2 2 3 2" xfId="5662"/>
    <cellStyle name="Nota 2 2 3 2 10" xfId="21912"/>
    <cellStyle name="Nota 2 2 3 2 11" xfId="23499"/>
    <cellStyle name="Nota 2 2 3 2 12" xfId="25714"/>
    <cellStyle name="Nota 2 2 3 2 13" xfId="26631"/>
    <cellStyle name="Nota 2 2 3 2 14" xfId="29575"/>
    <cellStyle name="Nota 2 2 3 2 15" xfId="30234"/>
    <cellStyle name="Nota 2 2 3 2 16" xfId="32969"/>
    <cellStyle name="Nota 2 2 3 2 17" xfId="35033"/>
    <cellStyle name="Nota 2 2 3 2 18" xfId="36541"/>
    <cellStyle name="Nota 2 2 3 2 19" xfId="38420"/>
    <cellStyle name="Nota 2 2 3 2 2" xfId="7111"/>
    <cellStyle name="Nota 2 2 3 2 20" xfId="40170"/>
    <cellStyle name="Nota 2 2 3 2 21" xfId="41829"/>
    <cellStyle name="Nota 2 2 3 2 22" xfId="43265"/>
    <cellStyle name="Nota 2 2 3 2 23" xfId="51269"/>
    <cellStyle name="Nota 2 2 3 2 3" xfId="8565"/>
    <cellStyle name="Nota 2 2 3 2 4" xfId="10475"/>
    <cellStyle name="Nota 2 2 3 2 5" xfId="12509"/>
    <cellStyle name="Nota 2 2 3 2 6" xfId="13971"/>
    <cellStyle name="Nota 2 2 3 2 7" xfId="15872"/>
    <cellStyle name="Nota 2 2 3 2 8" xfId="18094"/>
    <cellStyle name="Nota 2 2 3 2 9" xfId="20000"/>
    <cellStyle name="Nota 2 2 3 20" xfId="37436"/>
    <cellStyle name="Nota 2 2 3 21" xfId="39751"/>
    <cellStyle name="Nota 2 2 3 22" xfId="41423"/>
    <cellStyle name="Nota 2 2 3 23" xfId="42270"/>
    <cellStyle name="Nota 2 2 3 24" xfId="49226"/>
    <cellStyle name="Nota 2 2 3 3" xfId="4683"/>
    <cellStyle name="Nota 2 2 3 3 2" xfId="45707"/>
    <cellStyle name="Nota 2 2 3 3 3" xfId="46096"/>
    <cellStyle name="Nota 2 2 3 3 4" xfId="46454"/>
    <cellStyle name="Nota 2 2 3 3 5" xfId="46806"/>
    <cellStyle name="Nota 2 2 3 3 6" xfId="47121"/>
    <cellStyle name="Nota 2 2 3 3 7" xfId="47440"/>
    <cellStyle name="Nota 2 2 3 3 8" xfId="47758"/>
    <cellStyle name="Nota 2 2 3 4" xfId="7581"/>
    <cellStyle name="Nota 2 2 3 4 2" xfId="45600"/>
    <cellStyle name="Nota 2 2 3 4 3" xfId="45989"/>
    <cellStyle name="Nota 2 2 3 4 4" xfId="46347"/>
    <cellStyle name="Nota 2 2 3 4 5" xfId="46699"/>
    <cellStyle name="Nota 2 2 3 4 6" xfId="47014"/>
    <cellStyle name="Nota 2 2 3 4 7" xfId="47333"/>
    <cellStyle name="Nota 2 2 3 4 8" xfId="47651"/>
    <cellStyle name="Nota 2 2 3 5" xfId="9491"/>
    <cellStyle name="Nota 2 2 3 5 2" xfId="45642"/>
    <cellStyle name="Nota 2 2 3 5 3" xfId="46031"/>
    <cellStyle name="Nota 2 2 3 5 4" xfId="46389"/>
    <cellStyle name="Nota 2 2 3 5 5" xfId="46741"/>
    <cellStyle name="Nota 2 2 3 5 6" xfId="47056"/>
    <cellStyle name="Nota 2 2 3 5 7" xfId="47375"/>
    <cellStyle name="Nota 2 2 3 5 8" xfId="47693"/>
    <cellStyle name="Nota 2 2 3 6" xfId="11640"/>
    <cellStyle name="Nota 2 2 3 7" xfId="12927"/>
    <cellStyle name="Nota 2 2 3 8" xfId="14832"/>
    <cellStyle name="Nota 2 2 3 9" xfId="17110"/>
    <cellStyle name="Nota 2 2 3_Mem." xfId="49227"/>
    <cellStyle name="Nota 2 2 4" xfId="4140"/>
    <cellStyle name="Nota 2 2 4 10" xfId="19775"/>
    <cellStyle name="Nota 2 2 4 11" xfId="21687"/>
    <cellStyle name="Nota 2 2 4 12" xfId="23848"/>
    <cellStyle name="Nota 2 2 4 13" xfId="25489"/>
    <cellStyle name="Nota 2 2 4 14" xfId="27093"/>
    <cellStyle name="Nota 2 2 4 15" xfId="2784"/>
    <cellStyle name="Nota 2 2 4 16" xfId="30684"/>
    <cellStyle name="Nota 2 2 4 17" xfId="1760"/>
    <cellStyle name="Nota 2 2 4 18" xfId="13327"/>
    <cellStyle name="Nota 2 2 4 19" xfId="36316"/>
    <cellStyle name="Nota 2 2 4 2" xfId="6045"/>
    <cellStyle name="Nota 2 2 4 2 10" xfId="22295"/>
    <cellStyle name="Nota 2 2 4 2 11" xfId="14682"/>
    <cellStyle name="Nota 2 2 4 2 12" xfId="26097"/>
    <cellStyle name="Nota 2 2 4 2 13" xfId="2862"/>
    <cellStyle name="Nota 2 2 4 2 14" xfId="27513"/>
    <cellStyle name="Nota 2 2 4 2 15" xfId="14718"/>
    <cellStyle name="Nota 2 2 4 2 16" xfId="22323"/>
    <cellStyle name="Nota 2 2 4 2 17" xfId="27005"/>
    <cellStyle name="Nota 2 2 4 2 18" xfId="36924"/>
    <cellStyle name="Nota 2 2 4 2 19" xfId="38803"/>
    <cellStyle name="Nota 2 2 4 2 2" xfId="7494"/>
    <cellStyle name="Nota 2 2 4 2 20" xfId="33569"/>
    <cellStyle name="Nota 2 2 4 2 21" xfId="2081"/>
    <cellStyle name="Nota 2 2 4 2 22" xfId="33349"/>
    <cellStyle name="Nota 2 2 4 2 3" xfId="8948"/>
    <cellStyle name="Nota 2 2 4 2 4" xfId="10858"/>
    <cellStyle name="Nota 2 2 4 2 5" xfId="3338"/>
    <cellStyle name="Nota 2 2 4 2 6" xfId="1964"/>
    <cellStyle name="Nota 2 2 4 2 7" xfId="2349"/>
    <cellStyle name="Nota 2 2 4 2 8" xfId="18477"/>
    <cellStyle name="Nota 2 2 4 2 9" xfId="20383"/>
    <cellStyle name="Nota 2 2 4 20" xfId="38195"/>
    <cellStyle name="Nota 2 2 4 21" xfId="34816"/>
    <cellStyle name="Nota 2 2 4 22" xfId="34630"/>
    <cellStyle name="Nota 2 2 4 23" xfId="43599"/>
    <cellStyle name="Nota 2 2 4 24" xfId="50164"/>
    <cellStyle name="Nota 2 2 4 3" xfId="6886"/>
    <cellStyle name="Nota 2 2 4 3 2" xfId="45692"/>
    <cellStyle name="Nota 2 2 4 3 3" xfId="46081"/>
    <cellStyle name="Nota 2 2 4 3 4" xfId="46439"/>
    <cellStyle name="Nota 2 2 4 3 5" xfId="46791"/>
    <cellStyle name="Nota 2 2 4 3 6" xfId="47106"/>
    <cellStyle name="Nota 2 2 4 3 7" xfId="47425"/>
    <cellStyle name="Nota 2 2 4 3 8" xfId="47743"/>
    <cellStyle name="Nota 2 2 4 4" xfId="8340"/>
    <cellStyle name="Nota 2 2 4 4 2" xfId="45752"/>
    <cellStyle name="Nota 2 2 4 4 3" xfId="46141"/>
    <cellStyle name="Nota 2 2 4 4 4" xfId="46499"/>
    <cellStyle name="Nota 2 2 4 4 5" xfId="46851"/>
    <cellStyle name="Nota 2 2 4 4 6" xfId="47166"/>
    <cellStyle name="Nota 2 2 4 4 7" xfId="47485"/>
    <cellStyle name="Nota 2 2 4 4 8" xfId="47803"/>
    <cellStyle name="Nota 2 2 4 5" xfId="10250"/>
    <cellStyle name="Nota 2 2 4 5 2" xfId="45812"/>
    <cellStyle name="Nota 2 2 4 5 3" xfId="46201"/>
    <cellStyle name="Nota 2 2 4 5 4" xfId="46559"/>
    <cellStyle name="Nota 2 2 4 5 5" xfId="46911"/>
    <cellStyle name="Nota 2 2 4 5 6" xfId="47226"/>
    <cellStyle name="Nota 2 2 4 5 7" xfId="47545"/>
    <cellStyle name="Nota 2 2 4 5 8" xfId="47863"/>
    <cellStyle name="Nota 2 2 4 6" xfId="11632"/>
    <cellStyle name="Nota 2 2 4 7" xfId="14318"/>
    <cellStyle name="Nota 2 2 4 8" xfId="16222"/>
    <cellStyle name="Nota 2 2 4 9" xfId="17869"/>
    <cellStyle name="Nota 2 2 5" xfId="4981"/>
    <cellStyle name="Nota 2 2 5 10" xfId="21229"/>
    <cellStyle name="Nota 2 2 5 11" xfId="23959"/>
    <cellStyle name="Nota 2 2 5 12" xfId="25031"/>
    <cellStyle name="Nota 2 2 5 13" xfId="26620"/>
    <cellStyle name="Nota 2 2 5 14" xfId="29448"/>
    <cellStyle name="Nota 2 2 5 15" xfId="30223"/>
    <cellStyle name="Nota 2 2 5 16" xfId="33149"/>
    <cellStyle name="Nota 2 2 5 17" xfId="34551"/>
    <cellStyle name="Nota 2 2 5 18" xfId="35858"/>
    <cellStyle name="Nota 2 2 5 19" xfId="37737"/>
    <cellStyle name="Nota 2 2 5 2" xfId="6431"/>
    <cellStyle name="Nota 2 2 5 2 2" xfId="45969"/>
    <cellStyle name="Nota 2 2 5 2 3" xfId="46327"/>
    <cellStyle name="Nota 2 2 5 2 4" xfId="46679"/>
    <cellStyle name="Nota 2 2 5 2 5" xfId="47631"/>
    <cellStyle name="Nota 2 2 5 20" xfId="40342"/>
    <cellStyle name="Nota 2 2 5 21" xfId="41998"/>
    <cellStyle name="Nota 2 2 5 22" xfId="43705"/>
    <cellStyle name="Nota 2 2 5 23" xfId="51481"/>
    <cellStyle name="Nota 2 2 5 3" xfId="7882"/>
    <cellStyle name="Nota 2 2 5 3 2" xfId="45761"/>
    <cellStyle name="Nota 2 2 5 3 3" xfId="46150"/>
    <cellStyle name="Nota 2 2 5 3 4" xfId="46508"/>
    <cellStyle name="Nota 2 2 5 3 5" xfId="46860"/>
    <cellStyle name="Nota 2 2 5 3 6" xfId="47175"/>
    <cellStyle name="Nota 2 2 5 3 7" xfId="47494"/>
    <cellStyle name="Nota 2 2 5 3 8" xfId="47812"/>
    <cellStyle name="Nota 2 2 5 4" xfId="9792"/>
    <cellStyle name="Nota 2 2 5 4 2" xfId="45830"/>
    <cellStyle name="Nota 2 2 5 4 3" xfId="46219"/>
    <cellStyle name="Nota 2 2 5 4 4" xfId="46577"/>
    <cellStyle name="Nota 2 2 5 4 5" xfId="46929"/>
    <cellStyle name="Nota 2 2 5 4 6" xfId="47244"/>
    <cellStyle name="Nota 2 2 5 4 7" xfId="47563"/>
    <cellStyle name="Nota 2 2 5 4 8" xfId="47881"/>
    <cellStyle name="Nota 2 2 5 5" xfId="11919"/>
    <cellStyle name="Nota 2 2 5 5 2" xfId="45867"/>
    <cellStyle name="Nota 2 2 5 5 3" xfId="46256"/>
    <cellStyle name="Nota 2 2 5 5 4" xfId="46614"/>
    <cellStyle name="Nota 2 2 5 5 5" xfId="46966"/>
    <cellStyle name="Nota 2 2 5 5 6" xfId="47281"/>
    <cellStyle name="Nota 2 2 5 5 7" xfId="47600"/>
    <cellStyle name="Nota 2 2 5 5 8" xfId="47918"/>
    <cellStyle name="Nota 2 2 5 6" xfId="14429"/>
    <cellStyle name="Nota 2 2 5 7" xfId="16335"/>
    <cellStyle name="Nota 2 2 5 8" xfId="17411"/>
    <cellStyle name="Nota 2 2 5 9" xfId="19317"/>
    <cellStyle name="Nota 2 2 6" xfId="5453"/>
    <cellStyle name="Nota 2 2 6 10" xfId="21703"/>
    <cellStyle name="Nota 2 2 6 11" xfId="22473"/>
    <cellStyle name="Nota 2 2 6 12" xfId="25505"/>
    <cellStyle name="Nota 2 2 6 13" xfId="26562"/>
    <cellStyle name="Nota 2 2 6 14" xfId="29563"/>
    <cellStyle name="Nota 2 2 6 15" xfId="30165"/>
    <cellStyle name="Nota 2 2 6 16" xfId="31845"/>
    <cellStyle name="Nota 2 2 6 17" xfId="34724"/>
    <cellStyle name="Nota 2 2 6 18" xfId="36332"/>
    <cellStyle name="Nota 2 2 6 19" xfId="38211"/>
    <cellStyle name="Nota 2 2 6 2" xfId="6902"/>
    <cellStyle name="Nota 2 2 6 20" xfId="39082"/>
    <cellStyle name="Nota 2 2 6 21" xfId="40763"/>
    <cellStyle name="Nota 2 2 6 22" xfId="42283"/>
    <cellStyle name="Nota 2 2 6 23" xfId="52283"/>
    <cellStyle name="Nota 2 2 6 3" xfId="8356"/>
    <cellStyle name="Nota 2 2 6 4" xfId="10266"/>
    <cellStyle name="Nota 2 2 6 5" xfId="12609"/>
    <cellStyle name="Nota 2 2 6 6" xfId="12941"/>
    <cellStyle name="Nota 2 2 6 7" xfId="14845"/>
    <cellStyle name="Nota 2 2 6 8" xfId="17885"/>
    <cellStyle name="Nota 2 2 6 9" xfId="19791"/>
    <cellStyle name="Nota 2 2 7" xfId="6276"/>
    <cellStyle name="Nota 2 2 7 2" xfId="45663"/>
    <cellStyle name="Nota 2 2 7 3" xfId="46052"/>
    <cellStyle name="Nota 2 2 7 4" xfId="46410"/>
    <cellStyle name="Nota 2 2 7 5" xfId="46762"/>
    <cellStyle name="Nota 2 2 7 6" xfId="47077"/>
    <cellStyle name="Nota 2 2 7 7" xfId="47396"/>
    <cellStyle name="Nota 2 2 7 8" xfId="47714"/>
    <cellStyle name="Nota 2 2 7 9" xfId="52444"/>
    <cellStyle name="Nota 2 2 8" xfId="9360"/>
    <cellStyle name="Nota 2 2 8 2" xfId="45569"/>
    <cellStyle name="Nota 2 2 9" xfId="12691"/>
    <cellStyle name="Nota 2 2_Mem." xfId="49228"/>
    <cellStyle name="Nota 2 20" xfId="32459"/>
    <cellStyle name="Nota 2 21" xfId="34242"/>
    <cellStyle name="Nota 2 22" xfId="32070"/>
    <cellStyle name="Nota 2 23" xfId="33516"/>
    <cellStyle name="Nota 2 24" xfId="39677"/>
    <cellStyle name="Nota 2 25" xfId="41350"/>
    <cellStyle name="Nota 2 26" xfId="43718"/>
    <cellStyle name="Nota 2 3" xfId="3503"/>
    <cellStyle name="Nota 2 3 10" xfId="14983"/>
    <cellStyle name="Nota 2 3 11" xfId="16968"/>
    <cellStyle name="Nota 2 3 12" xfId="18875"/>
    <cellStyle name="Nota 2 3 13" xfId="20787"/>
    <cellStyle name="Nota 2 3 14" xfId="22611"/>
    <cellStyle name="Nota 2 3 15" xfId="24589"/>
    <cellStyle name="Nota 2 3 16" xfId="27529"/>
    <cellStyle name="Nota 2 3 17" xfId="22704"/>
    <cellStyle name="Nota 2 3 18" xfId="31111"/>
    <cellStyle name="Nota 2 3 19" xfId="33162"/>
    <cellStyle name="Nota 2 3 2" xfId="3683"/>
    <cellStyle name="Nota 2 3 2 10" xfId="17574"/>
    <cellStyle name="Nota 2 3 2 11" xfId="19480"/>
    <cellStyle name="Nota 2 3 2 12" xfId="21392"/>
    <cellStyle name="Nota 2 3 2 13" xfId="24161"/>
    <cellStyle name="Nota 2 3 2 14" xfId="25194"/>
    <cellStyle name="Nota 2 3 2 15" xfId="27288"/>
    <cellStyle name="Nota 2 3 2 16" xfId="28177"/>
    <cellStyle name="Nota 2 3 2 17" xfId="30879"/>
    <cellStyle name="Nota 2 3 2 18" xfId="32065"/>
    <cellStyle name="Nota 2 3 2 19" xfId="34339"/>
    <cellStyle name="Nota 2 3 2 2" xfId="5750"/>
    <cellStyle name="Nota 2 3 2 2 10" xfId="22000"/>
    <cellStyle name="Nota 2 3 2 2 11" xfId="23717"/>
    <cellStyle name="Nota 2 3 2 2 12" xfId="25802"/>
    <cellStyle name="Nota 2 3 2 2 13" xfId="26249"/>
    <cellStyle name="Nota 2 3 2 2 14" xfId="29127"/>
    <cellStyle name="Nota 2 3 2 2 15" xfId="29859"/>
    <cellStyle name="Nota 2 3 2 2 16" xfId="31949"/>
    <cellStyle name="Nota 2 3 2 2 17" xfId="34405"/>
    <cellStyle name="Nota 2 3 2 2 18" xfId="36629"/>
    <cellStyle name="Nota 2 3 2 2 19" xfId="38508"/>
    <cellStyle name="Nota 2 3 2 2 2" xfId="7199"/>
    <cellStyle name="Nota 2 3 2 2 20" xfId="39179"/>
    <cellStyle name="Nota 2 3 2 2 21" xfId="40860"/>
    <cellStyle name="Nota 2 3 2 2 22" xfId="43474"/>
    <cellStyle name="Nota 2 3 2 2 23" xfId="51297"/>
    <cellStyle name="Nota 2 3 2 2 3" xfId="8653"/>
    <cellStyle name="Nota 2 3 2 2 4" xfId="10563"/>
    <cellStyle name="Nota 2 3 2 2 5" xfId="12678"/>
    <cellStyle name="Nota 2 3 2 2 6" xfId="14187"/>
    <cellStyle name="Nota 2 3 2 2 7" xfId="16091"/>
    <cellStyle name="Nota 2 3 2 2 8" xfId="18182"/>
    <cellStyle name="Nota 2 3 2 2 9" xfId="20088"/>
    <cellStyle name="Nota 2 3 2 20" xfId="36021"/>
    <cellStyle name="Nota 2 3 2 21" xfId="37900"/>
    <cellStyle name="Nota 2 3 2 22" xfId="39291"/>
    <cellStyle name="Nota 2 3 2 23" xfId="40967"/>
    <cellStyle name="Nota 2 3 2 24" xfId="43903"/>
    <cellStyle name="Nota 2 3 2 25" xfId="49229"/>
    <cellStyle name="Nota 2 3 2 3" xfId="5144"/>
    <cellStyle name="Nota 2 3 2 3 2" xfId="45718"/>
    <cellStyle name="Nota 2 3 2 3 3" xfId="46107"/>
    <cellStyle name="Nota 2 3 2 3 4" xfId="46465"/>
    <cellStyle name="Nota 2 3 2 3 5" xfId="46817"/>
    <cellStyle name="Nota 2 3 2 3 6" xfId="47132"/>
    <cellStyle name="Nota 2 3 2 3 7" xfId="47451"/>
    <cellStyle name="Nota 2 3 2 3 8" xfId="47769"/>
    <cellStyle name="Nota 2 3 2 4" xfId="6594"/>
    <cellStyle name="Nota 2 3 2 4 2" xfId="45780"/>
    <cellStyle name="Nota 2 3 2 4 3" xfId="46169"/>
    <cellStyle name="Nota 2 3 2 4 4" xfId="46527"/>
    <cellStyle name="Nota 2 3 2 4 5" xfId="46879"/>
    <cellStyle name="Nota 2 3 2 4 6" xfId="47194"/>
    <cellStyle name="Nota 2 3 2 4 7" xfId="47513"/>
    <cellStyle name="Nota 2 3 2 4 8" xfId="47831"/>
    <cellStyle name="Nota 2 3 2 5" xfId="8045"/>
    <cellStyle name="Nota 2 3 2 5 2" xfId="45633"/>
    <cellStyle name="Nota 2 3 2 5 3" xfId="46022"/>
    <cellStyle name="Nota 2 3 2 5 4" xfId="46380"/>
    <cellStyle name="Nota 2 3 2 5 5" xfId="46732"/>
    <cellStyle name="Nota 2 3 2 5 6" xfId="47047"/>
    <cellStyle name="Nota 2 3 2 5 7" xfId="47366"/>
    <cellStyle name="Nota 2 3 2 5 8" xfId="47684"/>
    <cellStyle name="Nota 2 3 2 6" xfId="9955"/>
    <cellStyle name="Nota 2 3 2 7" xfId="12121"/>
    <cellStyle name="Nota 2 3 2 8" xfId="14632"/>
    <cellStyle name="Nota 2 3 2 9" xfId="16538"/>
    <cellStyle name="Nota 2 3 2_Mem." xfId="49230"/>
    <cellStyle name="Nota 2 3 20" xfId="33626"/>
    <cellStyle name="Nota 2 3 21" xfId="35417"/>
    <cellStyle name="Nota 2 3 22" xfId="37295"/>
    <cellStyle name="Nota 2 3 23" xfId="40354"/>
    <cellStyle name="Nota 2 3 24" xfId="42010"/>
    <cellStyle name="Nota 2 3 25" xfId="42418"/>
    <cellStyle name="Nota 2 3 26" xfId="49231"/>
    <cellStyle name="Nota 2 3 27" xfId="51406"/>
    <cellStyle name="Nota 2 3 28" xfId="51478"/>
    <cellStyle name="Nota 2 3 29" xfId="51405"/>
    <cellStyle name="Nota 2 3 3" xfId="3240"/>
    <cellStyle name="Nota 2 3 3 10" xfId="19186"/>
    <cellStyle name="Nota 2 3 3 11" xfId="21098"/>
    <cellStyle name="Nota 2 3 3 12" xfId="23385"/>
    <cellStyle name="Nota 2 3 3 13" xfId="24900"/>
    <cellStyle name="Nota 2 3 3 14" xfId="26788"/>
    <cellStyle name="Nota 2 3 3 15" xfId="28811"/>
    <cellStyle name="Nota 2 3 3 16" xfId="30387"/>
    <cellStyle name="Nota 2 3 3 17" xfId="32456"/>
    <cellStyle name="Nota 2 3 3 18" xfId="33617"/>
    <cellStyle name="Nota 2 3 3 19" xfId="35727"/>
    <cellStyle name="Nota 2 3 3 2" xfId="4565"/>
    <cellStyle name="Nota 2 3 3 2 10" xfId="20810"/>
    <cellStyle name="Nota 2 3 3 2 11" xfId="22830"/>
    <cellStyle name="Nota 2 3 3 2 12" xfId="24612"/>
    <cellStyle name="Nota 2 3 3 2 13" xfId="27084"/>
    <cellStyle name="Nota 2 3 3 2 14" xfId="28589"/>
    <cellStyle name="Nota 2 3 3 2 15" xfId="30675"/>
    <cellStyle name="Nota 2 3 3 2 16" xfId="32824"/>
    <cellStyle name="Nota 2 3 3 2 17" xfId="33816"/>
    <cellStyle name="Nota 2 3 3 2 18" xfId="35440"/>
    <cellStyle name="Nota 2 3 3 2 19" xfId="37318"/>
    <cellStyle name="Nota 2 3 3 2 2" xfId="4407"/>
    <cellStyle name="Nota 2 3 3 2 20" xfId="40033"/>
    <cellStyle name="Nota 2 3 3 2 21" xfId="41697"/>
    <cellStyle name="Nota 2 3 3 2 22" xfId="42622"/>
    <cellStyle name="Nota 2 3 3 2 3" xfId="5339"/>
    <cellStyle name="Nota 2 3 3 2 4" xfId="9372"/>
    <cellStyle name="Nota 2 3 3 2 5" xfId="12337"/>
    <cellStyle name="Nota 2 3 3 2 6" xfId="13299"/>
    <cellStyle name="Nota 2 3 3 2 7" xfId="15204"/>
    <cellStyle name="Nota 2 3 3 2 8" xfId="16991"/>
    <cellStyle name="Nota 2 3 3 2 9" xfId="18898"/>
    <cellStyle name="Nota 2 3 3 20" xfId="37606"/>
    <cellStyle name="Nota 2 3 3 21" xfId="39674"/>
    <cellStyle name="Nota 2 3 3 22" xfId="41347"/>
    <cellStyle name="Nota 2 3 3 23" xfId="43152"/>
    <cellStyle name="Nota 2 3 3 24" xfId="50530"/>
    <cellStyle name="Nota 2 3 3 3" xfId="4850"/>
    <cellStyle name="Nota 2 3 3 3 2" xfId="45733"/>
    <cellStyle name="Nota 2 3 3 3 3" xfId="46122"/>
    <cellStyle name="Nota 2 3 3 3 4" xfId="46480"/>
    <cellStyle name="Nota 2 3 3 3 5" xfId="46832"/>
    <cellStyle name="Nota 2 3 3 3 6" xfId="47147"/>
    <cellStyle name="Nota 2 3 3 3 7" xfId="47466"/>
    <cellStyle name="Nota 2 3 3 3 8" xfId="47784"/>
    <cellStyle name="Nota 2 3 3 4" xfId="7751"/>
    <cellStyle name="Nota 2 3 3 4 2" xfId="45795"/>
    <cellStyle name="Nota 2 3 3 4 3" xfId="46184"/>
    <cellStyle name="Nota 2 3 3 4 4" xfId="46542"/>
    <cellStyle name="Nota 2 3 3 4 5" xfId="46894"/>
    <cellStyle name="Nota 2 3 3 4 6" xfId="47209"/>
    <cellStyle name="Nota 2 3 3 4 7" xfId="47528"/>
    <cellStyle name="Nota 2 3 3 4 8" xfId="47846"/>
    <cellStyle name="Nota 2 3 3 5" xfId="9661"/>
    <cellStyle name="Nota 2 3 3 5 2" xfId="45848"/>
    <cellStyle name="Nota 2 3 3 5 3" xfId="46237"/>
    <cellStyle name="Nota 2 3 3 5 4" xfId="46595"/>
    <cellStyle name="Nota 2 3 3 5 5" xfId="46947"/>
    <cellStyle name="Nota 2 3 3 5 6" xfId="47262"/>
    <cellStyle name="Nota 2 3 3 5 7" xfId="47581"/>
    <cellStyle name="Nota 2 3 3 5 8" xfId="47899"/>
    <cellStyle name="Nota 2 3 3 6" xfId="12173"/>
    <cellStyle name="Nota 2 3 3 7" xfId="13857"/>
    <cellStyle name="Nota 2 3 3 8" xfId="15758"/>
    <cellStyle name="Nota 2 3 3 9" xfId="17280"/>
    <cellStyle name="Nota 2 3 4" xfId="4135"/>
    <cellStyle name="Nota 2 3 4 10" xfId="19770"/>
    <cellStyle name="Nota 2 3 4 11" xfId="21682"/>
    <cellStyle name="Nota 2 3 4 12" xfId="23996"/>
    <cellStyle name="Nota 2 3 4 13" xfId="25484"/>
    <cellStyle name="Nota 2 3 4 14" xfId="27835"/>
    <cellStyle name="Nota 2 3 4 15" xfId="2792"/>
    <cellStyle name="Nota 2 3 4 16" xfId="31413"/>
    <cellStyle name="Nota 2 3 4 17" xfId="32202"/>
    <cellStyle name="Nota 2 3 4 18" xfId="34344"/>
    <cellStyle name="Nota 2 3 4 19" xfId="36311"/>
    <cellStyle name="Nota 2 3 4 2" xfId="6040"/>
    <cellStyle name="Nota 2 3 4 2 10" xfId="22290"/>
    <cellStyle name="Nota 2 3 4 2 11" xfId="2248"/>
    <cellStyle name="Nota 2 3 4 2 12" xfId="26092"/>
    <cellStyle name="Nota 2 3 4 2 13" xfId="3846"/>
    <cellStyle name="Nota 2 3 4 2 14" xfId="2200"/>
    <cellStyle name="Nota 2 3 4 2 15" xfId="24224"/>
    <cellStyle name="Nota 2 3 4 2 16" xfId="2921"/>
    <cellStyle name="Nota 2 3 4 2 17" xfId="27631"/>
    <cellStyle name="Nota 2 3 4 2 18" xfId="36919"/>
    <cellStyle name="Nota 2 3 4 2 19" xfId="38798"/>
    <cellStyle name="Nota 2 3 4 2 2" xfId="7489"/>
    <cellStyle name="Nota 2 3 4 2 20" xfId="26309"/>
    <cellStyle name="Nota 2 3 4 2 21" xfId="33828"/>
    <cellStyle name="Nota 2 3 4 2 22" xfId="12803"/>
    <cellStyle name="Nota 2 3 4 2 3" xfId="8943"/>
    <cellStyle name="Nota 2 3 4 2 4" xfId="10853"/>
    <cellStyle name="Nota 2 3 4 2 5" xfId="1767"/>
    <cellStyle name="Nota 2 3 4 2 6" xfId="3972"/>
    <cellStyle name="Nota 2 3 4 2 7" xfId="7527"/>
    <cellStyle name="Nota 2 3 4 2 8" xfId="18472"/>
    <cellStyle name="Nota 2 3 4 2 9" xfId="20378"/>
    <cellStyle name="Nota 2 3 4 20" xfId="38190"/>
    <cellStyle name="Nota 2 3 4 21" xfId="39424"/>
    <cellStyle name="Nota 2 3 4 22" xfId="41100"/>
    <cellStyle name="Nota 2 3 4 23" xfId="43740"/>
    <cellStyle name="Nota 2 3 4 3" xfId="6881"/>
    <cellStyle name="Nota 2 3 4 3 2" xfId="45767"/>
    <cellStyle name="Nota 2 3 4 3 3" xfId="46156"/>
    <cellStyle name="Nota 2 3 4 3 4" xfId="46514"/>
    <cellStyle name="Nota 2 3 4 3 5" xfId="46866"/>
    <cellStyle name="Nota 2 3 4 3 6" xfId="47181"/>
    <cellStyle name="Nota 2 3 4 3 7" xfId="47500"/>
    <cellStyle name="Nota 2 3 4 3 8" xfId="47818"/>
    <cellStyle name="Nota 2 3 4 4" xfId="8335"/>
    <cellStyle name="Nota 2 3 4 4 2" xfId="45836"/>
    <cellStyle name="Nota 2 3 4 4 3" xfId="46225"/>
    <cellStyle name="Nota 2 3 4 4 4" xfId="46583"/>
    <cellStyle name="Nota 2 3 4 4 5" xfId="46935"/>
    <cellStyle name="Nota 2 3 4 4 6" xfId="47250"/>
    <cellStyle name="Nota 2 3 4 4 7" xfId="47569"/>
    <cellStyle name="Nota 2 3 4 4 8" xfId="47887"/>
    <cellStyle name="Nota 2 3 4 5" xfId="10245"/>
    <cellStyle name="Nota 2 3 4 5 2" xfId="45873"/>
    <cellStyle name="Nota 2 3 4 5 3" xfId="46262"/>
    <cellStyle name="Nota 2 3 4 5 4" xfId="46620"/>
    <cellStyle name="Nota 2 3 4 5 5" xfId="46972"/>
    <cellStyle name="Nota 2 3 4 5 6" xfId="47287"/>
    <cellStyle name="Nota 2 3 4 5 7" xfId="47606"/>
    <cellStyle name="Nota 2 3 4 5 8" xfId="47924"/>
    <cellStyle name="Nota 2 3 4 6" xfId="11955"/>
    <cellStyle name="Nota 2 3 4 7" xfId="14466"/>
    <cellStyle name="Nota 2 3 4 8" xfId="16372"/>
    <cellStyle name="Nota 2 3 4 9" xfId="17864"/>
    <cellStyle name="Nota 2 3 5" xfId="4331"/>
    <cellStyle name="Nota 2 3 5 10" xfId="20465"/>
    <cellStyle name="Nota 2 3 5 11" xfId="23265"/>
    <cellStyle name="Nota 2 3 5 12" xfId="24267"/>
    <cellStyle name="Nota 2 3 5 13" xfId="26524"/>
    <cellStyle name="Nota 2 3 5 14" xfId="3190"/>
    <cellStyle name="Nota 2 3 5 15" xfId="30130"/>
    <cellStyle name="Nota 2 3 5 16" xfId="33098"/>
    <cellStyle name="Nota 2 3 5 17" xfId="33519"/>
    <cellStyle name="Nota 2 3 5 18" xfId="35095"/>
    <cellStyle name="Nota 2 3 5 19" xfId="36973"/>
    <cellStyle name="Nota 2 3 5 2" xfId="5376"/>
    <cellStyle name="Nota 2 3 5 20" xfId="40294"/>
    <cellStyle name="Nota 2 3 5 21" xfId="41950"/>
    <cellStyle name="Nota 2 3 5 22" xfId="43041"/>
    <cellStyle name="Nota 2 3 5 3" xfId="6678"/>
    <cellStyle name="Nota 2 3 5 4" xfId="9027"/>
    <cellStyle name="Nota 2 3 5 5" xfId="11200"/>
    <cellStyle name="Nota 2 3 5 6" xfId="13737"/>
    <cellStyle name="Nota 2 3 5 7" xfId="15639"/>
    <cellStyle name="Nota 2 3 5 8" xfId="16646"/>
    <cellStyle name="Nota 2 3 5 9" xfId="18553"/>
    <cellStyle name="Nota 2 3 6" xfId="6711"/>
    <cellStyle name="Nota 2 3 6 2" xfId="45676"/>
    <cellStyle name="Nota 2 3 6 3" xfId="46065"/>
    <cellStyle name="Nota 2 3 6 4" xfId="46423"/>
    <cellStyle name="Nota 2 3 6 5" xfId="46775"/>
    <cellStyle name="Nota 2 3 6 6" xfId="47090"/>
    <cellStyle name="Nota 2 3 6 7" xfId="47409"/>
    <cellStyle name="Nota 2 3 6 8" xfId="47727"/>
    <cellStyle name="Nota 2 3 7" xfId="9349"/>
    <cellStyle name="Nota 2 3 7 2" xfId="45651"/>
    <cellStyle name="Nota 2 3 7 3" xfId="46040"/>
    <cellStyle name="Nota 2 3 7 4" xfId="46398"/>
    <cellStyle name="Nota 2 3 7 5" xfId="46750"/>
    <cellStyle name="Nota 2 3 7 6" xfId="47065"/>
    <cellStyle name="Nota 2 3 7 7" xfId="47384"/>
    <cellStyle name="Nota 2 3 7 8" xfId="47702"/>
    <cellStyle name="Nota 2 3 8" xfId="11155"/>
    <cellStyle name="Nota 2 3 9" xfId="13078"/>
    <cellStyle name="Nota 2 3_Mem." xfId="49232"/>
    <cellStyle name="Nota 2 4" xfId="1901"/>
    <cellStyle name="Nota 2 4 10" xfId="17078"/>
    <cellStyle name="Nota 2 4 11" xfId="18984"/>
    <cellStyle name="Nota 2 4 12" xfId="20896"/>
    <cellStyle name="Nota 2 4 13" xfId="23025"/>
    <cellStyle name="Nota 2 4 14" xfId="24698"/>
    <cellStyle name="Nota 2 4 15" xfId="27476"/>
    <cellStyle name="Nota 2 4 16" xfId="29403"/>
    <cellStyle name="Nota 2 4 17" xfId="31063"/>
    <cellStyle name="Nota 2 4 18" xfId="31798"/>
    <cellStyle name="Nota 2 4 19" xfId="33725"/>
    <cellStyle name="Nota 2 4 2" xfId="4614"/>
    <cellStyle name="Nota 2 4 2 10" xfId="20859"/>
    <cellStyle name="Nota 2 4 2 11" xfId="23370"/>
    <cellStyle name="Nota 2 4 2 12" xfId="24661"/>
    <cellStyle name="Nota 2 4 2 13" xfId="26447"/>
    <cellStyle name="Nota 2 4 2 14" xfId="3804"/>
    <cellStyle name="Nota 2 4 2 15" xfId="30053"/>
    <cellStyle name="Nota 2 4 2 16" xfId="31776"/>
    <cellStyle name="Nota 2 4 2 17" xfId="33903"/>
    <cellStyle name="Nota 2 4 2 18" xfId="35489"/>
    <cellStyle name="Nota 2 4 2 19" xfId="37367"/>
    <cellStyle name="Nota 2 4 2 2" xfId="6062"/>
    <cellStyle name="Nota 2 4 2 2 2" xfId="45949"/>
    <cellStyle name="Nota 2 4 2 2 3" xfId="46307"/>
    <cellStyle name="Nota 2 4 2 2 4" xfId="46659"/>
    <cellStyle name="Nota 2 4 2 2 5" xfId="45590"/>
    <cellStyle name="Nota 2 4 2 20" xfId="39015"/>
    <cellStyle name="Nota 2 4 2 21" xfId="40697"/>
    <cellStyle name="Nota 2 4 2 22" xfId="43138"/>
    <cellStyle name="Nota 2 4 2 23" xfId="51326"/>
    <cellStyle name="Nota 2 4 2 3" xfId="7511"/>
    <cellStyle name="Nota 2 4 2 3 2" xfId="45722"/>
    <cellStyle name="Nota 2 4 2 3 3" xfId="46111"/>
    <cellStyle name="Nota 2 4 2 3 4" xfId="46469"/>
    <cellStyle name="Nota 2 4 2 3 5" xfId="46821"/>
    <cellStyle name="Nota 2 4 2 3 6" xfId="47136"/>
    <cellStyle name="Nota 2 4 2 3 7" xfId="47455"/>
    <cellStyle name="Nota 2 4 2 3 8" xfId="47773"/>
    <cellStyle name="Nota 2 4 2 4" xfId="9421"/>
    <cellStyle name="Nota 2 4 2 4 2" xfId="45784"/>
    <cellStyle name="Nota 2 4 2 4 3" xfId="46173"/>
    <cellStyle name="Nota 2 4 2 4 4" xfId="46531"/>
    <cellStyle name="Nota 2 4 2 4 5" xfId="46883"/>
    <cellStyle name="Nota 2 4 2 4 6" xfId="47198"/>
    <cellStyle name="Nota 2 4 2 4 7" xfId="47517"/>
    <cellStyle name="Nota 2 4 2 4 8" xfId="47835"/>
    <cellStyle name="Nota 2 4 2 5" xfId="12433"/>
    <cellStyle name="Nota 2 4 2 5 2" xfId="45635"/>
    <cellStyle name="Nota 2 4 2 5 3" xfId="46024"/>
    <cellStyle name="Nota 2 4 2 5 4" xfId="46382"/>
    <cellStyle name="Nota 2 4 2 5 5" xfId="46734"/>
    <cellStyle name="Nota 2 4 2 5 6" xfId="47049"/>
    <cellStyle name="Nota 2 4 2 5 7" xfId="47368"/>
    <cellStyle name="Nota 2 4 2 5 8" xfId="47686"/>
    <cellStyle name="Nota 2 4 2 6" xfId="13842"/>
    <cellStyle name="Nota 2 4 2 7" xfId="15743"/>
    <cellStyle name="Nota 2 4 2 8" xfId="17040"/>
    <cellStyle name="Nota 2 4 2 9" xfId="18947"/>
    <cellStyle name="Nota 2 4 20" xfId="35525"/>
    <cellStyle name="Nota 2 4 21" xfId="37404"/>
    <cellStyle name="Nota 2 4 22" xfId="39036"/>
    <cellStyle name="Nota 2 4 23" xfId="40718"/>
    <cellStyle name="Nota 2 4 24" xfId="42808"/>
    <cellStyle name="Nota 2 4 25" xfId="49233"/>
    <cellStyle name="Nota 2 4 26" xfId="51483"/>
    <cellStyle name="Nota 2 4 3" xfId="4652"/>
    <cellStyle name="Nota 2 4 3 2" xfId="45355"/>
    <cellStyle name="Nota 2 4 3 2 2" xfId="45957"/>
    <cellStyle name="Nota 2 4 3 2 3" xfId="46315"/>
    <cellStyle name="Nota 2 4 3 2 4" xfId="46667"/>
    <cellStyle name="Nota 2 4 3 2 5" xfId="47619"/>
    <cellStyle name="Nota 2 4 3 3" xfId="45413"/>
    <cellStyle name="Nota 2 4 3 3 2" xfId="45737"/>
    <cellStyle name="Nota 2 4 3 3 3" xfId="46126"/>
    <cellStyle name="Nota 2 4 3 3 4" xfId="46484"/>
    <cellStyle name="Nota 2 4 3 3 5" xfId="46836"/>
    <cellStyle name="Nota 2 4 3 3 6" xfId="47151"/>
    <cellStyle name="Nota 2 4 3 3 7" xfId="47470"/>
    <cellStyle name="Nota 2 4 3 3 8" xfId="47788"/>
    <cellStyle name="Nota 2 4 3 4" xfId="45440"/>
    <cellStyle name="Nota 2 4 3 4 2" xfId="45799"/>
    <cellStyle name="Nota 2 4 3 4 3" xfId="46188"/>
    <cellStyle name="Nota 2 4 3 4 4" xfId="46546"/>
    <cellStyle name="Nota 2 4 3 4 5" xfId="46898"/>
    <cellStyle name="Nota 2 4 3 4 6" xfId="47213"/>
    <cellStyle name="Nota 2 4 3 4 7" xfId="47532"/>
    <cellStyle name="Nota 2 4 3 4 8" xfId="47850"/>
    <cellStyle name="Nota 2 4 3 5" xfId="45464"/>
    <cellStyle name="Nota 2 4 3 5 2" xfId="45852"/>
    <cellStyle name="Nota 2 4 3 5 3" xfId="46241"/>
    <cellStyle name="Nota 2 4 3 5 4" xfId="46599"/>
    <cellStyle name="Nota 2 4 3 5 5" xfId="46951"/>
    <cellStyle name="Nota 2 4 3 5 6" xfId="47266"/>
    <cellStyle name="Nota 2 4 3 5 7" xfId="47585"/>
    <cellStyle name="Nota 2 4 3 5 8" xfId="47903"/>
    <cellStyle name="Nota 2 4 3 6" xfId="45904"/>
    <cellStyle name="Nota 2 4 3 7" xfId="45558"/>
    <cellStyle name="Nota 2 4 3 8" xfId="46276"/>
    <cellStyle name="Nota 2 4 3 9" xfId="45324"/>
    <cellStyle name="Nota 2 4 4" xfId="6099"/>
    <cellStyle name="Nota 2 4 4 2" xfId="45368"/>
    <cellStyle name="Nota 2 4 4 2 2" xfId="45975"/>
    <cellStyle name="Nota 2 4 4 2 3" xfId="46333"/>
    <cellStyle name="Nota 2 4 4 2 4" xfId="46685"/>
    <cellStyle name="Nota 2 4 4 2 5" xfId="47637"/>
    <cellStyle name="Nota 2 4 4 3" xfId="45427"/>
    <cellStyle name="Nota 2 4 4 3 2" xfId="45771"/>
    <cellStyle name="Nota 2 4 4 3 3" xfId="46160"/>
    <cellStyle name="Nota 2 4 4 3 4" xfId="46518"/>
    <cellStyle name="Nota 2 4 4 3 5" xfId="46870"/>
    <cellStyle name="Nota 2 4 4 3 6" xfId="47185"/>
    <cellStyle name="Nota 2 4 4 3 7" xfId="47504"/>
    <cellStyle name="Nota 2 4 4 3 8" xfId="47822"/>
    <cellStyle name="Nota 2 4 4 4" xfId="45457"/>
    <cellStyle name="Nota 2 4 4 4 2" xfId="45840"/>
    <cellStyle name="Nota 2 4 4 4 3" xfId="46229"/>
    <cellStyle name="Nota 2 4 4 4 4" xfId="46587"/>
    <cellStyle name="Nota 2 4 4 4 5" xfId="46939"/>
    <cellStyle name="Nota 2 4 4 4 6" xfId="47254"/>
    <cellStyle name="Nota 2 4 4 4 7" xfId="47573"/>
    <cellStyle name="Nota 2 4 4 4 8" xfId="47891"/>
    <cellStyle name="Nota 2 4 4 5" xfId="45477"/>
    <cellStyle name="Nota 2 4 4 5 2" xfId="45877"/>
    <cellStyle name="Nota 2 4 4 5 3" xfId="46266"/>
    <cellStyle name="Nota 2 4 4 5 4" xfId="46624"/>
    <cellStyle name="Nota 2 4 4 5 5" xfId="46976"/>
    <cellStyle name="Nota 2 4 4 5 6" xfId="47291"/>
    <cellStyle name="Nota 2 4 4 5 7" xfId="47610"/>
    <cellStyle name="Nota 2 4 4 5 8" xfId="47928"/>
    <cellStyle name="Nota 2 4 4 6" xfId="45917"/>
    <cellStyle name="Nota 2 4 4 7" xfId="45572"/>
    <cellStyle name="Nota 2 4 4 8" xfId="45556"/>
    <cellStyle name="Nota 2 4 4 9" xfId="47948"/>
    <cellStyle name="Nota 2 4 5" xfId="7549"/>
    <cellStyle name="Nota 2 4 5 2" xfId="45578"/>
    <cellStyle name="Nota 2 4 5 3" xfId="45927"/>
    <cellStyle name="Nota 2 4 5 4" xfId="46285"/>
    <cellStyle name="Nota 2 4 5 5" xfId="46637"/>
    <cellStyle name="Nota 2 4 5 6" xfId="46988"/>
    <cellStyle name="Nota 2 4 5 7" xfId="47305"/>
    <cellStyle name="Nota 2 4 5 8" xfId="45507"/>
    <cellStyle name="Nota 2 4 6" xfId="9459"/>
    <cellStyle name="Nota 2 4 6 2" xfId="45677"/>
    <cellStyle name="Nota 2 4 6 3" xfId="46066"/>
    <cellStyle name="Nota 2 4 6 4" xfId="46424"/>
    <cellStyle name="Nota 2 4 6 5" xfId="46776"/>
    <cellStyle name="Nota 2 4 6 6" xfId="47091"/>
    <cellStyle name="Nota 2 4 6 7" xfId="47410"/>
    <cellStyle name="Nota 2 4 6 8" xfId="47728"/>
    <cellStyle name="Nota 2 4 7" xfId="12613"/>
    <cellStyle name="Nota 2 4 7 2" xfId="45822"/>
    <cellStyle name="Nota 2 4 7 3" xfId="46211"/>
    <cellStyle name="Nota 2 4 7 4" xfId="46569"/>
    <cellStyle name="Nota 2 4 7 5" xfId="46921"/>
    <cellStyle name="Nota 2 4 7 6" xfId="47236"/>
    <cellStyle name="Nota 2 4 7 7" xfId="47555"/>
    <cellStyle name="Nota 2 4 7 8" xfId="47873"/>
    <cellStyle name="Nota 2 4 8" xfId="13495"/>
    <cellStyle name="Nota 2 4 9" xfId="15399"/>
    <cellStyle name="Nota 2 4_Mem." xfId="49234"/>
    <cellStyle name="Nota 2 5" xfId="3005"/>
    <cellStyle name="Nota 2 5 10" xfId="19135"/>
    <cellStyle name="Nota 2 5 11" xfId="21047"/>
    <cellStyle name="Nota 2 5 12" xfId="23420"/>
    <cellStyle name="Nota 2 5 13" xfId="24849"/>
    <cellStyle name="Nota 2 5 14" xfId="27054"/>
    <cellStyle name="Nota 2 5 15" xfId="4352"/>
    <cellStyle name="Nota 2 5 16" xfId="30646"/>
    <cellStyle name="Nota 2 5 17" xfId="33324"/>
    <cellStyle name="Nota 2 5 18" xfId="2881"/>
    <cellStyle name="Nota 2 5 19" xfId="35676"/>
    <cellStyle name="Nota 2 5 2" xfId="4541"/>
    <cellStyle name="Nota 2 5 2 10" xfId="20786"/>
    <cellStyle name="Nota 2 5 2 11" xfId="23256"/>
    <cellStyle name="Nota 2 5 2 12" xfId="24588"/>
    <cellStyle name="Nota 2 5 2 13" xfId="26301"/>
    <cellStyle name="Nota 2 5 2 14" xfId="28569"/>
    <cellStyle name="Nota 2 5 2 15" xfId="29910"/>
    <cellStyle name="Nota 2 5 2 16" xfId="32039"/>
    <cellStyle name="Nota 2 5 2 17" xfId="34497"/>
    <cellStyle name="Nota 2 5 2 18" xfId="35416"/>
    <cellStyle name="Nota 2 5 2 19" xfId="37294"/>
    <cellStyle name="Nota 2 5 2 2" xfId="2602"/>
    <cellStyle name="Nota 2 5 2 2 2" xfId="45588"/>
    <cellStyle name="Nota 2 5 2 2 3" xfId="45942"/>
    <cellStyle name="Nota 2 5 2 2 4" xfId="46300"/>
    <cellStyle name="Nota 2 5 2 2 5" xfId="46652"/>
    <cellStyle name="Nota 2 5 2 2 6" xfId="46998"/>
    <cellStyle name="Nota 2 5 2 2 7" xfId="47317"/>
    <cellStyle name="Nota 2 5 2 2 8" xfId="45506"/>
    <cellStyle name="Nota 2 5 2 20" xfId="39268"/>
    <cellStyle name="Nota 2 5 2 21" xfId="40945"/>
    <cellStyle name="Nota 2 5 2 22" xfId="43032"/>
    <cellStyle name="Nota 2 5 2 23" xfId="51342"/>
    <cellStyle name="Nota 2 5 2 3" xfId="4534"/>
    <cellStyle name="Nota 2 5 2 3 2" xfId="45706"/>
    <cellStyle name="Nota 2 5 2 3 3" xfId="46095"/>
    <cellStyle name="Nota 2 5 2 3 4" xfId="46453"/>
    <cellStyle name="Nota 2 5 2 3 5" xfId="46805"/>
    <cellStyle name="Nota 2 5 2 3 6" xfId="47120"/>
    <cellStyle name="Nota 2 5 2 3 7" xfId="47439"/>
    <cellStyle name="Nota 2 5 2 3 8" xfId="47757"/>
    <cellStyle name="Nota 2 5 2 4" xfId="9348"/>
    <cellStyle name="Nota 2 5 2 4 2" xfId="45601"/>
    <cellStyle name="Nota 2 5 2 4 3" xfId="45990"/>
    <cellStyle name="Nota 2 5 2 4 4" xfId="46348"/>
    <cellStyle name="Nota 2 5 2 4 5" xfId="46700"/>
    <cellStyle name="Nota 2 5 2 4 6" xfId="47015"/>
    <cellStyle name="Nota 2 5 2 4 7" xfId="47334"/>
    <cellStyle name="Nota 2 5 2 4 8" xfId="47652"/>
    <cellStyle name="Nota 2 5 2 5" xfId="11174"/>
    <cellStyle name="Nota 2 5 2 6" xfId="13728"/>
    <cellStyle name="Nota 2 5 2 7" xfId="15630"/>
    <cellStyle name="Nota 2 5 2 8" xfId="16967"/>
    <cellStyle name="Nota 2 5 2 9" xfId="18874"/>
    <cellStyle name="Nota 2 5 20" xfId="37555"/>
    <cellStyle name="Nota 2 5 21" xfId="40504"/>
    <cellStyle name="Nota 2 5 22" xfId="42156"/>
    <cellStyle name="Nota 2 5 23" xfId="43187"/>
    <cellStyle name="Nota 2 5 24" xfId="49235"/>
    <cellStyle name="Nota 2 5 25" xfId="51482"/>
    <cellStyle name="Nota 2 5 3" xfId="4799"/>
    <cellStyle name="Nota 2 5 3 2" xfId="45351"/>
    <cellStyle name="Nota 2 5 3 2 2" xfId="45953"/>
    <cellStyle name="Nota 2 5 3 2 3" xfId="46311"/>
    <cellStyle name="Nota 2 5 3 2 4" xfId="46663"/>
    <cellStyle name="Nota 2 5 3 2 5" xfId="45501"/>
    <cellStyle name="Nota 2 5 3 3" xfId="45409"/>
    <cellStyle name="Nota 2 5 3 3 2" xfId="45728"/>
    <cellStyle name="Nota 2 5 3 3 3" xfId="46117"/>
    <cellStyle name="Nota 2 5 3 3 4" xfId="46475"/>
    <cellStyle name="Nota 2 5 3 3 5" xfId="46827"/>
    <cellStyle name="Nota 2 5 3 3 6" xfId="47142"/>
    <cellStyle name="Nota 2 5 3 3 7" xfId="47461"/>
    <cellStyle name="Nota 2 5 3 3 8" xfId="47779"/>
    <cellStyle name="Nota 2 5 3 4" xfId="45436"/>
    <cellStyle name="Nota 2 5 3 4 2" xfId="45790"/>
    <cellStyle name="Nota 2 5 3 4 3" xfId="46179"/>
    <cellStyle name="Nota 2 5 3 4 4" xfId="46537"/>
    <cellStyle name="Nota 2 5 3 4 5" xfId="46889"/>
    <cellStyle name="Nota 2 5 3 4 6" xfId="47204"/>
    <cellStyle name="Nota 2 5 3 4 7" xfId="47523"/>
    <cellStyle name="Nota 2 5 3 4 8" xfId="47841"/>
    <cellStyle name="Nota 2 5 3 5" xfId="45387"/>
    <cellStyle name="Nota 2 5 3 5 2" xfId="45638"/>
    <cellStyle name="Nota 2 5 3 5 3" xfId="46027"/>
    <cellStyle name="Nota 2 5 3 5 4" xfId="46385"/>
    <cellStyle name="Nota 2 5 3 5 5" xfId="46737"/>
    <cellStyle name="Nota 2 5 3 5 6" xfId="47052"/>
    <cellStyle name="Nota 2 5 3 5 7" xfId="47371"/>
    <cellStyle name="Nota 2 5 3 5 8" xfId="47689"/>
    <cellStyle name="Nota 2 5 3 6" xfId="45900"/>
    <cellStyle name="Nota 2 5 3 7" xfId="45560"/>
    <cellStyle name="Nota 2 5 3 8" xfId="45486"/>
    <cellStyle name="Nota 2 5 3 9" xfId="45320"/>
    <cellStyle name="Nota 2 5 4" xfId="7700"/>
    <cellStyle name="Nota 2 5 4 2" xfId="45359"/>
    <cellStyle name="Nota 2 5 4 2 2" xfId="45961"/>
    <cellStyle name="Nota 2 5 4 2 3" xfId="46319"/>
    <cellStyle name="Nota 2 5 4 2 4" xfId="46671"/>
    <cellStyle name="Nota 2 5 4 2 5" xfId="47623"/>
    <cellStyle name="Nota 2 5 4 3" xfId="45417"/>
    <cellStyle name="Nota 2 5 4 3 2" xfId="45743"/>
    <cellStyle name="Nota 2 5 4 3 3" xfId="46132"/>
    <cellStyle name="Nota 2 5 4 3 4" xfId="46490"/>
    <cellStyle name="Nota 2 5 4 3 5" xfId="46842"/>
    <cellStyle name="Nota 2 5 4 3 6" xfId="47157"/>
    <cellStyle name="Nota 2 5 4 3 7" xfId="47476"/>
    <cellStyle name="Nota 2 5 4 3 8" xfId="47794"/>
    <cellStyle name="Nota 2 5 4 4" xfId="45444"/>
    <cellStyle name="Nota 2 5 4 4 2" xfId="45805"/>
    <cellStyle name="Nota 2 5 4 4 3" xfId="46194"/>
    <cellStyle name="Nota 2 5 4 4 4" xfId="46552"/>
    <cellStyle name="Nota 2 5 4 4 5" xfId="46904"/>
    <cellStyle name="Nota 2 5 4 4 6" xfId="47219"/>
    <cellStyle name="Nota 2 5 4 4 7" xfId="47538"/>
    <cellStyle name="Nota 2 5 4 4 8" xfId="47856"/>
    <cellStyle name="Nota 2 5 4 5" xfId="45468"/>
    <cellStyle name="Nota 2 5 4 5 2" xfId="45858"/>
    <cellStyle name="Nota 2 5 4 5 3" xfId="46247"/>
    <cellStyle name="Nota 2 5 4 5 4" xfId="46605"/>
    <cellStyle name="Nota 2 5 4 5 5" xfId="46957"/>
    <cellStyle name="Nota 2 5 4 5 6" xfId="47272"/>
    <cellStyle name="Nota 2 5 4 5 7" xfId="47591"/>
    <cellStyle name="Nota 2 5 4 5 8" xfId="47909"/>
    <cellStyle name="Nota 2 5 4 6" xfId="45908"/>
    <cellStyle name="Nota 2 5 4 7" xfId="45554"/>
    <cellStyle name="Nota 2 5 4 8" xfId="45503"/>
    <cellStyle name="Nota 2 5 4 9" xfId="45328"/>
    <cellStyle name="Nota 2 5 5" xfId="9610"/>
    <cellStyle name="Nota 2 5 5 2" xfId="45364"/>
    <cellStyle name="Nota 2 5 5 2 2" xfId="45966"/>
    <cellStyle name="Nota 2 5 5 2 3" xfId="46324"/>
    <cellStyle name="Nota 2 5 5 2 4" xfId="46676"/>
    <cellStyle name="Nota 2 5 5 2 5" xfId="47628"/>
    <cellStyle name="Nota 2 5 5 3" xfId="45422"/>
    <cellStyle name="Nota 2 5 5 3 2" xfId="45749"/>
    <cellStyle name="Nota 2 5 5 3 3" xfId="46138"/>
    <cellStyle name="Nota 2 5 5 3 4" xfId="46496"/>
    <cellStyle name="Nota 2 5 5 3 5" xfId="46848"/>
    <cellStyle name="Nota 2 5 5 3 6" xfId="47163"/>
    <cellStyle name="Nota 2 5 5 3 7" xfId="47482"/>
    <cellStyle name="Nota 2 5 5 3 8" xfId="47800"/>
    <cellStyle name="Nota 2 5 5 4" xfId="45449"/>
    <cellStyle name="Nota 2 5 5 4 2" xfId="45811"/>
    <cellStyle name="Nota 2 5 5 4 3" xfId="46200"/>
    <cellStyle name="Nota 2 5 5 4 4" xfId="46558"/>
    <cellStyle name="Nota 2 5 5 4 5" xfId="46910"/>
    <cellStyle name="Nota 2 5 5 4 6" xfId="47225"/>
    <cellStyle name="Nota 2 5 5 4 7" xfId="47544"/>
    <cellStyle name="Nota 2 5 5 4 8" xfId="47862"/>
    <cellStyle name="Nota 2 5 5 5" xfId="45473"/>
    <cellStyle name="Nota 2 5 5 5 2" xfId="45864"/>
    <cellStyle name="Nota 2 5 5 5 3" xfId="46253"/>
    <cellStyle name="Nota 2 5 5 5 4" xfId="46611"/>
    <cellStyle name="Nota 2 5 5 5 5" xfId="46963"/>
    <cellStyle name="Nota 2 5 5 5 6" xfId="47278"/>
    <cellStyle name="Nota 2 5 5 5 7" xfId="47597"/>
    <cellStyle name="Nota 2 5 5 5 8" xfId="47915"/>
    <cellStyle name="Nota 2 5 5 6" xfId="45913"/>
    <cellStyle name="Nota 2 5 5 7" xfId="45521"/>
    <cellStyle name="Nota 2 5 5 8" xfId="47299"/>
    <cellStyle name="Nota 2 5 5 9" xfId="47944"/>
    <cellStyle name="Nota 2 5 6" xfId="12254"/>
    <cellStyle name="Nota 2 5 6 10" xfId="47952"/>
    <cellStyle name="Nota 2 5 6 2" xfId="45372"/>
    <cellStyle name="Nota 2 5 6 2 2" xfId="45979"/>
    <cellStyle name="Nota 2 5 6 2 3" xfId="46337"/>
    <cellStyle name="Nota 2 5 6 2 4" xfId="46689"/>
    <cellStyle name="Nota 2 5 6 2 5" xfId="47641"/>
    <cellStyle name="Nota 2 5 6 3" xfId="45431"/>
    <cellStyle name="Nota 2 5 6 3 2" xfId="45777"/>
    <cellStyle name="Nota 2 5 6 3 3" xfId="46166"/>
    <cellStyle name="Nota 2 5 6 3 4" xfId="46524"/>
    <cellStyle name="Nota 2 5 6 3 5" xfId="46876"/>
    <cellStyle name="Nota 2 5 6 3 6" xfId="47191"/>
    <cellStyle name="Nota 2 5 6 3 7" xfId="47510"/>
    <cellStyle name="Nota 2 5 6 3 8" xfId="47828"/>
    <cellStyle name="Nota 2 5 6 4" xfId="45461"/>
    <cellStyle name="Nota 2 5 6 4 2" xfId="45846"/>
    <cellStyle name="Nota 2 5 6 4 3" xfId="46235"/>
    <cellStyle name="Nota 2 5 6 4 4" xfId="46593"/>
    <cellStyle name="Nota 2 5 6 4 5" xfId="46945"/>
    <cellStyle name="Nota 2 5 6 4 6" xfId="47260"/>
    <cellStyle name="Nota 2 5 6 4 7" xfId="47579"/>
    <cellStyle name="Nota 2 5 6 4 8" xfId="47897"/>
    <cellStyle name="Nota 2 5 6 5" xfId="45481"/>
    <cellStyle name="Nota 2 5 6 5 2" xfId="45883"/>
    <cellStyle name="Nota 2 5 6 5 3" xfId="46272"/>
    <cellStyle name="Nota 2 5 6 5 4" xfId="46630"/>
    <cellStyle name="Nota 2 5 6 5 5" xfId="46982"/>
    <cellStyle name="Nota 2 5 6 5 6" xfId="47297"/>
    <cellStyle name="Nota 2 5 6 5 7" xfId="47616"/>
    <cellStyle name="Nota 2 5 6 5 8" xfId="47934"/>
    <cellStyle name="Nota 2 5 6 6" xfId="45921"/>
    <cellStyle name="Nota 2 5 6 7" xfId="45534"/>
    <cellStyle name="Nota 2 5 6 8" xfId="45563"/>
    <cellStyle name="Nota 2 5 6 9" xfId="45333"/>
    <cellStyle name="Nota 2 5 7" xfId="13892"/>
    <cellStyle name="Nota 2 5 7 2" xfId="45579"/>
    <cellStyle name="Nota 2 5 7 3" xfId="45928"/>
    <cellStyle name="Nota 2 5 7 4" xfId="46286"/>
    <cellStyle name="Nota 2 5 7 5" xfId="46638"/>
    <cellStyle name="Nota 2 5 7 6" xfId="46989"/>
    <cellStyle name="Nota 2 5 7 7" xfId="47306"/>
    <cellStyle name="Nota 2 5 7 8" xfId="46277"/>
    <cellStyle name="Nota 2 5 8" xfId="15793"/>
    <cellStyle name="Nota 2 5 8 2" xfId="45678"/>
    <cellStyle name="Nota 2 5 8 3" xfId="46067"/>
    <cellStyle name="Nota 2 5 8 4" xfId="46425"/>
    <cellStyle name="Nota 2 5 8 5" xfId="46777"/>
    <cellStyle name="Nota 2 5 8 6" xfId="47092"/>
    <cellStyle name="Nota 2 5 8 7" xfId="47411"/>
    <cellStyle name="Nota 2 5 8 8" xfId="47729"/>
    <cellStyle name="Nota 2 5 9" xfId="17229"/>
    <cellStyle name="Nota 2 5_Mem." xfId="49236"/>
    <cellStyle name="Nota 2 6" xfId="2263"/>
    <cellStyle name="Nota 2 6 10" xfId="19043"/>
    <cellStyle name="Nota 2 6 11" xfId="20955"/>
    <cellStyle name="Nota 2 6 12" xfId="23541"/>
    <cellStyle name="Nota 2 6 13" xfId="24757"/>
    <cellStyle name="Nota 2 6 14" xfId="27177"/>
    <cellStyle name="Nota 2 6 15" xfId="29642"/>
    <cellStyle name="Nota 2 6 16" xfId="30768"/>
    <cellStyle name="Nota 2 6 17" xfId="31936"/>
    <cellStyle name="Nota 2 6 18" xfId="33732"/>
    <cellStyle name="Nota 2 6 19" xfId="35584"/>
    <cellStyle name="Nota 2 6 2" xfId="5648"/>
    <cellStyle name="Nota 2 6 2 10" xfId="21898"/>
    <cellStyle name="Nota 2 6 2 11" xfId="22913"/>
    <cellStyle name="Nota 2 6 2 12" xfId="25700"/>
    <cellStyle name="Nota 2 6 2 13" xfId="26614"/>
    <cellStyle name="Nota 2 6 2 14" xfId="3325"/>
    <cellStyle name="Nota 2 6 2 15" xfId="30217"/>
    <cellStyle name="Nota 2 6 2 16" xfId="32885"/>
    <cellStyle name="Nota 2 6 2 17" xfId="33964"/>
    <cellStyle name="Nota 2 6 2 18" xfId="36527"/>
    <cellStyle name="Nota 2 6 2 19" xfId="38406"/>
    <cellStyle name="Nota 2 6 2 2" xfId="7097"/>
    <cellStyle name="Nota 2 6 2 20" xfId="40090"/>
    <cellStyle name="Nota 2 6 2 21" xfId="41753"/>
    <cellStyle name="Nota 2 6 2 22" xfId="42699"/>
    <cellStyle name="Nota 2 6 2 23" xfId="51253"/>
    <cellStyle name="Nota 2 6 2 3" xfId="8551"/>
    <cellStyle name="Nota 2 6 2 4" xfId="10461"/>
    <cellStyle name="Nota 2 6 2 5" xfId="12182"/>
    <cellStyle name="Nota 2 6 2 6" xfId="13381"/>
    <cellStyle name="Nota 2 6 2 7" xfId="15286"/>
    <cellStyle name="Nota 2 6 2 8" xfId="18080"/>
    <cellStyle name="Nota 2 6 2 9" xfId="19986"/>
    <cellStyle name="Nota 2 6 20" xfId="37463"/>
    <cellStyle name="Nota 2 6 21" xfId="39166"/>
    <cellStyle name="Nota 2 6 22" xfId="40847"/>
    <cellStyle name="Nota 2 6 23" xfId="43306"/>
    <cellStyle name="Nota 2 6 24" xfId="49237"/>
    <cellStyle name="Nota 2 6 25" xfId="51641"/>
    <cellStyle name="Nota 2 6 3" xfId="6157"/>
    <cellStyle name="Nota 2 6 3 2" xfId="45674"/>
    <cellStyle name="Nota 2 6 3 3" xfId="46063"/>
    <cellStyle name="Nota 2 6 3 4" xfId="46421"/>
    <cellStyle name="Nota 2 6 3 5" xfId="46773"/>
    <cellStyle name="Nota 2 6 3 6" xfId="47088"/>
    <cellStyle name="Nota 2 6 3 7" xfId="47407"/>
    <cellStyle name="Nota 2 6 3 8" xfId="47725"/>
    <cellStyle name="Nota 2 6 4" xfId="7608"/>
    <cellStyle name="Nota 2 6 4 2" xfId="45650"/>
    <cellStyle name="Nota 2 6 4 3" xfId="46039"/>
    <cellStyle name="Nota 2 6 4 4" xfId="46397"/>
    <cellStyle name="Nota 2 6 4 5" xfId="46749"/>
    <cellStyle name="Nota 2 6 4 6" xfId="47064"/>
    <cellStyle name="Nota 2 6 4 7" xfId="47383"/>
    <cellStyle name="Nota 2 6 4 8" xfId="47701"/>
    <cellStyle name="Nota 2 6 5" xfId="9518"/>
    <cellStyle name="Nota 2 6 6" xfId="12505"/>
    <cellStyle name="Nota 2 6 7" xfId="14013"/>
    <cellStyle name="Nota 2 6 8" xfId="15914"/>
    <cellStyle name="Nota 2 6 9" xfId="17137"/>
    <cellStyle name="Nota 2 6_Mem." xfId="49238"/>
    <cellStyle name="Nota 2 7" xfId="3076"/>
    <cellStyle name="Nota 2 7 10" xfId="49861"/>
    <cellStyle name="Nota 2 7 11" xfId="52282"/>
    <cellStyle name="Nota 2 7 2" xfId="45338"/>
    <cellStyle name="Nota 2 7 2 2" xfId="45932"/>
    <cellStyle name="Nota 2 7 2 3" xfId="46290"/>
    <cellStyle name="Nota 2 7 2 4" xfId="46642"/>
    <cellStyle name="Nota 2 7 2 5" xfId="45546"/>
    <cellStyle name="Nota 2 7 2 6" xfId="51372"/>
    <cellStyle name="Nota 2 7 3" xfId="45396"/>
    <cellStyle name="Nota 2 7 3 2" xfId="45689"/>
    <cellStyle name="Nota 2 7 3 3" xfId="46078"/>
    <cellStyle name="Nota 2 7 3 4" xfId="46436"/>
    <cellStyle name="Nota 2 7 3 5" xfId="46788"/>
    <cellStyle name="Nota 2 7 3 6" xfId="47103"/>
    <cellStyle name="Nota 2 7 3 7" xfId="47422"/>
    <cellStyle name="Nota 2 7 3 8" xfId="47740"/>
    <cellStyle name="Nota 2 7 4" xfId="45384"/>
    <cellStyle name="Nota 2 7 4 2" xfId="45626"/>
    <cellStyle name="Nota 2 7 4 3" xfId="46015"/>
    <cellStyle name="Nota 2 7 4 4" xfId="46373"/>
    <cellStyle name="Nota 2 7 4 5" xfId="46725"/>
    <cellStyle name="Nota 2 7 4 6" xfId="47040"/>
    <cellStyle name="Nota 2 7 4 7" xfId="47359"/>
    <cellStyle name="Nota 2 7 4 8" xfId="47677"/>
    <cellStyle name="Nota 2 7 5" xfId="45391"/>
    <cellStyle name="Nota 2 7 5 2" xfId="45653"/>
    <cellStyle name="Nota 2 7 5 3" xfId="46042"/>
    <cellStyle name="Nota 2 7 5 4" xfId="46400"/>
    <cellStyle name="Nota 2 7 5 5" xfId="46752"/>
    <cellStyle name="Nota 2 7 5 6" xfId="47067"/>
    <cellStyle name="Nota 2 7 5 7" xfId="47386"/>
    <cellStyle name="Nota 2 7 5 8" xfId="47704"/>
    <cellStyle name="Nota 2 7 6" xfId="45887"/>
    <cellStyle name="Nota 2 7 7" xfId="45504"/>
    <cellStyle name="Nota 2 7 8" xfId="47312"/>
    <cellStyle name="Nota 2 7 9" xfId="45308"/>
    <cellStyle name="Nota 2 8" xfId="2654"/>
    <cellStyle name="Nota 2 8 10" xfId="49902"/>
    <cellStyle name="Nota 2 8 11" xfId="52456"/>
    <cellStyle name="Nota 2 8 2" xfId="45344"/>
    <cellStyle name="Nota 2 8 2 2" xfId="45943"/>
    <cellStyle name="Nota 2 8 2 3" xfId="46301"/>
    <cellStyle name="Nota 2 8 2 4" xfId="46653"/>
    <cellStyle name="Nota 2 8 2 5" xfId="45492"/>
    <cellStyle name="Nota 2 8 3" xfId="45402"/>
    <cellStyle name="Nota 2 8 3 2" xfId="45712"/>
    <cellStyle name="Nota 2 8 3 3" xfId="46101"/>
    <cellStyle name="Nota 2 8 3 4" xfId="46459"/>
    <cellStyle name="Nota 2 8 3 5" xfId="46811"/>
    <cellStyle name="Nota 2 8 3 6" xfId="47126"/>
    <cellStyle name="Nota 2 8 3 7" xfId="47445"/>
    <cellStyle name="Nota 2 8 3 8" xfId="47763"/>
    <cellStyle name="Nota 2 8 4" xfId="45375"/>
    <cellStyle name="Nota 2 8 4 2" xfId="45595"/>
    <cellStyle name="Nota 2 8 4 3" xfId="45984"/>
    <cellStyle name="Nota 2 8 4 4" xfId="46342"/>
    <cellStyle name="Nota 2 8 4 5" xfId="46694"/>
    <cellStyle name="Nota 2 8 4 6" xfId="47009"/>
    <cellStyle name="Nota 2 8 4 7" xfId="47328"/>
    <cellStyle name="Nota 2 8 4 8" xfId="47646"/>
    <cellStyle name="Nota 2 8 5" xfId="45450"/>
    <cellStyle name="Nota 2 8 5 2" xfId="45813"/>
    <cellStyle name="Nota 2 8 5 3" xfId="46202"/>
    <cellStyle name="Nota 2 8 5 4" xfId="46560"/>
    <cellStyle name="Nota 2 8 5 5" xfId="46912"/>
    <cellStyle name="Nota 2 8 5 6" xfId="47227"/>
    <cellStyle name="Nota 2 8 5 7" xfId="47546"/>
    <cellStyle name="Nota 2 8 5 8" xfId="47864"/>
    <cellStyle name="Nota 2 8 6" xfId="45893"/>
    <cellStyle name="Nota 2 8 7" xfId="45508"/>
    <cellStyle name="Nota 2 8 8" xfId="47321"/>
    <cellStyle name="Nota 2 8 9" xfId="45313"/>
    <cellStyle name="Nota 2 9" xfId="11933"/>
    <cellStyle name="Nota 2 9 2" xfId="45487"/>
    <cellStyle name="Nota 2_Mem." xfId="49239"/>
    <cellStyle name="Nota 3" xfId="45568"/>
    <cellStyle name="Nota 3 2" xfId="49240"/>
    <cellStyle name="Nota 3 2 2" xfId="51310"/>
    <cellStyle name="Nota 3 2 3" xfId="51677"/>
    <cellStyle name="Nota 3 3" xfId="51267"/>
    <cellStyle name="Nota 4" xfId="45567"/>
    <cellStyle name="Nota 4 2" xfId="51340"/>
    <cellStyle name="Nota 4 2 2" xfId="51690"/>
    <cellStyle name="Nota 5" xfId="45589"/>
    <cellStyle name="Nota 5 2" xfId="51733"/>
    <cellStyle name="Nota 6" xfId="45583"/>
    <cellStyle name="Nota 6 2" xfId="51775"/>
    <cellStyle name="Nota 7" xfId="45571"/>
    <cellStyle name="Nota 7 2" xfId="51817"/>
    <cellStyle name="Nota 8" xfId="45570"/>
    <cellStyle name="Nota 8 2" xfId="51432"/>
    <cellStyle name="Nota 8 3" xfId="51452"/>
    <cellStyle name="Nota 8 4" xfId="51491"/>
    <cellStyle name="Nota 8 5" xfId="51511"/>
    <cellStyle name="Nota 8 6" xfId="51858"/>
    <cellStyle name="Nota 9" xfId="51465"/>
    <cellStyle name="Nota 9 2" xfId="51905"/>
    <cellStyle name="Note" xfId="51563"/>
    <cellStyle name="Note 2" xfId="51568"/>
    <cellStyle name="Note 3" xfId="51569"/>
    <cellStyle name="Output" xfId="51564"/>
    <cellStyle name="Porcentagem" xfId="677" builtinId="5"/>
    <cellStyle name="Porcentagem 10" xfId="49241"/>
    <cellStyle name="Porcentagem 11" xfId="150"/>
    <cellStyle name="Porcentagem 11 2" xfId="1222"/>
    <cellStyle name="Porcentagem 12" xfId="53319"/>
    <cellStyle name="Porcentagem 2" xfId="684"/>
    <cellStyle name="Porcentagem 2 10" xfId="631"/>
    <cellStyle name="Porcentagem 2 10 2" xfId="1702"/>
    <cellStyle name="Porcentagem 2 11" xfId="449"/>
    <cellStyle name="Porcentagem 2 11 2" xfId="1520"/>
    <cellStyle name="Porcentagem 2 12" xfId="49242"/>
    <cellStyle name="Porcentagem 2 2" xfId="84"/>
    <cellStyle name="Porcentagem 2 2 2" xfId="1104"/>
    <cellStyle name="Porcentagem 2 2 3" xfId="45295"/>
    <cellStyle name="Porcentagem 2 2 4" xfId="49243"/>
    <cellStyle name="Porcentagem 2 3" xfId="233"/>
    <cellStyle name="Porcentagem 2 3 2" xfId="1305"/>
    <cellStyle name="Porcentagem 2 4" xfId="290"/>
    <cellStyle name="Porcentagem 2 4 2" xfId="1362"/>
    <cellStyle name="Porcentagem 2 5" xfId="340"/>
    <cellStyle name="Porcentagem 2 5 2" xfId="1412"/>
    <cellStyle name="Porcentagem 2 6" xfId="379"/>
    <cellStyle name="Porcentagem 2 6 2" xfId="1451"/>
    <cellStyle name="Porcentagem 2 7" xfId="437"/>
    <cellStyle name="Porcentagem 2 7 2" xfId="1509"/>
    <cellStyle name="Porcentagem 2 8" xfId="501"/>
    <cellStyle name="Porcentagem 2 8 2" xfId="1572"/>
    <cellStyle name="Porcentagem 2 9" xfId="529"/>
    <cellStyle name="Porcentagem 2 9 2" xfId="1600"/>
    <cellStyle name="Porcentagem 3" xfId="85"/>
    <cellStyle name="Porcentagem 3 10" xfId="545"/>
    <cellStyle name="Porcentagem 3 10 2" xfId="1616"/>
    <cellStyle name="Porcentagem 3 10 2 2" xfId="49244"/>
    <cellStyle name="Porcentagem 3 10 3" xfId="49245"/>
    <cellStyle name="Porcentagem 3 100" xfId="44363"/>
    <cellStyle name="Porcentagem 3 101" xfId="44364"/>
    <cellStyle name="Porcentagem 3 102" xfId="44365"/>
    <cellStyle name="Porcentagem 3 103" xfId="44366"/>
    <cellStyle name="Porcentagem 3 104" xfId="44367"/>
    <cellStyle name="Porcentagem 3 105" xfId="44368"/>
    <cellStyle name="Porcentagem 3 106" xfId="44369"/>
    <cellStyle name="Porcentagem 3 107" xfId="44370"/>
    <cellStyle name="Porcentagem 3 108" xfId="44371"/>
    <cellStyle name="Porcentagem 3 109" xfId="44372"/>
    <cellStyle name="Porcentagem 3 11" xfId="666"/>
    <cellStyle name="Porcentagem 3 11 2" xfId="1737"/>
    <cellStyle name="Porcentagem 3 11 2 2" xfId="49246"/>
    <cellStyle name="Porcentagem 3 11 3" xfId="49247"/>
    <cellStyle name="Porcentagem 3 110" xfId="44373"/>
    <cellStyle name="Porcentagem 3 111" xfId="44374"/>
    <cellStyle name="Porcentagem 3 112" xfId="44375"/>
    <cellStyle name="Porcentagem 3 113" xfId="44376"/>
    <cellStyle name="Porcentagem 3 114" xfId="44377"/>
    <cellStyle name="Porcentagem 3 115" xfId="44378"/>
    <cellStyle name="Porcentagem 3 116" xfId="44379"/>
    <cellStyle name="Porcentagem 3 117" xfId="44380"/>
    <cellStyle name="Porcentagem 3 118" xfId="44381"/>
    <cellStyle name="Porcentagem 3 119" xfId="44382"/>
    <cellStyle name="Porcentagem 3 12" xfId="1167"/>
    <cellStyle name="Porcentagem 3 12 2" xfId="49248"/>
    <cellStyle name="Porcentagem 3 120" xfId="44383"/>
    <cellStyle name="Porcentagem 3 121" xfId="44384"/>
    <cellStyle name="Porcentagem 3 122" xfId="44385"/>
    <cellStyle name="Porcentagem 3 123" xfId="44386"/>
    <cellStyle name="Porcentagem 3 124" xfId="44387"/>
    <cellStyle name="Porcentagem 3 125" xfId="44388"/>
    <cellStyle name="Porcentagem 3 126" xfId="44389"/>
    <cellStyle name="Porcentagem 3 127" xfId="44390"/>
    <cellStyle name="Porcentagem 3 128" xfId="44391"/>
    <cellStyle name="Porcentagem 3 129" xfId="44392"/>
    <cellStyle name="Porcentagem 3 13" xfId="44393"/>
    <cellStyle name="Porcentagem 3 13 2" xfId="49872"/>
    <cellStyle name="Porcentagem 3 130" xfId="44394"/>
    <cellStyle name="Porcentagem 3 131" xfId="44395"/>
    <cellStyle name="Porcentagem 3 132" xfId="44396"/>
    <cellStyle name="Porcentagem 3 133" xfId="44397"/>
    <cellStyle name="Porcentagem 3 134" xfId="44398"/>
    <cellStyle name="Porcentagem 3 135" xfId="44399"/>
    <cellStyle name="Porcentagem 3 136" xfId="44400"/>
    <cellStyle name="Porcentagem 3 137" xfId="44401"/>
    <cellStyle name="Porcentagem 3 138" xfId="44402"/>
    <cellStyle name="Porcentagem 3 139" xfId="44403"/>
    <cellStyle name="Porcentagem 3 14" xfId="44404"/>
    <cellStyle name="Porcentagem 3 140" xfId="44405"/>
    <cellStyle name="Porcentagem 3 141" xfId="44406"/>
    <cellStyle name="Porcentagem 3 142" xfId="44407"/>
    <cellStyle name="Porcentagem 3 143" xfId="44408"/>
    <cellStyle name="Porcentagem 3 144" xfId="44409"/>
    <cellStyle name="Porcentagem 3 145" xfId="44410"/>
    <cellStyle name="Porcentagem 3 146" xfId="44411"/>
    <cellStyle name="Porcentagem 3 147" xfId="44412"/>
    <cellStyle name="Porcentagem 3 148" xfId="44413"/>
    <cellStyle name="Porcentagem 3 149" xfId="44414"/>
    <cellStyle name="Porcentagem 3 15" xfId="44415"/>
    <cellStyle name="Porcentagem 3 150" xfId="44416"/>
    <cellStyle name="Porcentagem 3 151" xfId="44417"/>
    <cellStyle name="Porcentagem 3 152" xfId="44418"/>
    <cellStyle name="Porcentagem 3 153" xfId="44419"/>
    <cellStyle name="Porcentagem 3 154" xfId="44420"/>
    <cellStyle name="Porcentagem 3 155" xfId="44421"/>
    <cellStyle name="Porcentagem 3 156" xfId="44422"/>
    <cellStyle name="Porcentagem 3 157" xfId="44423"/>
    <cellStyle name="Porcentagem 3 158" xfId="44424"/>
    <cellStyle name="Porcentagem 3 159" xfId="44425"/>
    <cellStyle name="Porcentagem 3 16" xfId="44426"/>
    <cellStyle name="Porcentagem 3 160" xfId="44427"/>
    <cellStyle name="Porcentagem 3 161" xfId="44428"/>
    <cellStyle name="Porcentagem 3 162" xfId="44429"/>
    <cellStyle name="Porcentagem 3 163" xfId="44430"/>
    <cellStyle name="Porcentagem 3 164" xfId="44431"/>
    <cellStyle name="Porcentagem 3 165" xfId="44432"/>
    <cellStyle name="Porcentagem 3 166" xfId="44433"/>
    <cellStyle name="Porcentagem 3 167" xfId="44434"/>
    <cellStyle name="Porcentagem 3 168" xfId="44435"/>
    <cellStyle name="Porcentagem 3 169" xfId="44436"/>
    <cellStyle name="Porcentagem 3 17" xfId="44437"/>
    <cellStyle name="Porcentagem 3 170" xfId="44438"/>
    <cellStyle name="Porcentagem 3 171" xfId="44439"/>
    <cellStyle name="Porcentagem 3 172" xfId="44440"/>
    <cellStyle name="Porcentagem 3 173" xfId="44441"/>
    <cellStyle name="Porcentagem 3 174" xfId="44442"/>
    <cellStyle name="Porcentagem 3 175" xfId="44443"/>
    <cellStyle name="Porcentagem 3 176" xfId="44444"/>
    <cellStyle name="Porcentagem 3 177" xfId="44445"/>
    <cellStyle name="Porcentagem 3 178" xfId="44446"/>
    <cellStyle name="Porcentagem 3 179" xfId="44447"/>
    <cellStyle name="Porcentagem 3 18" xfId="44448"/>
    <cellStyle name="Porcentagem 3 180" xfId="44449"/>
    <cellStyle name="Porcentagem 3 181" xfId="44450"/>
    <cellStyle name="Porcentagem 3 182" xfId="44451"/>
    <cellStyle name="Porcentagem 3 183" xfId="44452"/>
    <cellStyle name="Porcentagem 3 184" xfId="44453"/>
    <cellStyle name="Porcentagem 3 185" xfId="44454"/>
    <cellStyle name="Porcentagem 3 186" xfId="44455"/>
    <cellStyle name="Porcentagem 3 187" xfId="49249"/>
    <cellStyle name="Porcentagem 3 19" xfId="44456"/>
    <cellStyle name="Porcentagem 3 2" xfId="151"/>
    <cellStyle name="Porcentagem 3 2 10" xfId="49250"/>
    <cellStyle name="Porcentagem 3 2 10 2" xfId="50493"/>
    <cellStyle name="Porcentagem 3 2 11" xfId="49251"/>
    <cellStyle name="Porcentagem 3 2 2" xfId="1223"/>
    <cellStyle name="Porcentagem 3 2 2 2" xfId="49252"/>
    <cellStyle name="Porcentagem 3 2 2 2 2" xfId="49253"/>
    <cellStyle name="Porcentagem 3 2 2 2 2 2" xfId="49254"/>
    <cellStyle name="Porcentagem 3 2 2 2 2 2 2" xfId="51079"/>
    <cellStyle name="Porcentagem 3 2 2 2 2 3" xfId="50337"/>
    <cellStyle name="Porcentagem 3 2 2 2 3" xfId="49255"/>
    <cellStyle name="Porcentagem 3 2 2 2 3 2" xfId="50719"/>
    <cellStyle name="Porcentagem 3 2 2 2 4" xfId="50035"/>
    <cellStyle name="Porcentagem 3 2 2 3" xfId="49256"/>
    <cellStyle name="Porcentagem 3 2 2 3 2" xfId="49257"/>
    <cellStyle name="Porcentagem 3 2 2 3 2 2" xfId="50945"/>
    <cellStyle name="Porcentagem 3 2 2 3 3" xfId="50209"/>
    <cellStyle name="Porcentagem 3 2 2 4" xfId="49258"/>
    <cellStyle name="Porcentagem 3 2 2 4 2" xfId="50582"/>
    <cellStyle name="Porcentagem 3 2 2 5" xfId="49259"/>
    <cellStyle name="Porcentagem 3 2 3" xfId="49260"/>
    <cellStyle name="Porcentagem 3 2 3 2" xfId="49261"/>
    <cellStyle name="Porcentagem 3 2 3 2 2" xfId="49262"/>
    <cellStyle name="Porcentagem 3 2 3 2 2 2" xfId="49263"/>
    <cellStyle name="Porcentagem 3 2 3 2 2 2 2" xfId="51112"/>
    <cellStyle name="Porcentagem 3 2 3 2 2 3" xfId="50369"/>
    <cellStyle name="Porcentagem 3 2 3 2 3" xfId="49264"/>
    <cellStyle name="Porcentagem 3 2 3 2 3 2" xfId="50752"/>
    <cellStyle name="Porcentagem 3 2 3 2 4" xfId="50061"/>
    <cellStyle name="Porcentagem 3 2 3 3" xfId="49265"/>
    <cellStyle name="Porcentagem 3 2 3 3 2" xfId="49266"/>
    <cellStyle name="Porcentagem 3 2 3 3 2 2" xfId="50977"/>
    <cellStyle name="Porcentagem 3 2 3 3 3" xfId="50241"/>
    <cellStyle name="Porcentagem 3 2 3 4" xfId="49267"/>
    <cellStyle name="Porcentagem 3 2 3 4 2" xfId="50615"/>
    <cellStyle name="Porcentagem 3 2 3 5" xfId="49960"/>
    <cellStyle name="Porcentagem 3 2 4" xfId="49268"/>
    <cellStyle name="Porcentagem 3 2 4 2" xfId="49269"/>
    <cellStyle name="Porcentagem 3 2 4 2 2" xfId="49270"/>
    <cellStyle name="Porcentagem 3 2 4 2 2 2" xfId="49271"/>
    <cellStyle name="Porcentagem 3 2 4 2 2 2 2" xfId="51152"/>
    <cellStyle name="Porcentagem 3 2 4 2 2 3" xfId="50408"/>
    <cellStyle name="Porcentagem 3 2 4 2 3" xfId="49272"/>
    <cellStyle name="Porcentagem 3 2 4 2 3 2" xfId="50792"/>
    <cellStyle name="Porcentagem 3 2 4 2 4" xfId="50092"/>
    <cellStyle name="Porcentagem 3 2 4 3" xfId="49273"/>
    <cellStyle name="Porcentagem 3 2 4 3 2" xfId="49274"/>
    <cellStyle name="Porcentagem 3 2 4 3 2 2" xfId="51016"/>
    <cellStyle name="Porcentagem 3 2 4 3 3" xfId="50280"/>
    <cellStyle name="Porcentagem 3 2 4 4" xfId="49275"/>
    <cellStyle name="Porcentagem 3 2 4 4 2" xfId="50655"/>
    <cellStyle name="Porcentagem 3 2 4 5" xfId="49989"/>
    <cellStyle name="Porcentagem 3 2 5" xfId="49276"/>
    <cellStyle name="Porcentagem 3 2 5 2" xfId="49277"/>
    <cellStyle name="Porcentagem 3 2 5 2 2" xfId="49278"/>
    <cellStyle name="Porcentagem 3 2 5 2 2 2" xfId="51056"/>
    <cellStyle name="Porcentagem 3 2 5 2 3" xfId="50315"/>
    <cellStyle name="Porcentagem 3 2 5 3" xfId="49279"/>
    <cellStyle name="Porcentagem 3 2 5 3 2" xfId="50696"/>
    <cellStyle name="Porcentagem 3 2 5 4" xfId="50018"/>
    <cellStyle name="Porcentagem 3 2 6" xfId="49280"/>
    <cellStyle name="Porcentagem 3 2 6 2" xfId="49281"/>
    <cellStyle name="Porcentagem 3 2 6 2 2" xfId="49282"/>
    <cellStyle name="Porcentagem 3 2 6 2 2 2" xfId="50923"/>
    <cellStyle name="Porcentagem 3 2 6 2 3" xfId="50187"/>
    <cellStyle name="Porcentagem 3 2 6 3" xfId="49283"/>
    <cellStyle name="Porcentagem 3 2 6 3 2" xfId="50559"/>
    <cellStyle name="Porcentagem 3 2 6 4" xfId="49923"/>
    <cellStyle name="Porcentagem 3 2 7" xfId="49284"/>
    <cellStyle name="Porcentagem 3 2 7 2" xfId="49285"/>
    <cellStyle name="Porcentagem 3 2 7 2 2" xfId="49286"/>
    <cellStyle name="Porcentagem 3 2 7 2 2 2" xfId="51185"/>
    <cellStyle name="Porcentagem 3 2 7 2 3" xfId="50437"/>
    <cellStyle name="Porcentagem 3 2 7 3" xfId="49287"/>
    <cellStyle name="Porcentagem 3 2 7 3 2" xfId="50826"/>
    <cellStyle name="Porcentagem 3 2 7 4" xfId="50120"/>
    <cellStyle name="Porcentagem 3 2 8" xfId="49288"/>
    <cellStyle name="Porcentagem 3 2 8 2" xfId="49289"/>
    <cellStyle name="Porcentagem 3 2 8 2 2" xfId="50868"/>
    <cellStyle name="Porcentagem 3 2 8 3" xfId="50145"/>
    <cellStyle name="Porcentagem 3 2 9" xfId="49290"/>
    <cellStyle name="Porcentagem 3 2 9 2" xfId="49291"/>
    <cellStyle name="Porcentagem 3 2 9 2 2" xfId="51218"/>
    <cellStyle name="Porcentagem 3 2 9 3" xfId="50465"/>
    <cellStyle name="Porcentagem 3 20" xfId="44457"/>
    <cellStyle name="Porcentagem 3 21" xfId="44458"/>
    <cellStyle name="Porcentagem 3 22" xfId="44459"/>
    <cellStyle name="Porcentagem 3 23" xfId="44460"/>
    <cellStyle name="Porcentagem 3 24" xfId="44461"/>
    <cellStyle name="Porcentagem 3 25" xfId="44462"/>
    <cellStyle name="Porcentagem 3 26" xfId="44463"/>
    <cellStyle name="Porcentagem 3 27" xfId="44464"/>
    <cellStyle name="Porcentagem 3 28" xfId="44465"/>
    <cellStyle name="Porcentagem 3 29" xfId="44466"/>
    <cellStyle name="Porcentagem 3 3" xfId="234"/>
    <cellStyle name="Porcentagem 3 3 10" xfId="49292"/>
    <cellStyle name="Porcentagem 3 3 10 2" xfId="50494"/>
    <cellStyle name="Porcentagem 3 3 11" xfId="49293"/>
    <cellStyle name="Porcentagem 3 3 2" xfId="1306"/>
    <cellStyle name="Porcentagem 3 3 2 2" xfId="49294"/>
    <cellStyle name="Porcentagem 3 3 2 2 2" xfId="49295"/>
    <cellStyle name="Porcentagem 3 3 2 2 2 2" xfId="49296"/>
    <cellStyle name="Porcentagem 3 3 2 2 2 2 2" xfId="51080"/>
    <cellStyle name="Porcentagem 3 3 2 2 2 3" xfId="50338"/>
    <cellStyle name="Porcentagem 3 3 2 2 3" xfId="49297"/>
    <cellStyle name="Porcentagem 3 3 2 2 3 2" xfId="50720"/>
    <cellStyle name="Porcentagem 3 3 2 2 4" xfId="50036"/>
    <cellStyle name="Porcentagem 3 3 2 3" xfId="49298"/>
    <cellStyle name="Porcentagem 3 3 2 3 2" xfId="49299"/>
    <cellStyle name="Porcentagem 3 3 2 3 2 2" xfId="50946"/>
    <cellStyle name="Porcentagem 3 3 2 3 3" xfId="50210"/>
    <cellStyle name="Porcentagem 3 3 2 4" xfId="49300"/>
    <cellStyle name="Porcentagem 3 3 2 4 2" xfId="50583"/>
    <cellStyle name="Porcentagem 3 3 2 5" xfId="49301"/>
    <cellStyle name="Porcentagem 3 3 3" xfId="49302"/>
    <cellStyle name="Porcentagem 3 3 3 2" xfId="49303"/>
    <cellStyle name="Porcentagem 3 3 3 2 2" xfId="49304"/>
    <cellStyle name="Porcentagem 3 3 3 2 2 2" xfId="49305"/>
    <cellStyle name="Porcentagem 3 3 3 2 2 2 2" xfId="51113"/>
    <cellStyle name="Porcentagem 3 3 3 2 2 3" xfId="50370"/>
    <cellStyle name="Porcentagem 3 3 3 2 3" xfId="49306"/>
    <cellStyle name="Porcentagem 3 3 3 2 3 2" xfId="50753"/>
    <cellStyle name="Porcentagem 3 3 3 2 4" xfId="50062"/>
    <cellStyle name="Porcentagem 3 3 3 3" xfId="49307"/>
    <cellStyle name="Porcentagem 3 3 3 3 2" xfId="49308"/>
    <cellStyle name="Porcentagem 3 3 3 3 2 2" xfId="50978"/>
    <cellStyle name="Porcentagem 3 3 3 3 3" xfId="50242"/>
    <cellStyle name="Porcentagem 3 3 3 4" xfId="49309"/>
    <cellStyle name="Porcentagem 3 3 3 4 2" xfId="50616"/>
    <cellStyle name="Porcentagem 3 3 3 5" xfId="49961"/>
    <cellStyle name="Porcentagem 3 3 4" xfId="49310"/>
    <cellStyle name="Porcentagem 3 3 4 2" xfId="49311"/>
    <cellStyle name="Porcentagem 3 3 4 2 2" xfId="49312"/>
    <cellStyle name="Porcentagem 3 3 4 2 2 2" xfId="49313"/>
    <cellStyle name="Porcentagem 3 3 4 2 2 2 2" xfId="51153"/>
    <cellStyle name="Porcentagem 3 3 4 2 2 3" xfId="50409"/>
    <cellStyle name="Porcentagem 3 3 4 2 3" xfId="49314"/>
    <cellStyle name="Porcentagem 3 3 4 2 3 2" xfId="50793"/>
    <cellStyle name="Porcentagem 3 3 4 2 4" xfId="50093"/>
    <cellStyle name="Porcentagem 3 3 4 3" xfId="49315"/>
    <cellStyle name="Porcentagem 3 3 4 3 2" xfId="49316"/>
    <cellStyle name="Porcentagem 3 3 4 3 2 2" xfId="51017"/>
    <cellStyle name="Porcentagem 3 3 4 3 3" xfId="50281"/>
    <cellStyle name="Porcentagem 3 3 4 4" xfId="49317"/>
    <cellStyle name="Porcentagem 3 3 4 4 2" xfId="50656"/>
    <cellStyle name="Porcentagem 3 3 4 5" xfId="49990"/>
    <cellStyle name="Porcentagem 3 3 5" xfId="49318"/>
    <cellStyle name="Porcentagem 3 3 5 2" xfId="49319"/>
    <cellStyle name="Porcentagem 3 3 5 2 2" xfId="49320"/>
    <cellStyle name="Porcentagem 3 3 5 2 2 2" xfId="51046"/>
    <cellStyle name="Porcentagem 3 3 5 2 3" xfId="50306"/>
    <cellStyle name="Porcentagem 3 3 5 3" xfId="49321"/>
    <cellStyle name="Porcentagem 3 3 5 3 2" xfId="50686"/>
    <cellStyle name="Porcentagem 3 3 5 4" xfId="50009"/>
    <cellStyle name="Porcentagem 3 3 6" xfId="49322"/>
    <cellStyle name="Porcentagem 3 3 6 2" xfId="49323"/>
    <cellStyle name="Porcentagem 3 3 6 2 2" xfId="49324"/>
    <cellStyle name="Porcentagem 3 3 6 2 2 2" xfId="50913"/>
    <cellStyle name="Porcentagem 3 3 6 2 3" xfId="50178"/>
    <cellStyle name="Porcentagem 3 3 6 3" xfId="49325"/>
    <cellStyle name="Porcentagem 3 3 6 3 2" xfId="50549"/>
    <cellStyle name="Porcentagem 3 3 6 4" xfId="49914"/>
    <cellStyle name="Porcentagem 3 3 7" xfId="49326"/>
    <cellStyle name="Porcentagem 3 3 7 2" xfId="49327"/>
    <cellStyle name="Porcentagem 3 3 7 2 2" xfId="49328"/>
    <cellStyle name="Porcentagem 3 3 7 2 2 2" xfId="51186"/>
    <cellStyle name="Porcentagem 3 3 7 2 3" xfId="50438"/>
    <cellStyle name="Porcentagem 3 3 7 3" xfId="49329"/>
    <cellStyle name="Porcentagem 3 3 7 3 2" xfId="50827"/>
    <cellStyle name="Porcentagem 3 3 7 4" xfId="50121"/>
    <cellStyle name="Porcentagem 3 3 8" xfId="49330"/>
    <cellStyle name="Porcentagem 3 3 8 2" xfId="49331"/>
    <cellStyle name="Porcentagem 3 3 8 2 2" xfId="50869"/>
    <cellStyle name="Porcentagem 3 3 8 3" xfId="50146"/>
    <cellStyle name="Porcentagem 3 3 9" xfId="49332"/>
    <cellStyle name="Porcentagem 3 3 9 2" xfId="49333"/>
    <cellStyle name="Porcentagem 3 3 9 2 2" xfId="51219"/>
    <cellStyle name="Porcentagem 3 3 9 3" xfId="50466"/>
    <cellStyle name="Porcentagem 3 30" xfId="44467"/>
    <cellStyle name="Porcentagem 3 31" xfId="44468"/>
    <cellStyle name="Porcentagem 3 32" xfId="44469"/>
    <cellStyle name="Porcentagem 3 33" xfId="44470"/>
    <cellStyle name="Porcentagem 3 34" xfId="44471"/>
    <cellStyle name="Porcentagem 3 35" xfId="44472"/>
    <cellStyle name="Porcentagem 3 36" xfId="44473"/>
    <cellStyle name="Porcentagem 3 37" xfId="44474"/>
    <cellStyle name="Porcentagem 3 38" xfId="44475"/>
    <cellStyle name="Porcentagem 3 39" xfId="44476"/>
    <cellStyle name="Porcentagem 3 4" xfId="291"/>
    <cellStyle name="Porcentagem 3 4 2" xfId="1363"/>
    <cellStyle name="Porcentagem 3 4 2 2" xfId="49334"/>
    <cellStyle name="Porcentagem 3 4 2 2 2" xfId="49335"/>
    <cellStyle name="Porcentagem 3 4 2 2 2 2" xfId="51078"/>
    <cellStyle name="Porcentagem 3 4 2 2 3" xfId="50336"/>
    <cellStyle name="Porcentagem 3 4 2 3" xfId="49336"/>
    <cellStyle name="Porcentagem 3 4 2 3 2" xfId="50718"/>
    <cellStyle name="Porcentagem 3 4 2 4" xfId="49337"/>
    <cellStyle name="Porcentagem 3 4 3" xfId="49338"/>
    <cellStyle name="Porcentagem 3 4 3 2" xfId="49339"/>
    <cellStyle name="Porcentagem 3 4 3 2 2" xfId="50944"/>
    <cellStyle name="Porcentagem 3 4 3 3" xfId="50208"/>
    <cellStyle name="Porcentagem 3 4 4" xfId="49340"/>
    <cellStyle name="Porcentagem 3 4 4 2" xfId="50581"/>
    <cellStyle name="Porcentagem 3 4 5" xfId="49341"/>
    <cellStyle name="Porcentagem 3 40" xfId="44477"/>
    <cellStyle name="Porcentagem 3 41" xfId="44478"/>
    <cellStyle name="Porcentagem 3 42" xfId="44479"/>
    <cellStyle name="Porcentagem 3 43" xfId="44480"/>
    <cellStyle name="Porcentagem 3 44" xfId="44481"/>
    <cellStyle name="Porcentagem 3 45" xfId="44482"/>
    <cellStyle name="Porcentagem 3 46" xfId="44483"/>
    <cellStyle name="Porcentagem 3 47" xfId="44484"/>
    <cellStyle name="Porcentagem 3 48" xfId="44485"/>
    <cellStyle name="Porcentagem 3 49" xfId="44486"/>
    <cellStyle name="Porcentagem 3 5" xfId="341"/>
    <cellStyle name="Porcentagem 3 5 2" xfId="1413"/>
    <cellStyle name="Porcentagem 3 5 2 2" xfId="49342"/>
    <cellStyle name="Porcentagem 3 5 2 2 2" xfId="49343"/>
    <cellStyle name="Porcentagem 3 5 2 2 2 2" xfId="51111"/>
    <cellStyle name="Porcentagem 3 5 2 2 3" xfId="50368"/>
    <cellStyle name="Porcentagem 3 5 2 3" xfId="49344"/>
    <cellStyle name="Porcentagem 3 5 2 3 2" xfId="50751"/>
    <cellStyle name="Porcentagem 3 5 2 4" xfId="49345"/>
    <cellStyle name="Porcentagem 3 5 3" xfId="49346"/>
    <cellStyle name="Porcentagem 3 5 3 2" xfId="49347"/>
    <cellStyle name="Porcentagem 3 5 3 2 2" xfId="50976"/>
    <cellStyle name="Porcentagem 3 5 3 3" xfId="50240"/>
    <cellStyle name="Porcentagem 3 5 4" xfId="49348"/>
    <cellStyle name="Porcentagem 3 5 4 2" xfId="50614"/>
    <cellStyle name="Porcentagem 3 5 5" xfId="49349"/>
    <cellStyle name="Porcentagem 3 50" xfId="44487"/>
    <cellStyle name="Porcentagem 3 51" xfId="44488"/>
    <cellStyle name="Porcentagem 3 52" xfId="44489"/>
    <cellStyle name="Porcentagem 3 53" xfId="44490"/>
    <cellStyle name="Porcentagem 3 54" xfId="44491"/>
    <cellStyle name="Porcentagem 3 55" xfId="44492"/>
    <cellStyle name="Porcentagem 3 56" xfId="44493"/>
    <cellStyle name="Porcentagem 3 57" xfId="44494"/>
    <cellStyle name="Porcentagem 3 58" xfId="44495"/>
    <cellStyle name="Porcentagem 3 59" xfId="44496"/>
    <cellStyle name="Porcentagem 3 6" xfId="380"/>
    <cellStyle name="Porcentagem 3 6 2" xfId="1452"/>
    <cellStyle name="Porcentagem 3 6 2 2" xfId="49350"/>
    <cellStyle name="Porcentagem 3 6 2 2 2" xfId="49351"/>
    <cellStyle name="Porcentagem 3 6 2 2 2 2" xfId="51151"/>
    <cellStyle name="Porcentagem 3 6 2 2 3" xfId="50407"/>
    <cellStyle name="Porcentagem 3 6 2 3" xfId="49352"/>
    <cellStyle name="Porcentagem 3 6 2 3 2" xfId="50791"/>
    <cellStyle name="Porcentagem 3 6 2 4" xfId="49353"/>
    <cellStyle name="Porcentagem 3 6 3" xfId="49354"/>
    <cellStyle name="Porcentagem 3 6 3 2" xfId="49355"/>
    <cellStyle name="Porcentagem 3 6 3 2 2" xfId="51015"/>
    <cellStyle name="Porcentagem 3 6 3 3" xfId="50279"/>
    <cellStyle name="Porcentagem 3 6 4" xfId="49356"/>
    <cellStyle name="Porcentagem 3 6 4 2" xfId="50654"/>
    <cellStyle name="Porcentagem 3 6 5" xfId="49357"/>
    <cellStyle name="Porcentagem 3 60" xfId="44497"/>
    <cellStyle name="Porcentagem 3 61" xfId="44498"/>
    <cellStyle name="Porcentagem 3 62" xfId="44499"/>
    <cellStyle name="Porcentagem 3 63" xfId="44500"/>
    <cellStyle name="Porcentagem 3 64" xfId="44501"/>
    <cellStyle name="Porcentagem 3 65" xfId="44502"/>
    <cellStyle name="Porcentagem 3 66" xfId="44503"/>
    <cellStyle name="Porcentagem 3 67" xfId="44504"/>
    <cellStyle name="Porcentagem 3 68" xfId="44505"/>
    <cellStyle name="Porcentagem 3 69" xfId="44506"/>
    <cellStyle name="Porcentagem 3 7" xfId="438"/>
    <cellStyle name="Porcentagem 3 7 2" xfId="1510"/>
    <cellStyle name="Porcentagem 3 7 2 2" xfId="49358"/>
    <cellStyle name="Porcentagem 3 7 2 2 2" xfId="51036"/>
    <cellStyle name="Porcentagem 3 7 2 3" xfId="49359"/>
    <cellStyle name="Porcentagem 3 7 3" xfId="49360"/>
    <cellStyle name="Porcentagem 3 7 3 2" xfId="50676"/>
    <cellStyle name="Porcentagem 3 7 4" xfId="49361"/>
    <cellStyle name="Porcentagem 3 70" xfId="44507"/>
    <cellStyle name="Porcentagem 3 71" xfId="44508"/>
    <cellStyle name="Porcentagem 3 72" xfId="44509"/>
    <cellStyle name="Porcentagem 3 73" xfId="44510"/>
    <cellStyle name="Porcentagem 3 74" xfId="44511"/>
    <cellStyle name="Porcentagem 3 75" xfId="44512"/>
    <cellStyle name="Porcentagem 3 76" xfId="44513"/>
    <cellStyle name="Porcentagem 3 77" xfId="44514"/>
    <cellStyle name="Porcentagem 3 78" xfId="44515"/>
    <cellStyle name="Porcentagem 3 79" xfId="44516"/>
    <cellStyle name="Porcentagem 3 8" xfId="502"/>
    <cellStyle name="Porcentagem 3 8 2" xfId="1573"/>
    <cellStyle name="Porcentagem 3 8 2 2" xfId="49362"/>
    <cellStyle name="Porcentagem 3 8 2 2 2" xfId="50903"/>
    <cellStyle name="Porcentagem 3 8 2 3" xfId="49363"/>
    <cellStyle name="Porcentagem 3 8 3" xfId="49364"/>
    <cellStyle name="Porcentagem 3 8 3 2" xfId="50539"/>
    <cellStyle name="Porcentagem 3 8 4" xfId="49365"/>
    <cellStyle name="Porcentagem 3 80" xfId="44517"/>
    <cellStyle name="Porcentagem 3 81" xfId="44518"/>
    <cellStyle name="Porcentagem 3 82" xfId="44519"/>
    <cellStyle name="Porcentagem 3 83" xfId="44520"/>
    <cellStyle name="Porcentagem 3 84" xfId="44521"/>
    <cellStyle name="Porcentagem 3 85" xfId="44522"/>
    <cellStyle name="Porcentagem 3 86" xfId="44523"/>
    <cellStyle name="Porcentagem 3 87" xfId="44524"/>
    <cellStyle name="Porcentagem 3 88" xfId="44525"/>
    <cellStyle name="Porcentagem 3 89" xfId="44526"/>
    <cellStyle name="Porcentagem 3 9" xfId="620"/>
    <cellStyle name="Porcentagem 3 9 2" xfId="1691"/>
    <cellStyle name="Porcentagem 3 9 2 2" xfId="49366"/>
    <cellStyle name="Porcentagem 3 9 2 2 2" xfId="51184"/>
    <cellStyle name="Porcentagem 3 9 2 3" xfId="49367"/>
    <cellStyle name="Porcentagem 3 9 3" xfId="49368"/>
    <cellStyle name="Porcentagem 3 9 3 2" xfId="50825"/>
    <cellStyle name="Porcentagem 3 9 4" xfId="49369"/>
    <cellStyle name="Porcentagem 3 90" xfId="44527"/>
    <cellStyle name="Porcentagem 3 91" xfId="44528"/>
    <cellStyle name="Porcentagem 3 92" xfId="44529"/>
    <cellStyle name="Porcentagem 3 93" xfId="44530"/>
    <cellStyle name="Porcentagem 3 94" xfId="44531"/>
    <cellStyle name="Porcentagem 3 95" xfId="44532"/>
    <cellStyle name="Porcentagem 3 96" xfId="44533"/>
    <cellStyle name="Porcentagem 3 97" xfId="44534"/>
    <cellStyle name="Porcentagem 3 98" xfId="44535"/>
    <cellStyle name="Porcentagem 3 99" xfId="44536"/>
    <cellStyle name="Porcentagem 4" xfId="683"/>
    <cellStyle name="Porcentagem 4 10" xfId="44537"/>
    <cellStyle name="Porcentagem 4 10 2" xfId="49370"/>
    <cellStyle name="Porcentagem 4 10 2 2" xfId="50870"/>
    <cellStyle name="Porcentagem 4 10 3" xfId="49371"/>
    <cellStyle name="Porcentagem 4 100" xfId="44538"/>
    <cellStyle name="Porcentagem 4 101" xfId="44539"/>
    <cellStyle name="Porcentagem 4 102" xfId="44540"/>
    <cellStyle name="Porcentagem 4 103" xfId="44541"/>
    <cellStyle name="Porcentagem 4 104" xfId="44542"/>
    <cellStyle name="Porcentagem 4 105" xfId="44543"/>
    <cellStyle name="Porcentagem 4 106" xfId="44544"/>
    <cellStyle name="Porcentagem 4 107" xfId="44545"/>
    <cellStyle name="Porcentagem 4 108" xfId="44546"/>
    <cellStyle name="Porcentagem 4 109" xfId="44547"/>
    <cellStyle name="Porcentagem 4 11" xfId="44548"/>
    <cellStyle name="Porcentagem 4 11 2" xfId="49372"/>
    <cellStyle name="Porcentagem 4 11 2 2" xfId="51220"/>
    <cellStyle name="Porcentagem 4 11 3" xfId="49373"/>
    <cellStyle name="Porcentagem 4 110" xfId="44549"/>
    <cellStyle name="Porcentagem 4 111" xfId="44550"/>
    <cellStyle name="Porcentagem 4 112" xfId="44551"/>
    <cellStyle name="Porcentagem 4 113" xfId="44552"/>
    <cellStyle name="Porcentagem 4 114" xfId="44553"/>
    <cellStyle name="Porcentagem 4 115" xfId="44554"/>
    <cellStyle name="Porcentagem 4 116" xfId="44555"/>
    <cellStyle name="Porcentagem 4 117" xfId="44556"/>
    <cellStyle name="Porcentagem 4 118" xfId="44557"/>
    <cellStyle name="Porcentagem 4 119" xfId="44558"/>
    <cellStyle name="Porcentagem 4 12" xfId="44559"/>
    <cellStyle name="Porcentagem 4 12 2" xfId="49374"/>
    <cellStyle name="Porcentagem 4 120" xfId="44560"/>
    <cellStyle name="Porcentagem 4 121" xfId="44561"/>
    <cellStyle name="Porcentagem 4 122" xfId="44562"/>
    <cellStyle name="Porcentagem 4 123" xfId="44563"/>
    <cellStyle name="Porcentagem 4 124" xfId="44564"/>
    <cellStyle name="Porcentagem 4 125" xfId="44565"/>
    <cellStyle name="Porcentagem 4 126" xfId="44566"/>
    <cellStyle name="Porcentagem 4 127" xfId="44567"/>
    <cellStyle name="Porcentagem 4 128" xfId="44568"/>
    <cellStyle name="Porcentagem 4 129" xfId="44569"/>
    <cellStyle name="Porcentagem 4 13" xfId="44570"/>
    <cellStyle name="Porcentagem 4 13 2" xfId="49873"/>
    <cellStyle name="Porcentagem 4 130" xfId="44571"/>
    <cellStyle name="Porcentagem 4 131" xfId="44572"/>
    <cellStyle name="Porcentagem 4 132" xfId="44573"/>
    <cellStyle name="Porcentagem 4 133" xfId="44574"/>
    <cellStyle name="Porcentagem 4 134" xfId="44575"/>
    <cellStyle name="Porcentagem 4 135" xfId="44576"/>
    <cellStyle name="Porcentagem 4 136" xfId="44577"/>
    <cellStyle name="Porcentagem 4 137" xfId="44578"/>
    <cellStyle name="Porcentagem 4 138" xfId="44579"/>
    <cellStyle name="Porcentagem 4 139" xfId="44580"/>
    <cellStyle name="Porcentagem 4 14" xfId="44581"/>
    <cellStyle name="Porcentagem 4 140" xfId="44582"/>
    <cellStyle name="Porcentagem 4 141" xfId="44583"/>
    <cellStyle name="Porcentagem 4 142" xfId="44584"/>
    <cellStyle name="Porcentagem 4 143" xfId="44585"/>
    <cellStyle name="Porcentagem 4 144" xfId="44586"/>
    <cellStyle name="Porcentagem 4 145" xfId="44587"/>
    <cellStyle name="Porcentagem 4 146" xfId="44588"/>
    <cellStyle name="Porcentagem 4 147" xfId="44589"/>
    <cellStyle name="Porcentagem 4 148" xfId="44590"/>
    <cellStyle name="Porcentagem 4 149" xfId="44591"/>
    <cellStyle name="Porcentagem 4 15" xfId="44592"/>
    <cellStyle name="Porcentagem 4 150" xfId="44593"/>
    <cellStyle name="Porcentagem 4 151" xfId="44594"/>
    <cellStyle name="Porcentagem 4 152" xfId="44595"/>
    <cellStyle name="Porcentagem 4 153" xfId="44596"/>
    <cellStyle name="Porcentagem 4 154" xfId="44597"/>
    <cellStyle name="Porcentagem 4 155" xfId="44598"/>
    <cellStyle name="Porcentagem 4 156" xfId="44599"/>
    <cellStyle name="Porcentagem 4 157" xfId="44600"/>
    <cellStyle name="Porcentagem 4 158" xfId="44601"/>
    <cellStyle name="Porcentagem 4 159" xfId="44602"/>
    <cellStyle name="Porcentagem 4 16" xfId="44603"/>
    <cellStyle name="Porcentagem 4 160" xfId="44604"/>
    <cellStyle name="Porcentagem 4 161" xfId="44605"/>
    <cellStyle name="Porcentagem 4 162" xfId="44606"/>
    <cellStyle name="Porcentagem 4 163" xfId="44607"/>
    <cellStyle name="Porcentagem 4 164" xfId="44608"/>
    <cellStyle name="Porcentagem 4 165" xfId="44609"/>
    <cellStyle name="Porcentagem 4 166" xfId="44610"/>
    <cellStyle name="Porcentagem 4 167" xfId="44611"/>
    <cellStyle name="Porcentagem 4 168" xfId="44612"/>
    <cellStyle name="Porcentagem 4 169" xfId="44613"/>
    <cellStyle name="Porcentagem 4 17" xfId="44614"/>
    <cellStyle name="Porcentagem 4 170" xfId="44615"/>
    <cellStyle name="Porcentagem 4 171" xfId="44616"/>
    <cellStyle name="Porcentagem 4 172" xfId="44617"/>
    <cellStyle name="Porcentagem 4 173" xfId="44618"/>
    <cellStyle name="Porcentagem 4 174" xfId="44619"/>
    <cellStyle name="Porcentagem 4 175" xfId="44620"/>
    <cellStyle name="Porcentagem 4 176" xfId="44621"/>
    <cellStyle name="Porcentagem 4 177" xfId="44622"/>
    <cellStyle name="Porcentagem 4 178" xfId="44623"/>
    <cellStyle name="Porcentagem 4 179" xfId="44624"/>
    <cellStyle name="Porcentagem 4 18" xfId="44625"/>
    <cellStyle name="Porcentagem 4 180" xfId="44626"/>
    <cellStyle name="Porcentagem 4 181" xfId="44627"/>
    <cellStyle name="Porcentagem 4 182" xfId="44628"/>
    <cellStyle name="Porcentagem 4 183" xfId="44629"/>
    <cellStyle name="Porcentagem 4 184" xfId="44630"/>
    <cellStyle name="Porcentagem 4 185" xfId="44631"/>
    <cellStyle name="Porcentagem 4 186" xfId="44632"/>
    <cellStyle name="Porcentagem 4 187" xfId="49375"/>
    <cellStyle name="Porcentagem 4 19" xfId="44633"/>
    <cellStyle name="Porcentagem 4 2" xfId="44634"/>
    <cellStyle name="Porcentagem 4 2 10" xfId="49376"/>
    <cellStyle name="Porcentagem 4 2 10 2" xfId="50495"/>
    <cellStyle name="Porcentagem 4 2 11" xfId="49377"/>
    <cellStyle name="Porcentagem 4 2 2" xfId="49378"/>
    <cellStyle name="Porcentagem 4 2 2 2" xfId="49379"/>
    <cellStyle name="Porcentagem 4 2 2 2 2" xfId="49380"/>
    <cellStyle name="Porcentagem 4 2 2 2 2 2" xfId="49381"/>
    <cellStyle name="Porcentagem 4 2 2 2 2 2 2" xfId="51082"/>
    <cellStyle name="Porcentagem 4 2 2 2 2 3" xfId="50340"/>
    <cellStyle name="Porcentagem 4 2 2 2 3" xfId="49382"/>
    <cellStyle name="Porcentagem 4 2 2 2 3 2" xfId="50722"/>
    <cellStyle name="Porcentagem 4 2 2 2 4" xfId="50038"/>
    <cellStyle name="Porcentagem 4 2 2 3" xfId="49383"/>
    <cellStyle name="Porcentagem 4 2 2 3 2" xfId="49384"/>
    <cellStyle name="Porcentagem 4 2 2 3 2 2" xfId="50948"/>
    <cellStyle name="Porcentagem 4 2 2 3 3" xfId="50212"/>
    <cellStyle name="Porcentagem 4 2 2 4" xfId="49385"/>
    <cellStyle name="Porcentagem 4 2 2 4 2" xfId="50585"/>
    <cellStyle name="Porcentagem 4 2 2 5" xfId="49940"/>
    <cellStyle name="Porcentagem 4 2 3" xfId="49386"/>
    <cellStyle name="Porcentagem 4 2 3 2" xfId="49387"/>
    <cellStyle name="Porcentagem 4 2 3 2 2" xfId="49388"/>
    <cellStyle name="Porcentagem 4 2 3 2 2 2" xfId="49389"/>
    <cellStyle name="Porcentagem 4 2 3 2 2 2 2" xfId="51115"/>
    <cellStyle name="Porcentagem 4 2 3 2 2 3" xfId="50372"/>
    <cellStyle name="Porcentagem 4 2 3 2 3" xfId="49390"/>
    <cellStyle name="Porcentagem 4 2 3 2 3 2" xfId="50755"/>
    <cellStyle name="Porcentagem 4 2 3 2 4" xfId="50064"/>
    <cellStyle name="Porcentagem 4 2 3 3" xfId="49391"/>
    <cellStyle name="Porcentagem 4 2 3 3 2" xfId="49392"/>
    <cellStyle name="Porcentagem 4 2 3 3 2 2" xfId="50980"/>
    <cellStyle name="Porcentagem 4 2 3 3 3" xfId="50244"/>
    <cellStyle name="Porcentagem 4 2 3 4" xfId="49393"/>
    <cellStyle name="Porcentagem 4 2 3 4 2" xfId="50618"/>
    <cellStyle name="Porcentagem 4 2 3 5" xfId="49962"/>
    <cellStyle name="Porcentagem 4 2 4" xfId="49394"/>
    <cellStyle name="Porcentagem 4 2 4 2" xfId="49395"/>
    <cellStyle name="Porcentagem 4 2 4 2 2" xfId="49396"/>
    <cellStyle name="Porcentagem 4 2 4 2 2 2" xfId="49397"/>
    <cellStyle name="Porcentagem 4 2 4 2 2 2 2" xfId="51155"/>
    <cellStyle name="Porcentagem 4 2 4 2 2 3" xfId="50411"/>
    <cellStyle name="Porcentagem 4 2 4 2 3" xfId="49398"/>
    <cellStyle name="Porcentagem 4 2 4 2 3 2" xfId="50795"/>
    <cellStyle name="Porcentagem 4 2 4 2 4" xfId="50095"/>
    <cellStyle name="Porcentagem 4 2 4 3" xfId="49399"/>
    <cellStyle name="Porcentagem 4 2 4 3 2" xfId="49400"/>
    <cellStyle name="Porcentagem 4 2 4 3 2 2" xfId="51019"/>
    <cellStyle name="Porcentagem 4 2 4 3 3" xfId="50283"/>
    <cellStyle name="Porcentagem 4 2 4 4" xfId="49401"/>
    <cellStyle name="Porcentagem 4 2 4 4 2" xfId="50658"/>
    <cellStyle name="Porcentagem 4 2 4 5" xfId="49991"/>
    <cellStyle name="Porcentagem 4 2 5" xfId="49402"/>
    <cellStyle name="Porcentagem 4 2 5 2" xfId="49403"/>
    <cellStyle name="Porcentagem 4 2 5 2 2" xfId="49404"/>
    <cellStyle name="Porcentagem 4 2 5 2 2 2" xfId="51052"/>
    <cellStyle name="Porcentagem 4 2 5 2 3" xfId="50311"/>
    <cellStyle name="Porcentagem 4 2 5 3" xfId="49405"/>
    <cellStyle name="Porcentagem 4 2 5 3 2" xfId="50692"/>
    <cellStyle name="Porcentagem 4 2 5 4" xfId="50014"/>
    <cellStyle name="Porcentagem 4 2 6" xfId="49406"/>
    <cellStyle name="Porcentagem 4 2 6 2" xfId="49407"/>
    <cellStyle name="Porcentagem 4 2 6 2 2" xfId="49408"/>
    <cellStyle name="Porcentagem 4 2 6 2 2 2" xfId="50919"/>
    <cellStyle name="Porcentagem 4 2 6 2 3" xfId="50183"/>
    <cellStyle name="Porcentagem 4 2 6 3" xfId="49409"/>
    <cellStyle name="Porcentagem 4 2 6 3 2" xfId="50555"/>
    <cellStyle name="Porcentagem 4 2 6 4" xfId="49919"/>
    <cellStyle name="Porcentagem 4 2 7" xfId="49410"/>
    <cellStyle name="Porcentagem 4 2 7 2" xfId="49411"/>
    <cellStyle name="Porcentagem 4 2 7 2 2" xfId="49412"/>
    <cellStyle name="Porcentagem 4 2 7 2 2 2" xfId="51188"/>
    <cellStyle name="Porcentagem 4 2 7 2 3" xfId="50440"/>
    <cellStyle name="Porcentagem 4 2 7 3" xfId="49413"/>
    <cellStyle name="Porcentagem 4 2 7 3 2" xfId="50829"/>
    <cellStyle name="Porcentagem 4 2 7 4" xfId="50122"/>
    <cellStyle name="Porcentagem 4 2 8" xfId="49414"/>
    <cellStyle name="Porcentagem 4 2 8 2" xfId="49415"/>
    <cellStyle name="Porcentagem 4 2 8 2 2" xfId="50871"/>
    <cellStyle name="Porcentagem 4 2 8 3" xfId="50147"/>
    <cellStyle name="Porcentagem 4 2 9" xfId="49416"/>
    <cellStyle name="Porcentagem 4 2 9 2" xfId="49417"/>
    <cellStyle name="Porcentagem 4 2 9 2 2" xfId="51221"/>
    <cellStyle name="Porcentagem 4 2 9 3" xfId="50467"/>
    <cellStyle name="Porcentagem 4 20" xfId="44635"/>
    <cellStyle name="Porcentagem 4 21" xfId="44636"/>
    <cellStyle name="Porcentagem 4 22" xfId="44637"/>
    <cellStyle name="Porcentagem 4 23" xfId="44638"/>
    <cellStyle name="Porcentagem 4 24" xfId="44639"/>
    <cellStyle name="Porcentagem 4 25" xfId="44640"/>
    <cellStyle name="Porcentagem 4 26" xfId="44641"/>
    <cellStyle name="Porcentagem 4 27" xfId="44642"/>
    <cellStyle name="Porcentagem 4 28" xfId="44643"/>
    <cellStyle name="Porcentagem 4 29" xfId="44644"/>
    <cellStyle name="Porcentagem 4 3" xfId="44645"/>
    <cellStyle name="Porcentagem 4 3 10" xfId="49418"/>
    <cellStyle name="Porcentagem 4 3 10 2" xfId="50496"/>
    <cellStyle name="Porcentagem 4 3 11" xfId="49419"/>
    <cellStyle name="Porcentagem 4 3 2" xfId="49420"/>
    <cellStyle name="Porcentagem 4 3 2 2" xfId="49421"/>
    <cellStyle name="Porcentagem 4 3 2 2 2" xfId="49422"/>
    <cellStyle name="Porcentagem 4 3 2 2 2 2" xfId="49423"/>
    <cellStyle name="Porcentagem 4 3 2 2 2 2 2" xfId="51083"/>
    <cellStyle name="Porcentagem 4 3 2 2 2 3" xfId="50341"/>
    <cellStyle name="Porcentagem 4 3 2 2 3" xfId="49424"/>
    <cellStyle name="Porcentagem 4 3 2 2 3 2" xfId="50723"/>
    <cellStyle name="Porcentagem 4 3 2 2 4" xfId="50039"/>
    <cellStyle name="Porcentagem 4 3 2 3" xfId="49425"/>
    <cellStyle name="Porcentagem 4 3 2 3 2" xfId="49426"/>
    <cellStyle name="Porcentagem 4 3 2 3 2 2" xfId="50949"/>
    <cellStyle name="Porcentagem 4 3 2 3 3" xfId="50213"/>
    <cellStyle name="Porcentagem 4 3 2 4" xfId="49427"/>
    <cellStyle name="Porcentagem 4 3 2 4 2" xfId="50586"/>
    <cellStyle name="Porcentagem 4 3 2 5" xfId="49941"/>
    <cellStyle name="Porcentagem 4 3 3" xfId="49428"/>
    <cellStyle name="Porcentagem 4 3 3 2" xfId="49429"/>
    <cellStyle name="Porcentagem 4 3 3 2 2" xfId="49430"/>
    <cellStyle name="Porcentagem 4 3 3 2 2 2" xfId="49431"/>
    <cellStyle name="Porcentagem 4 3 3 2 2 2 2" xfId="51116"/>
    <cellStyle name="Porcentagem 4 3 3 2 2 3" xfId="50373"/>
    <cellStyle name="Porcentagem 4 3 3 2 3" xfId="49432"/>
    <cellStyle name="Porcentagem 4 3 3 2 3 2" xfId="50756"/>
    <cellStyle name="Porcentagem 4 3 3 2 4" xfId="50065"/>
    <cellStyle name="Porcentagem 4 3 3 3" xfId="49433"/>
    <cellStyle name="Porcentagem 4 3 3 3 2" xfId="49434"/>
    <cellStyle name="Porcentagem 4 3 3 3 2 2" xfId="50981"/>
    <cellStyle name="Porcentagem 4 3 3 3 3" xfId="50245"/>
    <cellStyle name="Porcentagem 4 3 3 4" xfId="49435"/>
    <cellStyle name="Porcentagem 4 3 3 4 2" xfId="50619"/>
    <cellStyle name="Porcentagem 4 3 3 5" xfId="49963"/>
    <cellStyle name="Porcentagem 4 3 4" xfId="49436"/>
    <cellStyle name="Porcentagem 4 3 4 2" xfId="49437"/>
    <cellStyle name="Porcentagem 4 3 4 2 2" xfId="49438"/>
    <cellStyle name="Porcentagem 4 3 4 2 2 2" xfId="49439"/>
    <cellStyle name="Porcentagem 4 3 4 2 2 2 2" xfId="51156"/>
    <cellStyle name="Porcentagem 4 3 4 2 2 3" xfId="50412"/>
    <cellStyle name="Porcentagem 4 3 4 2 3" xfId="49440"/>
    <cellStyle name="Porcentagem 4 3 4 2 3 2" xfId="50796"/>
    <cellStyle name="Porcentagem 4 3 4 2 4" xfId="50096"/>
    <cellStyle name="Porcentagem 4 3 4 3" xfId="49441"/>
    <cellStyle name="Porcentagem 4 3 4 3 2" xfId="49442"/>
    <cellStyle name="Porcentagem 4 3 4 3 2 2" xfId="51020"/>
    <cellStyle name="Porcentagem 4 3 4 3 3" xfId="50284"/>
    <cellStyle name="Porcentagem 4 3 4 4" xfId="49443"/>
    <cellStyle name="Porcentagem 4 3 4 4 2" xfId="50659"/>
    <cellStyle name="Porcentagem 4 3 4 5" xfId="49992"/>
    <cellStyle name="Porcentagem 4 3 5" xfId="49444"/>
    <cellStyle name="Porcentagem 4 3 5 2" xfId="49445"/>
    <cellStyle name="Porcentagem 4 3 5 2 2" xfId="49446"/>
    <cellStyle name="Porcentagem 4 3 5 2 2 2" xfId="51042"/>
    <cellStyle name="Porcentagem 4 3 5 2 3" xfId="50302"/>
    <cellStyle name="Porcentagem 4 3 5 3" xfId="49447"/>
    <cellStyle name="Porcentagem 4 3 5 3 2" xfId="50682"/>
    <cellStyle name="Porcentagem 4 3 5 4" xfId="50005"/>
    <cellStyle name="Porcentagem 4 3 6" xfId="49448"/>
    <cellStyle name="Porcentagem 4 3 6 2" xfId="49449"/>
    <cellStyle name="Porcentagem 4 3 6 2 2" xfId="49450"/>
    <cellStyle name="Porcentagem 4 3 6 2 2 2" xfId="50909"/>
    <cellStyle name="Porcentagem 4 3 6 2 3" xfId="50174"/>
    <cellStyle name="Porcentagem 4 3 6 3" xfId="49451"/>
    <cellStyle name="Porcentagem 4 3 6 3 2" xfId="50545"/>
    <cellStyle name="Porcentagem 4 3 6 4" xfId="49910"/>
    <cellStyle name="Porcentagem 4 3 7" xfId="49452"/>
    <cellStyle name="Porcentagem 4 3 7 2" xfId="49453"/>
    <cellStyle name="Porcentagem 4 3 7 2 2" xfId="49454"/>
    <cellStyle name="Porcentagem 4 3 7 2 2 2" xfId="51189"/>
    <cellStyle name="Porcentagem 4 3 7 2 3" xfId="50441"/>
    <cellStyle name="Porcentagem 4 3 7 3" xfId="49455"/>
    <cellStyle name="Porcentagem 4 3 7 3 2" xfId="50830"/>
    <cellStyle name="Porcentagem 4 3 7 4" xfId="50123"/>
    <cellStyle name="Porcentagem 4 3 8" xfId="49456"/>
    <cellStyle name="Porcentagem 4 3 8 2" xfId="49457"/>
    <cellStyle name="Porcentagem 4 3 8 2 2" xfId="50872"/>
    <cellStyle name="Porcentagem 4 3 8 3" xfId="50148"/>
    <cellStyle name="Porcentagem 4 3 9" xfId="49458"/>
    <cellStyle name="Porcentagem 4 3 9 2" xfId="49459"/>
    <cellStyle name="Porcentagem 4 3 9 2 2" xfId="51222"/>
    <cellStyle name="Porcentagem 4 3 9 3" xfId="50468"/>
    <cellStyle name="Porcentagem 4 30" xfId="44646"/>
    <cellStyle name="Porcentagem 4 31" xfId="44647"/>
    <cellStyle name="Porcentagem 4 32" xfId="44648"/>
    <cellStyle name="Porcentagem 4 33" xfId="44649"/>
    <cellStyle name="Porcentagem 4 34" xfId="44650"/>
    <cellStyle name="Porcentagem 4 35" xfId="44651"/>
    <cellStyle name="Porcentagem 4 36" xfId="44652"/>
    <cellStyle name="Porcentagem 4 37" xfId="44653"/>
    <cellStyle name="Porcentagem 4 38" xfId="44654"/>
    <cellStyle name="Porcentagem 4 39" xfId="44655"/>
    <cellStyle name="Porcentagem 4 4" xfId="44656"/>
    <cellStyle name="Porcentagem 4 4 2" xfId="49460"/>
    <cellStyle name="Porcentagem 4 4 2 2" xfId="49461"/>
    <cellStyle name="Porcentagem 4 4 2 2 2" xfId="49462"/>
    <cellStyle name="Porcentagem 4 4 2 2 2 2" xfId="51081"/>
    <cellStyle name="Porcentagem 4 4 2 2 3" xfId="50339"/>
    <cellStyle name="Porcentagem 4 4 2 3" xfId="49463"/>
    <cellStyle name="Porcentagem 4 4 2 3 2" xfId="50721"/>
    <cellStyle name="Porcentagem 4 4 2 4" xfId="50037"/>
    <cellStyle name="Porcentagem 4 4 3" xfId="49464"/>
    <cellStyle name="Porcentagem 4 4 3 2" xfId="49465"/>
    <cellStyle name="Porcentagem 4 4 3 2 2" xfId="50947"/>
    <cellStyle name="Porcentagem 4 4 3 3" xfId="50211"/>
    <cellStyle name="Porcentagem 4 4 4" xfId="49466"/>
    <cellStyle name="Porcentagem 4 4 4 2" xfId="50584"/>
    <cellStyle name="Porcentagem 4 4 5" xfId="49467"/>
    <cellStyle name="Porcentagem 4 40" xfId="44657"/>
    <cellStyle name="Porcentagem 4 41" xfId="44658"/>
    <cellStyle name="Porcentagem 4 42" xfId="44659"/>
    <cellStyle name="Porcentagem 4 43" xfId="44660"/>
    <cellStyle name="Porcentagem 4 44" xfId="44661"/>
    <cellStyle name="Porcentagem 4 45" xfId="44662"/>
    <cellStyle name="Porcentagem 4 46" xfId="44663"/>
    <cellStyle name="Porcentagem 4 47" xfId="44664"/>
    <cellStyle name="Porcentagem 4 48" xfId="44665"/>
    <cellStyle name="Porcentagem 4 49" xfId="44666"/>
    <cellStyle name="Porcentagem 4 5" xfId="44667"/>
    <cellStyle name="Porcentagem 4 5 2" xfId="49468"/>
    <cellStyle name="Porcentagem 4 5 2 2" xfId="49469"/>
    <cellStyle name="Porcentagem 4 5 2 2 2" xfId="49470"/>
    <cellStyle name="Porcentagem 4 5 2 2 2 2" xfId="51114"/>
    <cellStyle name="Porcentagem 4 5 2 2 3" xfId="50371"/>
    <cellStyle name="Porcentagem 4 5 2 3" xfId="49471"/>
    <cellStyle name="Porcentagem 4 5 2 3 2" xfId="50754"/>
    <cellStyle name="Porcentagem 4 5 2 4" xfId="50063"/>
    <cellStyle name="Porcentagem 4 5 3" xfId="49472"/>
    <cellStyle name="Porcentagem 4 5 3 2" xfId="49473"/>
    <cellStyle name="Porcentagem 4 5 3 2 2" xfId="50979"/>
    <cellStyle name="Porcentagem 4 5 3 3" xfId="50243"/>
    <cellStyle name="Porcentagem 4 5 4" xfId="49474"/>
    <cellStyle name="Porcentagem 4 5 4 2" xfId="50617"/>
    <cellStyle name="Porcentagem 4 5 5" xfId="49475"/>
    <cellStyle name="Porcentagem 4 50" xfId="44668"/>
    <cellStyle name="Porcentagem 4 51" xfId="44669"/>
    <cellStyle name="Porcentagem 4 52" xfId="44670"/>
    <cellStyle name="Porcentagem 4 53" xfId="44671"/>
    <cellStyle name="Porcentagem 4 54" xfId="44672"/>
    <cellStyle name="Porcentagem 4 55" xfId="44673"/>
    <cellStyle name="Porcentagem 4 56" xfId="44674"/>
    <cellStyle name="Porcentagem 4 57" xfId="44675"/>
    <cellStyle name="Porcentagem 4 58" xfId="44676"/>
    <cellStyle name="Porcentagem 4 59" xfId="44677"/>
    <cellStyle name="Porcentagem 4 6" xfId="44678"/>
    <cellStyle name="Porcentagem 4 6 2" xfId="49476"/>
    <cellStyle name="Porcentagem 4 6 2 2" xfId="49477"/>
    <cellStyle name="Porcentagem 4 6 2 2 2" xfId="49478"/>
    <cellStyle name="Porcentagem 4 6 2 2 2 2" xfId="51154"/>
    <cellStyle name="Porcentagem 4 6 2 2 3" xfId="50410"/>
    <cellStyle name="Porcentagem 4 6 2 3" xfId="49479"/>
    <cellStyle name="Porcentagem 4 6 2 3 2" xfId="50794"/>
    <cellStyle name="Porcentagem 4 6 2 4" xfId="50094"/>
    <cellStyle name="Porcentagem 4 6 3" xfId="49480"/>
    <cellStyle name="Porcentagem 4 6 3 2" xfId="49481"/>
    <cellStyle name="Porcentagem 4 6 3 2 2" xfId="51018"/>
    <cellStyle name="Porcentagem 4 6 3 3" xfId="50282"/>
    <cellStyle name="Porcentagem 4 6 4" xfId="49482"/>
    <cellStyle name="Porcentagem 4 6 4 2" xfId="50657"/>
    <cellStyle name="Porcentagem 4 6 5" xfId="49483"/>
    <cellStyle name="Porcentagem 4 60" xfId="44679"/>
    <cellStyle name="Porcentagem 4 61" xfId="44680"/>
    <cellStyle name="Porcentagem 4 62" xfId="44681"/>
    <cellStyle name="Porcentagem 4 63" xfId="44682"/>
    <cellStyle name="Porcentagem 4 64" xfId="44683"/>
    <cellStyle name="Porcentagem 4 65" xfId="44684"/>
    <cellStyle name="Porcentagem 4 66" xfId="44685"/>
    <cellStyle name="Porcentagem 4 67" xfId="44686"/>
    <cellStyle name="Porcentagem 4 68" xfId="44687"/>
    <cellStyle name="Porcentagem 4 69" xfId="44688"/>
    <cellStyle name="Porcentagem 4 7" xfId="44689"/>
    <cellStyle name="Porcentagem 4 7 2" xfId="49484"/>
    <cellStyle name="Porcentagem 4 7 2 2" xfId="49485"/>
    <cellStyle name="Porcentagem 4 7 2 2 2" xfId="51032"/>
    <cellStyle name="Porcentagem 4 7 2 3" xfId="50295"/>
    <cellStyle name="Porcentagem 4 7 3" xfId="49486"/>
    <cellStyle name="Porcentagem 4 7 3 2" xfId="50672"/>
    <cellStyle name="Porcentagem 4 7 4" xfId="49487"/>
    <cellStyle name="Porcentagem 4 70" xfId="44690"/>
    <cellStyle name="Porcentagem 4 71" xfId="44691"/>
    <cellStyle name="Porcentagem 4 72" xfId="44692"/>
    <cellStyle name="Porcentagem 4 73" xfId="44693"/>
    <cellStyle name="Porcentagem 4 74" xfId="44694"/>
    <cellStyle name="Porcentagem 4 75" xfId="44695"/>
    <cellStyle name="Porcentagem 4 76" xfId="44696"/>
    <cellStyle name="Porcentagem 4 77" xfId="44697"/>
    <cellStyle name="Porcentagem 4 78" xfId="44698"/>
    <cellStyle name="Porcentagem 4 79" xfId="44699"/>
    <cellStyle name="Porcentagem 4 8" xfId="44700"/>
    <cellStyle name="Porcentagem 4 8 2" xfId="49488"/>
    <cellStyle name="Porcentagem 4 8 2 2" xfId="49489"/>
    <cellStyle name="Porcentagem 4 8 2 2 2" xfId="50899"/>
    <cellStyle name="Porcentagem 4 8 2 3" xfId="50167"/>
    <cellStyle name="Porcentagem 4 8 3" xfId="49490"/>
    <cellStyle name="Porcentagem 4 8 3 2" xfId="50535"/>
    <cellStyle name="Porcentagem 4 8 4" xfId="49491"/>
    <cellStyle name="Porcentagem 4 80" xfId="44701"/>
    <cellStyle name="Porcentagem 4 81" xfId="44702"/>
    <cellStyle name="Porcentagem 4 82" xfId="44703"/>
    <cellStyle name="Porcentagem 4 83" xfId="44704"/>
    <cellStyle name="Porcentagem 4 84" xfId="44705"/>
    <cellStyle name="Porcentagem 4 85" xfId="44706"/>
    <cellStyle name="Porcentagem 4 86" xfId="44707"/>
    <cellStyle name="Porcentagem 4 87" xfId="44708"/>
    <cellStyle name="Porcentagem 4 88" xfId="44709"/>
    <cellStyle name="Porcentagem 4 89" xfId="44710"/>
    <cellStyle name="Porcentagem 4 9" xfId="44711"/>
    <cellStyle name="Porcentagem 4 9 2" xfId="49492"/>
    <cellStyle name="Porcentagem 4 9 2 2" xfId="49493"/>
    <cellStyle name="Porcentagem 4 9 2 2 2" xfId="51187"/>
    <cellStyle name="Porcentagem 4 9 2 3" xfId="50439"/>
    <cellStyle name="Porcentagem 4 9 3" xfId="49494"/>
    <cellStyle name="Porcentagem 4 9 3 2" xfId="50828"/>
    <cellStyle name="Porcentagem 4 9 4" xfId="49495"/>
    <cellStyle name="Porcentagem 4 90" xfId="44712"/>
    <cellStyle name="Porcentagem 4 91" xfId="44713"/>
    <cellStyle name="Porcentagem 4 92" xfId="44714"/>
    <cellStyle name="Porcentagem 4 93" xfId="44715"/>
    <cellStyle name="Porcentagem 4 94" xfId="44716"/>
    <cellStyle name="Porcentagem 4 95" xfId="44717"/>
    <cellStyle name="Porcentagem 4 96" xfId="44718"/>
    <cellStyle name="Porcentagem 4 97" xfId="44719"/>
    <cellStyle name="Porcentagem 4 98" xfId="44720"/>
    <cellStyle name="Porcentagem 4 99" xfId="44721"/>
    <cellStyle name="Porcentagem 5" xfId="44722"/>
    <cellStyle name="Porcentagem 5 2" xfId="49496"/>
    <cellStyle name="Porcentagem 5 2 2" xfId="53313"/>
    <cellStyle name="Porcentagem 5 3" xfId="53312"/>
    <cellStyle name="Porcentagem 6" xfId="45288"/>
    <cellStyle name="Porcentagem 6 2" xfId="49497"/>
    <cellStyle name="Porcentagem 6_Mem." xfId="49498"/>
    <cellStyle name="Porcentagem 7" xfId="49499"/>
    <cellStyle name="Porcentagem 8" xfId="49500"/>
    <cellStyle name="Porcentagem 8 2" xfId="49501"/>
    <cellStyle name="Porcentagem 8 3" xfId="49502"/>
    <cellStyle name="Porcentagem 8 3 2" xfId="49503"/>
    <cellStyle name="Porcentagem 8 3 2 2" xfId="50881"/>
    <cellStyle name="Porcentagem 8 3 3" xfId="50155"/>
    <cellStyle name="Porcentagem 8 4" xfId="49504"/>
    <cellStyle name="Porcentagem 8 4 2" xfId="50515"/>
    <cellStyle name="Porcentagem 8 5" xfId="49889"/>
    <cellStyle name="Porcentagem 9" xfId="49505"/>
    <cellStyle name="Porcentagem 9 2" xfId="49506"/>
    <cellStyle name="Porcentagem 9 2 2" xfId="49507"/>
    <cellStyle name="Porcentagem 9 2 2 2" xfId="49508"/>
    <cellStyle name="Porcentagem 9 2 2 2 2" xfId="51128"/>
    <cellStyle name="Porcentagem 9 2 2 3" xfId="50385"/>
    <cellStyle name="Porcentagem 9 2 3" xfId="49509"/>
    <cellStyle name="Porcentagem 9 2 3 2" xfId="50768"/>
    <cellStyle name="Porcentagem 9 2 4" xfId="50074"/>
    <cellStyle name="Porcentagem 9 3" xfId="49510"/>
    <cellStyle name="Porcentagem 9 3 2" xfId="49511"/>
    <cellStyle name="Porcentagem 9 3 2 2" xfId="50993"/>
    <cellStyle name="Porcentagem 9 3 3" xfId="50257"/>
    <cellStyle name="Porcentagem 9 4" xfId="49512"/>
    <cellStyle name="Porcentagem 9 4 2" xfId="50631"/>
    <cellStyle name="Porcentagem 9 5" xfId="49971"/>
    <cellStyle name="Saída" xfId="43951" builtinId="21" customBuiltin="1"/>
    <cellStyle name="Saída 10" xfId="51947"/>
    <cellStyle name="Saída 11" xfId="51989"/>
    <cellStyle name="Saída 12" xfId="52032"/>
    <cellStyle name="Saída 13" xfId="52075"/>
    <cellStyle name="Saída 14" xfId="52118"/>
    <cellStyle name="Saída 2" xfId="86"/>
    <cellStyle name="Saída 2 10" xfId="11231"/>
    <cellStyle name="Saída 2 11" xfId="13755"/>
    <cellStyle name="Saída 2 12" xfId="15657"/>
    <cellStyle name="Saída 2 13" xfId="2817"/>
    <cellStyle name="Saída 2 14" xfId="15092"/>
    <cellStyle name="Saída 2 15" xfId="3317"/>
    <cellStyle name="Saída 2 16" xfId="23283"/>
    <cellStyle name="Saída 2 17" xfId="12840"/>
    <cellStyle name="Saída 2 18" xfId="27947"/>
    <cellStyle name="Saída 2 19" xfId="29006"/>
    <cellStyle name="Saída 2 2" xfId="3465"/>
    <cellStyle name="Saída 2 2 10" xfId="12858"/>
    <cellStyle name="Saída 2 2 11" xfId="14763"/>
    <cellStyle name="Saída 2 2 12" xfId="16878"/>
    <cellStyle name="Saída 2 2 13" xfId="18785"/>
    <cellStyle name="Saída 2 2 14" xfId="20697"/>
    <cellStyle name="Saída 2 2 15" xfId="22391"/>
    <cellStyle name="Saída 2 2 16" xfId="24499"/>
    <cellStyle name="Saída 2 2 17" xfId="14715"/>
    <cellStyle name="Saída 2 2 18" xfId="18506"/>
    <cellStyle name="Saída 2 2 19" xfId="11666"/>
    <cellStyle name="Saída 2 2 2" xfId="3645"/>
    <cellStyle name="Saída 2 2 2 10" xfId="17536"/>
    <cellStyle name="Saída 2 2 2 11" xfId="19442"/>
    <cellStyle name="Saída 2 2 2 12" xfId="21354"/>
    <cellStyle name="Saída 2 2 2 13" xfId="23705"/>
    <cellStyle name="Saída 2 2 2 14" xfId="25156"/>
    <cellStyle name="Saída 2 2 2 15" xfId="27179"/>
    <cellStyle name="Saída 2 2 2 16" xfId="28546"/>
    <cellStyle name="Saída 2 2 2 17" xfId="30770"/>
    <cellStyle name="Saída 2 2 2 18" xfId="32312"/>
    <cellStyle name="Saída 2 2 2 19" xfId="34368"/>
    <cellStyle name="Saída 2 2 2 2" xfId="4462"/>
    <cellStyle name="Saída 2 2 2 2 10" xfId="20707"/>
    <cellStyle name="Saída 2 2 2 2 11" xfId="16171"/>
    <cellStyle name="Saída 2 2 2 2 12" xfId="24509"/>
    <cellStyle name="Saída 2 2 2 2 13" xfId="12785"/>
    <cellStyle name="Saída 2 2 2 2 14" xfId="2882"/>
    <cellStyle name="Saída 2 2 2 2 15" xfId="16626"/>
    <cellStyle name="Saída 2 2 2 2 16" xfId="28021"/>
    <cellStyle name="Saída 2 2 2 2 17" xfId="3194"/>
    <cellStyle name="Saída 2 2 2 2 18" xfId="35337"/>
    <cellStyle name="Saída 2 2 2 2 19" xfId="37215"/>
    <cellStyle name="Saída 2 2 2 2 2" xfId="5429"/>
    <cellStyle name="Saída 2 2 2 2 20" xfId="27159"/>
    <cellStyle name="Saída 2 2 2 2 21" xfId="28390"/>
    <cellStyle name="Saída 2 2 2 2 22" xfId="28018"/>
    <cellStyle name="Saída 2 2 2 2 3" xfId="6664"/>
    <cellStyle name="Saída 2 2 2 2 4" xfId="9269"/>
    <cellStyle name="Saída 2 2 2 2 5" xfId="10955"/>
    <cellStyle name="Saída 2 2 2 2 6" xfId="3082"/>
    <cellStyle name="Saída 2 2 2 2 7" xfId="4184"/>
    <cellStyle name="Saída 2 2 2 2 8" xfId="16888"/>
    <cellStyle name="Saída 2 2 2 2 9" xfId="18795"/>
    <cellStyle name="Saída 2 2 2 20" xfId="35983"/>
    <cellStyle name="Saída 2 2 2 21" xfId="37862"/>
    <cellStyle name="Saída 2 2 2 22" xfId="39531"/>
    <cellStyle name="Saída 2 2 2 23" xfId="41205"/>
    <cellStyle name="Saída 2 2 2 24" xfId="43462"/>
    <cellStyle name="Saída 2 2 2 3" xfId="5106"/>
    <cellStyle name="Saída 2 2 2 3 2" xfId="45680"/>
    <cellStyle name="Saída 2 2 2 3 3" xfId="46069"/>
    <cellStyle name="Saída 2 2 2 3 4" xfId="46427"/>
    <cellStyle name="Saída 2 2 2 3 5" xfId="46779"/>
    <cellStyle name="Saída 2 2 2 3 6" xfId="47094"/>
    <cellStyle name="Saída 2 2 2 3 7" xfId="47413"/>
    <cellStyle name="Saída 2 2 2 3 8" xfId="47731"/>
    <cellStyle name="Saída 2 2 2 4" xfId="6556"/>
    <cellStyle name="Saída 2 2 2 4 2" xfId="45758"/>
    <cellStyle name="Saída 2 2 2 4 3" xfId="46147"/>
    <cellStyle name="Saída 2 2 2 4 4" xfId="46505"/>
    <cellStyle name="Saída 2 2 2 4 5" xfId="46857"/>
    <cellStyle name="Saída 2 2 2 4 6" xfId="47172"/>
    <cellStyle name="Saída 2 2 2 4 7" xfId="47491"/>
    <cellStyle name="Saída 2 2 2 4 8" xfId="47809"/>
    <cellStyle name="Saída 2 2 2 5" xfId="8007"/>
    <cellStyle name="Saída 2 2 2 5 2" xfId="45821"/>
    <cellStyle name="Saída 2 2 2 5 3" xfId="46210"/>
    <cellStyle name="Saída 2 2 2 5 4" xfId="46568"/>
    <cellStyle name="Saída 2 2 2 5 5" xfId="46920"/>
    <cellStyle name="Saída 2 2 2 5 6" xfId="47235"/>
    <cellStyle name="Saída 2 2 2 5 7" xfId="47554"/>
    <cellStyle name="Saída 2 2 2 5 8" xfId="47872"/>
    <cellStyle name="Saída 2 2 2 6" xfId="9917"/>
    <cellStyle name="Saída 2 2 2 7" xfId="11768"/>
    <cellStyle name="Saída 2 2 2 8" xfId="14175"/>
    <cellStyle name="Saída 2 2 2 9" xfId="16079"/>
    <cellStyle name="Saída 2 2 20" xfId="3301"/>
    <cellStyle name="Saída 2 2 21" xfId="2905"/>
    <cellStyle name="Saída 2 2 22" xfId="35327"/>
    <cellStyle name="Saída 2 2 23" xfId="37205"/>
    <cellStyle name="Saída 2 2 24" xfId="29210"/>
    <cellStyle name="Saída 2 2 25" xfId="20421"/>
    <cellStyle name="Saída 2 2 26" xfId="42202"/>
    <cellStyle name="Saída 2 2 3" xfId="3842"/>
    <cellStyle name="Saída 2 2 3 10" xfId="19565"/>
    <cellStyle name="Saída 2 2 3 11" xfId="21477"/>
    <cellStyle name="Saída 2 2 3 12" xfId="22625"/>
    <cellStyle name="Saída 2 2 3 13" xfId="25279"/>
    <cellStyle name="Saída 2 2 3 14" xfId="27129"/>
    <cellStyle name="Saída 2 2 3 15" xfId="29466"/>
    <cellStyle name="Saída 2 2 3 16" xfId="30720"/>
    <cellStyle name="Saída 2 2 3 17" xfId="32989"/>
    <cellStyle name="Saída 2 2 3 18" xfId="34138"/>
    <cellStyle name="Saída 2 2 3 19" xfId="36106"/>
    <cellStyle name="Saída 2 2 3 2" xfId="5835"/>
    <cellStyle name="Saída 2 2 3 2 10" xfId="22085"/>
    <cellStyle name="Saída 2 2 3 2 11" xfId="24166"/>
    <cellStyle name="Saída 2 2 3 2 12" xfId="25887"/>
    <cellStyle name="Saída 2 2 3 2 13" xfId="26316"/>
    <cellStyle name="Saída 2 2 3 2 14" xfId="28699"/>
    <cellStyle name="Saída 2 2 3 2 15" xfId="29924"/>
    <cellStyle name="Saída 2 2 3 2 16" xfId="32113"/>
    <cellStyle name="Saída 2 2 3 2 17" xfId="34580"/>
    <cellStyle name="Saída 2 2 3 2 18" xfId="36714"/>
    <cellStyle name="Saída 2 2 3 2 19" xfId="38593"/>
    <cellStyle name="Saída 2 2 3 2 2" xfId="7284"/>
    <cellStyle name="Saída 2 2 3 2 20" xfId="39337"/>
    <cellStyle name="Saída 2 2 3 2 21" xfId="41013"/>
    <cellStyle name="Saída 2 2 3 2 22" xfId="43908"/>
    <cellStyle name="Saída 2 2 3 2 3" xfId="8738"/>
    <cellStyle name="Saída 2 2 3 2 4" xfId="10648"/>
    <cellStyle name="Saída 2 2 3 2 5" xfId="12126"/>
    <cellStyle name="Saída 2 2 3 2 6" xfId="14637"/>
    <cellStyle name="Saída 2 2 3 2 7" xfId="16543"/>
    <cellStyle name="Saída 2 2 3 2 8" xfId="18267"/>
    <cellStyle name="Saída 2 2 3 2 9" xfId="20173"/>
    <cellStyle name="Saída 2 2 3 20" xfId="37985"/>
    <cellStyle name="Saída 2 2 3 21" xfId="40190"/>
    <cellStyle name="Saída 2 2 3 22" xfId="41849"/>
    <cellStyle name="Saída 2 2 3 23" xfId="42431"/>
    <cellStyle name="Saída 2 2 3 3" xfId="5229"/>
    <cellStyle name="Saída 2 2 3 3 2" xfId="45708"/>
    <cellStyle name="Saída 2 2 3 3 3" xfId="46097"/>
    <cellStyle name="Saída 2 2 3 3 4" xfId="46455"/>
    <cellStyle name="Saída 2 2 3 3 5" xfId="46807"/>
    <cellStyle name="Saída 2 2 3 3 6" xfId="47122"/>
    <cellStyle name="Saída 2 2 3 3 7" xfId="47441"/>
    <cellStyle name="Saída 2 2 3 3 8" xfId="47759"/>
    <cellStyle name="Saída 2 2 3 4" xfId="8130"/>
    <cellStyle name="Saída 2 2 3 4 2" xfId="45599"/>
    <cellStyle name="Saída 2 2 3 4 3" xfId="45988"/>
    <cellStyle name="Saída 2 2 3 4 4" xfId="46346"/>
    <cellStyle name="Saída 2 2 3 4 5" xfId="46698"/>
    <cellStyle name="Saída 2 2 3 4 6" xfId="47013"/>
    <cellStyle name="Saída 2 2 3 4 7" xfId="47332"/>
    <cellStyle name="Saída 2 2 3 4 8" xfId="47650"/>
    <cellStyle name="Saída 2 2 3 5" xfId="10040"/>
    <cellStyle name="Saída 2 2 3 5 2" xfId="45815"/>
    <cellStyle name="Saída 2 2 3 5 3" xfId="46204"/>
    <cellStyle name="Saída 2 2 3 5 4" xfId="46562"/>
    <cellStyle name="Saída 2 2 3 5 5" xfId="46914"/>
    <cellStyle name="Saída 2 2 3 5 6" xfId="47229"/>
    <cellStyle name="Saída 2 2 3 5 7" xfId="47548"/>
    <cellStyle name="Saída 2 2 3 5 8" xfId="47866"/>
    <cellStyle name="Saída 2 2 3 6" xfId="11712"/>
    <cellStyle name="Saída 2 2 3 7" xfId="13092"/>
    <cellStyle name="Saída 2 2 3 8" xfId="14997"/>
    <cellStyle name="Saída 2 2 3 9" xfId="17659"/>
    <cellStyle name="Saída 2 2 4" xfId="4097"/>
    <cellStyle name="Saída 2 2 4 10" xfId="19732"/>
    <cellStyle name="Saída 2 2 4 11" xfId="21644"/>
    <cellStyle name="Saída 2 2 4 12" xfId="22643"/>
    <cellStyle name="Saída 2 2 4 13" xfId="25446"/>
    <cellStyle name="Saída 2 2 4 14" xfId="27188"/>
    <cellStyle name="Saída 2 2 4 15" xfId="29258"/>
    <cellStyle name="Saída 2 2 4 16" xfId="30779"/>
    <cellStyle name="Saída 2 2 4 17" xfId="32105"/>
    <cellStyle name="Saída 2 2 4 18" xfId="34255"/>
    <cellStyle name="Saída 2 2 4 19" xfId="36273"/>
    <cellStyle name="Saída 2 2 4 2" xfId="6002"/>
    <cellStyle name="Saída 2 2 4 2 10" xfId="22252"/>
    <cellStyle name="Saída 2 2 4 2 11" xfId="23928"/>
    <cellStyle name="Saída 2 2 4 2 12" xfId="26054"/>
    <cellStyle name="Saída 2 2 4 2 13" xfId="26227"/>
    <cellStyle name="Saída 2 2 4 2 14" xfId="28895"/>
    <cellStyle name="Saída 2 2 4 2 15" xfId="29837"/>
    <cellStyle name="Saída 2 2 4 2 16" xfId="31795"/>
    <cellStyle name="Saída 2 2 4 2 17" xfId="34757"/>
    <cellStyle name="Saída 2 2 4 2 18" xfId="36881"/>
    <cellStyle name="Saída 2 2 4 2 19" xfId="38760"/>
    <cellStyle name="Saída 2 2 4 2 2" xfId="7451"/>
    <cellStyle name="Saída 2 2 4 2 20" xfId="39033"/>
    <cellStyle name="Saída 2 2 4 2 21" xfId="40715"/>
    <cellStyle name="Saída 2 2 4 2 22" xfId="43674"/>
    <cellStyle name="Saída 2 2 4 2 3" xfId="8905"/>
    <cellStyle name="Saída 2 2 4 2 4" xfId="10815"/>
    <cellStyle name="Saída 2 2 4 2 5" xfId="11887"/>
    <cellStyle name="Saída 2 2 4 2 6" xfId="14397"/>
    <cellStyle name="Saída 2 2 4 2 7" xfId="16303"/>
    <cellStyle name="Saída 2 2 4 2 8" xfId="18434"/>
    <cellStyle name="Saída 2 2 4 2 9" xfId="20340"/>
    <cellStyle name="Saída 2 2 4 20" xfId="38152"/>
    <cellStyle name="Saída 2 2 4 21" xfId="39329"/>
    <cellStyle name="Saída 2 2 4 22" xfId="41005"/>
    <cellStyle name="Saída 2 2 4 23" xfId="42449"/>
    <cellStyle name="Saída 2 2 4 3" xfId="6843"/>
    <cellStyle name="Saída 2 2 4 3 2" xfId="45693"/>
    <cellStyle name="Saída 2 2 4 3 3" xfId="46082"/>
    <cellStyle name="Saída 2 2 4 3 4" xfId="46440"/>
    <cellStyle name="Saída 2 2 4 3 5" xfId="46792"/>
    <cellStyle name="Saída 2 2 4 3 6" xfId="47107"/>
    <cellStyle name="Saída 2 2 4 3 7" xfId="47426"/>
    <cellStyle name="Saída 2 2 4 3 8" xfId="47744"/>
    <cellStyle name="Saída 2 2 4 4" xfId="8297"/>
    <cellStyle name="Saída 2 2 4 4 2" xfId="45624"/>
    <cellStyle name="Saída 2 2 4 4 3" xfId="46013"/>
    <cellStyle name="Saída 2 2 4 4 4" xfId="46371"/>
    <cellStyle name="Saída 2 2 4 4 5" xfId="46723"/>
    <cellStyle name="Saída 2 2 4 4 6" xfId="47038"/>
    <cellStyle name="Saída 2 2 4 4 7" xfId="47357"/>
    <cellStyle name="Saída 2 2 4 4 8" xfId="47675"/>
    <cellStyle name="Saída 2 2 4 5" xfId="10207"/>
    <cellStyle name="Saída 2 2 4 5 2" xfId="45662"/>
    <cellStyle name="Saída 2 2 4 5 3" xfId="46051"/>
    <cellStyle name="Saída 2 2 4 5 4" xfId="46409"/>
    <cellStyle name="Saída 2 2 4 5 5" xfId="46761"/>
    <cellStyle name="Saída 2 2 4 5 6" xfId="47076"/>
    <cellStyle name="Saída 2 2 4 5 7" xfId="47395"/>
    <cellStyle name="Saída 2 2 4 5 8" xfId="47713"/>
    <cellStyle name="Saída 2 2 4 6" xfId="12423"/>
    <cellStyle name="Saída 2 2 4 7" xfId="13110"/>
    <cellStyle name="Saída 2 2 4 8" xfId="15015"/>
    <cellStyle name="Saída 2 2 4 9" xfId="17826"/>
    <cellStyle name="Saída 2 2 5" xfId="4950"/>
    <cellStyle name="Saída 2 2 5 10" xfId="21198"/>
    <cellStyle name="Saída 2 2 5 11" xfId="23769"/>
    <cellStyle name="Saída 2 2 5 12" xfId="25000"/>
    <cellStyle name="Saída 2 2 5 13" xfId="27277"/>
    <cellStyle name="Saída 2 2 5 14" xfId="2751"/>
    <cellStyle name="Saída 2 2 5 15" xfId="30869"/>
    <cellStyle name="Saída 2 2 5 16" xfId="33254"/>
    <cellStyle name="Saída 2 2 5 17" xfId="18537"/>
    <cellStyle name="Saída 2 2 5 18" xfId="35827"/>
    <cellStyle name="Saída 2 2 5 19" xfId="37706"/>
    <cellStyle name="Saída 2 2 5 2" xfId="6400"/>
    <cellStyle name="Saída 2 2 5 2 2" xfId="45970"/>
    <cellStyle name="Saída 2 2 5 2 3" xfId="46328"/>
    <cellStyle name="Saída 2 2 5 2 4" xfId="46680"/>
    <cellStyle name="Saída 2 2 5 2 5" xfId="47003"/>
    <cellStyle name="Saída 2 2 5 2 6" xfId="47632"/>
    <cellStyle name="Saída 2 2 5 20" xfId="40440"/>
    <cellStyle name="Saída 2 2 5 21" xfId="42095"/>
    <cellStyle name="Saída 2 2 5 22" xfId="43522"/>
    <cellStyle name="Saída 2 2 5 3" xfId="7851"/>
    <cellStyle name="Saída 2 2 5 3 2" xfId="45762"/>
    <cellStyle name="Saída 2 2 5 3 3" xfId="46151"/>
    <cellStyle name="Saída 2 2 5 3 4" xfId="46509"/>
    <cellStyle name="Saída 2 2 5 3 5" xfId="46861"/>
    <cellStyle name="Saída 2 2 5 3 6" xfId="47176"/>
    <cellStyle name="Saída 2 2 5 3 7" xfId="47495"/>
    <cellStyle name="Saída 2 2 5 3 8" xfId="47813"/>
    <cellStyle name="Saída 2 2 5 4" xfId="9761"/>
    <cellStyle name="Saída 2 2 5 4 2" xfId="45831"/>
    <cellStyle name="Saída 2 2 5 4 3" xfId="46220"/>
    <cellStyle name="Saída 2 2 5 4 4" xfId="46578"/>
    <cellStyle name="Saída 2 2 5 4 5" xfId="46930"/>
    <cellStyle name="Saída 2 2 5 4 6" xfId="47245"/>
    <cellStyle name="Saída 2 2 5 4 7" xfId="47564"/>
    <cellStyle name="Saída 2 2 5 4 8" xfId="47882"/>
    <cellStyle name="Saída 2 2 5 5" xfId="11741"/>
    <cellStyle name="Saída 2 2 5 5 2" xfId="45868"/>
    <cellStyle name="Saída 2 2 5 5 3" xfId="46257"/>
    <cellStyle name="Saída 2 2 5 5 4" xfId="46615"/>
    <cellStyle name="Saída 2 2 5 5 5" xfId="46967"/>
    <cellStyle name="Saída 2 2 5 5 6" xfId="47282"/>
    <cellStyle name="Saída 2 2 5 5 7" xfId="47601"/>
    <cellStyle name="Saída 2 2 5 5 8" xfId="47919"/>
    <cellStyle name="Saída 2 2 5 6" xfId="14239"/>
    <cellStyle name="Saída 2 2 5 7" xfId="16143"/>
    <cellStyle name="Saída 2 2 5 8" xfId="17380"/>
    <cellStyle name="Saída 2 2 5 9" xfId="19286"/>
    <cellStyle name="Saída 2 2 6" xfId="4570"/>
    <cellStyle name="Saída 2 2 6 10" xfId="20815"/>
    <cellStyle name="Saída 2 2 6 11" xfId="23564"/>
    <cellStyle name="Saída 2 2 6 12" xfId="24617"/>
    <cellStyle name="Saída 2 2 6 13" xfId="26222"/>
    <cellStyle name="Saída 2 2 6 14" xfId="3003"/>
    <cellStyle name="Saída 2 2 6 15" xfId="29833"/>
    <cellStyle name="Saída 2 2 6 16" xfId="32704"/>
    <cellStyle name="Saída 2 2 6 17" xfId="2270"/>
    <cellStyle name="Saída 2 2 6 18" xfId="35445"/>
    <cellStyle name="Saída 2 2 6 19" xfId="37323"/>
    <cellStyle name="Saída 2 2 6 2" xfId="5407"/>
    <cellStyle name="Saída 2 2 6 20" xfId="39912"/>
    <cellStyle name="Saída 2 2 6 21" xfId="41581"/>
    <cellStyle name="Saída 2 2 6 22" xfId="43328"/>
    <cellStyle name="Saída 2 2 6 3" xfId="6629"/>
    <cellStyle name="Saída 2 2 6 4" xfId="9377"/>
    <cellStyle name="Saída 2 2 6 5" xfId="12564"/>
    <cellStyle name="Saída 2 2 6 6" xfId="14036"/>
    <cellStyle name="Saída 2 2 6 7" xfId="15937"/>
    <cellStyle name="Saída 2 2 6 8" xfId="16996"/>
    <cellStyle name="Saída 2 2 6 9" xfId="18903"/>
    <cellStyle name="Saída 2 2 7" xfId="6671"/>
    <cellStyle name="Saída 2 2 8" xfId="9259"/>
    <cellStyle name="Saída 2 2 9" xfId="10956"/>
    <cellStyle name="Saída 2 20" xfId="31527"/>
    <cellStyle name="Saída 2 21" xfId="32463"/>
    <cellStyle name="Saída 2 22" xfId="34253"/>
    <cellStyle name="Saída 2 23" xfId="28635"/>
    <cellStyle name="Saída 2 24" xfId="34454"/>
    <cellStyle name="Saída 2 25" xfId="39681"/>
    <cellStyle name="Saída 2 26" xfId="41354"/>
    <cellStyle name="Saída 2 27" xfId="43059"/>
    <cellStyle name="Saída 2 3" xfId="3428"/>
    <cellStyle name="Saída 2 3 10" xfId="14149"/>
    <cellStyle name="Saída 2 3 11" xfId="16053"/>
    <cellStyle name="Saída 2 3 12" xfId="16804"/>
    <cellStyle name="Saída 2 3 13" xfId="18711"/>
    <cellStyle name="Saída 2 3 14" xfId="20623"/>
    <cellStyle name="Saída 2 3 15" xfId="23679"/>
    <cellStyle name="Saída 2 3 16" xfId="24425"/>
    <cellStyle name="Saída 2 3 17" xfId="27314"/>
    <cellStyle name="Saída 2 3 18" xfId="28091"/>
    <cellStyle name="Saída 2 3 19" xfId="30904"/>
    <cellStyle name="Saída 2 3 2" xfId="3608"/>
    <cellStyle name="Saída 2 3 2 10" xfId="17499"/>
    <cellStyle name="Saída 2 3 2 11" xfId="19405"/>
    <cellStyle name="Saída 2 3 2 12" xfId="21317"/>
    <cellStyle name="Saída 2 3 2 13" xfId="24036"/>
    <cellStyle name="Saída 2 3 2 14" xfId="25119"/>
    <cellStyle name="Saída 2 3 2 15" xfId="27510"/>
    <cellStyle name="Saída 2 3 2 16" xfId="28573"/>
    <cellStyle name="Saída 2 3 2 17" xfId="31095"/>
    <cellStyle name="Saída 2 3 2 18" xfId="28357"/>
    <cellStyle name="Saída 2 3 2 19" xfId="33279"/>
    <cellStyle name="Saída 2 3 2 2" xfId="5513"/>
    <cellStyle name="Saída 2 3 2 2 10" xfId="21763"/>
    <cellStyle name="Saída 2 3 2 2 11" xfId="23777"/>
    <cellStyle name="Saída 2 3 2 2 12" xfId="25565"/>
    <cellStyle name="Saída 2 3 2 2 13" xfId="27943"/>
    <cellStyle name="Saída 2 3 2 2 14" xfId="28519"/>
    <cellStyle name="Saída 2 3 2 2 15" xfId="31523"/>
    <cellStyle name="Saída 2 3 2 2 16" xfId="32731"/>
    <cellStyle name="Saída 2 3 2 2 17" xfId="34572"/>
    <cellStyle name="Saída 2 3 2 2 18" xfId="36392"/>
    <cellStyle name="Saída 2 3 2 2 19" xfId="38271"/>
    <cellStyle name="Saída 2 3 2 2 2" xfId="6962"/>
    <cellStyle name="Saída 2 3 2 2 20" xfId="39940"/>
    <cellStyle name="Saída 2 3 2 2 21" xfId="41606"/>
    <cellStyle name="Saída 2 3 2 2 22" xfId="43530"/>
    <cellStyle name="Saída 2 3 2 2 3" xfId="8416"/>
    <cellStyle name="Saída 2 3 2 2 4" xfId="10326"/>
    <cellStyle name="Saída 2 3 2 2 5" xfId="11413"/>
    <cellStyle name="Saída 2 3 2 2 6" xfId="14247"/>
    <cellStyle name="Saída 2 3 2 2 7" xfId="16151"/>
    <cellStyle name="Saída 2 3 2 2 8" xfId="17945"/>
    <cellStyle name="Saída 2 3 2 2 9" xfId="19851"/>
    <cellStyle name="Saída 2 3 2 20" xfId="35946"/>
    <cellStyle name="Saída 2 3 2 21" xfId="37825"/>
    <cellStyle name="Saída 2 3 2 22" xfId="32484"/>
    <cellStyle name="Saída 2 3 2 23" xfId="29136"/>
    <cellStyle name="Saída 2 3 2 24" xfId="43780"/>
    <cellStyle name="Saída 2 3 2 3" xfId="5069"/>
    <cellStyle name="Saída 2 3 2 3 2" xfId="45727"/>
    <cellStyle name="Saída 2 3 2 3 3" xfId="46116"/>
    <cellStyle name="Saída 2 3 2 3 4" xfId="46474"/>
    <cellStyle name="Saída 2 3 2 3 5" xfId="46826"/>
    <cellStyle name="Saída 2 3 2 3 6" xfId="47141"/>
    <cellStyle name="Saída 2 3 2 3 7" xfId="47460"/>
    <cellStyle name="Saída 2 3 2 3 8" xfId="47778"/>
    <cellStyle name="Saída 2 3 2 4" xfId="6519"/>
    <cellStyle name="Saída 2 3 2 4 2" xfId="45789"/>
    <cellStyle name="Saída 2 3 2 4 3" xfId="46178"/>
    <cellStyle name="Saída 2 3 2 4 4" xfId="46536"/>
    <cellStyle name="Saída 2 3 2 4 5" xfId="46888"/>
    <cellStyle name="Saída 2 3 2 4 6" xfId="47203"/>
    <cellStyle name="Saída 2 3 2 4 7" xfId="47522"/>
    <cellStyle name="Saída 2 3 2 4 8" xfId="47840"/>
    <cellStyle name="Saída 2 3 2 5" xfId="7970"/>
    <cellStyle name="Saída 2 3 2 5 2" xfId="45615"/>
    <cellStyle name="Saída 2 3 2 5 3" xfId="46004"/>
    <cellStyle name="Saída 2 3 2 5 4" xfId="46362"/>
    <cellStyle name="Saída 2 3 2 5 5" xfId="46714"/>
    <cellStyle name="Saída 2 3 2 5 6" xfId="47029"/>
    <cellStyle name="Saída 2 3 2 5 7" xfId="47348"/>
    <cellStyle name="Saída 2 3 2 5 8" xfId="47666"/>
    <cellStyle name="Saída 2 3 2 6" xfId="9880"/>
    <cellStyle name="Saída 2 3 2 7" xfId="11995"/>
    <cellStyle name="Saída 2 3 2 8" xfId="14506"/>
    <cellStyle name="Saída 2 3 2 9" xfId="16412"/>
    <cellStyle name="Saída 2 3 20" xfId="33055"/>
    <cellStyle name="Saída 2 3 21" xfId="34939"/>
    <cellStyle name="Saída 2 3 22" xfId="35253"/>
    <cellStyle name="Saída 2 3 23" xfId="37131"/>
    <cellStyle name="Saída 2 3 24" xfId="40252"/>
    <cellStyle name="Saída 2 3 25" xfId="41910"/>
    <cellStyle name="Saída 2 3 26" xfId="43436"/>
    <cellStyle name="Saída 2 3 3" xfId="3776"/>
    <cellStyle name="Saída 2 3 3 10" xfId="19515"/>
    <cellStyle name="Saída 2 3 3 11" xfId="21427"/>
    <cellStyle name="Saída 2 3 3 12" xfId="23997"/>
    <cellStyle name="Saída 2 3 3 13" xfId="25229"/>
    <cellStyle name="Saída 2 3 3 14" xfId="27242"/>
    <cellStyle name="Saída 2 3 3 15" xfId="29106"/>
    <cellStyle name="Saída 2 3 3 16" xfId="30833"/>
    <cellStyle name="Saída 2 3 3 17" xfId="31861"/>
    <cellStyle name="Saída 2 3 3 18" xfId="34195"/>
    <cellStyle name="Saída 2 3 3 19" xfId="36056"/>
    <cellStyle name="Saída 2 3 3 2" xfId="5785"/>
    <cellStyle name="Saída 2 3 3 2 10" xfId="22035"/>
    <cellStyle name="Saída 2 3 3 2 11" xfId="23572"/>
    <cellStyle name="Saída 2 3 3 2 12" xfId="25837"/>
    <cellStyle name="Saída 2 3 3 2 13" xfId="27239"/>
    <cellStyle name="Saída 2 3 3 2 14" xfId="28749"/>
    <cellStyle name="Saída 2 3 3 2 15" xfId="30830"/>
    <cellStyle name="Saída 2 3 3 2 16" xfId="32024"/>
    <cellStyle name="Saída 2 3 3 2 17" xfId="33773"/>
    <cellStyle name="Saída 2 3 3 2 18" xfId="36664"/>
    <cellStyle name="Saída 2 3 3 2 19" xfId="38543"/>
    <cellStyle name="Saída 2 3 3 2 2" xfId="7234"/>
    <cellStyle name="Saída 2 3 3 2 20" xfId="39254"/>
    <cellStyle name="Saída 2 3 3 2 21" xfId="40931"/>
    <cellStyle name="Saída 2 3 3 2 22" xfId="43336"/>
    <cellStyle name="Saída 2 3 3 2 3" xfId="8688"/>
    <cellStyle name="Saída 2 3 3 2 4" xfId="10598"/>
    <cellStyle name="Saída 2 3 3 2 5" xfId="12518"/>
    <cellStyle name="Saída 2 3 3 2 6" xfId="14044"/>
    <cellStyle name="Saída 2 3 3 2 7" xfId="15945"/>
    <cellStyle name="Saída 2 3 3 2 8" xfId="18217"/>
    <cellStyle name="Saída 2 3 3 2 9" xfId="20123"/>
    <cellStyle name="Saída 2 3 3 20" xfId="37935"/>
    <cellStyle name="Saída 2 3 3 21" xfId="39096"/>
    <cellStyle name="Saída 2 3 3 22" xfId="40777"/>
    <cellStyle name="Saída 2 3 3 23" xfId="43741"/>
    <cellStyle name="Saída 2 3 3 3" xfId="5179"/>
    <cellStyle name="Saída 2 3 3 3 2" xfId="45742"/>
    <cellStyle name="Saída 2 3 3 3 3" xfId="46131"/>
    <cellStyle name="Saída 2 3 3 3 4" xfId="46489"/>
    <cellStyle name="Saída 2 3 3 3 5" xfId="46841"/>
    <cellStyle name="Saída 2 3 3 3 6" xfId="47156"/>
    <cellStyle name="Saída 2 3 3 3 7" xfId="47475"/>
    <cellStyle name="Saída 2 3 3 3 8" xfId="47793"/>
    <cellStyle name="Saída 2 3 3 4" xfId="8080"/>
    <cellStyle name="Saída 2 3 3 4 2" xfId="45804"/>
    <cellStyle name="Saída 2 3 3 4 3" xfId="46193"/>
    <cellStyle name="Saída 2 3 3 4 4" xfId="46551"/>
    <cellStyle name="Saída 2 3 3 4 5" xfId="46903"/>
    <cellStyle name="Saída 2 3 3 4 6" xfId="47218"/>
    <cellStyle name="Saída 2 3 3 4 7" xfId="47537"/>
    <cellStyle name="Saída 2 3 3 4 8" xfId="47855"/>
    <cellStyle name="Saída 2 3 3 5" xfId="9990"/>
    <cellStyle name="Saída 2 3 3 5 2" xfId="45857"/>
    <cellStyle name="Saída 2 3 3 5 3" xfId="46246"/>
    <cellStyle name="Saída 2 3 3 5 4" xfId="46604"/>
    <cellStyle name="Saída 2 3 3 5 5" xfId="46956"/>
    <cellStyle name="Saída 2 3 3 5 6" xfId="47271"/>
    <cellStyle name="Saída 2 3 3 5 7" xfId="47590"/>
    <cellStyle name="Saída 2 3 3 5 8" xfId="47908"/>
    <cellStyle name="Saída 2 3 3 6" xfId="11956"/>
    <cellStyle name="Saída 2 3 3 7" xfId="14467"/>
    <cellStyle name="Saída 2 3 3 8" xfId="16373"/>
    <cellStyle name="Saída 2 3 3 9" xfId="17609"/>
    <cellStyle name="Saída 2 3 4" xfId="4060"/>
    <cellStyle name="Saída 2 3 4 10" xfId="19695"/>
    <cellStyle name="Saída 2 3 4 11" xfId="21607"/>
    <cellStyle name="Saída 2 3 4 12" xfId="23750"/>
    <cellStyle name="Saída 2 3 4 13" xfId="25409"/>
    <cellStyle name="Saída 2 3 4 14" xfId="26240"/>
    <cellStyle name="Saída 2 3 4 15" xfId="23217"/>
    <cellStyle name="Saída 2 3 4 16" xfId="29850"/>
    <cellStyle name="Saída 2 3 4 17" xfId="32618"/>
    <cellStyle name="Saída 2 3 4 18" xfId="33974"/>
    <cellStyle name="Saída 2 3 4 19" xfId="36236"/>
    <cellStyle name="Saída 2 3 4 2" xfId="5965"/>
    <cellStyle name="Saída 2 3 4 2 10" xfId="22215"/>
    <cellStyle name="Saída 2 3 4 2 11" xfId="22503"/>
    <cellStyle name="Saída 2 3 4 2 12" xfId="26017"/>
    <cellStyle name="Saída 2 3 4 2 13" xfId="26337"/>
    <cellStyle name="Saída 2 3 4 2 14" xfId="29590"/>
    <cellStyle name="Saída 2 3 4 2 15" xfId="29945"/>
    <cellStyle name="Saída 2 3 4 2 16" xfId="32230"/>
    <cellStyle name="Saída 2 3 4 2 17" xfId="34964"/>
    <cellStyle name="Saída 2 3 4 2 18" xfId="36844"/>
    <cellStyle name="Saída 2 3 4 2 19" xfId="38723"/>
    <cellStyle name="Saída 2 3 4 2 2" xfId="7414"/>
    <cellStyle name="Saída 2 3 4 2 20" xfId="39449"/>
    <cellStyle name="Saída 2 3 4 2 21" xfId="41124"/>
    <cellStyle name="Saída 2 3 4 2 22" xfId="42313"/>
    <cellStyle name="Saída 2 3 4 2 3" xfId="8868"/>
    <cellStyle name="Saída 2 3 4 2 4" xfId="10778"/>
    <cellStyle name="Saída 2 3 4 2 5" xfId="11633"/>
    <cellStyle name="Saída 2 3 4 2 6" xfId="12971"/>
    <cellStyle name="Saída 2 3 4 2 7" xfId="14875"/>
    <cellStyle name="Saída 2 3 4 2 8" xfId="18397"/>
    <cellStyle name="Saída 2 3 4 2 9" xfId="20303"/>
    <cellStyle name="Saída 2 3 4 20" xfId="38115"/>
    <cellStyle name="Saída 2 3 4 21" xfId="39828"/>
    <cellStyle name="Saída 2 3 4 22" xfId="41497"/>
    <cellStyle name="Saída 2 3 4 23" xfId="43503"/>
    <cellStyle name="Saída 2 3 4 3" xfId="6806"/>
    <cellStyle name="Saída 2 3 4 3 2" xfId="45776"/>
    <cellStyle name="Saída 2 3 4 3 3" xfId="46165"/>
    <cellStyle name="Saída 2 3 4 3 4" xfId="46523"/>
    <cellStyle name="Saída 2 3 4 3 5" xfId="46875"/>
    <cellStyle name="Saída 2 3 4 3 6" xfId="47190"/>
    <cellStyle name="Saída 2 3 4 3 7" xfId="47509"/>
    <cellStyle name="Saída 2 3 4 3 8" xfId="47827"/>
    <cellStyle name="Saída 2 3 4 4" xfId="8260"/>
    <cellStyle name="Saída 2 3 4 4 2" xfId="45845"/>
    <cellStyle name="Saída 2 3 4 4 3" xfId="46234"/>
    <cellStyle name="Saída 2 3 4 4 4" xfId="46592"/>
    <cellStyle name="Saída 2 3 4 4 5" xfId="46944"/>
    <cellStyle name="Saída 2 3 4 4 6" xfId="47259"/>
    <cellStyle name="Saída 2 3 4 4 7" xfId="47578"/>
    <cellStyle name="Saída 2 3 4 4 8" xfId="47896"/>
    <cellStyle name="Saída 2 3 4 5" xfId="10170"/>
    <cellStyle name="Saída 2 3 4 5 2" xfId="45882"/>
    <cellStyle name="Saída 2 3 4 5 3" xfId="46271"/>
    <cellStyle name="Saída 2 3 4 5 4" xfId="46629"/>
    <cellStyle name="Saída 2 3 4 5 5" xfId="46981"/>
    <cellStyle name="Saída 2 3 4 5 6" xfId="47296"/>
    <cellStyle name="Saída 2 3 4 5 7" xfId="47615"/>
    <cellStyle name="Saída 2 3 4 5 8" xfId="47933"/>
    <cellStyle name="Saída 2 3 4 6" xfId="11442"/>
    <cellStyle name="Saída 2 3 4 7" xfId="14220"/>
    <cellStyle name="Saída 2 3 4 8" xfId="16124"/>
    <cellStyle name="Saída 2 3 4 9" xfId="17789"/>
    <cellStyle name="Saída 2 3 5" xfId="4919"/>
    <cellStyle name="Saída 2 3 5 10" xfId="21167"/>
    <cellStyle name="Saída 2 3 5 11" xfId="22635"/>
    <cellStyle name="Saída 2 3 5 12" xfId="24969"/>
    <cellStyle name="Saída 2 3 5 13" xfId="26467"/>
    <cellStyle name="Saída 2 3 5 14" xfId="2907"/>
    <cellStyle name="Saída 2 3 5 15" xfId="30072"/>
    <cellStyle name="Saída 2 3 5 16" xfId="32233"/>
    <cellStyle name="Saída 2 3 5 17" xfId="34333"/>
    <cellStyle name="Saída 2 3 5 18" xfId="35796"/>
    <cellStyle name="Saída 2 3 5 19" xfId="37675"/>
    <cellStyle name="Saída 2 3 5 2" xfId="6369"/>
    <cellStyle name="Saída 2 3 5 20" xfId="39452"/>
    <cellStyle name="Saída 2 3 5 21" xfId="41127"/>
    <cellStyle name="Saída 2 3 5 22" xfId="42441"/>
    <cellStyle name="Saída 2 3 5 3" xfId="7820"/>
    <cellStyle name="Saída 2 3 5 4" xfId="9730"/>
    <cellStyle name="Saída 2 3 5 5" xfId="3965"/>
    <cellStyle name="Saída 2 3 5 6" xfId="13102"/>
    <cellStyle name="Saída 2 3 5 7" xfId="15007"/>
    <cellStyle name="Saída 2 3 5 8" xfId="17349"/>
    <cellStyle name="Saída 2 3 5 9" xfId="19255"/>
    <cellStyle name="Saída 2 3 6" xfId="4598"/>
    <cellStyle name="Saída 2 3 6 10" xfId="20843"/>
    <cellStyle name="Saída 2 3 6 11" xfId="22846"/>
    <cellStyle name="Saída 2 3 6 12" xfId="24645"/>
    <cellStyle name="Saída 2 3 6 13" xfId="27667"/>
    <cellStyle name="Saída 2 3 6 14" xfId="29174"/>
    <cellStyle name="Saída 2 3 6 15" xfId="31243"/>
    <cellStyle name="Saída 2 3 6 16" xfId="32337"/>
    <cellStyle name="Saída 2 3 6 17" xfId="33642"/>
    <cellStyle name="Saída 2 3 6 18" xfId="35473"/>
    <cellStyle name="Saída 2 3 6 19" xfId="37351"/>
    <cellStyle name="Saída 2 3 6 2" xfId="3942"/>
    <cellStyle name="Saída 2 3 6 20" xfId="39556"/>
    <cellStyle name="Saída 2 3 6 21" xfId="41230"/>
    <cellStyle name="Saída 2 3 6 22" xfId="42637"/>
    <cellStyle name="Saída 2 3 6 3" xfId="1851"/>
    <cellStyle name="Saída 2 3 6 4" xfId="9405"/>
    <cellStyle name="Saída 2 3 6 5" xfId="11129"/>
    <cellStyle name="Saída 2 3 6 6" xfId="13315"/>
    <cellStyle name="Saída 2 3 6 7" xfId="15219"/>
    <cellStyle name="Saída 2 3 6 8" xfId="17024"/>
    <cellStyle name="Saída 2 3 6 9" xfId="18931"/>
    <cellStyle name="Saída 2 3 7" xfId="6665"/>
    <cellStyle name="Saída 2 3 7 2" xfId="45631"/>
    <cellStyle name="Saída 2 3 7 3" xfId="46020"/>
    <cellStyle name="Saída 2 3 7 4" xfId="46378"/>
    <cellStyle name="Saída 2 3 7 5" xfId="46730"/>
    <cellStyle name="Saída 2 3 7 6" xfId="47045"/>
    <cellStyle name="Saída 2 3 7 7" xfId="47364"/>
    <cellStyle name="Saída 2 3 7 8" xfId="47682"/>
    <cellStyle name="Saída 2 3 8" xfId="9185"/>
    <cellStyle name="Saída 2 3 9" xfId="11634"/>
    <cellStyle name="Saída 2 4" xfId="3504"/>
    <cellStyle name="Saída 2 4 10" xfId="15911"/>
    <cellStyle name="Saída 2 4 11" xfId="16972"/>
    <cellStyle name="Saída 2 4 12" xfId="18879"/>
    <cellStyle name="Saída 2 4 13" xfId="20791"/>
    <cellStyle name="Saída 2 4 14" xfId="23538"/>
    <cellStyle name="Saída 2 4 15" xfId="24593"/>
    <cellStyle name="Saída 2 4 16" xfId="27938"/>
    <cellStyle name="Saída 2 4 17" xfId="28808"/>
    <cellStyle name="Saída 2 4 18" xfId="31519"/>
    <cellStyle name="Saída 2 4 19" xfId="32862"/>
    <cellStyle name="Saída 2 4 2" xfId="3684"/>
    <cellStyle name="Saída 2 4 2 10" xfId="17575"/>
    <cellStyle name="Saída 2 4 2 11" xfId="19481"/>
    <cellStyle name="Saída 2 4 2 12" xfId="21393"/>
    <cellStyle name="Saída 2 4 2 13" xfId="23558"/>
    <cellStyle name="Saída 2 4 2 14" xfId="25195"/>
    <cellStyle name="Saída 2 4 2 15" xfId="26840"/>
    <cellStyle name="Saída 2 4 2 16" xfId="28066"/>
    <cellStyle name="Saída 2 4 2 17" xfId="30438"/>
    <cellStyle name="Saída 2 4 2 18" xfId="32748"/>
    <cellStyle name="Saída 2 4 2 19" xfId="34370"/>
    <cellStyle name="Saída 2 4 2 2" xfId="5751"/>
    <cellStyle name="Saída 2 4 2 2 10" xfId="22001"/>
    <cellStyle name="Saída 2 4 2 2 11" xfId="24114"/>
    <cellStyle name="Saída 2 4 2 2 12" xfId="25803"/>
    <cellStyle name="Saída 2 4 2 2 13" xfId="27795"/>
    <cellStyle name="Saída 2 4 2 2 14" xfId="14704"/>
    <cellStyle name="Saída 2 4 2 2 15" xfId="31372"/>
    <cellStyle name="Saída 2 4 2 2 16" xfId="32543"/>
    <cellStyle name="Saída 2 4 2 2 17" xfId="34944"/>
    <cellStyle name="Saída 2 4 2 2 18" xfId="36630"/>
    <cellStyle name="Saída 2 4 2 2 19" xfId="38509"/>
    <cellStyle name="Saída 2 4 2 2 2" xfId="7200"/>
    <cellStyle name="Saída 2 4 2 2 20" xfId="39756"/>
    <cellStyle name="Saída 2 4 2 2 21" xfId="41428"/>
    <cellStyle name="Saída 2 4 2 2 22" xfId="43857"/>
    <cellStyle name="Saída 2 4 2 2 3" xfId="8654"/>
    <cellStyle name="Saída 2 4 2 2 4" xfId="10564"/>
    <cellStyle name="Saída 2 4 2 2 5" xfId="12074"/>
    <cellStyle name="Saída 2 4 2 2 6" xfId="14585"/>
    <cellStyle name="Saída 2 4 2 2 7" xfId="16491"/>
    <cellStyle name="Saída 2 4 2 2 8" xfId="18183"/>
    <cellStyle name="Saída 2 4 2 2 9" xfId="20089"/>
    <cellStyle name="Saída 2 4 2 20" xfId="36022"/>
    <cellStyle name="Saída 2 4 2 21" xfId="37901"/>
    <cellStyle name="Saída 2 4 2 22" xfId="39957"/>
    <cellStyle name="Saída 2 4 2 23" xfId="41621"/>
    <cellStyle name="Saída 2 4 2 24" xfId="43322"/>
    <cellStyle name="Saída 2 4 2 3" xfId="5145"/>
    <cellStyle name="Saída 2 4 2 3 2" xfId="45715"/>
    <cellStyle name="Saída 2 4 2 3 3" xfId="46104"/>
    <cellStyle name="Saída 2 4 2 3 4" xfId="46462"/>
    <cellStyle name="Saída 2 4 2 3 5" xfId="46814"/>
    <cellStyle name="Saída 2 4 2 3 6" xfId="47129"/>
    <cellStyle name="Saída 2 4 2 3 7" xfId="47448"/>
    <cellStyle name="Saída 2 4 2 3 8" xfId="47766"/>
    <cellStyle name="Saída 2 4 2 4" xfId="6595"/>
    <cellStyle name="Saída 2 4 2 4 2" xfId="45592"/>
    <cellStyle name="Saída 2 4 2 4 3" xfId="45981"/>
    <cellStyle name="Saída 2 4 2 4 4" xfId="46339"/>
    <cellStyle name="Saída 2 4 2 4 5" xfId="46691"/>
    <cellStyle name="Saída 2 4 2 4 6" xfId="47006"/>
    <cellStyle name="Saída 2 4 2 4 7" xfId="47325"/>
    <cellStyle name="Saída 2 4 2 4 8" xfId="47643"/>
    <cellStyle name="Saída 2 4 2 5" xfId="8046"/>
    <cellStyle name="Saída 2 4 2 5 2" xfId="45644"/>
    <cellStyle name="Saída 2 4 2 5 3" xfId="46033"/>
    <cellStyle name="Saída 2 4 2 5 4" xfId="46391"/>
    <cellStyle name="Saída 2 4 2 5 5" xfId="46743"/>
    <cellStyle name="Saída 2 4 2 5 6" xfId="47058"/>
    <cellStyle name="Saída 2 4 2 5 7" xfId="47377"/>
    <cellStyle name="Saída 2 4 2 5 8" xfId="47695"/>
    <cellStyle name="Saída 2 4 2 6" xfId="9956"/>
    <cellStyle name="Saída 2 4 2 7" xfId="11068"/>
    <cellStyle name="Saída 2 4 2 8" xfId="14030"/>
    <cellStyle name="Saída 2 4 2 9" xfId="15931"/>
    <cellStyle name="Saída 2 4 20" xfId="34423"/>
    <cellStyle name="Saída 2 4 21" xfId="35421"/>
    <cellStyle name="Saída 2 4 22" xfId="37299"/>
    <cellStyle name="Saída 2 4 23" xfId="40069"/>
    <cellStyle name="Saída 2 4 24" xfId="41733"/>
    <cellStyle name="Saída 2 4 25" xfId="43303"/>
    <cellStyle name="Saída 2 4 3" xfId="2297"/>
    <cellStyle name="Saída 2 4 3 10" xfId="19046"/>
    <cellStyle name="Saída 2 4 3 11" xfId="20958"/>
    <cellStyle name="Saída 2 4 3 12" xfId="22749"/>
    <cellStyle name="Saída 2 4 3 13" xfId="24760"/>
    <cellStyle name="Saída 2 4 3 14" xfId="26363"/>
    <cellStyle name="Saída 2 4 3 15" xfId="29490"/>
    <cellStyle name="Saída 2 4 3 16" xfId="29971"/>
    <cellStyle name="Saída 2 4 3 17" xfId="32710"/>
    <cellStyle name="Saída 2 4 3 18" xfId="33926"/>
    <cellStyle name="Saída 2 4 3 19" xfId="35587"/>
    <cellStyle name="Saída 2 4 3 2" xfId="5729"/>
    <cellStyle name="Saída 2 4 3 2 10" xfId="21979"/>
    <cellStyle name="Saída 2 4 3 2 11" xfId="24023"/>
    <cellStyle name="Saída 2 4 3 2 12" xfId="25781"/>
    <cellStyle name="Saída 2 4 3 2 13" xfId="26630"/>
    <cellStyle name="Saída 2 4 3 2 14" xfId="28757"/>
    <cellStyle name="Saída 2 4 3 2 15" xfId="30233"/>
    <cellStyle name="Saída 2 4 3 2 16" xfId="32037"/>
    <cellStyle name="Saída 2 4 3 2 17" xfId="34078"/>
    <cellStyle name="Saída 2 4 3 2 18" xfId="36608"/>
    <cellStyle name="Saída 2 4 3 2 19" xfId="38487"/>
    <cellStyle name="Saída 2 4 3 2 2" xfId="7178"/>
    <cellStyle name="Saída 2 4 3 2 20" xfId="39267"/>
    <cellStyle name="Saída 2 4 3 2 21" xfId="40944"/>
    <cellStyle name="Saída 2 4 3 2 22" xfId="43767"/>
    <cellStyle name="Saída 2 4 3 2 3" xfId="8632"/>
    <cellStyle name="Saída 2 4 3 2 4" xfId="10542"/>
    <cellStyle name="Saída 2 4 3 2 5" xfId="11982"/>
    <cellStyle name="Saída 2 4 3 2 6" xfId="14493"/>
    <cellStyle name="Saída 2 4 3 2 7" xfId="16399"/>
    <cellStyle name="Saída 2 4 3 2 8" xfId="18161"/>
    <cellStyle name="Saída 2 4 3 2 9" xfId="20067"/>
    <cellStyle name="Saída 2 4 3 20" xfId="37466"/>
    <cellStyle name="Saída 2 4 3 21" xfId="39918"/>
    <cellStyle name="Saída 2 4 3 22" xfId="41587"/>
    <cellStyle name="Saída 2 4 3 23" xfId="42546"/>
    <cellStyle name="Saída 2 4 3 3" xfId="4712"/>
    <cellStyle name="Saída 2 4 3 3 2" xfId="45730"/>
    <cellStyle name="Saída 2 4 3 3 3" xfId="46119"/>
    <cellStyle name="Saída 2 4 3 3 4" xfId="46477"/>
    <cellStyle name="Saída 2 4 3 3 5" xfId="46829"/>
    <cellStyle name="Saída 2 4 3 3 6" xfId="47144"/>
    <cellStyle name="Saída 2 4 3 3 7" xfId="47463"/>
    <cellStyle name="Saída 2 4 3 3 8" xfId="47781"/>
    <cellStyle name="Saída 2 4 3 4" xfId="7611"/>
    <cellStyle name="Saída 2 4 3 4 2" xfId="45792"/>
    <cellStyle name="Saída 2 4 3 4 3" xfId="46181"/>
    <cellStyle name="Saída 2 4 3 4 4" xfId="46539"/>
    <cellStyle name="Saída 2 4 3 4 5" xfId="46891"/>
    <cellStyle name="Saída 2 4 3 4 6" xfId="47206"/>
    <cellStyle name="Saída 2 4 3 4 7" xfId="47525"/>
    <cellStyle name="Saída 2 4 3 4 8" xfId="47843"/>
    <cellStyle name="Saída 2 4 3 5" xfId="9521"/>
    <cellStyle name="Saída 2 4 3 5 2" xfId="45639"/>
    <cellStyle name="Saída 2 4 3 5 3" xfId="46028"/>
    <cellStyle name="Saída 2 4 3 5 4" xfId="46386"/>
    <cellStyle name="Saída 2 4 3 5 5" xfId="46738"/>
    <cellStyle name="Saída 2 4 3 5 6" xfId="47053"/>
    <cellStyle name="Saída 2 4 3 5 7" xfId="47372"/>
    <cellStyle name="Saída 2 4 3 5 8" xfId="47690"/>
    <cellStyle name="Saída 2 4 3 6" xfId="11818"/>
    <cellStyle name="Saída 2 4 3 7" xfId="13218"/>
    <cellStyle name="Saída 2 4 3 8" xfId="15121"/>
    <cellStyle name="Saída 2 4 3 9" xfId="17140"/>
    <cellStyle name="Saída 2 4 4" xfId="4136"/>
    <cellStyle name="Saída 2 4 4 10" xfId="19771"/>
    <cellStyle name="Saída 2 4 4 11" xfId="21683"/>
    <cellStyle name="Saída 2 4 4 12" xfId="23392"/>
    <cellStyle name="Saída 2 4 4 13" xfId="25485"/>
    <cellStyle name="Saída 2 4 4 14" xfId="27346"/>
    <cellStyle name="Saída 2 4 4 15" xfId="29349"/>
    <cellStyle name="Saída 2 4 4 16" xfId="30934"/>
    <cellStyle name="Saída 2 4 4 17" xfId="32010"/>
    <cellStyle name="Saída 2 4 4 18" xfId="33920"/>
    <cellStyle name="Saída 2 4 4 19" xfId="36312"/>
    <cellStyle name="Saída 2 4 4 2" xfId="6041"/>
    <cellStyle name="Saída 2 4 4 2 10" xfId="22291"/>
    <cellStyle name="Saída 2 4 4 2 11" xfId="2676"/>
    <cellStyle name="Saída 2 4 4 2 12" xfId="26093"/>
    <cellStyle name="Saída 2 4 4 2 13" xfId="3125"/>
    <cellStyle name="Saída 2 4 4 2 14" xfId="4209"/>
    <cellStyle name="Saída 2 4 4 2 15" xfId="26116"/>
    <cellStyle name="Saída 2 4 4 2 16" xfId="29228"/>
    <cellStyle name="Saída 2 4 4 2 17" xfId="22373"/>
    <cellStyle name="Saída 2 4 4 2 18" xfId="36920"/>
    <cellStyle name="Saída 2 4 4 2 19" xfId="38799"/>
    <cellStyle name="Saída 2 4 4 2 2" xfId="7490"/>
    <cellStyle name="Saída 2 4 4 2 20" xfId="28431"/>
    <cellStyle name="Saída 2 4 4 2 21" xfId="34466"/>
    <cellStyle name="Saída 2 4 4 2 22" xfId="29203"/>
    <cellStyle name="Saída 2 4 4 2 3" xfId="8944"/>
    <cellStyle name="Saída 2 4 4 2 4" xfId="10854"/>
    <cellStyle name="Saída 2 4 4 2 5" xfId="3802"/>
    <cellStyle name="Saída 2 4 4 2 6" xfId="1859"/>
    <cellStyle name="Saída 2 4 4 2 7" xfId="3168"/>
    <cellStyle name="Saída 2 4 4 2 8" xfId="18473"/>
    <cellStyle name="Saída 2 4 4 2 9" xfId="20379"/>
    <cellStyle name="Saída 2 4 4 20" xfId="38191"/>
    <cellStyle name="Saída 2 4 4 21" xfId="39241"/>
    <cellStyle name="Saída 2 4 4 22" xfId="40918"/>
    <cellStyle name="Saída 2 4 4 23" xfId="43159"/>
    <cellStyle name="Saída 2 4 4 3" xfId="6882"/>
    <cellStyle name="Saída 2 4 4 3 2" xfId="45764"/>
    <cellStyle name="Saída 2 4 4 3 3" xfId="46153"/>
    <cellStyle name="Saída 2 4 4 3 4" xfId="46511"/>
    <cellStyle name="Saída 2 4 4 3 5" xfId="46863"/>
    <cellStyle name="Saída 2 4 4 3 6" xfId="47178"/>
    <cellStyle name="Saída 2 4 4 3 7" xfId="47497"/>
    <cellStyle name="Saída 2 4 4 3 8" xfId="47815"/>
    <cellStyle name="Saída 2 4 4 4" xfId="8336"/>
    <cellStyle name="Saída 2 4 4 4 2" xfId="45833"/>
    <cellStyle name="Saída 2 4 4 4 3" xfId="46222"/>
    <cellStyle name="Saída 2 4 4 4 4" xfId="46580"/>
    <cellStyle name="Saída 2 4 4 4 5" xfId="46932"/>
    <cellStyle name="Saída 2 4 4 4 6" xfId="47247"/>
    <cellStyle name="Saída 2 4 4 4 7" xfId="47566"/>
    <cellStyle name="Saída 2 4 4 4 8" xfId="47884"/>
    <cellStyle name="Saída 2 4 4 5" xfId="10246"/>
    <cellStyle name="Saída 2 4 4 5 2" xfId="45870"/>
    <cellStyle name="Saída 2 4 4 5 3" xfId="46259"/>
    <cellStyle name="Saída 2 4 4 5 4" xfId="46617"/>
    <cellStyle name="Saída 2 4 4 5 5" xfId="46969"/>
    <cellStyle name="Saída 2 4 4 5 6" xfId="47284"/>
    <cellStyle name="Saída 2 4 4 5 7" xfId="47603"/>
    <cellStyle name="Saída 2 4 4 5 8" xfId="47921"/>
    <cellStyle name="Saída 2 4 4 6" xfId="12180"/>
    <cellStyle name="Saída 2 4 4 7" xfId="13864"/>
    <cellStyle name="Saída 2 4 4 8" xfId="15765"/>
    <cellStyle name="Saída 2 4 4 9" xfId="17865"/>
    <cellStyle name="Saída 2 4 5" xfId="4455"/>
    <cellStyle name="Saída 2 4 5 10" xfId="20700"/>
    <cellStyle name="Saída 2 4 5 11" xfId="24155"/>
    <cellStyle name="Saída 2 4 5 12" xfId="24502"/>
    <cellStyle name="Saída 2 4 5 13" xfId="27646"/>
    <cellStyle name="Saída 2 4 5 14" xfId="29112"/>
    <cellStyle name="Saída 2 4 5 15" xfId="31223"/>
    <cellStyle name="Saída 2 4 5 16" xfId="32215"/>
    <cellStyle name="Saída 2 4 5 17" xfId="33544"/>
    <cellStyle name="Saída 2 4 5 18" xfId="35330"/>
    <cellStyle name="Saída 2 4 5 19" xfId="37208"/>
    <cellStyle name="Saída 2 4 5 2" xfId="4315"/>
    <cellStyle name="Saída 2 4 5 20" xfId="39435"/>
    <cellStyle name="Saída 2 4 5 21" xfId="41111"/>
    <cellStyle name="Saída 2 4 5 22" xfId="43897"/>
    <cellStyle name="Saída 2 4 5 3" xfId="2681"/>
    <cellStyle name="Saída 2 4 5 4" xfId="9262"/>
    <cellStyle name="Saída 2 4 5 5" xfId="12115"/>
    <cellStyle name="Saída 2 4 5 6" xfId="14626"/>
    <cellStyle name="Saída 2 4 5 7" xfId="16532"/>
    <cellStyle name="Saída 2 4 5 8" xfId="16881"/>
    <cellStyle name="Saída 2 4 5 9" xfId="18788"/>
    <cellStyle name="Saída 2 4 6" xfId="6274"/>
    <cellStyle name="Saída 2 4 6 2" xfId="45681"/>
    <cellStyle name="Saída 2 4 6 3" xfId="46070"/>
    <cellStyle name="Saída 2 4 6 4" xfId="46428"/>
    <cellStyle name="Saída 2 4 6 5" xfId="46780"/>
    <cellStyle name="Saída 2 4 6 6" xfId="47095"/>
    <cellStyle name="Saída 2 4 6 7" xfId="47414"/>
    <cellStyle name="Saída 2 4 6 8" xfId="47732"/>
    <cellStyle name="Saída 2 4 7" xfId="9353"/>
    <cellStyle name="Saída 2 4 7 2" xfId="45757"/>
    <cellStyle name="Saída 2 4 7 3" xfId="46146"/>
    <cellStyle name="Saída 2 4 7 4" xfId="46504"/>
    <cellStyle name="Saída 2 4 7 5" xfId="46856"/>
    <cellStyle name="Saída 2 4 7 6" xfId="47171"/>
    <cellStyle name="Saída 2 4 7 7" xfId="47490"/>
    <cellStyle name="Saída 2 4 7 8" xfId="47808"/>
    <cellStyle name="Saída 2 4 8" xfId="11193"/>
    <cellStyle name="Saída 2 4 9" xfId="14010"/>
    <cellStyle name="Saída 2 5" xfId="2235"/>
    <cellStyle name="Saída 2 5 10" xfId="17131"/>
    <cellStyle name="Saída 2 5 11" xfId="19037"/>
    <cellStyle name="Saída 2 5 12" xfId="20949"/>
    <cellStyle name="Saída 2 5 13" xfId="23786"/>
    <cellStyle name="Saída 2 5 14" xfId="24751"/>
    <cellStyle name="Saída 2 5 15" xfId="27873"/>
    <cellStyle name="Saída 2 5 16" xfId="29184"/>
    <cellStyle name="Saída 2 5 17" xfId="31454"/>
    <cellStyle name="Saída 2 5 18" xfId="31686"/>
    <cellStyle name="Saída 2 5 19" xfId="33794"/>
    <cellStyle name="Saída 2 5 2" xfId="4946"/>
    <cellStyle name="Saída 2 5 2 10" xfId="21194"/>
    <cellStyle name="Saída 2 5 2 11" xfId="24067"/>
    <cellStyle name="Saída 2 5 2 12" xfId="24996"/>
    <cellStyle name="Saída 2 5 2 13" xfId="26961"/>
    <cellStyle name="Saída 2 5 2 14" xfId="29676"/>
    <cellStyle name="Saída 2 5 2 15" xfId="30555"/>
    <cellStyle name="Saída 2 5 2 16" xfId="31790"/>
    <cellStyle name="Saída 2 5 2 17" xfId="34045"/>
    <cellStyle name="Saída 2 5 2 18" xfId="35823"/>
    <cellStyle name="Saída 2 5 2 19" xfId="37702"/>
    <cellStyle name="Saída 2 5 2 2" xfId="6396"/>
    <cellStyle name="Saída 2 5 2 2 2" xfId="45587"/>
    <cellStyle name="Saída 2 5 2 2 3" xfId="45941"/>
    <cellStyle name="Saída 2 5 2 2 4" xfId="46299"/>
    <cellStyle name="Saída 2 5 2 2 5" xfId="46651"/>
    <cellStyle name="Saída 2 5 2 2 6" xfId="46997"/>
    <cellStyle name="Saída 2 5 2 2 7" xfId="47316"/>
    <cellStyle name="Saída 2 5 2 2 8" xfId="45819"/>
    <cellStyle name="Saída 2 5 2 20" xfId="39029"/>
    <cellStyle name="Saída 2 5 2 21" xfId="40711"/>
    <cellStyle name="Saída 2 5 2 22" xfId="43811"/>
    <cellStyle name="Saída 2 5 2 3" xfId="7847"/>
    <cellStyle name="Saída 2 5 2 3 2" xfId="45705"/>
    <cellStyle name="Saída 2 5 2 3 3" xfId="46094"/>
    <cellStyle name="Saída 2 5 2 3 4" xfId="46452"/>
    <cellStyle name="Saída 2 5 2 3 5" xfId="46804"/>
    <cellStyle name="Saída 2 5 2 3 6" xfId="47119"/>
    <cellStyle name="Saída 2 5 2 3 7" xfId="47438"/>
    <cellStyle name="Saída 2 5 2 3 8" xfId="47756"/>
    <cellStyle name="Saída 2 5 2 4" xfId="9757"/>
    <cellStyle name="Saída 2 5 2 4 2" xfId="45602"/>
    <cellStyle name="Saída 2 5 2 4 3" xfId="45991"/>
    <cellStyle name="Saída 2 5 2 4 4" xfId="46349"/>
    <cellStyle name="Saída 2 5 2 4 5" xfId="46701"/>
    <cellStyle name="Saída 2 5 2 4 6" xfId="47016"/>
    <cellStyle name="Saída 2 5 2 4 7" xfId="47335"/>
    <cellStyle name="Saída 2 5 2 4 8" xfId="47653"/>
    <cellStyle name="Saída 2 5 2 5" xfId="12026"/>
    <cellStyle name="Saída 2 5 2 5 2" xfId="45659"/>
    <cellStyle name="Saída 2 5 2 5 3" xfId="46048"/>
    <cellStyle name="Saída 2 5 2 5 4" xfId="46406"/>
    <cellStyle name="Saída 2 5 2 5 5" xfId="46758"/>
    <cellStyle name="Saída 2 5 2 5 6" xfId="47073"/>
    <cellStyle name="Saída 2 5 2 5 7" xfId="47392"/>
    <cellStyle name="Saída 2 5 2 5 8" xfId="47710"/>
    <cellStyle name="Saída 2 5 2 6" xfId="14537"/>
    <cellStyle name="Saída 2 5 2 7" xfId="16443"/>
    <cellStyle name="Saída 2 5 2 8" xfId="17376"/>
    <cellStyle name="Saída 2 5 2 9" xfId="19282"/>
    <cellStyle name="Saída 2 5 20" xfId="35578"/>
    <cellStyle name="Saída 2 5 21" xfId="37457"/>
    <cellStyle name="Saída 2 5 22" xfId="38928"/>
    <cellStyle name="Saída 2 5 23" xfId="40612"/>
    <cellStyle name="Saída 2 5 24" xfId="43539"/>
    <cellStyle name="Saída 2 5 3" xfId="4703"/>
    <cellStyle name="Saída 2 5 3 2" xfId="45350"/>
    <cellStyle name="Saída 2 5 3 2 2" xfId="45951"/>
    <cellStyle name="Saída 2 5 3 2 3" xfId="46309"/>
    <cellStyle name="Saída 2 5 3 2 4" xfId="46661"/>
    <cellStyle name="Saída 2 5 3 2 5" xfId="46999"/>
    <cellStyle name="Saída 2 5 3 2 6" xfId="45543"/>
    <cellStyle name="Saída 2 5 3 3" xfId="45408"/>
    <cellStyle name="Saída 2 5 3 3 2" xfId="45724"/>
    <cellStyle name="Saída 2 5 3 3 3" xfId="46113"/>
    <cellStyle name="Saída 2 5 3 3 4" xfId="46471"/>
    <cellStyle name="Saída 2 5 3 3 5" xfId="46823"/>
    <cellStyle name="Saída 2 5 3 3 6" xfId="47138"/>
    <cellStyle name="Saída 2 5 3 3 7" xfId="47457"/>
    <cellStyle name="Saída 2 5 3 3 8" xfId="47775"/>
    <cellStyle name="Saída 2 5 3 4" xfId="45435"/>
    <cellStyle name="Saída 2 5 3 4 2" xfId="45786"/>
    <cellStyle name="Saída 2 5 3 4 3" xfId="46175"/>
    <cellStyle name="Saída 2 5 3 4 4" xfId="46533"/>
    <cellStyle name="Saída 2 5 3 4 5" xfId="46885"/>
    <cellStyle name="Saída 2 5 3 4 6" xfId="47200"/>
    <cellStyle name="Saída 2 5 3 4 7" xfId="47519"/>
    <cellStyle name="Saída 2 5 3 4 8" xfId="47837"/>
    <cellStyle name="Saída 2 5 3 5" xfId="45386"/>
    <cellStyle name="Saída 2 5 3 5 2" xfId="45636"/>
    <cellStyle name="Saída 2 5 3 5 3" xfId="46025"/>
    <cellStyle name="Saída 2 5 3 5 4" xfId="46383"/>
    <cellStyle name="Saída 2 5 3 5 5" xfId="46735"/>
    <cellStyle name="Saída 2 5 3 5 6" xfId="47050"/>
    <cellStyle name="Saída 2 5 3 5 7" xfId="47369"/>
    <cellStyle name="Saída 2 5 3 5 8" xfId="47687"/>
    <cellStyle name="Saída 2 5 3 6" xfId="45899"/>
    <cellStyle name="Saída 2 5 3 7" xfId="45557"/>
    <cellStyle name="Saída 2 5 3 8" xfId="45565"/>
    <cellStyle name="Saída 2 5 3 9" xfId="45319"/>
    <cellStyle name="Saída 2 5 4" xfId="6151"/>
    <cellStyle name="Saída 2 5 4 2" xfId="45357"/>
    <cellStyle name="Saída 2 5 4 2 2" xfId="45959"/>
    <cellStyle name="Saída 2 5 4 2 3" xfId="46317"/>
    <cellStyle name="Saída 2 5 4 2 4" xfId="46669"/>
    <cellStyle name="Saída 2 5 4 2 5" xfId="47001"/>
    <cellStyle name="Saída 2 5 4 2 6" xfId="47621"/>
    <cellStyle name="Saída 2 5 4 3" xfId="45415"/>
    <cellStyle name="Saída 2 5 4 3 2" xfId="45739"/>
    <cellStyle name="Saída 2 5 4 3 3" xfId="46128"/>
    <cellStyle name="Saída 2 5 4 3 4" xfId="46486"/>
    <cellStyle name="Saída 2 5 4 3 5" xfId="46838"/>
    <cellStyle name="Saída 2 5 4 3 6" xfId="47153"/>
    <cellStyle name="Saída 2 5 4 3 7" xfId="47472"/>
    <cellStyle name="Saída 2 5 4 3 8" xfId="47790"/>
    <cellStyle name="Saída 2 5 4 4" xfId="45442"/>
    <cellStyle name="Saída 2 5 4 4 2" xfId="45801"/>
    <cellStyle name="Saída 2 5 4 4 3" xfId="46190"/>
    <cellStyle name="Saída 2 5 4 4 4" xfId="46548"/>
    <cellStyle name="Saída 2 5 4 4 5" xfId="46900"/>
    <cellStyle name="Saída 2 5 4 4 6" xfId="47215"/>
    <cellStyle name="Saída 2 5 4 4 7" xfId="47534"/>
    <cellStyle name="Saída 2 5 4 4 8" xfId="47852"/>
    <cellStyle name="Saída 2 5 4 5" xfId="45466"/>
    <cellStyle name="Saída 2 5 4 5 2" xfId="45854"/>
    <cellStyle name="Saída 2 5 4 5 3" xfId="46243"/>
    <cellStyle name="Saída 2 5 4 5 4" xfId="46601"/>
    <cellStyle name="Saída 2 5 4 5 5" xfId="46953"/>
    <cellStyle name="Saída 2 5 4 5 6" xfId="47268"/>
    <cellStyle name="Saída 2 5 4 5 7" xfId="47587"/>
    <cellStyle name="Saída 2 5 4 5 8" xfId="47905"/>
    <cellStyle name="Saída 2 5 4 6" xfId="45906"/>
    <cellStyle name="Saída 2 5 4 7" xfId="45566"/>
    <cellStyle name="Saída 2 5 4 8" xfId="45490"/>
    <cellStyle name="Saída 2 5 4 9" xfId="45326"/>
    <cellStyle name="Saída 2 5 5" xfId="7602"/>
    <cellStyle name="Saída 2 5 5 10" xfId="47943"/>
    <cellStyle name="Saída 2 5 5 2" xfId="45363"/>
    <cellStyle name="Saída 2 5 5 2 2" xfId="45965"/>
    <cellStyle name="Saída 2 5 5 2 3" xfId="46323"/>
    <cellStyle name="Saída 2 5 5 2 4" xfId="46675"/>
    <cellStyle name="Saída 2 5 5 2 5" xfId="47002"/>
    <cellStyle name="Saída 2 5 5 2 6" xfId="47627"/>
    <cellStyle name="Saída 2 5 5 3" xfId="45421"/>
    <cellStyle name="Saída 2 5 5 3 2" xfId="45748"/>
    <cellStyle name="Saída 2 5 5 3 3" xfId="46137"/>
    <cellStyle name="Saída 2 5 5 3 4" xfId="46495"/>
    <cellStyle name="Saída 2 5 5 3 5" xfId="46847"/>
    <cellStyle name="Saída 2 5 5 3 6" xfId="47162"/>
    <cellStyle name="Saída 2 5 5 3 7" xfId="47481"/>
    <cellStyle name="Saída 2 5 5 3 8" xfId="47799"/>
    <cellStyle name="Saída 2 5 5 4" xfId="45448"/>
    <cellStyle name="Saída 2 5 5 4 2" xfId="45810"/>
    <cellStyle name="Saída 2 5 5 4 3" xfId="46199"/>
    <cellStyle name="Saída 2 5 5 4 4" xfId="46557"/>
    <cellStyle name="Saída 2 5 5 4 5" xfId="46909"/>
    <cellStyle name="Saída 2 5 5 4 6" xfId="47224"/>
    <cellStyle name="Saída 2 5 5 4 7" xfId="47543"/>
    <cellStyle name="Saída 2 5 5 4 8" xfId="47861"/>
    <cellStyle name="Saída 2 5 5 5" xfId="45472"/>
    <cellStyle name="Saída 2 5 5 5 2" xfId="45863"/>
    <cellStyle name="Saída 2 5 5 5 3" xfId="46252"/>
    <cellStyle name="Saída 2 5 5 5 4" xfId="46610"/>
    <cellStyle name="Saída 2 5 5 5 5" xfId="46962"/>
    <cellStyle name="Saída 2 5 5 5 6" xfId="47277"/>
    <cellStyle name="Saída 2 5 5 5 7" xfId="47596"/>
    <cellStyle name="Saída 2 5 5 5 8" xfId="47914"/>
    <cellStyle name="Saída 2 5 5 6" xfId="45912"/>
    <cellStyle name="Saída 2 5 5 7" xfId="45538"/>
    <cellStyle name="Saída 2 5 5 8" xfId="47323"/>
    <cellStyle name="Saída 2 5 5 9" xfId="45329"/>
    <cellStyle name="Saída 2 5 6" xfId="9512"/>
    <cellStyle name="Saída 2 5 6 2" xfId="45370"/>
    <cellStyle name="Saída 2 5 6 2 2" xfId="45977"/>
    <cellStyle name="Saída 2 5 6 2 3" xfId="46335"/>
    <cellStyle name="Saída 2 5 6 2 4" xfId="46687"/>
    <cellStyle name="Saída 2 5 6 2 5" xfId="47004"/>
    <cellStyle name="Saída 2 5 6 2 6" xfId="47639"/>
    <cellStyle name="Saída 2 5 6 3" xfId="45429"/>
    <cellStyle name="Saída 2 5 6 3 2" xfId="45773"/>
    <cellStyle name="Saída 2 5 6 3 3" xfId="46162"/>
    <cellStyle name="Saída 2 5 6 3 4" xfId="46520"/>
    <cellStyle name="Saída 2 5 6 3 5" xfId="46872"/>
    <cellStyle name="Saída 2 5 6 3 6" xfId="47187"/>
    <cellStyle name="Saída 2 5 6 3 7" xfId="47506"/>
    <cellStyle name="Saída 2 5 6 3 8" xfId="47824"/>
    <cellStyle name="Saída 2 5 6 4" xfId="45459"/>
    <cellStyle name="Saída 2 5 6 4 2" xfId="45842"/>
    <cellStyle name="Saída 2 5 6 4 3" xfId="46231"/>
    <cellStyle name="Saída 2 5 6 4 4" xfId="46589"/>
    <cellStyle name="Saída 2 5 6 4 5" xfId="46941"/>
    <cellStyle name="Saída 2 5 6 4 6" xfId="47256"/>
    <cellStyle name="Saída 2 5 6 4 7" xfId="47575"/>
    <cellStyle name="Saída 2 5 6 4 8" xfId="47893"/>
    <cellStyle name="Saída 2 5 6 5" xfId="45479"/>
    <cellStyle name="Saída 2 5 6 5 2" xfId="45879"/>
    <cellStyle name="Saída 2 5 6 5 3" xfId="46268"/>
    <cellStyle name="Saída 2 5 6 5 4" xfId="46626"/>
    <cellStyle name="Saída 2 5 6 5 5" xfId="46978"/>
    <cellStyle name="Saída 2 5 6 5 6" xfId="47293"/>
    <cellStyle name="Saída 2 5 6 5 7" xfId="47612"/>
    <cellStyle name="Saída 2 5 6 5 8" xfId="47930"/>
    <cellStyle name="Saída 2 5 6 6" xfId="45919"/>
    <cellStyle name="Saída 2 5 6 7" xfId="45547"/>
    <cellStyle name="Saída 2 5 6 8" xfId="45564"/>
    <cellStyle name="Saída 2 5 6 9" xfId="47950"/>
    <cellStyle name="Saída 2 5 7" xfId="11726"/>
    <cellStyle name="Saída 2 5 7 2" xfId="45580"/>
    <cellStyle name="Saída 2 5 7 3" xfId="45929"/>
    <cellStyle name="Saída 2 5 7 4" xfId="46287"/>
    <cellStyle name="Saída 2 5 7 5" xfId="46639"/>
    <cellStyle name="Saída 2 5 7 6" xfId="46990"/>
    <cellStyle name="Saída 2 5 7 7" xfId="47307"/>
    <cellStyle name="Saída 2 5 7 8" xfId="45531"/>
    <cellStyle name="Saída 2 5 8" xfId="14256"/>
    <cellStyle name="Saída 2 5 8 2" xfId="45682"/>
    <cellStyle name="Saída 2 5 8 3" xfId="46071"/>
    <cellStyle name="Saída 2 5 8 4" xfId="46429"/>
    <cellStyle name="Saída 2 5 8 5" xfId="46781"/>
    <cellStyle name="Saída 2 5 8 6" xfId="47096"/>
    <cellStyle name="Saída 2 5 8 7" xfId="47415"/>
    <cellStyle name="Saída 2 5 8 8" xfId="47733"/>
    <cellStyle name="Saída 2 5 9" xfId="16160"/>
    <cellStyle name="Saída 2 5 9 2" xfId="45630"/>
    <cellStyle name="Saída 2 5 9 3" xfId="46019"/>
    <cellStyle name="Saída 2 5 9 4" xfId="46377"/>
    <cellStyle name="Saída 2 5 9 5" xfId="46729"/>
    <cellStyle name="Saída 2 5 9 6" xfId="47044"/>
    <cellStyle name="Saída 2 5 9 7" xfId="47363"/>
    <cellStyle name="Saída 2 5 9 8" xfId="47681"/>
    <cellStyle name="Saída 2 6" xfId="3206"/>
    <cellStyle name="Saída 2 6 10" xfId="19180"/>
    <cellStyle name="Saída 2 6 11" xfId="21092"/>
    <cellStyle name="Saída 2 6 12" xfId="22626"/>
    <cellStyle name="Saída 2 6 13" xfId="24894"/>
    <cellStyle name="Saída 2 6 14" xfId="27461"/>
    <cellStyle name="Saída 2 6 15" xfId="29050"/>
    <cellStyle name="Saída 2 6 16" xfId="31047"/>
    <cellStyle name="Saída 2 6 17" xfId="32288"/>
    <cellStyle name="Saída 2 6 18" xfId="34682"/>
    <cellStyle name="Saída 2 6 19" xfId="35721"/>
    <cellStyle name="Saída 2 6 2" xfId="5708"/>
    <cellStyle name="Saída 2 6 2 10" xfId="21958"/>
    <cellStyle name="Saída 2 6 2 11" xfId="23177"/>
    <cellStyle name="Saída 2 6 2 12" xfId="25760"/>
    <cellStyle name="Saída 2 6 2 13" xfId="27385"/>
    <cellStyle name="Saída 2 6 2 14" xfId="28279"/>
    <cellStyle name="Saída 2 6 2 15" xfId="30971"/>
    <cellStyle name="Saída 2 6 2 16" xfId="32000"/>
    <cellStyle name="Saída 2 6 2 17" xfId="34513"/>
    <cellStyle name="Saída 2 6 2 18" xfId="36587"/>
    <cellStyle name="Saída 2 6 2 19" xfId="38466"/>
    <cellStyle name="Saída 2 6 2 2" xfId="7157"/>
    <cellStyle name="Saída 2 6 2 20" xfId="39231"/>
    <cellStyle name="Saída 2 6 2 21" xfId="40908"/>
    <cellStyle name="Saída 2 6 2 22" xfId="42955"/>
    <cellStyle name="Saída 2 6 2 3" xfId="8611"/>
    <cellStyle name="Saída 2 6 2 4" xfId="10521"/>
    <cellStyle name="Saída 2 6 2 5" xfId="11005"/>
    <cellStyle name="Saída 2 6 2 6" xfId="13648"/>
    <cellStyle name="Saída 2 6 2 7" xfId="15551"/>
    <cellStyle name="Saída 2 6 2 8" xfId="18140"/>
    <cellStyle name="Saída 2 6 2 9" xfId="20046"/>
    <cellStyle name="Saída 2 6 20" xfId="37600"/>
    <cellStyle name="Saída 2 6 21" xfId="39508"/>
    <cellStyle name="Saída 2 6 22" xfId="41182"/>
    <cellStyle name="Saída 2 6 23" xfId="42432"/>
    <cellStyle name="Saída 2 6 3" xfId="4844"/>
    <cellStyle name="Saída 2 6 3 2" xfId="45679"/>
    <cellStyle name="Saída 2 6 3 3" xfId="46068"/>
    <cellStyle name="Saída 2 6 3 4" xfId="46426"/>
    <cellStyle name="Saída 2 6 3 5" xfId="46778"/>
    <cellStyle name="Saída 2 6 3 6" xfId="47093"/>
    <cellStyle name="Saída 2 6 3 7" xfId="47412"/>
    <cellStyle name="Saída 2 6 3 8" xfId="47730"/>
    <cellStyle name="Saída 2 6 4" xfId="7745"/>
    <cellStyle name="Saída 2 6 4 2" xfId="45632"/>
    <cellStyle name="Saída 2 6 4 3" xfId="46021"/>
    <cellStyle name="Saída 2 6 4 4" xfId="46379"/>
    <cellStyle name="Saída 2 6 4 5" xfId="46731"/>
    <cellStyle name="Saída 2 6 4 6" xfId="47046"/>
    <cellStyle name="Saída 2 6 4 7" xfId="47365"/>
    <cellStyle name="Saída 2 6 4 8" xfId="47683"/>
    <cellStyle name="Saída 2 6 5" xfId="9655"/>
    <cellStyle name="Saída 2 6 5 2" xfId="45652"/>
    <cellStyle name="Saída 2 6 5 3" xfId="46041"/>
    <cellStyle name="Saída 2 6 5 4" xfId="46399"/>
    <cellStyle name="Saída 2 6 5 5" xfId="46751"/>
    <cellStyle name="Saída 2 6 5 6" xfId="47066"/>
    <cellStyle name="Saída 2 6 5 7" xfId="47385"/>
    <cellStyle name="Saída 2 6 5 8" xfId="47703"/>
    <cellStyle name="Saída 2 6 6" xfId="11089"/>
    <cellStyle name="Saída 2 6 7" xfId="13093"/>
    <cellStyle name="Saída 2 6 8" xfId="14998"/>
    <cellStyle name="Saída 2 6 9" xfId="17274"/>
    <cellStyle name="Saída 2 7" xfId="3323"/>
    <cellStyle name="Saída 2 7 10" xfId="19198"/>
    <cellStyle name="Saída 2 7 11" xfId="21110"/>
    <cellStyle name="Saída 2 7 12" xfId="24090"/>
    <cellStyle name="Saída 2 7 13" xfId="24912"/>
    <cellStyle name="Saída 2 7 14" xfId="27420"/>
    <cellStyle name="Saída 2 7 15" xfId="29552"/>
    <cellStyle name="Saída 2 7 16" xfId="31006"/>
    <cellStyle name="Saída 2 7 17" xfId="32093"/>
    <cellStyle name="Saída 2 7 18" xfId="34665"/>
    <cellStyle name="Saída 2 7 19" xfId="35739"/>
    <cellStyle name="Saída 2 7 2" xfId="5585"/>
    <cellStyle name="Saída 2 7 2 10" xfId="21835"/>
    <cellStyle name="Saída 2 7 2 11" xfId="23891"/>
    <cellStyle name="Saída 2 7 2 12" xfId="25637"/>
    <cellStyle name="Saída 2 7 2 13" xfId="2576"/>
    <cellStyle name="Saída 2 7 2 14" xfId="4320"/>
    <cellStyle name="Saída 2 7 2 15" xfId="2347"/>
    <cellStyle name="Saída 2 7 2 16" xfId="3932"/>
    <cellStyle name="Saída 2 7 2 17" xfId="30197"/>
    <cellStyle name="Saída 2 7 2 18" xfId="36464"/>
    <cellStyle name="Saída 2 7 2 19" xfId="38343"/>
    <cellStyle name="Saída 2 7 2 2" xfId="7034"/>
    <cellStyle name="Saída 2 7 2 20" xfId="2474"/>
    <cellStyle name="Saída 2 7 2 21" xfId="33073"/>
    <cellStyle name="Saída 2 7 2 22" xfId="43641"/>
    <cellStyle name="Saída 2 7 2 3" xfId="8488"/>
    <cellStyle name="Saída 2 7 2 4" xfId="10398"/>
    <cellStyle name="Saída 2 7 2 5" xfId="12768"/>
    <cellStyle name="Saída 2 7 2 6" xfId="14361"/>
    <cellStyle name="Saída 2 7 2 7" xfId="16266"/>
    <cellStyle name="Saída 2 7 2 8" xfId="18017"/>
    <cellStyle name="Saída 2 7 2 9" xfId="19923"/>
    <cellStyle name="Saída 2 7 20" xfId="37618"/>
    <cellStyle name="Saída 2 7 21" xfId="39317"/>
    <cellStyle name="Saída 2 7 22" xfId="40993"/>
    <cellStyle name="Saída 2 7 23" xfId="43833"/>
    <cellStyle name="Saída 2 7 3" xfId="6312"/>
    <cellStyle name="Saída 2 7 3 2" xfId="45697"/>
    <cellStyle name="Saída 2 7 3 3" xfId="46086"/>
    <cellStyle name="Saída 2 7 3 4" xfId="46444"/>
    <cellStyle name="Saída 2 7 3 5" xfId="46796"/>
    <cellStyle name="Saída 2 7 3 6" xfId="47111"/>
    <cellStyle name="Saída 2 7 3 7" xfId="47430"/>
    <cellStyle name="Saída 2 7 3 8" xfId="47748"/>
    <cellStyle name="Saída 2 7 4" xfId="7763"/>
    <cellStyle name="Saída 2 7 4 2" xfId="45622"/>
    <cellStyle name="Saída 2 7 4 3" xfId="46011"/>
    <cellStyle name="Saída 2 7 4 4" xfId="46369"/>
    <cellStyle name="Saída 2 7 4 5" xfId="46721"/>
    <cellStyle name="Saída 2 7 4 6" xfId="47036"/>
    <cellStyle name="Saída 2 7 4 7" xfId="47355"/>
    <cellStyle name="Saída 2 7 4 8" xfId="47673"/>
    <cellStyle name="Saída 2 7 5" xfId="9673"/>
    <cellStyle name="Saída 2 7 5 2" xfId="45656"/>
    <cellStyle name="Saída 2 7 5 3" xfId="46045"/>
    <cellStyle name="Saída 2 7 5 4" xfId="46403"/>
    <cellStyle name="Saída 2 7 5 5" xfId="46755"/>
    <cellStyle name="Saída 2 7 5 6" xfId="47070"/>
    <cellStyle name="Saída 2 7 5 7" xfId="47389"/>
    <cellStyle name="Saída 2 7 5 8" xfId="47707"/>
    <cellStyle name="Saída 2 7 6" xfId="12049"/>
    <cellStyle name="Saída 2 7 7" xfId="14560"/>
    <cellStyle name="Saída 2 7 8" xfId="16466"/>
    <cellStyle name="Saída 2 7 9" xfId="17292"/>
    <cellStyle name="Saída 2 8" xfId="2168"/>
    <cellStyle name="Saída 2 8 2" xfId="45343"/>
    <cellStyle name="Saída 2 8 2 2" xfId="45937"/>
    <cellStyle name="Saída 2 8 2 3" xfId="46295"/>
    <cellStyle name="Saída 2 8 2 4" xfId="46647"/>
    <cellStyle name="Saída 2 8 2 5" xfId="46993"/>
    <cellStyle name="Saída 2 8 2 6" xfId="45522"/>
    <cellStyle name="Saída 2 8 3" xfId="45401"/>
    <cellStyle name="Saída 2 8 3 2" xfId="45700"/>
    <cellStyle name="Saída 2 8 3 3" xfId="46089"/>
    <cellStyle name="Saída 2 8 3 4" xfId="46447"/>
    <cellStyle name="Saída 2 8 3 5" xfId="46799"/>
    <cellStyle name="Saída 2 8 3 6" xfId="47114"/>
    <cellStyle name="Saída 2 8 3 7" xfId="47433"/>
    <cellStyle name="Saída 2 8 3 8" xfId="47751"/>
    <cellStyle name="Saída 2 8 4" xfId="45376"/>
    <cellStyle name="Saída 2 8 4 2" xfId="45607"/>
    <cellStyle name="Saída 2 8 4 3" xfId="45996"/>
    <cellStyle name="Saída 2 8 4 4" xfId="46354"/>
    <cellStyle name="Saída 2 8 4 5" xfId="46706"/>
    <cellStyle name="Saída 2 8 4 6" xfId="47021"/>
    <cellStyle name="Saída 2 8 4 7" xfId="47340"/>
    <cellStyle name="Saída 2 8 4 8" xfId="47658"/>
    <cellStyle name="Saída 2 8 5" xfId="45451"/>
    <cellStyle name="Saída 2 8 5 2" xfId="45816"/>
    <cellStyle name="Saída 2 8 5 3" xfId="46205"/>
    <cellStyle name="Saída 2 8 5 4" xfId="46563"/>
    <cellStyle name="Saída 2 8 5 5" xfId="46915"/>
    <cellStyle name="Saída 2 8 5 6" xfId="47230"/>
    <cellStyle name="Saída 2 8 5 7" xfId="47549"/>
    <cellStyle name="Saída 2 8 5 8" xfId="47867"/>
    <cellStyle name="Saída 2 8 6" xfId="45892"/>
    <cellStyle name="Saída 2 8 7" xfId="45494"/>
    <cellStyle name="Saída 2 8 8" xfId="45482"/>
    <cellStyle name="Saída 2 8 9" xfId="45312"/>
    <cellStyle name="Saída 2 9" xfId="1882"/>
    <cellStyle name="Saída 3" xfId="51678"/>
    <cellStyle name="Saída 4" xfId="51689"/>
    <cellStyle name="Saída 5" xfId="51732"/>
    <cellStyle name="Saída 6" xfId="51774"/>
    <cellStyle name="Saída 7" xfId="51816"/>
    <cellStyle name="Saída 8" xfId="51857"/>
    <cellStyle name="Saída 9" xfId="51904"/>
    <cellStyle name="Separador de milhares 12 2" xfId="87"/>
    <cellStyle name="Separador de milhares 12 2 10" xfId="644"/>
    <cellStyle name="Separador de milhares 12 2 10 2" xfId="1715"/>
    <cellStyle name="Separador de milhares 12 2 11" xfId="593"/>
    <cellStyle name="Separador de milhares 12 2 11 2" xfId="1664"/>
    <cellStyle name="Separador de milhares 12 2 12" xfId="1168"/>
    <cellStyle name="Separador de milhares 12 2 2" xfId="152"/>
    <cellStyle name="Separador de milhares 12 2 2 2" xfId="1224"/>
    <cellStyle name="Separador de milhares 12 2 3" xfId="236"/>
    <cellStyle name="Separador de milhares 12 2 3 2" xfId="1308"/>
    <cellStyle name="Separador de milhares 12 2 4" xfId="293"/>
    <cellStyle name="Separador de milhares 12 2 4 2" xfId="1365"/>
    <cellStyle name="Separador de milhares 12 2 5" xfId="342"/>
    <cellStyle name="Separador de milhares 12 2 5 2" xfId="1414"/>
    <cellStyle name="Separador de milhares 12 2 6" xfId="381"/>
    <cellStyle name="Separador de milhares 12 2 6 2" xfId="1453"/>
    <cellStyle name="Separador de milhares 12 2 7" xfId="439"/>
    <cellStyle name="Separador de milhares 12 2 7 2" xfId="1511"/>
    <cellStyle name="Separador de milhares 12 2 8" xfId="505"/>
    <cellStyle name="Separador de milhares 12 2 8 2" xfId="1576"/>
    <cellStyle name="Separador de milhares 12 2 9" xfId="561"/>
    <cellStyle name="Separador de milhares 12 2 9 2" xfId="1632"/>
    <cellStyle name="Separador de milhares 12 3" xfId="88"/>
    <cellStyle name="Separador de milhares 12 3 10" xfId="630"/>
    <cellStyle name="Separador de milhares 12 3 10 2" xfId="1701"/>
    <cellStyle name="Separador de milhares 12 3 11" xfId="642"/>
    <cellStyle name="Separador de milhares 12 3 11 2" xfId="1713"/>
    <cellStyle name="Separador de milhares 12 3 12" xfId="1169"/>
    <cellStyle name="Separador de milhares 12 3 2" xfId="153"/>
    <cellStyle name="Separador de milhares 12 3 2 2" xfId="1225"/>
    <cellStyle name="Separador de milhares 12 3 3" xfId="237"/>
    <cellStyle name="Separador de milhares 12 3 3 2" xfId="1309"/>
    <cellStyle name="Separador de milhares 12 3 4" xfId="294"/>
    <cellStyle name="Separador de milhares 12 3 4 2" xfId="1366"/>
    <cellStyle name="Separador de milhares 12 3 5" xfId="343"/>
    <cellStyle name="Separador de milhares 12 3 5 2" xfId="1415"/>
    <cellStyle name="Separador de milhares 12 3 6" xfId="382"/>
    <cellStyle name="Separador de milhares 12 3 6 2" xfId="1454"/>
    <cellStyle name="Separador de milhares 12 3 7" xfId="440"/>
    <cellStyle name="Separador de milhares 12 3 7 2" xfId="1512"/>
    <cellStyle name="Separador de milhares 12 3 8" xfId="506"/>
    <cellStyle name="Separador de milhares 12 3 8 2" xfId="1577"/>
    <cellStyle name="Separador de milhares 12 3 9" xfId="528"/>
    <cellStyle name="Separador de milhares 12 3 9 2" xfId="1599"/>
    <cellStyle name="Separador de milhares 17" xfId="52176"/>
    <cellStyle name="Separador de milhares 17 2" xfId="52259"/>
    <cellStyle name="Separador de milhares 17 3" xfId="52269"/>
    <cellStyle name="Separador de milhares 2" xfId="1119"/>
    <cellStyle name="Separador de milhares 2 10" xfId="1106"/>
    <cellStyle name="Separador de milhares 2 10 2" xfId="51605"/>
    <cellStyle name="Separador de milhares 2 11" xfId="1107"/>
    <cellStyle name="Separador de milhares 2 11 2" xfId="51608"/>
    <cellStyle name="Separador de milhares 2 12" xfId="1108"/>
    <cellStyle name="Separador de milhares 2 12 2" xfId="51611"/>
    <cellStyle name="Separador de milhares 2 13" xfId="1109"/>
    <cellStyle name="Separador de milhares 2 13 2" xfId="51614"/>
    <cellStyle name="Separador de milhares 2 14" xfId="1110"/>
    <cellStyle name="Separador de milhares 2 14 2" xfId="51617"/>
    <cellStyle name="Separador de milhares 2 15" xfId="1111"/>
    <cellStyle name="Separador de milhares 2 15 2" xfId="51618"/>
    <cellStyle name="Separador de milhares 2 16" xfId="51674"/>
    <cellStyle name="Separador de milhares 2 16 2" xfId="53314"/>
    <cellStyle name="Separador de milhares 2 17" xfId="51724"/>
    <cellStyle name="Separador de milhares 2 18" xfId="51766"/>
    <cellStyle name="Separador de milhares 2 19" xfId="51808"/>
    <cellStyle name="Separador de milhares 2 2" xfId="1105"/>
    <cellStyle name="Separador de milhares 2 2 2" xfId="51565"/>
    <cellStyle name="Separador de milhares 2 20" xfId="51852"/>
    <cellStyle name="Separador de milhares 2 21" xfId="51892"/>
    <cellStyle name="Separador de milhares 2 22" xfId="51939"/>
    <cellStyle name="Separador de milhares 2 23" xfId="51981"/>
    <cellStyle name="Separador de milhares 2 24" xfId="52024"/>
    <cellStyle name="Separador de milhares 2 25" xfId="52067"/>
    <cellStyle name="Separador de milhares 2 26" xfId="52110"/>
    <cellStyle name="Separador de milhares 2 27" xfId="52153"/>
    <cellStyle name="Separador de milhares 2 28" xfId="52157"/>
    <cellStyle name="Separador de milhares 2 29" xfId="52160"/>
    <cellStyle name="Separador de milhares 2 3" xfId="1112"/>
    <cellStyle name="Separador de milhares 2 3 2" xfId="49513"/>
    <cellStyle name="Separador de milhares 2 3 3" xfId="51573"/>
    <cellStyle name="Separador de milhares 2 30" xfId="52180"/>
    <cellStyle name="Separador de milhares 2 31" xfId="52181"/>
    <cellStyle name="Separador de milhares 2 32" xfId="52182"/>
    <cellStyle name="Separador de milhares 2 33" xfId="52183"/>
    <cellStyle name="Separador de milhares 2 34" xfId="52184"/>
    <cellStyle name="Separador de milhares 2 35" xfId="52186"/>
    <cellStyle name="Separador de milhares 2 36" xfId="52187"/>
    <cellStyle name="Separador de milhares 2 37" xfId="52169"/>
    <cellStyle name="Separador de milhares 2 38" xfId="52164"/>
    <cellStyle name="Separador de milhares 2 39" xfId="52261"/>
    <cellStyle name="Separador de milhares 2 4" xfId="1113"/>
    <cellStyle name="Separador de milhares 2 4 2" xfId="51578"/>
    <cellStyle name="Separador de milhares 2 5" xfId="1114"/>
    <cellStyle name="Separador de milhares 2 5 2" xfId="51581"/>
    <cellStyle name="Separador de milhares 2 6" xfId="1115"/>
    <cellStyle name="Separador de milhares 2 6 2" xfId="51587"/>
    <cellStyle name="Separador de milhares 2 7" xfId="1116"/>
    <cellStyle name="Separador de milhares 2 7 2" xfId="51591"/>
    <cellStyle name="Separador de milhares 2 8" xfId="1117"/>
    <cellStyle name="Separador de milhares 2 8 2" xfId="51593"/>
    <cellStyle name="Separador de milhares 2 9" xfId="1118"/>
    <cellStyle name="Separador de milhares 2 9 2" xfId="51602"/>
    <cellStyle name="Separador de milhares 3" xfId="44723"/>
    <cellStyle name="Separador de milhares 3 10" xfId="44724"/>
    <cellStyle name="Separador de milhares 3 10 2" xfId="49514"/>
    <cellStyle name="Separador de milhares 3 10 2 2" xfId="50873"/>
    <cellStyle name="Separador de milhares 3 10 3" xfId="49515"/>
    <cellStyle name="Separador de milhares 3 10_Mem." xfId="49516"/>
    <cellStyle name="Separador de milhares 3 100" xfId="44725"/>
    <cellStyle name="Separador de milhares 3 101" xfId="44726"/>
    <cellStyle name="Separador de milhares 3 102" xfId="44727"/>
    <cellStyle name="Separador de milhares 3 103" xfId="44728"/>
    <cellStyle name="Separador de milhares 3 104" xfId="44729"/>
    <cellStyle name="Separador de milhares 3 105" xfId="44730"/>
    <cellStyle name="Separador de milhares 3 106" xfId="44731"/>
    <cellStyle name="Separador de milhares 3 107" xfId="44732"/>
    <cellStyle name="Separador de milhares 3 108" xfId="44733"/>
    <cellStyle name="Separador de milhares 3 109" xfId="44734"/>
    <cellStyle name="Separador de milhares 3 11" xfId="44735"/>
    <cellStyle name="Separador de milhares 3 11 2" xfId="49517"/>
    <cellStyle name="Separador de milhares 3 11 2 2" xfId="51223"/>
    <cellStyle name="Separador de milhares 3 11 3" xfId="49518"/>
    <cellStyle name="Separador de milhares 3 11_Mem." xfId="49519"/>
    <cellStyle name="Separador de milhares 3 110" xfId="44736"/>
    <cellStyle name="Separador de milhares 3 111" xfId="44737"/>
    <cellStyle name="Separador de milhares 3 112" xfId="44738"/>
    <cellStyle name="Separador de milhares 3 113" xfId="44739"/>
    <cellStyle name="Separador de milhares 3 114" xfId="44740"/>
    <cellStyle name="Separador de milhares 3 115" xfId="44741"/>
    <cellStyle name="Separador de milhares 3 116" xfId="44742"/>
    <cellStyle name="Separador de milhares 3 117" xfId="44743"/>
    <cellStyle name="Separador de milhares 3 118" xfId="44744"/>
    <cellStyle name="Separador de milhares 3 119" xfId="44745"/>
    <cellStyle name="Separador de milhares 3 12" xfId="44746"/>
    <cellStyle name="Separador de milhares 3 12 2" xfId="49520"/>
    <cellStyle name="Separador de milhares 3 12_Mem." xfId="49521"/>
    <cellStyle name="Separador de milhares 3 120" xfId="44747"/>
    <cellStyle name="Separador de milhares 3 121" xfId="44748"/>
    <cellStyle name="Separador de milhares 3 122" xfId="44749"/>
    <cellStyle name="Separador de milhares 3 123" xfId="44750"/>
    <cellStyle name="Separador de milhares 3 124" xfId="44751"/>
    <cellStyle name="Separador de milhares 3 125" xfId="44752"/>
    <cellStyle name="Separador de milhares 3 126" xfId="44753"/>
    <cellStyle name="Separador de milhares 3 127" xfId="44754"/>
    <cellStyle name="Separador de milhares 3 128" xfId="44755"/>
    <cellStyle name="Separador de milhares 3 129" xfId="44756"/>
    <cellStyle name="Separador de milhares 3 13" xfId="44757"/>
    <cellStyle name="Separador de milhares 3 13 2" xfId="49874"/>
    <cellStyle name="Separador de milhares 3 130" xfId="44758"/>
    <cellStyle name="Separador de milhares 3 131" xfId="44759"/>
    <cellStyle name="Separador de milhares 3 132" xfId="44760"/>
    <cellStyle name="Separador de milhares 3 133" xfId="44761"/>
    <cellStyle name="Separador de milhares 3 134" xfId="44762"/>
    <cellStyle name="Separador de milhares 3 135" xfId="44763"/>
    <cellStyle name="Separador de milhares 3 136" xfId="44764"/>
    <cellStyle name="Separador de milhares 3 137" xfId="44765"/>
    <cellStyle name="Separador de milhares 3 138" xfId="44766"/>
    <cellStyle name="Separador de milhares 3 139" xfId="44767"/>
    <cellStyle name="Separador de milhares 3 14" xfId="44768"/>
    <cellStyle name="Separador de milhares 3 140" xfId="44769"/>
    <cellStyle name="Separador de milhares 3 141" xfId="44770"/>
    <cellStyle name="Separador de milhares 3 142" xfId="44771"/>
    <cellStyle name="Separador de milhares 3 143" xfId="44772"/>
    <cellStyle name="Separador de milhares 3 144" xfId="44773"/>
    <cellStyle name="Separador de milhares 3 145" xfId="44774"/>
    <cellStyle name="Separador de milhares 3 146" xfId="44775"/>
    <cellStyle name="Separador de milhares 3 147" xfId="44776"/>
    <cellStyle name="Separador de milhares 3 148" xfId="44777"/>
    <cellStyle name="Separador de milhares 3 149" xfId="44778"/>
    <cellStyle name="Separador de milhares 3 15" xfId="44779"/>
    <cellStyle name="Separador de milhares 3 150" xfId="44780"/>
    <cellStyle name="Separador de milhares 3 151" xfId="44781"/>
    <cellStyle name="Separador de milhares 3 152" xfId="44782"/>
    <cellStyle name="Separador de milhares 3 153" xfId="44783"/>
    <cellStyle name="Separador de milhares 3 154" xfId="44784"/>
    <cellStyle name="Separador de milhares 3 155" xfId="44785"/>
    <cellStyle name="Separador de milhares 3 156" xfId="44786"/>
    <cellStyle name="Separador de milhares 3 157" xfId="44787"/>
    <cellStyle name="Separador de milhares 3 158" xfId="44788"/>
    <cellStyle name="Separador de milhares 3 159" xfId="44789"/>
    <cellStyle name="Separador de milhares 3 16" xfId="44790"/>
    <cellStyle name="Separador de milhares 3 160" xfId="44791"/>
    <cellStyle name="Separador de milhares 3 161" xfId="44792"/>
    <cellStyle name="Separador de milhares 3 162" xfId="44793"/>
    <cellStyle name="Separador de milhares 3 163" xfId="44794"/>
    <cellStyle name="Separador de milhares 3 164" xfId="44795"/>
    <cellStyle name="Separador de milhares 3 165" xfId="44796"/>
    <cellStyle name="Separador de milhares 3 166" xfId="44797"/>
    <cellStyle name="Separador de milhares 3 167" xfId="44798"/>
    <cellStyle name="Separador de milhares 3 168" xfId="44799"/>
    <cellStyle name="Separador de milhares 3 169" xfId="44800"/>
    <cellStyle name="Separador de milhares 3 17" xfId="44801"/>
    <cellStyle name="Separador de milhares 3 170" xfId="44802"/>
    <cellStyle name="Separador de milhares 3 171" xfId="44803"/>
    <cellStyle name="Separador de milhares 3 172" xfId="44804"/>
    <cellStyle name="Separador de milhares 3 173" xfId="44805"/>
    <cellStyle name="Separador de milhares 3 174" xfId="44806"/>
    <cellStyle name="Separador de milhares 3 175" xfId="44807"/>
    <cellStyle name="Separador de milhares 3 176" xfId="44808"/>
    <cellStyle name="Separador de milhares 3 177" xfId="44809"/>
    <cellStyle name="Separador de milhares 3 178" xfId="44810"/>
    <cellStyle name="Separador de milhares 3 179" xfId="44811"/>
    <cellStyle name="Separador de milhares 3 18" xfId="44812"/>
    <cellStyle name="Separador de milhares 3 180" xfId="44813"/>
    <cellStyle name="Separador de milhares 3 181" xfId="44814"/>
    <cellStyle name="Separador de milhares 3 182" xfId="44815"/>
    <cellStyle name="Separador de milhares 3 183" xfId="44816"/>
    <cellStyle name="Separador de milhares 3 184" xfId="44817"/>
    <cellStyle name="Separador de milhares 3 185" xfId="44818"/>
    <cellStyle name="Separador de milhares 3 186" xfId="44819"/>
    <cellStyle name="Separador de milhares 3 187" xfId="44820"/>
    <cellStyle name="Separador de milhares 3 188" xfId="44821"/>
    <cellStyle name="Separador de milhares 3 189" xfId="44822"/>
    <cellStyle name="Separador de milhares 3 19" xfId="44823"/>
    <cellStyle name="Separador de milhares 3 190" xfId="44824"/>
    <cellStyle name="Separador de milhares 3 191" xfId="49522"/>
    <cellStyle name="Separador de milhares 3 2" xfId="44825"/>
    <cellStyle name="Separador de milhares 3 2 10" xfId="49523"/>
    <cellStyle name="Separador de milhares 3 2 10 2" xfId="50497"/>
    <cellStyle name="Separador de milhares 3 2 11" xfId="49524"/>
    <cellStyle name="Separador de milhares 3 2 2" xfId="49525"/>
    <cellStyle name="Separador de milhares 3 2 2 2" xfId="49526"/>
    <cellStyle name="Separador de milhares 3 2 2 2 2" xfId="49527"/>
    <cellStyle name="Separador de milhares 3 2 2 2 2 2" xfId="49528"/>
    <cellStyle name="Separador de milhares 3 2 2 2 2 2 2" xfId="51085"/>
    <cellStyle name="Separador de milhares 3 2 2 2 2 3" xfId="50343"/>
    <cellStyle name="Separador de milhares 3 2 2 2 3" xfId="49529"/>
    <cellStyle name="Separador de milhares 3 2 2 2 3 2" xfId="50725"/>
    <cellStyle name="Separador de milhares 3 2 2 2 4" xfId="50041"/>
    <cellStyle name="Separador de milhares 3 2 2 3" xfId="49530"/>
    <cellStyle name="Separador de milhares 3 2 2 3 2" xfId="49531"/>
    <cellStyle name="Separador de milhares 3 2 2 3 2 2" xfId="50951"/>
    <cellStyle name="Separador de milhares 3 2 2 3 3" xfId="50215"/>
    <cellStyle name="Separador de milhares 3 2 2 4" xfId="49532"/>
    <cellStyle name="Separador de milhares 3 2 2 4 2" xfId="50588"/>
    <cellStyle name="Separador de milhares 3 2 2 5" xfId="49942"/>
    <cellStyle name="Separador de milhares 3 2 3" xfId="49533"/>
    <cellStyle name="Separador de milhares 3 2 3 2" xfId="49534"/>
    <cellStyle name="Separador de milhares 3 2 3 2 2" xfId="49535"/>
    <cellStyle name="Separador de milhares 3 2 3 2 2 2" xfId="49536"/>
    <cellStyle name="Separador de milhares 3 2 3 2 2 2 2" xfId="51118"/>
    <cellStyle name="Separador de milhares 3 2 3 2 2 3" xfId="50375"/>
    <cellStyle name="Separador de milhares 3 2 3 2 3" xfId="49537"/>
    <cellStyle name="Separador de milhares 3 2 3 2 3 2" xfId="50758"/>
    <cellStyle name="Separador de milhares 3 2 3 2 4" xfId="50067"/>
    <cellStyle name="Separador de milhares 3 2 3 3" xfId="49538"/>
    <cellStyle name="Separador de milhares 3 2 3 3 2" xfId="49539"/>
    <cellStyle name="Separador de milhares 3 2 3 3 2 2" xfId="50983"/>
    <cellStyle name="Separador de milhares 3 2 3 3 3" xfId="50247"/>
    <cellStyle name="Separador de milhares 3 2 3 4" xfId="49540"/>
    <cellStyle name="Separador de milhares 3 2 3 4 2" xfId="50621"/>
    <cellStyle name="Separador de milhares 3 2 3 5" xfId="49964"/>
    <cellStyle name="Separador de milhares 3 2 4" xfId="49541"/>
    <cellStyle name="Separador de milhares 3 2 4 2" xfId="49542"/>
    <cellStyle name="Separador de milhares 3 2 4 2 2" xfId="49543"/>
    <cellStyle name="Separador de milhares 3 2 4 2 2 2" xfId="49544"/>
    <cellStyle name="Separador de milhares 3 2 4 2 2 2 2" xfId="51158"/>
    <cellStyle name="Separador de milhares 3 2 4 2 2 3" xfId="50414"/>
    <cellStyle name="Separador de milhares 3 2 4 2 3" xfId="49545"/>
    <cellStyle name="Separador de milhares 3 2 4 2 3 2" xfId="50798"/>
    <cellStyle name="Separador de milhares 3 2 4 2 4" xfId="50098"/>
    <cellStyle name="Separador de milhares 3 2 4 3" xfId="49546"/>
    <cellStyle name="Separador de milhares 3 2 4 3 2" xfId="49547"/>
    <cellStyle name="Separador de milhares 3 2 4 3 2 2" xfId="51022"/>
    <cellStyle name="Separador de milhares 3 2 4 3 3" xfId="50286"/>
    <cellStyle name="Separador de milhares 3 2 4 4" xfId="49548"/>
    <cellStyle name="Separador de milhares 3 2 4 4 2" xfId="50661"/>
    <cellStyle name="Separador de milhares 3 2 4 5" xfId="49993"/>
    <cellStyle name="Separador de milhares 3 2 5" xfId="49549"/>
    <cellStyle name="Separador de milhares 3 2 5 2" xfId="49550"/>
    <cellStyle name="Separador de milhares 3 2 5 2 2" xfId="49551"/>
    <cellStyle name="Separador de milhares 3 2 5 2 2 2" xfId="51054"/>
    <cellStyle name="Separador de milhares 3 2 5 2 3" xfId="50313"/>
    <cellStyle name="Separador de milhares 3 2 5 3" xfId="49552"/>
    <cellStyle name="Separador de milhares 3 2 5 3 2" xfId="50694"/>
    <cellStyle name="Separador de milhares 3 2 5 4" xfId="50016"/>
    <cellStyle name="Separador de milhares 3 2 6" xfId="49553"/>
    <cellStyle name="Separador de milhares 3 2 6 2" xfId="49554"/>
    <cellStyle name="Separador de milhares 3 2 6 2 2" xfId="49555"/>
    <cellStyle name="Separador de milhares 3 2 6 2 2 2" xfId="50921"/>
    <cellStyle name="Separador de milhares 3 2 6 2 3" xfId="50185"/>
    <cellStyle name="Separador de milhares 3 2 6 3" xfId="49556"/>
    <cellStyle name="Separador de milhares 3 2 6 3 2" xfId="50557"/>
    <cellStyle name="Separador de milhares 3 2 6 4" xfId="49921"/>
    <cellStyle name="Separador de milhares 3 2 7" xfId="49557"/>
    <cellStyle name="Separador de milhares 3 2 7 2" xfId="49558"/>
    <cellStyle name="Separador de milhares 3 2 7 2 2" xfId="49559"/>
    <cellStyle name="Separador de milhares 3 2 7 2 2 2" xfId="51191"/>
    <cellStyle name="Separador de milhares 3 2 7 2 3" xfId="50443"/>
    <cellStyle name="Separador de milhares 3 2 7 3" xfId="49560"/>
    <cellStyle name="Separador de milhares 3 2 7 3 2" xfId="50832"/>
    <cellStyle name="Separador de milhares 3 2 7 4" xfId="50124"/>
    <cellStyle name="Separador de milhares 3 2 8" xfId="49561"/>
    <cellStyle name="Separador de milhares 3 2 8 2" xfId="49562"/>
    <cellStyle name="Separador de milhares 3 2 8 2 2" xfId="50874"/>
    <cellStyle name="Separador de milhares 3 2 8 3" xfId="50149"/>
    <cellStyle name="Separador de milhares 3 2 9" xfId="49563"/>
    <cellStyle name="Separador de milhares 3 2 9 2" xfId="49564"/>
    <cellStyle name="Separador de milhares 3 2 9 2 2" xfId="51224"/>
    <cellStyle name="Separador de milhares 3 2 9 3" xfId="50469"/>
    <cellStyle name="Separador de milhares 3 2_Mem." xfId="49565"/>
    <cellStyle name="Separador de milhares 3 20" xfId="44826"/>
    <cellStyle name="Separador de milhares 3 21" xfId="44827"/>
    <cellStyle name="Separador de milhares 3 22" xfId="44828"/>
    <cellStyle name="Separador de milhares 3 23" xfId="44829"/>
    <cellStyle name="Separador de milhares 3 24" xfId="44830"/>
    <cellStyle name="Separador de milhares 3 25" xfId="44831"/>
    <cellStyle name="Separador de milhares 3 26" xfId="44832"/>
    <cellStyle name="Separador de milhares 3 27" xfId="44833"/>
    <cellStyle name="Separador de milhares 3 28" xfId="44834"/>
    <cellStyle name="Separador de milhares 3 29" xfId="44835"/>
    <cellStyle name="Separador de milhares 3 3" xfId="44836"/>
    <cellStyle name="Separador de milhares 3 3 10" xfId="49566"/>
    <cellStyle name="Separador de milhares 3 3 10 2" xfId="50498"/>
    <cellStyle name="Separador de milhares 3 3 11" xfId="49567"/>
    <cellStyle name="Separador de milhares 3 3 2" xfId="49568"/>
    <cellStyle name="Separador de milhares 3 3 2 2" xfId="49569"/>
    <cellStyle name="Separador de milhares 3 3 2 2 2" xfId="49570"/>
    <cellStyle name="Separador de milhares 3 3 2 2 2 2" xfId="49571"/>
    <cellStyle name="Separador de milhares 3 3 2 2 2 2 2" xfId="51086"/>
    <cellStyle name="Separador de milhares 3 3 2 2 2 3" xfId="50344"/>
    <cellStyle name="Separador de milhares 3 3 2 2 3" xfId="49572"/>
    <cellStyle name="Separador de milhares 3 3 2 2 3 2" xfId="50726"/>
    <cellStyle name="Separador de milhares 3 3 2 2 4" xfId="50042"/>
    <cellStyle name="Separador de milhares 3 3 2 3" xfId="49573"/>
    <cellStyle name="Separador de milhares 3 3 2 3 2" xfId="49574"/>
    <cellStyle name="Separador de milhares 3 3 2 3 2 2" xfId="50952"/>
    <cellStyle name="Separador de milhares 3 3 2 3 3" xfId="50216"/>
    <cellStyle name="Separador de milhares 3 3 2 4" xfId="49575"/>
    <cellStyle name="Separador de milhares 3 3 2 4 2" xfId="50589"/>
    <cellStyle name="Separador de milhares 3 3 2 5" xfId="49943"/>
    <cellStyle name="Separador de milhares 3 3 3" xfId="49576"/>
    <cellStyle name="Separador de milhares 3 3 3 2" xfId="49577"/>
    <cellStyle name="Separador de milhares 3 3 3 2 2" xfId="49578"/>
    <cellStyle name="Separador de milhares 3 3 3 2 2 2" xfId="49579"/>
    <cellStyle name="Separador de milhares 3 3 3 2 2 2 2" xfId="51119"/>
    <cellStyle name="Separador de milhares 3 3 3 2 2 3" xfId="50376"/>
    <cellStyle name="Separador de milhares 3 3 3 2 3" xfId="49580"/>
    <cellStyle name="Separador de milhares 3 3 3 2 3 2" xfId="50759"/>
    <cellStyle name="Separador de milhares 3 3 3 2 4" xfId="50068"/>
    <cellStyle name="Separador de milhares 3 3 3 3" xfId="49581"/>
    <cellStyle name="Separador de milhares 3 3 3 3 2" xfId="49582"/>
    <cellStyle name="Separador de milhares 3 3 3 3 2 2" xfId="50984"/>
    <cellStyle name="Separador de milhares 3 3 3 3 3" xfId="50248"/>
    <cellStyle name="Separador de milhares 3 3 3 4" xfId="49583"/>
    <cellStyle name="Separador de milhares 3 3 3 4 2" xfId="50622"/>
    <cellStyle name="Separador de milhares 3 3 3 5" xfId="49965"/>
    <cellStyle name="Separador de milhares 3 3 4" xfId="49584"/>
    <cellStyle name="Separador de milhares 3 3 4 2" xfId="49585"/>
    <cellStyle name="Separador de milhares 3 3 4 2 2" xfId="49586"/>
    <cellStyle name="Separador de milhares 3 3 4 2 2 2" xfId="49587"/>
    <cellStyle name="Separador de milhares 3 3 4 2 2 2 2" xfId="51159"/>
    <cellStyle name="Separador de milhares 3 3 4 2 2 3" xfId="50415"/>
    <cellStyle name="Separador de milhares 3 3 4 2 3" xfId="49588"/>
    <cellStyle name="Separador de milhares 3 3 4 2 3 2" xfId="50799"/>
    <cellStyle name="Separador de milhares 3 3 4 2 4" xfId="50099"/>
    <cellStyle name="Separador de milhares 3 3 4 3" xfId="49589"/>
    <cellStyle name="Separador de milhares 3 3 4 3 2" xfId="49590"/>
    <cellStyle name="Separador de milhares 3 3 4 3 2 2" xfId="51023"/>
    <cellStyle name="Separador de milhares 3 3 4 3 3" xfId="50287"/>
    <cellStyle name="Separador de milhares 3 3 4 4" xfId="49591"/>
    <cellStyle name="Separador de milhares 3 3 4 4 2" xfId="50662"/>
    <cellStyle name="Separador de milhares 3 3 4 5" xfId="49994"/>
    <cellStyle name="Separador de milhares 3 3 5" xfId="49592"/>
    <cellStyle name="Separador de milhares 3 3 5 2" xfId="49593"/>
    <cellStyle name="Separador de milhares 3 3 5 2 2" xfId="49594"/>
    <cellStyle name="Separador de milhares 3 3 5 2 2 2" xfId="51044"/>
    <cellStyle name="Separador de milhares 3 3 5 2 3" xfId="50304"/>
    <cellStyle name="Separador de milhares 3 3 5 3" xfId="49595"/>
    <cellStyle name="Separador de milhares 3 3 5 3 2" xfId="50684"/>
    <cellStyle name="Separador de milhares 3 3 5 4" xfId="50007"/>
    <cellStyle name="Separador de milhares 3 3 6" xfId="49596"/>
    <cellStyle name="Separador de milhares 3 3 6 2" xfId="49597"/>
    <cellStyle name="Separador de milhares 3 3 6 2 2" xfId="49598"/>
    <cellStyle name="Separador de milhares 3 3 6 2 2 2" xfId="50911"/>
    <cellStyle name="Separador de milhares 3 3 6 2 3" xfId="50176"/>
    <cellStyle name="Separador de milhares 3 3 6 3" xfId="49599"/>
    <cellStyle name="Separador de milhares 3 3 6 3 2" xfId="50547"/>
    <cellStyle name="Separador de milhares 3 3 6 4" xfId="49912"/>
    <cellStyle name="Separador de milhares 3 3 7" xfId="49600"/>
    <cellStyle name="Separador de milhares 3 3 7 2" xfId="49601"/>
    <cellStyle name="Separador de milhares 3 3 7 2 2" xfId="49602"/>
    <cellStyle name="Separador de milhares 3 3 7 2 2 2" xfId="51192"/>
    <cellStyle name="Separador de milhares 3 3 7 2 3" xfId="50444"/>
    <cellStyle name="Separador de milhares 3 3 7 3" xfId="49603"/>
    <cellStyle name="Separador de milhares 3 3 7 3 2" xfId="50833"/>
    <cellStyle name="Separador de milhares 3 3 7 4" xfId="50125"/>
    <cellStyle name="Separador de milhares 3 3 8" xfId="49604"/>
    <cellStyle name="Separador de milhares 3 3 8 2" xfId="49605"/>
    <cellStyle name="Separador de milhares 3 3 8 2 2" xfId="50875"/>
    <cellStyle name="Separador de milhares 3 3 8 3" xfId="50150"/>
    <cellStyle name="Separador de milhares 3 3 9" xfId="49606"/>
    <cellStyle name="Separador de milhares 3 3 9 2" xfId="49607"/>
    <cellStyle name="Separador de milhares 3 3 9 2 2" xfId="51225"/>
    <cellStyle name="Separador de milhares 3 3 9 3" xfId="50470"/>
    <cellStyle name="Separador de milhares 3 3_Mem." xfId="49608"/>
    <cellStyle name="Separador de milhares 3 30" xfId="44837"/>
    <cellStyle name="Separador de milhares 3 31" xfId="44838"/>
    <cellStyle name="Separador de milhares 3 32" xfId="44839"/>
    <cellStyle name="Separador de milhares 3 33" xfId="44840"/>
    <cellStyle name="Separador de milhares 3 34" xfId="44841"/>
    <cellStyle name="Separador de milhares 3 35" xfId="44842"/>
    <cellStyle name="Separador de milhares 3 36" xfId="44843"/>
    <cellStyle name="Separador de milhares 3 37" xfId="44844"/>
    <cellStyle name="Separador de milhares 3 38" xfId="44845"/>
    <cellStyle name="Separador de milhares 3 39" xfId="44846"/>
    <cellStyle name="Separador de milhares 3 4" xfId="44847"/>
    <cellStyle name="Separador de milhares 3 4 2" xfId="49609"/>
    <cellStyle name="Separador de milhares 3 4 2 2" xfId="49610"/>
    <cellStyle name="Separador de milhares 3 4 2 2 2" xfId="49611"/>
    <cellStyle name="Separador de milhares 3 4 2 2 2 2" xfId="51084"/>
    <cellStyle name="Separador de milhares 3 4 2 2 3" xfId="50342"/>
    <cellStyle name="Separador de milhares 3 4 2 3" xfId="49612"/>
    <cellStyle name="Separador de milhares 3 4 2 3 2" xfId="50724"/>
    <cellStyle name="Separador de milhares 3 4 2 4" xfId="50040"/>
    <cellStyle name="Separador de milhares 3 4 3" xfId="49613"/>
    <cellStyle name="Separador de milhares 3 4 3 2" xfId="49614"/>
    <cellStyle name="Separador de milhares 3 4 3 2 2" xfId="50950"/>
    <cellStyle name="Separador de milhares 3 4 3 3" xfId="50214"/>
    <cellStyle name="Separador de milhares 3 4 4" xfId="49615"/>
    <cellStyle name="Separador de milhares 3 4 4 2" xfId="50587"/>
    <cellStyle name="Separador de milhares 3 4 5" xfId="49616"/>
    <cellStyle name="Separador de milhares 3 4_Mem." xfId="49617"/>
    <cellStyle name="Separador de milhares 3 40" xfId="44848"/>
    <cellStyle name="Separador de milhares 3 41" xfId="44849"/>
    <cellStyle name="Separador de milhares 3 42" xfId="44850"/>
    <cellStyle name="Separador de milhares 3 43" xfId="44851"/>
    <cellStyle name="Separador de milhares 3 44" xfId="44852"/>
    <cellStyle name="Separador de milhares 3 45" xfId="44853"/>
    <cellStyle name="Separador de milhares 3 46" xfId="44854"/>
    <cellStyle name="Separador de milhares 3 47" xfId="44855"/>
    <cellStyle name="Separador de milhares 3 48" xfId="44856"/>
    <cellStyle name="Separador de milhares 3 49" xfId="44857"/>
    <cellStyle name="Separador de milhares 3 5" xfId="44858"/>
    <cellStyle name="Separador de milhares 3 5 2" xfId="49618"/>
    <cellStyle name="Separador de milhares 3 5 2 2" xfId="49619"/>
    <cellStyle name="Separador de milhares 3 5 2 2 2" xfId="49620"/>
    <cellStyle name="Separador de milhares 3 5 2 2 2 2" xfId="51117"/>
    <cellStyle name="Separador de milhares 3 5 2 2 3" xfId="50374"/>
    <cellStyle name="Separador de milhares 3 5 2 3" xfId="49621"/>
    <cellStyle name="Separador de milhares 3 5 2 3 2" xfId="50757"/>
    <cellStyle name="Separador de milhares 3 5 2 4" xfId="50066"/>
    <cellStyle name="Separador de milhares 3 5 3" xfId="49622"/>
    <cellStyle name="Separador de milhares 3 5 3 2" xfId="49623"/>
    <cellStyle name="Separador de milhares 3 5 3 2 2" xfId="50982"/>
    <cellStyle name="Separador de milhares 3 5 3 3" xfId="50246"/>
    <cellStyle name="Separador de milhares 3 5 4" xfId="49624"/>
    <cellStyle name="Separador de milhares 3 5 4 2" xfId="50620"/>
    <cellStyle name="Separador de milhares 3 5 5" xfId="49625"/>
    <cellStyle name="Separador de milhares 3 5_Mem." xfId="49626"/>
    <cellStyle name="Separador de milhares 3 50" xfId="44859"/>
    <cellStyle name="Separador de milhares 3 51" xfId="44860"/>
    <cellStyle name="Separador de milhares 3 52" xfId="44861"/>
    <cellStyle name="Separador de milhares 3 53" xfId="44862"/>
    <cellStyle name="Separador de milhares 3 54" xfId="44863"/>
    <cellStyle name="Separador de milhares 3 55" xfId="44864"/>
    <cellStyle name="Separador de milhares 3 56" xfId="44865"/>
    <cellStyle name="Separador de milhares 3 57" xfId="44866"/>
    <cellStyle name="Separador de milhares 3 58" xfId="44867"/>
    <cellStyle name="Separador de milhares 3 59" xfId="44868"/>
    <cellStyle name="Separador de milhares 3 6" xfId="44869"/>
    <cellStyle name="Separador de milhares 3 6 2" xfId="49627"/>
    <cellStyle name="Separador de milhares 3 6 2 2" xfId="49628"/>
    <cellStyle name="Separador de milhares 3 6 2 2 2" xfId="49629"/>
    <cellStyle name="Separador de milhares 3 6 2 2 2 2" xfId="51157"/>
    <cellStyle name="Separador de milhares 3 6 2 2 3" xfId="50413"/>
    <cellStyle name="Separador de milhares 3 6 2 3" xfId="49630"/>
    <cellStyle name="Separador de milhares 3 6 2 3 2" xfId="50797"/>
    <cellStyle name="Separador de milhares 3 6 2 4" xfId="50097"/>
    <cellStyle name="Separador de milhares 3 6 3" xfId="49631"/>
    <cellStyle name="Separador de milhares 3 6 3 2" xfId="49632"/>
    <cellStyle name="Separador de milhares 3 6 3 2 2" xfId="51021"/>
    <cellStyle name="Separador de milhares 3 6 3 3" xfId="50285"/>
    <cellStyle name="Separador de milhares 3 6 4" xfId="49633"/>
    <cellStyle name="Separador de milhares 3 6 4 2" xfId="50660"/>
    <cellStyle name="Separador de milhares 3 6 5" xfId="49634"/>
    <cellStyle name="Separador de milhares 3 6_Mem." xfId="49635"/>
    <cellStyle name="Separador de milhares 3 60" xfId="44870"/>
    <cellStyle name="Separador de milhares 3 61" xfId="44871"/>
    <cellStyle name="Separador de milhares 3 62" xfId="44872"/>
    <cellStyle name="Separador de milhares 3 63" xfId="44873"/>
    <cellStyle name="Separador de milhares 3 64" xfId="44874"/>
    <cellStyle name="Separador de milhares 3 65" xfId="44875"/>
    <cellStyle name="Separador de milhares 3 66" xfId="44876"/>
    <cellStyle name="Separador de milhares 3 67" xfId="44877"/>
    <cellStyle name="Separador de milhares 3 68" xfId="44878"/>
    <cellStyle name="Separador de milhares 3 69" xfId="44879"/>
    <cellStyle name="Separador de milhares 3 7" xfId="44880"/>
    <cellStyle name="Separador de milhares 3 7 2" xfId="49636"/>
    <cellStyle name="Separador de milhares 3 7 2 2" xfId="49637"/>
    <cellStyle name="Separador de milhares 3 7 2 2 2" xfId="51034"/>
    <cellStyle name="Separador de milhares 3 7 2 3" xfId="50297"/>
    <cellStyle name="Separador de milhares 3 7 3" xfId="49638"/>
    <cellStyle name="Separador de milhares 3 7 3 2" xfId="50674"/>
    <cellStyle name="Separador de milhares 3 7 4" xfId="49639"/>
    <cellStyle name="Separador de milhares 3 7_Mem." xfId="49640"/>
    <cellStyle name="Separador de milhares 3 70" xfId="44881"/>
    <cellStyle name="Separador de milhares 3 71" xfId="44882"/>
    <cellStyle name="Separador de milhares 3 72" xfId="44883"/>
    <cellStyle name="Separador de milhares 3 73" xfId="44884"/>
    <cellStyle name="Separador de milhares 3 74" xfId="44885"/>
    <cellStyle name="Separador de milhares 3 75" xfId="44886"/>
    <cellStyle name="Separador de milhares 3 76" xfId="44887"/>
    <cellStyle name="Separador de milhares 3 77" xfId="44888"/>
    <cellStyle name="Separador de milhares 3 78" xfId="44889"/>
    <cellStyle name="Separador de milhares 3 79" xfId="44890"/>
    <cellStyle name="Separador de milhares 3 8" xfId="44891"/>
    <cellStyle name="Separador de milhares 3 8 2" xfId="49641"/>
    <cellStyle name="Separador de milhares 3 8 2 2" xfId="49642"/>
    <cellStyle name="Separador de milhares 3 8 2 2 2" xfId="50901"/>
    <cellStyle name="Separador de milhares 3 8 2 3" xfId="50169"/>
    <cellStyle name="Separador de milhares 3 8 3" xfId="49643"/>
    <cellStyle name="Separador de milhares 3 8 3 2" xfId="50537"/>
    <cellStyle name="Separador de milhares 3 8 4" xfId="49644"/>
    <cellStyle name="Separador de milhares 3 8_Mem." xfId="49645"/>
    <cellStyle name="Separador de milhares 3 80" xfId="44892"/>
    <cellStyle name="Separador de milhares 3 81" xfId="44893"/>
    <cellStyle name="Separador de milhares 3 82" xfId="44894"/>
    <cellStyle name="Separador de milhares 3 83" xfId="44895"/>
    <cellStyle name="Separador de milhares 3 84" xfId="44896"/>
    <cellStyle name="Separador de milhares 3 85" xfId="44897"/>
    <cellStyle name="Separador de milhares 3 86" xfId="44898"/>
    <cellStyle name="Separador de milhares 3 87" xfId="44899"/>
    <cellStyle name="Separador de milhares 3 88" xfId="44900"/>
    <cellStyle name="Separador de milhares 3 89" xfId="44901"/>
    <cellStyle name="Separador de milhares 3 9" xfId="44902"/>
    <cellStyle name="Separador de milhares 3 9 2" xfId="49646"/>
    <cellStyle name="Separador de milhares 3 9 2 2" xfId="49647"/>
    <cellStyle name="Separador de milhares 3 9 2 2 2" xfId="51190"/>
    <cellStyle name="Separador de milhares 3 9 2 3" xfId="50442"/>
    <cellStyle name="Separador de milhares 3 9 3" xfId="49648"/>
    <cellStyle name="Separador de milhares 3 9 3 2" xfId="50831"/>
    <cellStyle name="Separador de milhares 3 9 4" xfId="49649"/>
    <cellStyle name="Separador de milhares 3 9_Mem." xfId="49650"/>
    <cellStyle name="Separador de milhares 3 90" xfId="44903"/>
    <cellStyle name="Separador de milhares 3 91" xfId="44904"/>
    <cellStyle name="Separador de milhares 3 92" xfId="44905"/>
    <cellStyle name="Separador de milhares 3 93" xfId="44906"/>
    <cellStyle name="Separador de milhares 3 94" xfId="44907"/>
    <cellStyle name="Separador de milhares 3 95" xfId="44908"/>
    <cellStyle name="Separador de milhares 3 96" xfId="44909"/>
    <cellStyle name="Separador de milhares 3 97" xfId="44910"/>
    <cellStyle name="Separador de milhares 3 98" xfId="44911"/>
    <cellStyle name="Separador de milhares 3 99" xfId="44912"/>
    <cellStyle name="Separador de milhares 3_Mem." xfId="49651"/>
    <cellStyle name="Separador de milhares 4" xfId="51570"/>
    <cellStyle name="Separador de milhares 4 10" xfId="44913"/>
    <cellStyle name="Separador de milhares 4 100" xfId="44914"/>
    <cellStyle name="Separador de milhares 4 101" xfId="44915"/>
    <cellStyle name="Separador de milhares 4 102" xfId="44916"/>
    <cellStyle name="Separador de milhares 4 103" xfId="44917"/>
    <cellStyle name="Separador de milhares 4 104" xfId="44918"/>
    <cellStyle name="Separador de milhares 4 105" xfId="44919"/>
    <cellStyle name="Separador de milhares 4 106" xfId="44920"/>
    <cellStyle name="Separador de milhares 4 107" xfId="44921"/>
    <cellStyle name="Separador de milhares 4 108" xfId="44922"/>
    <cellStyle name="Separador de milhares 4 109" xfId="44923"/>
    <cellStyle name="Separador de milhares 4 11" xfId="44924"/>
    <cellStyle name="Separador de milhares 4 110" xfId="44925"/>
    <cellStyle name="Separador de milhares 4 111" xfId="44926"/>
    <cellStyle name="Separador de milhares 4 112" xfId="44927"/>
    <cellStyle name="Separador de milhares 4 113" xfId="44928"/>
    <cellStyle name="Separador de milhares 4 114" xfId="44929"/>
    <cellStyle name="Separador de milhares 4 115" xfId="44930"/>
    <cellStyle name="Separador de milhares 4 116" xfId="44931"/>
    <cellStyle name="Separador de milhares 4 117" xfId="44932"/>
    <cellStyle name="Separador de milhares 4 118" xfId="44933"/>
    <cellStyle name="Separador de milhares 4 119" xfId="44934"/>
    <cellStyle name="Separador de milhares 4 12" xfId="44935"/>
    <cellStyle name="Separador de milhares 4 120" xfId="44936"/>
    <cellStyle name="Separador de milhares 4 121" xfId="44937"/>
    <cellStyle name="Separador de milhares 4 122" xfId="44938"/>
    <cellStyle name="Separador de milhares 4 123" xfId="44939"/>
    <cellStyle name="Separador de milhares 4 124" xfId="44940"/>
    <cellStyle name="Separador de milhares 4 125" xfId="44941"/>
    <cellStyle name="Separador de milhares 4 126" xfId="44942"/>
    <cellStyle name="Separador de milhares 4 127" xfId="44943"/>
    <cellStyle name="Separador de milhares 4 128" xfId="44944"/>
    <cellStyle name="Separador de milhares 4 129" xfId="44945"/>
    <cellStyle name="Separador de milhares 4 13" xfId="44946"/>
    <cellStyle name="Separador de milhares 4 130" xfId="44947"/>
    <cellStyle name="Separador de milhares 4 131" xfId="44948"/>
    <cellStyle name="Separador de milhares 4 132" xfId="44949"/>
    <cellStyle name="Separador de milhares 4 133" xfId="44950"/>
    <cellStyle name="Separador de milhares 4 134" xfId="44951"/>
    <cellStyle name="Separador de milhares 4 135" xfId="44952"/>
    <cellStyle name="Separador de milhares 4 136" xfId="44953"/>
    <cellStyle name="Separador de milhares 4 137" xfId="44954"/>
    <cellStyle name="Separador de milhares 4 138" xfId="44955"/>
    <cellStyle name="Separador de milhares 4 139" xfId="44956"/>
    <cellStyle name="Separador de milhares 4 14" xfId="44957"/>
    <cellStyle name="Separador de milhares 4 140" xfId="44958"/>
    <cellStyle name="Separador de milhares 4 141" xfId="44959"/>
    <cellStyle name="Separador de milhares 4 142" xfId="44960"/>
    <cellStyle name="Separador de milhares 4 143" xfId="44961"/>
    <cellStyle name="Separador de milhares 4 144" xfId="44962"/>
    <cellStyle name="Separador de milhares 4 145" xfId="44963"/>
    <cellStyle name="Separador de milhares 4 146" xfId="44964"/>
    <cellStyle name="Separador de milhares 4 147" xfId="44965"/>
    <cellStyle name="Separador de milhares 4 148" xfId="44966"/>
    <cellStyle name="Separador de milhares 4 149" xfId="44967"/>
    <cellStyle name="Separador de milhares 4 15" xfId="44968"/>
    <cellStyle name="Separador de milhares 4 150" xfId="44969"/>
    <cellStyle name="Separador de milhares 4 151" xfId="44970"/>
    <cellStyle name="Separador de milhares 4 152" xfId="44971"/>
    <cellStyle name="Separador de milhares 4 153" xfId="44972"/>
    <cellStyle name="Separador de milhares 4 154" xfId="44973"/>
    <cellStyle name="Separador de milhares 4 155" xfId="44974"/>
    <cellStyle name="Separador de milhares 4 156" xfId="44975"/>
    <cellStyle name="Separador de milhares 4 157" xfId="44976"/>
    <cellStyle name="Separador de milhares 4 158" xfId="44977"/>
    <cellStyle name="Separador de milhares 4 159" xfId="44978"/>
    <cellStyle name="Separador de milhares 4 16" xfId="44979"/>
    <cellStyle name="Separador de milhares 4 160" xfId="44980"/>
    <cellStyle name="Separador de milhares 4 161" xfId="44981"/>
    <cellStyle name="Separador de milhares 4 162" xfId="44982"/>
    <cellStyle name="Separador de milhares 4 163" xfId="44983"/>
    <cellStyle name="Separador de milhares 4 164" xfId="44984"/>
    <cellStyle name="Separador de milhares 4 165" xfId="44985"/>
    <cellStyle name="Separador de milhares 4 166" xfId="44986"/>
    <cellStyle name="Separador de milhares 4 167" xfId="44987"/>
    <cellStyle name="Separador de milhares 4 168" xfId="44988"/>
    <cellStyle name="Separador de milhares 4 169" xfId="44989"/>
    <cellStyle name="Separador de milhares 4 17" xfId="44990"/>
    <cellStyle name="Separador de milhares 4 170" xfId="44991"/>
    <cellStyle name="Separador de milhares 4 171" xfId="44992"/>
    <cellStyle name="Separador de milhares 4 172" xfId="44993"/>
    <cellStyle name="Separador de milhares 4 173" xfId="44994"/>
    <cellStyle name="Separador de milhares 4 174" xfId="44995"/>
    <cellStyle name="Separador de milhares 4 175" xfId="44996"/>
    <cellStyle name="Separador de milhares 4 176" xfId="44997"/>
    <cellStyle name="Separador de milhares 4 177" xfId="44998"/>
    <cellStyle name="Separador de milhares 4 178" xfId="44999"/>
    <cellStyle name="Separador de milhares 4 179" xfId="45000"/>
    <cellStyle name="Separador de milhares 4 18" xfId="45001"/>
    <cellStyle name="Separador de milhares 4 180" xfId="45002"/>
    <cellStyle name="Separador de milhares 4 181" xfId="45003"/>
    <cellStyle name="Separador de milhares 4 182" xfId="45004"/>
    <cellStyle name="Separador de milhares 4 183" xfId="45005"/>
    <cellStyle name="Separador de milhares 4 184" xfId="45006"/>
    <cellStyle name="Separador de milhares 4 185" xfId="45007"/>
    <cellStyle name="Separador de milhares 4 186" xfId="45008"/>
    <cellStyle name="Separador de milhares 4 187" xfId="45009"/>
    <cellStyle name="Separador de milhares 4 188" xfId="45010"/>
    <cellStyle name="Separador de milhares 4 189" xfId="45011"/>
    <cellStyle name="Separador de milhares 4 19" xfId="45012"/>
    <cellStyle name="Separador de milhares 4 190" xfId="45013"/>
    <cellStyle name="Separador de milhares 4 2" xfId="45014"/>
    <cellStyle name="Separador de milhares 4 20" xfId="45015"/>
    <cellStyle name="Separador de milhares 4 21" xfId="45016"/>
    <cellStyle name="Separador de milhares 4 22" xfId="45017"/>
    <cellStyle name="Separador de milhares 4 23" xfId="45018"/>
    <cellStyle name="Separador de milhares 4 24" xfId="45019"/>
    <cellStyle name="Separador de milhares 4 25" xfId="45020"/>
    <cellStyle name="Separador de milhares 4 26" xfId="45021"/>
    <cellStyle name="Separador de milhares 4 27" xfId="45022"/>
    <cellStyle name="Separador de milhares 4 28" xfId="45023"/>
    <cellStyle name="Separador de milhares 4 29" xfId="45024"/>
    <cellStyle name="Separador de milhares 4 3" xfId="45025"/>
    <cellStyle name="Separador de milhares 4 30" xfId="45026"/>
    <cellStyle name="Separador de milhares 4 31" xfId="45027"/>
    <cellStyle name="Separador de milhares 4 32" xfId="45028"/>
    <cellStyle name="Separador de milhares 4 33" xfId="45029"/>
    <cellStyle name="Separador de milhares 4 34" xfId="45030"/>
    <cellStyle name="Separador de milhares 4 35" xfId="45031"/>
    <cellStyle name="Separador de milhares 4 36" xfId="45032"/>
    <cellStyle name="Separador de milhares 4 37" xfId="45033"/>
    <cellStyle name="Separador de milhares 4 38" xfId="45034"/>
    <cellStyle name="Separador de milhares 4 39" xfId="45035"/>
    <cellStyle name="Separador de milhares 4 4" xfId="45036"/>
    <cellStyle name="Separador de milhares 4 40" xfId="45037"/>
    <cellStyle name="Separador de milhares 4 41" xfId="45038"/>
    <cellStyle name="Separador de milhares 4 42" xfId="45039"/>
    <cellStyle name="Separador de milhares 4 43" xfId="45040"/>
    <cellStyle name="Separador de milhares 4 44" xfId="45041"/>
    <cellStyle name="Separador de milhares 4 45" xfId="45042"/>
    <cellStyle name="Separador de milhares 4 46" xfId="45043"/>
    <cellStyle name="Separador de milhares 4 47" xfId="45044"/>
    <cellStyle name="Separador de milhares 4 48" xfId="45045"/>
    <cellStyle name="Separador de milhares 4 49" xfId="45046"/>
    <cellStyle name="Separador de milhares 4 5" xfId="45047"/>
    <cellStyle name="Separador de milhares 4 50" xfId="45048"/>
    <cellStyle name="Separador de milhares 4 51" xfId="45049"/>
    <cellStyle name="Separador de milhares 4 52" xfId="45050"/>
    <cellStyle name="Separador de milhares 4 53" xfId="45051"/>
    <cellStyle name="Separador de milhares 4 54" xfId="45052"/>
    <cellStyle name="Separador de milhares 4 55" xfId="45053"/>
    <cellStyle name="Separador de milhares 4 56" xfId="45054"/>
    <cellStyle name="Separador de milhares 4 57" xfId="45055"/>
    <cellStyle name="Separador de milhares 4 58" xfId="45056"/>
    <cellStyle name="Separador de milhares 4 59" xfId="45057"/>
    <cellStyle name="Separador de milhares 4 6" xfId="45058"/>
    <cellStyle name="Separador de milhares 4 60" xfId="45059"/>
    <cellStyle name="Separador de milhares 4 61" xfId="45060"/>
    <cellStyle name="Separador de milhares 4 62" xfId="45061"/>
    <cellStyle name="Separador de milhares 4 63" xfId="45062"/>
    <cellStyle name="Separador de milhares 4 64" xfId="45063"/>
    <cellStyle name="Separador de milhares 4 65" xfId="45064"/>
    <cellStyle name="Separador de milhares 4 66" xfId="45065"/>
    <cellStyle name="Separador de milhares 4 67" xfId="45066"/>
    <cellStyle name="Separador de milhares 4 68" xfId="45067"/>
    <cellStyle name="Separador de milhares 4 69" xfId="45068"/>
    <cellStyle name="Separador de milhares 4 7" xfId="45069"/>
    <cellStyle name="Separador de milhares 4 70" xfId="45070"/>
    <cellStyle name="Separador de milhares 4 71" xfId="45071"/>
    <cellStyle name="Separador de milhares 4 72" xfId="45072"/>
    <cellStyle name="Separador de milhares 4 73" xfId="45073"/>
    <cellStyle name="Separador de milhares 4 74" xfId="45074"/>
    <cellStyle name="Separador de milhares 4 75" xfId="45075"/>
    <cellStyle name="Separador de milhares 4 76" xfId="45076"/>
    <cellStyle name="Separador de milhares 4 77" xfId="45077"/>
    <cellStyle name="Separador de milhares 4 78" xfId="45078"/>
    <cellStyle name="Separador de milhares 4 79" xfId="45079"/>
    <cellStyle name="Separador de milhares 4 8" xfId="45080"/>
    <cellStyle name="Separador de milhares 4 80" xfId="45081"/>
    <cellStyle name="Separador de milhares 4 81" xfId="45082"/>
    <cellStyle name="Separador de milhares 4 82" xfId="45083"/>
    <cellStyle name="Separador de milhares 4 83" xfId="45084"/>
    <cellStyle name="Separador de milhares 4 84" xfId="45085"/>
    <cellStyle name="Separador de milhares 4 85" xfId="45086"/>
    <cellStyle name="Separador de milhares 4 86" xfId="45087"/>
    <cellStyle name="Separador de milhares 4 87" xfId="45088"/>
    <cellStyle name="Separador de milhares 4 88" xfId="45089"/>
    <cellStyle name="Separador de milhares 4 89" xfId="45090"/>
    <cellStyle name="Separador de milhares 4 9" xfId="45091"/>
    <cellStyle name="Separador de milhares 4 90" xfId="45092"/>
    <cellStyle name="Separador de milhares 4 91" xfId="45093"/>
    <cellStyle name="Separador de milhares 4 92" xfId="45094"/>
    <cellStyle name="Separador de milhares 4 93" xfId="45095"/>
    <cellStyle name="Separador de milhares 4 94" xfId="45096"/>
    <cellStyle name="Separador de milhares 4 95" xfId="45097"/>
    <cellStyle name="Separador de milhares 4 96" xfId="45098"/>
    <cellStyle name="Separador de milhares 4 97" xfId="45099"/>
    <cellStyle name="Separador de milhares 4 98" xfId="45100"/>
    <cellStyle name="Separador de milhares 4 99" xfId="45101"/>
    <cellStyle name="Separador de milhares 5" xfId="51575"/>
    <cellStyle name="Separador de milhares 5 10" xfId="45102"/>
    <cellStyle name="Separador de milhares 5 100" xfId="45103"/>
    <cellStyle name="Separador de milhares 5 101" xfId="45104"/>
    <cellStyle name="Separador de milhares 5 102" xfId="45105"/>
    <cellStyle name="Separador de milhares 5 103" xfId="45106"/>
    <cellStyle name="Separador de milhares 5 104" xfId="45107"/>
    <cellStyle name="Separador de milhares 5 105" xfId="45108"/>
    <cellStyle name="Separador de milhares 5 106" xfId="45109"/>
    <cellStyle name="Separador de milhares 5 107" xfId="45110"/>
    <cellStyle name="Separador de milhares 5 108" xfId="45111"/>
    <cellStyle name="Separador de milhares 5 109" xfId="45112"/>
    <cellStyle name="Separador de milhares 5 11" xfId="45113"/>
    <cellStyle name="Separador de milhares 5 110" xfId="45114"/>
    <cellStyle name="Separador de milhares 5 111" xfId="45115"/>
    <cellStyle name="Separador de milhares 5 112" xfId="45116"/>
    <cellStyle name="Separador de milhares 5 113" xfId="45117"/>
    <cellStyle name="Separador de milhares 5 114" xfId="45118"/>
    <cellStyle name="Separador de milhares 5 115" xfId="45119"/>
    <cellStyle name="Separador de milhares 5 116" xfId="45120"/>
    <cellStyle name="Separador de milhares 5 117" xfId="45121"/>
    <cellStyle name="Separador de milhares 5 118" xfId="45122"/>
    <cellStyle name="Separador de milhares 5 119" xfId="45123"/>
    <cellStyle name="Separador de milhares 5 12" xfId="45124"/>
    <cellStyle name="Separador de milhares 5 120" xfId="45125"/>
    <cellStyle name="Separador de milhares 5 121" xfId="45126"/>
    <cellStyle name="Separador de milhares 5 122" xfId="45127"/>
    <cellStyle name="Separador de milhares 5 123" xfId="45128"/>
    <cellStyle name="Separador de milhares 5 124" xfId="45129"/>
    <cellStyle name="Separador de milhares 5 125" xfId="45130"/>
    <cellStyle name="Separador de milhares 5 126" xfId="45131"/>
    <cellStyle name="Separador de milhares 5 127" xfId="45132"/>
    <cellStyle name="Separador de milhares 5 128" xfId="45133"/>
    <cellStyle name="Separador de milhares 5 129" xfId="45134"/>
    <cellStyle name="Separador de milhares 5 13" xfId="45135"/>
    <cellStyle name="Separador de milhares 5 130" xfId="45136"/>
    <cellStyle name="Separador de milhares 5 131" xfId="45137"/>
    <cellStyle name="Separador de milhares 5 132" xfId="45138"/>
    <cellStyle name="Separador de milhares 5 133" xfId="45139"/>
    <cellStyle name="Separador de milhares 5 134" xfId="45140"/>
    <cellStyle name="Separador de milhares 5 135" xfId="45141"/>
    <cellStyle name="Separador de milhares 5 136" xfId="45142"/>
    <cellStyle name="Separador de milhares 5 137" xfId="45143"/>
    <cellStyle name="Separador de milhares 5 138" xfId="45144"/>
    <cellStyle name="Separador de milhares 5 139" xfId="45145"/>
    <cellStyle name="Separador de milhares 5 14" xfId="45146"/>
    <cellStyle name="Separador de milhares 5 140" xfId="45147"/>
    <cellStyle name="Separador de milhares 5 141" xfId="45148"/>
    <cellStyle name="Separador de milhares 5 142" xfId="45149"/>
    <cellStyle name="Separador de milhares 5 143" xfId="45150"/>
    <cellStyle name="Separador de milhares 5 144" xfId="45151"/>
    <cellStyle name="Separador de milhares 5 145" xfId="45152"/>
    <cellStyle name="Separador de milhares 5 146" xfId="45153"/>
    <cellStyle name="Separador de milhares 5 147" xfId="45154"/>
    <cellStyle name="Separador de milhares 5 148" xfId="45155"/>
    <cellStyle name="Separador de milhares 5 149" xfId="45156"/>
    <cellStyle name="Separador de milhares 5 15" xfId="45157"/>
    <cellStyle name="Separador de milhares 5 150" xfId="45158"/>
    <cellStyle name="Separador de milhares 5 151" xfId="45159"/>
    <cellStyle name="Separador de milhares 5 152" xfId="45160"/>
    <cellStyle name="Separador de milhares 5 153" xfId="45161"/>
    <cellStyle name="Separador de milhares 5 154" xfId="45162"/>
    <cellStyle name="Separador de milhares 5 155" xfId="45163"/>
    <cellStyle name="Separador de milhares 5 156" xfId="45164"/>
    <cellStyle name="Separador de milhares 5 157" xfId="45165"/>
    <cellStyle name="Separador de milhares 5 158" xfId="45166"/>
    <cellStyle name="Separador de milhares 5 159" xfId="45167"/>
    <cellStyle name="Separador de milhares 5 16" xfId="45168"/>
    <cellStyle name="Separador de milhares 5 160" xfId="45169"/>
    <cellStyle name="Separador de milhares 5 161" xfId="45170"/>
    <cellStyle name="Separador de milhares 5 162" xfId="45171"/>
    <cellStyle name="Separador de milhares 5 163" xfId="45172"/>
    <cellStyle name="Separador de milhares 5 164" xfId="45173"/>
    <cellStyle name="Separador de milhares 5 165" xfId="45174"/>
    <cellStyle name="Separador de milhares 5 166" xfId="45175"/>
    <cellStyle name="Separador de milhares 5 167" xfId="45176"/>
    <cellStyle name="Separador de milhares 5 168" xfId="45177"/>
    <cellStyle name="Separador de milhares 5 169" xfId="45178"/>
    <cellStyle name="Separador de milhares 5 17" xfId="45179"/>
    <cellStyle name="Separador de milhares 5 170" xfId="45180"/>
    <cellStyle name="Separador de milhares 5 171" xfId="45181"/>
    <cellStyle name="Separador de milhares 5 172" xfId="45182"/>
    <cellStyle name="Separador de milhares 5 173" xfId="45183"/>
    <cellStyle name="Separador de milhares 5 174" xfId="45184"/>
    <cellStyle name="Separador de milhares 5 175" xfId="45185"/>
    <cellStyle name="Separador de milhares 5 176" xfId="45186"/>
    <cellStyle name="Separador de milhares 5 177" xfId="45187"/>
    <cellStyle name="Separador de milhares 5 178" xfId="45188"/>
    <cellStyle name="Separador de milhares 5 179" xfId="45189"/>
    <cellStyle name="Separador de milhares 5 18" xfId="45190"/>
    <cellStyle name="Separador de milhares 5 180" xfId="45191"/>
    <cellStyle name="Separador de milhares 5 181" xfId="45192"/>
    <cellStyle name="Separador de milhares 5 182" xfId="45193"/>
    <cellStyle name="Separador de milhares 5 183" xfId="45194"/>
    <cellStyle name="Separador de milhares 5 184" xfId="45195"/>
    <cellStyle name="Separador de milhares 5 185" xfId="45196"/>
    <cellStyle name="Separador de milhares 5 186" xfId="45197"/>
    <cellStyle name="Separador de milhares 5 19" xfId="45198"/>
    <cellStyle name="Separador de milhares 5 2" xfId="45199"/>
    <cellStyle name="Separador de milhares 5 20" xfId="45200"/>
    <cellStyle name="Separador de milhares 5 21" xfId="45201"/>
    <cellStyle name="Separador de milhares 5 22" xfId="45202"/>
    <cellStyle name="Separador de milhares 5 23" xfId="45203"/>
    <cellStyle name="Separador de milhares 5 24" xfId="45204"/>
    <cellStyle name="Separador de milhares 5 25" xfId="45205"/>
    <cellStyle name="Separador de milhares 5 26" xfId="45206"/>
    <cellStyle name="Separador de milhares 5 27" xfId="45207"/>
    <cellStyle name="Separador de milhares 5 28" xfId="45208"/>
    <cellStyle name="Separador de milhares 5 29" xfId="45209"/>
    <cellStyle name="Separador de milhares 5 3" xfId="45210"/>
    <cellStyle name="Separador de milhares 5 30" xfId="45211"/>
    <cellStyle name="Separador de milhares 5 31" xfId="45212"/>
    <cellStyle name="Separador de milhares 5 32" xfId="45213"/>
    <cellStyle name="Separador de milhares 5 33" xfId="45214"/>
    <cellStyle name="Separador de milhares 5 34" xfId="45215"/>
    <cellStyle name="Separador de milhares 5 35" xfId="45216"/>
    <cellStyle name="Separador de milhares 5 36" xfId="45217"/>
    <cellStyle name="Separador de milhares 5 37" xfId="45218"/>
    <cellStyle name="Separador de milhares 5 38" xfId="45219"/>
    <cellStyle name="Separador de milhares 5 39" xfId="45220"/>
    <cellStyle name="Separador de milhares 5 4" xfId="45221"/>
    <cellStyle name="Separador de milhares 5 40" xfId="45222"/>
    <cellStyle name="Separador de milhares 5 41" xfId="45223"/>
    <cellStyle name="Separador de milhares 5 42" xfId="45224"/>
    <cellStyle name="Separador de milhares 5 43" xfId="45225"/>
    <cellStyle name="Separador de milhares 5 44" xfId="45226"/>
    <cellStyle name="Separador de milhares 5 45" xfId="45227"/>
    <cellStyle name="Separador de milhares 5 46" xfId="45228"/>
    <cellStyle name="Separador de milhares 5 47" xfId="45229"/>
    <cellStyle name="Separador de milhares 5 48" xfId="45230"/>
    <cellStyle name="Separador de milhares 5 49" xfId="45231"/>
    <cellStyle name="Separador de milhares 5 5" xfId="45232"/>
    <cellStyle name="Separador de milhares 5 50" xfId="45233"/>
    <cellStyle name="Separador de milhares 5 51" xfId="45234"/>
    <cellStyle name="Separador de milhares 5 52" xfId="45235"/>
    <cellStyle name="Separador de milhares 5 53" xfId="45236"/>
    <cellStyle name="Separador de milhares 5 54" xfId="45237"/>
    <cellStyle name="Separador de milhares 5 55" xfId="45238"/>
    <cellStyle name="Separador de milhares 5 56" xfId="45239"/>
    <cellStyle name="Separador de milhares 5 57" xfId="45240"/>
    <cellStyle name="Separador de milhares 5 58" xfId="45241"/>
    <cellStyle name="Separador de milhares 5 59" xfId="45242"/>
    <cellStyle name="Separador de milhares 5 6" xfId="45243"/>
    <cellStyle name="Separador de milhares 5 60" xfId="45244"/>
    <cellStyle name="Separador de milhares 5 61" xfId="45245"/>
    <cellStyle name="Separador de milhares 5 62" xfId="45246"/>
    <cellStyle name="Separador de milhares 5 63" xfId="45247"/>
    <cellStyle name="Separador de milhares 5 64" xfId="45248"/>
    <cellStyle name="Separador de milhares 5 65" xfId="45249"/>
    <cellStyle name="Separador de milhares 5 66" xfId="45250"/>
    <cellStyle name="Separador de milhares 5 67" xfId="45251"/>
    <cellStyle name="Separador de milhares 5 68" xfId="45252"/>
    <cellStyle name="Separador de milhares 5 69" xfId="45253"/>
    <cellStyle name="Separador de milhares 5 7" xfId="45254"/>
    <cellStyle name="Separador de milhares 5 70" xfId="45255"/>
    <cellStyle name="Separador de milhares 5 71" xfId="45256"/>
    <cellStyle name="Separador de milhares 5 72" xfId="45257"/>
    <cellStyle name="Separador de milhares 5 73" xfId="45258"/>
    <cellStyle name="Separador de milhares 5 74" xfId="45259"/>
    <cellStyle name="Separador de milhares 5 75" xfId="45260"/>
    <cellStyle name="Separador de milhares 5 76" xfId="45261"/>
    <cellStyle name="Separador de milhares 5 77" xfId="45262"/>
    <cellStyle name="Separador de milhares 5 78" xfId="45263"/>
    <cellStyle name="Separador de milhares 5 79" xfId="45264"/>
    <cellStyle name="Separador de milhares 5 8" xfId="45265"/>
    <cellStyle name="Separador de milhares 5 80" xfId="45266"/>
    <cellStyle name="Separador de milhares 5 81" xfId="45267"/>
    <cellStyle name="Separador de milhares 5 82" xfId="45268"/>
    <cellStyle name="Separador de milhares 5 83" xfId="45269"/>
    <cellStyle name="Separador de milhares 5 84" xfId="45270"/>
    <cellStyle name="Separador de milhares 5 85" xfId="45271"/>
    <cellStyle name="Separador de milhares 5 86" xfId="45272"/>
    <cellStyle name="Separador de milhares 5 87" xfId="45273"/>
    <cellStyle name="Separador de milhares 5 88" xfId="45274"/>
    <cellStyle name="Separador de milhares 5 89" xfId="45275"/>
    <cellStyle name="Separador de milhares 5 9" xfId="45276"/>
    <cellStyle name="Separador de milhares 5 90" xfId="45277"/>
    <cellStyle name="Separador de milhares 5 91" xfId="45278"/>
    <cellStyle name="Separador de milhares 5 92" xfId="45279"/>
    <cellStyle name="Separador de milhares 5 93" xfId="45280"/>
    <cellStyle name="Separador de milhares 5 94" xfId="45281"/>
    <cellStyle name="Separador de milhares 5 95" xfId="45282"/>
    <cellStyle name="Separador de milhares 5 96" xfId="45283"/>
    <cellStyle name="Separador de milhares 5 97" xfId="45284"/>
    <cellStyle name="Separador de milhares 5 98" xfId="45285"/>
    <cellStyle name="Separador de milhares 5 99" xfId="45286"/>
    <cellStyle name="Separador de milhares 7" xfId="51584"/>
    <cellStyle name="Separador de milhares 7 2" xfId="89"/>
    <cellStyle name="Separador de milhares 7 2 10" xfId="542"/>
    <cellStyle name="Separador de milhares 7 2 10 2" xfId="1613"/>
    <cellStyle name="Separador de milhares 7 2 11" xfId="665"/>
    <cellStyle name="Separador de milhares 7 2 11 2" xfId="1736"/>
    <cellStyle name="Separador de milhares 7 2 12" xfId="1170"/>
    <cellStyle name="Separador de milhares 7 2 13" xfId="52200"/>
    <cellStyle name="Separador de milhares 7 2 2" xfId="154"/>
    <cellStyle name="Separador de milhares 7 2 2 2" xfId="1226"/>
    <cellStyle name="Separador de milhares 7 2 3" xfId="238"/>
    <cellStyle name="Separador de milhares 7 2 3 2" xfId="1310"/>
    <cellStyle name="Separador de milhares 7 2 4" xfId="295"/>
    <cellStyle name="Separador de milhares 7 2 4 2" xfId="1367"/>
    <cellStyle name="Separador de milhares 7 2 5" xfId="344"/>
    <cellStyle name="Separador de milhares 7 2 5 2" xfId="1416"/>
    <cellStyle name="Separador de milhares 7 2 6" xfId="383"/>
    <cellStyle name="Separador de milhares 7 2 6 2" xfId="1455"/>
    <cellStyle name="Separador de milhares 7 2 7" xfId="441"/>
    <cellStyle name="Separador de milhares 7 2 7 2" xfId="1513"/>
    <cellStyle name="Separador de milhares 7 2 8" xfId="507"/>
    <cellStyle name="Separador de milhares 7 2 8 2" xfId="1578"/>
    <cellStyle name="Separador de milhares 7 2 9" xfId="619"/>
    <cellStyle name="Separador de milhares 7 2 9 2" xfId="1690"/>
    <cellStyle name="Separador de milhares 7 3" xfId="90"/>
    <cellStyle name="Separador de milhares 7 3 10" xfId="551"/>
    <cellStyle name="Separador de milhares 7 3 10 2" xfId="1622"/>
    <cellStyle name="Separador de milhares 7 3 11" xfId="655"/>
    <cellStyle name="Separador de milhares 7 3 11 2" xfId="1726"/>
    <cellStyle name="Separador de milhares 7 3 12" xfId="1171"/>
    <cellStyle name="Separador de milhares 7 3 13" xfId="52240"/>
    <cellStyle name="Separador de milhares 7 3 2" xfId="155"/>
    <cellStyle name="Separador de milhares 7 3 2 2" xfId="1227"/>
    <cellStyle name="Separador de milhares 7 3 3" xfId="239"/>
    <cellStyle name="Separador de milhares 7 3 3 2" xfId="1311"/>
    <cellStyle name="Separador de milhares 7 3 4" xfId="296"/>
    <cellStyle name="Separador de milhares 7 3 4 2" xfId="1368"/>
    <cellStyle name="Separador de milhares 7 3 5" xfId="345"/>
    <cellStyle name="Separador de milhares 7 3 5 2" xfId="1417"/>
    <cellStyle name="Separador de milhares 7 3 6" xfId="384"/>
    <cellStyle name="Separador de milhares 7 3 6 2" xfId="1456"/>
    <cellStyle name="Separador de milhares 7 3 7" xfId="442"/>
    <cellStyle name="Separador de milhares 7 3 7 2" xfId="1514"/>
    <cellStyle name="Separador de milhares 7 3 8" xfId="508"/>
    <cellStyle name="Separador de milhares 7 3 8 2" xfId="1579"/>
    <cellStyle name="Separador de milhares 7 3 9" xfId="603"/>
    <cellStyle name="Separador de milhares 7 3 9 2" xfId="1674"/>
    <cellStyle name="Separador de milhares 7 4" xfId="91"/>
    <cellStyle name="Separador de milhares 7 4 10" xfId="578"/>
    <cellStyle name="Separador de milhares 7 4 10 2" xfId="1649"/>
    <cellStyle name="Separador de milhares 7 4 11" xfId="526"/>
    <cellStyle name="Separador de milhares 7 4 11 2" xfId="1597"/>
    <cellStyle name="Separador de milhares 7 4 12" xfId="1172"/>
    <cellStyle name="Separador de milhares 7 4 2" xfId="156"/>
    <cellStyle name="Separador de milhares 7 4 2 2" xfId="1228"/>
    <cellStyle name="Separador de milhares 7 4 3" xfId="240"/>
    <cellStyle name="Separador de milhares 7 4 3 2" xfId="1312"/>
    <cellStyle name="Separador de milhares 7 4 4" xfId="297"/>
    <cellStyle name="Separador de milhares 7 4 4 2" xfId="1369"/>
    <cellStyle name="Separador de milhares 7 4 5" xfId="346"/>
    <cellStyle name="Separador de milhares 7 4 5 2" xfId="1418"/>
    <cellStyle name="Separador de milhares 7 4 6" xfId="385"/>
    <cellStyle name="Separador de milhares 7 4 6 2" xfId="1457"/>
    <cellStyle name="Separador de milhares 7 4 7" xfId="443"/>
    <cellStyle name="Separador de milhares 7 4 7 2" xfId="1515"/>
    <cellStyle name="Separador de milhares 7 4 8" xfId="509"/>
    <cellStyle name="Separador de milhares 7 4 8 2" xfId="1580"/>
    <cellStyle name="Separador de milhares 7 4 9" xfId="582"/>
    <cellStyle name="Separador de milhares 7 4 9 2" xfId="1653"/>
    <cellStyle name="Separador de milhares 8" xfId="51588"/>
    <cellStyle name="Separador de milhares 8 2" xfId="52202"/>
    <cellStyle name="Separador de milhares 8 3" xfId="52231"/>
    <cellStyle name="Separador de milhares 9" xfId="51582"/>
    <cellStyle name="Separador de milhares 9 2" xfId="52198"/>
    <cellStyle name="Separador de milhares 9 3" xfId="52241"/>
    <cellStyle name="Texto de Aviso" xfId="43955" builtinId="11" customBuiltin="1"/>
    <cellStyle name="Texto de Aviso 10" xfId="51946"/>
    <cellStyle name="Texto de Aviso 11" xfId="51988"/>
    <cellStyle name="Texto de Aviso 12" xfId="52031"/>
    <cellStyle name="Texto de Aviso 13" xfId="52074"/>
    <cellStyle name="Texto de Aviso 14" xfId="52117"/>
    <cellStyle name="Texto de Aviso 2" xfId="92"/>
    <cellStyle name="Texto de Aviso 3" xfId="51679"/>
    <cellStyle name="Texto de Aviso 4" xfId="51688"/>
    <cellStyle name="Texto de Aviso 5" xfId="51731"/>
    <cellStyle name="Texto de Aviso 6" xfId="51773"/>
    <cellStyle name="Texto de Aviso 7" xfId="51815"/>
    <cellStyle name="Texto de Aviso 8" xfId="51893"/>
    <cellStyle name="Texto de Aviso 9" xfId="51903"/>
    <cellStyle name="Texto Explicativo" xfId="43957" builtinId="53" customBuiltin="1"/>
    <cellStyle name="Texto Explicativo 10" xfId="51945"/>
    <cellStyle name="Texto Explicativo 11" xfId="51987"/>
    <cellStyle name="Texto Explicativo 12" xfId="52030"/>
    <cellStyle name="Texto Explicativo 13" xfId="52073"/>
    <cellStyle name="Texto Explicativo 14" xfId="52116"/>
    <cellStyle name="Texto Explicativo 2" xfId="93"/>
    <cellStyle name="Texto Explicativo 3" xfId="51680"/>
    <cellStyle name="Texto Explicativo 4" xfId="51687"/>
    <cellStyle name="Texto Explicativo 5" xfId="51730"/>
    <cellStyle name="Texto Explicativo 6" xfId="51772"/>
    <cellStyle name="Texto Explicativo 7" xfId="51814"/>
    <cellStyle name="Texto Explicativo 8" xfId="51894"/>
    <cellStyle name="Texto Explicativo 9" xfId="51902"/>
    <cellStyle name="Title" xfId="51566"/>
    <cellStyle name="Título" xfId="43942" builtinId="15" customBuiltin="1"/>
    <cellStyle name="Título 1" xfId="43943" builtinId="16" customBuiltin="1"/>
    <cellStyle name="Título 1 10" xfId="51943"/>
    <cellStyle name="Título 1 11" xfId="51985"/>
    <cellStyle name="Título 1 12" xfId="52028"/>
    <cellStyle name="Título 1 13" xfId="52071"/>
    <cellStyle name="Título 1 14" xfId="52114"/>
    <cellStyle name="Título 1 2" xfId="95"/>
    <cellStyle name="Título 1 3" xfId="51682"/>
    <cellStyle name="Título 1 4" xfId="51725"/>
    <cellStyle name="Título 1 5" xfId="51767"/>
    <cellStyle name="Título 1 6" xfId="51809"/>
    <cellStyle name="Título 1 7" xfId="51853"/>
    <cellStyle name="Título 1 8" xfId="51896"/>
    <cellStyle name="Título 1 9" xfId="51900"/>
    <cellStyle name="Título 10" xfId="51813"/>
    <cellStyle name="Título 11" xfId="51895"/>
    <cellStyle name="Título 12" xfId="51901"/>
    <cellStyle name="Título 13" xfId="51944"/>
    <cellStyle name="Título 14" xfId="51986"/>
    <cellStyle name="Título 15" xfId="52029"/>
    <cellStyle name="Título 16" xfId="52072"/>
    <cellStyle name="Título 17" xfId="52115"/>
    <cellStyle name="Título 2" xfId="43944" builtinId="17" customBuiltin="1"/>
    <cellStyle name="Título 2 10" xfId="51982"/>
    <cellStyle name="Título 2 11" xfId="52025"/>
    <cellStyle name="Título 2 12" xfId="52068"/>
    <cellStyle name="Título 2 13" xfId="52111"/>
    <cellStyle name="Título 2 14" xfId="52154"/>
    <cellStyle name="Título 2 2" xfId="96"/>
    <cellStyle name="Título 2 3" xfId="51683"/>
    <cellStyle name="Título 2 4" xfId="51726"/>
    <cellStyle name="Título 2 5" xfId="51768"/>
    <cellStyle name="Título 2 6" xfId="51810"/>
    <cellStyle name="Título 2 7" xfId="51854"/>
    <cellStyle name="Título 2 8" xfId="51897"/>
    <cellStyle name="Título 2 9" xfId="51940"/>
    <cellStyle name="Título 3" xfId="43945" builtinId="18" customBuiltin="1"/>
    <cellStyle name="Título 3 10" xfId="51983"/>
    <cellStyle name="Título 3 11" xfId="52026"/>
    <cellStyle name="Título 3 12" xfId="52069"/>
    <cellStyle name="Título 3 13" xfId="52112"/>
    <cellStyle name="Título 3 14" xfId="52155"/>
    <cellStyle name="Título 3 2" xfId="97"/>
    <cellStyle name="Título 3 2 2" xfId="43983"/>
    <cellStyle name="Título 3 2 2 2" xfId="45334"/>
    <cellStyle name="Título 3 2 2 3" xfId="45305"/>
    <cellStyle name="Título 3 2 3" xfId="45296"/>
    <cellStyle name="Título 3 2 3 2" xfId="45336"/>
    <cellStyle name="Título 3 2 3 3" xfId="45306"/>
    <cellStyle name="Título 3 2 3 4" xfId="47936"/>
    <cellStyle name="Título 3 2 4" xfId="45301"/>
    <cellStyle name="Título 3 2 4 2" xfId="47938"/>
    <cellStyle name="Título 3 3" xfId="51684"/>
    <cellStyle name="Título 3 4" xfId="51727"/>
    <cellStyle name="Título 3 5" xfId="51769"/>
    <cellStyle name="Título 3 6" xfId="51811"/>
    <cellStyle name="Título 3 7" xfId="51855"/>
    <cellStyle name="Título 3 8" xfId="51898"/>
    <cellStyle name="Título 3 9" xfId="51941"/>
    <cellStyle name="Título 4" xfId="43946" builtinId="19" customBuiltin="1"/>
    <cellStyle name="Título 4 10" xfId="51984"/>
    <cellStyle name="Título 4 11" xfId="52027"/>
    <cellStyle name="Título 4 12" xfId="52070"/>
    <cellStyle name="Título 4 13" xfId="52113"/>
    <cellStyle name="Título 4 14" xfId="52156"/>
    <cellStyle name="Título 4 2" xfId="98"/>
    <cellStyle name="Título 4 3" xfId="51685"/>
    <cellStyle name="Título 4 4" xfId="51728"/>
    <cellStyle name="Título 4 5" xfId="51770"/>
    <cellStyle name="Título 4 6" xfId="51812"/>
    <cellStyle name="Título 4 7" xfId="51856"/>
    <cellStyle name="Título 4 8" xfId="51899"/>
    <cellStyle name="Título 4 9" xfId="51942"/>
    <cellStyle name="Título 5" xfId="94"/>
    <cellStyle name="Título 6" xfId="51681"/>
    <cellStyle name="Título 7" xfId="51686"/>
    <cellStyle name="Título 8" xfId="51729"/>
    <cellStyle name="Título 9" xfId="51771"/>
    <cellStyle name="Total" xfId="43958" builtinId="25" customBuiltin="1"/>
    <cellStyle name="Total 10" xfId="51595"/>
    <cellStyle name="Total 10 2" xfId="52205"/>
    <cellStyle name="Total 10 3" xfId="52246"/>
    <cellStyle name="Total 11" xfId="51603"/>
    <cellStyle name="Total 11 2" xfId="52212"/>
    <cellStyle name="Total 11 3" xfId="52220"/>
    <cellStyle name="Total 12" xfId="51606"/>
    <cellStyle name="Total 12 2" xfId="52213"/>
    <cellStyle name="Total 12 3" xfId="52252"/>
    <cellStyle name="Total 13" xfId="51609"/>
    <cellStyle name="Total 13 2" xfId="52214"/>
    <cellStyle name="Total 13 3" xfId="52243"/>
    <cellStyle name="Total 14" xfId="51612"/>
    <cellStyle name="Total 14 2" xfId="52215"/>
    <cellStyle name="Total 14 3" xfId="52233"/>
    <cellStyle name="Total 15" xfId="51615"/>
    <cellStyle name="Total 15 2" xfId="52216"/>
    <cellStyle name="Total 15 3" xfId="52222"/>
    <cellStyle name="Total 2" xfId="99"/>
    <cellStyle name="Total 2 10" xfId="4760"/>
    <cellStyle name="Total 2 11" xfId="4172"/>
    <cellStyle name="Total 2 12" xfId="2430"/>
    <cellStyle name="Total 2 13" xfId="4199"/>
    <cellStyle name="Total 2 14" xfId="1966"/>
    <cellStyle name="Total 2 15" xfId="2607"/>
    <cellStyle name="Total 2 16" xfId="2451"/>
    <cellStyle name="Total 2 17" xfId="10893"/>
    <cellStyle name="Total 2 18" xfId="3931"/>
    <cellStyle name="Total 2 19" xfId="5360"/>
    <cellStyle name="Total 2 2" xfId="3400"/>
    <cellStyle name="Total 2 2 10" xfId="14142"/>
    <cellStyle name="Total 2 2 11" xfId="16045"/>
    <cellStyle name="Total 2 2 12" xfId="16744"/>
    <cellStyle name="Total 2 2 13" xfId="18651"/>
    <cellStyle name="Total 2 2 14" xfId="20563"/>
    <cellStyle name="Total 2 2 15" xfId="23671"/>
    <cellStyle name="Total 2 2 16" xfId="24365"/>
    <cellStyle name="Total 2 2 17" xfId="27712"/>
    <cellStyle name="Total 2 2 18" xfId="28503"/>
    <cellStyle name="Total 2 2 19" xfId="31288"/>
    <cellStyle name="Total 2 2 2" xfId="3580"/>
    <cellStyle name="Total 2 2 2 10" xfId="17471"/>
    <cellStyle name="Total 2 2 2 11" xfId="19377"/>
    <cellStyle name="Total 2 2 2 12" xfId="21289"/>
    <cellStyle name="Total 2 2 2 13" xfId="23275"/>
    <cellStyle name="Total 2 2 2 14" xfId="25091"/>
    <cellStyle name="Total 2 2 2 15" xfId="27266"/>
    <cellStyle name="Total 2 2 2 16" xfId="29581"/>
    <cellStyle name="Total 2 2 2 17" xfId="30857"/>
    <cellStyle name="Total 2 2 2 18" xfId="31824"/>
    <cellStyle name="Total 2 2 2 19" xfId="34924"/>
    <cellStyle name="Total 2 2 2 2" xfId="5526"/>
    <cellStyle name="Total 2 2 2 2 10" xfId="21776"/>
    <cellStyle name="Total 2 2 2 2 11" xfId="22416"/>
    <cellStyle name="Total 2 2 2 2 12" xfId="25578"/>
    <cellStyle name="Total 2 2 2 2 13" xfId="12795"/>
    <cellStyle name="Total 2 2 2 2 14" xfId="24221"/>
    <cellStyle name="Total 2 2 2 2 15" xfId="4198"/>
    <cellStyle name="Total 2 2 2 2 16" xfId="12293"/>
    <cellStyle name="Total 2 2 2 2 17" xfId="32561"/>
    <cellStyle name="Total 2 2 2 2 18" xfId="36405"/>
    <cellStyle name="Total 2 2 2 2 19" xfId="38284"/>
    <cellStyle name="Total 2 2 2 2 2" xfId="6975"/>
    <cellStyle name="Total 2 2 2 2 20" xfId="34366"/>
    <cellStyle name="Total 2 2 2 2 21" xfId="3031"/>
    <cellStyle name="Total 2 2 2 2 22" xfId="42227"/>
    <cellStyle name="Total 2 2 2 2 3" xfId="8429"/>
    <cellStyle name="Total 2 2 2 2 4" xfId="10339"/>
    <cellStyle name="Total 2 2 2 2 5" xfId="11162"/>
    <cellStyle name="Total 2 2 2 2 6" xfId="12883"/>
    <cellStyle name="Total 2 2 2 2 7" xfId="14788"/>
    <cellStyle name="Total 2 2 2 2 8" xfId="17958"/>
    <cellStyle name="Total 2 2 2 2 9" xfId="19864"/>
    <cellStyle name="Total 2 2 2 20" xfId="35918"/>
    <cellStyle name="Total 2 2 2 21" xfId="37797"/>
    <cellStyle name="Total 2 2 2 22" xfId="39062"/>
    <cellStyle name="Total 2 2 2 23" xfId="40744"/>
    <cellStyle name="Total 2 2 2 24" xfId="43051"/>
    <cellStyle name="Total 2 2 2 3" xfId="5041"/>
    <cellStyle name="Total 2 2 2 3 2" xfId="45685"/>
    <cellStyle name="Total 2 2 2 3 3" xfId="46074"/>
    <cellStyle name="Total 2 2 2 3 4" xfId="46432"/>
    <cellStyle name="Total 2 2 2 3 5" xfId="46784"/>
    <cellStyle name="Total 2 2 2 3 6" xfId="47099"/>
    <cellStyle name="Total 2 2 2 3 7" xfId="47418"/>
    <cellStyle name="Total 2 2 2 3 8" xfId="47736"/>
    <cellStyle name="Total 2 2 2 4" xfId="6491"/>
    <cellStyle name="Total 2 2 2 4 2" xfId="45629"/>
    <cellStyle name="Total 2 2 2 4 3" xfId="46018"/>
    <cellStyle name="Total 2 2 2 4 4" xfId="46376"/>
    <cellStyle name="Total 2 2 2 4 5" xfId="46728"/>
    <cellStyle name="Total 2 2 2 4 6" xfId="47043"/>
    <cellStyle name="Total 2 2 2 4 7" xfId="47362"/>
    <cellStyle name="Total 2 2 2 4 8" xfId="47680"/>
    <cellStyle name="Total 2 2 2 5" xfId="7942"/>
    <cellStyle name="Total 2 2 2 6" xfId="9852"/>
    <cellStyle name="Total 2 2 2 7" xfId="11213"/>
    <cellStyle name="Total 2 2 2 8" xfId="13747"/>
    <cellStyle name="Total 2 2 2 9" xfId="15649"/>
    <cellStyle name="Total 2 2 20" xfId="33306"/>
    <cellStyle name="Total 2 2 21" xfId="33637"/>
    <cellStyle name="Total 2 2 22" xfId="35193"/>
    <cellStyle name="Total 2 2 23" xfId="37071"/>
    <cellStyle name="Total 2 2 24" xfId="40489"/>
    <cellStyle name="Total 2 2 25" xfId="42142"/>
    <cellStyle name="Total 2 2 26" xfId="43429"/>
    <cellStyle name="Total 2 2 3" xfId="3828"/>
    <cellStyle name="Total 2 2 3 10" xfId="19555"/>
    <cellStyle name="Total 2 2 3 11" xfId="21467"/>
    <cellStyle name="Total 2 2 3 12" xfId="22788"/>
    <cellStyle name="Total 2 2 3 13" xfId="25269"/>
    <cellStyle name="Total 2 2 3 14" xfId="27697"/>
    <cellStyle name="Total 2 2 3 15" xfId="3088"/>
    <cellStyle name="Total 2 2 3 16" xfId="31271"/>
    <cellStyle name="Total 2 2 3 17" xfId="32976"/>
    <cellStyle name="Total 2 2 3 18" xfId="29532"/>
    <cellStyle name="Total 2 2 3 19" xfId="36096"/>
    <cellStyle name="Total 2 2 3 2" xfId="5825"/>
    <cellStyle name="Total 2 2 3 2 10" xfId="22075"/>
    <cellStyle name="Total 2 2 3 2 11" xfId="23029"/>
    <cellStyle name="Total 2 2 3 2 12" xfId="25877"/>
    <cellStyle name="Total 2 2 3 2 13" xfId="26891"/>
    <cellStyle name="Total 2 2 3 2 14" xfId="28304"/>
    <cellStyle name="Total 2 2 3 2 15" xfId="30487"/>
    <cellStyle name="Total 2 2 3 2 16" xfId="33160"/>
    <cellStyle name="Total 2 2 3 2 17" xfId="33570"/>
    <cellStyle name="Total 2 2 3 2 18" xfId="36704"/>
    <cellStyle name="Total 2 2 3 2 19" xfId="38583"/>
    <cellStyle name="Total 2 2 3 2 2" xfId="7274"/>
    <cellStyle name="Total 2 2 3 2 20" xfId="40352"/>
    <cellStyle name="Total 2 2 3 2 21" xfId="42008"/>
    <cellStyle name="Total 2 2 3 2 22" xfId="42812"/>
    <cellStyle name="Total 2 2 3 2 3" xfId="8728"/>
    <cellStyle name="Total 2 2 3 2 4" xfId="10638"/>
    <cellStyle name="Total 2 2 3 2 5" xfId="12620"/>
    <cellStyle name="Total 2 2 3 2 6" xfId="13499"/>
    <cellStyle name="Total 2 2 3 2 7" xfId="15403"/>
    <cellStyle name="Total 2 2 3 2 8" xfId="18257"/>
    <cellStyle name="Total 2 2 3 2 9" xfId="20163"/>
    <cellStyle name="Total 2 2 3 20" xfId="37975"/>
    <cellStyle name="Total 2 2 3 21" xfId="40177"/>
    <cellStyle name="Total 2 2 3 22" xfId="41836"/>
    <cellStyle name="Total 2 2 3 23" xfId="42581"/>
    <cellStyle name="Total 2 2 3 3" xfId="5219"/>
    <cellStyle name="Total 2 2 3 3 2" xfId="45709"/>
    <cellStyle name="Total 2 2 3 3 3" xfId="46098"/>
    <cellStyle name="Total 2 2 3 3 4" xfId="46456"/>
    <cellStyle name="Total 2 2 3 3 5" xfId="46808"/>
    <cellStyle name="Total 2 2 3 3 6" xfId="47123"/>
    <cellStyle name="Total 2 2 3 3 7" xfId="47442"/>
    <cellStyle name="Total 2 2 3 3 8" xfId="47760"/>
    <cellStyle name="Total 2 2 3 4" xfId="8120"/>
    <cellStyle name="Total 2 2 3 4 2" xfId="45598"/>
    <cellStyle name="Total 2 2 3 4 3" xfId="45987"/>
    <cellStyle name="Total 2 2 3 4 4" xfId="46345"/>
    <cellStyle name="Total 2 2 3 4 5" xfId="46697"/>
    <cellStyle name="Total 2 2 3 4 6" xfId="47012"/>
    <cellStyle name="Total 2 2 3 4 7" xfId="47331"/>
    <cellStyle name="Total 2 2 3 4 8" xfId="47649"/>
    <cellStyle name="Total 2 2 3 5" xfId="10030"/>
    <cellStyle name="Total 2 2 3 5 2" xfId="45613"/>
    <cellStyle name="Total 2 2 3 5 3" xfId="46002"/>
    <cellStyle name="Total 2 2 3 5 4" xfId="46360"/>
    <cellStyle name="Total 2 2 3 5 5" xfId="46712"/>
    <cellStyle name="Total 2 2 3 5 6" xfId="47027"/>
    <cellStyle name="Total 2 2 3 5 7" xfId="47346"/>
    <cellStyle name="Total 2 2 3 5 8" xfId="47664"/>
    <cellStyle name="Total 2 2 3 6" xfId="12483"/>
    <cellStyle name="Total 2 2 3 7" xfId="13257"/>
    <cellStyle name="Total 2 2 3 8" xfId="15161"/>
    <cellStyle name="Total 2 2 3 9" xfId="17649"/>
    <cellStyle name="Total 2 2 4" xfId="4032"/>
    <cellStyle name="Total 2 2 4 10" xfId="19667"/>
    <cellStyle name="Total 2 2 4 11" xfId="21579"/>
    <cellStyle name="Total 2 2 4 12" xfId="23716"/>
    <cellStyle name="Total 2 2 4 13" xfId="25381"/>
    <cellStyle name="Total 2 2 4 14" xfId="26976"/>
    <cellStyle name="Total 2 2 4 15" xfId="29618"/>
    <cellStyle name="Total 2 2 4 16" xfId="30570"/>
    <cellStyle name="Total 2 2 4 17" xfId="31974"/>
    <cellStyle name="Total 2 2 4 18" xfId="33643"/>
    <cellStyle name="Total 2 2 4 19" xfId="36208"/>
    <cellStyle name="Total 2 2 4 2" xfId="5937"/>
    <cellStyle name="Total 2 2 4 2 10" xfId="22187"/>
    <cellStyle name="Total 2 2 4 2 11" xfId="23335"/>
    <cellStyle name="Total 2 2 4 2 12" xfId="25989"/>
    <cellStyle name="Total 2 2 4 2 13" xfId="27525"/>
    <cellStyle name="Total 2 2 4 2 14" xfId="29504"/>
    <cellStyle name="Total 2 2 4 2 15" xfId="31107"/>
    <cellStyle name="Total 2 2 4 2 16" xfId="32821"/>
    <cellStyle name="Total 2 2 4 2 17" xfId="34232"/>
    <cellStyle name="Total 2 2 4 2 18" xfId="36816"/>
    <cellStyle name="Total 2 2 4 2 19" xfId="38695"/>
    <cellStyle name="Total 2 2 4 2 2" xfId="7386"/>
    <cellStyle name="Total 2 2 4 2 20" xfId="40030"/>
    <cellStyle name="Total 2 2 4 2 21" xfId="41694"/>
    <cellStyle name="Total 2 2 4 2 22" xfId="43105"/>
    <cellStyle name="Total 2 2 4 2 3" xfId="8840"/>
    <cellStyle name="Total 2 2 4 2 4" xfId="10750"/>
    <cellStyle name="Total 2 2 4 2 5" xfId="11631"/>
    <cellStyle name="Total 2 2 4 2 6" xfId="13807"/>
    <cellStyle name="Total 2 2 4 2 7" xfId="15709"/>
    <cellStyle name="Total 2 2 4 2 8" xfId="18369"/>
    <cellStyle name="Total 2 2 4 2 9" xfId="20275"/>
    <cellStyle name="Total 2 2 4 20" xfId="38087"/>
    <cellStyle name="Total 2 2 4 21" xfId="39204"/>
    <cellStyle name="Total 2 2 4 22" xfId="40885"/>
    <cellStyle name="Total 2 2 4 23" xfId="43473"/>
    <cellStyle name="Total 2 2 4 3" xfId="6778"/>
    <cellStyle name="Total 2 2 4 3 2" xfId="45710"/>
    <cellStyle name="Total 2 2 4 3 3" xfId="46099"/>
    <cellStyle name="Total 2 2 4 3 4" xfId="46457"/>
    <cellStyle name="Total 2 2 4 3 5" xfId="46809"/>
    <cellStyle name="Total 2 2 4 3 6" xfId="47124"/>
    <cellStyle name="Total 2 2 4 3 7" xfId="47443"/>
    <cellStyle name="Total 2 2 4 3 8" xfId="47761"/>
    <cellStyle name="Total 2 2 4 4" xfId="8232"/>
    <cellStyle name="Total 2 2 4 4 2" xfId="45597"/>
    <cellStyle name="Total 2 2 4 4 3" xfId="45986"/>
    <cellStyle name="Total 2 2 4 4 4" xfId="46344"/>
    <cellStyle name="Total 2 2 4 4 5" xfId="46696"/>
    <cellStyle name="Total 2 2 4 4 6" xfId="47011"/>
    <cellStyle name="Total 2 2 4 4 7" xfId="47330"/>
    <cellStyle name="Total 2 2 4 4 8" xfId="47648"/>
    <cellStyle name="Total 2 2 4 5" xfId="10142"/>
    <cellStyle name="Total 2 2 4 5 2" xfId="45814"/>
    <cellStyle name="Total 2 2 4 5 3" xfId="46203"/>
    <cellStyle name="Total 2 2 4 5 4" xfId="46561"/>
    <cellStyle name="Total 2 2 4 5 5" xfId="46913"/>
    <cellStyle name="Total 2 2 4 5 6" xfId="47228"/>
    <cellStyle name="Total 2 2 4 5 7" xfId="47547"/>
    <cellStyle name="Total 2 2 4 5 8" xfId="47865"/>
    <cellStyle name="Total 2 2 4 6" xfId="11660"/>
    <cellStyle name="Total 2 2 4 7" xfId="14186"/>
    <cellStyle name="Total 2 2 4 8" xfId="16090"/>
    <cellStyle name="Total 2 2 4 9" xfId="17761"/>
    <cellStyle name="Total 2 2 5" xfId="4898"/>
    <cellStyle name="Total 2 2 5 10" xfId="21146"/>
    <cellStyle name="Total 2 2 5 11" xfId="23394"/>
    <cellStyle name="Total 2 2 5 12" xfId="24948"/>
    <cellStyle name="Total 2 2 5 13" xfId="27123"/>
    <cellStyle name="Total 2 2 5 14" xfId="2062"/>
    <cellStyle name="Total 2 2 5 15" xfId="30713"/>
    <cellStyle name="Total 2 2 5 16" xfId="32389"/>
    <cellStyle name="Total 2 2 5 17" xfId="33644"/>
    <cellStyle name="Total 2 2 5 18" xfId="35775"/>
    <cellStyle name="Total 2 2 5 19" xfId="37654"/>
    <cellStyle name="Total 2 2 5 2" xfId="6348"/>
    <cellStyle name="Total 2 2 5 2 2" xfId="45971"/>
    <cellStyle name="Total 2 2 5 2 3" xfId="46329"/>
    <cellStyle name="Total 2 2 5 2 4" xfId="46681"/>
    <cellStyle name="Total 2 2 5 2 5" xfId="47633"/>
    <cellStyle name="Total 2 2 5 20" xfId="39606"/>
    <cellStyle name="Total 2 2 5 21" xfId="41280"/>
    <cellStyle name="Total 2 2 5 22" xfId="43161"/>
    <cellStyle name="Total 2 2 5 3" xfId="7799"/>
    <cellStyle name="Total 2 2 5 3 2" xfId="45763"/>
    <cellStyle name="Total 2 2 5 3 3" xfId="46152"/>
    <cellStyle name="Total 2 2 5 3 4" xfId="46510"/>
    <cellStyle name="Total 2 2 5 3 5" xfId="46862"/>
    <cellStyle name="Total 2 2 5 3 6" xfId="47177"/>
    <cellStyle name="Total 2 2 5 3 7" xfId="47496"/>
    <cellStyle name="Total 2 2 5 3 8" xfId="47814"/>
    <cellStyle name="Total 2 2 5 4" xfId="9709"/>
    <cellStyle name="Total 2 2 5 4 2" xfId="45832"/>
    <cellStyle name="Total 2 2 5 4 3" xfId="46221"/>
    <cellStyle name="Total 2 2 5 4 4" xfId="46579"/>
    <cellStyle name="Total 2 2 5 4 5" xfId="46931"/>
    <cellStyle name="Total 2 2 5 4 6" xfId="47246"/>
    <cellStyle name="Total 2 2 5 4 7" xfId="47565"/>
    <cellStyle name="Total 2 2 5 4 8" xfId="47883"/>
    <cellStyle name="Total 2 2 5 5" xfId="12459"/>
    <cellStyle name="Total 2 2 5 5 2" xfId="45869"/>
    <cellStyle name="Total 2 2 5 5 3" xfId="46258"/>
    <cellStyle name="Total 2 2 5 5 4" xfId="46616"/>
    <cellStyle name="Total 2 2 5 5 5" xfId="46968"/>
    <cellStyle name="Total 2 2 5 5 6" xfId="47283"/>
    <cellStyle name="Total 2 2 5 5 7" xfId="47602"/>
    <cellStyle name="Total 2 2 5 5 8" xfId="47920"/>
    <cellStyle name="Total 2 2 5 6" xfId="13866"/>
    <cellStyle name="Total 2 2 5 7" xfId="15767"/>
    <cellStyle name="Total 2 2 5 8" xfId="17328"/>
    <cellStyle name="Total 2 2 5 9" xfId="19234"/>
    <cellStyle name="Total 2 2 6" xfId="5569"/>
    <cellStyle name="Total 2 2 6 10" xfId="21819"/>
    <cellStyle name="Total 2 2 6 11" xfId="22761"/>
    <cellStyle name="Total 2 2 6 12" xfId="25621"/>
    <cellStyle name="Total 2 2 6 13" xfId="27878"/>
    <cellStyle name="Total 2 2 6 14" xfId="28473"/>
    <cellStyle name="Total 2 2 6 15" xfId="31459"/>
    <cellStyle name="Total 2 2 6 16" xfId="33222"/>
    <cellStyle name="Total 2 2 6 17" xfId="33611"/>
    <cellStyle name="Total 2 2 6 18" xfId="36448"/>
    <cellStyle name="Total 2 2 6 19" xfId="38327"/>
    <cellStyle name="Total 2 2 6 2" xfId="7018"/>
    <cellStyle name="Total 2 2 6 20" xfId="40412"/>
    <cellStyle name="Total 2 2 6 21" xfId="42068"/>
    <cellStyle name="Total 2 2 6 22" xfId="42558"/>
    <cellStyle name="Total 2 2 6 3" xfId="8472"/>
    <cellStyle name="Total 2 2 6 4" xfId="10382"/>
    <cellStyle name="Total 2 2 6 5" xfId="11645"/>
    <cellStyle name="Total 2 2 6 6" xfId="13230"/>
    <cellStyle name="Total 2 2 6 7" xfId="15133"/>
    <cellStyle name="Total 2 2 6 8" xfId="18001"/>
    <cellStyle name="Total 2 2 6 9" xfId="19907"/>
    <cellStyle name="Total 2 2 7" xfId="6663"/>
    <cellStyle name="Total 2 2 8" xfId="9125"/>
    <cellStyle name="Total 2 2 9" xfId="11824"/>
    <cellStyle name="Total 2 20" xfId="2298"/>
    <cellStyle name="Total 2 21" xfId="32836"/>
    <cellStyle name="Total 2 22" xfId="33428"/>
    <cellStyle name="Total 2 23" xfId="31285"/>
    <cellStyle name="Total 2 24" xfId="3713"/>
    <cellStyle name="Total 2 25" xfId="40044"/>
    <cellStyle name="Total 2 26" xfId="41708"/>
    <cellStyle name="Total 2 27" xfId="18525"/>
    <cellStyle name="Total 2 3" xfId="3494"/>
    <cellStyle name="Total 2 3 10" xfId="14174"/>
    <cellStyle name="Total 2 3 11" xfId="16078"/>
    <cellStyle name="Total 2 3 12" xfId="16942"/>
    <cellStyle name="Total 2 3 13" xfId="18849"/>
    <cellStyle name="Total 2 3 14" xfId="20761"/>
    <cellStyle name="Total 2 3 15" xfId="23704"/>
    <cellStyle name="Total 2 3 16" xfId="24563"/>
    <cellStyle name="Total 2 3 17" xfId="27773"/>
    <cellStyle name="Total 2 3 18" xfId="29715"/>
    <cellStyle name="Total 2 3 19" xfId="31351"/>
    <cellStyle name="Total 2 3 2" xfId="3674"/>
    <cellStyle name="Total 2 3 2 10" xfId="17565"/>
    <cellStyle name="Total 2 3 2 11" xfId="19471"/>
    <cellStyle name="Total 2 3 2 12" xfId="21383"/>
    <cellStyle name="Total 2 3 2 13" xfId="24174"/>
    <cellStyle name="Total 2 3 2 14" xfId="25185"/>
    <cellStyle name="Total 2 3 2 15" xfId="27065"/>
    <cellStyle name="Total 2 3 2 16" xfId="29138"/>
    <cellStyle name="Total 2 3 2 17" xfId="30656"/>
    <cellStyle name="Total 2 3 2 18" xfId="32504"/>
    <cellStyle name="Total 2 3 2 19" xfId="33981"/>
    <cellStyle name="Total 2 3 2 2" xfId="4620"/>
    <cellStyle name="Total 2 3 2 2 10" xfId="20865"/>
    <cellStyle name="Total 2 3 2 2 11" xfId="24116"/>
    <cellStyle name="Total 2 3 2 2 12" xfId="24667"/>
    <cellStyle name="Total 2 3 2 2 13" xfId="27591"/>
    <cellStyle name="Total 2 3 2 2 14" xfId="29634"/>
    <cellStyle name="Total 2 3 2 2 15" xfId="31170"/>
    <cellStyle name="Total 2 3 2 2 16" xfId="32855"/>
    <cellStyle name="Total 2 3 2 2 17" xfId="33803"/>
    <cellStyle name="Total 2 3 2 2 18" xfId="35495"/>
    <cellStyle name="Total 2 3 2 2 19" xfId="37373"/>
    <cellStyle name="Total 2 3 2 2 2" xfId="6068"/>
    <cellStyle name="Total 2 3 2 2 20" xfId="40062"/>
    <cellStyle name="Total 2 3 2 2 21" xfId="41726"/>
    <cellStyle name="Total 2 3 2 2 22" xfId="43859"/>
    <cellStyle name="Total 2 3 2 2 3" xfId="7517"/>
    <cellStyle name="Total 2 3 2 2 4" xfId="9427"/>
    <cellStyle name="Total 2 3 2 2 5" xfId="12076"/>
    <cellStyle name="Total 2 3 2 2 6" xfId="14587"/>
    <cellStyle name="Total 2 3 2 2 7" xfId="16493"/>
    <cellStyle name="Total 2 3 2 2 8" xfId="17046"/>
    <cellStyle name="Total 2 3 2 2 9" xfId="18953"/>
    <cellStyle name="Total 2 3 2 20" xfId="36012"/>
    <cellStyle name="Total 2 3 2 21" xfId="37891"/>
    <cellStyle name="Total 2 3 2 22" xfId="39719"/>
    <cellStyle name="Total 2 3 2 23" xfId="41391"/>
    <cellStyle name="Total 2 3 2 24" xfId="43916"/>
    <cellStyle name="Total 2 3 2 3" xfId="5135"/>
    <cellStyle name="Total 2 3 2 3 2" xfId="45729"/>
    <cellStyle name="Total 2 3 2 3 3" xfId="46118"/>
    <cellStyle name="Total 2 3 2 3 4" xfId="46476"/>
    <cellStyle name="Total 2 3 2 3 5" xfId="46828"/>
    <cellStyle name="Total 2 3 2 3 6" xfId="47143"/>
    <cellStyle name="Total 2 3 2 3 7" xfId="47462"/>
    <cellStyle name="Total 2 3 2 3 8" xfId="47780"/>
    <cellStyle name="Total 2 3 2 4" xfId="6585"/>
    <cellStyle name="Total 2 3 2 4 2" xfId="45791"/>
    <cellStyle name="Total 2 3 2 4 3" xfId="46180"/>
    <cellStyle name="Total 2 3 2 4 4" xfId="46538"/>
    <cellStyle name="Total 2 3 2 4 5" xfId="46890"/>
    <cellStyle name="Total 2 3 2 4 6" xfId="47205"/>
    <cellStyle name="Total 2 3 2 4 7" xfId="47524"/>
    <cellStyle name="Total 2 3 2 4 8" xfId="47842"/>
    <cellStyle name="Total 2 3 2 5" xfId="8036"/>
    <cellStyle name="Total 2 3 2 5 2" xfId="45616"/>
    <cellStyle name="Total 2 3 2 5 3" xfId="46005"/>
    <cellStyle name="Total 2 3 2 5 4" xfId="46363"/>
    <cellStyle name="Total 2 3 2 5 5" xfId="46715"/>
    <cellStyle name="Total 2 3 2 5 6" xfId="47030"/>
    <cellStyle name="Total 2 3 2 5 7" xfId="47349"/>
    <cellStyle name="Total 2 3 2 5 8" xfId="47667"/>
    <cellStyle name="Total 2 3 2 6" xfId="9946"/>
    <cellStyle name="Total 2 3 2 7" xfId="12134"/>
    <cellStyle name="Total 2 3 2 8" xfId="14645"/>
    <cellStyle name="Total 2 3 2 9" xfId="16551"/>
    <cellStyle name="Total 2 3 20" xfId="32004"/>
    <cellStyle name="Total 2 3 21" xfId="33737"/>
    <cellStyle name="Total 2 3 22" xfId="35391"/>
    <cellStyle name="Total 2 3 23" xfId="37269"/>
    <cellStyle name="Total 2 3 24" xfId="39235"/>
    <cellStyle name="Total 2 3 25" xfId="40912"/>
    <cellStyle name="Total 2 3 26" xfId="43461"/>
    <cellStyle name="Total 2 3 3" xfId="3830"/>
    <cellStyle name="Total 2 3 3 10" xfId="19557"/>
    <cellStyle name="Total 2 3 3 11" xfId="21469"/>
    <cellStyle name="Total 2 3 3 12" xfId="23316"/>
    <cellStyle name="Total 2 3 3 13" xfId="25271"/>
    <cellStyle name="Total 2 3 3 14" xfId="27828"/>
    <cellStyle name="Total 2 3 3 15" xfId="29312"/>
    <cellStyle name="Total 2 3 3 16" xfId="31406"/>
    <cellStyle name="Total 2 3 3 17" xfId="31715"/>
    <cellStyle name="Total 2 3 3 18" xfId="33474"/>
    <cellStyle name="Total 2 3 3 19" xfId="36098"/>
    <cellStyle name="Total 2 3 3 2" xfId="5827"/>
    <cellStyle name="Total 2 3 3 2 10" xfId="22077"/>
    <cellStyle name="Total 2 3 3 2 11" xfId="23453"/>
    <cellStyle name="Total 2 3 3 2 12" xfId="25879"/>
    <cellStyle name="Total 2 3 3 2 13" xfId="27059"/>
    <cellStyle name="Total 2 3 3 2 14" xfId="28283"/>
    <cellStyle name="Total 2 3 3 2 15" xfId="30651"/>
    <cellStyle name="Total 2 3 3 2 16" xfId="32493"/>
    <cellStyle name="Total 2 3 3 2 17" xfId="33945"/>
    <cellStyle name="Total 2 3 3 2 18" xfId="36706"/>
    <cellStyle name="Total 2 3 3 2 19" xfId="38585"/>
    <cellStyle name="Total 2 3 3 2 2" xfId="7276"/>
    <cellStyle name="Total 2 3 3 2 20" xfId="39708"/>
    <cellStyle name="Total 2 3 3 2 21" xfId="41380"/>
    <cellStyle name="Total 2 3 3 2 22" xfId="43220"/>
    <cellStyle name="Total 2 3 3 2 3" xfId="8730"/>
    <cellStyle name="Total 2 3 3 2 4" xfId="10640"/>
    <cellStyle name="Total 2 3 3 2 5" xfId="12541"/>
    <cellStyle name="Total 2 3 3 2 6" xfId="13925"/>
    <cellStyle name="Total 2 3 3 2 7" xfId="15826"/>
    <cellStyle name="Total 2 3 3 2 8" xfId="18259"/>
    <cellStyle name="Total 2 3 3 2 9" xfId="20165"/>
    <cellStyle name="Total 2 3 3 20" xfId="37977"/>
    <cellStyle name="Total 2 3 3 21" xfId="38956"/>
    <cellStyle name="Total 2 3 3 22" xfId="40639"/>
    <cellStyle name="Total 2 3 3 23" xfId="43088"/>
    <cellStyle name="Total 2 3 3 3" xfId="5221"/>
    <cellStyle name="Total 2 3 3 3 2" xfId="45744"/>
    <cellStyle name="Total 2 3 3 3 3" xfId="46133"/>
    <cellStyle name="Total 2 3 3 3 4" xfId="46491"/>
    <cellStyle name="Total 2 3 3 3 5" xfId="46843"/>
    <cellStyle name="Total 2 3 3 3 6" xfId="47158"/>
    <cellStyle name="Total 2 3 3 3 7" xfId="47477"/>
    <cellStyle name="Total 2 3 3 3 8" xfId="47795"/>
    <cellStyle name="Total 2 3 3 4" xfId="8122"/>
    <cellStyle name="Total 2 3 3 4 2" xfId="45806"/>
    <cellStyle name="Total 2 3 3 4 3" xfId="46195"/>
    <cellStyle name="Total 2 3 3 4 4" xfId="46553"/>
    <cellStyle name="Total 2 3 3 4 5" xfId="46905"/>
    <cellStyle name="Total 2 3 3 4 6" xfId="47220"/>
    <cellStyle name="Total 2 3 3 4 7" xfId="47539"/>
    <cellStyle name="Total 2 3 3 4 8" xfId="47857"/>
    <cellStyle name="Total 2 3 3 5" xfId="10032"/>
    <cellStyle name="Total 2 3 3 5 2" xfId="45859"/>
    <cellStyle name="Total 2 3 3 5 3" xfId="46248"/>
    <cellStyle name="Total 2 3 3 5 4" xfId="46606"/>
    <cellStyle name="Total 2 3 3 5 5" xfId="46958"/>
    <cellStyle name="Total 2 3 3 5 6" xfId="47273"/>
    <cellStyle name="Total 2 3 3 5 7" xfId="47592"/>
    <cellStyle name="Total 2 3 3 5 8" xfId="47910"/>
    <cellStyle name="Total 2 3 3 6" xfId="11215"/>
    <cellStyle name="Total 2 3 3 7" xfId="13788"/>
    <cellStyle name="Total 2 3 3 8" xfId="15690"/>
    <cellStyle name="Total 2 3 3 9" xfId="17651"/>
    <cellStyle name="Total 2 3 4" xfId="4126"/>
    <cellStyle name="Total 2 3 4 10" xfId="19761"/>
    <cellStyle name="Total 2 3 4 11" xfId="21673"/>
    <cellStyle name="Total 2 3 4 12" xfId="23925"/>
    <cellStyle name="Total 2 3 4 13" xfId="25475"/>
    <cellStyle name="Total 2 3 4 14" xfId="26600"/>
    <cellStyle name="Total 2 3 4 15" xfId="29152"/>
    <cellStyle name="Total 2 3 4 16" xfId="30202"/>
    <cellStyle name="Total 2 3 4 17" xfId="31944"/>
    <cellStyle name="Total 2 3 4 18" xfId="34220"/>
    <cellStyle name="Total 2 3 4 19" xfId="36302"/>
    <cellStyle name="Total 2 3 4 2" xfId="6031"/>
    <cellStyle name="Total 2 3 4 2 10" xfId="22281"/>
    <cellStyle name="Total 2 3 4 2 11" xfId="22512"/>
    <cellStyle name="Total 2 3 4 2 12" xfId="26083"/>
    <cellStyle name="Total 2 3 4 2 13" xfId="27692"/>
    <cellStyle name="Total 2 3 4 2 14" xfId="28935"/>
    <cellStyle name="Total 2 3 4 2 15" xfId="31266"/>
    <cellStyle name="Total 2 3 4 2 16" xfId="33153"/>
    <cellStyle name="Total 2 3 4 2 17" xfId="34040"/>
    <cellStyle name="Total 2 3 4 2 18" xfId="36910"/>
    <cellStyle name="Total 2 3 4 2 19" xfId="38789"/>
    <cellStyle name="Total 2 3 4 2 2" xfId="7480"/>
    <cellStyle name="Total 2 3 4 2 20" xfId="40346"/>
    <cellStyle name="Total 2 3 4 2 21" xfId="42002"/>
    <cellStyle name="Total 2 3 4 2 22" xfId="42322"/>
    <cellStyle name="Total 2 3 4 2 3" xfId="8934"/>
    <cellStyle name="Total 2 3 4 2 4" xfId="10844"/>
    <cellStyle name="Total 2 3 4 2 5" xfId="11667"/>
    <cellStyle name="Total 2 3 4 2 6" xfId="12980"/>
    <cellStyle name="Total 2 3 4 2 7" xfId="14884"/>
    <cellStyle name="Total 2 3 4 2 8" xfId="18463"/>
    <cellStyle name="Total 2 3 4 2 9" xfId="20369"/>
    <cellStyle name="Total 2 3 4 20" xfId="38181"/>
    <cellStyle name="Total 2 3 4 21" xfId="39174"/>
    <cellStyle name="Total 2 3 4 22" xfId="40855"/>
    <cellStyle name="Total 2 3 4 23" xfId="43671"/>
    <cellStyle name="Total 2 3 4 3" xfId="6872"/>
    <cellStyle name="Total 2 3 4 3 2" xfId="45778"/>
    <cellStyle name="Total 2 3 4 3 3" xfId="46167"/>
    <cellStyle name="Total 2 3 4 3 4" xfId="46525"/>
    <cellStyle name="Total 2 3 4 3 5" xfId="46877"/>
    <cellStyle name="Total 2 3 4 3 6" xfId="47192"/>
    <cellStyle name="Total 2 3 4 3 7" xfId="47511"/>
    <cellStyle name="Total 2 3 4 3 8" xfId="47829"/>
    <cellStyle name="Total 2 3 4 4" xfId="8326"/>
    <cellStyle name="Total 2 3 4 4 2" xfId="45847"/>
    <cellStyle name="Total 2 3 4 4 3" xfId="46236"/>
    <cellStyle name="Total 2 3 4 4 4" xfId="46594"/>
    <cellStyle name="Total 2 3 4 4 5" xfId="46946"/>
    <cellStyle name="Total 2 3 4 4 6" xfId="47261"/>
    <cellStyle name="Total 2 3 4 4 7" xfId="47580"/>
    <cellStyle name="Total 2 3 4 4 8" xfId="47898"/>
    <cellStyle name="Total 2 3 4 5" xfId="10236"/>
    <cellStyle name="Total 2 3 4 5 2" xfId="45884"/>
    <cellStyle name="Total 2 3 4 5 3" xfId="46273"/>
    <cellStyle name="Total 2 3 4 5 4" xfId="46631"/>
    <cellStyle name="Total 2 3 4 5 5" xfId="46983"/>
    <cellStyle name="Total 2 3 4 5 6" xfId="47298"/>
    <cellStyle name="Total 2 3 4 5 7" xfId="47617"/>
    <cellStyle name="Total 2 3 4 5 8" xfId="47935"/>
    <cellStyle name="Total 2 3 4 6" xfId="11884"/>
    <cellStyle name="Total 2 3 4 7" xfId="14394"/>
    <cellStyle name="Total 2 3 4 8" xfId="16300"/>
    <cellStyle name="Total 2 3 4 9" xfId="17855"/>
    <cellStyle name="Total 2 3 5" xfId="4973"/>
    <cellStyle name="Total 2 3 5 10" xfId="21221"/>
    <cellStyle name="Total 2 3 5 11" xfId="23382"/>
    <cellStyle name="Total 2 3 5 12" xfId="25023"/>
    <cellStyle name="Total 2 3 5 13" xfId="27964"/>
    <cellStyle name="Total 2 3 5 14" xfId="10897"/>
    <cellStyle name="Total 2 3 5 15" xfId="31544"/>
    <cellStyle name="Total 2 3 5 16" xfId="2493"/>
    <cellStyle name="Total 2 3 5 17" xfId="33344"/>
    <cellStyle name="Total 2 3 5 18" xfId="35850"/>
    <cellStyle name="Total 2 3 5 19" xfId="37729"/>
    <cellStyle name="Total 2 3 5 2" xfId="6423"/>
    <cellStyle name="Total 2 3 5 20" xfId="30826"/>
    <cellStyle name="Total 2 3 5 21" xfId="34153"/>
    <cellStyle name="Total 2 3 5 22" xfId="43149"/>
    <cellStyle name="Total 2 3 5 3" xfId="7874"/>
    <cellStyle name="Total 2 3 5 4" xfId="9784"/>
    <cellStyle name="Total 2 3 5 5" xfId="11032"/>
    <cellStyle name="Total 2 3 5 6" xfId="13854"/>
    <cellStyle name="Total 2 3 5 7" xfId="15755"/>
    <cellStyle name="Total 2 3 5 8" xfId="17403"/>
    <cellStyle name="Total 2 3 5 9" xfId="19309"/>
    <cellStyle name="Total 2 3 6" xfId="5573"/>
    <cellStyle name="Total 2 3 6 10" xfId="21823"/>
    <cellStyle name="Total 2 3 6 11" xfId="23935"/>
    <cellStyle name="Total 2 3 6 12" xfId="25625"/>
    <cellStyle name="Total 2 3 6 13" xfId="27076"/>
    <cellStyle name="Total 2 3 6 14" xfId="28535"/>
    <cellStyle name="Total 2 3 6 15" xfId="30667"/>
    <cellStyle name="Total 2 3 6 16" xfId="32322"/>
    <cellStyle name="Total 2 3 6 17" xfId="34867"/>
    <cellStyle name="Total 2 3 6 18" xfId="36452"/>
    <cellStyle name="Total 2 3 6 19" xfId="38331"/>
    <cellStyle name="Total 2 3 6 2" xfId="7022"/>
    <cellStyle name="Total 2 3 6 20" xfId="39541"/>
    <cellStyle name="Total 2 3 6 21" xfId="41215"/>
    <cellStyle name="Total 2 3 6 22" xfId="43681"/>
    <cellStyle name="Total 2 3 6 3" xfId="8476"/>
    <cellStyle name="Total 2 3 6 4" xfId="10386"/>
    <cellStyle name="Total 2 3 6 5" xfId="11895"/>
    <cellStyle name="Total 2 3 6 6" xfId="14405"/>
    <cellStyle name="Total 2 3 6 7" xfId="16311"/>
    <cellStyle name="Total 2 3 6 8" xfId="18005"/>
    <cellStyle name="Total 2 3 6 9" xfId="19911"/>
    <cellStyle name="Total 2 3 7" xfId="6718"/>
    <cellStyle name="Total 2 3 7 2" xfId="45755"/>
    <cellStyle name="Total 2 3 7 3" xfId="46144"/>
    <cellStyle name="Total 2 3 7 4" xfId="46502"/>
    <cellStyle name="Total 2 3 7 5" xfId="46854"/>
    <cellStyle name="Total 2 3 7 6" xfId="47169"/>
    <cellStyle name="Total 2 3 7 7" xfId="47488"/>
    <cellStyle name="Total 2 3 7 8" xfId="47806"/>
    <cellStyle name="Total 2 3 8" xfId="9323"/>
    <cellStyle name="Total 2 3 9" xfId="11802"/>
    <cellStyle name="Total 2 4" xfId="3498"/>
    <cellStyle name="Total 2 4 10" xfId="14764"/>
    <cellStyle name="Total 2 4 11" xfId="16953"/>
    <cellStyle name="Total 2 4 12" xfId="18860"/>
    <cellStyle name="Total 2 4 13" xfId="20772"/>
    <cellStyle name="Total 2 4 14" xfId="22392"/>
    <cellStyle name="Total 2 4 15" xfId="24574"/>
    <cellStyle name="Total 2 4 16" xfId="2778"/>
    <cellStyle name="Total 2 4 17" xfId="29142"/>
    <cellStyle name="Total 2 4 18" xfId="28992"/>
    <cellStyle name="Total 2 4 19" xfId="2629"/>
    <cellStyle name="Total 2 4 2" xfId="3678"/>
    <cellStyle name="Total 2 4 2 10" xfId="17569"/>
    <cellStyle name="Total 2 4 2 11" xfId="19475"/>
    <cellStyle name="Total 2 4 2 12" xfId="21387"/>
    <cellStyle name="Total 2 4 2 13" xfId="22385"/>
    <cellStyle name="Total 2 4 2 14" xfId="25189"/>
    <cellStyle name="Total 2 4 2 15" xfId="1950"/>
    <cellStyle name="Total 2 4 2 16" xfId="1837"/>
    <cellStyle name="Total 2 4 2 17" xfId="3203"/>
    <cellStyle name="Total 2 4 2 18" xfId="2874"/>
    <cellStyle name="Total 2 4 2 19" xfId="2344"/>
    <cellStyle name="Total 2 4 2 2" xfId="5745"/>
    <cellStyle name="Total 2 4 2 2 10" xfId="21995"/>
    <cellStyle name="Total 2 4 2 2 11" xfId="22815"/>
    <cellStyle name="Total 2 4 2 2 12" xfId="25797"/>
    <cellStyle name="Total 2 4 2 2 13" xfId="26272"/>
    <cellStyle name="Total 2 4 2 2 14" xfId="28281"/>
    <cellStyle name="Total 2 4 2 2 15" xfId="29881"/>
    <cellStyle name="Total 2 4 2 2 16" xfId="33303"/>
    <cellStyle name="Total 2 4 2 2 17" xfId="34860"/>
    <cellStyle name="Total 2 4 2 2 18" xfId="36624"/>
    <cellStyle name="Total 2 4 2 2 19" xfId="38503"/>
    <cellStyle name="Total 2 4 2 2 2" xfId="7194"/>
    <cellStyle name="Total 2 4 2 2 20" xfId="40485"/>
    <cellStyle name="Total 2 4 2 2 21" xfId="42139"/>
    <cellStyle name="Total 2 4 2 2 22" xfId="42608"/>
    <cellStyle name="Total 2 4 2 2 3" xfId="8648"/>
    <cellStyle name="Total 2 4 2 2 4" xfId="10558"/>
    <cellStyle name="Total 2 4 2 2 5" xfId="12207"/>
    <cellStyle name="Total 2 4 2 2 6" xfId="13285"/>
    <cellStyle name="Total 2 4 2 2 7" xfId="15189"/>
    <cellStyle name="Total 2 4 2 2 8" xfId="18177"/>
    <cellStyle name="Total 2 4 2 2 9" xfId="20083"/>
    <cellStyle name="Total 2 4 2 20" xfId="36016"/>
    <cellStyle name="Total 2 4 2 21" xfId="37895"/>
    <cellStyle name="Total 2 4 2 22" xfId="27594"/>
    <cellStyle name="Total 2 4 2 23" xfId="35065"/>
    <cellStyle name="Total 2 4 2 24" xfId="42196"/>
    <cellStyle name="Total 2 4 2 3" xfId="5139"/>
    <cellStyle name="Total 2 4 2 3 2" xfId="45720"/>
    <cellStyle name="Total 2 4 2 3 3" xfId="46109"/>
    <cellStyle name="Total 2 4 2 3 4" xfId="46467"/>
    <cellStyle name="Total 2 4 2 3 5" xfId="46819"/>
    <cellStyle name="Total 2 4 2 3 6" xfId="47134"/>
    <cellStyle name="Total 2 4 2 3 7" xfId="47453"/>
    <cellStyle name="Total 2 4 2 3 8" xfId="47771"/>
    <cellStyle name="Total 2 4 2 4" xfId="6589"/>
    <cellStyle name="Total 2 4 2 4 2" xfId="45782"/>
    <cellStyle name="Total 2 4 2 4 3" xfId="46171"/>
    <cellStyle name="Total 2 4 2 4 4" xfId="46529"/>
    <cellStyle name="Total 2 4 2 4 5" xfId="46881"/>
    <cellStyle name="Total 2 4 2 4 6" xfId="47196"/>
    <cellStyle name="Total 2 4 2 4 7" xfId="47515"/>
    <cellStyle name="Total 2 4 2 4 8" xfId="47833"/>
    <cellStyle name="Total 2 4 2 5" xfId="8040"/>
    <cellStyle name="Total 2 4 2 5 2" xfId="45634"/>
    <cellStyle name="Total 2 4 2 5 3" xfId="46023"/>
    <cellStyle name="Total 2 4 2 5 4" xfId="46381"/>
    <cellStyle name="Total 2 4 2 5 5" xfId="46733"/>
    <cellStyle name="Total 2 4 2 5 6" xfId="47048"/>
    <cellStyle name="Total 2 4 2 5 7" xfId="47367"/>
    <cellStyle name="Total 2 4 2 5 8" xfId="47685"/>
    <cellStyle name="Total 2 4 2 6" xfId="9950"/>
    <cellStyle name="Total 2 4 2 7" xfId="11848"/>
    <cellStyle name="Total 2 4 2 8" xfId="12852"/>
    <cellStyle name="Total 2 4 2 9" xfId="14757"/>
    <cellStyle name="Total 2 4 20" xfId="32205"/>
    <cellStyle name="Total 2 4 21" xfId="35402"/>
    <cellStyle name="Total 2 4 22" xfId="37280"/>
    <cellStyle name="Total 2 4 23" xfId="2365"/>
    <cellStyle name="Total 2 4 24" xfId="39226"/>
    <cellStyle name="Total 2 4 25" xfId="42203"/>
    <cellStyle name="Total 2 4 3" xfId="3757"/>
    <cellStyle name="Total 2 4 3 10" xfId="19505"/>
    <cellStyle name="Total 2 4 3 11" xfId="21417"/>
    <cellStyle name="Total 2 4 3 12" xfId="23447"/>
    <cellStyle name="Total 2 4 3 13" xfId="25219"/>
    <cellStyle name="Total 2 4 3 14" xfId="26902"/>
    <cellStyle name="Total 2 4 3 15" xfId="28507"/>
    <cellStyle name="Total 2 4 3 16" xfId="30498"/>
    <cellStyle name="Total 2 4 3 17" xfId="32005"/>
    <cellStyle name="Total 2 4 3 18" xfId="34530"/>
    <cellStyle name="Total 2 4 3 19" xfId="36046"/>
    <cellStyle name="Total 2 4 3 2" xfId="5775"/>
    <cellStyle name="Total 2 4 3 2 10" xfId="22025"/>
    <cellStyle name="Total 2 4 3 2 11" xfId="22409"/>
    <cellStyle name="Total 2 4 3 2 12" xfId="25827"/>
    <cellStyle name="Total 2 4 3 2 13" xfId="27875"/>
    <cellStyle name="Total 2 4 3 2 14" xfId="28750"/>
    <cellStyle name="Total 2 4 3 2 15" xfId="31456"/>
    <cellStyle name="Total 2 4 3 2 16" xfId="31863"/>
    <cellStyle name="Total 2 4 3 2 17" xfId="33414"/>
    <cellStyle name="Total 2 4 3 2 18" xfId="36654"/>
    <cellStyle name="Total 2 4 3 2 19" xfId="38533"/>
    <cellStyle name="Total 2 4 3 2 2" xfId="7224"/>
    <cellStyle name="Total 2 4 3 2 20" xfId="39098"/>
    <cellStyle name="Total 2 4 3 2 21" xfId="40779"/>
    <cellStyle name="Total 2 4 3 2 22" xfId="42220"/>
    <cellStyle name="Total 2 4 3 2 3" xfId="8678"/>
    <cellStyle name="Total 2 4 3 2 4" xfId="10588"/>
    <cellStyle name="Total 2 4 3 2 5" xfId="2229"/>
    <cellStyle name="Total 2 4 3 2 6" xfId="12876"/>
    <cellStyle name="Total 2 4 3 2 7" xfId="14781"/>
    <cellStyle name="Total 2 4 3 2 8" xfId="18207"/>
    <cellStyle name="Total 2 4 3 2 9" xfId="20113"/>
    <cellStyle name="Total 2 4 3 20" xfId="37925"/>
    <cellStyle name="Total 2 4 3 21" xfId="39236"/>
    <cellStyle name="Total 2 4 3 22" xfId="40913"/>
    <cellStyle name="Total 2 4 3 23" xfId="43214"/>
    <cellStyle name="Total 2 4 3 3" xfId="5169"/>
    <cellStyle name="Total 2 4 3 3 2" xfId="45735"/>
    <cellStyle name="Total 2 4 3 3 3" xfId="46124"/>
    <cellStyle name="Total 2 4 3 3 4" xfId="46482"/>
    <cellStyle name="Total 2 4 3 3 5" xfId="46834"/>
    <cellStyle name="Total 2 4 3 3 6" xfId="47149"/>
    <cellStyle name="Total 2 4 3 3 7" xfId="47468"/>
    <cellStyle name="Total 2 4 3 3 8" xfId="47786"/>
    <cellStyle name="Total 2 4 3 4" xfId="8070"/>
    <cellStyle name="Total 2 4 3 4 2" xfId="45797"/>
    <cellStyle name="Total 2 4 3 4 3" xfId="46186"/>
    <cellStyle name="Total 2 4 3 4 4" xfId="46544"/>
    <cellStyle name="Total 2 4 3 4 5" xfId="46896"/>
    <cellStyle name="Total 2 4 3 4 6" xfId="47211"/>
    <cellStyle name="Total 2 4 3 4 7" xfId="47530"/>
    <cellStyle name="Total 2 4 3 4 8" xfId="47848"/>
    <cellStyle name="Total 2 4 3 5" xfId="9980"/>
    <cellStyle name="Total 2 4 3 5 2" xfId="45850"/>
    <cellStyle name="Total 2 4 3 5 3" xfId="46239"/>
    <cellStyle name="Total 2 4 3 5 4" xfId="46597"/>
    <cellStyle name="Total 2 4 3 5 5" xfId="46949"/>
    <cellStyle name="Total 2 4 3 5 6" xfId="47264"/>
    <cellStyle name="Total 2 4 3 5 7" xfId="47583"/>
    <cellStyle name="Total 2 4 3 5 8" xfId="47901"/>
    <cellStyle name="Total 2 4 3 6" xfId="12422"/>
    <cellStyle name="Total 2 4 3 7" xfId="13919"/>
    <cellStyle name="Total 2 4 3 8" xfId="15820"/>
    <cellStyle name="Total 2 4 3 9" xfId="17599"/>
    <cellStyle name="Total 2 4 4" xfId="4130"/>
    <cellStyle name="Total 2 4 4 10" xfId="19765"/>
    <cellStyle name="Total 2 4 4 11" xfId="21677"/>
    <cellStyle name="Total 2 4 4 12" xfId="22407"/>
    <cellStyle name="Total 2 4 4 13" xfId="25479"/>
    <cellStyle name="Total 2 4 4 14" xfId="26279"/>
    <cellStyle name="Total 2 4 4 15" xfId="3100"/>
    <cellStyle name="Total 2 4 4 16" xfId="29888"/>
    <cellStyle name="Total 2 4 4 17" xfId="30678"/>
    <cellStyle name="Total 2 4 4 18" xfId="28691"/>
    <cellStyle name="Total 2 4 4 19" xfId="36306"/>
    <cellStyle name="Total 2 4 4 2" xfId="6035"/>
    <cellStyle name="Total 2 4 4 2 10" xfId="22285"/>
    <cellStyle name="Total 2 4 4 2 11" xfId="24030"/>
    <cellStyle name="Total 2 4 4 2 12" xfId="26087"/>
    <cellStyle name="Total 2 4 4 2 13" xfId="27355"/>
    <cellStyle name="Total 2 4 4 2 14" xfId="29521"/>
    <cellStyle name="Total 2 4 4 2 15" xfId="30944"/>
    <cellStyle name="Total 2 4 4 2 16" xfId="32095"/>
    <cellStyle name="Total 2 4 4 2 17" xfId="34836"/>
    <cellStyle name="Total 2 4 4 2 18" xfId="36914"/>
    <cellStyle name="Total 2 4 4 2 19" xfId="38793"/>
    <cellStyle name="Total 2 4 4 2 2" xfId="7484"/>
    <cellStyle name="Total 2 4 4 2 20" xfId="39319"/>
    <cellStyle name="Total 2 4 4 2 21" xfId="40995"/>
    <cellStyle name="Total 2 4 4 2 22" xfId="43774"/>
    <cellStyle name="Total 2 4 4 2 3" xfId="8938"/>
    <cellStyle name="Total 2 4 4 2 4" xfId="10848"/>
    <cellStyle name="Total 2 4 4 2 5" xfId="11989"/>
    <cellStyle name="Total 2 4 4 2 6" xfId="14500"/>
    <cellStyle name="Total 2 4 4 2 7" xfId="16406"/>
    <cellStyle name="Total 2 4 4 2 8" xfId="18467"/>
    <cellStyle name="Total 2 4 4 2 9" xfId="20373"/>
    <cellStyle name="Total 2 4 4 20" xfId="38185"/>
    <cellStyle name="Total 2 4 4 21" xfId="3184"/>
    <cellStyle name="Total 2 4 4 22" xfId="39939"/>
    <cellStyle name="Total 2 4 4 23" xfId="42218"/>
    <cellStyle name="Total 2 4 4 3" xfId="6876"/>
    <cellStyle name="Total 2 4 4 3 2" xfId="45769"/>
    <cellStyle name="Total 2 4 4 3 3" xfId="46158"/>
    <cellStyle name="Total 2 4 4 3 4" xfId="46516"/>
    <cellStyle name="Total 2 4 4 3 5" xfId="46868"/>
    <cellStyle name="Total 2 4 4 3 6" xfId="47183"/>
    <cellStyle name="Total 2 4 4 3 7" xfId="47502"/>
    <cellStyle name="Total 2 4 4 3 8" xfId="47820"/>
    <cellStyle name="Total 2 4 4 4" xfId="8330"/>
    <cellStyle name="Total 2 4 4 4 2" xfId="45838"/>
    <cellStyle name="Total 2 4 4 4 3" xfId="46227"/>
    <cellStyle name="Total 2 4 4 4 4" xfId="46585"/>
    <cellStyle name="Total 2 4 4 4 5" xfId="46937"/>
    <cellStyle name="Total 2 4 4 4 6" xfId="47252"/>
    <cellStyle name="Total 2 4 4 4 7" xfId="47571"/>
    <cellStyle name="Total 2 4 4 4 8" xfId="47889"/>
    <cellStyle name="Total 2 4 4 5" xfId="10240"/>
    <cellStyle name="Total 2 4 4 5 2" xfId="45875"/>
    <cellStyle name="Total 2 4 4 5 3" xfId="46264"/>
    <cellStyle name="Total 2 4 4 5 4" xfId="46622"/>
    <cellStyle name="Total 2 4 4 5 5" xfId="46974"/>
    <cellStyle name="Total 2 4 4 5 6" xfId="47289"/>
    <cellStyle name="Total 2 4 4 5 7" xfId="47608"/>
    <cellStyle name="Total 2 4 4 5 8" xfId="47926"/>
    <cellStyle name="Total 2 4 4 6" xfId="12338"/>
    <cellStyle name="Total 2 4 4 7" xfId="12874"/>
    <cellStyle name="Total 2 4 4 8" xfId="14779"/>
    <cellStyle name="Total 2 4 4 9" xfId="17859"/>
    <cellStyle name="Total 2 4 5" xfId="4288"/>
    <cellStyle name="Total 2 4 5 10" xfId="20520"/>
    <cellStyle name="Total 2 4 5 11" xfId="22782"/>
    <cellStyle name="Total 2 4 5 12" xfId="24322"/>
    <cellStyle name="Total 2 4 5 13" xfId="26801"/>
    <cellStyle name="Total 2 4 5 14" xfId="29713"/>
    <cellStyle name="Total 2 4 5 15" xfId="30399"/>
    <cellStyle name="Total 2 4 5 16" xfId="32016"/>
    <cellStyle name="Total 2 4 5 17" xfId="34926"/>
    <cellStyle name="Total 2 4 5 18" xfId="35150"/>
    <cellStyle name="Total 2 4 5 19" xfId="37028"/>
    <cellStyle name="Total 2 4 5 2" xfId="4445"/>
    <cellStyle name="Total 2 4 5 20" xfId="39246"/>
    <cellStyle name="Total 2 4 5 21" xfId="40923"/>
    <cellStyle name="Total 2 4 5 22" xfId="42575"/>
    <cellStyle name="Total 2 4 5 3" xfId="3949"/>
    <cellStyle name="Total 2 4 5 4" xfId="9082"/>
    <cellStyle name="Total 2 4 5 5" xfId="12222"/>
    <cellStyle name="Total 2 4 5 6" xfId="13251"/>
    <cellStyle name="Total 2 4 5 7" xfId="15155"/>
    <cellStyle name="Total 2 4 5 8" xfId="16701"/>
    <cellStyle name="Total 2 4 5 9" xfId="18608"/>
    <cellStyle name="Total 2 4 6" xfId="3102"/>
    <cellStyle name="Total 2 4 6 2" xfId="45686"/>
    <cellStyle name="Total 2 4 6 3" xfId="46075"/>
    <cellStyle name="Total 2 4 6 4" xfId="46433"/>
    <cellStyle name="Total 2 4 6 5" xfId="46785"/>
    <cellStyle name="Total 2 4 6 6" xfId="47100"/>
    <cellStyle name="Total 2 4 6 7" xfId="47419"/>
    <cellStyle name="Total 2 4 6 8" xfId="47737"/>
    <cellStyle name="Total 2 4 7" xfId="9334"/>
    <cellStyle name="Total 2 4 7 2" xfId="45628"/>
    <cellStyle name="Total 2 4 7 3" xfId="46017"/>
    <cellStyle name="Total 2 4 7 4" xfId="46375"/>
    <cellStyle name="Total 2 4 7 5" xfId="46727"/>
    <cellStyle name="Total 2 4 7 6" xfId="47042"/>
    <cellStyle name="Total 2 4 7 7" xfId="47361"/>
    <cellStyle name="Total 2 4 7 8" xfId="47679"/>
    <cellStyle name="Total 2 4 8" xfId="2621"/>
    <cellStyle name="Total 2 4 9" xfId="12859"/>
    <cellStyle name="Total 2 5" xfId="2069"/>
    <cellStyle name="Total 2 5 10" xfId="17103"/>
    <cellStyle name="Total 2 5 11" xfId="19009"/>
    <cellStyle name="Total 2 5 12" xfId="20921"/>
    <cellStyle name="Total 2 5 13" xfId="24183"/>
    <cellStyle name="Total 2 5 14" xfId="24723"/>
    <cellStyle name="Total 2 5 15" xfId="27050"/>
    <cellStyle name="Total 2 5 16" xfId="26155"/>
    <cellStyle name="Total 2 5 17" xfId="30642"/>
    <cellStyle name="Total 2 5 18" xfId="32400"/>
    <cellStyle name="Total 2 5 19" xfId="33456"/>
    <cellStyle name="Total 2 5 2" xfId="4616"/>
    <cellStyle name="Total 2 5 2 10" xfId="20861"/>
    <cellStyle name="Total 2 5 2 11" xfId="23210"/>
    <cellStyle name="Total 2 5 2 12" xfId="24663"/>
    <cellStyle name="Total 2 5 2 13" xfId="27443"/>
    <cellStyle name="Total 2 5 2 14" xfId="4333"/>
    <cellStyle name="Total 2 5 2 15" xfId="31029"/>
    <cellStyle name="Total 2 5 2 16" xfId="32550"/>
    <cellStyle name="Total 2 5 2 17" xfId="31331"/>
    <cellStyle name="Total 2 5 2 18" xfId="35491"/>
    <cellStyle name="Total 2 5 2 19" xfId="37369"/>
    <cellStyle name="Total 2 5 2 2" xfId="6064"/>
    <cellStyle name="Total 2 5 2 2 2" xfId="45586"/>
    <cellStyle name="Total 2 5 2 2 3" xfId="45940"/>
    <cellStyle name="Total 2 5 2 2 4" xfId="46298"/>
    <cellStyle name="Total 2 5 2 2 5" xfId="46650"/>
    <cellStyle name="Total 2 5 2 2 6" xfId="46996"/>
    <cellStyle name="Total 2 5 2 2 7" xfId="47315"/>
    <cellStyle name="Total 2 5 2 2 8" xfId="45529"/>
    <cellStyle name="Total 2 5 2 20" xfId="39763"/>
    <cellStyle name="Total 2 5 2 21" xfId="41435"/>
    <cellStyle name="Total 2 5 2 22" xfId="42988"/>
    <cellStyle name="Total 2 5 2 3" xfId="7513"/>
    <cellStyle name="Total 2 5 2 3 2" xfId="45704"/>
    <cellStyle name="Total 2 5 2 3 3" xfId="46093"/>
    <cellStyle name="Total 2 5 2 3 4" xfId="46451"/>
    <cellStyle name="Total 2 5 2 3 5" xfId="46803"/>
    <cellStyle name="Total 2 5 2 3 6" xfId="47118"/>
    <cellStyle name="Total 2 5 2 3 7" xfId="47437"/>
    <cellStyle name="Total 2 5 2 3 8" xfId="47755"/>
    <cellStyle name="Total 2 5 2 4" xfId="9423"/>
    <cellStyle name="Total 2 5 2 4 2" xfId="45603"/>
    <cellStyle name="Total 2 5 2 4 3" xfId="45992"/>
    <cellStyle name="Total 2 5 2 4 4" xfId="46350"/>
    <cellStyle name="Total 2 5 2 4 5" xfId="46702"/>
    <cellStyle name="Total 2 5 2 4 6" xfId="47017"/>
    <cellStyle name="Total 2 5 2 4 7" xfId="47336"/>
    <cellStyle name="Total 2 5 2 4 8" xfId="47654"/>
    <cellStyle name="Total 2 5 2 5" xfId="11081"/>
    <cellStyle name="Total 2 5 2 6" xfId="13682"/>
    <cellStyle name="Total 2 5 2 7" xfId="15584"/>
    <cellStyle name="Total 2 5 2 8" xfId="17042"/>
    <cellStyle name="Total 2 5 2 9" xfId="18949"/>
    <cellStyle name="Total 2 5 20" xfId="35550"/>
    <cellStyle name="Total 2 5 21" xfId="37429"/>
    <cellStyle name="Total 2 5 22" xfId="39617"/>
    <cellStyle name="Total 2 5 23" xfId="41291"/>
    <cellStyle name="Total 2 5 24" xfId="43923"/>
    <cellStyle name="Total 2 5 3" xfId="4676"/>
    <cellStyle name="Total 2 5 3 2" xfId="45349"/>
    <cellStyle name="Total 2 5 3 2 2" xfId="45948"/>
    <cellStyle name="Total 2 5 3 2 3" xfId="46306"/>
    <cellStyle name="Total 2 5 3 2 4" xfId="46658"/>
    <cellStyle name="Total 2 5 3 2 5" xfId="45495"/>
    <cellStyle name="Total 2 5 3 3" xfId="45407"/>
    <cellStyle name="Total 2 5 3 3 2" xfId="45721"/>
    <cellStyle name="Total 2 5 3 3 3" xfId="46110"/>
    <cellStyle name="Total 2 5 3 3 4" xfId="46468"/>
    <cellStyle name="Total 2 5 3 3 5" xfId="46820"/>
    <cellStyle name="Total 2 5 3 3 6" xfId="47135"/>
    <cellStyle name="Total 2 5 3 3 7" xfId="47454"/>
    <cellStyle name="Total 2 5 3 3 8" xfId="47772"/>
    <cellStyle name="Total 2 5 3 4" xfId="45434"/>
    <cellStyle name="Total 2 5 3 4 2" xfId="45783"/>
    <cellStyle name="Total 2 5 3 4 3" xfId="46172"/>
    <cellStyle name="Total 2 5 3 4 4" xfId="46530"/>
    <cellStyle name="Total 2 5 3 4 5" xfId="46882"/>
    <cellStyle name="Total 2 5 3 4 6" xfId="47197"/>
    <cellStyle name="Total 2 5 3 4 7" xfId="47516"/>
    <cellStyle name="Total 2 5 3 4 8" xfId="47834"/>
    <cellStyle name="Total 2 5 3 5" xfId="45380"/>
    <cellStyle name="Total 2 5 3 5 2" xfId="45611"/>
    <cellStyle name="Total 2 5 3 5 3" xfId="46000"/>
    <cellStyle name="Total 2 5 3 5 4" xfId="46358"/>
    <cellStyle name="Total 2 5 3 5 5" xfId="46710"/>
    <cellStyle name="Total 2 5 3 5 6" xfId="47025"/>
    <cellStyle name="Total 2 5 3 5 7" xfId="47344"/>
    <cellStyle name="Total 2 5 3 5 8" xfId="47662"/>
    <cellStyle name="Total 2 5 3 6" xfId="45898"/>
    <cellStyle name="Total 2 5 3 7" xfId="45549"/>
    <cellStyle name="Total 2 5 3 8" xfId="45541"/>
    <cellStyle name="Total 2 5 3 9" xfId="45318"/>
    <cellStyle name="Total 2 5 4" xfId="6123"/>
    <cellStyle name="Total 2 5 4 2" xfId="45354"/>
    <cellStyle name="Total 2 5 4 2 2" xfId="45956"/>
    <cellStyle name="Total 2 5 4 2 3" xfId="46314"/>
    <cellStyle name="Total 2 5 4 2 4" xfId="46666"/>
    <cellStyle name="Total 2 5 4 2 5" xfId="47618"/>
    <cellStyle name="Total 2 5 4 3" xfId="45412"/>
    <cellStyle name="Total 2 5 4 3 2" xfId="45736"/>
    <cellStyle name="Total 2 5 4 3 3" xfId="46125"/>
    <cellStyle name="Total 2 5 4 3 4" xfId="46483"/>
    <cellStyle name="Total 2 5 4 3 5" xfId="46835"/>
    <cellStyle name="Total 2 5 4 3 6" xfId="47150"/>
    <cellStyle name="Total 2 5 4 3 7" xfId="47469"/>
    <cellStyle name="Total 2 5 4 3 8" xfId="47787"/>
    <cellStyle name="Total 2 5 4 4" xfId="45439"/>
    <cellStyle name="Total 2 5 4 4 2" xfId="45798"/>
    <cellStyle name="Total 2 5 4 4 3" xfId="46187"/>
    <cellStyle name="Total 2 5 4 4 4" xfId="46545"/>
    <cellStyle name="Total 2 5 4 4 5" xfId="46897"/>
    <cellStyle name="Total 2 5 4 4 6" xfId="47212"/>
    <cellStyle name="Total 2 5 4 4 7" xfId="47531"/>
    <cellStyle name="Total 2 5 4 4 8" xfId="47849"/>
    <cellStyle name="Total 2 5 4 5" xfId="45463"/>
    <cellStyle name="Total 2 5 4 5 2" xfId="45851"/>
    <cellStyle name="Total 2 5 4 5 3" xfId="46240"/>
    <cellStyle name="Total 2 5 4 5 4" xfId="46598"/>
    <cellStyle name="Total 2 5 4 5 5" xfId="46950"/>
    <cellStyle name="Total 2 5 4 5 6" xfId="47265"/>
    <cellStyle name="Total 2 5 4 5 7" xfId="47584"/>
    <cellStyle name="Total 2 5 4 5 8" xfId="47902"/>
    <cellStyle name="Total 2 5 4 6" xfId="45903"/>
    <cellStyle name="Total 2 5 4 7" xfId="45526"/>
    <cellStyle name="Total 2 5 4 8" xfId="47310"/>
    <cellStyle name="Total 2 5 4 9" xfId="45323"/>
    <cellStyle name="Total 2 5 5" xfId="7574"/>
    <cellStyle name="Total 2 5 5 2" xfId="45362"/>
    <cellStyle name="Total 2 5 5 2 2" xfId="45964"/>
    <cellStyle name="Total 2 5 5 2 3" xfId="46322"/>
    <cellStyle name="Total 2 5 5 2 4" xfId="46674"/>
    <cellStyle name="Total 2 5 5 2 5" xfId="47626"/>
    <cellStyle name="Total 2 5 5 3" xfId="45420"/>
    <cellStyle name="Total 2 5 5 3 2" xfId="45747"/>
    <cellStyle name="Total 2 5 5 3 3" xfId="46136"/>
    <cellStyle name="Total 2 5 5 3 4" xfId="46494"/>
    <cellStyle name="Total 2 5 5 3 5" xfId="46846"/>
    <cellStyle name="Total 2 5 5 3 6" xfId="47161"/>
    <cellStyle name="Total 2 5 5 3 7" xfId="47480"/>
    <cellStyle name="Total 2 5 5 3 8" xfId="47798"/>
    <cellStyle name="Total 2 5 5 4" xfId="45447"/>
    <cellStyle name="Total 2 5 5 4 2" xfId="45809"/>
    <cellStyle name="Total 2 5 5 4 3" xfId="46198"/>
    <cellStyle name="Total 2 5 5 4 4" xfId="46556"/>
    <cellStyle name="Total 2 5 5 4 5" xfId="46908"/>
    <cellStyle name="Total 2 5 5 4 6" xfId="47223"/>
    <cellStyle name="Total 2 5 5 4 7" xfId="47542"/>
    <cellStyle name="Total 2 5 5 4 8" xfId="47860"/>
    <cellStyle name="Total 2 5 5 5" xfId="45471"/>
    <cellStyle name="Total 2 5 5 5 2" xfId="45862"/>
    <cellStyle name="Total 2 5 5 5 3" xfId="46251"/>
    <cellStyle name="Total 2 5 5 5 4" xfId="46609"/>
    <cellStyle name="Total 2 5 5 5 5" xfId="46961"/>
    <cellStyle name="Total 2 5 5 5 6" xfId="47276"/>
    <cellStyle name="Total 2 5 5 5 7" xfId="47595"/>
    <cellStyle name="Total 2 5 5 5 8" xfId="47913"/>
    <cellStyle name="Total 2 5 5 6" xfId="45911"/>
    <cellStyle name="Total 2 5 5 7" xfId="45502"/>
    <cellStyle name="Total 2 5 5 8" xfId="47000"/>
    <cellStyle name="Total 2 5 5 9" xfId="47942"/>
    <cellStyle name="Total 2 5 6" xfId="9484"/>
    <cellStyle name="Total 2 5 6 10" xfId="47947"/>
    <cellStyle name="Total 2 5 6 2" xfId="45367"/>
    <cellStyle name="Total 2 5 6 2 2" xfId="45974"/>
    <cellStyle name="Total 2 5 6 2 3" xfId="46332"/>
    <cellStyle name="Total 2 5 6 2 4" xfId="46684"/>
    <cellStyle name="Total 2 5 6 2 5" xfId="47636"/>
    <cellStyle name="Total 2 5 6 3" xfId="45426"/>
    <cellStyle name="Total 2 5 6 3 2" xfId="45770"/>
    <cellStyle name="Total 2 5 6 3 3" xfId="46159"/>
    <cellStyle name="Total 2 5 6 3 4" xfId="46517"/>
    <cellStyle name="Total 2 5 6 3 5" xfId="46869"/>
    <cellStyle name="Total 2 5 6 3 6" xfId="47184"/>
    <cellStyle name="Total 2 5 6 3 7" xfId="47503"/>
    <cellStyle name="Total 2 5 6 3 8" xfId="47821"/>
    <cellStyle name="Total 2 5 6 4" xfId="45456"/>
    <cellStyle name="Total 2 5 6 4 2" xfId="45839"/>
    <cellStyle name="Total 2 5 6 4 3" xfId="46228"/>
    <cellStyle name="Total 2 5 6 4 4" xfId="46586"/>
    <cellStyle name="Total 2 5 6 4 5" xfId="46938"/>
    <cellStyle name="Total 2 5 6 4 6" xfId="47253"/>
    <cellStyle name="Total 2 5 6 4 7" xfId="47572"/>
    <cellStyle name="Total 2 5 6 4 8" xfId="47890"/>
    <cellStyle name="Total 2 5 6 5" xfId="45476"/>
    <cellStyle name="Total 2 5 6 5 2" xfId="45876"/>
    <cellStyle name="Total 2 5 6 5 3" xfId="46265"/>
    <cellStyle name="Total 2 5 6 5 4" xfId="46623"/>
    <cellStyle name="Total 2 5 6 5 5" xfId="46975"/>
    <cellStyle name="Total 2 5 6 5 6" xfId="47290"/>
    <cellStyle name="Total 2 5 6 5 7" xfId="47609"/>
    <cellStyle name="Total 2 5 6 5 8" xfId="47927"/>
    <cellStyle name="Total 2 5 6 6" xfId="45916"/>
    <cellStyle name="Total 2 5 6 7" xfId="45491"/>
    <cellStyle name="Total 2 5 6 8" xfId="45540"/>
    <cellStyle name="Total 2 5 6 9" xfId="45332"/>
    <cellStyle name="Total 2 5 7" xfId="12142"/>
    <cellStyle name="Total 2 5 7 2" xfId="45581"/>
    <cellStyle name="Total 2 5 7 3" xfId="45930"/>
    <cellStyle name="Total 2 5 7 4" xfId="46288"/>
    <cellStyle name="Total 2 5 7 5" xfId="46640"/>
    <cellStyle name="Total 2 5 7 6" xfId="46991"/>
    <cellStyle name="Total 2 5 7 7" xfId="47308"/>
    <cellStyle name="Total 2 5 7 8" xfId="45496"/>
    <cellStyle name="Total 2 5 8" xfId="14654"/>
    <cellStyle name="Total 2 5 8 2" xfId="45687"/>
    <cellStyle name="Total 2 5 8 3" xfId="46076"/>
    <cellStyle name="Total 2 5 8 4" xfId="46434"/>
    <cellStyle name="Total 2 5 8 5" xfId="46786"/>
    <cellStyle name="Total 2 5 8 6" xfId="47101"/>
    <cellStyle name="Total 2 5 8 7" xfId="47420"/>
    <cellStyle name="Total 2 5 8 8" xfId="47738"/>
    <cellStyle name="Total 2 5 9" xfId="16560"/>
    <cellStyle name="Total 2 5 9 2" xfId="45754"/>
    <cellStyle name="Total 2 5 9 3" xfId="46143"/>
    <cellStyle name="Total 2 5 9 4" xfId="46501"/>
    <cellStyle name="Total 2 5 9 5" xfId="46853"/>
    <cellStyle name="Total 2 5 9 6" xfId="47168"/>
    <cellStyle name="Total 2 5 9 7" xfId="47487"/>
    <cellStyle name="Total 2 5 9 8" xfId="47805"/>
    <cellStyle name="Total 2 6" xfId="2261"/>
    <cellStyle name="Total 2 6 10" xfId="19042"/>
    <cellStyle name="Total 2 6 11" xfId="20954"/>
    <cellStyle name="Total 2 6 12" xfId="24144"/>
    <cellStyle name="Total 2 6 13" xfId="24756"/>
    <cellStyle name="Total 2 6 14" xfId="26811"/>
    <cellStyle name="Total 2 6 15" xfId="28155"/>
    <cellStyle name="Total 2 6 16" xfId="30410"/>
    <cellStyle name="Total 2 6 17" xfId="32395"/>
    <cellStyle name="Total 2 6 18" xfId="34354"/>
    <cellStyle name="Total 2 6 19" xfId="35583"/>
    <cellStyle name="Total 2 6 2" xfId="4569"/>
    <cellStyle name="Total 2 6 2 10" xfId="20814"/>
    <cellStyle name="Total 2 6 2 11" xfId="24167"/>
    <cellStyle name="Total 2 6 2 12" xfId="24616"/>
    <cellStyle name="Total 2 6 2 13" xfId="27582"/>
    <cellStyle name="Total 2 6 2 14" xfId="27091"/>
    <cellStyle name="Total 2 6 2 15" xfId="31161"/>
    <cellStyle name="Total 2 6 2 16" xfId="32035"/>
    <cellStyle name="Total 2 6 2 17" xfId="30605"/>
    <cellStyle name="Total 2 6 2 18" xfId="35444"/>
    <cellStyle name="Total 2 6 2 19" xfId="37322"/>
    <cellStyle name="Total 2 6 2 2" xfId="4777"/>
    <cellStyle name="Total 2 6 2 20" xfId="39265"/>
    <cellStyle name="Total 2 6 2 21" xfId="40942"/>
    <cellStyle name="Total 2 6 2 22" xfId="43909"/>
    <cellStyle name="Total 2 6 2 3" xfId="6154"/>
    <cellStyle name="Total 2 6 2 4" xfId="9376"/>
    <cellStyle name="Total 2 6 2 5" xfId="12127"/>
    <cellStyle name="Total 2 6 2 6" xfId="14638"/>
    <cellStyle name="Total 2 6 2 7" xfId="16544"/>
    <cellStyle name="Total 2 6 2 8" xfId="16995"/>
    <cellStyle name="Total 2 6 2 9" xfId="18902"/>
    <cellStyle name="Total 2 6 20" xfId="37462"/>
    <cellStyle name="Total 2 6 21" xfId="39612"/>
    <cellStyle name="Total 2 6 22" xfId="41286"/>
    <cellStyle name="Total 2 6 23" xfId="43887"/>
    <cellStyle name="Total 2 6 3" xfId="4708"/>
    <cellStyle name="Total 2 6 3 2" xfId="45684"/>
    <cellStyle name="Total 2 6 3 3" xfId="46073"/>
    <cellStyle name="Total 2 6 3 4" xfId="46431"/>
    <cellStyle name="Total 2 6 3 5" xfId="46783"/>
    <cellStyle name="Total 2 6 3 6" xfId="47098"/>
    <cellStyle name="Total 2 6 3 7" xfId="47417"/>
    <cellStyle name="Total 2 6 3 8" xfId="47735"/>
    <cellStyle name="Total 2 6 4" xfId="7607"/>
    <cellStyle name="Total 2 6 4 2" xfId="45756"/>
    <cellStyle name="Total 2 6 4 3" xfId="46145"/>
    <cellStyle name="Total 2 6 4 4" xfId="46503"/>
    <cellStyle name="Total 2 6 4 5" xfId="46855"/>
    <cellStyle name="Total 2 6 4 6" xfId="47170"/>
    <cellStyle name="Total 2 6 4 7" xfId="47489"/>
    <cellStyle name="Total 2 6 4 8" xfId="47807"/>
    <cellStyle name="Total 2 6 5" xfId="9517"/>
    <cellStyle name="Total 2 6 6" xfId="12104"/>
    <cellStyle name="Total 2 6 7" xfId="14615"/>
    <cellStyle name="Total 2 6 8" xfId="16521"/>
    <cellStyle name="Total 2 6 9" xfId="17136"/>
    <cellStyle name="Total 2 7" xfId="2435"/>
    <cellStyle name="Total 2 7 10" xfId="19067"/>
    <cellStyle name="Total 2 7 11" xfId="20979"/>
    <cellStyle name="Total 2 7 12" xfId="23539"/>
    <cellStyle name="Total 2 7 13" xfId="24781"/>
    <cellStyle name="Total 2 7 14" xfId="27348"/>
    <cellStyle name="Total 2 7 15" xfId="29580"/>
    <cellStyle name="Total 2 7 16" xfId="30936"/>
    <cellStyle name="Total 2 7 17" xfId="32473"/>
    <cellStyle name="Total 2 7 18" xfId="33476"/>
    <cellStyle name="Total 2 7 19" xfId="35608"/>
    <cellStyle name="Total 2 7 2" xfId="5582"/>
    <cellStyle name="Total 2 7 2 10" xfId="21832"/>
    <cellStyle name="Total 2 7 2 11" xfId="22908"/>
    <cellStyle name="Total 2 7 2 12" xfId="25634"/>
    <cellStyle name="Total 2 7 2 13" xfId="26264"/>
    <cellStyle name="Total 2 7 2 14" xfId="2666"/>
    <cellStyle name="Total 2 7 2 15" xfId="29874"/>
    <cellStyle name="Total 2 7 2 16" xfId="32718"/>
    <cellStyle name="Total 2 7 2 17" xfId="35059"/>
    <cellStyle name="Total 2 7 2 18" xfId="36461"/>
    <cellStyle name="Total 2 7 2 19" xfId="38340"/>
    <cellStyle name="Total 2 7 2 2" xfId="7031"/>
    <cellStyle name="Total 2 7 2 20" xfId="39928"/>
    <cellStyle name="Total 2 7 2 21" xfId="41594"/>
    <cellStyle name="Total 2 7 2 22" xfId="42694"/>
    <cellStyle name="Total 2 7 2 3" xfId="8485"/>
    <cellStyle name="Total 2 7 2 4" xfId="10395"/>
    <cellStyle name="Total 2 7 2 5" xfId="10983"/>
    <cellStyle name="Total 2 7 2 6" xfId="13376"/>
    <cellStyle name="Total 2 7 2 7" xfId="15281"/>
    <cellStyle name="Total 2 7 2 8" xfId="18014"/>
    <cellStyle name="Total 2 7 2 9" xfId="19920"/>
    <cellStyle name="Total 2 7 20" xfId="37487"/>
    <cellStyle name="Total 2 7 21" xfId="39691"/>
    <cellStyle name="Total 2 7 22" xfId="41364"/>
    <cellStyle name="Total 2 7 23" xfId="43304"/>
    <cellStyle name="Total 2 7 3" xfId="6181"/>
    <cellStyle name="Total 2 7 3 2" xfId="45690"/>
    <cellStyle name="Total 2 7 3 3" xfId="46079"/>
    <cellStyle name="Total 2 7 3 4" xfId="46437"/>
    <cellStyle name="Total 2 7 3 5" xfId="46789"/>
    <cellStyle name="Total 2 7 3 6" xfId="47104"/>
    <cellStyle name="Total 2 7 3 7" xfId="47423"/>
    <cellStyle name="Total 2 7 3 8" xfId="47741"/>
    <cellStyle name="Total 2 7 4" xfId="7632"/>
    <cellStyle name="Total 2 7 4 2" xfId="45753"/>
    <cellStyle name="Total 2 7 4 3" xfId="46142"/>
    <cellStyle name="Total 2 7 4 4" xfId="46500"/>
    <cellStyle name="Total 2 7 4 5" xfId="46852"/>
    <cellStyle name="Total 2 7 4 6" xfId="47167"/>
    <cellStyle name="Total 2 7 4 7" xfId="47486"/>
    <cellStyle name="Total 2 7 4 8" xfId="47804"/>
    <cellStyle name="Total 2 7 5" xfId="9542"/>
    <cellStyle name="Total 2 7 5 2" xfId="45820"/>
    <cellStyle name="Total 2 7 5 3" xfId="46209"/>
    <cellStyle name="Total 2 7 5 4" xfId="46567"/>
    <cellStyle name="Total 2 7 5 5" xfId="46919"/>
    <cellStyle name="Total 2 7 5 6" xfId="47234"/>
    <cellStyle name="Total 2 7 5 7" xfId="47553"/>
    <cellStyle name="Total 2 7 5 8" xfId="47871"/>
    <cellStyle name="Total 2 7 6" xfId="12515"/>
    <cellStyle name="Total 2 7 7" xfId="14011"/>
    <cellStyle name="Total 2 7 8" xfId="15912"/>
    <cellStyle name="Total 2 7 9" xfId="17161"/>
    <cellStyle name="Total 2 8" xfId="3157"/>
    <cellStyle name="Total 2 8 2" xfId="45346"/>
    <cellStyle name="Total 2 8 2 2" xfId="45945"/>
    <cellStyle name="Total 2 8 2 3" xfId="46303"/>
    <cellStyle name="Total 2 8 2 4" xfId="46655"/>
    <cellStyle name="Total 2 8 2 5" xfId="45505"/>
    <cellStyle name="Total 2 8 3" xfId="45404"/>
    <cellStyle name="Total 2 8 3 2" xfId="45714"/>
    <cellStyle name="Total 2 8 3 3" xfId="46103"/>
    <cellStyle name="Total 2 8 3 4" xfId="46461"/>
    <cellStyle name="Total 2 8 3 5" xfId="46813"/>
    <cellStyle name="Total 2 8 3 6" xfId="47128"/>
    <cellStyle name="Total 2 8 3 7" xfId="47447"/>
    <cellStyle name="Total 2 8 3 8" xfId="47765"/>
    <cellStyle name="Total 2 8 4" xfId="45373"/>
    <cellStyle name="Total 2 8 4 2" xfId="45593"/>
    <cellStyle name="Total 2 8 4 3" xfId="45982"/>
    <cellStyle name="Total 2 8 4 4" xfId="46340"/>
    <cellStyle name="Total 2 8 4 5" xfId="46692"/>
    <cellStyle name="Total 2 8 4 6" xfId="47007"/>
    <cellStyle name="Total 2 8 4 7" xfId="47326"/>
    <cellStyle name="Total 2 8 4 8" xfId="47644"/>
    <cellStyle name="Total 2 8 5" xfId="45382"/>
    <cellStyle name="Total 2 8 5 2" xfId="45621"/>
    <cellStyle name="Total 2 8 5 3" xfId="46010"/>
    <cellStyle name="Total 2 8 5 4" xfId="46368"/>
    <cellStyle name="Total 2 8 5 5" xfId="46720"/>
    <cellStyle name="Total 2 8 5 6" xfId="47035"/>
    <cellStyle name="Total 2 8 5 7" xfId="47354"/>
    <cellStyle name="Total 2 8 5 8" xfId="47672"/>
    <cellStyle name="Total 2 8 6" xfId="45895"/>
    <cellStyle name="Total 2 8 7" xfId="45555"/>
    <cellStyle name="Total 2 8 8" xfId="47319"/>
    <cellStyle name="Total 2 8 9" xfId="45315"/>
    <cellStyle name="Total 2 9" xfId="2452"/>
    <cellStyle name="Total 3" xfId="51571"/>
    <cellStyle name="Total 3 2" xfId="52193"/>
    <cellStyle name="Total 3 3" xfId="52224"/>
    <cellStyle name="Total 4" xfId="51576"/>
    <cellStyle name="Total 4 2" xfId="52196"/>
    <cellStyle name="Total 4 3" xfId="52247"/>
    <cellStyle name="Total 5" xfId="51579"/>
    <cellStyle name="Total 5 2" xfId="52197"/>
    <cellStyle name="Total 5 3" xfId="52251"/>
    <cellStyle name="Total 6" xfId="51585"/>
    <cellStyle name="Total 6 2" xfId="52201"/>
    <cellStyle name="Total 6 3" xfId="52239"/>
    <cellStyle name="Total 7" xfId="51589"/>
    <cellStyle name="Total 7 2" xfId="52203"/>
    <cellStyle name="Total 7 3" xfId="52227"/>
    <cellStyle name="Total 8" xfId="51583"/>
    <cellStyle name="Total 8 2" xfId="52199"/>
    <cellStyle name="Total 8 3" xfId="52238"/>
    <cellStyle name="Total 9" xfId="51599"/>
    <cellStyle name="Total 9 2" xfId="52210"/>
    <cellStyle name="Total 9 3" xfId="52232"/>
    <cellStyle name="Vírgula" xfId="1" builtinId="3"/>
    <cellStyle name="Vírgula 2" xfId="100"/>
    <cellStyle name="Vírgula 2 10" xfId="571"/>
    <cellStyle name="Vírgula 2 10 2" xfId="1642"/>
    <cellStyle name="Vírgula 2 11" xfId="654"/>
    <cellStyle name="Vírgula 2 11 2" xfId="1725"/>
    <cellStyle name="Vírgula 2 12" xfId="1120"/>
    <cellStyle name="Vírgula 2 12 2" xfId="45297"/>
    <cellStyle name="Vírgula 2 12 3" xfId="43984"/>
    <cellStyle name="Vírgula 2 13" xfId="1173"/>
    <cellStyle name="Vírgula 2 13 2" xfId="45298"/>
    <cellStyle name="Vírgula 2 13 3" xfId="45287"/>
    <cellStyle name="Vírgula 2 13_Mem." xfId="49652"/>
    <cellStyle name="Vírgula 2 14" xfId="1850"/>
    <cellStyle name="Vírgula 2 2" xfId="157"/>
    <cellStyle name="Vírgula 2 2 2" xfId="1121"/>
    <cellStyle name="Vírgula 2 2 2 2" xfId="45299"/>
    <cellStyle name="Vírgula 2 2 2 3" xfId="43986"/>
    <cellStyle name="Vírgula 2 2 3" xfId="1229"/>
    <cellStyle name="Vírgula 2 2_Mem." xfId="49653"/>
    <cellStyle name="Vírgula 2 3" xfId="250"/>
    <cellStyle name="Vírgula 2 3 10" xfId="49654"/>
    <cellStyle name="Vírgula 2 3 2" xfId="1322"/>
    <cellStyle name="Vírgula 2 3 2 2" xfId="49655"/>
    <cellStyle name="Vírgula 2 3 2 2 2" xfId="49656"/>
    <cellStyle name="Vírgula 2 3 2 2 2 2" xfId="49657"/>
    <cellStyle name="Vírgula 2 3 2 2 2 2 2" xfId="51120"/>
    <cellStyle name="Vírgula 2 3 2 2 2 3" xfId="50377"/>
    <cellStyle name="Vírgula 2 3 2 2 3" xfId="49658"/>
    <cellStyle name="Vírgula 2 3 2 2 3 2" xfId="50760"/>
    <cellStyle name="Vírgula 2 3 2 2 4" xfId="50069"/>
    <cellStyle name="Vírgula 2 3 2 3" xfId="49659"/>
    <cellStyle name="Vírgula 2 3 2 3 2" xfId="49660"/>
    <cellStyle name="Vírgula 2 3 2 3 2 2" xfId="50985"/>
    <cellStyle name="Vírgula 2 3 2 3 3" xfId="50249"/>
    <cellStyle name="Vírgula 2 3 2 4" xfId="49661"/>
    <cellStyle name="Vírgula 2 3 2 4 2" xfId="50623"/>
    <cellStyle name="Vírgula 2 3 2 5" xfId="49662"/>
    <cellStyle name="Vírgula 2 3 3" xfId="49663"/>
    <cellStyle name="Vírgula 2 3 3 2" xfId="49664"/>
    <cellStyle name="Vírgula 2 3 3 2 2" xfId="49665"/>
    <cellStyle name="Vírgula 2 3 3 2 2 2" xfId="49666"/>
    <cellStyle name="Vírgula 2 3 3 2 2 2 2" xfId="51160"/>
    <cellStyle name="Vírgula 2 3 3 2 2 3" xfId="50416"/>
    <cellStyle name="Vírgula 2 3 3 2 3" xfId="49667"/>
    <cellStyle name="Vírgula 2 3 3 2 3 2" xfId="50800"/>
    <cellStyle name="Vírgula 2 3 3 2 4" xfId="50100"/>
    <cellStyle name="Vírgula 2 3 3 3" xfId="49668"/>
    <cellStyle name="Vírgula 2 3 3 3 2" xfId="49669"/>
    <cellStyle name="Vírgula 2 3 3 3 2 2" xfId="51024"/>
    <cellStyle name="Vírgula 2 3 3 3 3" xfId="50288"/>
    <cellStyle name="Vírgula 2 3 3 4" xfId="49670"/>
    <cellStyle name="Vírgula 2 3 3 4 2" xfId="50663"/>
    <cellStyle name="Vírgula 2 3 3 5" xfId="49995"/>
    <cellStyle name="Vírgula 2 3 4" xfId="49671"/>
    <cellStyle name="Vírgula 2 3 4 2" xfId="49672"/>
    <cellStyle name="Vírgula 2 3 4 2 2" xfId="49673"/>
    <cellStyle name="Vírgula 2 3 4 2 2 2" xfId="51087"/>
    <cellStyle name="Vírgula 2 3 4 2 3" xfId="50345"/>
    <cellStyle name="Vírgula 2 3 4 3" xfId="49674"/>
    <cellStyle name="Vírgula 2 3 4 3 2" xfId="50727"/>
    <cellStyle name="Vírgula 2 3 4 4" xfId="50043"/>
    <cellStyle name="Vírgula 2 3 5" xfId="49675"/>
    <cellStyle name="Vírgula 2 3 5 2" xfId="49676"/>
    <cellStyle name="Vírgula 2 3 5 2 2" xfId="49677"/>
    <cellStyle name="Vírgula 2 3 5 2 2 2" xfId="50953"/>
    <cellStyle name="Vírgula 2 3 5 2 3" xfId="50217"/>
    <cellStyle name="Vírgula 2 3 5 3" xfId="49678"/>
    <cellStyle name="Vírgula 2 3 5 3 2" xfId="50590"/>
    <cellStyle name="Vírgula 2 3 5 4" xfId="49944"/>
    <cellStyle name="Vírgula 2 3 6" xfId="49679"/>
    <cellStyle name="Vírgula 2 3 6 2" xfId="49680"/>
    <cellStyle name="Vírgula 2 3 6 2 2" xfId="49681"/>
    <cellStyle name="Vírgula 2 3 6 2 2 2" xfId="51193"/>
    <cellStyle name="Vírgula 2 3 6 2 3" xfId="50445"/>
    <cellStyle name="Vírgula 2 3 6 3" xfId="49682"/>
    <cellStyle name="Vírgula 2 3 6 3 2" xfId="50834"/>
    <cellStyle name="Vírgula 2 3 6 4" xfId="50126"/>
    <cellStyle name="Vírgula 2 3 7" xfId="49683"/>
    <cellStyle name="Vírgula 2 3 7 2" xfId="49684"/>
    <cellStyle name="Vírgula 2 3 7 2 2" xfId="50876"/>
    <cellStyle name="Vírgula 2 3 7 3" xfId="50151"/>
    <cellStyle name="Vírgula 2 3 8" xfId="49685"/>
    <cellStyle name="Vírgula 2 3 8 2" xfId="49686"/>
    <cellStyle name="Vírgula 2 3 8 2 2" xfId="51226"/>
    <cellStyle name="Vírgula 2 3 8 3" xfId="50471"/>
    <cellStyle name="Vírgula 2 3 9" xfId="49687"/>
    <cellStyle name="Vírgula 2 3 9 2" xfId="50499"/>
    <cellStyle name="Vírgula 2 4" xfId="307"/>
    <cellStyle name="Vírgula 2 4 2" xfId="1379"/>
    <cellStyle name="Vírgula 2 5" xfId="347"/>
    <cellStyle name="Vírgula 2 5 2" xfId="1419"/>
    <cellStyle name="Vírgula 2 6" xfId="386"/>
    <cellStyle name="Vírgula 2 6 2" xfId="1458"/>
    <cellStyle name="Vírgula 2 7" xfId="444"/>
    <cellStyle name="Vírgula 2 7 2" xfId="1516"/>
    <cellStyle name="Vírgula 2 8" xfId="511"/>
    <cellStyle name="Vírgula 2 8 2" xfId="1582"/>
    <cellStyle name="Vírgula 2 9" xfId="602"/>
    <cellStyle name="Vírgula 2 9 2" xfId="1673"/>
    <cellStyle name="Vírgula 3" xfId="101"/>
    <cellStyle name="Vírgula 3 10" xfId="617"/>
    <cellStyle name="Vírgula 3 10 2" xfId="1688"/>
    <cellStyle name="Vírgula 3 10 2 2" xfId="49688"/>
    <cellStyle name="Vírgula 3 10 3" xfId="49689"/>
    <cellStyle name="Vírgula 3 11" xfId="552"/>
    <cellStyle name="Vírgula 3 11 2" xfId="1623"/>
    <cellStyle name="Vírgula 3 11 2 2" xfId="49690"/>
    <cellStyle name="Vírgula 3 11 3" xfId="49691"/>
    <cellStyle name="Vírgula 3 12" xfId="1174"/>
    <cellStyle name="Vírgula 3 12 2" xfId="49692"/>
    <cellStyle name="Vírgula 3 13" xfId="45518"/>
    <cellStyle name="Vírgula 3 13 2" xfId="49875"/>
    <cellStyle name="Vírgula 3 14" xfId="49693"/>
    <cellStyle name="Vírgula 3 2" xfId="158"/>
    <cellStyle name="Vírgula 3 2 10" xfId="49694"/>
    <cellStyle name="Vírgula 3 2 10 2" xfId="50500"/>
    <cellStyle name="Vírgula 3 2 11" xfId="49695"/>
    <cellStyle name="Vírgula 3 2 2" xfId="1230"/>
    <cellStyle name="Vírgula 3 2 2 2" xfId="49696"/>
    <cellStyle name="Vírgula 3 2 2 2 2" xfId="49697"/>
    <cellStyle name="Vírgula 3 2 2 2 2 2" xfId="49698"/>
    <cellStyle name="Vírgula 3 2 2 2 2 2 2" xfId="51089"/>
    <cellStyle name="Vírgula 3 2 2 2 2 3" xfId="50347"/>
    <cellStyle name="Vírgula 3 2 2 2 3" xfId="49699"/>
    <cellStyle name="Vírgula 3 2 2 2 3 2" xfId="50729"/>
    <cellStyle name="Vírgula 3 2 2 2 4" xfId="50044"/>
    <cellStyle name="Vírgula 3 2 2 3" xfId="49700"/>
    <cellStyle name="Vírgula 3 2 2 3 2" xfId="49701"/>
    <cellStyle name="Vírgula 3 2 2 3 2 2" xfId="50955"/>
    <cellStyle name="Vírgula 3 2 2 3 3" xfId="50219"/>
    <cellStyle name="Vírgula 3 2 2 4" xfId="49702"/>
    <cellStyle name="Vírgula 3 2 2 4 2" xfId="50592"/>
    <cellStyle name="Vírgula 3 2 2 5" xfId="49703"/>
    <cellStyle name="Vírgula 3 2 3" xfId="49704"/>
    <cellStyle name="Vírgula 3 2 3 2" xfId="49705"/>
    <cellStyle name="Vírgula 3 2 3 2 2" xfId="49706"/>
    <cellStyle name="Vírgula 3 2 3 2 2 2" xfId="49707"/>
    <cellStyle name="Vírgula 3 2 3 2 2 2 2" xfId="51122"/>
    <cellStyle name="Vírgula 3 2 3 2 2 3" xfId="50379"/>
    <cellStyle name="Vírgula 3 2 3 2 3" xfId="49708"/>
    <cellStyle name="Vírgula 3 2 3 2 3 2" xfId="50762"/>
    <cellStyle name="Vírgula 3 2 3 2 4" xfId="50070"/>
    <cellStyle name="Vírgula 3 2 3 3" xfId="49709"/>
    <cellStyle name="Vírgula 3 2 3 3 2" xfId="49710"/>
    <cellStyle name="Vírgula 3 2 3 3 2 2" xfId="50987"/>
    <cellStyle name="Vírgula 3 2 3 3 3" xfId="50251"/>
    <cellStyle name="Vírgula 3 2 3 4" xfId="49711"/>
    <cellStyle name="Vírgula 3 2 3 4 2" xfId="50625"/>
    <cellStyle name="Vírgula 3 2 3 5" xfId="49966"/>
    <cellStyle name="Vírgula 3 2 4" xfId="49712"/>
    <cellStyle name="Vírgula 3 2 4 2" xfId="49713"/>
    <cellStyle name="Vírgula 3 2 4 2 2" xfId="49714"/>
    <cellStyle name="Vírgula 3 2 4 2 2 2" xfId="49715"/>
    <cellStyle name="Vírgula 3 2 4 2 2 2 2" xfId="51162"/>
    <cellStyle name="Vírgula 3 2 4 2 2 3" xfId="50418"/>
    <cellStyle name="Vírgula 3 2 4 2 3" xfId="49716"/>
    <cellStyle name="Vírgula 3 2 4 2 3 2" xfId="50802"/>
    <cellStyle name="Vírgula 3 2 4 2 4" xfId="50101"/>
    <cellStyle name="Vírgula 3 2 4 3" xfId="49717"/>
    <cellStyle name="Vírgula 3 2 4 3 2" xfId="49718"/>
    <cellStyle name="Vírgula 3 2 4 3 2 2" xfId="51026"/>
    <cellStyle name="Vírgula 3 2 4 3 3" xfId="50290"/>
    <cellStyle name="Vírgula 3 2 4 4" xfId="49719"/>
    <cellStyle name="Vírgula 3 2 4 4 2" xfId="50665"/>
    <cellStyle name="Vírgula 3 2 4 5" xfId="49996"/>
    <cellStyle name="Vírgula 3 2 5" xfId="49720"/>
    <cellStyle name="Vírgula 3 2 5 2" xfId="49721"/>
    <cellStyle name="Vírgula 3 2 5 2 2" xfId="49722"/>
    <cellStyle name="Vírgula 3 2 5 2 2 2" xfId="51050"/>
    <cellStyle name="Vírgula 3 2 5 2 3" xfId="50309"/>
    <cellStyle name="Vírgula 3 2 5 3" xfId="49723"/>
    <cellStyle name="Vírgula 3 2 5 3 2" xfId="50690"/>
    <cellStyle name="Vírgula 3 2 5 4" xfId="50012"/>
    <cellStyle name="Vírgula 3 2 6" xfId="49724"/>
    <cellStyle name="Vírgula 3 2 6 2" xfId="49725"/>
    <cellStyle name="Vírgula 3 2 6 2 2" xfId="49726"/>
    <cellStyle name="Vírgula 3 2 6 2 2 2" xfId="50917"/>
    <cellStyle name="Vírgula 3 2 6 2 3" xfId="50181"/>
    <cellStyle name="Vírgula 3 2 6 3" xfId="49727"/>
    <cellStyle name="Vírgula 3 2 6 3 2" xfId="50553"/>
    <cellStyle name="Vírgula 3 2 6 4" xfId="49917"/>
    <cellStyle name="Vírgula 3 2 7" xfId="49728"/>
    <cellStyle name="Vírgula 3 2 7 2" xfId="49729"/>
    <cellStyle name="Vírgula 3 2 7 2 2" xfId="49730"/>
    <cellStyle name="Vírgula 3 2 7 2 2 2" xfId="51195"/>
    <cellStyle name="Vírgula 3 2 7 2 3" xfId="50446"/>
    <cellStyle name="Vírgula 3 2 7 3" xfId="49731"/>
    <cellStyle name="Vírgula 3 2 7 3 2" xfId="50836"/>
    <cellStyle name="Vírgula 3 2 7 4" xfId="50127"/>
    <cellStyle name="Vírgula 3 2 8" xfId="49732"/>
    <cellStyle name="Vírgula 3 2 8 2" xfId="49733"/>
    <cellStyle name="Vírgula 3 2 8 2 2" xfId="50877"/>
    <cellStyle name="Vírgula 3 2 8 3" xfId="50152"/>
    <cellStyle name="Vírgula 3 2 9" xfId="49734"/>
    <cellStyle name="Vírgula 3 2 9 2" xfId="49735"/>
    <cellStyle name="Vírgula 3 2 9 2 2" xfId="51227"/>
    <cellStyle name="Vírgula 3 2 9 3" xfId="50472"/>
    <cellStyle name="Vírgula 3 3" xfId="251"/>
    <cellStyle name="Vírgula 3 3 10" xfId="49736"/>
    <cellStyle name="Vírgula 3 3 10 2" xfId="50501"/>
    <cellStyle name="Vírgula 3 3 11" xfId="49737"/>
    <cellStyle name="Vírgula 3 3 2" xfId="1323"/>
    <cellStyle name="Vírgula 3 3 2 2" xfId="49738"/>
    <cellStyle name="Vírgula 3 3 2 2 2" xfId="49739"/>
    <cellStyle name="Vírgula 3 3 2 2 2 2" xfId="49740"/>
    <cellStyle name="Vírgula 3 3 2 2 2 2 2" xfId="51090"/>
    <cellStyle name="Vírgula 3 3 2 2 2 3" xfId="50348"/>
    <cellStyle name="Vírgula 3 3 2 2 3" xfId="49741"/>
    <cellStyle name="Vírgula 3 3 2 2 3 2" xfId="50730"/>
    <cellStyle name="Vírgula 3 3 2 2 4" xfId="50045"/>
    <cellStyle name="Vírgula 3 3 2 3" xfId="49742"/>
    <cellStyle name="Vírgula 3 3 2 3 2" xfId="49743"/>
    <cellStyle name="Vírgula 3 3 2 3 2 2" xfId="50956"/>
    <cellStyle name="Vírgula 3 3 2 3 3" xfId="50220"/>
    <cellStyle name="Vírgula 3 3 2 4" xfId="49744"/>
    <cellStyle name="Vírgula 3 3 2 4 2" xfId="50593"/>
    <cellStyle name="Vírgula 3 3 2 5" xfId="49745"/>
    <cellStyle name="Vírgula 3 3 3" xfId="49746"/>
    <cellStyle name="Vírgula 3 3 3 2" xfId="49747"/>
    <cellStyle name="Vírgula 3 3 3 2 2" xfId="49748"/>
    <cellStyle name="Vírgula 3 3 3 2 2 2" xfId="49749"/>
    <cellStyle name="Vírgula 3 3 3 2 2 2 2" xfId="51123"/>
    <cellStyle name="Vírgula 3 3 3 2 2 3" xfId="50380"/>
    <cellStyle name="Vírgula 3 3 3 2 3" xfId="49750"/>
    <cellStyle name="Vírgula 3 3 3 2 3 2" xfId="50763"/>
    <cellStyle name="Vírgula 3 3 3 2 4" xfId="50071"/>
    <cellStyle name="Vírgula 3 3 3 3" xfId="49751"/>
    <cellStyle name="Vírgula 3 3 3 3 2" xfId="49752"/>
    <cellStyle name="Vírgula 3 3 3 3 2 2" xfId="50988"/>
    <cellStyle name="Vírgula 3 3 3 3 3" xfId="50252"/>
    <cellStyle name="Vírgula 3 3 3 4" xfId="49753"/>
    <cellStyle name="Vírgula 3 3 3 4 2" xfId="50626"/>
    <cellStyle name="Vírgula 3 3 3 5" xfId="49967"/>
    <cellStyle name="Vírgula 3 3 4" xfId="49754"/>
    <cellStyle name="Vírgula 3 3 4 2" xfId="49755"/>
    <cellStyle name="Vírgula 3 3 4 2 2" xfId="49756"/>
    <cellStyle name="Vírgula 3 3 4 2 2 2" xfId="49757"/>
    <cellStyle name="Vírgula 3 3 4 2 2 2 2" xfId="51163"/>
    <cellStyle name="Vírgula 3 3 4 2 2 3" xfId="50419"/>
    <cellStyle name="Vírgula 3 3 4 2 3" xfId="49758"/>
    <cellStyle name="Vírgula 3 3 4 2 3 2" xfId="50803"/>
    <cellStyle name="Vírgula 3 3 4 2 4" xfId="50102"/>
    <cellStyle name="Vírgula 3 3 4 3" xfId="49759"/>
    <cellStyle name="Vírgula 3 3 4 3 2" xfId="49760"/>
    <cellStyle name="Vírgula 3 3 4 3 2 2" xfId="51027"/>
    <cellStyle name="Vírgula 3 3 4 3 3" xfId="50291"/>
    <cellStyle name="Vírgula 3 3 4 4" xfId="49761"/>
    <cellStyle name="Vírgula 3 3 4 4 2" xfId="50666"/>
    <cellStyle name="Vírgula 3 3 4 5" xfId="49997"/>
    <cellStyle name="Vírgula 3 3 5" xfId="49762"/>
    <cellStyle name="Vírgula 3 3 5 2" xfId="49763"/>
    <cellStyle name="Vírgula 3 3 5 2 2" xfId="49764"/>
    <cellStyle name="Vírgula 3 3 5 2 2 2" xfId="51040"/>
    <cellStyle name="Vírgula 3 3 5 2 3" xfId="50300"/>
    <cellStyle name="Vírgula 3 3 5 3" xfId="49765"/>
    <cellStyle name="Vírgula 3 3 5 3 2" xfId="50680"/>
    <cellStyle name="Vírgula 3 3 5 4" xfId="50003"/>
    <cellStyle name="Vírgula 3 3 6" xfId="49766"/>
    <cellStyle name="Vírgula 3 3 6 2" xfId="49767"/>
    <cellStyle name="Vírgula 3 3 6 2 2" xfId="49768"/>
    <cellStyle name="Vírgula 3 3 6 2 2 2" xfId="50907"/>
    <cellStyle name="Vírgula 3 3 6 2 3" xfId="50172"/>
    <cellStyle name="Vírgula 3 3 6 3" xfId="49769"/>
    <cellStyle name="Vírgula 3 3 6 3 2" xfId="50543"/>
    <cellStyle name="Vírgula 3 3 6 4" xfId="49908"/>
    <cellStyle name="Vírgula 3 3 7" xfId="49770"/>
    <cellStyle name="Vírgula 3 3 7 2" xfId="49771"/>
    <cellStyle name="Vírgula 3 3 7 2 2" xfId="49772"/>
    <cellStyle name="Vírgula 3 3 7 2 2 2" xfId="51196"/>
    <cellStyle name="Vírgula 3 3 7 2 3" xfId="50447"/>
    <cellStyle name="Vírgula 3 3 7 3" xfId="49773"/>
    <cellStyle name="Vírgula 3 3 7 3 2" xfId="50837"/>
    <cellStyle name="Vírgula 3 3 7 4" xfId="50128"/>
    <cellStyle name="Vírgula 3 3 8" xfId="49774"/>
    <cellStyle name="Vírgula 3 3 8 2" xfId="49775"/>
    <cellStyle name="Vírgula 3 3 8 2 2" xfId="50878"/>
    <cellStyle name="Vírgula 3 3 8 3" xfId="50153"/>
    <cellStyle name="Vírgula 3 3 9" xfId="49776"/>
    <cellStyle name="Vírgula 3 3 9 2" xfId="49777"/>
    <cellStyle name="Vírgula 3 3 9 2 2" xfId="51228"/>
    <cellStyle name="Vírgula 3 3 9 3" xfId="50473"/>
    <cellStyle name="Vírgula 3 4" xfId="309"/>
    <cellStyle name="Vírgula 3 4 2" xfId="1381"/>
    <cellStyle name="Vírgula 3 4 2 2" xfId="49778"/>
    <cellStyle name="Vírgula 3 4 2 2 2" xfId="49779"/>
    <cellStyle name="Vírgula 3 4 2 2 2 2" xfId="51088"/>
    <cellStyle name="Vírgula 3 4 2 2 3" xfId="50346"/>
    <cellStyle name="Vírgula 3 4 2 3" xfId="49780"/>
    <cellStyle name="Vírgula 3 4 2 3 2" xfId="50728"/>
    <cellStyle name="Vírgula 3 4 2 4" xfId="49781"/>
    <cellStyle name="Vírgula 3 4 3" xfId="49782"/>
    <cellStyle name="Vírgula 3 4 3 2" xfId="49783"/>
    <cellStyle name="Vírgula 3 4 3 2 2" xfId="50954"/>
    <cellStyle name="Vírgula 3 4 3 3" xfId="50218"/>
    <cellStyle name="Vírgula 3 4 4" xfId="49784"/>
    <cellStyle name="Vírgula 3 4 4 2" xfId="50591"/>
    <cellStyle name="Vírgula 3 4 5" xfId="49785"/>
    <cellStyle name="Vírgula 3 5" xfId="348"/>
    <cellStyle name="Vírgula 3 5 2" xfId="1420"/>
    <cellStyle name="Vírgula 3 5 2 2" xfId="49786"/>
    <cellStyle name="Vírgula 3 5 2 2 2" xfId="49787"/>
    <cellStyle name="Vírgula 3 5 2 2 2 2" xfId="51121"/>
    <cellStyle name="Vírgula 3 5 2 2 3" xfId="50378"/>
    <cellStyle name="Vírgula 3 5 2 3" xfId="49788"/>
    <cellStyle name="Vírgula 3 5 2 3 2" xfId="50761"/>
    <cellStyle name="Vírgula 3 5 2 4" xfId="49789"/>
    <cellStyle name="Vírgula 3 5 3" xfId="49790"/>
    <cellStyle name="Vírgula 3 5 3 2" xfId="49791"/>
    <cellStyle name="Vírgula 3 5 3 2 2" xfId="50986"/>
    <cellStyle name="Vírgula 3 5 3 3" xfId="50250"/>
    <cellStyle name="Vírgula 3 5 4" xfId="49792"/>
    <cellStyle name="Vírgula 3 5 4 2" xfId="50624"/>
    <cellStyle name="Vírgula 3 5 5" xfId="49793"/>
    <cellStyle name="Vírgula 3 6" xfId="387"/>
    <cellStyle name="Vírgula 3 6 2" xfId="1459"/>
    <cellStyle name="Vírgula 3 6 2 2" xfId="49794"/>
    <cellStyle name="Vírgula 3 6 2 2 2" xfId="49795"/>
    <cellStyle name="Vírgula 3 6 2 2 2 2" xfId="51161"/>
    <cellStyle name="Vírgula 3 6 2 2 3" xfId="50417"/>
    <cellStyle name="Vírgula 3 6 2 3" xfId="49796"/>
    <cellStyle name="Vírgula 3 6 2 3 2" xfId="50801"/>
    <cellStyle name="Vírgula 3 6 2 4" xfId="49797"/>
    <cellStyle name="Vírgula 3 6 3" xfId="49798"/>
    <cellStyle name="Vírgula 3 6 3 2" xfId="49799"/>
    <cellStyle name="Vírgula 3 6 3 2 2" xfId="51025"/>
    <cellStyle name="Vírgula 3 6 3 3" xfId="50289"/>
    <cellStyle name="Vírgula 3 6 4" xfId="49800"/>
    <cellStyle name="Vírgula 3 6 4 2" xfId="50664"/>
    <cellStyle name="Vírgula 3 6 5" xfId="49801"/>
    <cellStyle name="Vírgula 3 7" xfId="445"/>
    <cellStyle name="Vírgula 3 7 2" xfId="1517"/>
    <cellStyle name="Vírgula 3 7 2 2" xfId="49802"/>
    <cellStyle name="Vírgula 3 7 2 2 2" xfId="51030"/>
    <cellStyle name="Vírgula 3 7 2 3" xfId="49803"/>
    <cellStyle name="Vírgula 3 7 3" xfId="49804"/>
    <cellStyle name="Vírgula 3 7 3 2" xfId="50670"/>
    <cellStyle name="Vírgula 3 7 4" xfId="49805"/>
    <cellStyle name="Vírgula 3 8" xfId="512"/>
    <cellStyle name="Vírgula 3 8 2" xfId="1583"/>
    <cellStyle name="Vírgula 3 8 2 2" xfId="49806"/>
    <cellStyle name="Vírgula 3 8 2 2 2" xfId="50897"/>
    <cellStyle name="Vírgula 3 8 2 3" xfId="49807"/>
    <cellStyle name="Vírgula 3 8 3" xfId="49808"/>
    <cellStyle name="Vírgula 3 8 3 2" xfId="50533"/>
    <cellStyle name="Vírgula 3 8 4" xfId="49809"/>
    <cellStyle name="Vírgula 3 9" xfId="581"/>
    <cellStyle name="Vírgula 3 9 2" xfId="1652"/>
    <cellStyle name="Vírgula 3 9 2 2" xfId="49810"/>
    <cellStyle name="Vírgula 3 9 2 2 2" xfId="51194"/>
    <cellStyle name="Vírgula 3 9 2 3" xfId="49811"/>
    <cellStyle name="Vírgula 3 9 3" xfId="49812"/>
    <cellStyle name="Vírgula 3 9 3 2" xfId="50835"/>
    <cellStyle name="Vírgula 3 9 4" xfId="49813"/>
    <cellStyle name="Vírgula 4" xfId="102"/>
    <cellStyle name="Vírgula 4 10" xfId="643"/>
    <cellStyle name="Vírgula 4 10 2" xfId="1714"/>
    <cellStyle name="Vírgula 4 11" xfId="572"/>
    <cellStyle name="Vírgula 4 11 2" xfId="1643"/>
    <cellStyle name="Vírgula 4 12" xfId="1175"/>
    <cellStyle name="Vírgula 4 13" xfId="1852"/>
    <cellStyle name="Vírgula 4 14" xfId="1759"/>
    <cellStyle name="Vírgula 4 2" xfId="159"/>
    <cellStyle name="Vírgula 4 2 2" xfId="1231"/>
    <cellStyle name="Vírgula 4 3" xfId="252"/>
    <cellStyle name="Vírgula 4 3 2" xfId="1324"/>
    <cellStyle name="Vírgula 4 4" xfId="310"/>
    <cellStyle name="Vírgula 4 4 2" xfId="1382"/>
    <cellStyle name="Vírgula 4 5" xfId="349"/>
    <cellStyle name="Vírgula 4 5 2" xfId="1421"/>
    <cellStyle name="Vírgula 4 6" xfId="388"/>
    <cellStyle name="Vírgula 4 6 2" xfId="1460"/>
    <cellStyle name="Vírgula 4 7" xfId="446"/>
    <cellStyle name="Vírgula 4 7 2" xfId="1518"/>
    <cellStyle name="Vírgula 4 8" xfId="513"/>
    <cellStyle name="Vírgula 4 8 2" xfId="1584"/>
    <cellStyle name="Vírgula 4 9" xfId="560"/>
    <cellStyle name="Vírgula 4 9 2" xfId="1631"/>
    <cellStyle name="Vírgula 4_Mem." xfId="49814"/>
    <cellStyle name="Vírgula 5" xfId="679"/>
    <cellStyle name="Vírgula 5 2" xfId="49815"/>
    <cellStyle name="Vírgula 5 2 2" xfId="49816"/>
    <cellStyle name="Vírgula 5 2 2 2" xfId="49817"/>
    <cellStyle name="Vírgula 5 2 2 2 2" xfId="49818"/>
    <cellStyle name="Vírgula 5 2 2 2 2 2" xfId="51164"/>
    <cellStyle name="Vírgula 5 2 2 2 3" xfId="50420"/>
    <cellStyle name="Vírgula 5 2 2 3" xfId="49819"/>
    <cellStyle name="Vírgula 5 2 2 3 2" xfId="50804"/>
    <cellStyle name="Vírgula 5 2 2 4" xfId="50103"/>
    <cellStyle name="Vírgula 5 2 3" xfId="49820"/>
    <cellStyle name="Vírgula 5 2 3 2" xfId="49821"/>
    <cellStyle name="Vírgula 5 2 3 2 2" xfId="51028"/>
    <cellStyle name="Vírgula 5 2 3 3" xfId="50292"/>
    <cellStyle name="Vírgula 5 2 4" xfId="49822"/>
    <cellStyle name="Vírgula 5 2 4 2" xfId="50667"/>
    <cellStyle name="Vírgula 5 2 5" xfId="49998"/>
    <cellStyle name="Vírgula 5 3" xfId="49823"/>
    <cellStyle name="Vírgula 5 3 2" xfId="49824"/>
    <cellStyle name="Vírgula 5 3 2 2" xfId="49825"/>
    <cellStyle name="Vírgula 5 3 2 2 2" xfId="51126"/>
    <cellStyle name="Vírgula 5 3 2 3" xfId="50383"/>
    <cellStyle name="Vírgula 5 3 3" xfId="49826"/>
    <cellStyle name="Vírgula 5 3 3 2" xfId="50766"/>
    <cellStyle name="Vírgula 5 3 4" xfId="50073"/>
    <cellStyle name="Vírgula 5 4" xfId="49827"/>
    <cellStyle name="Vírgula 5 4 2" xfId="49828"/>
    <cellStyle name="Vírgula 5 4 2 2" xfId="49829"/>
    <cellStyle name="Vírgula 5 4 2 2 2" xfId="50991"/>
    <cellStyle name="Vírgula 5 4 2 3" xfId="50255"/>
    <cellStyle name="Vírgula 5 4 3" xfId="49830"/>
    <cellStyle name="Vírgula 5 4 3 2" xfId="50629"/>
    <cellStyle name="Vírgula 5 4 4" xfId="49969"/>
    <cellStyle name="Vírgula 5 5" xfId="49831"/>
    <cellStyle name="Vírgula 5 5 2" xfId="49832"/>
    <cellStyle name="Vírgula 5 5 2 2" xfId="50880"/>
    <cellStyle name="Vírgula 5 5 3" xfId="50154"/>
    <cellStyle name="Vírgula 5 6" xfId="49833"/>
    <cellStyle name="Vírgula 5 6 2" xfId="49834"/>
    <cellStyle name="Vírgula 5 6 2 2" xfId="51229"/>
    <cellStyle name="Vírgula 5 6 3" xfId="50474"/>
    <cellStyle name="Vírgula 5 7" xfId="49835"/>
    <cellStyle name="Vírgula 5 7 2" xfId="50514"/>
    <cellStyle name="Vírgula 5 8" xfId="49836"/>
    <cellStyle name="Vírgula 6" xfId="45289"/>
    <cellStyle name="Vírgula 6 2" xfId="49837"/>
    <cellStyle name="Vírgula 6 2 2" xfId="53316"/>
    <cellStyle name="Vírgula 6 3" xfId="53315"/>
    <cellStyle name="Vírgula 7" xfId="49838"/>
    <cellStyle name="Vírgula 8" xfId="53320"/>
    <cellStyle name="Vírgula 9" xfId="53322"/>
    <cellStyle name="Warning Text" xfId="51567"/>
  </cellStyles>
  <dxfs count="24"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66"/>
      <color rgb="FFFF66FF"/>
      <color rgb="FFFFCCFF"/>
      <color rgb="FFFFFF99"/>
      <color rgb="FF0000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7"/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428625" y="174699083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428625" y="179298600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428625" y="179298600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428625" y="179298600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1079</xdr:row>
      <xdr:rowOff>0</xdr:rowOff>
    </xdr:from>
    <xdr:to>
      <xdr:col>2</xdr:col>
      <xdr:colOff>535517</xdr:colOff>
      <xdr:row>1080</xdr:row>
      <xdr:rowOff>33620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428625" y="179298600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33617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1108</xdr:row>
      <xdr:rowOff>0</xdr:rowOff>
    </xdr:from>
    <xdr:to>
      <xdr:col>2</xdr:col>
      <xdr:colOff>535517</xdr:colOff>
      <xdr:row>1109</xdr:row>
      <xdr:rowOff>33618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33618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1139</xdr:row>
      <xdr:rowOff>0</xdr:rowOff>
    </xdr:from>
    <xdr:to>
      <xdr:col>2</xdr:col>
      <xdr:colOff>535517</xdr:colOff>
      <xdr:row>1140</xdr:row>
      <xdr:rowOff>33617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3"/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1139</xdr:row>
      <xdr:rowOff>0</xdr:rowOff>
    </xdr:from>
    <xdr:ext cx="1209071" cy="196904"/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3"/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1144</xdr:row>
      <xdr:rowOff>0</xdr:rowOff>
    </xdr:from>
    <xdr:ext cx="1209071" cy="196904"/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428625" y="179460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428625" y="179460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428625" y="179460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1080</xdr:row>
      <xdr:rowOff>0</xdr:rowOff>
    </xdr:from>
    <xdr:ext cx="1218142" cy="192367"/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428625" y="179460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7"/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428625" y="1829276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428625" y="1829276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428625" y="1829276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428625" y="1829276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1100</xdr:row>
      <xdr:rowOff>0</xdr:rowOff>
    </xdr:from>
    <xdr:ext cx="1218142" cy="192368"/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428625" y="1829276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428625</xdr:colOff>
      <xdr:row>1486</xdr:row>
      <xdr:rowOff>0</xdr:rowOff>
    </xdr:from>
    <xdr:to>
      <xdr:col>2</xdr:col>
      <xdr:colOff>535517</xdr:colOff>
      <xdr:row>1486</xdr:row>
      <xdr:rowOff>157445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428625" y="256079625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1486</xdr:row>
      <xdr:rowOff>0</xdr:rowOff>
    </xdr:from>
    <xdr:to>
      <xdr:col>2</xdr:col>
      <xdr:colOff>535517</xdr:colOff>
      <xdr:row>1486</xdr:row>
      <xdr:rowOff>157445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428625" y="256079625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1486</xdr:row>
      <xdr:rowOff>0</xdr:rowOff>
    </xdr:from>
    <xdr:to>
      <xdr:col>2</xdr:col>
      <xdr:colOff>535517</xdr:colOff>
      <xdr:row>1486</xdr:row>
      <xdr:rowOff>157445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428625" y="256079625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1486</xdr:row>
      <xdr:rowOff>0</xdr:rowOff>
    </xdr:from>
    <xdr:to>
      <xdr:col>2</xdr:col>
      <xdr:colOff>535517</xdr:colOff>
      <xdr:row>1486</xdr:row>
      <xdr:rowOff>157445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428625" y="256079625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157442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157442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157442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157442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1549</xdr:row>
      <xdr:rowOff>0</xdr:rowOff>
    </xdr:from>
    <xdr:to>
      <xdr:col>2</xdr:col>
      <xdr:colOff>535517</xdr:colOff>
      <xdr:row>1549</xdr:row>
      <xdr:rowOff>157443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428625" y="266509500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33618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33618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33618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33618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33617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33617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33617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1595</xdr:row>
      <xdr:rowOff>0</xdr:rowOff>
    </xdr:from>
    <xdr:to>
      <xdr:col>2</xdr:col>
      <xdr:colOff>535517</xdr:colOff>
      <xdr:row>1596</xdr:row>
      <xdr:rowOff>33617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428625" y="2742152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3"/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3"/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3"/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3"/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1595</xdr:row>
      <xdr:rowOff>0</xdr:rowOff>
    </xdr:from>
    <xdr:ext cx="1209071" cy="196904"/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428625" y="27421522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3"/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1600</xdr:row>
      <xdr:rowOff>0</xdr:rowOff>
    </xdr:from>
    <xdr:ext cx="1209071" cy="196904"/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428625" y="2750248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1487</xdr:row>
      <xdr:rowOff>0</xdr:rowOff>
    </xdr:from>
    <xdr:ext cx="1218142" cy="192367"/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1487</xdr:row>
      <xdr:rowOff>0</xdr:rowOff>
    </xdr:from>
    <xdr:ext cx="1218142" cy="192367"/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1487</xdr:row>
      <xdr:rowOff>0</xdr:rowOff>
    </xdr:from>
    <xdr:ext cx="1218142" cy="192367"/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1487</xdr:row>
      <xdr:rowOff>0</xdr:rowOff>
    </xdr:from>
    <xdr:ext cx="1218142" cy="192367"/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1540</xdr:row>
      <xdr:rowOff>0</xdr:rowOff>
    </xdr:from>
    <xdr:ext cx="1218142" cy="192367"/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428625" y="26482357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1540</xdr:row>
      <xdr:rowOff>0</xdr:rowOff>
    </xdr:from>
    <xdr:ext cx="1218142" cy="192368"/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1540</xdr:row>
      <xdr:rowOff>0</xdr:rowOff>
    </xdr:from>
    <xdr:ext cx="1218142" cy="192368"/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1540</xdr:row>
      <xdr:rowOff>0</xdr:rowOff>
    </xdr:from>
    <xdr:ext cx="1218142" cy="192368"/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1540</xdr:row>
      <xdr:rowOff>0</xdr:rowOff>
    </xdr:from>
    <xdr:ext cx="1218142" cy="192368"/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157442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157442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157442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157442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7"/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1540</xdr:row>
      <xdr:rowOff>0</xdr:rowOff>
    </xdr:from>
    <xdr:to>
      <xdr:col>2</xdr:col>
      <xdr:colOff>535517</xdr:colOff>
      <xdr:row>1541</xdr:row>
      <xdr:rowOff>33619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33617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1584</xdr:row>
      <xdr:rowOff>0</xdr:rowOff>
    </xdr:from>
    <xdr:to>
      <xdr:col>2</xdr:col>
      <xdr:colOff>535517</xdr:colOff>
      <xdr:row>1585</xdr:row>
      <xdr:rowOff>33618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1617</xdr:row>
      <xdr:rowOff>32256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157442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157442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157442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1616</xdr:row>
      <xdr:rowOff>0</xdr:rowOff>
    </xdr:from>
    <xdr:to>
      <xdr:col>2</xdr:col>
      <xdr:colOff>535517</xdr:colOff>
      <xdr:row>1616</xdr:row>
      <xdr:rowOff>157441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428625" y="277615650"/>
          <a:ext cx="1211792" cy="1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3"/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1616</xdr:row>
      <xdr:rowOff>0</xdr:rowOff>
    </xdr:from>
    <xdr:ext cx="1209071" cy="196904"/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428625" y="277615650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3"/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1622</xdr:row>
      <xdr:rowOff>0</xdr:rowOff>
    </xdr:from>
    <xdr:ext cx="1209071" cy="196904"/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428625" y="2788443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1541</xdr:row>
      <xdr:rowOff>0</xdr:rowOff>
    </xdr:from>
    <xdr:ext cx="1218142" cy="192367"/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428625" y="2649855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7"/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1562</xdr:row>
      <xdr:rowOff>0</xdr:rowOff>
    </xdr:from>
    <xdr:ext cx="1218142" cy="192368"/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428625" y="2686145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2</xdr:col>
      <xdr:colOff>604631</xdr:colOff>
      <xdr:row>53</xdr:row>
      <xdr:rowOff>0</xdr:rowOff>
    </xdr:to>
    <xdr:sp macro="" textlink="">
      <xdr:nvSpPr>
        <xdr:cNvPr id="2" name="Shape 2"/>
        <xdr:cNvSpPr/>
      </xdr:nvSpPr>
      <xdr:spPr>
        <a:xfrm>
          <a:off x="0" y="12172950"/>
          <a:ext cx="8249284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6642100" y="0"/>
              </a:moveTo>
              <a:lnTo>
                <a:pt x="0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twoCellAnchor>
  <xdr:oneCellAnchor>
    <xdr:from>
      <xdr:col>0</xdr:col>
      <xdr:colOff>0</xdr:colOff>
      <xdr:row>1304</xdr:row>
      <xdr:rowOff>0</xdr:rowOff>
    </xdr:from>
    <xdr:ext cx="8306434" cy="0"/>
    <xdr:sp macro="" textlink="">
      <xdr:nvSpPr>
        <xdr:cNvPr id="3" name="Shape 28"/>
        <xdr:cNvSpPr/>
      </xdr:nvSpPr>
      <xdr:spPr>
        <a:xfrm>
          <a:off x="0" y="305285775"/>
          <a:ext cx="8306434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6642100" y="0"/>
              </a:moveTo>
              <a:lnTo>
                <a:pt x="0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6</xdr:row>
      <xdr:rowOff>85725</xdr:rowOff>
    </xdr:from>
    <xdr:to>
      <xdr:col>12</xdr:col>
      <xdr:colOff>371475</xdr:colOff>
      <xdr:row>28</xdr:row>
      <xdr:rowOff>123825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228725"/>
          <a:ext cx="7153275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333375</xdr:colOff>
      <xdr:row>17</xdr:row>
      <xdr:rowOff>152400</xdr:rowOff>
    </xdr:from>
    <xdr:to>
      <xdr:col>8</xdr:col>
      <xdr:colOff>447675</xdr:colOff>
      <xdr:row>18</xdr:row>
      <xdr:rowOff>76200</xdr:rowOff>
    </xdr:to>
    <xdr:sp macro="" textlink="">
      <xdr:nvSpPr>
        <xdr:cNvPr id="3" name="Elipse 2"/>
        <xdr:cNvSpPr/>
      </xdr:nvSpPr>
      <xdr:spPr>
        <a:xfrm>
          <a:off x="5210175" y="3390900"/>
          <a:ext cx="114300" cy="11430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85725</xdr:colOff>
      <xdr:row>21</xdr:row>
      <xdr:rowOff>171450</xdr:rowOff>
    </xdr:from>
    <xdr:to>
      <xdr:col>12</xdr:col>
      <xdr:colOff>361950</xdr:colOff>
      <xdr:row>38</xdr:row>
      <xdr:rowOff>56128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51" b="13786"/>
        <a:stretch/>
      </xdr:blipFill>
      <xdr:spPr>
        <a:xfrm>
          <a:off x="1301132" y="4153848"/>
          <a:ext cx="7113365" cy="2947461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29</xdr:row>
      <xdr:rowOff>104775</xdr:rowOff>
    </xdr:from>
    <xdr:to>
      <xdr:col>9</xdr:col>
      <xdr:colOff>381000</xdr:colOff>
      <xdr:row>30</xdr:row>
      <xdr:rowOff>87700</xdr:rowOff>
    </xdr:to>
    <xdr:sp macro="" textlink="">
      <xdr:nvSpPr>
        <xdr:cNvPr id="5" name="Forma livre 4"/>
        <xdr:cNvSpPr/>
      </xdr:nvSpPr>
      <xdr:spPr>
        <a:xfrm>
          <a:off x="4295775" y="5629275"/>
          <a:ext cx="1571625" cy="173425"/>
        </a:xfrm>
        <a:custGeom>
          <a:avLst/>
          <a:gdLst>
            <a:gd name="connsiteX0" fmla="*/ 1571625 w 1571625"/>
            <a:gd name="connsiteY0" fmla="*/ 123825 h 173425"/>
            <a:gd name="connsiteX1" fmla="*/ 1295400 w 1571625"/>
            <a:gd name="connsiteY1" fmla="*/ 123825 h 173425"/>
            <a:gd name="connsiteX2" fmla="*/ 723900 w 1571625"/>
            <a:gd name="connsiteY2" fmla="*/ 123825 h 173425"/>
            <a:gd name="connsiteX3" fmla="*/ 285750 w 1571625"/>
            <a:gd name="connsiteY3" fmla="*/ 171450 h 173425"/>
            <a:gd name="connsiteX4" fmla="*/ 76200 w 1571625"/>
            <a:gd name="connsiteY4" fmla="*/ 47625 h 173425"/>
            <a:gd name="connsiteX5" fmla="*/ 0 w 1571625"/>
            <a:gd name="connsiteY5" fmla="*/ 0 h 1734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571625" h="173425">
              <a:moveTo>
                <a:pt x="1571625" y="123825"/>
              </a:moveTo>
              <a:lnTo>
                <a:pt x="1295400" y="123825"/>
              </a:lnTo>
              <a:cubicBezTo>
                <a:pt x="1154113" y="123825"/>
                <a:pt x="892175" y="115888"/>
                <a:pt x="723900" y="123825"/>
              </a:cubicBezTo>
              <a:cubicBezTo>
                <a:pt x="555625" y="131762"/>
                <a:pt x="393700" y="184150"/>
                <a:pt x="285750" y="171450"/>
              </a:cubicBezTo>
              <a:cubicBezTo>
                <a:pt x="177800" y="158750"/>
                <a:pt x="123825" y="76200"/>
                <a:pt x="76200" y="47625"/>
              </a:cubicBezTo>
              <a:cubicBezTo>
                <a:pt x="28575" y="19050"/>
                <a:pt x="12700" y="0"/>
                <a:pt x="0" y="0"/>
              </a:cubicBezTo>
            </a:path>
          </a:pathLst>
        </a:custGeom>
        <a:ln w="5715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555984</xdr:colOff>
      <xdr:row>30</xdr:row>
      <xdr:rowOff>24657</xdr:rowOff>
    </xdr:from>
    <xdr:to>
      <xdr:col>7</xdr:col>
      <xdr:colOff>581844</xdr:colOff>
      <xdr:row>30</xdr:row>
      <xdr:rowOff>155159</xdr:rowOff>
    </xdr:to>
    <xdr:sp macro="" textlink="">
      <xdr:nvSpPr>
        <xdr:cNvPr id="6" name="Forma livre 5"/>
        <xdr:cNvSpPr/>
      </xdr:nvSpPr>
      <xdr:spPr>
        <a:xfrm>
          <a:off x="4202206" y="5713797"/>
          <a:ext cx="633563" cy="130502"/>
        </a:xfrm>
        <a:custGeom>
          <a:avLst/>
          <a:gdLst>
            <a:gd name="connsiteX0" fmla="*/ 0 w 633563"/>
            <a:gd name="connsiteY0" fmla="*/ 14133 h 130502"/>
            <a:gd name="connsiteX1" fmla="*/ 181018 w 633563"/>
            <a:gd name="connsiteY1" fmla="*/ 5513 h 130502"/>
            <a:gd name="connsiteX2" fmla="*/ 418065 w 633563"/>
            <a:gd name="connsiteY2" fmla="*/ 87402 h 130502"/>
            <a:gd name="connsiteX3" fmla="*/ 633563 w 633563"/>
            <a:gd name="connsiteY3" fmla="*/ 130502 h 1305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33563" h="130502">
              <a:moveTo>
                <a:pt x="0" y="14133"/>
              </a:moveTo>
              <a:cubicBezTo>
                <a:pt x="55670" y="3717"/>
                <a:pt x="111341" y="-6699"/>
                <a:pt x="181018" y="5513"/>
              </a:cubicBezTo>
              <a:cubicBezTo>
                <a:pt x="250696" y="17725"/>
                <a:pt x="342641" y="66570"/>
                <a:pt x="418065" y="87402"/>
              </a:cubicBezTo>
              <a:cubicBezTo>
                <a:pt x="493489" y="108234"/>
                <a:pt x="611295" y="115417"/>
                <a:pt x="633563" y="130502"/>
              </a:cubicBezTo>
            </a:path>
          </a:pathLst>
        </a:cu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34480</xdr:colOff>
      <xdr:row>30</xdr:row>
      <xdr:rowOff>43100</xdr:rowOff>
    </xdr:from>
    <xdr:to>
      <xdr:col>7</xdr:col>
      <xdr:colOff>146539</xdr:colOff>
      <xdr:row>31</xdr:row>
      <xdr:rowOff>163778</xdr:rowOff>
    </xdr:to>
    <xdr:cxnSp macro="">
      <xdr:nvCxnSpPr>
        <xdr:cNvPr id="8" name="Conector reto 7"/>
        <xdr:cNvCxnSpPr/>
      </xdr:nvCxnSpPr>
      <xdr:spPr>
        <a:xfrm>
          <a:off x="4288405" y="5732240"/>
          <a:ext cx="112059" cy="310316"/>
        </a:xfrm>
        <a:prstGeom prst="line">
          <a:avLst/>
        </a:pr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512884</xdr:colOff>
      <xdr:row>31</xdr:row>
      <xdr:rowOff>112059</xdr:rowOff>
    </xdr:from>
    <xdr:to>
      <xdr:col>7</xdr:col>
      <xdr:colOff>357727</xdr:colOff>
      <xdr:row>32</xdr:row>
      <xdr:rowOff>47410</xdr:rowOff>
    </xdr:to>
    <xdr:cxnSp macro="">
      <xdr:nvCxnSpPr>
        <xdr:cNvPr id="10" name="Conector reto 9"/>
        <xdr:cNvCxnSpPr/>
      </xdr:nvCxnSpPr>
      <xdr:spPr>
        <a:xfrm flipV="1">
          <a:off x="4159106" y="5990837"/>
          <a:ext cx="452546" cy="124989"/>
        </a:xfrm>
        <a:prstGeom prst="line">
          <a:avLst/>
        </a:pr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51721</xdr:colOff>
      <xdr:row>29</xdr:row>
      <xdr:rowOff>185328</xdr:rowOff>
    </xdr:from>
    <xdr:to>
      <xdr:col>10</xdr:col>
      <xdr:colOff>512885</xdr:colOff>
      <xdr:row>31</xdr:row>
      <xdr:rowOff>30170</xdr:rowOff>
    </xdr:to>
    <xdr:sp macro="" textlink="">
      <xdr:nvSpPr>
        <xdr:cNvPr id="11" name="CaixaDeTexto 10"/>
        <xdr:cNvSpPr txBox="1"/>
      </xdr:nvSpPr>
      <xdr:spPr>
        <a:xfrm>
          <a:off x="6128757" y="5684830"/>
          <a:ext cx="461164" cy="2241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IFES</a:t>
          </a:r>
        </a:p>
      </xdr:txBody>
    </xdr:sp>
    <xdr:clientData/>
  </xdr:twoCellAnchor>
  <xdr:twoCellAnchor>
    <xdr:from>
      <xdr:col>11</xdr:col>
      <xdr:colOff>27412</xdr:colOff>
      <xdr:row>35</xdr:row>
      <xdr:rowOff>117921</xdr:rowOff>
    </xdr:from>
    <xdr:to>
      <xdr:col>12</xdr:col>
      <xdr:colOff>543054</xdr:colOff>
      <xdr:row>36</xdr:row>
      <xdr:rowOff>172399</xdr:rowOff>
    </xdr:to>
    <xdr:sp macro="" textlink="">
      <xdr:nvSpPr>
        <xdr:cNvPr id="13" name="CaixaDeTexto 12"/>
        <xdr:cNvSpPr txBox="1"/>
      </xdr:nvSpPr>
      <xdr:spPr>
        <a:xfrm>
          <a:off x="6712152" y="6755251"/>
          <a:ext cx="1123345" cy="2441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TERM. ITACIBÁ</a:t>
          </a:r>
        </a:p>
      </xdr:txBody>
    </xdr:sp>
    <xdr:clientData/>
  </xdr:twoCellAnchor>
  <xdr:twoCellAnchor>
    <xdr:from>
      <xdr:col>8</xdr:col>
      <xdr:colOff>499955</xdr:colOff>
      <xdr:row>18</xdr:row>
      <xdr:rowOff>30170</xdr:rowOff>
    </xdr:from>
    <xdr:to>
      <xdr:col>9</xdr:col>
      <xdr:colOff>499954</xdr:colOff>
      <xdr:row>28</xdr:row>
      <xdr:rowOff>38790</xdr:rowOff>
    </xdr:to>
    <xdr:sp macro="" textlink="">
      <xdr:nvSpPr>
        <xdr:cNvPr id="15" name="Seta em curva para a esquerda 14"/>
        <xdr:cNvSpPr/>
      </xdr:nvSpPr>
      <xdr:spPr>
        <a:xfrm>
          <a:off x="5361584" y="3443654"/>
          <a:ext cx="607703" cy="1905000"/>
        </a:xfrm>
        <a:prstGeom prst="curvedLef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9525</xdr:colOff>
      <xdr:row>22</xdr:row>
      <xdr:rowOff>47625</xdr:rowOff>
    </xdr:from>
    <xdr:to>
      <xdr:col>10</xdr:col>
      <xdr:colOff>47625</xdr:colOff>
      <xdr:row>25</xdr:row>
      <xdr:rowOff>38100</xdr:rowOff>
    </xdr:to>
    <xdr:cxnSp macro="">
      <xdr:nvCxnSpPr>
        <xdr:cNvPr id="17" name="Conector reto 16"/>
        <xdr:cNvCxnSpPr/>
      </xdr:nvCxnSpPr>
      <xdr:spPr>
        <a:xfrm flipV="1">
          <a:off x="6105525" y="4238625"/>
          <a:ext cx="38100" cy="561975"/>
        </a:xfrm>
        <a:prstGeom prst="line">
          <a:avLst/>
        </a:pr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-2015\Presidente%20Kennedy\Trecho%2003\---%20IMPRESS&#195;O%20FINAL\10%20-%20Textos\Volume%2004\Composi&#231;&#245;es%20SEM%20desonera&#231;&#227;o%20-%2003a%20-%20junho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-2015\Presidente%20Kennedy\Trecho%2005\Impress&#227;o%20Final\08%20-%20Textos\Volume%2004\Planilha,%20Mem&#243;ria%20e%20composi&#231;&#245;es%20-%200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-2015\Presidente%20Kennedy\Trecho%2004\Impress&#227;o%20Final\Textos\Volume%2004\Planilha,%20Mem&#243;ria%20e%20composi&#231;&#245;es%20-%2004%20-%20Vers&#227;o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-2015\Presidente%20Kennedy\Trecho%2002\Impress&#227;o%20Final\10%20-%20Textos\Volume%2004\Planilha,%20Mem&#243;ria%20e%20composi&#231;&#245;es%20-%2002%20-%20junho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-2015\Presidente%20Kennedy\Volume%20Anexo\05%20-%20Janeiro%202018\Trecho%201\Planilha,%20Mem&#243;ria%20e%20composi&#231;&#245;es%20-%2001%20-%20jan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-2015\Presidente%20Kennedy\Trecho%2003\---%20IMPRESS&#195;O%20FINAL\10%20-%20Textos\Volume%2004\Planilha,%20Mem&#243;ria%20e%20composi&#231;&#245;es%20-%2003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lugare\lugare\Projetos-2015\Presidente%20Kennedy\Trecho%2004\Impress&#227;o%20Final\Textos\Volume%2004\Planilha,%20Mem&#243;ria%20e%20composi&#231;&#245;es%20-%2004%20-%20Vers&#227;o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-2015\Presidente%20Kennedy\Trecho%2008\PROJETO%20FINAL\11%20-%20Textos\Volume%2004\Planilha,%20Mem&#243;ria%20e%20composi&#231;&#245;es%20-%200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-2015\Presidente%20Kennedy\Trecho%2005\Impress&#227;o%20Final\08%20-%20Textos\Volume%2004\Composi&#231;&#245;es%20SEM%20desonera&#231;&#227;o%20-%2005%20-%20junho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-2015\Presidente%20Kennedy\Trecho%2003\---%20IMPRESS&#195;O%20FINAL\10%20-%20Textos\Volume%2004\Composi&#231;&#245;es%20SEM%20desonera&#231;&#227;o%20-%2003a%20-%20junho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ilha,%20Mem&#243;ria%20e%20composi&#231;&#245;es%20-%2005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6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Tabela Referencial Junho 2016 sem desoneração</v>
          </cell>
          <cell r="B1">
            <v>0</v>
          </cell>
          <cell r="C1">
            <v>0</v>
          </cell>
          <cell r="D1">
            <v>0</v>
          </cell>
          <cell r="E1" t="str">
            <v>DataBase:Junho/2016</v>
          </cell>
          <cell r="F1" t="str">
            <v>Preço com transporte</v>
          </cell>
        </row>
        <row r="2">
          <cell r="A2" t="str">
            <v>Valores com BDI de 23.32%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Serviço</v>
          </cell>
          <cell r="C3" t="str">
            <v>Unidade</v>
          </cell>
          <cell r="D3" t="str">
            <v>Preço Unitário</v>
          </cell>
          <cell r="E3" t="str">
            <v>Transporte</v>
          </cell>
          <cell r="F3" t="str">
            <v>Preço Unitário</v>
          </cell>
        </row>
        <row r="4">
          <cell r="A4" t="str">
            <v>Grupo de Serviço: 1 - TERRAPLENAGEM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43339</v>
          </cell>
          <cell r="B5" t="str">
            <v>Capina manual inclusive limpeza</v>
          </cell>
          <cell r="C5" t="str">
            <v>m²</v>
          </cell>
          <cell r="D5">
            <v>0.62</v>
          </cell>
          <cell r="E5">
            <v>0</v>
          </cell>
          <cell r="F5" t="e">
            <v>#N/A</v>
          </cell>
          <cell r="G5" t="e">
            <v>#N/A</v>
          </cell>
        </row>
        <row r="6">
          <cell r="A6">
            <v>41099</v>
          </cell>
          <cell r="B6" t="str">
            <v>Carga de escoria de aciaria de vagão ferroviário supervisionado</v>
          </cell>
          <cell r="C6" t="str">
            <v>m³</v>
          </cell>
          <cell r="D6">
            <v>4.6100000000000003</v>
          </cell>
          <cell r="E6">
            <v>0</v>
          </cell>
          <cell r="F6" t="e">
            <v>#N/A</v>
          </cell>
          <cell r="G6" t="e">
            <v>#N/A</v>
          </cell>
        </row>
        <row r="7">
          <cell r="A7">
            <v>40224</v>
          </cell>
          <cell r="B7" t="str">
            <v>Carga de material de 1ª categoria</v>
          </cell>
          <cell r="C7" t="str">
            <v>m³</v>
          </cell>
          <cell r="D7">
            <v>2.39</v>
          </cell>
          <cell r="E7">
            <v>0</v>
          </cell>
          <cell r="F7" t="e">
            <v>#N/A</v>
          </cell>
          <cell r="G7" t="e">
            <v>#N/A</v>
          </cell>
        </row>
        <row r="8">
          <cell r="A8">
            <v>40225</v>
          </cell>
          <cell r="B8" t="str">
            <v>Carga de material de 2ª categoria (solo, areia, brita, excl. rocha escavada)</v>
          </cell>
          <cell r="C8" t="str">
            <v>m³</v>
          </cell>
          <cell r="D8">
            <v>3.08</v>
          </cell>
          <cell r="E8">
            <v>0</v>
          </cell>
          <cell r="F8" t="e">
            <v>#N/A</v>
          </cell>
          <cell r="G8" t="e">
            <v>#N/A</v>
          </cell>
        </row>
        <row r="9">
          <cell r="A9">
            <v>40226</v>
          </cell>
          <cell r="B9" t="str">
            <v>Carga de material de 3ª categoria (rocha)</v>
          </cell>
          <cell r="C9" t="str">
            <v>m³</v>
          </cell>
          <cell r="D9">
            <v>4.6100000000000003</v>
          </cell>
          <cell r="E9">
            <v>0</v>
          </cell>
          <cell r="F9" t="e">
            <v>#N/A</v>
          </cell>
          <cell r="G9" t="e">
            <v>#N/A</v>
          </cell>
        </row>
        <row r="10">
          <cell r="A10">
            <v>40996</v>
          </cell>
          <cell r="B10" t="str">
            <v>Carga, transporte e espalhamento de material decapado para ser usado como manutenção do Caminho de Serviço(DMT=0,500KM)</v>
          </cell>
          <cell r="C10" t="str">
            <v>m³</v>
          </cell>
          <cell r="D10">
            <v>4.37</v>
          </cell>
          <cell r="E10">
            <v>0</v>
          </cell>
          <cell r="F10" t="e">
            <v>#N/A</v>
          </cell>
          <cell r="G10" t="e">
            <v>#N/A</v>
          </cell>
        </row>
        <row r="11">
          <cell r="A11">
            <v>40229</v>
          </cell>
          <cell r="B11" t="str">
            <v>Compactação de aterros em rocha</v>
          </cell>
          <cell r="C11" t="str">
            <v>m³</v>
          </cell>
          <cell r="D11">
            <v>4.96</v>
          </cell>
          <cell r="E11">
            <v>0</v>
          </cell>
          <cell r="F11" t="e">
            <v>#N/A</v>
          </cell>
          <cell r="G11" t="e">
            <v>#N/A</v>
          </cell>
        </row>
        <row r="12">
          <cell r="A12">
            <v>43340</v>
          </cell>
          <cell r="B12" t="str">
            <v>Compactação de aterros 100% P.I.</v>
          </cell>
          <cell r="C12" t="str">
            <v>m³</v>
          </cell>
          <cell r="D12">
            <v>4.99</v>
          </cell>
          <cell r="E12">
            <v>0</v>
          </cell>
          <cell r="F12">
            <v>4.99</v>
          </cell>
          <cell r="G12">
            <v>1</v>
          </cell>
        </row>
        <row r="13">
          <cell r="A13">
            <v>40228</v>
          </cell>
          <cell r="B13" t="str">
            <v>Compactação de aterros 100% PN</v>
          </cell>
          <cell r="C13" t="str">
            <v>m³</v>
          </cell>
          <cell r="D13">
            <v>3.87</v>
          </cell>
          <cell r="E13">
            <v>0</v>
          </cell>
          <cell r="F13">
            <v>3.87</v>
          </cell>
          <cell r="G13">
            <v>1</v>
          </cell>
        </row>
        <row r="14">
          <cell r="A14">
            <v>42227</v>
          </cell>
          <cell r="B14" t="str">
            <v>Decapagem de pedreira, 1ª categoria, com escavadeira</v>
          </cell>
          <cell r="C14" t="str">
            <v>m³</v>
          </cell>
          <cell r="D14">
            <v>3.68</v>
          </cell>
          <cell r="E14">
            <v>0</v>
          </cell>
          <cell r="F14" t="e">
            <v>#N/A</v>
          </cell>
          <cell r="G14" t="e">
            <v>#N/A</v>
          </cell>
        </row>
        <row r="15">
          <cell r="A15">
            <v>40994</v>
          </cell>
          <cell r="B15" t="str">
            <v>Decapagem de pedreira, 1ª categoria, com trator de esteiras</v>
          </cell>
          <cell r="C15" t="str">
            <v>m³</v>
          </cell>
          <cell r="D15">
            <v>4.29</v>
          </cell>
          <cell r="E15">
            <v>0</v>
          </cell>
          <cell r="F15" t="e">
            <v>#N/A</v>
          </cell>
          <cell r="G15" t="e">
            <v>#N/A</v>
          </cell>
        </row>
        <row r="16">
          <cell r="A16">
            <v>42940</v>
          </cell>
          <cell r="B16" t="str">
            <v>Demolição de material de 3ª categoria com fio diamantado</v>
          </cell>
          <cell r="C16" t="str">
            <v>m³</v>
          </cell>
          <cell r="D16">
            <v>191.86</v>
          </cell>
          <cell r="E16">
            <v>0</v>
          </cell>
          <cell r="F16" t="e">
            <v>#N/A</v>
          </cell>
          <cell r="G16" t="e">
            <v>#N/A</v>
          </cell>
        </row>
        <row r="17">
          <cell r="A17">
            <v>41047</v>
          </cell>
          <cell r="B17" t="str">
            <v>Demolição de rocha a frio, até altura de 3,0m, com argamassa expansiva, inclusive remoção com escavadeira</v>
          </cell>
          <cell r="C17" t="str">
            <v>m³</v>
          </cell>
          <cell r="D17">
            <v>354.01</v>
          </cell>
          <cell r="E17">
            <v>0</v>
          </cell>
          <cell r="F17" t="e">
            <v>#N/A</v>
          </cell>
          <cell r="G17" t="e">
            <v>#N/A</v>
          </cell>
        </row>
        <row r="18">
          <cell r="A18">
            <v>41048</v>
          </cell>
          <cell r="B18" t="str">
            <v>Demolição de rocha a frio até 3 metros com utilização de argamassa expansiva, inclusive remoção com trator de esteiras</v>
          </cell>
          <cell r="C18" t="str">
            <v>m³</v>
          </cell>
          <cell r="D18">
            <v>318.77999999999997</v>
          </cell>
          <cell r="E18">
            <v>0</v>
          </cell>
          <cell r="F18" t="e">
            <v>#N/A</v>
          </cell>
          <cell r="G18" t="e">
            <v>#N/A</v>
          </cell>
        </row>
        <row r="19">
          <cell r="A19">
            <v>40217</v>
          </cell>
          <cell r="B19" t="str">
            <v>Desmonte de rocha</v>
          </cell>
          <cell r="C19" t="str">
            <v>m³</v>
          </cell>
          <cell r="D19">
            <v>34.71</v>
          </cell>
          <cell r="E19">
            <v>0</v>
          </cell>
          <cell r="F19" t="e">
            <v>#N/A</v>
          </cell>
          <cell r="G19" t="e">
            <v>#N/A</v>
          </cell>
        </row>
        <row r="20">
          <cell r="A20">
            <v>40172</v>
          </cell>
          <cell r="B20" t="str">
            <v>Destocamento de árvores com diâmetro &gt; 30 cm, com trator de esteira</v>
          </cell>
          <cell r="C20" t="str">
            <v>un</v>
          </cell>
          <cell r="D20">
            <v>19.899999999999999</v>
          </cell>
          <cell r="E20">
            <v>0</v>
          </cell>
          <cell r="F20" t="e">
            <v>#N/A</v>
          </cell>
          <cell r="G20" t="e">
            <v>#N/A</v>
          </cell>
        </row>
        <row r="21">
          <cell r="A21">
            <v>40171</v>
          </cell>
          <cell r="B21" t="str">
            <v>Destocamento de árvores com diâmetro de 15 a 30 cm, com trator de esteira</v>
          </cell>
          <cell r="C21" t="str">
            <v>un</v>
          </cell>
          <cell r="D21">
            <v>9.9499999999999993</v>
          </cell>
          <cell r="E21">
            <v>0</v>
          </cell>
          <cell r="F21">
            <v>9.9499999999999993</v>
          </cell>
          <cell r="G21">
            <v>1</v>
          </cell>
        </row>
        <row r="22">
          <cell r="A22">
            <v>42225</v>
          </cell>
          <cell r="B22" t="str">
            <v>Escalonamento de taludes com escavadeira</v>
          </cell>
          <cell r="C22" t="str">
            <v>m³</v>
          </cell>
          <cell r="D22">
            <v>6.11</v>
          </cell>
          <cell r="E22">
            <v>0</v>
          </cell>
          <cell r="F22" t="e">
            <v>#N/A</v>
          </cell>
          <cell r="G22" t="e">
            <v>#N/A</v>
          </cell>
        </row>
        <row r="23">
          <cell r="A23">
            <v>40178</v>
          </cell>
          <cell r="B23" t="str">
            <v>Escalonamento de taludes, com trator de esteiras</v>
          </cell>
          <cell r="C23" t="str">
            <v>m³</v>
          </cell>
          <cell r="D23">
            <v>6.7</v>
          </cell>
          <cell r="E23">
            <v>0</v>
          </cell>
          <cell r="F23" t="e">
            <v>#N/A</v>
          </cell>
          <cell r="G23" t="e">
            <v>#N/A</v>
          </cell>
        </row>
        <row r="24">
          <cell r="A24">
            <v>40179</v>
          </cell>
          <cell r="B24" t="str">
            <v>Escavação, carga e transporte de material de 1ª cat. até 200 m com moto-escavo- transportador</v>
          </cell>
          <cell r="C24" t="str">
            <v>m³</v>
          </cell>
          <cell r="D24">
            <v>9.76</v>
          </cell>
          <cell r="E24">
            <v>0</v>
          </cell>
          <cell r="F24" t="e">
            <v>#N/A</v>
          </cell>
          <cell r="G24" t="e">
            <v>#N/A</v>
          </cell>
        </row>
        <row r="25">
          <cell r="A25">
            <v>40184</v>
          </cell>
          <cell r="B25" t="str">
            <v>Escavação, carga e transporte de material de 1ª cat. 1000 a 1200 m com moto-escavo- transportador</v>
          </cell>
          <cell r="C25" t="str">
            <v>m³</v>
          </cell>
          <cell r="D25">
            <v>16.88</v>
          </cell>
          <cell r="E25">
            <v>0</v>
          </cell>
          <cell r="F25" t="e">
            <v>#N/A</v>
          </cell>
          <cell r="G25" t="e">
            <v>#N/A</v>
          </cell>
        </row>
        <row r="26">
          <cell r="A26">
            <v>40180</v>
          </cell>
          <cell r="B26" t="str">
            <v>Escavação, carga e transporte de material de 1ª cat. 200 a 400 m com moto-escavo- transportador</v>
          </cell>
          <cell r="C26" t="str">
            <v>m³</v>
          </cell>
          <cell r="D26">
            <v>11.2</v>
          </cell>
          <cell r="E26">
            <v>0</v>
          </cell>
          <cell r="F26" t="e">
            <v>#N/A</v>
          </cell>
          <cell r="G26" t="e">
            <v>#N/A</v>
          </cell>
        </row>
        <row r="27">
          <cell r="A27">
            <v>40181</v>
          </cell>
          <cell r="B27" t="str">
            <v>Escavação, carga e transporte de material de 1ª cat. 400 a 600 m com moto-escavo- transportador</v>
          </cell>
          <cell r="C27" t="str">
            <v>m³</v>
          </cell>
          <cell r="D27">
            <v>12.56</v>
          </cell>
          <cell r="E27">
            <v>0</v>
          </cell>
          <cell r="F27" t="e">
            <v>#N/A</v>
          </cell>
          <cell r="G27" t="e">
            <v>#N/A</v>
          </cell>
        </row>
        <row r="28">
          <cell r="A28">
            <v>40182</v>
          </cell>
          <cell r="B28" t="str">
            <v>Escavação, carga e transporte de material de 1ª cat. 600 a 800 m com moto-escavo- transportador</v>
          </cell>
          <cell r="C28" t="str">
            <v>m³</v>
          </cell>
          <cell r="D28">
            <v>14.39</v>
          </cell>
          <cell r="E28">
            <v>0</v>
          </cell>
          <cell r="F28" t="e">
            <v>#N/A</v>
          </cell>
          <cell r="G28" t="e">
            <v>#N/A</v>
          </cell>
        </row>
        <row r="29">
          <cell r="A29">
            <v>40183</v>
          </cell>
          <cell r="B29" t="str">
            <v>Escavação, carga e transporte de material de 1ª cat. 800 a 1000 m com moto-escavo- transportador</v>
          </cell>
          <cell r="C29" t="str">
            <v>m³</v>
          </cell>
          <cell r="D29">
            <v>15.18</v>
          </cell>
          <cell r="E29">
            <v>0</v>
          </cell>
          <cell r="F29" t="e">
            <v>#N/A</v>
          </cell>
          <cell r="G29" t="e">
            <v>#N/A</v>
          </cell>
        </row>
        <row r="30">
          <cell r="A30">
            <v>40191</v>
          </cell>
          <cell r="B30" t="str">
            <v>Escavação, carga e transporte de material de 2ª cat. até 200 m com moto-escavo- transportador</v>
          </cell>
          <cell r="C30" t="str">
            <v>m³</v>
          </cell>
          <cell r="D30">
            <v>14.92</v>
          </cell>
          <cell r="E30">
            <v>0</v>
          </cell>
          <cell r="F30" t="e">
            <v>#N/A</v>
          </cell>
          <cell r="G30" t="e">
            <v>#N/A</v>
          </cell>
        </row>
        <row r="31">
          <cell r="A31">
            <v>40196</v>
          </cell>
          <cell r="B31" t="str">
            <v>Escavação, carga e transporte de material de 2ª cat. 1000 a 1200 m com moto-escavo- transportador</v>
          </cell>
          <cell r="C31" t="str">
            <v>m³</v>
          </cell>
          <cell r="D31">
            <v>23.36</v>
          </cell>
          <cell r="E31">
            <v>0</v>
          </cell>
          <cell r="F31" t="e">
            <v>#N/A</v>
          </cell>
          <cell r="G31" t="e">
            <v>#N/A</v>
          </cell>
        </row>
        <row r="32">
          <cell r="A32">
            <v>40192</v>
          </cell>
          <cell r="B32" t="str">
            <v>Escavação, carga e transporte de material de 2ª cat. 200 a 400 m com moto-escavo- transportador</v>
          </cell>
          <cell r="C32" t="str">
            <v>m³</v>
          </cell>
          <cell r="D32">
            <v>16.11</v>
          </cell>
          <cell r="E32">
            <v>0</v>
          </cell>
          <cell r="F32" t="e">
            <v>#N/A</v>
          </cell>
          <cell r="G32" t="e">
            <v>#N/A</v>
          </cell>
        </row>
        <row r="33">
          <cell r="A33">
            <v>40193</v>
          </cell>
          <cell r="B33" t="str">
            <v>Escavação, carga e transporte de material de 2ª cat. 400 a 600 m com moto-escavo- transportador</v>
          </cell>
          <cell r="C33" t="str">
            <v>m³</v>
          </cell>
          <cell r="D33">
            <v>17.57</v>
          </cell>
          <cell r="E33">
            <v>0</v>
          </cell>
          <cell r="F33" t="e">
            <v>#N/A</v>
          </cell>
          <cell r="G33" t="e">
            <v>#N/A</v>
          </cell>
        </row>
        <row r="34">
          <cell r="A34">
            <v>40194</v>
          </cell>
          <cell r="B34" t="str">
            <v>Escavação, carga e transporte de material de 2ª cat. 600 a 800 m com moto-escavo- transportador</v>
          </cell>
          <cell r="C34" t="str">
            <v>m³</v>
          </cell>
          <cell r="D34">
            <v>20.079999999999998</v>
          </cell>
          <cell r="E34">
            <v>0</v>
          </cell>
          <cell r="F34" t="e">
            <v>#N/A</v>
          </cell>
          <cell r="G34" t="e">
            <v>#N/A</v>
          </cell>
        </row>
        <row r="35">
          <cell r="A35">
            <v>40195</v>
          </cell>
          <cell r="B35" t="str">
            <v>Escavação, carga e transporte de material de 2ª cat. 800 a 1000 m com moto-escavo- transportador</v>
          </cell>
          <cell r="C35" t="str">
            <v>m³</v>
          </cell>
          <cell r="D35">
            <v>21.42</v>
          </cell>
          <cell r="E35">
            <v>0</v>
          </cell>
          <cell r="F35" t="e">
            <v>#N/A</v>
          </cell>
          <cell r="G35" t="e">
            <v>#N/A</v>
          </cell>
        </row>
        <row r="36">
          <cell r="A36">
            <v>40220</v>
          </cell>
          <cell r="B36" t="str">
            <v>Escavação e carga de material de barreira (remoção)</v>
          </cell>
          <cell r="C36" t="str">
            <v>m³</v>
          </cell>
          <cell r="D36">
            <v>7.71</v>
          </cell>
          <cell r="E36">
            <v>0</v>
          </cell>
          <cell r="F36" t="e">
            <v>#N/A</v>
          </cell>
          <cell r="G36" t="e">
            <v>#N/A</v>
          </cell>
        </row>
        <row r="37">
          <cell r="A37">
            <v>40230</v>
          </cell>
          <cell r="B37" t="str">
            <v>Escavação e carga de material de 1ª categoria com escavadeira</v>
          </cell>
          <cell r="C37" t="str">
            <v>m³</v>
          </cell>
          <cell r="D37">
            <v>2.62</v>
          </cell>
          <cell r="E37">
            <v>0</v>
          </cell>
          <cell r="F37">
            <v>2.63</v>
          </cell>
          <cell r="G37">
            <v>1.0038167938931299</v>
          </cell>
        </row>
        <row r="38">
          <cell r="A38">
            <v>40221</v>
          </cell>
          <cell r="B38" t="str">
            <v>Escavação e carga de material de 1ª categoria, com trator de esteira e pá carregadeira</v>
          </cell>
          <cell r="C38" t="str">
            <v>m³</v>
          </cell>
          <cell r="D38">
            <v>6.16</v>
          </cell>
          <cell r="E38">
            <v>0</v>
          </cell>
          <cell r="F38">
            <v>6.17</v>
          </cell>
          <cell r="G38">
            <v>1.00162337662338</v>
          </cell>
        </row>
        <row r="39">
          <cell r="A39">
            <v>40231</v>
          </cell>
          <cell r="B39" t="str">
            <v>Escavação e carga de material de 2ª categoria com escavadeira</v>
          </cell>
          <cell r="C39" t="str">
            <v>m³</v>
          </cell>
          <cell r="D39">
            <v>3.87</v>
          </cell>
          <cell r="E39">
            <v>0</v>
          </cell>
          <cell r="F39" t="e">
            <v>#N/A</v>
          </cell>
          <cell r="G39" t="e">
            <v>#N/A</v>
          </cell>
        </row>
        <row r="40">
          <cell r="A40">
            <v>40222</v>
          </cell>
          <cell r="B40" t="str">
            <v>Escavação e carga de material de 2ª categoria, com trator de esteira e pá carregadeira</v>
          </cell>
          <cell r="C40" t="str">
            <v>m³</v>
          </cell>
          <cell r="D40">
            <v>9.19</v>
          </cell>
          <cell r="E40">
            <v>0</v>
          </cell>
          <cell r="F40" t="e">
            <v>#N/A</v>
          </cell>
          <cell r="G40" t="e">
            <v>#N/A</v>
          </cell>
        </row>
        <row r="41">
          <cell r="A41">
            <v>40216</v>
          </cell>
          <cell r="B41" t="str">
            <v>Escavação e carga de material de 3ª categoria (fogo controlado)</v>
          </cell>
          <cell r="C41" t="str">
            <v>m³</v>
          </cell>
          <cell r="D41">
            <v>82.85</v>
          </cell>
          <cell r="E41">
            <v>0</v>
          </cell>
          <cell r="F41" t="e">
            <v>#N/A</v>
          </cell>
          <cell r="G41" t="e">
            <v>#N/A</v>
          </cell>
        </row>
        <row r="42">
          <cell r="A42">
            <v>40223</v>
          </cell>
          <cell r="B42" t="str">
            <v>Escavação e carga de material de 3ª categoria (H bancada &gt;1,0 m)</v>
          </cell>
          <cell r="C42" t="str">
            <v>m³</v>
          </cell>
          <cell r="D42">
            <v>34.04</v>
          </cell>
          <cell r="E42">
            <v>0</v>
          </cell>
          <cell r="F42" t="e">
            <v>#N/A</v>
          </cell>
          <cell r="G42" t="e">
            <v>#N/A</v>
          </cell>
        </row>
        <row r="43">
          <cell r="A43">
            <v>43335</v>
          </cell>
          <cell r="B43" t="str">
            <v>Espalhamento / regularização / compactação de material em bota-fora</v>
          </cell>
          <cell r="C43" t="str">
            <v>m³</v>
          </cell>
          <cell r="D43">
            <v>2.12</v>
          </cell>
          <cell r="E43">
            <v>0</v>
          </cell>
          <cell r="F43" t="e">
            <v>#N/A</v>
          </cell>
          <cell r="G43" t="e">
            <v>#N/A</v>
          </cell>
        </row>
        <row r="44">
          <cell r="A44">
            <v>42547</v>
          </cell>
          <cell r="B44" t="str">
            <v>Espalhamento de material de 1ª categoria com motoniveladora</v>
          </cell>
          <cell r="C44" t="str">
            <v>m³</v>
          </cell>
          <cell r="D44">
            <v>1.35</v>
          </cell>
          <cell r="E44">
            <v>0</v>
          </cell>
          <cell r="F44" t="e">
            <v>#N/A</v>
          </cell>
          <cell r="G44" t="e">
            <v>#N/A</v>
          </cell>
        </row>
        <row r="45">
          <cell r="A45">
            <v>40177</v>
          </cell>
          <cell r="B45" t="str">
            <v>Espalhamento de material de 1ª categoria com trator de esteiras</v>
          </cell>
          <cell r="C45" t="str">
            <v>m³</v>
          </cell>
          <cell r="D45">
            <v>3.57</v>
          </cell>
          <cell r="E45">
            <v>0</v>
          </cell>
          <cell r="F45">
            <v>3.58</v>
          </cell>
          <cell r="G45">
            <v>1.0028011204481799</v>
          </cell>
        </row>
        <row r="46">
          <cell r="A46">
            <v>41056</v>
          </cell>
          <cell r="B46" t="str">
            <v>Forro de regularização sobre plataforma de enrocamento para tráfego de caminhões, inclusive fornecimento do pó de pedra e da pedra demão</v>
          </cell>
          <cell r="C46" t="str">
            <v>m³</v>
          </cell>
          <cell r="D46">
            <v>74.94</v>
          </cell>
          <cell r="E46">
            <v>0</v>
          </cell>
          <cell r="F46" t="e">
            <v>#N/A</v>
          </cell>
          <cell r="G46" t="e">
            <v>#N/A</v>
          </cell>
        </row>
        <row r="47">
          <cell r="A47">
            <v>40218</v>
          </cell>
          <cell r="B47" t="str">
            <v>Fragmentação de rocha (fogacheamento)</v>
          </cell>
          <cell r="C47" t="str">
            <v>m³</v>
          </cell>
          <cell r="D47">
            <v>54.76</v>
          </cell>
          <cell r="E47">
            <v>0</v>
          </cell>
          <cell r="F47" t="e">
            <v>#N/A</v>
          </cell>
          <cell r="G47" t="e">
            <v>#N/A</v>
          </cell>
        </row>
        <row r="48">
          <cell r="A48">
            <v>40170</v>
          </cell>
          <cell r="B48" t="str">
            <v>Limpeza de acostamento</v>
          </cell>
          <cell r="C48" t="str">
            <v>m²</v>
          </cell>
          <cell r="D48">
            <v>0.53</v>
          </cell>
          <cell r="E48">
            <v>0</v>
          </cell>
          <cell r="F48" t="e">
            <v>#N/A</v>
          </cell>
          <cell r="G48" t="e">
            <v>#N/A</v>
          </cell>
        </row>
        <row r="49">
          <cell r="A49">
            <v>40167</v>
          </cell>
          <cell r="B49" t="str">
            <v>Limpeza, desmatamento e destocamento de árvores com diâmetro até 15 cm, com trator de esteira</v>
          </cell>
          <cell r="C49" t="str">
            <v>m²</v>
          </cell>
          <cell r="D49">
            <v>0.38</v>
          </cell>
          <cell r="E49">
            <v>0</v>
          </cell>
          <cell r="F49">
            <v>0.38</v>
          </cell>
          <cell r="G49">
            <v>1</v>
          </cell>
        </row>
        <row r="50">
          <cell r="A50">
            <v>40168</v>
          </cell>
          <cell r="B50" t="str">
            <v>Limpeza, desmatamento e destocamento de jazida com remoçao 15 cm solo orgânico</v>
          </cell>
          <cell r="C50" t="str">
            <v>m²</v>
          </cell>
          <cell r="D50">
            <v>1.83</v>
          </cell>
          <cell r="E50">
            <v>0</v>
          </cell>
          <cell r="F50" t="e">
            <v>#N/A</v>
          </cell>
          <cell r="G50" t="e">
            <v>#N/A</v>
          </cell>
        </row>
        <row r="51">
          <cell r="A51">
            <v>40169</v>
          </cell>
          <cell r="B51" t="str">
            <v>Limpeza e desmatamento em área alagada (pântano) com ferramentas manuais, inclusive moto serra</v>
          </cell>
          <cell r="C51" t="str">
            <v>m²</v>
          </cell>
          <cell r="D51">
            <v>7.81</v>
          </cell>
          <cell r="E51">
            <v>0</v>
          </cell>
          <cell r="F51" t="e">
            <v>#N/A</v>
          </cell>
          <cell r="G51" t="e">
            <v>#N/A</v>
          </cell>
        </row>
        <row r="52">
          <cell r="A52">
            <v>40219</v>
          </cell>
          <cell r="B52" t="str">
            <v>Pré-fissuramento de taludes de rocha</v>
          </cell>
          <cell r="C52" t="str">
            <v>m²</v>
          </cell>
          <cell r="D52">
            <v>28.21</v>
          </cell>
          <cell r="E52">
            <v>0</v>
          </cell>
          <cell r="F52" t="e">
            <v>#N/A</v>
          </cell>
          <cell r="G52" t="e">
            <v>#N/A</v>
          </cell>
        </row>
        <row r="53">
          <cell r="A53">
            <v>41095</v>
          </cell>
          <cell r="B53" t="str">
            <v>Remoção de solos moles, incluindo carregamento mecânico com escavadeira hidráulica</v>
          </cell>
          <cell r="C53" t="str">
            <v>m³</v>
          </cell>
          <cell r="D53">
            <v>19.260000000000002</v>
          </cell>
          <cell r="E53">
            <v>0</v>
          </cell>
          <cell r="F53" t="e">
            <v>#N/A</v>
          </cell>
          <cell r="G53" t="e">
            <v>#N/A</v>
          </cell>
        </row>
        <row r="54">
          <cell r="A54">
            <v>43352</v>
          </cell>
          <cell r="B54" t="str">
            <v>Roçada manual com roçadeira costal, ferramentas manuais, inclusive limpeza e remoção com retroescavadeira</v>
          </cell>
          <cell r="C54" t="str">
            <v>m²</v>
          </cell>
          <cell r="D54">
            <v>0.49</v>
          </cell>
          <cell r="E54">
            <v>0</v>
          </cell>
          <cell r="F54" t="e">
            <v>#N/A</v>
          </cell>
          <cell r="G54" t="e">
            <v>#N/A</v>
          </cell>
        </row>
        <row r="55">
          <cell r="A55">
            <v>43338</v>
          </cell>
          <cell r="B55" t="str">
            <v>Roçada manual com roçadeira costal, ferramentas manuais, inclusive limpeza manual</v>
          </cell>
          <cell r="C55" t="str">
            <v>m²</v>
          </cell>
          <cell r="D55">
            <v>0.41</v>
          </cell>
          <cell r="E55">
            <v>0</v>
          </cell>
          <cell r="F55" t="e">
            <v>#N/A</v>
          </cell>
          <cell r="G55" t="e">
            <v>#N/A</v>
          </cell>
        </row>
        <row r="56">
          <cell r="A56">
            <v>40166</v>
          </cell>
          <cell r="B56" t="str">
            <v>Roçada mecânica</v>
          </cell>
          <cell r="C56" t="str">
            <v>m²</v>
          </cell>
          <cell r="D56">
            <v>0.14000000000000001</v>
          </cell>
          <cell r="E56">
            <v>0</v>
          </cell>
          <cell r="F56" t="e">
            <v>#N/A</v>
          </cell>
          <cell r="G56" t="e">
            <v>#N/A</v>
          </cell>
        </row>
        <row r="57">
          <cell r="A57">
            <v>41326</v>
          </cell>
          <cell r="B57" t="str">
            <v>Transporte horizontal com trator de lâmina de material de 1ª cat. DMTaté 50m</v>
          </cell>
          <cell r="C57" t="str">
            <v>m³</v>
          </cell>
          <cell r="D57">
            <v>4.26</v>
          </cell>
          <cell r="E57">
            <v>0</v>
          </cell>
          <cell r="F57" t="e">
            <v>#N/A</v>
          </cell>
          <cell r="G57" t="e">
            <v>#N/A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e">
            <v>#N/A</v>
          </cell>
          <cell r="F58" t="e">
            <v>#N/A</v>
          </cell>
          <cell r="G58" t="e">
            <v>#N/A</v>
          </cell>
        </row>
        <row r="59">
          <cell r="A59" t="str">
            <v>Grupo de Serviço: 2 - PAVIMENTAÇÃO</v>
          </cell>
          <cell r="B59">
            <v>0</v>
          </cell>
          <cell r="C59">
            <v>0</v>
          </cell>
          <cell r="E59" t="e">
            <v>#N/A</v>
          </cell>
          <cell r="F59" t="e">
            <v>#N/A</v>
          </cell>
          <cell r="G59" t="e">
            <v>#N/A</v>
          </cell>
        </row>
        <row r="60">
          <cell r="A60">
            <v>40801</v>
          </cell>
          <cell r="B60" t="str">
            <v>Base com mistura de argila, areia e escória de aciaria, 30%,30%,40%, inclusive fornecim. transp.areia e escória, exclusive fornecim. transp. da argila</v>
          </cell>
          <cell r="C60" t="str">
            <v>m³</v>
          </cell>
          <cell r="D60">
            <v>85.59</v>
          </cell>
          <cell r="E60" t="str">
            <v>A incluir</v>
          </cell>
          <cell r="F60" t="e">
            <v>#N/A</v>
          </cell>
          <cell r="G60" t="e">
            <v>#N/A</v>
          </cell>
        </row>
        <row r="61">
          <cell r="A61">
            <v>40799</v>
          </cell>
          <cell r="B61" t="str">
            <v>Base com mistura de argila, areia e escória de aciaria, 50%,20%,30%, inclusive fornecim.e transp. areia e escória, exclusive fornecim. e transp.argila</v>
          </cell>
          <cell r="C61" t="str">
            <v>m³</v>
          </cell>
          <cell r="D61">
            <v>66.400000000000006</v>
          </cell>
          <cell r="E61" t="str">
            <v>A incluir</v>
          </cell>
          <cell r="F61" t="e">
            <v>#N/A</v>
          </cell>
          <cell r="G61" t="e">
            <v>#N/A</v>
          </cell>
        </row>
        <row r="62">
          <cell r="A62">
            <v>40793</v>
          </cell>
          <cell r="B62" t="str">
            <v>Base com mistura de argila 30%, pó de pedra 30% e brita 40%, inclusive fornecimento e transporte do pó de pedra e da brita</v>
          </cell>
          <cell r="C62" t="str">
            <v>m³</v>
          </cell>
          <cell r="D62">
            <v>76.91</v>
          </cell>
          <cell r="E62" t="str">
            <v>A incluir</v>
          </cell>
          <cell r="F62" t="e">
            <v>#N/A</v>
          </cell>
          <cell r="G62" t="e">
            <v>#N/A</v>
          </cell>
        </row>
        <row r="63">
          <cell r="A63">
            <v>40797</v>
          </cell>
          <cell r="B63" t="str">
            <v>Base com mistura de argila 70% e escória de aciaria 30%, inclusive fornecim. e transporte da escória, exclusive fornecimento e transporte da argila</v>
          </cell>
          <cell r="C63" t="str">
            <v>m³</v>
          </cell>
          <cell r="D63">
            <v>39.04</v>
          </cell>
          <cell r="E63" t="str">
            <v>A incluir</v>
          </cell>
          <cell r="F63" t="e">
            <v>#N/A</v>
          </cell>
          <cell r="G63" t="e">
            <v>#N/A</v>
          </cell>
        </row>
        <row r="64">
          <cell r="A64">
            <v>41157</v>
          </cell>
          <cell r="B64" t="str">
            <v>Base com mistura de Saibro, Argila e Brita, 45%, 15% e 40%, exclusive transporte</v>
          </cell>
          <cell r="C64" t="str">
            <v>m³</v>
          </cell>
          <cell r="D64">
            <v>47.18</v>
          </cell>
          <cell r="E64">
            <v>0</v>
          </cell>
          <cell r="F64" t="e">
            <v>#N/A</v>
          </cell>
          <cell r="G64" t="e">
            <v>#N/A</v>
          </cell>
        </row>
        <row r="65">
          <cell r="A65">
            <v>40795</v>
          </cell>
          <cell r="B65" t="str">
            <v>Base com mistura de solo 80% e areia 20%, inclusive transporte da areia</v>
          </cell>
          <cell r="C65" t="str">
            <v>m³</v>
          </cell>
          <cell r="D65">
            <v>39.049999999999997</v>
          </cell>
          <cell r="E65" t="str">
            <v>A incluir</v>
          </cell>
          <cell r="F65" t="e">
            <v>#N/A</v>
          </cell>
          <cell r="G65" t="e">
            <v>#N/A</v>
          </cell>
        </row>
        <row r="66">
          <cell r="A66">
            <v>40787</v>
          </cell>
          <cell r="B66" t="str">
            <v>Base de brita graduada, inclusive fornecimento e transporte da brita</v>
          </cell>
          <cell r="C66" t="str">
            <v>m³</v>
          </cell>
          <cell r="D66">
            <v>105.93</v>
          </cell>
          <cell r="E66" t="str">
            <v>A incluir</v>
          </cell>
          <cell r="F66" t="e">
            <v>#N/A</v>
          </cell>
          <cell r="G66" t="e">
            <v>#N/A</v>
          </cell>
        </row>
        <row r="67">
          <cell r="A67">
            <v>40812</v>
          </cell>
          <cell r="B67" t="str">
            <v>Base de brita graduada, inclusive fornecimento, exclusive transporte da brita</v>
          </cell>
          <cell r="C67" t="str">
            <v>m³</v>
          </cell>
          <cell r="D67">
            <v>105.93</v>
          </cell>
          <cell r="E67">
            <v>0</v>
          </cell>
          <cell r="F67" t="e">
            <v>#N/A</v>
          </cell>
          <cell r="G67" t="e">
            <v>#N/A</v>
          </cell>
        </row>
        <row r="68">
          <cell r="A68">
            <v>42673</v>
          </cell>
          <cell r="B68" t="str">
            <v>Base de brita 1, inclusive fornecimento, exclusive transporte da brita</v>
          </cell>
          <cell r="C68" t="str">
            <v>m³</v>
          </cell>
          <cell r="D68">
            <v>101.27</v>
          </cell>
          <cell r="E68">
            <v>0</v>
          </cell>
          <cell r="F68" t="e">
            <v>#N/A</v>
          </cell>
          <cell r="G68" t="e">
            <v>#N/A</v>
          </cell>
        </row>
        <row r="69">
          <cell r="A69">
            <v>40803</v>
          </cell>
          <cell r="B69" t="str">
            <v>Base de escória de aciaria, inclusive fornecimento e transporte da escória</v>
          </cell>
          <cell r="C69" t="str">
            <v>m³</v>
          </cell>
          <cell r="D69">
            <v>81.760000000000005</v>
          </cell>
          <cell r="E69" t="str">
            <v>A incluir</v>
          </cell>
          <cell r="F69" t="e">
            <v>#N/A</v>
          </cell>
          <cell r="G69" t="e">
            <v>#N/A</v>
          </cell>
        </row>
        <row r="70">
          <cell r="A70">
            <v>41406</v>
          </cell>
          <cell r="B70" t="str">
            <v>Base de escória/argila na proporção 80:20, inclusive aquisição e transporte da escória, exclusive argila</v>
          </cell>
          <cell r="C70" t="str">
            <v>m³</v>
          </cell>
          <cell r="D70">
            <v>70.05</v>
          </cell>
          <cell r="E70" t="str">
            <v>A incluir</v>
          </cell>
          <cell r="F70" t="e">
            <v>#N/A</v>
          </cell>
          <cell r="G70" t="e">
            <v>#N/A</v>
          </cell>
        </row>
        <row r="71">
          <cell r="A71">
            <v>41100</v>
          </cell>
          <cell r="B71" t="str">
            <v>Base de escória/solo na proporção 75:25, inclusive fornecimento da escória, exceto fornecimento do solo e transporte do solo e escória</v>
          </cell>
          <cell r="C71" t="str">
            <v>m³</v>
          </cell>
          <cell r="D71">
            <v>66.959999999999994</v>
          </cell>
          <cell r="E71">
            <v>0</v>
          </cell>
          <cell r="F71" t="e">
            <v>#N/A</v>
          </cell>
          <cell r="G71" t="e">
            <v>#N/A</v>
          </cell>
        </row>
        <row r="72">
          <cell r="A72">
            <v>40979</v>
          </cell>
          <cell r="B72" t="str">
            <v>Base de solo brita, 20% em peso, inclusive fornecim. da brita, exclusive transporte da brita e do solo (100% P.IM)</v>
          </cell>
          <cell r="C72" t="str">
            <v>m³</v>
          </cell>
          <cell r="D72">
            <v>41.92</v>
          </cell>
          <cell r="E72">
            <v>0</v>
          </cell>
          <cell r="F72" t="e">
            <v>#N/A</v>
          </cell>
          <cell r="G72" t="e">
            <v>#N/A</v>
          </cell>
        </row>
        <row r="73">
          <cell r="A73">
            <v>40815</v>
          </cell>
          <cell r="B73" t="str">
            <v>Base de solo brita, 40% em peso, inclusive fornecimento, exclusive transporte da brita</v>
          </cell>
          <cell r="C73" t="str">
            <v>m³</v>
          </cell>
          <cell r="D73">
            <v>56.29</v>
          </cell>
          <cell r="E73">
            <v>0</v>
          </cell>
          <cell r="F73" t="e">
            <v>#N/A</v>
          </cell>
          <cell r="G73" t="e">
            <v>#N/A</v>
          </cell>
        </row>
        <row r="74">
          <cell r="A74">
            <v>40809</v>
          </cell>
          <cell r="B74" t="str">
            <v>Base de solo brita, 50% em peso, inclusive fornecimento, exclusive transporte da brita</v>
          </cell>
          <cell r="C74" t="str">
            <v>m³</v>
          </cell>
          <cell r="D74">
            <v>65.8</v>
          </cell>
          <cell r="E74">
            <v>0</v>
          </cell>
          <cell r="F74" t="e">
            <v>#N/A</v>
          </cell>
          <cell r="G74" t="e">
            <v>#N/A</v>
          </cell>
        </row>
        <row r="75">
          <cell r="A75">
            <v>40810</v>
          </cell>
          <cell r="B75" t="str">
            <v>Base de solo brita, 70% em peso, inclusive fornecimento, exclusive transporte da brita</v>
          </cell>
          <cell r="C75" t="str">
            <v>m³</v>
          </cell>
          <cell r="D75">
            <v>84.9</v>
          </cell>
          <cell r="E75">
            <v>0</v>
          </cell>
          <cell r="F75" t="e">
            <v>#N/A</v>
          </cell>
          <cell r="G75" t="e">
            <v>#N/A</v>
          </cell>
        </row>
        <row r="76">
          <cell r="A76">
            <v>41097</v>
          </cell>
          <cell r="B76" t="str">
            <v>Base de solo brita, 80% em peso, inclusive fornecimento e transporte da brita</v>
          </cell>
          <cell r="C76" t="str">
            <v>m³</v>
          </cell>
          <cell r="D76">
            <v>96.46</v>
          </cell>
          <cell r="E76" t="str">
            <v>A incluir</v>
          </cell>
          <cell r="F76" t="e">
            <v>#N/A</v>
          </cell>
          <cell r="G76" t="e">
            <v>#N/A</v>
          </cell>
        </row>
        <row r="77">
          <cell r="A77">
            <v>41364</v>
          </cell>
          <cell r="B77" t="str">
            <v>Base estabilizada granulométricamente. com mistura de escória de aciaria 80% e argila exceto fornecimento da argila e transporte da argila e escória</v>
          </cell>
          <cell r="C77" t="str">
            <v>m³</v>
          </cell>
          <cell r="D77">
            <v>70.05</v>
          </cell>
          <cell r="E77">
            <v>0</v>
          </cell>
          <cell r="F77" t="e">
            <v>#N/A</v>
          </cell>
          <cell r="G77" t="e">
            <v>#N/A</v>
          </cell>
        </row>
        <row r="78">
          <cell r="A78">
            <v>40777</v>
          </cell>
          <cell r="B78" t="str">
            <v>Base solo brita, 20% em peso, inclusive fornecimento e transporte da brita</v>
          </cell>
          <cell r="C78" t="str">
            <v>m³</v>
          </cell>
          <cell r="D78">
            <v>37.340000000000003</v>
          </cell>
          <cell r="E78" t="str">
            <v>A incluir</v>
          </cell>
          <cell r="F78" t="e">
            <v>#N/A</v>
          </cell>
          <cell r="G78" t="e">
            <v>#N/A</v>
          </cell>
        </row>
        <row r="79">
          <cell r="A79">
            <v>40779</v>
          </cell>
          <cell r="B79" t="str">
            <v>Base solo brita, 30% em peso, inclusive fornecimento e transporte da brita</v>
          </cell>
          <cell r="C79" t="str">
            <v>m³</v>
          </cell>
          <cell r="D79">
            <v>44.85</v>
          </cell>
          <cell r="E79" t="str">
            <v>A incluir</v>
          </cell>
          <cell r="F79" t="e">
            <v>#N/A</v>
          </cell>
          <cell r="G79" t="e">
            <v>#N/A</v>
          </cell>
        </row>
        <row r="80">
          <cell r="A80">
            <v>40781</v>
          </cell>
          <cell r="B80" t="str">
            <v>Base solo brita, 50% em peso, inclusive fornecimento e transporte da brita</v>
          </cell>
          <cell r="C80" t="str">
            <v>m³</v>
          </cell>
          <cell r="D80">
            <v>65.8</v>
          </cell>
          <cell r="E80" t="str">
            <v>A incluir</v>
          </cell>
          <cell r="F80" t="e">
            <v>#N/A</v>
          </cell>
          <cell r="G80" t="e">
            <v>#N/A</v>
          </cell>
        </row>
        <row r="81">
          <cell r="A81">
            <v>40783</v>
          </cell>
          <cell r="B81" t="str">
            <v>Base solo brita, 70% em peso, inclusive fornecimento e transporte da brita</v>
          </cell>
          <cell r="C81" t="str">
            <v>m³</v>
          </cell>
          <cell r="D81">
            <v>84.9</v>
          </cell>
          <cell r="E81" t="str">
            <v>A incluir</v>
          </cell>
          <cell r="F81" t="e">
            <v>#N/A</v>
          </cell>
          <cell r="G81" t="e">
            <v>#N/A</v>
          </cell>
        </row>
        <row r="82">
          <cell r="A82">
            <v>41366</v>
          </cell>
          <cell r="B82" t="str">
            <v>Base solo brita, 80% em peso, inclusive fornecimento, exclusive transporte da brita</v>
          </cell>
          <cell r="C82" t="str">
            <v>m³</v>
          </cell>
          <cell r="D82">
            <v>96.46</v>
          </cell>
          <cell r="E82">
            <v>0</v>
          </cell>
          <cell r="F82" t="e">
            <v>#N/A</v>
          </cell>
          <cell r="G82" t="e">
            <v>#N/A</v>
          </cell>
        </row>
        <row r="83">
          <cell r="A83">
            <v>40834</v>
          </cell>
          <cell r="B83" t="str">
            <v>Capa selante (emulsão e areia) exclusive fornecimento e transporte comercial da emulsão, inclusive transporte da areia</v>
          </cell>
          <cell r="C83" t="str">
            <v>m²</v>
          </cell>
          <cell r="D83">
            <v>1.55</v>
          </cell>
          <cell r="E83" t="str">
            <v>A incluir</v>
          </cell>
          <cell r="F83" t="e">
            <v>#N/A</v>
          </cell>
          <cell r="G83" t="e">
            <v>#N/A</v>
          </cell>
        </row>
        <row r="84">
          <cell r="A84">
            <v>40835</v>
          </cell>
          <cell r="B84" t="str">
            <v>Capa selante (emulsão e areia) inclusive fornecimento e transporte comercial da emulsão</v>
          </cell>
          <cell r="C84" t="str">
            <v>m²</v>
          </cell>
          <cell r="D84">
            <v>2.5</v>
          </cell>
          <cell r="E84" t="str">
            <v>A incluir</v>
          </cell>
          <cell r="F84" t="e">
            <v>#N/A</v>
          </cell>
          <cell r="G84" t="e">
            <v>#N/A</v>
          </cell>
        </row>
        <row r="85">
          <cell r="A85">
            <v>40841</v>
          </cell>
          <cell r="B85" t="str">
            <v>CBUQ (camada pronta - binder) exclusive fornecimento e transportes do CAP e massa, inclusive fornecimento e transporte da brita e pó de pedra</v>
          </cell>
          <cell r="C85" t="str">
            <v>t</v>
          </cell>
          <cell r="D85">
            <v>97.12</v>
          </cell>
          <cell r="E85" t="str">
            <v>A incluir</v>
          </cell>
          <cell r="F85" t="e">
            <v>#N/A</v>
          </cell>
          <cell r="G85" t="e">
            <v>#N/A</v>
          </cell>
        </row>
        <row r="86">
          <cell r="A86">
            <v>40842</v>
          </cell>
          <cell r="B86" t="str">
            <v>CBUQ (camada pronta - binder) inclusive fornecimento e transporte comercial do CAP, exclusive transporte da massa</v>
          </cell>
          <cell r="C86" t="str">
            <v>t</v>
          </cell>
          <cell r="D86">
            <v>249.11</v>
          </cell>
          <cell r="E86" t="str">
            <v>A incluir</v>
          </cell>
          <cell r="F86" t="e">
            <v>#N/A</v>
          </cell>
          <cell r="G86" t="e">
            <v>#N/A</v>
          </cell>
        </row>
        <row r="87">
          <cell r="A87">
            <v>40843</v>
          </cell>
          <cell r="B87" t="str">
            <v>CBUQ (camada pronta - capa) exclusive fornecimento e transportes do CAP e massa</v>
          </cell>
          <cell r="C87" t="str">
            <v>t</v>
          </cell>
          <cell r="D87">
            <v>100.19</v>
          </cell>
          <cell r="E87" t="str">
            <v>A incluir</v>
          </cell>
          <cell r="F87">
            <v>124.58</v>
          </cell>
          <cell r="G87">
            <v>1.24343746880926</v>
          </cell>
        </row>
        <row r="88">
          <cell r="A88">
            <v>40844</v>
          </cell>
          <cell r="B88" t="str">
            <v>CBUQ (camada pronta - capa) inclusive fornecimento e transporte comercial do CAP, exclusive transporte da massa</v>
          </cell>
          <cell r="C88" t="str">
            <v>t</v>
          </cell>
          <cell r="D88">
            <v>264.85000000000002</v>
          </cell>
          <cell r="E88" t="str">
            <v>A incluir</v>
          </cell>
          <cell r="F88" t="e">
            <v>#N/A</v>
          </cell>
          <cell r="G88" t="e">
            <v>#N/A</v>
          </cell>
        </row>
        <row r="89">
          <cell r="A89">
            <v>41112</v>
          </cell>
          <cell r="B89" t="str">
            <v>CBUQ (camada pronta Faixa "B" para revestimento) exclusive fornecimento do CAP e transp. de todos os materiais</v>
          </cell>
          <cell r="C89" t="str">
            <v>t</v>
          </cell>
          <cell r="D89">
            <v>95.26</v>
          </cell>
          <cell r="E89" t="str">
            <v>A incluir</v>
          </cell>
          <cell r="F89" t="e">
            <v>#N/A</v>
          </cell>
          <cell r="G89" t="e">
            <v>#N/A</v>
          </cell>
        </row>
        <row r="90">
          <cell r="A90">
            <v>43342</v>
          </cell>
          <cell r="B90" t="str">
            <v>CBUQ (camada pronta-faixa "C") , exclusive fornecimento do CAP e transporte de todos os materiais (traço padrão areia e brita)</v>
          </cell>
          <cell r="C90" t="str">
            <v>t</v>
          </cell>
          <cell r="D90">
            <v>102.39</v>
          </cell>
          <cell r="E90" t="str">
            <v>A incluir</v>
          </cell>
          <cell r="F90" t="e">
            <v>#N/A</v>
          </cell>
          <cell r="G90" t="e">
            <v>#N/A</v>
          </cell>
        </row>
        <row r="91">
          <cell r="A91">
            <v>40878</v>
          </cell>
          <cell r="B91" t="str">
            <v>CBUQ (camada pronta-faixa"C") exclusive fornecimento.do CAP e transporte de todos os materiais</v>
          </cell>
          <cell r="C91" t="str">
            <v>t</v>
          </cell>
          <cell r="D91">
            <v>100.76</v>
          </cell>
          <cell r="E91" t="str">
            <v>A incluir</v>
          </cell>
          <cell r="F91" t="e">
            <v>#N/A</v>
          </cell>
          <cell r="G91" t="e">
            <v>#N/A</v>
          </cell>
        </row>
        <row r="92">
          <cell r="A92">
            <v>40845</v>
          </cell>
          <cell r="B92" t="str">
            <v>CBUQ (massa asfáltica) exclusive fornecimento e transporte comercial do CAP</v>
          </cell>
          <cell r="C92" t="str">
            <v>t</v>
          </cell>
          <cell r="D92">
            <v>79.959999999999994</v>
          </cell>
          <cell r="E92" t="str">
            <v>A incluir</v>
          </cell>
          <cell r="F92" t="e">
            <v>#N/A</v>
          </cell>
          <cell r="G92" t="e">
            <v>#N/A</v>
          </cell>
        </row>
        <row r="93">
          <cell r="A93">
            <v>40846</v>
          </cell>
          <cell r="B93" t="str">
            <v>CBUQ (massa asfáltica) inclusive fornecimento e transporte comercial do CAP</v>
          </cell>
          <cell r="C93" t="str">
            <v>t</v>
          </cell>
          <cell r="D93">
            <v>244.61</v>
          </cell>
          <cell r="E93" t="str">
            <v>A incluir</v>
          </cell>
          <cell r="F93" t="e">
            <v>#N/A</v>
          </cell>
          <cell r="G93" t="e">
            <v>#N/A</v>
          </cell>
        </row>
        <row r="94">
          <cell r="A94">
            <v>40879</v>
          </cell>
          <cell r="B94" t="str">
            <v>CBUQ (massa asfáltica-faixa"C") exclusive fornecimento CAP e transporte de todos os materiais</v>
          </cell>
          <cell r="C94" t="str">
            <v>t</v>
          </cell>
          <cell r="D94">
            <v>80.52</v>
          </cell>
          <cell r="E94">
            <v>0</v>
          </cell>
          <cell r="F94" t="e">
            <v>#N/A</v>
          </cell>
          <cell r="G94" t="e">
            <v>#N/A</v>
          </cell>
        </row>
        <row r="95">
          <cell r="A95">
            <v>40877</v>
          </cell>
          <cell r="B95" t="str">
            <v>CBUQ (massa fina - faixa"D") exclusive fornecimento do CAP e transp.de todos os materiais</v>
          </cell>
          <cell r="C95" t="str">
            <v>t</v>
          </cell>
          <cell r="D95">
            <v>98.96</v>
          </cell>
          <cell r="E95" t="str">
            <v>A incluir</v>
          </cell>
          <cell r="F95" t="e">
            <v>#N/A</v>
          </cell>
          <cell r="G95" t="e">
            <v>#N/A</v>
          </cell>
        </row>
        <row r="96">
          <cell r="A96">
            <v>43341</v>
          </cell>
          <cell r="B96" t="str">
            <v>CBUQ (massa fina-faixa"D"), exclusive fornecimento do CAP e transporte de todos os materiais (traço padrão areia e brita)</v>
          </cell>
          <cell r="C96" t="str">
            <v>t</v>
          </cell>
          <cell r="D96">
            <v>100.69</v>
          </cell>
          <cell r="E96" t="str">
            <v>A incluir</v>
          </cell>
          <cell r="F96" t="e">
            <v>#N/A</v>
          </cell>
          <cell r="G96" t="e">
            <v>#N/A</v>
          </cell>
        </row>
        <row r="97">
          <cell r="A97">
            <v>40867</v>
          </cell>
          <cell r="B97" t="str">
            <v>Demolição e remoção de pavimento asfáltico</v>
          </cell>
          <cell r="C97" t="str">
            <v>m²</v>
          </cell>
          <cell r="D97">
            <v>2.13</v>
          </cell>
          <cell r="E97">
            <v>0</v>
          </cell>
          <cell r="F97" t="e">
            <v>#N/A</v>
          </cell>
          <cell r="G97" t="e">
            <v>#N/A</v>
          </cell>
        </row>
        <row r="98">
          <cell r="A98">
            <v>40763</v>
          </cell>
          <cell r="B98" t="str">
            <v>Escarificação de base H = 0,10m e capa asfáltica</v>
          </cell>
          <cell r="C98" t="str">
            <v>m²</v>
          </cell>
          <cell r="D98">
            <v>0.69</v>
          </cell>
          <cell r="E98">
            <v>0</v>
          </cell>
          <cell r="F98" t="e">
            <v>#N/A</v>
          </cell>
          <cell r="G98" t="e">
            <v>#N/A</v>
          </cell>
        </row>
        <row r="99">
          <cell r="A99">
            <v>40765</v>
          </cell>
          <cell r="B99" t="str">
            <v>Escarificação e compactação de base (100% P.I.) H=0,20m</v>
          </cell>
          <cell r="C99" t="str">
            <v>m²</v>
          </cell>
          <cell r="D99">
            <v>4.83</v>
          </cell>
          <cell r="E99">
            <v>0</v>
          </cell>
          <cell r="F99" t="e">
            <v>#N/A</v>
          </cell>
          <cell r="G99" t="e">
            <v>#N/A</v>
          </cell>
        </row>
        <row r="100">
          <cell r="A100">
            <v>40757</v>
          </cell>
          <cell r="B100" t="str">
            <v>Estabilização granulométrica de solo s/ mistura 100% P.I.</v>
          </cell>
          <cell r="C100" t="str">
            <v>m³</v>
          </cell>
          <cell r="D100">
            <v>14.84</v>
          </cell>
          <cell r="E100">
            <v>0</v>
          </cell>
          <cell r="F100">
            <v>14.85</v>
          </cell>
          <cell r="G100">
            <v>1.0006738544474401</v>
          </cell>
        </row>
        <row r="101">
          <cell r="A101">
            <v>40758</v>
          </cell>
          <cell r="B101" t="str">
            <v>Estabilização granulométrica de solo s/ mistura 100% P.M.</v>
          </cell>
          <cell r="C101" t="str">
            <v>m³</v>
          </cell>
          <cell r="D101">
            <v>15.99</v>
          </cell>
          <cell r="E101">
            <v>0</v>
          </cell>
          <cell r="F101" t="e">
            <v>#N/A</v>
          </cell>
          <cell r="G101" t="e">
            <v>#N/A</v>
          </cell>
        </row>
        <row r="102">
          <cell r="A102">
            <v>40761</v>
          </cell>
          <cell r="B102" t="str">
            <v>Estabilização granulométrica de solos c/ mistura de areia na pista 100% P.M. (80%, 20%) exclusive transporte</v>
          </cell>
          <cell r="C102" t="str">
            <v>m³</v>
          </cell>
          <cell r="D102">
            <v>39.409999999999997</v>
          </cell>
          <cell r="E102">
            <v>0</v>
          </cell>
          <cell r="F102" t="e">
            <v>#N/A</v>
          </cell>
          <cell r="G102" t="e">
            <v>#N/A</v>
          </cell>
        </row>
        <row r="103">
          <cell r="A103">
            <v>40759</v>
          </cell>
          <cell r="B103" t="str">
            <v>Estabilização granulométrica de solos c/ mistura na pista 100 % P.I.</v>
          </cell>
          <cell r="C103" t="str">
            <v>m³</v>
          </cell>
          <cell r="D103">
            <v>16.3</v>
          </cell>
          <cell r="E103">
            <v>0</v>
          </cell>
          <cell r="F103" t="e">
            <v>#N/A</v>
          </cell>
          <cell r="G103" t="e">
            <v>#N/A</v>
          </cell>
        </row>
        <row r="104">
          <cell r="A104">
            <v>40760</v>
          </cell>
          <cell r="B104" t="str">
            <v>Estabilização granulométrica de solos c/ mistura na pista 100% P.M.</v>
          </cell>
          <cell r="C104" t="str">
            <v>m³</v>
          </cell>
          <cell r="D104">
            <v>16.739999999999998</v>
          </cell>
          <cell r="E104">
            <v>0</v>
          </cell>
          <cell r="F104" t="e">
            <v>#N/A</v>
          </cell>
          <cell r="G104" t="e">
            <v>#N/A</v>
          </cell>
        </row>
        <row r="105">
          <cell r="A105">
            <v>41069</v>
          </cell>
          <cell r="B105" t="str">
            <v>Fresagem de pavimento asfáltico a frio, esp. até 15cm, exclusive transporte de materiais</v>
          </cell>
          <cell r="C105" t="str">
            <v>m²</v>
          </cell>
          <cell r="D105">
            <v>7.81</v>
          </cell>
          <cell r="E105">
            <v>0</v>
          </cell>
          <cell r="F105" t="e">
            <v>#N/A</v>
          </cell>
          <cell r="G105" t="e">
            <v>#N/A</v>
          </cell>
        </row>
        <row r="106">
          <cell r="A106">
            <v>40985</v>
          </cell>
          <cell r="B106" t="str">
            <v>Fresagem de pavimento asfáltico a frio, esp=5cm, exclusive transporte de materiais</v>
          </cell>
          <cell r="C106" t="str">
            <v>m²</v>
          </cell>
          <cell r="D106">
            <v>6.77</v>
          </cell>
          <cell r="E106">
            <v>0</v>
          </cell>
          <cell r="F106" t="e">
            <v>#N/A</v>
          </cell>
          <cell r="G106" t="e">
            <v>#N/A</v>
          </cell>
        </row>
        <row r="107">
          <cell r="A107">
            <v>40868</v>
          </cell>
          <cell r="B107" t="str">
            <v>Fresagem de pavimento asfáltico a frio, esp.=5cm inclusive transporte do material</v>
          </cell>
          <cell r="C107" t="str">
            <v>m²</v>
          </cell>
          <cell r="D107">
            <v>10.61</v>
          </cell>
          <cell r="E107">
            <v>0</v>
          </cell>
          <cell r="F107" t="e">
            <v>#N/A</v>
          </cell>
          <cell r="G107" t="e">
            <v>#N/A</v>
          </cell>
        </row>
        <row r="108">
          <cell r="A108">
            <v>40816</v>
          </cell>
          <cell r="B108" t="str">
            <v>Imprimação exclusive fornecimento e transporte comercial do material betuminoso</v>
          </cell>
          <cell r="C108" t="str">
            <v>m²</v>
          </cell>
          <cell r="D108">
            <v>0.71</v>
          </cell>
          <cell r="E108">
            <v>0</v>
          </cell>
          <cell r="F108">
            <v>0.72</v>
          </cell>
          <cell r="G108">
            <v>1.0140845070422499</v>
          </cell>
        </row>
        <row r="109">
          <cell r="A109">
            <v>40817</v>
          </cell>
          <cell r="B109" t="str">
            <v>Imprimação inclusive fornecimento e transporte comercial do material betuminoso</v>
          </cell>
          <cell r="C109" t="str">
            <v>m²</v>
          </cell>
          <cell r="D109">
            <v>5.42</v>
          </cell>
          <cell r="E109" t="str">
            <v>A incluir</v>
          </cell>
          <cell r="F109" t="e">
            <v>#N/A</v>
          </cell>
          <cell r="G109" t="e">
            <v>#N/A</v>
          </cell>
        </row>
        <row r="110">
          <cell r="A110">
            <v>40850</v>
          </cell>
          <cell r="B110" t="str">
            <v>Lama asfáltica (faixa I - ISSA) exclusive fornecimento e transporte comercial da emulsão</v>
          </cell>
          <cell r="C110" t="str">
            <v>m²</v>
          </cell>
          <cell r="D110">
            <v>1.43</v>
          </cell>
          <cell r="E110" t="str">
            <v>A incluir</v>
          </cell>
          <cell r="F110" t="e">
            <v>#N/A</v>
          </cell>
          <cell r="G110" t="e">
            <v>#N/A</v>
          </cell>
        </row>
        <row r="111">
          <cell r="A111">
            <v>40851</v>
          </cell>
          <cell r="B111" t="str">
            <v>Lama asfáltica (faixa I - ISSA) inclusive fornecimento e transporte comercial da emulsão</v>
          </cell>
          <cell r="C111" t="str">
            <v>m²</v>
          </cell>
          <cell r="D111">
            <v>2.97</v>
          </cell>
          <cell r="E111" t="str">
            <v>A incluir</v>
          </cell>
          <cell r="F111" t="e">
            <v>#N/A</v>
          </cell>
          <cell r="G111" t="e">
            <v>#N/A</v>
          </cell>
        </row>
        <row r="112">
          <cell r="A112">
            <v>40852</v>
          </cell>
          <cell r="B112" t="str">
            <v>Lama asfáltica (faixa II - ISSA) exclusive fornecimento e transporte comercial da emulsão</v>
          </cell>
          <cell r="C112" t="str">
            <v>m²</v>
          </cell>
          <cell r="D112">
            <v>1.56</v>
          </cell>
          <cell r="E112" t="str">
            <v>A incluir</v>
          </cell>
          <cell r="F112" t="e">
            <v>#N/A</v>
          </cell>
          <cell r="G112" t="e">
            <v>#N/A</v>
          </cell>
        </row>
        <row r="113">
          <cell r="A113">
            <v>40853</v>
          </cell>
          <cell r="B113" t="str">
            <v>Lama asfáltica (faixa II - ISSA) inclusive fornecimento e transporte comercial da emulsão</v>
          </cell>
          <cell r="C113" t="str">
            <v>m²</v>
          </cell>
          <cell r="D113">
            <v>3.99</v>
          </cell>
          <cell r="E113" t="str">
            <v>A incluir</v>
          </cell>
          <cell r="F113" t="e">
            <v>#N/A</v>
          </cell>
          <cell r="G113" t="e">
            <v>#N/A</v>
          </cell>
        </row>
        <row r="114">
          <cell r="A114">
            <v>40854</v>
          </cell>
          <cell r="B114" t="str">
            <v>Lama asfáltica (faixa III - ISSA) exclusive fornecimento e transporte comercial da emulsão</v>
          </cell>
          <cell r="C114" t="str">
            <v>m²</v>
          </cell>
          <cell r="D114">
            <v>1.65</v>
          </cell>
          <cell r="E114" t="str">
            <v>A incluir</v>
          </cell>
          <cell r="F114" t="e">
            <v>#N/A</v>
          </cell>
          <cell r="G114" t="e">
            <v>#N/A</v>
          </cell>
        </row>
        <row r="115">
          <cell r="A115">
            <v>40855</v>
          </cell>
          <cell r="B115" t="str">
            <v>Lama asfáltica (faixa III - ISSA) inclusive fornecimento e transporte comercial da emulsão</v>
          </cell>
          <cell r="C115" t="str">
            <v>m²</v>
          </cell>
          <cell r="D115">
            <v>5.17</v>
          </cell>
          <cell r="E115" t="str">
            <v>A incluir</v>
          </cell>
          <cell r="F115" t="e">
            <v>#N/A</v>
          </cell>
          <cell r="G115" t="e">
            <v>#N/A</v>
          </cell>
        </row>
        <row r="116">
          <cell r="A116">
            <v>40856</v>
          </cell>
          <cell r="B116" t="str">
            <v>Lama asfáltica (faixa IV - ISSA) exclusive fornecimento e transporte comercial da emulsão</v>
          </cell>
          <cell r="C116" t="str">
            <v>m²</v>
          </cell>
          <cell r="D116">
            <v>1.99</v>
          </cell>
          <cell r="E116" t="str">
            <v>A incluir</v>
          </cell>
          <cell r="F116" t="e">
            <v>#N/A</v>
          </cell>
          <cell r="G116" t="e">
            <v>#N/A</v>
          </cell>
        </row>
        <row r="117">
          <cell r="A117">
            <v>40857</v>
          </cell>
          <cell r="B117" t="str">
            <v>Lama asfáltica (faixa IV - ISSA) inclusive fornecimento e transporte comercial da emulsão</v>
          </cell>
          <cell r="C117" t="str">
            <v>m²</v>
          </cell>
          <cell r="D117">
            <v>6.85</v>
          </cell>
          <cell r="E117" t="str">
            <v>A incluir</v>
          </cell>
          <cell r="F117" t="e">
            <v>#N/A</v>
          </cell>
          <cell r="G117" t="e">
            <v>#N/A</v>
          </cell>
        </row>
        <row r="118">
          <cell r="A118">
            <v>40894</v>
          </cell>
          <cell r="B118" t="str">
            <v>Meio fio (assentamento), inclusive caiação</v>
          </cell>
          <cell r="C118" t="str">
            <v>m</v>
          </cell>
          <cell r="D118">
            <v>28.04</v>
          </cell>
          <cell r="E118">
            <v>0</v>
          </cell>
          <cell r="F118" t="e">
            <v>#N/A</v>
          </cell>
          <cell r="G118" t="e">
            <v>#N/A</v>
          </cell>
        </row>
        <row r="119">
          <cell r="A119">
            <v>40895</v>
          </cell>
          <cell r="B119" t="str">
            <v>Meio fio (remoção e reassentamento),  inclusive caiação</v>
          </cell>
          <cell r="C119" t="str">
            <v>m</v>
          </cell>
          <cell r="D119">
            <v>49.78</v>
          </cell>
          <cell r="E119">
            <v>0</v>
          </cell>
          <cell r="F119" t="e">
            <v>#N/A</v>
          </cell>
          <cell r="G119" t="e">
            <v>#N/A</v>
          </cell>
        </row>
        <row r="120">
          <cell r="A120">
            <v>40869</v>
          </cell>
          <cell r="B120" t="str">
            <v>Micro revestimento asfáltico à frio exclusive fornecimento e transporte comercial do material betuminoso</v>
          </cell>
          <cell r="C120" t="str">
            <v>m²</v>
          </cell>
          <cell r="D120">
            <v>4.7699999999999996</v>
          </cell>
          <cell r="E120" t="str">
            <v>A incluir</v>
          </cell>
          <cell r="F120" t="e">
            <v>#N/A</v>
          </cell>
          <cell r="G120" t="e">
            <v>#N/A</v>
          </cell>
        </row>
        <row r="121">
          <cell r="A121">
            <v>40881</v>
          </cell>
          <cell r="B121" t="str">
            <v>Micro revestimento asfáltico à frio exclusive fornecimento emulsão e transp. de todos os materiais</v>
          </cell>
          <cell r="C121" t="str">
            <v>m²</v>
          </cell>
          <cell r="D121">
            <v>4.7699999999999996</v>
          </cell>
          <cell r="E121">
            <v>0</v>
          </cell>
          <cell r="F121" t="e">
            <v>#N/A</v>
          </cell>
          <cell r="G121" t="e">
            <v>#N/A</v>
          </cell>
        </row>
        <row r="122">
          <cell r="A122">
            <v>40870</v>
          </cell>
          <cell r="B122" t="str">
            <v>Micro revestimento asfáltico à frio inclusive fornecimento e transporte comercial do material betuminoso</v>
          </cell>
          <cell r="C122" t="str">
            <v>m²</v>
          </cell>
          <cell r="D122">
            <v>11.43</v>
          </cell>
          <cell r="E122" t="str">
            <v>A incluir</v>
          </cell>
          <cell r="F122" t="e">
            <v>#N/A</v>
          </cell>
          <cell r="G122" t="e">
            <v>#N/A</v>
          </cell>
        </row>
        <row r="123">
          <cell r="A123">
            <v>40860</v>
          </cell>
          <cell r="B123" t="str">
            <v>Obturação de buracos c/ CBUQ exclusive fornecimento e transporte comercial dos materiais betuminosos</v>
          </cell>
          <cell r="C123" t="str">
            <v>m²</v>
          </cell>
          <cell r="D123">
            <v>38.96</v>
          </cell>
          <cell r="E123" t="str">
            <v>A incluir</v>
          </cell>
          <cell r="F123" t="e">
            <v>#N/A</v>
          </cell>
          <cell r="G123" t="e">
            <v>#N/A</v>
          </cell>
        </row>
        <row r="124">
          <cell r="A124">
            <v>40864</v>
          </cell>
          <cell r="B124" t="str">
            <v>Obturação de buracos c/ CBUQ exclusive fornecimento e transporte dos materiais betuminosos</v>
          </cell>
          <cell r="C124" t="str">
            <v>t</v>
          </cell>
          <cell r="D124">
            <v>400.53</v>
          </cell>
          <cell r="E124" t="str">
            <v>A incluir</v>
          </cell>
          <cell r="F124" t="e">
            <v>#N/A</v>
          </cell>
          <cell r="G124" t="e">
            <v>#N/A</v>
          </cell>
        </row>
        <row r="125">
          <cell r="A125">
            <v>40861</v>
          </cell>
          <cell r="B125" t="str">
            <v>Obturação de buracos c/ CBUQ inclusive fornecimento e transporte comercial dos materiais betuminosos</v>
          </cell>
          <cell r="C125" t="str">
            <v>m²</v>
          </cell>
          <cell r="D125">
            <v>59.34</v>
          </cell>
          <cell r="E125" t="str">
            <v>A incluir</v>
          </cell>
          <cell r="F125" t="e">
            <v>#N/A</v>
          </cell>
          <cell r="G125" t="e">
            <v>#N/A</v>
          </cell>
        </row>
        <row r="126">
          <cell r="A126">
            <v>40865</v>
          </cell>
          <cell r="B126" t="str">
            <v>Obturação de buracos c/ CBUQ inclusive fornecimento e transporte dos materiais betuminosos</v>
          </cell>
          <cell r="C126" t="str">
            <v>t</v>
          </cell>
          <cell r="D126">
            <v>589.01</v>
          </cell>
          <cell r="E126" t="str">
            <v>A incluir</v>
          </cell>
          <cell r="F126" t="e">
            <v>#N/A</v>
          </cell>
          <cell r="G126" t="e">
            <v>#N/A</v>
          </cell>
        </row>
        <row r="127">
          <cell r="A127">
            <v>40880</v>
          </cell>
          <cell r="B127" t="str">
            <v>Obturação de buracos c/ CBUQ-faixa "C", exclusive forn.do CAP e transporte de todos os materiais</v>
          </cell>
          <cell r="C127" t="str">
            <v>m²</v>
          </cell>
          <cell r="D127">
            <v>42.98</v>
          </cell>
          <cell r="E127">
            <v>0</v>
          </cell>
          <cell r="F127" t="e">
            <v>#N/A</v>
          </cell>
          <cell r="G127" t="e">
            <v>#N/A</v>
          </cell>
        </row>
        <row r="128">
          <cell r="A128">
            <v>40858</v>
          </cell>
          <cell r="B128" t="str">
            <v>Obturação de buracos c/ PMF exclusive fornecimento e transporte comercial da emulsão</v>
          </cell>
          <cell r="C128" t="str">
            <v>m²</v>
          </cell>
          <cell r="D128">
            <v>35.770000000000003</v>
          </cell>
          <cell r="E128" t="str">
            <v>A incluir</v>
          </cell>
          <cell r="F128" t="e">
            <v>#N/A</v>
          </cell>
          <cell r="G128" t="e">
            <v>#N/A</v>
          </cell>
        </row>
        <row r="129">
          <cell r="A129">
            <v>40862</v>
          </cell>
          <cell r="B129" t="str">
            <v>Obturação de buracos c/ PMF exclusive fornecimento e transporte dos materiais betuminosos</v>
          </cell>
          <cell r="C129" t="str">
            <v>t</v>
          </cell>
          <cell r="D129">
            <v>367.24</v>
          </cell>
          <cell r="E129" t="str">
            <v>A incluir</v>
          </cell>
          <cell r="F129" t="e">
            <v>#N/A</v>
          </cell>
          <cell r="G129" t="e">
            <v>#N/A</v>
          </cell>
        </row>
        <row r="130">
          <cell r="A130">
            <v>40859</v>
          </cell>
          <cell r="B130" t="str">
            <v>Obturação de buracos c/ PMF inclusive fornecimento e transporte comercial da emulsão</v>
          </cell>
          <cell r="C130" t="str">
            <v>m²</v>
          </cell>
          <cell r="D130">
            <v>52.97</v>
          </cell>
          <cell r="E130" t="str">
            <v>A incluir</v>
          </cell>
          <cell r="F130" t="e">
            <v>#N/A</v>
          </cell>
          <cell r="G130" t="e">
            <v>#N/A</v>
          </cell>
        </row>
        <row r="131">
          <cell r="A131">
            <v>40863</v>
          </cell>
          <cell r="B131" t="str">
            <v>Obturação de buracos c/ PMF inclusive fornecimento e transporte dos materiais betuminosos</v>
          </cell>
          <cell r="C131" t="str">
            <v>t</v>
          </cell>
          <cell r="D131">
            <v>549.34</v>
          </cell>
          <cell r="E131" t="str">
            <v>A incluir</v>
          </cell>
          <cell r="F131" t="e">
            <v>#N/A</v>
          </cell>
          <cell r="G131" t="e">
            <v>#N/A</v>
          </cell>
        </row>
        <row r="132">
          <cell r="A132">
            <v>40883</v>
          </cell>
          <cell r="B132" t="str">
            <v>Pavimentação com blocos de concreto (35 MPa), esp.= 06 cm, sobre colchão areia esp.= 5 cm, inclusive fornecimento e transporte dos blocos e areia</v>
          </cell>
          <cell r="C132" t="str">
            <v>m²</v>
          </cell>
          <cell r="D132">
            <v>67.77</v>
          </cell>
          <cell r="E132" t="str">
            <v>A incluir</v>
          </cell>
          <cell r="F132" t="e">
            <v>#N/A</v>
          </cell>
          <cell r="G132" t="e">
            <v>#N/A</v>
          </cell>
        </row>
        <row r="133">
          <cell r="A133">
            <v>40885</v>
          </cell>
          <cell r="B133" t="str">
            <v>Pavimentação com blocos de concreto (35 MPa), esp. = 10 cm, sobre colchão areia esp.= 5cm
, inclusive fornecimento e transporte dos blocos e areia</v>
          </cell>
          <cell r="C133" t="str">
            <v>m²</v>
          </cell>
          <cell r="D133">
            <v>89.28</v>
          </cell>
          <cell r="E133" t="str">
            <v>A incluir</v>
          </cell>
          <cell r="F133" t="e">
            <v>#N/A</v>
          </cell>
          <cell r="G133" t="e">
            <v>#N/A</v>
          </cell>
        </row>
        <row r="134">
          <cell r="A134">
            <v>40897</v>
          </cell>
          <cell r="B134" t="str">
            <v>Pavimentação com blocos de concreto (35 MPa), esp.= 06cm, sobre colchão areia esp.=5cm, inclusive fornecim. do bloco e areia, exclus. transp.materiais</v>
          </cell>
          <cell r="C134" t="str">
            <v>m²</v>
          </cell>
          <cell r="D134">
            <v>67.77</v>
          </cell>
          <cell r="E134">
            <v>0</v>
          </cell>
          <cell r="F134" t="e">
            <v>#N/A</v>
          </cell>
          <cell r="G134" t="e">
            <v>#N/A</v>
          </cell>
        </row>
        <row r="135">
          <cell r="A135">
            <v>40884</v>
          </cell>
          <cell r="B135" t="str">
            <v>Pavimentação com blocos de concreto (35 MPa), esp.= 08 cm, colchão areia esp.= 5cm, inclusive fornecimento e transporte dos blocos e areia</v>
          </cell>
          <cell r="C135" t="str">
            <v>m²</v>
          </cell>
          <cell r="D135">
            <v>74.28</v>
          </cell>
          <cell r="E135" t="str">
            <v>A incluir</v>
          </cell>
          <cell r="F135">
            <v>81.55</v>
          </cell>
          <cell r="G135">
            <v>1.0978729133010201</v>
          </cell>
        </row>
        <row r="136">
          <cell r="A136">
            <v>40898</v>
          </cell>
          <cell r="B136" t="str">
            <v>Pavimentação com blocos de concreto (35 MPa) esp.=08 cm,colchão areia esp.=5cm, inclusive fornecim. do bloco e areia, exclusive transp. blocos e areia</v>
          </cell>
          <cell r="C136" t="str">
            <v>m²</v>
          </cell>
          <cell r="D136">
            <v>74.28</v>
          </cell>
          <cell r="E136">
            <v>0</v>
          </cell>
          <cell r="F136" t="e">
            <v>#N/A</v>
          </cell>
          <cell r="G136" t="e">
            <v>#N/A</v>
          </cell>
        </row>
        <row r="137">
          <cell r="A137">
            <v>40896</v>
          </cell>
          <cell r="B137" t="str">
            <v>Pavimentação com blocos de concreto (35MPa), esp.=10 cm, sobre colchão de areia esp.= 5cm, inclusive fornecim. do bloco e areia , exclusive transportes</v>
          </cell>
          <cell r="C137" t="str">
            <v>m²</v>
          </cell>
          <cell r="D137">
            <v>89.28</v>
          </cell>
          <cell r="E137">
            <v>0</v>
          </cell>
          <cell r="F137" t="e">
            <v>#N/A</v>
          </cell>
          <cell r="G137" t="e">
            <v>#N/A</v>
          </cell>
        </row>
        <row r="138">
          <cell r="A138">
            <v>40886</v>
          </cell>
          <cell r="B138" t="str">
            <v>Pavimentação com paralelepípedo, sobre colchão areia esp.= 5cm, inclus. fornecimento e transport. da areia, exclus. fornecim. e transp. paralelepípedo</v>
          </cell>
          <cell r="C138" t="str">
            <v>m²</v>
          </cell>
          <cell r="D138">
            <v>30.89</v>
          </cell>
          <cell r="E138" t="str">
            <v>A incluir</v>
          </cell>
          <cell r="F138" t="e">
            <v>#N/A</v>
          </cell>
          <cell r="G138" t="e">
            <v>#N/A</v>
          </cell>
        </row>
        <row r="139">
          <cell r="A139">
            <v>40887</v>
          </cell>
          <cell r="B139" t="str">
            <v>Pavimentação com paralelepípedo, sobre colchão areia esp.= 5cm, inclusive fornecimento e transporte do paralelepípedo e areia</v>
          </cell>
          <cell r="C139" t="str">
            <v>m²</v>
          </cell>
          <cell r="D139">
            <v>86.38</v>
          </cell>
          <cell r="E139" t="str">
            <v>A incluir</v>
          </cell>
          <cell r="F139" t="e">
            <v>#N/A</v>
          </cell>
          <cell r="G139" t="e">
            <v>#N/A</v>
          </cell>
        </row>
        <row r="140">
          <cell r="A140">
            <v>40888</v>
          </cell>
          <cell r="B140" t="str">
            <v>Pavimentação com paralelepípedo, sobre colchão pó de pedra esp.= 5cm, inclusive fornecimento e transporte do paralelepípedo e pó de pedra</v>
          </cell>
          <cell r="C140" t="str">
            <v>m²</v>
          </cell>
          <cell r="D140">
            <v>84.58</v>
          </cell>
          <cell r="E140" t="str">
            <v>A incluir</v>
          </cell>
          <cell r="F140" t="e">
            <v>#N/A</v>
          </cell>
          <cell r="G140" t="e">
            <v>#N/A</v>
          </cell>
        </row>
        <row r="141">
          <cell r="A141">
            <v>40889</v>
          </cell>
          <cell r="B141" t="str">
            <v>Pavimentação com pedra portuguesa, inclusive fornecimento e transporte da pedra portuguesa, cimento e areia</v>
          </cell>
          <cell r="C141" t="str">
            <v>m²</v>
          </cell>
          <cell r="D141">
            <v>114.74</v>
          </cell>
          <cell r="E141" t="str">
            <v>A incluir</v>
          </cell>
          <cell r="F141" t="e">
            <v>#N/A</v>
          </cell>
          <cell r="G141" t="e">
            <v>#N/A</v>
          </cell>
        </row>
        <row r="142">
          <cell r="A142">
            <v>40818</v>
          </cell>
          <cell r="B142" t="str">
            <v>Pintura de ligação exclusive fornecimento e transporte comercial do material betuminoso</v>
          </cell>
          <cell r="C142" t="str">
            <v>m²</v>
          </cell>
          <cell r="D142">
            <v>0.59</v>
          </cell>
          <cell r="E142">
            <v>0</v>
          </cell>
          <cell r="F142" t="e">
            <v>#N/A</v>
          </cell>
          <cell r="G142" t="e">
            <v>#N/A</v>
          </cell>
        </row>
        <row r="143">
          <cell r="A143">
            <v>40819</v>
          </cell>
          <cell r="B143" t="str">
            <v>Pintura de ligação inclusive fornecimento e transporte comercial do material betuminoso</v>
          </cell>
          <cell r="C143" t="str">
            <v>m²</v>
          </cell>
          <cell r="D143">
            <v>1.77</v>
          </cell>
          <cell r="E143" t="str">
            <v>A incluir</v>
          </cell>
          <cell r="F143" t="e">
            <v>#N/A</v>
          </cell>
          <cell r="G143" t="e">
            <v>#N/A</v>
          </cell>
        </row>
        <row r="144">
          <cell r="A144">
            <v>40872</v>
          </cell>
          <cell r="B144" t="str">
            <v>PMF camada pronta exclusive fornecimento e transporte comercial da emulsão</v>
          </cell>
          <cell r="C144" t="str">
            <v>t</v>
          </cell>
          <cell r="D144">
            <v>64.53</v>
          </cell>
          <cell r="E144" t="str">
            <v>A incluir</v>
          </cell>
          <cell r="F144" t="e">
            <v>#N/A</v>
          </cell>
          <cell r="G144" t="e">
            <v>#N/A</v>
          </cell>
        </row>
        <row r="145">
          <cell r="A145">
            <v>40836</v>
          </cell>
          <cell r="B145" t="str">
            <v>PMF (massa asfáltica) exclusive fornecimento e transporte comercial da emulsão</v>
          </cell>
          <cell r="C145" t="str">
            <v>t</v>
          </cell>
          <cell r="D145">
            <v>46.67</v>
          </cell>
          <cell r="E145" t="str">
            <v>A incluir</v>
          </cell>
          <cell r="F145" t="e">
            <v>#N/A</v>
          </cell>
          <cell r="G145" t="e">
            <v>#N/A</v>
          </cell>
        </row>
        <row r="146">
          <cell r="A146">
            <v>40837</v>
          </cell>
          <cell r="B146" t="str">
            <v>PMF (massa asfáltica) inclusive fornecimento e transporte comercial da emulsão</v>
          </cell>
          <cell r="C146" t="str">
            <v>t</v>
          </cell>
          <cell r="D146">
            <v>204.94</v>
          </cell>
          <cell r="E146" t="str">
            <v>A incluir</v>
          </cell>
          <cell r="F146" t="e">
            <v>#N/A</v>
          </cell>
          <cell r="G146" t="e">
            <v>#N/A</v>
          </cell>
        </row>
        <row r="147">
          <cell r="A147">
            <v>41076</v>
          </cell>
          <cell r="B147" t="str">
            <v>Pó de pedra, fornecimento</v>
          </cell>
          <cell r="C147" t="str">
            <v>m³</v>
          </cell>
          <cell r="D147">
            <v>48.6</v>
          </cell>
          <cell r="E147">
            <v>0</v>
          </cell>
          <cell r="F147" t="e">
            <v>#N/A</v>
          </cell>
          <cell r="G147" t="e">
            <v>#N/A</v>
          </cell>
        </row>
        <row r="148">
          <cell r="A148">
            <v>41556</v>
          </cell>
          <cell r="B148" t="str">
            <v>Pó de pedra, fornecimento e espalhamento</v>
          </cell>
          <cell r="C148" t="str">
            <v>m³</v>
          </cell>
          <cell r="D148">
            <v>52.17</v>
          </cell>
          <cell r="E148" t="str">
            <v>A incluir</v>
          </cell>
          <cell r="F148">
            <v>109</v>
          </cell>
          <cell r="G148">
            <v>2.0893233659191099</v>
          </cell>
        </row>
        <row r="149">
          <cell r="A149">
            <v>43345</v>
          </cell>
          <cell r="B149" t="str">
            <v>Produção de brita no canteiro, exclusive o desmonte e fragmentação de rocha</v>
          </cell>
          <cell r="C149" t="str">
            <v>m³</v>
          </cell>
          <cell r="D149">
            <v>23.89</v>
          </cell>
          <cell r="E149">
            <v>0</v>
          </cell>
          <cell r="F149" t="e">
            <v>#N/A</v>
          </cell>
          <cell r="G149" t="e">
            <v>#N/A</v>
          </cell>
        </row>
        <row r="150">
          <cell r="A150">
            <v>40720</v>
          </cell>
          <cell r="B150" t="str">
            <v>Produção de brita no canteiro, inclusive o desmonte e fragmentação de rocha</v>
          </cell>
          <cell r="C150" t="str">
            <v>m³</v>
          </cell>
          <cell r="D150">
            <v>61.15</v>
          </cell>
          <cell r="E150">
            <v>0</v>
          </cell>
          <cell r="F150" t="e">
            <v>#N/A</v>
          </cell>
          <cell r="G150" t="e">
            <v>#N/A</v>
          </cell>
        </row>
        <row r="151">
          <cell r="A151">
            <v>41070</v>
          </cell>
          <cell r="B151" t="str">
            <v>Reciclagem de pavimento (base) c/ adição de 20% de brita1, 10% de brita 0 e 2% de cimento, inclusive fornecimento e transportes dos materiais</v>
          </cell>
          <cell r="C151" t="str">
            <v>m³</v>
          </cell>
          <cell r="D151">
            <v>86.27</v>
          </cell>
          <cell r="E151" t="str">
            <v>A incluir</v>
          </cell>
          <cell r="F151" t="e">
            <v>#N/A</v>
          </cell>
          <cell r="G151" t="e">
            <v>#N/A</v>
          </cell>
        </row>
        <row r="152">
          <cell r="A152">
            <v>41134</v>
          </cell>
          <cell r="B152" t="str">
            <v>Reciclagem de pavimento (base) c/ adição de 20% de brita1, 10% de brita0 e 2% de cimento, inclusive fornecimento e transportes dos materiais</v>
          </cell>
          <cell r="C152" t="str">
            <v>m³</v>
          </cell>
          <cell r="D152">
            <v>87.84</v>
          </cell>
          <cell r="E152" t="str">
            <v>A incluir</v>
          </cell>
          <cell r="F152" t="e">
            <v>#N/A</v>
          </cell>
          <cell r="G152" t="e">
            <v>#N/A</v>
          </cell>
        </row>
        <row r="153">
          <cell r="A153">
            <v>40984</v>
          </cell>
          <cell r="B153" t="str">
            <v>Reciclagem de pavimento (Base existente + CBUQ) sem adição de materiais</v>
          </cell>
          <cell r="C153" t="str">
            <v>m³</v>
          </cell>
          <cell r="D153">
            <v>39.06</v>
          </cell>
          <cell r="E153">
            <v>0</v>
          </cell>
          <cell r="F153" t="e">
            <v>#N/A</v>
          </cell>
          <cell r="G153" t="e">
            <v>#N/A</v>
          </cell>
        </row>
        <row r="154">
          <cell r="A154">
            <v>41330</v>
          </cell>
          <cell r="B154" t="str">
            <v>Reciclagem de pavimento (base existente + T.S.D.) c/ adição de 3% de cimento e 15% de brita
, inclusive fornecimento e transporte dos materiais</v>
          </cell>
          <cell r="C154" t="str">
            <v>m³</v>
          </cell>
          <cell r="D154">
            <v>73.099999999999994</v>
          </cell>
          <cell r="E154" t="str">
            <v>A incluir</v>
          </cell>
          <cell r="F154" t="e">
            <v>#N/A</v>
          </cell>
          <cell r="G154" t="e">
            <v>#N/A</v>
          </cell>
        </row>
        <row r="155">
          <cell r="A155">
            <v>41356</v>
          </cell>
          <cell r="B155" t="str">
            <v>Reciclagem de pavimento (Base existente + T.S.D.) c/ adição de 30% de brita, inclusive fornecimento e transporte da brita</v>
          </cell>
          <cell r="C155" t="str">
            <v>m³</v>
          </cell>
          <cell r="D155">
            <v>85.71</v>
          </cell>
          <cell r="E155" t="str">
            <v>A incluir</v>
          </cell>
          <cell r="F155" t="e">
            <v>#N/A</v>
          </cell>
          <cell r="G155" t="e">
            <v>#N/A</v>
          </cell>
        </row>
        <row r="156">
          <cell r="A156">
            <v>40774</v>
          </cell>
          <cell r="B156" t="str">
            <v>Reciclagem de pavimento (Base existente + T.S.D.) c/ adição de 30% de brita, inclusive fornecimento, exclusive transporte da brita</v>
          </cell>
          <cell r="C156" t="str">
            <v>m³</v>
          </cell>
          <cell r="D156">
            <v>85.71</v>
          </cell>
          <cell r="E156">
            <v>0</v>
          </cell>
          <cell r="F156" t="e">
            <v>#N/A</v>
          </cell>
          <cell r="G156" t="e">
            <v>#N/A</v>
          </cell>
        </row>
        <row r="157">
          <cell r="A157">
            <v>40768</v>
          </cell>
          <cell r="B157" t="str">
            <v>Reciclagem de pavimento (Base existente + T.S.D.) com adição de 20% de brita, inclusive fornecimento e transporte da brita.</v>
          </cell>
          <cell r="C157" t="str">
            <v>m³</v>
          </cell>
          <cell r="D157">
            <v>76.209999999999994</v>
          </cell>
          <cell r="E157" t="str">
            <v>A incluir</v>
          </cell>
          <cell r="F157" t="e">
            <v>#N/A</v>
          </cell>
          <cell r="G157" t="e">
            <v>#N/A</v>
          </cell>
        </row>
        <row r="158">
          <cell r="A158">
            <v>40767</v>
          </cell>
          <cell r="B158" t="str">
            <v>Reciclagem de pavimento (Base existente + T.S.D.) com adição de 3% de cimento, inclusive fornecimento e tarnsporte do cimento</v>
          </cell>
          <cell r="C158" t="str">
            <v>m³</v>
          </cell>
          <cell r="D158">
            <v>77.650000000000006</v>
          </cell>
          <cell r="E158" t="str">
            <v>A incluir</v>
          </cell>
          <cell r="F158" t="e">
            <v>#N/A</v>
          </cell>
          <cell r="G158" t="e">
            <v>#N/A</v>
          </cell>
        </row>
        <row r="159">
          <cell r="A159">
            <v>40769</v>
          </cell>
          <cell r="B159" t="str">
            <v>Reciclagem de pavimento (Base existente + T.S.D.) com adição de 40% de brita, inclusive fornecimento e transporte da brita.</v>
          </cell>
          <cell r="C159" t="str">
            <v>m³</v>
          </cell>
          <cell r="D159">
            <v>95.24</v>
          </cell>
          <cell r="E159" t="str">
            <v>A incluir</v>
          </cell>
          <cell r="F159" t="e">
            <v>#N/A</v>
          </cell>
          <cell r="G159" t="e">
            <v>#N/A</v>
          </cell>
        </row>
        <row r="160">
          <cell r="A160">
            <v>40766</v>
          </cell>
          <cell r="B160" t="str">
            <v>Reciclagem de pavimento (Base existente + T.S.D.) sem adição de materiais</v>
          </cell>
          <cell r="C160" t="str">
            <v>m³</v>
          </cell>
          <cell r="D160">
            <v>42.61</v>
          </cell>
          <cell r="E160">
            <v>0</v>
          </cell>
          <cell r="F160" t="e">
            <v>#N/A</v>
          </cell>
          <cell r="G160" t="e">
            <v>#N/A</v>
          </cell>
        </row>
        <row r="161">
          <cell r="A161">
            <v>40771</v>
          </cell>
          <cell r="B161" t="str">
            <v>Reciclagem de pavimento (Base existente+TSD) com adição de Ligante Betuminoso, inclusive fornecimento e transporte da emulsão</v>
          </cell>
          <cell r="C161" t="str">
            <v>m³</v>
          </cell>
          <cell r="D161">
            <v>172.86</v>
          </cell>
          <cell r="E161" t="str">
            <v>A incluir</v>
          </cell>
          <cell r="F161" t="e">
            <v>#N/A</v>
          </cell>
          <cell r="G161" t="e">
            <v>#N/A</v>
          </cell>
        </row>
        <row r="162">
          <cell r="A162">
            <v>40773</v>
          </cell>
          <cell r="B162" t="str">
            <v>Reciclagem de pavimento com adição de 2% de cimento, inclusive fornecimento e transporte do cimento</v>
          </cell>
          <cell r="C162" t="str">
            <v>m³</v>
          </cell>
          <cell r="D162">
            <v>65.81</v>
          </cell>
          <cell r="E162" t="str">
            <v>A incluir</v>
          </cell>
          <cell r="F162" t="e">
            <v>#N/A</v>
          </cell>
          <cell r="G162" t="e">
            <v>#N/A</v>
          </cell>
        </row>
        <row r="163">
          <cell r="A163">
            <v>40775</v>
          </cell>
          <cell r="B163" t="str">
            <v>Reciclagem de pavimento(Base existente + T.S.D.) com adição de 40% de brita, inclusive fornecimento, exclusive transporte da brita</v>
          </cell>
          <cell r="C163" t="str">
            <v>m³</v>
          </cell>
          <cell r="D163">
            <v>95.24</v>
          </cell>
          <cell r="E163">
            <v>0</v>
          </cell>
          <cell r="F163" t="e">
            <v>#N/A</v>
          </cell>
          <cell r="G163" t="e">
            <v>#N/A</v>
          </cell>
        </row>
        <row r="164">
          <cell r="A164">
            <v>40762</v>
          </cell>
          <cell r="B164" t="str">
            <v>Recuperação de base de acostamento exclusive transporte do material (solo)</v>
          </cell>
          <cell r="C164" t="str">
            <v>m²</v>
          </cell>
          <cell r="D164">
            <v>5</v>
          </cell>
          <cell r="E164">
            <v>0</v>
          </cell>
          <cell r="F164" t="e">
            <v>#N/A</v>
          </cell>
          <cell r="G164" t="e">
            <v>#N/A</v>
          </cell>
        </row>
        <row r="165">
          <cell r="A165">
            <v>40804</v>
          </cell>
          <cell r="B165" t="str">
            <v>Recuperação de base de acostamentos, inclusive fornecimento e transporte da brita</v>
          </cell>
          <cell r="C165" t="str">
            <v>m²</v>
          </cell>
          <cell r="D165">
            <v>8.74</v>
          </cell>
          <cell r="E165" t="str">
            <v>A incluir</v>
          </cell>
          <cell r="F165" t="e">
            <v>#N/A</v>
          </cell>
          <cell r="G165" t="e">
            <v>#N/A</v>
          </cell>
        </row>
        <row r="166">
          <cell r="A166">
            <v>40811</v>
          </cell>
          <cell r="B166" t="str">
            <v>Reestabilização da base com adição de 50% de brita, inclusive fonecimento, exclusive transporte da brita</v>
          </cell>
          <cell r="C166" t="str">
            <v>m³</v>
          </cell>
          <cell r="D166">
            <v>62.65</v>
          </cell>
          <cell r="E166">
            <v>0</v>
          </cell>
          <cell r="F166" t="e">
            <v>#N/A</v>
          </cell>
          <cell r="G166" t="e">
            <v>#N/A</v>
          </cell>
        </row>
        <row r="167">
          <cell r="A167">
            <v>42211</v>
          </cell>
          <cell r="B167" t="str">
            <v>Reestabilização de base com adição de 50% de brita, inclusive fornecimento e transporte da brita</v>
          </cell>
          <cell r="C167" t="str">
            <v>m³</v>
          </cell>
          <cell r="D167">
            <v>62.65</v>
          </cell>
          <cell r="E167" t="str">
            <v>A incluir</v>
          </cell>
          <cell r="F167" t="e">
            <v>#N/A</v>
          </cell>
          <cell r="G167" t="e">
            <v>#N/A</v>
          </cell>
        </row>
        <row r="168">
          <cell r="A168">
            <v>40756</v>
          </cell>
          <cell r="B168" t="str">
            <v>Reforço do sub leito 100% P.I.</v>
          </cell>
          <cell r="C168" t="str">
            <v>m³</v>
          </cell>
          <cell r="D168">
            <v>13.25</v>
          </cell>
          <cell r="E168">
            <v>0</v>
          </cell>
          <cell r="F168" t="e">
            <v>#N/A</v>
          </cell>
          <cell r="G168" t="e">
            <v>#N/A</v>
          </cell>
        </row>
        <row r="169">
          <cell r="A169">
            <v>40753</v>
          </cell>
          <cell r="B169" t="str">
            <v>Regularização e compactação do sub-leito (100% P.I.) H = 0,15 m</v>
          </cell>
          <cell r="C169" t="str">
            <v>m²</v>
          </cell>
          <cell r="D169">
            <v>2.95</v>
          </cell>
          <cell r="E169">
            <v>0</v>
          </cell>
          <cell r="F169">
            <v>2.96</v>
          </cell>
          <cell r="G169">
            <v>1.0033898305084701</v>
          </cell>
        </row>
        <row r="170">
          <cell r="A170">
            <v>40754</v>
          </cell>
          <cell r="B170" t="str">
            <v>Regularização e compactação do sub-leito (100% P.I.) H = 0,20 m</v>
          </cell>
          <cell r="C170" t="str">
            <v>m²</v>
          </cell>
          <cell r="D170">
            <v>3.95</v>
          </cell>
          <cell r="E170">
            <v>0</v>
          </cell>
          <cell r="F170" t="e">
            <v>#N/A</v>
          </cell>
          <cell r="G170" t="e">
            <v>#N/A</v>
          </cell>
        </row>
        <row r="171">
          <cell r="A171">
            <v>40751</v>
          </cell>
          <cell r="B171" t="str">
            <v>Regularização e compactação do sub-leito (100% P.N.) H = 0,15m</v>
          </cell>
          <cell r="C171" t="str">
            <v>m²</v>
          </cell>
          <cell r="D171">
            <v>2.66</v>
          </cell>
          <cell r="E171">
            <v>0</v>
          </cell>
          <cell r="F171" t="e">
            <v>#N/A</v>
          </cell>
          <cell r="G171" t="e">
            <v>#N/A</v>
          </cell>
        </row>
        <row r="172">
          <cell r="A172">
            <v>40752</v>
          </cell>
          <cell r="B172" t="str">
            <v>Regularização e compactação do sub-leito (100% P.N.) H = 0,20 m</v>
          </cell>
          <cell r="C172" t="str">
            <v>m²</v>
          </cell>
          <cell r="D172">
            <v>3.56</v>
          </cell>
          <cell r="E172">
            <v>0</v>
          </cell>
          <cell r="F172" t="e">
            <v>#N/A</v>
          </cell>
          <cell r="G172" t="e">
            <v>#N/A</v>
          </cell>
        </row>
        <row r="173">
          <cell r="A173">
            <v>40866</v>
          </cell>
          <cell r="B173" t="str">
            <v>Remoção de capa asfáltica em TSS, TSD, ou TST exclusive transporte</v>
          </cell>
          <cell r="C173" t="str">
            <v>m²</v>
          </cell>
          <cell r="D173">
            <v>0.69</v>
          </cell>
          <cell r="E173">
            <v>0</v>
          </cell>
          <cell r="F173" t="e">
            <v>#N/A</v>
          </cell>
          <cell r="G173" t="e">
            <v>#N/A</v>
          </cell>
        </row>
        <row r="174">
          <cell r="A174">
            <v>40893</v>
          </cell>
          <cell r="B174" t="str">
            <v>Remoção de meio fio</v>
          </cell>
          <cell r="C174" t="str">
            <v>m</v>
          </cell>
          <cell r="D174">
            <v>21.71</v>
          </cell>
          <cell r="E174">
            <v>0</v>
          </cell>
          <cell r="F174" t="e">
            <v>#N/A</v>
          </cell>
          <cell r="G174" t="e">
            <v>#N/A</v>
          </cell>
        </row>
        <row r="175">
          <cell r="A175">
            <v>40891</v>
          </cell>
          <cell r="B175" t="str">
            <v>Remoção de pavimentação poliédrica</v>
          </cell>
          <cell r="C175" t="str">
            <v>m²</v>
          </cell>
          <cell r="D175">
            <v>17.62</v>
          </cell>
          <cell r="E175">
            <v>0</v>
          </cell>
          <cell r="F175" t="e">
            <v>#N/A</v>
          </cell>
          <cell r="G175" t="e">
            <v>#N/A</v>
          </cell>
        </row>
        <row r="176">
          <cell r="A176">
            <v>40890</v>
          </cell>
          <cell r="B176" t="str">
            <v>Remoção e reassentamento de blocos de concreto, inclusive perdas</v>
          </cell>
          <cell r="C176" t="str">
            <v>m²</v>
          </cell>
          <cell r="D176">
            <v>59</v>
          </cell>
          <cell r="E176" t="str">
            <v>A incluir</v>
          </cell>
          <cell r="F176" t="e">
            <v>#N/A</v>
          </cell>
          <cell r="G176" t="e">
            <v>#N/A</v>
          </cell>
        </row>
        <row r="177">
          <cell r="A177">
            <v>40892</v>
          </cell>
          <cell r="B177" t="str">
            <v>Remoção e reassentamento de paralelepípedos, inclusive perdas, colchão de areia e transportes de areia e paralelepípedo</v>
          </cell>
          <cell r="C177" t="str">
            <v>m²</v>
          </cell>
          <cell r="D177">
            <v>58.72</v>
          </cell>
          <cell r="E177" t="str">
            <v>A incluir</v>
          </cell>
          <cell r="F177" t="e">
            <v>#N/A</v>
          </cell>
          <cell r="G177" t="e">
            <v>#N/A</v>
          </cell>
        </row>
        <row r="178">
          <cell r="A178">
            <v>40749</v>
          </cell>
          <cell r="B178" t="str">
            <v>Revestimento em estradas vicinais (saibro)</v>
          </cell>
          <cell r="C178" t="str">
            <v>m²</v>
          </cell>
          <cell r="D178">
            <v>0.14000000000000001</v>
          </cell>
          <cell r="E178">
            <v>0</v>
          </cell>
          <cell r="F178" t="e">
            <v>#N/A</v>
          </cell>
          <cell r="G178" t="e">
            <v>#N/A</v>
          </cell>
        </row>
        <row r="179">
          <cell r="A179">
            <v>40750</v>
          </cell>
          <cell r="B179" t="str">
            <v>Revestimento primário, espalhamento e compactação (espessura até 0,15m)</v>
          </cell>
          <cell r="C179" t="str">
            <v>m²</v>
          </cell>
          <cell r="D179">
            <v>0.64</v>
          </cell>
          <cell r="E179">
            <v>0</v>
          </cell>
          <cell r="F179" t="e">
            <v>#N/A</v>
          </cell>
          <cell r="G179" t="e">
            <v>#N/A</v>
          </cell>
        </row>
        <row r="180">
          <cell r="A180">
            <v>40792</v>
          </cell>
          <cell r="B180" t="str">
            <v>Sub-base c/ mistura de argila 30%, pó de pedra 30% e brita 40%, inclusive fornecimento e transporte do pó de pedra e da brita</v>
          </cell>
          <cell r="C180" t="str">
            <v>m³</v>
          </cell>
          <cell r="D180">
            <v>76.91</v>
          </cell>
          <cell r="E180" t="str">
            <v>A incluir</v>
          </cell>
          <cell r="F180" t="e">
            <v>#N/A</v>
          </cell>
          <cell r="G180" t="e">
            <v>#N/A</v>
          </cell>
        </row>
        <row r="181">
          <cell r="A181">
            <v>40794</v>
          </cell>
          <cell r="B181" t="str">
            <v>Sub-base c/ mistura de solo 80% e areia 20%, inclusive transporte da areia</v>
          </cell>
          <cell r="C181" t="str">
            <v>m³</v>
          </cell>
          <cell r="D181">
            <v>39.049999999999997</v>
          </cell>
          <cell r="E181" t="str">
            <v>A incluir</v>
          </cell>
          <cell r="F181" t="e">
            <v>#N/A</v>
          </cell>
          <cell r="G181" t="e">
            <v>#N/A</v>
          </cell>
        </row>
        <row r="182">
          <cell r="A182">
            <v>40796</v>
          </cell>
          <cell r="B182" t="str">
            <v>Sub-base com mistura de argila 70% e escória de aciaria 30%, inclusive fornecim. e transporte da escória, exceto fornecimento e transporte da argila</v>
          </cell>
          <cell r="C182" t="str">
            <v>m³</v>
          </cell>
          <cell r="D182">
            <v>39.04</v>
          </cell>
          <cell r="E182" t="str">
            <v>A incluir</v>
          </cell>
          <cell r="F182" t="e">
            <v>#N/A</v>
          </cell>
          <cell r="G182" t="e">
            <v>#N/A</v>
          </cell>
        </row>
        <row r="183">
          <cell r="A183">
            <v>41098</v>
          </cell>
          <cell r="B183" t="str">
            <v>Sub-base com solo/escória na proporção 70:30, inclusive fornecimento da escória, exceto fornecimento do solo e transporte do solo e escória</v>
          </cell>
          <cell r="C183" t="str">
            <v>m³</v>
          </cell>
          <cell r="D183">
            <v>39.04</v>
          </cell>
          <cell r="E183">
            <v>0</v>
          </cell>
          <cell r="F183" t="e">
            <v>#N/A</v>
          </cell>
          <cell r="G183" t="e">
            <v>#N/A</v>
          </cell>
        </row>
        <row r="184">
          <cell r="A184">
            <v>40786</v>
          </cell>
          <cell r="B184" t="str">
            <v>Sub-base de brita graduada, inclusive fornecimento e transporte da brita</v>
          </cell>
          <cell r="C184" t="str">
            <v>m³</v>
          </cell>
          <cell r="D184">
            <v>105.93</v>
          </cell>
          <cell r="E184" t="str">
            <v>A incluir</v>
          </cell>
          <cell r="F184" t="e">
            <v>#N/A</v>
          </cell>
          <cell r="G184" t="e">
            <v>#N/A</v>
          </cell>
        </row>
        <row r="185">
          <cell r="A185">
            <v>43327</v>
          </cell>
          <cell r="B185" t="str">
            <v>Sub-base de brita graduada, inclusive fornecimento, exclusive transporte da brita</v>
          </cell>
          <cell r="C185" t="str">
            <v>m³</v>
          </cell>
          <cell r="D185">
            <v>105.93</v>
          </cell>
          <cell r="E185">
            <v>0</v>
          </cell>
          <cell r="F185" t="e">
            <v>#N/A</v>
          </cell>
          <cell r="G185" t="e">
            <v>#N/A</v>
          </cell>
        </row>
        <row r="186">
          <cell r="A186">
            <v>42675</v>
          </cell>
          <cell r="B186" t="str">
            <v>Sub-base de brita 1, inclusive fornecimento, exclusive transporte da brita</v>
          </cell>
          <cell r="C186" t="str">
            <v>m³</v>
          </cell>
          <cell r="D186">
            <v>101.27</v>
          </cell>
          <cell r="E186">
            <v>0</v>
          </cell>
          <cell r="F186" t="e">
            <v>#N/A</v>
          </cell>
          <cell r="G186" t="e">
            <v>#N/A</v>
          </cell>
        </row>
        <row r="187">
          <cell r="A187">
            <v>40802</v>
          </cell>
          <cell r="B187" t="str">
            <v>Sub-base de escória de aciaria, inclusive fornecimento e transporte da escória</v>
          </cell>
          <cell r="C187" t="str">
            <v>m³</v>
          </cell>
          <cell r="D187">
            <v>81.760000000000005</v>
          </cell>
          <cell r="E187" t="str">
            <v>A incluir</v>
          </cell>
          <cell r="F187" t="e">
            <v>#N/A</v>
          </cell>
          <cell r="G187" t="e">
            <v>#N/A</v>
          </cell>
        </row>
        <row r="188">
          <cell r="A188">
            <v>41074</v>
          </cell>
          <cell r="B188" t="str">
            <v>Sub-base de solo brita, 50% em peso, inclusive fornecimento, exclusive transporte da brita</v>
          </cell>
          <cell r="C188" t="str">
            <v>m³</v>
          </cell>
          <cell r="D188">
            <v>63.58</v>
          </cell>
          <cell r="E188">
            <v>0</v>
          </cell>
          <cell r="F188" t="e">
            <v>#N/A</v>
          </cell>
          <cell r="G188" t="e">
            <v>#N/A</v>
          </cell>
        </row>
        <row r="189">
          <cell r="A189">
            <v>40776</v>
          </cell>
          <cell r="B189" t="str">
            <v>Sub-base solo brita, 20% em peso, inclusive fornecimento e transporte da brita.</v>
          </cell>
          <cell r="C189" t="str">
            <v>m³</v>
          </cell>
          <cell r="D189">
            <v>37.340000000000003</v>
          </cell>
          <cell r="E189" t="str">
            <v>A incluir</v>
          </cell>
          <cell r="F189" t="e">
            <v>#N/A</v>
          </cell>
          <cell r="G189" t="e">
            <v>#N/A</v>
          </cell>
        </row>
        <row r="190">
          <cell r="A190">
            <v>40778</v>
          </cell>
          <cell r="B190" t="str">
            <v>Sub-base solo brita, 30% em peso, inclusive fornecimento e transporte da brita</v>
          </cell>
          <cell r="C190" t="str">
            <v>m³</v>
          </cell>
          <cell r="D190">
            <v>44.85</v>
          </cell>
          <cell r="E190" t="str">
            <v>A incluir</v>
          </cell>
          <cell r="F190" t="e">
            <v>#N/A</v>
          </cell>
          <cell r="G190" t="e">
            <v>#N/A</v>
          </cell>
        </row>
        <row r="191">
          <cell r="A191">
            <v>40780</v>
          </cell>
          <cell r="B191" t="str">
            <v>Sub-base solo brita, 50% em peso, inclusive fornecimento e transporte da brita</v>
          </cell>
          <cell r="C191" t="str">
            <v>m³</v>
          </cell>
          <cell r="D191">
            <v>65.8</v>
          </cell>
          <cell r="E191" t="str">
            <v>A incluir</v>
          </cell>
          <cell r="F191" t="e">
            <v>#N/A</v>
          </cell>
          <cell r="G191" t="e">
            <v>#N/A</v>
          </cell>
        </row>
        <row r="192">
          <cell r="A192">
            <v>40782</v>
          </cell>
          <cell r="B192" t="str">
            <v>Sub-base solo brita, 70% em peso, inclusive fornecimento e transporte da brita</v>
          </cell>
          <cell r="C192" t="str">
            <v>m³</v>
          </cell>
          <cell r="D192">
            <v>84.9</v>
          </cell>
          <cell r="E192" t="str">
            <v>A incluir</v>
          </cell>
          <cell r="F192" t="e">
            <v>#N/A</v>
          </cell>
          <cell r="G192" t="e">
            <v>#N/A</v>
          </cell>
        </row>
        <row r="193">
          <cell r="A193">
            <v>40830</v>
          </cell>
          <cell r="B193" t="str">
            <v>T.S.B.D. com capa selante exclusive fornecimento e transporte comercial da emulsão, inclusive lavagem da brita e transporte da areia e brita</v>
          </cell>
          <cell r="C193" t="str">
            <v>m²</v>
          </cell>
          <cell r="D193">
            <v>6.58</v>
          </cell>
          <cell r="E193" t="str">
            <v>A incluir</v>
          </cell>
          <cell r="F193" t="e">
            <v>#N/A</v>
          </cell>
          <cell r="G193" t="e">
            <v>#N/A</v>
          </cell>
        </row>
        <row r="194">
          <cell r="A194">
            <v>40873</v>
          </cell>
          <cell r="B194" t="str">
            <v>T.S.B.D. com capa selante, executado c/ Multidistribuidor exclus. forn. e transp. com. da emulsão, inclus. lavagem brita e transp. comerc.areia, brita</v>
          </cell>
          <cell r="C194" t="str">
            <v>m²</v>
          </cell>
          <cell r="D194">
            <v>5.36</v>
          </cell>
          <cell r="E194" t="str">
            <v>A incluir</v>
          </cell>
          <cell r="F194" t="e">
            <v>#N/A</v>
          </cell>
          <cell r="G194" t="e">
            <v>#N/A</v>
          </cell>
        </row>
        <row r="195">
          <cell r="A195">
            <v>40876</v>
          </cell>
          <cell r="B195" t="str">
            <v>T.S.B.D. com capa selante executado c/ Multidistribuidor,inclus.fornec.areia/brita e lavagem brita, excl.fornec.da emulsão e trnasp.todos os materiais</v>
          </cell>
          <cell r="C195" t="str">
            <v>m²</v>
          </cell>
          <cell r="D195">
            <v>5.77</v>
          </cell>
          <cell r="E195">
            <v>0</v>
          </cell>
          <cell r="F195" t="e">
            <v>#N/A</v>
          </cell>
          <cell r="G195" t="e">
            <v>#N/A</v>
          </cell>
        </row>
        <row r="196">
          <cell r="A196">
            <v>41363</v>
          </cell>
          <cell r="B196" t="str">
            <v>T.S.B.D. com capa selante, executado com Multidistribuidor inclusive fornecimento, transporte comercial dos materiais e lavagem da brita</v>
          </cell>
          <cell r="C196" t="str">
            <v>m²</v>
          </cell>
          <cell r="D196">
            <v>9.16</v>
          </cell>
          <cell r="E196" t="str">
            <v>A incluir</v>
          </cell>
          <cell r="F196" t="e">
            <v>#N/A</v>
          </cell>
          <cell r="G196" t="e">
            <v>#N/A</v>
          </cell>
        </row>
        <row r="197">
          <cell r="A197">
            <v>40831</v>
          </cell>
          <cell r="B197" t="str">
            <v>T.S.B.D. com capa selante inclusive fornecimento e transporte comercial dos materiais e lavagem da brita</v>
          </cell>
          <cell r="C197" t="str">
            <v>m²</v>
          </cell>
          <cell r="D197">
            <v>13.81</v>
          </cell>
          <cell r="E197" t="str">
            <v>A incluir</v>
          </cell>
          <cell r="F197" t="e">
            <v>#N/A</v>
          </cell>
          <cell r="G197" t="e">
            <v>#N/A</v>
          </cell>
        </row>
        <row r="198">
          <cell r="A198">
            <v>40827</v>
          </cell>
          <cell r="B198" t="str">
            <v>T.S.B.D. sem capa selante, inclusive fornecimento e transporte comercial dos materiais e lavagem de brita</v>
          </cell>
          <cell r="C198" t="str">
            <v>m²</v>
          </cell>
          <cell r="D198">
            <v>8.52</v>
          </cell>
          <cell r="E198" t="str">
            <v>A incluir</v>
          </cell>
          <cell r="F198" t="e">
            <v>#N/A</v>
          </cell>
          <cell r="G198" t="e">
            <v>#N/A</v>
          </cell>
        </row>
        <row r="199">
          <cell r="A199">
            <v>40828</v>
          </cell>
          <cell r="B199" t="str">
            <v>T.S.B.D. sem capa selante exclusive fornecimento e transporte comercial da emulsão, inclusive lavagem e transporte comercial da brita</v>
          </cell>
          <cell r="C199" t="str">
            <v>m²</v>
          </cell>
          <cell r="D199">
            <v>5.95</v>
          </cell>
          <cell r="E199" t="str">
            <v>A incluir</v>
          </cell>
          <cell r="F199" t="e">
            <v>#N/A</v>
          </cell>
          <cell r="G199" t="e">
            <v>#N/A</v>
          </cell>
        </row>
        <row r="200">
          <cell r="A200">
            <v>40874</v>
          </cell>
          <cell r="B200" t="str">
            <v>T.S.B.D. sem capa selante, executado c/ Multidistribuidor exclusive fornec.e transp. comercial da emulsão, inclusive lavagem e transp. comerc.da brita</v>
          </cell>
          <cell r="C200" t="str">
            <v>m²</v>
          </cell>
          <cell r="D200">
            <v>5.87</v>
          </cell>
          <cell r="E200" t="str">
            <v>A incluir</v>
          </cell>
          <cell r="F200" t="e">
            <v>#N/A</v>
          </cell>
          <cell r="G200" t="e">
            <v>#N/A</v>
          </cell>
        </row>
        <row r="201">
          <cell r="A201">
            <v>40875</v>
          </cell>
          <cell r="B201" t="str">
            <v>T.S.B.D. sem capa selante executado com Multidistribuidor excl. forn. da emulsão e transp. comerciais da emulsão e da brita, inclus. lavagem da brita</v>
          </cell>
          <cell r="C201" t="str">
            <v>m²</v>
          </cell>
          <cell r="D201">
            <v>5.59</v>
          </cell>
          <cell r="E201">
            <v>0</v>
          </cell>
          <cell r="F201" t="e">
            <v>#N/A</v>
          </cell>
          <cell r="G201" t="e">
            <v>#N/A</v>
          </cell>
        </row>
        <row r="202">
          <cell r="A202">
            <v>40829</v>
          </cell>
          <cell r="B202" t="str">
            <v>T.S.B.D. sem capa selante inclusive fornecimento e transporte comercial dos materiais e lavagem da brita</v>
          </cell>
          <cell r="C202" t="str">
            <v>m²</v>
          </cell>
          <cell r="D202">
            <v>12.61</v>
          </cell>
          <cell r="E202" t="str">
            <v>A incluir</v>
          </cell>
          <cell r="F202" t="e">
            <v>#N/A</v>
          </cell>
          <cell r="G202" t="e">
            <v>#N/A</v>
          </cell>
        </row>
        <row r="203">
          <cell r="A203">
            <v>40824</v>
          </cell>
          <cell r="B203" t="str">
            <v>T.S.B.S. com capa selante exclusive fornecimento e transporte comercial da emulsão, inclusive lavagem e transporte comercial da brita</v>
          </cell>
          <cell r="C203" t="str">
            <v>m²</v>
          </cell>
          <cell r="D203">
            <v>3.78</v>
          </cell>
          <cell r="E203" t="str">
            <v>A incluir</v>
          </cell>
          <cell r="F203" t="e">
            <v>#N/A</v>
          </cell>
          <cell r="G203" t="e">
            <v>#N/A</v>
          </cell>
        </row>
        <row r="204">
          <cell r="A204">
            <v>40825</v>
          </cell>
          <cell r="B204" t="str">
            <v>T.S.B.S. com capa selante inclusive fornecimento e transporte comercial dos materiais e lavagem da brita</v>
          </cell>
          <cell r="C204" t="str">
            <v>m²</v>
          </cell>
          <cell r="D204">
            <v>6.35</v>
          </cell>
          <cell r="E204" t="str">
            <v>A incluir</v>
          </cell>
          <cell r="F204" t="e">
            <v>#N/A</v>
          </cell>
          <cell r="G204" t="e">
            <v>#N/A</v>
          </cell>
        </row>
        <row r="205">
          <cell r="A205">
            <v>40820</v>
          </cell>
          <cell r="B205" t="str">
            <v>T.S.B.S. exclusive fornecimento e transporte comercial do material betuminoso, inclusive fornecimento, transporte e lavagem da brita</v>
          </cell>
          <cell r="C205" t="str">
            <v>m²</v>
          </cell>
          <cell r="D205">
            <v>3.42</v>
          </cell>
          <cell r="E205" t="str">
            <v>A incluir</v>
          </cell>
          <cell r="F205" t="e">
            <v>#N/A</v>
          </cell>
          <cell r="G205" t="e">
            <v>#N/A</v>
          </cell>
        </row>
        <row r="206">
          <cell r="A206">
            <v>40821</v>
          </cell>
          <cell r="B206" t="str">
            <v>T.S.B.S. inclusive fornecimento e transporte comercial dos materiais e lavagem da brita</v>
          </cell>
          <cell r="C206" t="str">
            <v>m²</v>
          </cell>
          <cell r="D206">
            <v>5.99</v>
          </cell>
          <cell r="E206" t="str">
            <v>A incluir</v>
          </cell>
          <cell r="F206" t="e">
            <v>#N/A</v>
          </cell>
          <cell r="G206" t="e">
            <v>#N/A</v>
          </cell>
        </row>
        <row r="207">
          <cell r="A207">
            <v>40840</v>
          </cell>
          <cell r="B207" t="str">
            <v>Usinagem de concreto betuminoso usinado a quente (CBUQ), inclusive transporte comercial do oleo combustível</v>
          </cell>
          <cell r="C207" t="str">
            <v>t</v>
          </cell>
          <cell r="D207">
            <v>38.14</v>
          </cell>
          <cell r="E207" t="str">
            <v>A incluir</v>
          </cell>
          <cell r="F207">
            <v>39.83</v>
          </cell>
          <cell r="G207">
            <v>1.0443104352385899</v>
          </cell>
        </row>
        <row r="208">
          <cell r="A208">
            <v>43331</v>
          </cell>
          <cell r="B208" t="str">
            <v>Usinagem de mistura de solo brita</v>
          </cell>
          <cell r="C208" t="str">
            <v>m³</v>
          </cell>
          <cell r="D208">
            <v>5.38</v>
          </cell>
          <cell r="E208">
            <v>0</v>
          </cell>
          <cell r="F208" t="e">
            <v>#N/A</v>
          </cell>
          <cell r="G208" t="e">
            <v>#N/A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A210" t="str">
            <v>Grupo de Serviço: 3 - OBRAS DE ARTE CORRENTES E DRENAGEM</v>
          </cell>
          <cell r="B210">
            <v>0</v>
          </cell>
          <cell r="C210">
            <v>0</v>
          </cell>
          <cell r="D210">
            <v>0</v>
          </cell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A211">
            <v>100394</v>
          </cell>
          <cell r="B211" t="str">
            <v>Aço CA-25, fornecimento, dobragem e colocação nas formas</v>
          </cell>
          <cell r="C211" t="str">
            <v>kg</v>
          </cell>
          <cell r="D211">
            <v>8.43</v>
          </cell>
          <cell r="E211">
            <v>0</v>
          </cell>
          <cell r="F211" t="e">
            <v>#N/A</v>
          </cell>
          <cell r="G211" t="e">
            <v>#N/A</v>
          </cell>
        </row>
        <row r="212">
          <cell r="A212">
            <v>40376</v>
          </cell>
          <cell r="B212" t="str">
            <v>Aço CA-50, fornecimento, dobragem e colocação nas formas (preço médio das bitolas)</v>
          </cell>
          <cell r="C212" t="str">
            <v>kg</v>
          </cell>
          <cell r="D212">
            <v>8.39</v>
          </cell>
          <cell r="E212">
            <v>0</v>
          </cell>
          <cell r="F212">
            <v>8.4</v>
          </cell>
          <cell r="G212">
            <v>1.0011918951132299</v>
          </cell>
        </row>
        <row r="213">
          <cell r="A213">
            <v>43351</v>
          </cell>
          <cell r="B213" t="str">
            <v>Aço CA-50 grossa, diâmetro de 12.5 a 25 mm, fornecimento, dobragem e colocação nas formas</v>
          </cell>
          <cell r="C213" t="str">
            <v>kg</v>
          </cell>
          <cell r="D213">
            <v>8.6300000000000008</v>
          </cell>
          <cell r="E213">
            <v>0</v>
          </cell>
          <cell r="F213" t="e">
            <v>#N/A</v>
          </cell>
          <cell r="G213" t="e">
            <v>#N/A</v>
          </cell>
        </row>
        <row r="214">
          <cell r="A214">
            <v>43350</v>
          </cell>
          <cell r="B214" t="str">
            <v>Aço CA-50 média, diâmetro de 6.3 a 10 mm, fornecimento, dobragem e colocação nas formas</v>
          </cell>
          <cell r="C214" t="str">
            <v>kg</v>
          </cell>
          <cell r="D214">
            <v>8.1</v>
          </cell>
          <cell r="E214">
            <v>0</v>
          </cell>
          <cell r="F214" t="e">
            <v>#N/A</v>
          </cell>
          <cell r="G214" t="e">
            <v>#N/A</v>
          </cell>
        </row>
        <row r="215">
          <cell r="A215">
            <v>41261</v>
          </cell>
          <cell r="B215" t="str">
            <v>Aço CA-60 fina, diâmetro de 4.2 a 5.0 mm, fornecimento, dobragem e colocação nas formas</v>
          </cell>
          <cell r="C215" t="str">
            <v>kg</v>
          </cell>
          <cell r="D215">
            <v>8.1199999999999992</v>
          </cell>
          <cell r="E215">
            <v>0</v>
          </cell>
          <cell r="F215" t="e">
            <v>#N/A</v>
          </cell>
          <cell r="G215" t="e">
            <v>#N/A</v>
          </cell>
        </row>
        <row r="216">
          <cell r="A216">
            <v>41023</v>
          </cell>
          <cell r="B216" t="str">
            <v>Aluguel mensal de escoramento tubular com tubos metálicos com até 10 metros de altura</v>
          </cell>
          <cell r="C216" t="str">
            <v>m</v>
          </cell>
          <cell r="D216">
            <v>121.13</v>
          </cell>
          <cell r="E216">
            <v>0</v>
          </cell>
          <cell r="F216" t="e">
            <v>#N/A</v>
          </cell>
          <cell r="G216" t="e">
            <v>#N/A</v>
          </cell>
        </row>
        <row r="217">
          <cell r="A217">
            <v>41575</v>
          </cell>
          <cell r="B217" t="str">
            <v>Alvenaria de bloco (39 x 19 x 09) cm espessura 09 cm, inclusive transporte da areia, cimento e bloco</v>
          </cell>
          <cell r="C217" t="str">
            <v>m²</v>
          </cell>
          <cell r="D217">
            <v>48.13</v>
          </cell>
          <cell r="E217" t="str">
            <v>A incluir</v>
          </cell>
          <cell r="F217" t="e">
            <v>#N/A</v>
          </cell>
          <cell r="G217" t="e">
            <v>#N/A</v>
          </cell>
        </row>
        <row r="218">
          <cell r="A218">
            <v>40346</v>
          </cell>
          <cell r="B218" t="str">
            <v>Alvenaria de bloco (39 x 19 x 19) cm espessura 19 cm, inclusive fornecimento e transporte do bloco, areia e cimento</v>
          </cell>
          <cell r="C218" t="str">
            <v>m²</v>
          </cell>
          <cell r="D218">
            <v>80.290000000000006</v>
          </cell>
          <cell r="E218" t="str">
            <v>A incluir</v>
          </cell>
          <cell r="F218">
            <v>87.63</v>
          </cell>
          <cell r="G218">
            <v>1.09141860754764</v>
          </cell>
        </row>
        <row r="219">
          <cell r="A219">
            <v>40345</v>
          </cell>
          <cell r="B219" t="str">
            <v>Alvenaria de lajota (20 x 20 x 10) cm espessura 10 cm, inclusive transporte de areia, lajota e cimento</v>
          </cell>
          <cell r="C219" t="str">
            <v>m²</v>
          </cell>
          <cell r="D219">
            <v>57.49</v>
          </cell>
          <cell r="E219" t="str">
            <v>A incluir</v>
          </cell>
          <cell r="F219">
            <v>65.569999999999993</v>
          </cell>
          <cell r="G219">
            <v>1.14054618194469</v>
          </cell>
        </row>
        <row r="220">
          <cell r="A220">
            <v>40343</v>
          </cell>
          <cell r="B220" t="str">
            <v>Alvenaria de pedra de mão argamassada (argamassa cimento areia 1:4), inclusive transporte da pedra</v>
          </cell>
          <cell r="C220" t="str">
            <v>m³</v>
          </cell>
          <cell r="D220">
            <v>338.61</v>
          </cell>
          <cell r="E220" t="str">
            <v>A incluir</v>
          </cell>
          <cell r="F220">
            <v>394.3</v>
          </cell>
          <cell r="G220">
            <v>1.16446649537816</v>
          </cell>
        </row>
        <row r="221">
          <cell r="A221">
            <v>40344</v>
          </cell>
          <cell r="B221" t="str">
            <v>Alvenaria de pedra de mão (junta seca), inclusive transporte da pedra</v>
          </cell>
          <cell r="C221" t="str">
            <v>m³</v>
          </cell>
          <cell r="D221">
            <v>232.71</v>
          </cell>
          <cell r="E221" t="str">
            <v>A incluir</v>
          </cell>
          <cell r="F221" t="e">
            <v>#N/A</v>
          </cell>
          <cell r="G221" t="e">
            <v>#N/A</v>
          </cell>
        </row>
        <row r="222">
          <cell r="A222">
            <v>41027</v>
          </cell>
          <cell r="B222" t="str">
            <v>Andaime de madeira para altura até 7 m, compreendendo montagem e desmontagem</v>
          </cell>
          <cell r="C222" t="str">
            <v>m³</v>
          </cell>
          <cell r="D222">
            <v>19.68</v>
          </cell>
          <cell r="E222">
            <v>0</v>
          </cell>
          <cell r="F222" t="e">
            <v>#N/A</v>
          </cell>
          <cell r="G222" t="e">
            <v>#N/A</v>
          </cell>
        </row>
        <row r="223">
          <cell r="A223">
            <v>40337</v>
          </cell>
          <cell r="B223" t="str">
            <v>Andaime suspenso em madeira, inclusive montagem e desmontagem</v>
          </cell>
          <cell r="C223" t="str">
            <v>m²</v>
          </cell>
          <cell r="D223">
            <v>108.16</v>
          </cell>
          <cell r="E223">
            <v>0</v>
          </cell>
          <cell r="F223" t="e">
            <v>#N/A</v>
          </cell>
          <cell r="G223" t="e">
            <v>#N/A</v>
          </cell>
        </row>
        <row r="224">
          <cell r="A224">
            <v>40395</v>
          </cell>
          <cell r="B224" t="str">
            <v>Apicoamento manual de superfície de concreto</v>
          </cell>
          <cell r="C224" t="str">
            <v>m²</v>
          </cell>
          <cell r="D224">
            <v>21.79</v>
          </cell>
          <cell r="E224">
            <v>0</v>
          </cell>
          <cell r="F224" t="e">
            <v>#N/A</v>
          </cell>
          <cell r="G224" t="e">
            <v>#N/A</v>
          </cell>
        </row>
        <row r="225">
          <cell r="A225">
            <v>40300</v>
          </cell>
          <cell r="B225" t="str">
            <v>Apiloamento manual</v>
          </cell>
          <cell r="C225" t="str">
            <v>m³</v>
          </cell>
          <cell r="D225">
            <v>46.52</v>
          </cell>
          <cell r="E225">
            <v>0</v>
          </cell>
          <cell r="F225">
            <v>46.53</v>
          </cell>
          <cell r="G225">
            <v>1.00021496130696</v>
          </cell>
        </row>
        <row r="226">
          <cell r="A226">
            <v>40348</v>
          </cell>
          <cell r="B226" t="str">
            <v>Argamassa cimento e areia traço 1:4, tudo incluído</v>
          </cell>
          <cell r="C226" t="str">
            <v>m³</v>
          </cell>
          <cell r="D226">
            <v>485.32</v>
          </cell>
          <cell r="E226" t="str">
            <v>A incluir</v>
          </cell>
          <cell r="F226">
            <v>554.34</v>
          </cell>
          <cell r="G226">
            <v>1.1422154454792699</v>
          </cell>
        </row>
        <row r="227">
          <cell r="A227">
            <v>40347</v>
          </cell>
          <cell r="B227" t="str">
            <v>Argamassa cimento (nata), inclusive transporte de cimento</v>
          </cell>
          <cell r="C227" t="str">
            <v>m³</v>
          </cell>
          <cell r="D227">
            <v>934.97</v>
          </cell>
          <cell r="E227" t="str">
            <v>A incluir</v>
          </cell>
          <cell r="F227" t="e">
            <v>#N/A</v>
          </cell>
          <cell r="G227" t="e">
            <v>#N/A</v>
          </cell>
        </row>
        <row r="228">
          <cell r="A228">
            <v>41415</v>
          </cell>
          <cell r="B228" t="str">
            <v>Argamassa de cimento e areia, traço 1:4, consumo de cimento 400 kg/m³</v>
          </cell>
          <cell r="C228" t="str">
            <v>m³</v>
          </cell>
          <cell r="D228">
            <v>504.56</v>
          </cell>
          <cell r="E228" t="str">
            <v>A incluir</v>
          </cell>
          <cell r="F228" t="e">
            <v>#N/A</v>
          </cell>
          <cell r="G228" t="e">
            <v>#N/A</v>
          </cell>
        </row>
        <row r="229">
          <cell r="A229">
            <v>42257</v>
          </cell>
          <cell r="B229" t="str">
            <v>Aterro com areia, exceto fornecimento da areia</v>
          </cell>
          <cell r="C229" t="str">
            <v>m³</v>
          </cell>
          <cell r="D229">
            <v>5.99</v>
          </cell>
          <cell r="E229">
            <v>0</v>
          </cell>
          <cell r="F229" t="e">
            <v>#N/A</v>
          </cell>
          <cell r="G229" t="e">
            <v>#N/A</v>
          </cell>
        </row>
        <row r="230">
          <cell r="A230">
            <v>40519</v>
          </cell>
          <cell r="B230" t="str">
            <v>Berço de concreto ciclópico para BDTC diâmetro 0,60 m</v>
          </cell>
          <cell r="C230" t="str">
            <v>m</v>
          </cell>
          <cell r="D230">
            <v>254.52</v>
          </cell>
          <cell r="E230" t="str">
            <v>A incluir</v>
          </cell>
          <cell r="F230" t="e">
            <v>#N/A</v>
          </cell>
          <cell r="G230" t="e">
            <v>#N/A</v>
          </cell>
        </row>
        <row r="231">
          <cell r="A231">
            <v>40520</v>
          </cell>
          <cell r="B231" t="str">
            <v>Berço de concreto ciclópico para BDTC diâmetro 0,80 m</v>
          </cell>
          <cell r="C231" t="str">
            <v>m</v>
          </cell>
          <cell r="D231">
            <v>398.57</v>
          </cell>
          <cell r="E231" t="str">
            <v>A incluir</v>
          </cell>
          <cell r="F231" t="e">
            <v>#N/A</v>
          </cell>
          <cell r="G231" t="e">
            <v>#N/A</v>
          </cell>
        </row>
        <row r="232">
          <cell r="A232">
            <v>40521</v>
          </cell>
          <cell r="B232" t="str">
            <v>Berço de concreto ciclópico para BDTC diâmetro 1,00 m</v>
          </cell>
          <cell r="C232" t="str">
            <v>m</v>
          </cell>
          <cell r="D232">
            <v>574.36</v>
          </cell>
          <cell r="E232" t="str">
            <v>A incluir</v>
          </cell>
          <cell r="F232" t="e">
            <v>#N/A</v>
          </cell>
          <cell r="G232" t="e">
            <v>#N/A</v>
          </cell>
        </row>
        <row r="233">
          <cell r="A233">
            <v>40522</v>
          </cell>
          <cell r="B233" t="str">
            <v>Berço de concreto ciclópico para BDTC diâmetro 1,20 m</v>
          </cell>
          <cell r="C233" t="str">
            <v>m</v>
          </cell>
          <cell r="D233">
            <v>776.22</v>
          </cell>
          <cell r="E233" t="str">
            <v>A incluir</v>
          </cell>
          <cell r="F233">
            <v>895.88</v>
          </cell>
          <cell r="G233">
            <v>1.15415732653114</v>
          </cell>
        </row>
        <row r="234">
          <cell r="A234">
            <v>40523</v>
          </cell>
          <cell r="B234" t="str">
            <v>Berço de concreto ciclópico para BDTC diâmetro 1,50 m</v>
          </cell>
          <cell r="C234" t="str">
            <v>m</v>
          </cell>
          <cell r="D234">
            <v>1121.99</v>
          </cell>
          <cell r="E234" t="str">
            <v>A incluir</v>
          </cell>
          <cell r="F234" t="e">
            <v>#N/A</v>
          </cell>
          <cell r="G234" t="e">
            <v>#N/A</v>
          </cell>
        </row>
        <row r="235">
          <cell r="A235">
            <v>40513</v>
          </cell>
          <cell r="B235" t="str">
            <v>Berço de concreto ciclópico para BSTC diâmetro 0,40 m</v>
          </cell>
          <cell r="C235" t="str">
            <v>m</v>
          </cell>
          <cell r="D235">
            <v>89.76</v>
          </cell>
          <cell r="E235" t="str">
            <v>A incluir</v>
          </cell>
          <cell r="F235" t="e">
            <v>#N/A</v>
          </cell>
          <cell r="G235" t="e">
            <v>#N/A</v>
          </cell>
        </row>
        <row r="236">
          <cell r="A236">
            <v>40514</v>
          </cell>
          <cell r="B236" t="str">
            <v>Berço de concreto ciclópico para BSTC diâmetro 0,60 m</v>
          </cell>
          <cell r="C236" t="str">
            <v>m</v>
          </cell>
          <cell r="D236">
            <v>151.07</v>
          </cell>
          <cell r="E236" t="str">
            <v>A incluir</v>
          </cell>
          <cell r="F236">
            <v>169.39</v>
          </cell>
          <cell r="G236">
            <v>1.1212682862249299</v>
          </cell>
        </row>
        <row r="237">
          <cell r="A237">
            <v>40515</v>
          </cell>
          <cell r="B237" t="str">
            <v>Berço de concreto ciclópico para BSTC diâmetro 0,80 m</v>
          </cell>
          <cell r="C237" t="str">
            <v>m</v>
          </cell>
          <cell r="D237">
            <v>230.81</v>
          </cell>
          <cell r="E237" t="str">
            <v>A incluir</v>
          </cell>
          <cell r="F237">
            <v>260.44</v>
          </cell>
          <cell r="G237">
            <v>1.12837398726225</v>
          </cell>
        </row>
        <row r="238">
          <cell r="A238">
            <v>40516</v>
          </cell>
          <cell r="B238" t="str">
            <v>Berço de concreto ciclópico para BSTC diâmetro 1,00 m</v>
          </cell>
          <cell r="C238" t="str">
            <v>m</v>
          </cell>
          <cell r="D238">
            <v>326.19</v>
          </cell>
          <cell r="E238" t="str">
            <v>A incluir</v>
          </cell>
          <cell r="F238" t="e">
            <v>#N/A</v>
          </cell>
          <cell r="G238" t="e">
            <v>#N/A</v>
          </cell>
        </row>
        <row r="239">
          <cell r="A239">
            <v>40517</v>
          </cell>
          <cell r="B239" t="str">
            <v>Berço de concreto ciclópico para BSTC diâmetro 1,20 m</v>
          </cell>
          <cell r="C239" t="str">
            <v>m</v>
          </cell>
          <cell r="D239">
            <v>435.06</v>
          </cell>
          <cell r="E239" t="str">
            <v>A incluir</v>
          </cell>
          <cell r="F239" t="e">
            <v>#N/A</v>
          </cell>
          <cell r="G239" t="e">
            <v>#N/A</v>
          </cell>
        </row>
        <row r="240">
          <cell r="A240">
            <v>40518</v>
          </cell>
          <cell r="B240" t="str">
            <v>Berço de concreto ciclópico para BSTC diâmetro 1,50 m</v>
          </cell>
          <cell r="C240" t="str">
            <v>m</v>
          </cell>
          <cell r="D240">
            <v>619.15</v>
          </cell>
          <cell r="E240" t="str">
            <v>A incluir</v>
          </cell>
          <cell r="F240" t="e">
            <v>#N/A</v>
          </cell>
          <cell r="G240" t="e">
            <v>#N/A</v>
          </cell>
        </row>
        <row r="241">
          <cell r="A241">
            <v>40524</v>
          </cell>
          <cell r="B241" t="str">
            <v>Berço de concreto ciclópico para BTTC diâmetro 0,60 m</v>
          </cell>
          <cell r="C241" t="str">
            <v>m</v>
          </cell>
          <cell r="D241">
            <v>356.2</v>
          </cell>
          <cell r="E241" t="str">
            <v>A incluir</v>
          </cell>
          <cell r="F241" t="e">
            <v>#N/A</v>
          </cell>
          <cell r="G241" t="e">
            <v>#N/A</v>
          </cell>
        </row>
        <row r="242">
          <cell r="A242">
            <v>40525</v>
          </cell>
          <cell r="B242" t="str">
            <v>Berço de concreto ciclópico para BTTC diâmetro 0,80 m</v>
          </cell>
          <cell r="C242" t="str">
            <v>m</v>
          </cell>
          <cell r="D242">
            <v>567.19000000000005</v>
          </cell>
          <cell r="E242" t="str">
            <v>A incluir</v>
          </cell>
          <cell r="F242" t="e">
            <v>#N/A</v>
          </cell>
          <cell r="G242" t="e">
            <v>#N/A</v>
          </cell>
        </row>
        <row r="243">
          <cell r="A243">
            <v>40526</v>
          </cell>
          <cell r="B243" t="str">
            <v>Berço de concreto ciclópico para BTTC diâmetro 1,00 m</v>
          </cell>
          <cell r="C243" t="str">
            <v>m</v>
          </cell>
          <cell r="D243">
            <v>822.08</v>
          </cell>
          <cell r="E243" t="str">
            <v>A incluir</v>
          </cell>
          <cell r="F243" t="e">
            <v>#N/A</v>
          </cell>
          <cell r="G243" t="e">
            <v>#N/A</v>
          </cell>
        </row>
        <row r="244">
          <cell r="A244">
            <v>40527</v>
          </cell>
          <cell r="B244" t="str">
            <v>Berço de concreto ciclópico para BTTC diâmetro 1,20 m</v>
          </cell>
          <cell r="C244" t="str">
            <v>m</v>
          </cell>
          <cell r="D244">
            <v>1117.3900000000001</v>
          </cell>
          <cell r="E244" t="str">
            <v>A incluir</v>
          </cell>
          <cell r="F244" t="e">
            <v>#N/A</v>
          </cell>
          <cell r="G244" t="e">
            <v>#N/A</v>
          </cell>
        </row>
        <row r="245">
          <cell r="A245">
            <v>40528</v>
          </cell>
          <cell r="B245" t="str">
            <v>Berço de concreto ciclópico para BTTC diâmetro 1,50 m</v>
          </cell>
          <cell r="C245" t="str">
            <v>m</v>
          </cell>
          <cell r="D245">
            <v>1624.82</v>
          </cell>
          <cell r="E245" t="str">
            <v>A incluir</v>
          </cell>
          <cell r="F245" t="e">
            <v>#N/A</v>
          </cell>
          <cell r="G245" t="e">
            <v>#N/A</v>
          </cell>
        </row>
        <row r="246">
          <cell r="A246">
            <v>41177</v>
          </cell>
          <cell r="B246" t="str">
            <v>Berço em brita para BSTC diâm. = 1,00 m</v>
          </cell>
          <cell r="C246" t="str">
            <v>m</v>
          </cell>
          <cell r="D246">
            <v>36.89</v>
          </cell>
          <cell r="E246" t="str">
            <v>A incluir</v>
          </cell>
          <cell r="F246" t="e">
            <v>#N/A</v>
          </cell>
          <cell r="G246" t="e">
            <v>#N/A</v>
          </cell>
        </row>
        <row r="247">
          <cell r="A247">
            <v>100391</v>
          </cell>
          <cell r="B247" t="str">
            <v>Berço em brita para BSTC diâm.=1,20 m</v>
          </cell>
          <cell r="C247" t="str">
            <v>m</v>
          </cell>
          <cell r="D247">
            <v>41.05</v>
          </cell>
          <cell r="E247" t="str">
            <v>A incluir</v>
          </cell>
          <cell r="F247" t="e">
            <v>#N/A</v>
          </cell>
          <cell r="G247" t="e">
            <v>#N/A</v>
          </cell>
        </row>
        <row r="248">
          <cell r="A248">
            <v>41172</v>
          </cell>
          <cell r="B248" t="str">
            <v>Berço em concreto ciclópico para BSTC diâm. = 0,30m</v>
          </cell>
          <cell r="C248" t="str">
            <v>m</v>
          </cell>
          <cell r="D248">
            <v>78.83</v>
          </cell>
          <cell r="E248" t="str">
            <v>A incluir</v>
          </cell>
          <cell r="F248" t="e">
            <v>#N/A</v>
          </cell>
          <cell r="G248" t="e">
            <v>#N/A</v>
          </cell>
        </row>
        <row r="249">
          <cell r="A249">
            <v>40620</v>
          </cell>
          <cell r="B249" t="str">
            <v>Boca de BDCC 1,50 x 1,50 m projeto DNIT</v>
          </cell>
          <cell r="C249" t="str">
            <v>un</v>
          </cell>
          <cell r="D249">
            <v>13304.27</v>
          </cell>
          <cell r="E249">
            <v>0</v>
          </cell>
          <cell r="F249" t="e">
            <v>#N/A</v>
          </cell>
          <cell r="G249" t="e">
            <v>#N/A</v>
          </cell>
        </row>
        <row r="250">
          <cell r="A250">
            <v>40626</v>
          </cell>
          <cell r="B250" t="str">
            <v>Boca de BDCC 2,00 x 1,20 m conforme projeto</v>
          </cell>
          <cell r="C250" t="str">
            <v>un</v>
          </cell>
          <cell r="D250">
            <v>12890.86</v>
          </cell>
          <cell r="E250">
            <v>0</v>
          </cell>
          <cell r="F250" t="e">
            <v>#N/A</v>
          </cell>
          <cell r="G250" t="e">
            <v>#N/A</v>
          </cell>
        </row>
        <row r="251">
          <cell r="A251">
            <v>40621</v>
          </cell>
          <cell r="B251" t="str">
            <v>Boca de BDCC 2,00 x 2,00 m projeto DNIT</v>
          </cell>
          <cell r="C251" t="str">
            <v>un</v>
          </cell>
          <cell r="D251">
            <v>20300.32</v>
          </cell>
          <cell r="E251">
            <v>0</v>
          </cell>
          <cell r="F251" t="e">
            <v>#N/A</v>
          </cell>
          <cell r="G251" t="e">
            <v>#N/A</v>
          </cell>
        </row>
        <row r="252">
          <cell r="A252">
            <v>40622</v>
          </cell>
          <cell r="B252" t="str">
            <v>Boca de BDCC 2,00 x 3,00 m projeto DNIT</v>
          </cell>
          <cell r="C252" t="str">
            <v>un</v>
          </cell>
          <cell r="D252">
            <v>31371.360000000001</v>
          </cell>
          <cell r="E252">
            <v>0</v>
          </cell>
          <cell r="F252" t="e">
            <v>#N/A</v>
          </cell>
          <cell r="G252" t="e">
            <v>#N/A</v>
          </cell>
        </row>
        <row r="253">
          <cell r="A253">
            <v>40627</v>
          </cell>
          <cell r="B253" t="str">
            <v>Boca de BDCC 2,50 x 2,00 m conforme projeto</v>
          </cell>
          <cell r="C253" t="str">
            <v>un</v>
          </cell>
          <cell r="D253">
            <v>23736.97</v>
          </cell>
          <cell r="E253">
            <v>0</v>
          </cell>
          <cell r="F253" t="e">
            <v>#N/A</v>
          </cell>
          <cell r="G253" t="e">
            <v>#N/A</v>
          </cell>
        </row>
        <row r="254">
          <cell r="A254">
            <v>40623</v>
          </cell>
          <cell r="B254" t="str">
            <v>Boca de BDCC 2,50 x 2,50 m projeto DNIT</v>
          </cell>
          <cell r="C254" t="str">
            <v>un</v>
          </cell>
          <cell r="D254">
            <v>28191.67</v>
          </cell>
          <cell r="E254">
            <v>0</v>
          </cell>
          <cell r="F254" t="e">
            <v>#N/A</v>
          </cell>
          <cell r="G254" t="e">
            <v>#N/A</v>
          </cell>
        </row>
        <row r="255">
          <cell r="A255">
            <v>40624</v>
          </cell>
          <cell r="B255" t="str">
            <v>Boca de BDCC 2,50 x 3,00 m projeto DNIT</v>
          </cell>
          <cell r="C255" t="str">
            <v>un</v>
          </cell>
          <cell r="D255">
            <v>35548.050000000003</v>
          </cell>
          <cell r="E255">
            <v>0</v>
          </cell>
          <cell r="F255" t="e">
            <v>#N/A</v>
          </cell>
          <cell r="G255" t="e">
            <v>#N/A</v>
          </cell>
        </row>
        <row r="256">
          <cell r="A256">
            <v>40625</v>
          </cell>
          <cell r="B256" t="str">
            <v>Boca de BDCC 3,00 x 3,00 m projeto DNIT</v>
          </cell>
          <cell r="C256" t="str">
            <v>un</v>
          </cell>
          <cell r="D256">
            <v>40027.82</v>
          </cell>
          <cell r="E256">
            <v>0</v>
          </cell>
          <cell r="F256" t="e">
            <v>#N/A</v>
          </cell>
          <cell r="G256" t="e">
            <v>#N/A</v>
          </cell>
        </row>
        <row r="257">
          <cell r="A257">
            <v>40613</v>
          </cell>
          <cell r="B257" t="str">
            <v>Boca de BSCC 1,50 x 1,50 m projeto DNIT</v>
          </cell>
          <cell r="C257" t="str">
            <v>un</v>
          </cell>
          <cell r="D257">
            <v>11658.04</v>
          </cell>
          <cell r="E257">
            <v>0</v>
          </cell>
          <cell r="F257" t="e">
            <v>#N/A</v>
          </cell>
          <cell r="G257" t="e">
            <v>#N/A</v>
          </cell>
        </row>
        <row r="258">
          <cell r="A258">
            <v>40614</v>
          </cell>
          <cell r="B258" t="str">
            <v>Boca de BSCC 2,00 x 2,00 m projeto DNIT</v>
          </cell>
          <cell r="C258" t="str">
            <v>un</v>
          </cell>
          <cell r="D258">
            <v>17846.68</v>
          </cell>
          <cell r="E258">
            <v>0</v>
          </cell>
          <cell r="F258" t="e">
            <v>#N/A</v>
          </cell>
          <cell r="G258" t="e">
            <v>#N/A</v>
          </cell>
        </row>
        <row r="259">
          <cell r="A259">
            <v>40615</v>
          </cell>
          <cell r="B259" t="str">
            <v>Boca de BSCC 2,00 x 3,00 m projeto DNIT</v>
          </cell>
          <cell r="C259" t="str">
            <v>un</v>
          </cell>
          <cell r="D259">
            <v>26653.96</v>
          </cell>
          <cell r="E259">
            <v>0</v>
          </cell>
          <cell r="F259" t="e">
            <v>#N/A</v>
          </cell>
          <cell r="G259" t="e">
            <v>#N/A</v>
          </cell>
        </row>
        <row r="260">
          <cell r="A260">
            <v>40616</v>
          </cell>
          <cell r="B260" t="str">
            <v>Boca de BSCC 2,50 x 2,50 m projeto DNIT</v>
          </cell>
          <cell r="C260" t="str">
            <v>un</v>
          </cell>
          <cell r="D260">
            <v>23516.12</v>
          </cell>
          <cell r="E260">
            <v>0</v>
          </cell>
          <cell r="F260" t="e">
            <v>#N/A</v>
          </cell>
          <cell r="G260" t="e">
            <v>#N/A</v>
          </cell>
        </row>
        <row r="261">
          <cell r="A261">
            <v>40617</v>
          </cell>
          <cell r="B261" t="str">
            <v>Boca de BSCC 2,50 x 3,00 m projeto DNIT</v>
          </cell>
          <cell r="C261" t="str">
            <v>un</v>
          </cell>
          <cell r="D261">
            <v>29783.4</v>
          </cell>
          <cell r="E261">
            <v>0</v>
          </cell>
          <cell r="F261" t="e">
            <v>#N/A</v>
          </cell>
          <cell r="G261" t="e">
            <v>#N/A</v>
          </cell>
        </row>
        <row r="262">
          <cell r="A262">
            <v>40618</v>
          </cell>
          <cell r="B262" t="str">
            <v>Boca de BSCC 3,00 x 3,00 m projeto DNIT</v>
          </cell>
          <cell r="C262" t="str">
            <v>un</v>
          </cell>
          <cell r="D262">
            <v>33474.93</v>
          </cell>
          <cell r="E262">
            <v>0</v>
          </cell>
          <cell r="F262" t="e">
            <v>#N/A</v>
          </cell>
          <cell r="G262" t="e">
            <v>#N/A</v>
          </cell>
        </row>
        <row r="263">
          <cell r="A263">
            <v>40629</v>
          </cell>
          <cell r="B263" t="str">
            <v>Boca de BTCC 1,50 x 1,50 m projeto DNIT</v>
          </cell>
          <cell r="C263" t="str">
            <v>un</v>
          </cell>
          <cell r="D263">
            <v>16459.599999999999</v>
          </cell>
          <cell r="E263">
            <v>0</v>
          </cell>
          <cell r="F263" t="e">
            <v>#N/A</v>
          </cell>
          <cell r="G263" t="e">
            <v>#N/A</v>
          </cell>
        </row>
        <row r="264">
          <cell r="A264">
            <v>40630</v>
          </cell>
          <cell r="B264" t="str">
            <v>Boca de BTCC 2,00 x 2,00 m projeto DNIT</v>
          </cell>
          <cell r="C264" t="str">
            <v>un</v>
          </cell>
          <cell r="D264">
            <v>24790.89</v>
          </cell>
          <cell r="E264">
            <v>0</v>
          </cell>
          <cell r="F264" t="e">
            <v>#N/A</v>
          </cell>
          <cell r="G264" t="e">
            <v>#N/A</v>
          </cell>
        </row>
        <row r="265">
          <cell r="A265">
            <v>40631</v>
          </cell>
          <cell r="B265" t="str">
            <v>Boca de BTCC 2,00 x 3,00 m projeto DNIT</v>
          </cell>
          <cell r="C265" t="str">
            <v>un</v>
          </cell>
          <cell r="D265">
            <v>37252.33</v>
          </cell>
          <cell r="E265">
            <v>0</v>
          </cell>
          <cell r="F265" t="e">
            <v>#N/A</v>
          </cell>
          <cell r="G265" t="e">
            <v>#N/A</v>
          </cell>
        </row>
        <row r="266">
          <cell r="A266">
            <v>40632</v>
          </cell>
          <cell r="B266" t="str">
            <v>Boca de BTCC 2,50 x 2,50 m projeto DNIT</v>
          </cell>
          <cell r="C266" t="str">
            <v>un</v>
          </cell>
          <cell r="D266">
            <v>34408.629999999997</v>
          </cell>
          <cell r="E266">
            <v>0</v>
          </cell>
          <cell r="F266" t="e">
            <v>#N/A</v>
          </cell>
          <cell r="G266" t="e">
            <v>#N/A</v>
          </cell>
        </row>
        <row r="267">
          <cell r="A267">
            <v>40633</v>
          </cell>
          <cell r="B267" t="str">
            <v>Boca de BTCC 2,50 x 3,00 m projeto DNIT</v>
          </cell>
          <cell r="C267" t="str">
            <v>un</v>
          </cell>
          <cell r="D267">
            <v>42337.440000000002</v>
          </cell>
          <cell r="E267">
            <v>0</v>
          </cell>
          <cell r="F267" t="e">
            <v>#N/A</v>
          </cell>
          <cell r="G267" t="e">
            <v>#N/A</v>
          </cell>
        </row>
        <row r="268">
          <cell r="A268">
            <v>40634</v>
          </cell>
          <cell r="B268" t="str">
            <v>Boca de BTCC 3,00 x 3,00 m projeto DNIT</v>
          </cell>
          <cell r="C268" t="str">
            <v>un</v>
          </cell>
          <cell r="D268">
            <v>48049.5</v>
          </cell>
          <cell r="E268">
            <v>0</v>
          </cell>
          <cell r="F268" t="e">
            <v>#N/A</v>
          </cell>
          <cell r="G268" t="e">
            <v>#N/A</v>
          </cell>
        </row>
        <row r="269">
          <cell r="A269">
            <v>40535</v>
          </cell>
          <cell r="B269" t="str">
            <v>Boca de concreto ciclópico para BDTC diâmetro 0,60 m</v>
          </cell>
          <cell r="C269" t="str">
            <v>un</v>
          </cell>
          <cell r="D269">
            <v>1293.76</v>
          </cell>
          <cell r="E269" t="str">
            <v>A incluir</v>
          </cell>
          <cell r="F269" t="e">
            <v>#N/A</v>
          </cell>
          <cell r="G269" t="e">
            <v>#N/A</v>
          </cell>
        </row>
        <row r="270">
          <cell r="A270">
            <v>40536</v>
          </cell>
          <cell r="B270" t="str">
            <v>Boca de concreto ciclópico para BDTC diâmetro 0,80 m</v>
          </cell>
          <cell r="C270" t="str">
            <v>un</v>
          </cell>
          <cell r="D270">
            <v>2144.75</v>
          </cell>
          <cell r="E270" t="str">
            <v>A incluir</v>
          </cell>
          <cell r="F270" t="e">
            <v>#N/A</v>
          </cell>
          <cell r="G270" t="e">
            <v>#N/A</v>
          </cell>
        </row>
        <row r="271">
          <cell r="A271">
            <v>40537</v>
          </cell>
          <cell r="B271" t="str">
            <v>Boca de concreto ciclópico para BDTC diâmetro 1,00 m</v>
          </cell>
          <cell r="C271" t="str">
            <v>un</v>
          </cell>
          <cell r="D271">
            <v>3962.87</v>
          </cell>
          <cell r="E271" t="str">
            <v>A incluir</v>
          </cell>
          <cell r="F271">
            <v>4360.32</v>
          </cell>
          <cell r="G271">
            <v>1.10029347417402</v>
          </cell>
        </row>
        <row r="272">
          <cell r="A272">
            <v>40538</v>
          </cell>
          <cell r="B272" t="str">
            <v>Boca de concreto ciclópico para BDTC diâmetro 1,20 m</v>
          </cell>
          <cell r="C272" t="str">
            <v>un</v>
          </cell>
          <cell r="D272">
            <v>5724.15</v>
          </cell>
          <cell r="E272" t="str">
            <v>A incluir</v>
          </cell>
          <cell r="F272">
            <v>6335.95</v>
          </cell>
          <cell r="G272">
            <v>1.1068804975411199</v>
          </cell>
        </row>
        <row r="273">
          <cell r="A273">
            <v>40539</v>
          </cell>
          <cell r="B273" t="str">
            <v>Boca de concreto ciclópico para BDTC diâmetro 1,50 m</v>
          </cell>
          <cell r="C273" t="str">
            <v>un</v>
          </cell>
          <cell r="D273">
            <v>10064.98</v>
          </cell>
          <cell r="E273" t="str">
            <v>A incluir</v>
          </cell>
          <cell r="F273" t="e">
            <v>#N/A</v>
          </cell>
          <cell r="G273" t="e">
            <v>#N/A</v>
          </cell>
        </row>
        <row r="274">
          <cell r="A274">
            <v>40529</v>
          </cell>
          <cell r="B274" t="str">
            <v>Boca de concreto ciclópico para BSTC diâmetro 0,40 m</v>
          </cell>
          <cell r="C274" t="str">
            <v>un</v>
          </cell>
          <cell r="D274">
            <v>370.82</v>
          </cell>
          <cell r="E274" t="str">
            <v>A incluir</v>
          </cell>
          <cell r="F274" t="e">
            <v>#N/A</v>
          </cell>
          <cell r="G274" t="e">
            <v>#N/A</v>
          </cell>
        </row>
        <row r="275">
          <cell r="A275">
            <v>40530</v>
          </cell>
          <cell r="B275" t="str">
            <v>Boca de concreto ciclópico para BSTC diâmetro 0,60 m</v>
          </cell>
          <cell r="C275" t="str">
            <v>un</v>
          </cell>
          <cell r="D275">
            <v>1117.3699999999999</v>
          </cell>
          <cell r="E275" t="str">
            <v>A incluir</v>
          </cell>
          <cell r="F275">
            <v>1208.3800000000001</v>
          </cell>
          <cell r="G275">
            <v>1.08145019107368</v>
          </cell>
        </row>
        <row r="276">
          <cell r="A276">
            <v>40531</v>
          </cell>
          <cell r="B276" t="str">
            <v>Boca de concreto ciclópico para BSTC diâmetro 0,80 m</v>
          </cell>
          <cell r="C276" t="str">
            <v>un</v>
          </cell>
          <cell r="D276">
            <v>1854.05</v>
          </cell>
          <cell r="E276" t="str">
            <v>A incluir</v>
          </cell>
          <cell r="F276">
            <v>2021.72</v>
          </cell>
          <cell r="G276">
            <v>1.09043445430274</v>
          </cell>
        </row>
        <row r="277">
          <cell r="A277">
            <v>40532</v>
          </cell>
          <cell r="B277" t="str">
            <v>Boca de concreto ciclópico para BSTC diâmetro 1,00 m</v>
          </cell>
          <cell r="C277" t="str">
            <v>un</v>
          </cell>
          <cell r="D277">
            <v>2847.32</v>
          </cell>
          <cell r="E277" t="str">
            <v>A incluir</v>
          </cell>
          <cell r="F277" t="e">
            <v>#N/A</v>
          </cell>
          <cell r="G277" t="e">
            <v>#N/A</v>
          </cell>
        </row>
        <row r="278">
          <cell r="A278">
            <v>40533</v>
          </cell>
          <cell r="B278" t="str">
            <v>Boca de concreto ciclópico para BSTC diâmetro 1,20 m</v>
          </cell>
          <cell r="C278" t="str">
            <v>un</v>
          </cell>
          <cell r="D278">
            <v>4101.1499999999996</v>
          </cell>
          <cell r="E278" t="str">
            <v>A incluir</v>
          </cell>
          <cell r="F278" t="e">
            <v>#N/A</v>
          </cell>
          <cell r="G278" t="e">
            <v>#N/A</v>
          </cell>
        </row>
        <row r="279">
          <cell r="A279">
            <v>40534</v>
          </cell>
          <cell r="B279" t="str">
            <v>Boca de concreto ciclópico para BSTC diâmetro 1,50 m</v>
          </cell>
          <cell r="C279" t="str">
            <v>un</v>
          </cell>
          <cell r="D279">
            <v>7389.87</v>
          </cell>
          <cell r="E279" t="str">
            <v>A incluir</v>
          </cell>
          <cell r="F279" t="e">
            <v>#N/A</v>
          </cell>
          <cell r="G279" t="e">
            <v>#N/A</v>
          </cell>
        </row>
        <row r="280">
          <cell r="A280">
            <v>40540</v>
          </cell>
          <cell r="B280" t="str">
            <v>Boca de concreto ciclópico para BTTC diâmetro 0,60 m</v>
          </cell>
          <cell r="C280" t="str">
            <v>un</v>
          </cell>
          <cell r="D280">
            <v>1615.06</v>
          </cell>
          <cell r="E280" t="str">
            <v>A incluir</v>
          </cell>
          <cell r="F280" t="e">
            <v>#N/A</v>
          </cell>
          <cell r="G280" t="e">
            <v>#N/A</v>
          </cell>
        </row>
        <row r="281">
          <cell r="A281">
            <v>40541</v>
          </cell>
          <cell r="B281" t="str">
            <v>Boca de concreto ciclópico para BTTC diâmetro 0,80 m</v>
          </cell>
          <cell r="C281" t="str">
            <v>un</v>
          </cell>
          <cell r="D281">
            <v>2633.63</v>
          </cell>
          <cell r="E281" t="str">
            <v>A incluir</v>
          </cell>
          <cell r="F281" t="e">
            <v>#N/A</v>
          </cell>
          <cell r="G281" t="e">
            <v>#N/A</v>
          </cell>
        </row>
        <row r="282">
          <cell r="A282">
            <v>40542</v>
          </cell>
          <cell r="B282" t="str">
            <v>Boca de concreto ciclópico para BTTC diâmetro 1,00 m</v>
          </cell>
          <cell r="C282" t="str">
            <v>un</v>
          </cell>
          <cell r="D282">
            <v>5078.4399999999996</v>
          </cell>
          <cell r="E282" t="str">
            <v>A incluir</v>
          </cell>
          <cell r="F282" t="e">
            <v>#N/A</v>
          </cell>
          <cell r="G282" t="e">
            <v>#N/A</v>
          </cell>
        </row>
        <row r="283">
          <cell r="A283">
            <v>40543</v>
          </cell>
          <cell r="B283" t="str">
            <v>Boca de concreto ciclópico para BTTC diâmetro 1,20 m</v>
          </cell>
          <cell r="C283" t="str">
            <v>un</v>
          </cell>
          <cell r="D283">
            <v>7346.3</v>
          </cell>
          <cell r="E283" t="str">
            <v>A incluir</v>
          </cell>
          <cell r="F283" t="e">
            <v>#N/A</v>
          </cell>
          <cell r="G283" t="e">
            <v>#N/A</v>
          </cell>
        </row>
        <row r="284">
          <cell r="A284">
            <v>40544</v>
          </cell>
          <cell r="B284" t="str">
            <v>Boca de concreto ciclópico para BTTC diâmetro 1,50 m</v>
          </cell>
          <cell r="C284" t="str">
            <v>un</v>
          </cell>
          <cell r="D284">
            <v>12789.11</v>
          </cell>
          <cell r="E284" t="str">
            <v>A incluir</v>
          </cell>
          <cell r="F284" t="e">
            <v>#N/A</v>
          </cell>
          <cell r="G284" t="e">
            <v>#N/A</v>
          </cell>
        </row>
        <row r="285">
          <cell r="A285">
            <v>40565</v>
          </cell>
          <cell r="B285" t="str">
            <v>Boca de lobo simples</v>
          </cell>
          <cell r="C285" t="str">
            <v>un</v>
          </cell>
          <cell r="D285">
            <v>2984.28</v>
          </cell>
          <cell r="E285">
            <v>0</v>
          </cell>
          <cell r="F285" t="e">
            <v>#N/A</v>
          </cell>
          <cell r="G285" t="e">
            <v>#N/A</v>
          </cell>
        </row>
        <row r="286">
          <cell r="A286">
            <v>40656</v>
          </cell>
          <cell r="B286" t="str">
            <v>Boca de saída de dreno profundo BSD-01</v>
          </cell>
          <cell r="C286" t="str">
            <v>un</v>
          </cell>
          <cell r="D286">
            <v>235.43</v>
          </cell>
          <cell r="E286" t="str">
            <v>A incluir</v>
          </cell>
          <cell r="F286" t="e">
            <v>#N/A</v>
          </cell>
          <cell r="G286" t="e">
            <v>#N/A</v>
          </cell>
        </row>
        <row r="287">
          <cell r="A287">
            <v>41102</v>
          </cell>
          <cell r="B287" t="str">
            <v>BSCC (pré-moldado) 1,50 x 1,50 x 1,00m CL 45t, inclusive transporte do Anel de Bueiro Celular Pré-moldado</v>
          </cell>
          <cell r="C287" t="str">
            <v>m</v>
          </cell>
          <cell r="D287">
            <v>3923.29</v>
          </cell>
          <cell r="E287" t="str">
            <v>A incluir</v>
          </cell>
          <cell r="F287" t="e">
            <v>#N/A</v>
          </cell>
          <cell r="G287" t="e">
            <v>#N/A</v>
          </cell>
        </row>
        <row r="288">
          <cell r="A288">
            <v>41103</v>
          </cell>
          <cell r="B288" t="str">
            <v>BSCC (pré-moldado) 2,00 x 2,00 x 1,00m CL 45t, inclusive transporte de Anel de Bueiro Celular Pré-moldado</v>
          </cell>
          <cell r="C288" t="str">
            <v>m</v>
          </cell>
          <cell r="D288">
            <v>5050.6099999999997</v>
          </cell>
          <cell r="E288" t="str">
            <v>A incluir</v>
          </cell>
          <cell r="F288" t="e">
            <v>#N/A</v>
          </cell>
          <cell r="G288" t="e">
            <v>#N/A</v>
          </cell>
        </row>
        <row r="289">
          <cell r="A289">
            <v>41104</v>
          </cell>
          <cell r="B289" t="str">
            <v>BSCC (pré-moldado) 2,50 x 2,50 x 1,00m CL 45t, inclusive transporte de Anel de Bueiro Celular Pré-moldado</v>
          </cell>
          <cell r="C289" t="str">
            <v>m</v>
          </cell>
          <cell r="D289">
            <v>5837.7</v>
          </cell>
          <cell r="E289" t="str">
            <v>A incluir</v>
          </cell>
          <cell r="F289" t="e">
            <v>#N/A</v>
          </cell>
          <cell r="G289" t="e">
            <v>#N/A</v>
          </cell>
        </row>
        <row r="290">
          <cell r="A290">
            <v>41155</v>
          </cell>
          <cell r="B290" t="str">
            <v>BSCC (pré-moldado) 3,00 x 3,00 x 1,00m CL 45t, inclusive transporte de Anel de Bueiro Celular Pré-moldado</v>
          </cell>
          <cell r="C290" t="str">
            <v>m</v>
          </cell>
          <cell r="D290">
            <v>8023.12</v>
          </cell>
          <cell r="E290" t="str">
            <v>A incluir</v>
          </cell>
          <cell r="F290" t="e">
            <v>#N/A</v>
          </cell>
          <cell r="G290" t="e">
            <v>#N/A</v>
          </cell>
        </row>
        <row r="291">
          <cell r="A291">
            <v>40635</v>
          </cell>
          <cell r="B291" t="str">
            <v>Bueiro Metálico BSTM - D = 3,00 m - T.L. com tratamento epóxi e = 2,7 mm - método não destrutivo</v>
          </cell>
          <cell r="C291" t="str">
            <v>m</v>
          </cell>
          <cell r="D291">
            <v>9486.57</v>
          </cell>
          <cell r="E291" t="str">
            <v>A incluir</v>
          </cell>
          <cell r="F291" t="e">
            <v>#N/A</v>
          </cell>
          <cell r="G291" t="e">
            <v>#N/A</v>
          </cell>
        </row>
        <row r="292">
          <cell r="A292">
            <v>42230</v>
          </cell>
          <cell r="B292" t="str">
            <v>Bueiro Metálico BSTM - D=3,05m - MP-152 com tratamento epóxi e=2,7mm - método destrutivo, inclusive lastro de brita</v>
          </cell>
          <cell r="C292" t="str">
            <v>m</v>
          </cell>
          <cell r="D292">
            <v>6937.63</v>
          </cell>
          <cell r="E292" t="str">
            <v>A incluir</v>
          </cell>
          <cell r="F292" t="e">
            <v>#N/A</v>
          </cell>
          <cell r="G292" t="e">
            <v>#N/A</v>
          </cell>
        </row>
        <row r="293">
          <cell r="A293">
            <v>40658</v>
          </cell>
          <cell r="B293" t="str">
            <v>Caiação de meio fios, sarjetas, etc</v>
          </cell>
          <cell r="C293" t="str">
            <v>m²</v>
          </cell>
          <cell r="D293">
            <v>5.03</v>
          </cell>
          <cell r="E293">
            <v>0</v>
          </cell>
          <cell r="F293">
            <v>5.03</v>
          </cell>
          <cell r="G293">
            <v>1</v>
          </cell>
        </row>
        <row r="294">
          <cell r="A294">
            <v>41161</v>
          </cell>
          <cell r="B294" t="str">
            <v>Caixa Boca de Lobo em bloco pré-moldado 1,20 x 1,20m</v>
          </cell>
          <cell r="C294" t="str">
            <v>un</v>
          </cell>
          <cell r="D294">
            <v>4102.46</v>
          </cell>
          <cell r="E294">
            <v>0</v>
          </cell>
          <cell r="F294" t="e">
            <v>#N/A</v>
          </cell>
          <cell r="G294" t="e">
            <v>#N/A</v>
          </cell>
        </row>
        <row r="295">
          <cell r="A295">
            <v>40563</v>
          </cell>
          <cell r="B295" t="str">
            <v>Caixa coletora concreto armado H= 2,00 m, inclusive escavação</v>
          </cell>
          <cell r="C295" t="str">
            <v>un</v>
          </cell>
          <cell r="D295">
            <v>4324.83</v>
          </cell>
          <cell r="E295">
            <v>0</v>
          </cell>
          <cell r="F295" t="e">
            <v>#N/A</v>
          </cell>
          <cell r="G295" t="e">
            <v>#N/A</v>
          </cell>
        </row>
        <row r="296">
          <cell r="A296">
            <v>40564</v>
          </cell>
          <cell r="B296" t="str">
            <v>Caixa coletora concreto armado H= 2,50 m, inclusive escavação</v>
          </cell>
          <cell r="C296" t="str">
            <v>un</v>
          </cell>
          <cell r="D296">
            <v>5310.67</v>
          </cell>
          <cell r="E296">
            <v>0</v>
          </cell>
          <cell r="F296" t="e">
            <v>#N/A</v>
          </cell>
          <cell r="G296" t="e">
            <v>#N/A</v>
          </cell>
        </row>
        <row r="297">
          <cell r="A297">
            <v>41333</v>
          </cell>
          <cell r="B297" t="str">
            <v>Caixa coletora em bloco pré-moldado para d=0,60m (1,00 x 1,00m)</v>
          </cell>
          <cell r="C297" t="str">
            <v>un</v>
          </cell>
          <cell r="D297">
            <v>2082.67</v>
          </cell>
          <cell r="E297" t="str">
            <v>A incluir</v>
          </cell>
          <cell r="F297" t="e">
            <v>#N/A</v>
          </cell>
          <cell r="G297" t="e">
            <v>#N/A</v>
          </cell>
        </row>
        <row r="298">
          <cell r="A298">
            <v>40545</v>
          </cell>
          <cell r="B298" t="str">
            <v>Caixa de concreto para BSTC diâmetro 0,40 m H=1,60 m</v>
          </cell>
          <cell r="C298" t="str">
            <v>un</v>
          </cell>
          <cell r="D298">
            <v>1996.79</v>
          </cell>
          <cell r="E298" t="str">
            <v>A incluir</v>
          </cell>
          <cell r="F298" t="e">
            <v>#N/A</v>
          </cell>
          <cell r="G298" t="e">
            <v>#N/A</v>
          </cell>
        </row>
        <row r="299">
          <cell r="A299">
            <v>40546</v>
          </cell>
          <cell r="B299" t="str">
            <v>Caixa de concreto para BSTC diâmetro 0,60 m H=2,00 m</v>
          </cell>
          <cell r="C299" t="str">
            <v>un</v>
          </cell>
          <cell r="D299">
            <v>3098</v>
          </cell>
          <cell r="E299" t="str">
            <v>A incluir</v>
          </cell>
          <cell r="F299" t="e">
            <v>#N/A</v>
          </cell>
          <cell r="G299" t="e">
            <v>#N/A</v>
          </cell>
        </row>
        <row r="300">
          <cell r="A300">
            <v>40547</v>
          </cell>
          <cell r="B300" t="str">
            <v>Caixa de concreto para BSTC diâmetro 0,80 m H=2,50 m</v>
          </cell>
          <cell r="C300" t="str">
            <v>un</v>
          </cell>
          <cell r="D300">
            <v>3842.61</v>
          </cell>
          <cell r="E300" t="str">
            <v>A incluir</v>
          </cell>
          <cell r="F300">
            <v>4060.06</v>
          </cell>
          <cell r="G300">
            <v>1.0565891412347299</v>
          </cell>
        </row>
        <row r="301">
          <cell r="A301">
            <v>40548</v>
          </cell>
          <cell r="B301" t="str">
            <v>Caixa de concreto para BSTC diâmetro 1,00 m H=3,00 m</v>
          </cell>
          <cell r="C301" t="str">
            <v>un</v>
          </cell>
          <cell r="D301">
            <v>4562.84</v>
          </cell>
          <cell r="E301" t="str">
            <v>A incluir</v>
          </cell>
          <cell r="F301" t="e">
            <v>#N/A</v>
          </cell>
          <cell r="G301" t="e">
            <v>#N/A</v>
          </cell>
        </row>
        <row r="302">
          <cell r="A302">
            <v>40549</v>
          </cell>
          <cell r="B302" t="str">
            <v>Caixa de passagem para tubos de D=0,40 m H=1,10 m</v>
          </cell>
          <cell r="C302" t="str">
            <v>un</v>
          </cell>
          <cell r="D302">
            <v>1335.29</v>
          </cell>
          <cell r="E302">
            <v>0</v>
          </cell>
          <cell r="F302" t="e">
            <v>#N/A</v>
          </cell>
          <cell r="G302" t="e">
            <v>#N/A</v>
          </cell>
        </row>
        <row r="303">
          <cell r="A303">
            <v>40550</v>
          </cell>
          <cell r="B303" t="str">
            <v>Caixa de passagem para tubos de D=0,60 m H=1,30 m</v>
          </cell>
          <cell r="C303" t="str">
            <v>un</v>
          </cell>
          <cell r="D303">
            <v>1685.69</v>
          </cell>
          <cell r="E303">
            <v>0</v>
          </cell>
          <cell r="F303" t="e">
            <v>#N/A</v>
          </cell>
          <cell r="G303" t="e">
            <v>#N/A</v>
          </cell>
        </row>
        <row r="304">
          <cell r="A304">
            <v>40551</v>
          </cell>
          <cell r="B304" t="str">
            <v>Caixa de passagem para tubos de D=0,80 m H=1,50 m</v>
          </cell>
          <cell r="C304" t="str">
            <v>un</v>
          </cell>
          <cell r="D304">
            <v>2121.73</v>
          </cell>
          <cell r="E304">
            <v>0</v>
          </cell>
          <cell r="F304" t="e">
            <v>#N/A</v>
          </cell>
          <cell r="G304" t="e">
            <v>#N/A</v>
          </cell>
        </row>
        <row r="305">
          <cell r="A305">
            <v>40552</v>
          </cell>
          <cell r="B305" t="str">
            <v>Caixa de passagem para tubos de D=1,00 m H=1,80 m</v>
          </cell>
          <cell r="C305" t="str">
            <v>un</v>
          </cell>
          <cell r="D305">
            <v>3376.29</v>
          </cell>
          <cell r="E305">
            <v>0</v>
          </cell>
          <cell r="F305" t="e">
            <v>#N/A</v>
          </cell>
          <cell r="G305" t="e">
            <v>#N/A</v>
          </cell>
        </row>
        <row r="306">
          <cell r="A306">
            <v>41320</v>
          </cell>
          <cell r="B306" t="str">
            <v>Caixa de passagem (2,50 x 2,50m)</v>
          </cell>
          <cell r="C306" t="str">
            <v>un</v>
          </cell>
          <cell r="D306">
            <v>7334.16</v>
          </cell>
          <cell r="E306" t="str">
            <v>A incluir</v>
          </cell>
          <cell r="F306" t="e">
            <v>#N/A</v>
          </cell>
          <cell r="G306" t="e">
            <v>#N/A</v>
          </cell>
        </row>
        <row r="307">
          <cell r="A307">
            <v>41184</v>
          </cell>
          <cell r="B307" t="str">
            <v>Caixa para rede de dutos, dimensões 100 x 100 x 100 cm</v>
          </cell>
          <cell r="C307" t="str">
            <v>m</v>
          </cell>
          <cell r="D307">
            <v>1211.55</v>
          </cell>
          <cell r="E307">
            <v>0</v>
          </cell>
          <cell r="F307" t="e">
            <v>#N/A</v>
          </cell>
          <cell r="G307" t="e">
            <v>#N/A</v>
          </cell>
        </row>
        <row r="308">
          <cell r="A308">
            <v>41338</v>
          </cell>
          <cell r="B308" t="str">
            <v>Caixa para rede de dutos, dimensões 60 x 60 x 60 cm</v>
          </cell>
          <cell r="C308" t="str">
            <v>un</v>
          </cell>
          <cell r="D308">
            <v>557.07000000000005</v>
          </cell>
          <cell r="E308">
            <v>0</v>
          </cell>
          <cell r="F308" t="e">
            <v>#N/A</v>
          </cell>
          <cell r="G308" t="e">
            <v>#N/A</v>
          </cell>
        </row>
        <row r="309">
          <cell r="A309">
            <v>40561</v>
          </cell>
          <cell r="B309" t="str">
            <v>Caixa ralo de elementos pré-moldados em concreto (tudo incluído)</v>
          </cell>
          <cell r="C309" t="str">
            <v>un</v>
          </cell>
          <cell r="D309">
            <v>727.1</v>
          </cell>
          <cell r="E309" t="str">
            <v>A incluir</v>
          </cell>
          <cell r="F309" t="e">
            <v>#N/A</v>
          </cell>
          <cell r="G309" t="e">
            <v>#N/A</v>
          </cell>
        </row>
        <row r="310">
          <cell r="A310">
            <v>40672</v>
          </cell>
          <cell r="B310" t="str">
            <v>Canaleta com grelha DP-1, inclusive transporte da grelha</v>
          </cell>
          <cell r="C310" t="str">
            <v>m</v>
          </cell>
          <cell r="D310">
            <v>630.47</v>
          </cell>
          <cell r="E310" t="str">
            <v>A incluir</v>
          </cell>
          <cell r="F310" t="e">
            <v>#N/A</v>
          </cell>
          <cell r="G310" t="e">
            <v>#N/A</v>
          </cell>
        </row>
        <row r="311">
          <cell r="A311">
            <v>40703</v>
          </cell>
          <cell r="B311" t="str">
            <v>Canaleta de concreto, com forma retangular inclusive caiação - parede 12 cm</v>
          </cell>
          <cell r="C311" t="str">
            <v>m</v>
          </cell>
          <cell r="D311">
            <v>198.64</v>
          </cell>
          <cell r="E311">
            <v>0</v>
          </cell>
          <cell r="F311" t="e">
            <v>#N/A</v>
          </cell>
          <cell r="G311" t="e">
            <v>#N/A</v>
          </cell>
        </row>
        <row r="312">
          <cell r="A312">
            <v>40671</v>
          </cell>
          <cell r="B312" t="str">
            <v>Canaleta de concreto retangular (0,130m³/m) inclusive caiação</v>
          </cell>
          <cell r="C312" t="str">
            <v>m</v>
          </cell>
          <cell r="D312">
            <v>245.64</v>
          </cell>
          <cell r="E312">
            <v>0</v>
          </cell>
          <cell r="F312" t="e">
            <v>#N/A</v>
          </cell>
          <cell r="G312" t="e">
            <v>#N/A</v>
          </cell>
        </row>
        <row r="313">
          <cell r="A313">
            <v>41016</v>
          </cell>
          <cell r="B313" t="str">
            <v>Canaleta de concreto (0,130m³/m) forma trapezoidal inclusive caiação</v>
          </cell>
          <cell r="C313" t="str">
            <v>m</v>
          </cell>
          <cell r="D313">
            <v>180.88</v>
          </cell>
          <cell r="E313" t="str">
            <v>A incluir</v>
          </cell>
          <cell r="F313" t="e">
            <v>#N/A</v>
          </cell>
          <cell r="G313" t="e">
            <v>#N/A</v>
          </cell>
        </row>
        <row r="314">
          <cell r="A314">
            <v>40952</v>
          </cell>
          <cell r="B314" t="str">
            <v>Cerca de tela de arame galvanizado h = 1,20 m</v>
          </cell>
          <cell r="C314" t="str">
            <v>m²</v>
          </cell>
          <cell r="D314">
            <v>28.84</v>
          </cell>
          <cell r="E314">
            <v>0</v>
          </cell>
          <cell r="F314" t="e">
            <v>#N/A</v>
          </cell>
          <cell r="G314" t="e">
            <v>#N/A</v>
          </cell>
        </row>
        <row r="315">
          <cell r="A315">
            <v>40953</v>
          </cell>
          <cell r="B315" t="str">
            <v>Cerca de tela galvanizada fio 12 malha 3"x3", com altura de 1,80 m</v>
          </cell>
          <cell r="C315" t="str">
            <v>m</v>
          </cell>
          <cell r="D315">
            <v>69.66</v>
          </cell>
          <cell r="E315" t="str">
            <v>A incluir</v>
          </cell>
          <cell r="F315" t="e">
            <v>#N/A</v>
          </cell>
          <cell r="G315" t="e">
            <v>#N/A</v>
          </cell>
        </row>
        <row r="316">
          <cell r="A316">
            <v>40708</v>
          </cell>
          <cell r="B316" t="str">
            <v>Cerca em tela revestida em PVC com mourões de concreto, 10 x 10 x 2,40 m, fornecimento e execução</v>
          </cell>
          <cell r="C316" t="str">
            <v>m²</v>
          </cell>
          <cell r="D316">
            <v>72.11</v>
          </cell>
          <cell r="E316">
            <v>0</v>
          </cell>
          <cell r="F316" t="e">
            <v>#N/A</v>
          </cell>
          <cell r="G316" t="e">
            <v>#N/A</v>
          </cell>
        </row>
        <row r="317">
          <cell r="A317">
            <v>40377</v>
          </cell>
          <cell r="B317" t="str">
            <v>Chapisco com argamassa de cimento e areia no traço 1:3</v>
          </cell>
          <cell r="C317" t="str">
            <v>m²</v>
          </cell>
          <cell r="D317">
            <v>5.58</v>
          </cell>
          <cell r="E317">
            <v>0</v>
          </cell>
          <cell r="F317" t="e">
            <v>#N/A</v>
          </cell>
          <cell r="G317" t="e">
            <v>#N/A</v>
          </cell>
        </row>
        <row r="318">
          <cell r="A318">
            <v>40378</v>
          </cell>
          <cell r="B318" t="str">
            <v>Chapisco com argamassa de cimento e pedrisco no traço 1:4</v>
          </cell>
          <cell r="C318" t="str">
            <v>m²</v>
          </cell>
          <cell r="D318">
            <v>8.6999999999999993</v>
          </cell>
          <cell r="E318">
            <v>0</v>
          </cell>
          <cell r="F318" t="e">
            <v>#N/A</v>
          </cell>
          <cell r="G318" t="e">
            <v>#N/A</v>
          </cell>
        </row>
        <row r="319">
          <cell r="A319">
            <v>41389</v>
          </cell>
          <cell r="B319" t="str">
            <v>Colchão drenante de areia para fundação de aterros, exclusive o fornecimento de areia</v>
          </cell>
          <cell r="C319" t="str">
            <v>m³</v>
          </cell>
          <cell r="D319">
            <v>4.04</v>
          </cell>
          <cell r="E319">
            <v>0</v>
          </cell>
          <cell r="F319" t="e">
            <v>#N/A</v>
          </cell>
          <cell r="G319" t="e">
            <v>#N/A</v>
          </cell>
        </row>
        <row r="320">
          <cell r="A320">
            <v>40715</v>
          </cell>
          <cell r="B320" t="str">
            <v>Colchão drenante de areia para fundação de aterros, inclusive fornecimento e transporte da areia</v>
          </cell>
          <cell r="C320" t="str">
            <v>m³</v>
          </cell>
          <cell r="D320">
            <v>88.82</v>
          </cell>
          <cell r="E320" t="str">
            <v>A incluir</v>
          </cell>
          <cell r="F320" t="e">
            <v>#N/A</v>
          </cell>
          <cell r="G320" t="e">
            <v>#N/A</v>
          </cell>
        </row>
        <row r="321">
          <cell r="A321">
            <v>40716</v>
          </cell>
          <cell r="B321" t="str">
            <v>Colchão drenante de brita 1 inclusive fornecimento, espalhamento, compactação e transporte da brita</v>
          </cell>
          <cell r="C321" t="str">
            <v>m³</v>
          </cell>
          <cell r="D321">
            <v>95.19</v>
          </cell>
          <cell r="E321" t="str">
            <v>A incluir</v>
          </cell>
          <cell r="F321" t="e">
            <v>#N/A</v>
          </cell>
          <cell r="G321" t="e">
            <v>#N/A</v>
          </cell>
        </row>
        <row r="322">
          <cell r="A322">
            <v>40717</v>
          </cell>
          <cell r="B322" t="str">
            <v>Colchão drenante de brita 2 inclusive fornecimento, espalhamento, compactação e transporte da brita</v>
          </cell>
          <cell r="C322" t="str">
            <v>m³</v>
          </cell>
          <cell r="D322">
            <v>93.11</v>
          </cell>
          <cell r="E322" t="str">
            <v>A incluir</v>
          </cell>
          <cell r="F322" t="e">
            <v>#N/A</v>
          </cell>
          <cell r="G322" t="e">
            <v>#N/A</v>
          </cell>
        </row>
        <row r="323">
          <cell r="A323">
            <v>40718</v>
          </cell>
          <cell r="B323" t="str">
            <v>Colchão drenante de brita 3 inclusive fornecimento, espalhamento, compactação e transporte da brita</v>
          </cell>
          <cell r="C323" t="str">
            <v>m³</v>
          </cell>
          <cell r="D323">
            <v>100.23</v>
          </cell>
          <cell r="E323" t="str">
            <v>A incluir</v>
          </cell>
          <cell r="F323" t="e">
            <v>#N/A</v>
          </cell>
          <cell r="G323" t="e">
            <v>#N/A</v>
          </cell>
        </row>
        <row r="324">
          <cell r="A324">
            <v>40652</v>
          </cell>
          <cell r="B324" t="str">
            <v>Coleta drenante (1,00x1,00) m c/ geotêxtil não tecido RT 16kn/m, inclusive transporte da brita</v>
          </cell>
          <cell r="C324" t="str">
            <v>m</v>
          </cell>
          <cell r="D324">
            <v>304.33999999999997</v>
          </cell>
          <cell r="E324" t="str">
            <v>A incluir</v>
          </cell>
          <cell r="F324" t="e">
            <v>#N/A</v>
          </cell>
          <cell r="G324" t="e">
            <v>#N/A</v>
          </cell>
        </row>
        <row r="325">
          <cell r="A325">
            <v>41090</v>
          </cell>
          <cell r="B325" t="str">
            <v>Concreto armado, dosado para resist. 20 Mpa,  incluindo 60kg aço CA-50A, mão de obra p/ corte, dobragem e montagem, exclusive forma</v>
          </cell>
          <cell r="C325" t="str">
            <v>m³</v>
          </cell>
          <cell r="D325">
            <v>797.02</v>
          </cell>
          <cell r="E325">
            <v>0</v>
          </cell>
          <cell r="F325" t="e">
            <v>#N/A</v>
          </cell>
          <cell r="G325" t="e">
            <v>#N/A</v>
          </cell>
        </row>
        <row r="326">
          <cell r="A326">
            <v>40350</v>
          </cell>
          <cell r="B326" t="str">
            <v>Concreto ciclópico com 70% concreto 10,0 MPa e 30% de pedra de mão, tudo incluído</v>
          </cell>
          <cell r="C326" t="str">
            <v>m³</v>
          </cell>
          <cell r="D326">
            <v>398.42</v>
          </cell>
          <cell r="E326" t="str">
            <v>A incluir</v>
          </cell>
          <cell r="F326" t="e">
            <v>#N/A</v>
          </cell>
          <cell r="G326" t="e">
            <v>#N/A</v>
          </cell>
        </row>
        <row r="327">
          <cell r="A327">
            <v>40351</v>
          </cell>
          <cell r="B327" t="str">
            <v>Concreto ciclópico com 70% concreto 15,0 MPa e 30% de pedra de mão, tudo incluído</v>
          </cell>
          <cell r="C327" t="str">
            <v>m³</v>
          </cell>
          <cell r="D327">
            <v>434.6</v>
          </cell>
          <cell r="E327" t="str">
            <v>A incluir</v>
          </cell>
          <cell r="F327">
            <v>510.51</v>
          </cell>
          <cell r="G327">
            <v>1.17466635987115</v>
          </cell>
        </row>
        <row r="328">
          <cell r="A328">
            <v>40353</v>
          </cell>
          <cell r="B328" t="str">
            <v>Concreto ciclópico com 70% concreto 20,0 MPa e 30% de pedra de mão, tudo incluído</v>
          </cell>
          <cell r="C328" t="str">
            <v>m³</v>
          </cell>
          <cell r="D328">
            <v>452.62</v>
          </cell>
          <cell r="E328" t="str">
            <v>A incluir</v>
          </cell>
          <cell r="F328" t="e">
            <v>#N/A</v>
          </cell>
          <cell r="G328" t="e">
            <v>#N/A</v>
          </cell>
        </row>
        <row r="329">
          <cell r="A329">
            <v>40383</v>
          </cell>
          <cell r="B329" t="str">
            <v>Concreto de Cim.Port. com equip peq.porte (custo SICRO/DNIT)</v>
          </cell>
          <cell r="C329" t="str">
            <v>m³</v>
          </cell>
          <cell r="D329">
            <v>463</v>
          </cell>
          <cell r="E329">
            <v>0</v>
          </cell>
          <cell r="F329" t="e">
            <v>#N/A</v>
          </cell>
          <cell r="G329" t="e">
            <v>#N/A</v>
          </cell>
        </row>
        <row r="330">
          <cell r="A330">
            <v>40349</v>
          </cell>
          <cell r="B330" t="str">
            <v>Concreto de regularização, tudo incluído</v>
          </cell>
          <cell r="C330" t="str">
            <v>m³</v>
          </cell>
          <cell r="D330">
            <v>430.16</v>
          </cell>
          <cell r="E330" t="str">
            <v>A incluir</v>
          </cell>
          <cell r="F330">
            <v>484.57</v>
          </cell>
          <cell r="G330">
            <v>1.12648781848614</v>
          </cell>
        </row>
        <row r="331">
          <cell r="A331">
            <v>40358</v>
          </cell>
          <cell r="B331" t="str">
            <v>Concreto estrutural fck = 15,0 MPa, tudo incluído</v>
          </cell>
          <cell r="C331" t="str">
            <v>m³</v>
          </cell>
          <cell r="D331">
            <v>575.95000000000005</v>
          </cell>
          <cell r="E331" t="str">
            <v>A incluir</v>
          </cell>
          <cell r="F331">
            <v>662.45</v>
          </cell>
          <cell r="G331">
            <v>1.1501866481465399</v>
          </cell>
        </row>
        <row r="332">
          <cell r="A332">
            <v>40361</v>
          </cell>
          <cell r="B332" t="str">
            <v>Concreto estrutural fck = 20,0 MPa com plastificante, tudo incluído</v>
          </cell>
          <cell r="C332" t="str">
            <v>m³</v>
          </cell>
          <cell r="D332">
            <v>604.62</v>
          </cell>
          <cell r="E332" t="str">
            <v>A incluir</v>
          </cell>
          <cell r="F332" t="e">
            <v>#N/A</v>
          </cell>
          <cell r="G332" t="e">
            <v>#N/A</v>
          </cell>
        </row>
        <row r="333">
          <cell r="A333">
            <v>40360</v>
          </cell>
          <cell r="B333" t="str">
            <v>Concreto estrutural fck = 20,0 MPa, tudo incluído</v>
          </cell>
          <cell r="C333" t="str">
            <v>m³</v>
          </cell>
          <cell r="D333">
            <v>601.69000000000005</v>
          </cell>
          <cell r="E333" t="str">
            <v>A incluir</v>
          </cell>
          <cell r="F333">
            <v>688.27</v>
          </cell>
          <cell r="G333">
            <v>1.14389469660456</v>
          </cell>
        </row>
        <row r="334">
          <cell r="A334">
            <v>40363</v>
          </cell>
          <cell r="B334" t="str">
            <v>Concreto estrutural fck = 25,0 MPa com plastificante, tudo incluído</v>
          </cell>
          <cell r="C334" t="str">
            <v>m³</v>
          </cell>
          <cell r="D334">
            <v>632.33000000000004</v>
          </cell>
          <cell r="E334" t="str">
            <v>A incluir</v>
          </cell>
          <cell r="F334" t="e">
            <v>#N/A</v>
          </cell>
          <cell r="G334" t="e">
            <v>#N/A</v>
          </cell>
        </row>
        <row r="335">
          <cell r="A335">
            <v>40362</v>
          </cell>
          <cell r="B335" t="str">
            <v>Concreto estrutural fck = 25,0 MPa, inclusive fornecimento e transporte do cimento, areia e pedra britada</v>
          </cell>
          <cell r="C335" t="str">
            <v>m³</v>
          </cell>
          <cell r="D335">
            <v>629.04</v>
          </cell>
          <cell r="E335" t="str">
            <v>A incluir</v>
          </cell>
          <cell r="F335" t="e">
            <v>#N/A</v>
          </cell>
          <cell r="G335" t="e">
            <v>#N/A</v>
          </cell>
        </row>
        <row r="336">
          <cell r="A336">
            <v>40368</v>
          </cell>
          <cell r="B336" t="str">
            <v>Concreto estrutural fck = 30,0 MPa com micro-silica e Sikacrete BR ou equivalente</v>
          </cell>
          <cell r="C336" t="str">
            <v>m³</v>
          </cell>
          <cell r="D336">
            <v>803.72</v>
          </cell>
          <cell r="E336" t="str">
            <v>A incluir</v>
          </cell>
          <cell r="F336" t="e">
            <v>#N/A</v>
          </cell>
          <cell r="G336" t="e">
            <v>#N/A</v>
          </cell>
        </row>
        <row r="337">
          <cell r="A337">
            <v>40365</v>
          </cell>
          <cell r="B337" t="str">
            <v>Concreto estrutural fck = 30,0 MPa com plastificante</v>
          </cell>
          <cell r="C337" t="str">
            <v>m³</v>
          </cell>
          <cell r="D337">
            <v>657.86</v>
          </cell>
          <cell r="E337" t="str">
            <v>A incluir</v>
          </cell>
          <cell r="F337" t="e">
            <v>#N/A</v>
          </cell>
          <cell r="G337" t="e">
            <v>#N/A</v>
          </cell>
        </row>
        <row r="338">
          <cell r="A338">
            <v>40364</v>
          </cell>
          <cell r="B338" t="str">
            <v>Concreto estrutural fck = 30,0 MPa, tudo incluído</v>
          </cell>
          <cell r="C338" t="str">
            <v>m³</v>
          </cell>
          <cell r="D338">
            <v>654.23</v>
          </cell>
          <cell r="E338" t="str">
            <v>A incluir</v>
          </cell>
          <cell r="F338" t="e">
            <v>#N/A</v>
          </cell>
          <cell r="G338" t="e">
            <v>#N/A</v>
          </cell>
        </row>
        <row r="339">
          <cell r="A339">
            <v>40369</v>
          </cell>
          <cell r="B339" t="str">
            <v>Concreto estrutural fck = 35,0 MPa com micro-silica e Sikacrete BR ou equivalente</v>
          </cell>
          <cell r="C339" t="str">
            <v>m³</v>
          </cell>
          <cell r="D339">
            <v>843.43</v>
          </cell>
          <cell r="E339" t="str">
            <v>A incluir</v>
          </cell>
          <cell r="F339" t="e">
            <v>#N/A</v>
          </cell>
          <cell r="G339" t="e">
            <v>#N/A</v>
          </cell>
        </row>
        <row r="340">
          <cell r="A340">
            <v>40371</v>
          </cell>
          <cell r="B340" t="str">
            <v>Concreto submerso fck = 20,0 MPa, tudo incluído</v>
          </cell>
          <cell r="C340" t="str">
            <v>m³</v>
          </cell>
          <cell r="D340">
            <v>1132.5999999999999</v>
          </cell>
          <cell r="E340" t="str">
            <v>A incluir</v>
          </cell>
          <cell r="F340" t="e">
            <v>#N/A</v>
          </cell>
          <cell r="G340" t="e">
            <v>#N/A</v>
          </cell>
        </row>
        <row r="341">
          <cell r="A341">
            <v>41205</v>
          </cell>
          <cell r="B341" t="str">
            <v>Conjunto Moto-bomba submersível de 15CV, fornecimento e assentamento</v>
          </cell>
          <cell r="C341" t="str">
            <v>un</v>
          </cell>
          <cell r="D341">
            <v>32593.360000000001</v>
          </cell>
          <cell r="E341">
            <v>0</v>
          </cell>
          <cell r="F341" t="e">
            <v>#N/A</v>
          </cell>
          <cell r="G341" t="e">
            <v>#N/A</v>
          </cell>
        </row>
        <row r="342">
          <cell r="A342">
            <v>40467</v>
          </cell>
          <cell r="B342" t="str">
            <v>Corpo BDTC (grota) diâmetro 0,60 m CA-1 MF exclusive escavação e reaterro, inclusive transporte do tubo</v>
          </cell>
          <cell r="C342" t="str">
            <v>m</v>
          </cell>
          <cell r="D342">
            <v>301.83</v>
          </cell>
          <cell r="E342" t="str">
            <v>A incluir</v>
          </cell>
          <cell r="F342" t="e">
            <v>#N/A</v>
          </cell>
          <cell r="G342" t="e">
            <v>#N/A</v>
          </cell>
        </row>
        <row r="343">
          <cell r="A343">
            <v>40468</v>
          </cell>
          <cell r="B343" t="str">
            <v>Corpo BDTC (grota) diâmetro 0,60 m CA-1 PB exclusive escavação e reaterro, inclusive transporte do tubo</v>
          </cell>
          <cell r="C343" t="str">
            <v>m</v>
          </cell>
          <cell r="D343">
            <v>305.58</v>
          </cell>
          <cell r="E343" t="str">
            <v>A incluir</v>
          </cell>
          <cell r="F343" t="e">
            <v>#N/A</v>
          </cell>
          <cell r="G343" t="e">
            <v>#N/A</v>
          </cell>
        </row>
        <row r="344">
          <cell r="A344">
            <v>40469</v>
          </cell>
          <cell r="B344" t="str">
            <v>Corpo BDTC (grota) diâmetro 0,60 m CA-2 MF exclusive escavação e reaterro, inclusive transporte do tubo</v>
          </cell>
          <cell r="C344" t="str">
            <v>m</v>
          </cell>
          <cell r="D344">
            <v>289.43</v>
          </cell>
          <cell r="E344" t="str">
            <v>A incluir</v>
          </cell>
          <cell r="F344" t="e">
            <v>#N/A</v>
          </cell>
          <cell r="G344" t="e">
            <v>#N/A</v>
          </cell>
        </row>
        <row r="345">
          <cell r="A345">
            <v>40470</v>
          </cell>
          <cell r="B345" t="str">
            <v>Corpo BDTC (grota) diâmetro 0,60 m CA-2 PB exclusive escavação e reaterro, inclusive transporte do tubo</v>
          </cell>
          <cell r="C345" t="str">
            <v>m</v>
          </cell>
          <cell r="D345">
            <v>296.08999999999997</v>
          </cell>
          <cell r="E345" t="str">
            <v>A incluir</v>
          </cell>
          <cell r="F345" t="e">
            <v>#N/A</v>
          </cell>
          <cell r="G345" t="e">
            <v>#N/A</v>
          </cell>
        </row>
        <row r="346">
          <cell r="A346">
            <v>40471</v>
          </cell>
          <cell r="B346" t="str">
            <v>Corpo BDTC (grota) diâmetro 0,80 m CA-1 MF exclusive escavação e reaterro, inclusive transporte do tubo</v>
          </cell>
          <cell r="C346" t="str">
            <v>m</v>
          </cell>
          <cell r="D346">
            <v>612.78</v>
          </cell>
          <cell r="E346" t="str">
            <v>A incluir</v>
          </cell>
          <cell r="F346" t="e">
            <v>#N/A</v>
          </cell>
          <cell r="G346" t="e">
            <v>#N/A</v>
          </cell>
        </row>
        <row r="347">
          <cell r="A347">
            <v>40472</v>
          </cell>
          <cell r="B347" t="str">
            <v>Corpo BDTC (grota) diâmetro 0,80 m CA-1 PB exclusive escavação e reaterro, inclusive transporte do tubo</v>
          </cell>
          <cell r="C347" t="str">
            <v>m</v>
          </cell>
          <cell r="D347">
            <v>617.29999999999995</v>
          </cell>
          <cell r="E347" t="str">
            <v>A incluir</v>
          </cell>
          <cell r="F347" t="e">
            <v>#N/A</v>
          </cell>
          <cell r="G347" t="e">
            <v>#N/A</v>
          </cell>
        </row>
        <row r="348">
          <cell r="A348">
            <v>40473</v>
          </cell>
          <cell r="B348" t="str">
            <v>Corpo BDTC (grota) diâmetro 0,80 m CA-2 MF exclusive escavação e reaterro, inclusive transporte do tubo</v>
          </cell>
          <cell r="C348" t="str">
            <v>m</v>
          </cell>
          <cell r="D348">
            <v>600.21</v>
          </cell>
          <cell r="E348" t="str">
            <v>A incluir</v>
          </cell>
          <cell r="F348" t="e">
            <v>#N/A</v>
          </cell>
          <cell r="G348" t="e">
            <v>#N/A</v>
          </cell>
        </row>
        <row r="349">
          <cell r="A349">
            <v>40474</v>
          </cell>
          <cell r="B349" t="str">
            <v>Corpo BDTC (grota) diâmetro 0,80 m CA-2 PB exclusive escavação e reaterro, inclusive transporte do tubo</v>
          </cell>
          <cell r="C349" t="str">
            <v>m</v>
          </cell>
          <cell r="D349">
            <v>640.30999999999995</v>
          </cell>
          <cell r="E349" t="str">
            <v>A incluir</v>
          </cell>
          <cell r="F349" t="e">
            <v>#N/A</v>
          </cell>
          <cell r="G349" t="e">
            <v>#N/A</v>
          </cell>
        </row>
        <row r="350">
          <cell r="A350">
            <v>40475</v>
          </cell>
          <cell r="B350" t="str">
            <v>Corpo BDTC (grota) diâmetro 1,00 m CA-1 MF exclusive escavação e reaterro, inclusive transporte do tubo</v>
          </cell>
          <cell r="C350" t="str">
            <v>m</v>
          </cell>
          <cell r="D350">
            <v>772</v>
          </cell>
          <cell r="E350" t="str">
            <v>A incluir</v>
          </cell>
          <cell r="F350" t="e">
            <v>#N/A</v>
          </cell>
          <cell r="G350" t="e">
            <v>#N/A</v>
          </cell>
        </row>
        <row r="351">
          <cell r="A351">
            <v>40476</v>
          </cell>
          <cell r="B351" t="str">
            <v>Corpo BDTC (grota) diâmetro 1,00 m CA-1 PB exclusive escavação e reaterro, inclusive transporte do tubo</v>
          </cell>
          <cell r="C351" t="str">
            <v>m</v>
          </cell>
          <cell r="D351">
            <v>769.61</v>
          </cell>
          <cell r="E351" t="str">
            <v>A incluir</v>
          </cell>
          <cell r="F351" t="e">
            <v>#N/A</v>
          </cell>
          <cell r="G351" t="e">
            <v>#N/A</v>
          </cell>
        </row>
        <row r="352">
          <cell r="A352">
            <v>40477</v>
          </cell>
          <cell r="B352" t="str">
            <v>Corpo BDTC (grota) diâmetro 1,00 m CA-2 MF exclusive escavação e reaterro, inclusive transporte do tubo</v>
          </cell>
          <cell r="C352" t="str">
            <v>m</v>
          </cell>
          <cell r="D352">
            <v>845.99</v>
          </cell>
          <cell r="E352" t="str">
            <v>A incluir</v>
          </cell>
          <cell r="F352" t="e">
            <v>#N/A</v>
          </cell>
          <cell r="G352" t="e">
            <v>#N/A</v>
          </cell>
        </row>
        <row r="353">
          <cell r="A353">
            <v>40478</v>
          </cell>
          <cell r="B353" t="str">
            <v>Corpo BDTC (grota) diâmetro 1,00 m CA-2 PB exclusive escavação e reaterro, inclusive transporte do tubo</v>
          </cell>
          <cell r="C353" t="str">
            <v>m</v>
          </cell>
          <cell r="D353">
            <v>813.54</v>
          </cell>
          <cell r="E353" t="str">
            <v>A incluir</v>
          </cell>
          <cell r="F353" t="e">
            <v>#N/A</v>
          </cell>
          <cell r="G353" t="e">
            <v>#N/A</v>
          </cell>
        </row>
        <row r="354">
          <cell r="A354">
            <v>40479</v>
          </cell>
          <cell r="B354" t="str">
            <v>Corpo BDTC (grota) diâmetro 1,00 m CA-3 MF exclusive escavação e reaterro, inclusive transporte do tubo</v>
          </cell>
          <cell r="C354" t="str">
            <v>m</v>
          </cell>
          <cell r="D354">
            <v>845.75</v>
          </cell>
          <cell r="E354" t="str">
            <v>A incluir</v>
          </cell>
          <cell r="F354" t="e">
            <v>#N/A</v>
          </cell>
          <cell r="G354" t="e">
            <v>#N/A</v>
          </cell>
        </row>
        <row r="355">
          <cell r="A355">
            <v>40480</v>
          </cell>
          <cell r="B355" t="str">
            <v>Corpo BDTC (grota) diâmetro 1,20 m CA-1 MF exclusive escavação e reaterro, inclusive transporte do tubo</v>
          </cell>
          <cell r="C355" t="str">
            <v>m</v>
          </cell>
          <cell r="D355">
            <v>1115.9100000000001</v>
          </cell>
          <cell r="E355" t="str">
            <v>A incluir</v>
          </cell>
          <cell r="F355" t="e">
            <v>#N/A</v>
          </cell>
          <cell r="G355" t="e">
            <v>#N/A</v>
          </cell>
        </row>
        <row r="356">
          <cell r="A356">
            <v>40481</v>
          </cell>
          <cell r="B356" t="str">
            <v>Corpo BDTC (grota) diâmetro 1,20 m CA-1 PB exclusive escavação e reaterro, inclusive transporte do tubo</v>
          </cell>
          <cell r="C356" t="str">
            <v>m</v>
          </cell>
          <cell r="D356">
            <v>1147.55</v>
          </cell>
          <cell r="E356" t="str">
            <v>A incluir</v>
          </cell>
          <cell r="F356" t="e">
            <v>#N/A</v>
          </cell>
          <cell r="G356" t="e">
            <v>#N/A</v>
          </cell>
        </row>
        <row r="357">
          <cell r="A357">
            <v>40482</v>
          </cell>
          <cell r="B357" t="str">
            <v>Corpo BDTC (grota) diâmetro 1,20 m CA-2 MF exclusive escavação e reaterro, inclusive transporte do tubo</v>
          </cell>
          <cell r="C357" t="str">
            <v>m</v>
          </cell>
          <cell r="D357">
            <v>1127.92</v>
          </cell>
          <cell r="E357" t="str">
            <v>A incluir</v>
          </cell>
          <cell r="F357" t="e">
            <v>#N/A</v>
          </cell>
          <cell r="G357" t="e">
            <v>#N/A</v>
          </cell>
        </row>
        <row r="358">
          <cell r="A358">
            <v>40483</v>
          </cell>
          <cell r="B358" t="str">
            <v>Corpo BDTC (grota) diâmetro 1,20 m CA-2 PB exclusive escavação e reaterro, inclusive transporte do tubo</v>
          </cell>
          <cell r="C358" t="str">
            <v>m</v>
          </cell>
          <cell r="D358">
            <v>1208.22</v>
          </cell>
          <cell r="E358" t="str">
            <v>A incluir</v>
          </cell>
          <cell r="F358">
            <v>1312.86</v>
          </cell>
          <cell r="G358">
            <v>1.08660674380494</v>
          </cell>
        </row>
        <row r="359">
          <cell r="A359">
            <v>40484</v>
          </cell>
          <cell r="B359" t="str">
            <v>Corpo BDTC (grota) diâmetro 1,20 m CA-3 MF exclusive escavação e reaterro, inclusive transporte do tubo</v>
          </cell>
          <cell r="C359" t="str">
            <v>m</v>
          </cell>
          <cell r="D359">
            <v>1177.57</v>
          </cell>
          <cell r="E359" t="str">
            <v>A incluir</v>
          </cell>
          <cell r="F359" t="e">
            <v>#N/A</v>
          </cell>
          <cell r="G359" t="e">
            <v>#N/A</v>
          </cell>
        </row>
        <row r="360">
          <cell r="A360">
            <v>40485</v>
          </cell>
          <cell r="B360" t="str">
            <v>Corpo BDTC (grota) diâmetro 1,50 m CA-1 MF exclusive escavação e reaterro, inclusive transporte do tubo</v>
          </cell>
          <cell r="C360" t="str">
            <v>m</v>
          </cell>
          <cell r="D360">
            <v>1873.76</v>
          </cell>
          <cell r="E360" t="str">
            <v>A incluir</v>
          </cell>
          <cell r="F360" t="e">
            <v>#N/A</v>
          </cell>
          <cell r="G360" t="e">
            <v>#N/A</v>
          </cell>
        </row>
        <row r="361">
          <cell r="A361">
            <v>40486</v>
          </cell>
          <cell r="B361" t="str">
            <v>Corpo BDTC (grota) diâmetro 1,50 m CA-1 PB exclusive escavação e reaterro, inclusive transporte do tubo</v>
          </cell>
          <cell r="C361" t="str">
            <v>m</v>
          </cell>
          <cell r="D361">
            <v>1618.02</v>
          </cell>
          <cell r="E361" t="str">
            <v>A incluir</v>
          </cell>
          <cell r="F361" t="e">
            <v>#N/A</v>
          </cell>
          <cell r="G361" t="e">
            <v>#N/A</v>
          </cell>
        </row>
        <row r="362">
          <cell r="A362">
            <v>40487</v>
          </cell>
          <cell r="B362" t="str">
            <v>Corpo BDTC (grota) diâmetro 1,50 m CA-2 MF exclusive escavação e reaterro, inclusive transporte do tubo</v>
          </cell>
          <cell r="C362" t="str">
            <v>m</v>
          </cell>
          <cell r="D362">
            <v>1874.37</v>
          </cell>
          <cell r="E362" t="str">
            <v>A incluir</v>
          </cell>
          <cell r="F362" t="e">
            <v>#N/A</v>
          </cell>
          <cell r="G362" t="e">
            <v>#N/A</v>
          </cell>
        </row>
        <row r="363">
          <cell r="A363">
            <v>40488</v>
          </cell>
          <cell r="B363" t="str">
            <v>Corpo BDTC (grota) diâmetro 1,50 m CA-2 PB exclusive escavação e reaterro, inclusive transporte do tubo</v>
          </cell>
          <cell r="C363" t="str">
            <v>m</v>
          </cell>
          <cell r="D363">
            <v>1700.64</v>
          </cell>
          <cell r="E363" t="str">
            <v>A incluir</v>
          </cell>
          <cell r="F363" t="e">
            <v>#N/A</v>
          </cell>
          <cell r="G363" t="e">
            <v>#N/A</v>
          </cell>
        </row>
        <row r="364">
          <cell r="A364">
            <v>40489</v>
          </cell>
          <cell r="B364" t="str">
            <v>Corpo BDTC (grota) diâmetro 1,50 m CA-3 MF exclusive escavação e reaterro, inclusive transporte do tubo</v>
          </cell>
          <cell r="C364" t="str">
            <v>m</v>
          </cell>
          <cell r="D364">
            <v>1454.37</v>
          </cell>
          <cell r="E364" t="str">
            <v>A incluir</v>
          </cell>
          <cell r="F364" t="e">
            <v>#N/A</v>
          </cell>
          <cell r="G364" t="e">
            <v>#N/A</v>
          </cell>
        </row>
        <row r="365">
          <cell r="A365">
            <v>40417</v>
          </cell>
          <cell r="B365" t="str">
            <v>Corpo BSTC diâmetro 0,20 m C.S. MF inclusive escavação, reaterro e transporte do tubo</v>
          </cell>
          <cell r="C365" t="str">
            <v>m</v>
          </cell>
          <cell r="D365">
            <v>85.38</v>
          </cell>
          <cell r="E365" t="str">
            <v>A incluir</v>
          </cell>
          <cell r="F365" t="e">
            <v>#N/A</v>
          </cell>
          <cell r="G365" t="e">
            <v>#N/A</v>
          </cell>
        </row>
        <row r="366">
          <cell r="A366">
            <v>40418</v>
          </cell>
          <cell r="B366" t="str">
            <v>Corpo BSTC diâmetro 0,20 m C.S. PB inclusive escavação, reaterro e transporte do tubo</v>
          </cell>
          <cell r="C366" t="str">
            <v>m</v>
          </cell>
          <cell r="D366">
            <v>85.38</v>
          </cell>
          <cell r="E366" t="str">
            <v>A incluir</v>
          </cell>
          <cell r="F366" t="e">
            <v>#N/A</v>
          </cell>
          <cell r="G366" t="e">
            <v>#N/A</v>
          </cell>
        </row>
        <row r="367">
          <cell r="A367">
            <v>40419</v>
          </cell>
          <cell r="B367" t="str">
            <v>Corpo BSTC diâmetro 0,30 m C.S. MF inclusive escavação, reaterro e transporte do tubo</v>
          </cell>
          <cell r="C367" t="str">
            <v>m</v>
          </cell>
          <cell r="D367">
            <v>108.73</v>
          </cell>
          <cell r="E367" t="str">
            <v>A incluir</v>
          </cell>
          <cell r="F367" t="e">
            <v>#N/A</v>
          </cell>
          <cell r="G367" t="e">
            <v>#N/A</v>
          </cell>
        </row>
        <row r="368">
          <cell r="A368">
            <v>40420</v>
          </cell>
          <cell r="B368" t="str">
            <v>Corpo BSTC diâmetro 0,30 m C.S. PB inclusive escavação, reaterro e transporte do tubo</v>
          </cell>
          <cell r="C368" t="str">
            <v>m</v>
          </cell>
          <cell r="D368">
            <v>108.15</v>
          </cell>
          <cell r="E368" t="str">
            <v>A incluir</v>
          </cell>
          <cell r="F368" t="e">
            <v>#N/A</v>
          </cell>
          <cell r="G368" t="e">
            <v>#N/A</v>
          </cell>
        </row>
        <row r="369">
          <cell r="A369">
            <v>40422</v>
          </cell>
          <cell r="B369" t="str">
            <v>Corpo BSTC diâmetro 0,40 m C.S. MF inclusive escavação, reaterro e transporte do tubo</v>
          </cell>
          <cell r="C369" t="str">
            <v>m</v>
          </cell>
          <cell r="D369">
            <v>145.27000000000001</v>
          </cell>
          <cell r="E369" t="str">
            <v>A incluir</v>
          </cell>
          <cell r="F369" t="e">
            <v>#N/A</v>
          </cell>
          <cell r="G369" t="e">
            <v>#N/A</v>
          </cell>
        </row>
        <row r="370">
          <cell r="A370">
            <v>40423</v>
          </cell>
          <cell r="B370" t="str">
            <v>Corpo BSTC diâmetro 0,40 m C.S. PB inclusive escavação, reaterro e transporte do tubo</v>
          </cell>
          <cell r="C370" t="str">
            <v>m</v>
          </cell>
          <cell r="D370">
            <v>140.15</v>
          </cell>
          <cell r="E370" t="str">
            <v>A incluir</v>
          </cell>
          <cell r="F370" t="e">
            <v>#N/A</v>
          </cell>
          <cell r="G370" t="e">
            <v>#N/A</v>
          </cell>
        </row>
        <row r="371">
          <cell r="A371">
            <v>40426</v>
          </cell>
          <cell r="B371" t="str">
            <v>Corpo BSTC diâmetro 0,60 m C.S. MF inclusive escavação, reaterro e transporte do tubo</v>
          </cell>
          <cell r="C371" t="str">
            <v>m</v>
          </cell>
          <cell r="D371">
            <v>236.31</v>
          </cell>
          <cell r="E371" t="str">
            <v>A incluir</v>
          </cell>
          <cell r="F371" t="e">
            <v>#N/A</v>
          </cell>
          <cell r="G371" t="e">
            <v>#N/A</v>
          </cell>
        </row>
        <row r="372">
          <cell r="A372">
            <v>40427</v>
          </cell>
          <cell r="B372" t="str">
            <v>Corpo BSTC diâmetro 0,60 m C.S. PB inclusive escavação, reaterro e transporte do tubo</v>
          </cell>
          <cell r="C372" t="str">
            <v>m</v>
          </cell>
          <cell r="D372">
            <v>228.61</v>
          </cell>
          <cell r="E372" t="str">
            <v>A incluir</v>
          </cell>
          <cell r="F372" t="e">
            <v>#N/A</v>
          </cell>
          <cell r="G372" t="e">
            <v>#N/A</v>
          </cell>
        </row>
        <row r="373">
          <cell r="A373">
            <v>40421</v>
          </cell>
          <cell r="B373" t="str">
            <v>Corpo BSTC (greide) diâmetro 0,30 m CA-1 MF inclusive escavação, reaterro e transporte do tubo</v>
          </cell>
          <cell r="C373" t="str">
            <v>m</v>
          </cell>
          <cell r="D373">
            <v>111.19</v>
          </cell>
          <cell r="E373" t="str">
            <v>A incluir</v>
          </cell>
          <cell r="F373">
            <v>114.29</v>
          </cell>
          <cell r="G373">
            <v>1.02788020505441</v>
          </cell>
        </row>
        <row r="374">
          <cell r="A374">
            <v>40424</v>
          </cell>
          <cell r="B374" t="str">
            <v>Corpo BSTC (greide) diâmetro 0,40 m CA-1 MF inclusive escavação, reaterro e transporte do tubo</v>
          </cell>
          <cell r="C374" t="str">
            <v>m</v>
          </cell>
          <cell r="D374">
            <v>155.13</v>
          </cell>
          <cell r="E374" t="str">
            <v>A incluir</v>
          </cell>
          <cell r="F374" t="e">
            <v>#N/A</v>
          </cell>
          <cell r="G374" t="e">
            <v>#N/A</v>
          </cell>
        </row>
        <row r="375">
          <cell r="A375">
            <v>40425</v>
          </cell>
          <cell r="B375" t="str">
            <v>Corpo BSTC (greide) diâmetro 0,40 m CA-2 MF inclusive escavação, reaterro e transporte do tubo</v>
          </cell>
          <cell r="C375" t="str">
            <v>m</v>
          </cell>
          <cell r="D375">
            <v>161.91</v>
          </cell>
          <cell r="E375" t="str">
            <v>A incluir</v>
          </cell>
          <cell r="F375" t="e">
            <v>#N/A</v>
          </cell>
          <cell r="G375" t="e">
            <v>#N/A</v>
          </cell>
        </row>
        <row r="376">
          <cell r="A376">
            <v>40428</v>
          </cell>
          <cell r="B376" t="str">
            <v>Corpo BSTC (greide) diâmetro 0,60 m CA-1 MF inclusive escavação, reaterro e transporte do tubo</v>
          </cell>
          <cell r="C376" t="str">
            <v>m</v>
          </cell>
          <cell r="D376">
            <v>248.68</v>
          </cell>
          <cell r="E376" t="str">
            <v>A incluir</v>
          </cell>
          <cell r="F376" t="e">
            <v>#N/A</v>
          </cell>
          <cell r="G376" t="e">
            <v>#N/A</v>
          </cell>
        </row>
        <row r="377">
          <cell r="A377">
            <v>40429</v>
          </cell>
          <cell r="B377" t="str">
            <v>Corpo BSTC (greide) diâmetro 0,60 m CA-1 PB inclusive escavação, reaterro e transporte do tubo</v>
          </cell>
          <cell r="C377" t="str">
            <v>m</v>
          </cell>
          <cell r="D377">
            <v>250.56</v>
          </cell>
          <cell r="E377" t="str">
            <v>A incluir</v>
          </cell>
          <cell r="F377">
            <v>262.52</v>
          </cell>
          <cell r="G377">
            <v>1.0477330779054901</v>
          </cell>
        </row>
        <row r="378">
          <cell r="A378">
            <v>40430</v>
          </cell>
          <cell r="B378" t="str">
            <v>Corpo BSTC (greide) diâmetro 0,60 m CA-2 MF inclusive escavação, reaterro e transporte do tubo</v>
          </cell>
          <cell r="C378" t="str">
            <v>m</v>
          </cell>
          <cell r="D378">
            <v>242.48</v>
          </cell>
          <cell r="E378" t="str">
            <v>A incluir</v>
          </cell>
          <cell r="F378" t="e">
            <v>#N/A</v>
          </cell>
          <cell r="G378" t="e">
            <v>#N/A</v>
          </cell>
        </row>
        <row r="379">
          <cell r="A379">
            <v>40431</v>
          </cell>
          <cell r="B379" t="str">
            <v>Corpo BSTC (greide) diâmetro 0,60 m CA-2 PB inclusive escavação, reaterro e transporte do tubo</v>
          </cell>
          <cell r="C379" t="str">
            <v>m</v>
          </cell>
          <cell r="D379">
            <v>245.81</v>
          </cell>
          <cell r="E379" t="str">
            <v>A incluir</v>
          </cell>
          <cell r="F379" t="e">
            <v>#N/A</v>
          </cell>
          <cell r="G379" t="e">
            <v>#N/A</v>
          </cell>
        </row>
        <row r="380">
          <cell r="A380">
            <v>40432</v>
          </cell>
          <cell r="B380" t="str">
            <v>Corpo BSTC (greide) diâmetro 0,80 m CA-1 MF inclusive escavação, reaterro e transporte do tubo</v>
          </cell>
          <cell r="C380" t="str">
            <v>m</v>
          </cell>
          <cell r="D380">
            <v>477.02</v>
          </cell>
          <cell r="E380" t="str">
            <v>A incluir</v>
          </cell>
          <cell r="F380" t="e">
            <v>#N/A</v>
          </cell>
          <cell r="G380" t="e">
            <v>#N/A</v>
          </cell>
        </row>
        <row r="381">
          <cell r="A381">
            <v>40433</v>
          </cell>
          <cell r="B381" t="str">
            <v>Corpo BSTC (greide) diâmetro 0,80 m CA-1 PB inclusive escavação, reaterro e transporte do tubo</v>
          </cell>
          <cell r="C381" t="str">
            <v>m</v>
          </cell>
          <cell r="D381">
            <v>479.28</v>
          </cell>
          <cell r="E381" t="str">
            <v>A incluir</v>
          </cell>
          <cell r="F381">
            <v>503.23</v>
          </cell>
          <cell r="G381">
            <v>1.04997078951761</v>
          </cell>
        </row>
        <row r="382">
          <cell r="A382">
            <v>40434</v>
          </cell>
          <cell r="B382" t="str">
            <v>Corpo BSTC (greide) diâmetro 0,80 m CA-2 MF inclusive escavação, reaterro e transporte do tubo</v>
          </cell>
          <cell r="C382" t="str">
            <v>m</v>
          </cell>
          <cell r="D382">
            <v>470.73</v>
          </cell>
          <cell r="E382" t="str">
            <v>A incluir</v>
          </cell>
          <cell r="F382" t="e">
            <v>#N/A</v>
          </cell>
          <cell r="G382" t="e">
            <v>#N/A</v>
          </cell>
        </row>
        <row r="383">
          <cell r="A383">
            <v>40435</v>
          </cell>
          <cell r="B383" t="str">
            <v>Corpo BSTC (greide) diâmetro 0,80 m CA-2 PB inclusive escavação, reaterro e transporte do tubo</v>
          </cell>
          <cell r="C383" t="str">
            <v>m</v>
          </cell>
          <cell r="D383">
            <v>490.78</v>
          </cell>
          <cell r="E383" t="str">
            <v>A incluir</v>
          </cell>
          <cell r="F383" t="e">
            <v>#N/A</v>
          </cell>
          <cell r="G383" t="e">
            <v>#N/A</v>
          </cell>
        </row>
        <row r="384">
          <cell r="A384">
            <v>40436</v>
          </cell>
          <cell r="B384" t="str">
            <v>Corpo BSTC (greide) diâmetro 1,00 m CA-1 MF inclusive escavação, reaterro e transporte do tubo</v>
          </cell>
          <cell r="C384" t="str">
            <v>m</v>
          </cell>
          <cell r="D384">
            <v>638.35</v>
          </cell>
          <cell r="E384" t="str">
            <v>A incluir</v>
          </cell>
          <cell r="F384" t="e">
            <v>#N/A</v>
          </cell>
          <cell r="G384" t="e">
            <v>#N/A</v>
          </cell>
        </row>
        <row r="385">
          <cell r="A385">
            <v>40437</v>
          </cell>
          <cell r="B385" t="str">
            <v>Corpo BSTC (greide) diâmetro 1,00 m CA-1 PB inclusive escavação, reaterro e transporte do tubo</v>
          </cell>
          <cell r="C385" t="str">
            <v>m</v>
          </cell>
          <cell r="D385">
            <v>637.15</v>
          </cell>
          <cell r="E385" t="str">
            <v>A incluir</v>
          </cell>
          <cell r="F385" t="e">
            <v>#N/A</v>
          </cell>
          <cell r="G385" t="e">
            <v>#N/A</v>
          </cell>
        </row>
        <row r="386">
          <cell r="A386">
            <v>40438</v>
          </cell>
          <cell r="B386" t="str">
            <v>Corpo BSTC (greide) diâmetro 1,00 m CA-2 MF inclusive escavação, reaterro e transporte do tubo</v>
          </cell>
          <cell r="C386" t="str">
            <v>m</v>
          </cell>
          <cell r="D386">
            <v>675.34</v>
          </cell>
          <cell r="E386" t="str">
            <v>A incluir</v>
          </cell>
          <cell r="F386" t="e">
            <v>#N/A</v>
          </cell>
          <cell r="G386" t="e">
            <v>#N/A</v>
          </cell>
        </row>
        <row r="387">
          <cell r="A387">
            <v>40439</v>
          </cell>
          <cell r="B387" t="str">
            <v>Corpo BSTC (greide) diâmetro 1,00 m CA-2 PB inclusive escavação, reaterro e transporte do tubo</v>
          </cell>
          <cell r="C387" t="str">
            <v>m</v>
          </cell>
          <cell r="D387">
            <v>659.12</v>
          </cell>
          <cell r="E387" t="str">
            <v>A incluir</v>
          </cell>
          <cell r="F387" t="e">
            <v>#N/A</v>
          </cell>
          <cell r="G387" t="e">
            <v>#N/A</v>
          </cell>
        </row>
        <row r="388">
          <cell r="A388">
            <v>40440</v>
          </cell>
          <cell r="B388" t="str">
            <v>Corpo BSTC (greide) diâmetro 1,20 m CA-1 MF inclusive escavação, reaterro e transporte do tubo</v>
          </cell>
          <cell r="C388" t="str">
            <v>m</v>
          </cell>
          <cell r="D388">
            <v>890.14</v>
          </cell>
          <cell r="E388" t="str">
            <v>A incluir</v>
          </cell>
          <cell r="F388" t="e">
            <v>#N/A</v>
          </cell>
          <cell r="G388" t="e">
            <v>#N/A</v>
          </cell>
        </row>
        <row r="389">
          <cell r="A389">
            <v>40441</v>
          </cell>
          <cell r="B389" t="str">
            <v>Corpo BSTC (greide) diâmetro 1,20 m CA-1 PB inclusive escavação, reaterro e transporte do tubo</v>
          </cell>
          <cell r="C389" t="str">
            <v>m</v>
          </cell>
          <cell r="D389">
            <v>905.97</v>
          </cell>
          <cell r="E389" t="str">
            <v>A incluir</v>
          </cell>
          <cell r="F389" t="e">
            <v>#N/A</v>
          </cell>
          <cell r="G389" t="e">
            <v>#N/A</v>
          </cell>
        </row>
        <row r="390">
          <cell r="A390">
            <v>40442</v>
          </cell>
          <cell r="B390" t="str">
            <v>Corpo BSTC (greide) diâmetro 1,20 m CA-2 MF inclusive escavação, reaterro e transporte do tubo</v>
          </cell>
          <cell r="C390" t="str">
            <v>m</v>
          </cell>
          <cell r="D390">
            <v>896.15</v>
          </cell>
          <cell r="E390" t="str">
            <v>A incluir</v>
          </cell>
          <cell r="F390" t="e">
            <v>#N/A</v>
          </cell>
          <cell r="G390" t="e">
            <v>#N/A</v>
          </cell>
        </row>
        <row r="391">
          <cell r="A391">
            <v>40443</v>
          </cell>
          <cell r="B391" t="str">
            <v>Corpo BSTC (greide) diâmetro 1,20 m CA-2 PB inclusive escavação, reaterro e transporte do tubo</v>
          </cell>
          <cell r="C391" t="str">
            <v>m</v>
          </cell>
          <cell r="D391">
            <v>936.3</v>
          </cell>
          <cell r="E391" t="str">
            <v>A incluir</v>
          </cell>
          <cell r="F391" t="e">
            <v>#N/A</v>
          </cell>
          <cell r="G391" t="e">
            <v>#N/A</v>
          </cell>
        </row>
        <row r="392">
          <cell r="A392">
            <v>40444</v>
          </cell>
          <cell r="B392" t="str">
            <v>Corpo BSTC (grota) diâmetro 0,60 m CA-1 MF exclusive escavação e reaterro, inclusive transporte do tubo</v>
          </cell>
          <cell r="C392" t="str">
            <v>m</v>
          </cell>
          <cell r="D392">
            <v>152.41</v>
          </cell>
          <cell r="E392" t="str">
            <v>A incluir</v>
          </cell>
          <cell r="F392" t="e">
            <v>#N/A</v>
          </cell>
          <cell r="G392" t="e">
            <v>#N/A</v>
          </cell>
        </row>
        <row r="393">
          <cell r="A393">
            <v>40445</v>
          </cell>
          <cell r="B393" t="str">
            <v>Corpo BSTC (grota) diâmetro 0,60 m CA-1 PB exclusive escavação e reaterro, inclusive transporte do tubo</v>
          </cell>
          <cell r="C393" t="str">
            <v>m</v>
          </cell>
          <cell r="D393">
            <v>154.28</v>
          </cell>
          <cell r="E393" t="str">
            <v>A incluir</v>
          </cell>
          <cell r="F393" t="e">
            <v>#N/A</v>
          </cell>
          <cell r="G393" t="e">
            <v>#N/A</v>
          </cell>
        </row>
        <row r="394">
          <cell r="A394">
            <v>40446</v>
          </cell>
          <cell r="B394" t="str">
            <v>Corpo BSTC (grota) diâmetro 0,60 m CA-2 MF exclusive escavação e reaterro, inclusive transporte do tubo</v>
          </cell>
          <cell r="C394" t="str">
            <v>m</v>
          </cell>
          <cell r="D394">
            <v>146.19999999999999</v>
          </cell>
          <cell r="E394" t="str">
            <v>A incluir</v>
          </cell>
          <cell r="F394" t="e">
            <v>#N/A</v>
          </cell>
          <cell r="G394" t="e">
            <v>#N/A</v>
          </cell>
        </row>
        <row r="395">
          <cell r="A395">
            <v>40447</v>
          </cell>
          <cell r="B395" t="str">
            <v>Corpo BSTC (grota) diâmetro 0,60 m CA-2 PB exclusive escavação e reaterro, inclusive transporte do tubo</v>
          </cell>
          <cell r="C395" t="str">
            <v>m</v>
          </cell>
          <cell r="D395">
            <v>149.53</v>
          </cell>
          <cell r="E395" t="str">
            <v>A incluir</v>
          </cell>
          <cell r="F395" t="e">
            <v>#N/A</v>
          </cell>
          <cell r="G395" t="e">
            <v>#N/A</v>
          </cell>
        </row>
        <row r="396">
          <cell r="A396">
            <v>40448</v>
          </cell>
          <cell r="B396" t="str">
            <v>Corpo BSTC (grota) diâmetro 0,80 m CA-1 MF exclusive escavação e reaterro, inclusive transporte do tubo</v>
          </cell>
          <cell r="C396" t="str">
            <v>m</v>
          </cell>
          <cell r="D396">
            <v>341.37</v>
          </cell>
          <cell r="E396" t="str">
            <v>A incluir</v>
          </cell>
          <cell r="F396" t="e">
            <v>#N/A</v>
          </cell>
          <cell r="G396" t="e">
            <v>#N/A</v>
          </cell>
        </row>
        <row r="397">
          <cell r="A397">
            <v>40449</v>
          </cell>
          <cell r="B397" t="str">
            <v>Corpo BSTC (grota) diâmetro 0,80 m CA-1 PB exclusive escavação e reaterro, inclusive transporte do tubo</v>
          </cell>
          <cell r="C397" t="str">
            <v>m</v>
          </cell>
          <cell r="D397">
            <v>343.63</v>
          </cell>
          <cell r="E397" t="str">
            <v>A incluir</v>
          </cell>
          <cell r="F397" t="e">
            <v>#N/A</v>
          </cell>
          <cell r="G397" t="e">
            <v>#N/A</v>
          </cell>
        </row>
        <row r="398">
          <cell r="A398">
            <v>40450</v>
          </cell>
          <cell r="B398" t="str">
            <v>Corpo BSTC (grota) diâmetro 0,80 m CA-2 MF exclusive escavação e reaterro, inclusive transporte do tubo</v>
          </cell>
          <cell r="C398" t="str">
            <v>m</v>
          </cell>
          <cell r="D398">
            <v>335.08</v>
          </cell>
          <cell r="E398" t="str">
            <v>A incluir</v>
          </cell>
          <cell r="F398" t="e">
            <v>#N/A</v>
          </cell>
          <cell r="G398" t="e">
            <v>#N/A</v>
          </cell>
        </row>
        <row r="399">
          <cell r="A399">
            <v>40451</v>
          </cell>
          <cell r="B399" t="str">
            <v>Corpo BSTC (grota) diâmetro 0,80 m CA-2 PB exclusive escavação e reaterro, inclusive transporte do tubo</v>
          </cell>
          <cell r="C399" t="str">
            <v>m</v>
          </cell>
          <cell r="D399">
            <v>355.13</v>
          </cell>
          <cell r="E399" t="str">
            <v>A incluir</v>
          </cell>
          <cell r="F399" t="e">
            <v>#N/A</v>
          </cell>
          <cell r="G399" t="e">
            <v>#N/A</v>
          </cell>
        </row>
        <row r="400">
          <cell r="A400">
            <v>40452</v>
          </cell>
          <cell r="B400" t="str">
            <v>Corpo BSTC (grota) diâmetro 1,00 m CA-1 MF exclusive escavação e reaterro, inclusive transporte do tubo</v>
          </cell>
          <cell r="C400" t="str">
            <v>m</v>
          </cell>
          <cell r="D400">
            <v>420.16</v>
          </cell>
          <cell r="E400" t="str">
            <v>A incluir</v>
          </cell>
          <cell r="F400" t="e">
            <v>#N/A</v>
          </cell>
          <cell r="G400" t="e">
            <v>#N/A</v>
          </cell>
        </row>
        <row r="401">
          <cell r="A401">
            <v>40453</v>
          </cell>
          <cell r="B401" t="str">
            <v>Corpo BSTC (grota) diâmetro 1,00 m CA-1 PB exclusive escavação e reaterro, inclusive transporte do tubo</v>
          </cell>
          <cell r="C401" t="str">
            <v>m</v>
          </cell>
          <cell r="D401">
            <v>418.96</v>
          </cell>
          <cell r="E401" t="str">
            <v>A incluir</v>
          </cell>
          <cell r="F401" t="e">
            <v>#N/A</v>
          </cell>
          <cell r="G401" t="e">
            <v>#N/A</v>
          </cell>
        </row>
        <row r="402">
          <cell r="A402">
            <v>40454</v>
          </cell>
          <cell r="B402" t="str">
            <v>Corpo BSTC (grota) diâmetro 1,00 m CA-2 MF exclusive escavação e reaterro, inclusive transporte do tubo</v>
          </cell>
          <cell r="C402" t="str">
            <v>m</v>
          </cell>
          <cell r="D402">
            <v>457.15</v>
          </cell>
          <cell r="E402" t="str">
            <v>A incluir</v>
          </cell>
          <cell r="F402" t="e">
            <v>#N/A</v>
          </cell>
          <cell r="G402" t="e">
            <v>#N/A</v>
          </cell>
        </row>
        <row r="403">
          <cell r="A403">
            <v>40455</v>
          </cell>
          <cell r="B403" t="str">
            <v>Corpo BSTC (grota) diâmetro 1,00 m CA-2 PB exclusive escavação e reaterro, inclusive transporte do tubo</v>
          </cell>
          <cell r="C403" t="str">
            <v>m</v>
          </cell>
          <cell r="D403">
            <v>440.93</v>
          </cell>
          <cell r="E403" t="str">
            <v>A incluir</v>
          </cell>
          <cell r="F403" t="e">
            <v>#N/A</v>
          </cell>
          <cell r="G403" t="e">
            <v>#N/A</v>
          </cell>
        </row>
        <row r="404">
          <cell r="A404">
            <v>40456</v>
          </cell>
          <cell r="B404" t="str">
            <v>Corpo BSTC (grota) diâmetro 1,00 m CA-3 MF exclusive escavação e reaterro, inclusive transporte do tubo</v>
          </cell>
          <cell r="C404" t="str">
            <v>m</v>
          </cell>
          <cell r="D404">
            <v>457.03</v>
          </cell>
          <cell r="E404" t="str">
            <v>A incluir</v>
          </cell>
          <cell r="F404" t="e">
            <v>#N/A</v>
          </cell>
          <cell r="G404" t="e">
            <v>#N/A</v>
          </cell>
        </row>
        <row r="405">
          <cell r="A405">
            <v>40457</v>
          </cell>
          <cell r="B405" t="str">
            <v>Corpo BSTC (grota) diâmetro 1,20 m CA-1 MF exclusive escavação e reaterro, inclusive transporte do tubo</v>
          </cell>
          <cell r="C405" t="str">
            <v>m</v>
          </cell>
          <cell r="D405">
            <v>595.09</v>
          </cell>
          <cell r="E405" t="str">
            <v>A incluir</v>
          </cell>
          <cell r="F405" t="e">
            <v>#N/A</v>
          </cell>
          <cell r="G405" t="e">
            <v>#N/A</v>
          </cell>
        </row>
        <row r="406">
          <cell r="A406">
            <v>40458</v>
          </cell>
          <cell r="B406" t="str">
            <v>Corpo BSTC (grota) diâmetro 1,20 m CA-1 PB exclusive escavação e reaterro, inclusive transporte do tubo</v>
          </cell>
          <cell r="C406" t="str">
            <v>m</v>
          </cell>
          <cell r="D406">
            <v>610.91</v>
          </cell>
          <cell r="E406" t="str">
            <v>A incluir</v>
          </cell>
          <cell r="F406" t="e">
            <v>#N/A</v>
          </cell>
          <cell r="G406" t="e">
            <v>#N/A</v>
          </cell>
        </row>
        <row r="407">
          <cell r="A407">
            <v>40459</v>
          </cell>
          <cell r="B407" t="str">
            <v>Corpo BSTC (grota) diâmetro 1,20 m CA-2 MF exclusive escavação e reaterro, inclusive transporte do tubo</v>
          </cell>
          <cell r="C407" t="str">
            <v>m</v>
          </cell>
          <cell r="D407">
            <v>601.09</v>
          </cell>
          <cell r="E407" t="str">
            <v>A incluir</v>
          </cell>
          <cell r="F407" t="e">
            <v>#N/A</v>
          </cell>
          <cell r="G407" t="e">
            <v>#N/A</v>
          </cell>
        </row>
        <row r="408">
          <cell r="A408">
            <v>40460</v>
          </cell>
          <cell r="B408" t="str">
            <v>Corpo BSTC (grota) diâmetro 1,20 m CA-2 PB exclusive escavação e reaterro, inclusive transporte do tubo</v>
          </cell>
          <cell r="C408" t="str">
            <v>m</v>
          </cell>
          <cell r="D408">
            <v>641.25</v>
          </cell>
          <cell r="E408" t="str">
            <v>A incluir</v>
          </cell>
          <cell r="F408" t="e">
            <v>#N/A</v>
          </cell>
          <cell r="G408" t="e">
            <v>#N/A</v>
          </cell>
        </row>
        <row r="409">
          <cell r="A409">
            <v>40461</v>
          </cell>
          <cell r="B409" t="str">
            <v>Corpo BSTC (grota) diâmetro 1,20 m CA-3 MF exclusive escavação e reaterro, inclusive transporte do tubo</v>
          </cell>
          <cell r="C409" t="str">
            <v>m</v>
          </cell>
          <cell r="D409">
            <v>625.91999999999996</v>
          </cell>
          <cell r="E409" t="str">
            <v>A incluir</v>
          </cell>
          <cell r="F409" t="e">
            <v>#N/A</v>
          </cell>
          <cell r="G409" t="e">
            <v>#N/A</v>
          </cell>
        </row>
        <row r="410">
          <cell r="A410">
            <v>40462</v>
          </cell>
          <cell r="B410" t="str">
            <v>Corpo BSTC (grota) diâmetro 1,50 m CA-1 MF exclusive escavação e reaterro, inclusive transporte do tubo</v>
          </cell>
          <cell r="C410" t="str">
            <v>m</v>
          </cell>
          <cell r="D410">
            <v>971.03</v>
          </cell>
          <cell r="E410" t="str">
            <v>A incluir</v>
          </cell>
          <cell r="F410" t="e">
            <v>#N/A</v>
          </cell>
          <cell r="G410" t="e">
            <v>#N/A</v>
          </cell>
        </row>
        <row r="411">
          <cell r="A411">
            <v>40463</v>
          </cell>
          <cell r="B411" t="str">
            <v>Corpo BSTC (grota) diâmetro 1,50 m CA-1 PB exclusive escavação e reaterro, inclusive transporte do tubo</v>
          </cell>
          <cell r="C411" t="str">
            <v>m</v>
          </cell>
          <cell r="D411">
            <v>843.16</v>
          </cell>
          <cell r="E411" t="str">
            <v>A incluir</v>
          </cell>
          <cell r="F411" t="e">
            <v>#N/A</v>
          </cell>
          <cell r="G411" t="e">
            <v>#N/A</v>
          </cell>
        </row>
        <row r="412">
          <cell r="A412">
            <v>40464</v>
          </cell>
          <cell r="B412" t="str">
            <v>Corpo BSTC (grota) diâmetro 1,50 m CA-2 MF exclusive escavação e reaterro, inclusive transporte do tubo</v>
          </cell>
          <cell r="C412" t="str">
            <v>m</v>
          </cell>
          <cell r="D412">
            <v>971.34</v>
          </cell>
          <cell r="E412" t="str">
            <v>A incluir</v>
          </cell>
          <cell r="F412" t="e">
            <v>#N/A</v>
          </cell>
          <cell r="G412" t="e">
            <v>#N/A</v>
          </cell>
        </row>
        <row r="413">
          <cell r="A413">
            <v>40465</v>
          </cell>
          <cell r="B413" t="str">
            <v>Corpo BSTC (grota) diâmetro 1,50 m CA-2 PB exclusive escavação e reaterro, inclusive transporte do tubo</v>
          </cell>
          <cell r="C413" t="str">
            <v>m</v>
          </cell>
          <cell r="D413">
            <v>884.47</v>
          </cell>
          <cell r="E413" t="str">
            <v>A incluir</v>
          </cell>
          <cell r="F413" t="e">
            <v>#N/A</v>
          </cell>
          <cell r="G413" t="e">
            <v>#N/A</v>
          </cell>
        </row>
        <row r="414">
          <cell r="A414">
            <v>40466</v>
          </cell>
          <cell r="B414" t="str">
            <v>Corpo BSTC (grota) diâmetro 1,50 m CA-3 MF exclusive escavação e reaterro, inclusive transporte do tubo</v>
          </cell>
          <cell r="C414" t="str">
            <v>m</v>
          </cell>
          <cell r="D414">
            <v>761.34</v>
          </cell>
          <cell r="E414" t="str">
            <v>A incluir</v>
          </cell>
          <cell r="F414" t="e">
            <v>#N/A</v>
          </cell>
          <cell r="G414" t="e">
            <v>#N/A</v>
          </cell>
        </row>
        <row r="415">
          <cell r="A415">
            <v>40490</v>
          </cell>
          <cell r="B415" t="str">
            <v>Corpo BTTC (grota) diâmetro 0,60 m CA-1 MF exclusive escavação e reaterro, inclusive transporte do tubo</v>
          </cell>
          <cell r="C415" t="str">
            <v>m</v>
          </cell>
          <cell r="D415">
            <v>454.27</v>
          </cell>
          <cell r="E415" t="str">
            <v>A incluir</v>
          </cell>
          <cell r="F415" t="e">
            <v>#N/A</v>
          </cell>
          <cell r="G415" t="e">
            <v>#N/A</v>
          </cell>
        </row>
        <row r="416">
          <cell r="A416">
            <v>40491</v>
          </cell>
          <cell r="B416" t="str">
            <v>Corpo BTTC (grota) diâmetro 0,60 m CA-1 PB exclusive escavação e reaterro, inclusive transporte do tubo</v>
          </cell>
          <cell r="C416" t="str">
            <v>m</v>
          </cell>
          <cell r="D416">
            <v>459.89</v>
          </cell>
          <cell r="E416" t="str">
            <v>A incluir</v>
          </cell>
          <cell r="F416" t="e">
            <v>#N/A</v>
          </cell>
          <cell r="G416" t="e">
            <v>#N/A</v>
          </cell>
        </row>
        <row r="417">
          <cell r="A417">
            <v>40492</v>
          </cell>
          <cell r="B417" t="str">
            <v>Corpo BTTC (grota) diâmetro 0,60 m CA-2 MF exclusive escavação e reaterro, inclusive transporte do tubo</v>
          </cell>
          <cell r="C417" t="str">
            <v>m</v>
          </cell>
          <cell r="D417">
            <v>435.66</v>
          </cell>
          <cell r="E417" t="str">
            <v>A incluir</v>
          </cell>
          <cell r="F417" t="e">
            <v>#N/A</v>
          </cell>
          <cell r="G417" t="e">
            <v>#N/A</v>
          </cell>
        </row>
        <row r="418">
          <cell r="A418">
            <v>40493</v>
          </cell>
          <cell r="B418" t="str">
            <v>Corpo BTTC (grota) diâmetro 0,60 m CA-2 PB exclusive escavação e reaterro, inclusive transporte do tubo</v>
          </cell>
          <cell r="C418" t="str">
            <v>m</v>
          </cell>
          <cell r="D418">
            <v>445.65</v>
          </cell>
          <cell r="E418" t="str">
            <v>A incluir</v>
          </cell>
          <cell r="F418" t="e">
            <v>#N/A</v>
          </cell>
          <cell r="G418" t="e">
            <v>#N/A</v>
          </cell>
        </row>
        <row r="419">
          <cell r="A419">
            <v>40494</v>
          </cell>
          <cell r="B419" t="str">
            <v>Corpo BTTC (grota) diâmetro 0,80 m CA-1 MF exclusive escavação e reaterro, inclusive transporte do tubo</v>
          </cell>
          <cell r="C419" t="str">
            <v>m</v>
          </cell>
          <cell r="D419">
            <v>887.49</v>
          </cell>
          <cell r="E419" t="str">
            <v>A incluir</v>
          </cell>
          <cell r="F419" t="e">
            <v>#N/A</v>
          </cell>
          <cell r="G419" t="e">
            <v>#N/A</v>
          </cell>
        </row>
        <row r="420">
          <cell r="A420">
            <v>40495</v>
          </cell>
          <cell r="B420" t="str">
            <v>Corpo BTTC (grota) diâmetro 0,80 m CA-1 PB exclusive escavação e reaterro, inclusive transporte do tubo</v>
          </cell>
          <cell r="C420" t="str">
            <v>m</v>
          </cell>
          <cell r="D420">
            <v>894.26</v>
          </cell>
          <cell r="E420" t="str">
            <v>A incluir</v>
          </cell>
          <cell r="F420" t="e">
            <v>#N/A</v>
          </cell>
          <cell r="G420" t="e">
            <v>#N/A</v>
          </cell>
        </row>
        <row r="421">
          <cell r="A421">
            <v>40496</v>
          </cell>
          <cell r="B421" t="str">
            <v>Corpo BTTC (grota) diâmetro 0,80 m CA-2 MF exclusive escavação e reaterro, inclusive transporte do tubo</v>
          </cell>
          <cell r="C421" t="str">
            <v>m</v>
          </cell>
          <cell r="D421">
            <v>868.62</v>
          </cell>
          <cell r="E421" t="str">
            <v>A incluir</v>
          </cell>
          <cell r="F421" t="e">
            <v>#N/A</v>
          </cell>
          <cell r="G421" t="e">
            <v>#N/A</v>
          </cell>
        </row>
        <row r="422">
          <cell r="A422">
            <v>40497</v>
          </cell>
          <cell r="B422" t="str">
            <v>Corpo BTTC (grota) diâmetro 0,80 m CA-2 PB exclusive escavação e reaterro, inclusive transporte do tubo</v>
          </cell>
          <cell r="C422" t="str">
            <v>m</v>
          </cell>
          <cell r="D422">
            <v>928.78</v>
          </cell>
          <cell r="E422" t="str">
            <v>A incluir</v>
          </cell>
          <cell r="F422" t="e">
            <v>#N/A</v>
          </cell>
          <cell r="G422" t="e">
            <v>#N/A</v>
          </cell>
        </row>
        <row r="423">
          <cell r="A423">
            <v>40498</v>
          </cell>
          <cell r="B423" t="str">
            <v>Corpo BTTC (grota) diâmetro 1,00 m CA-1 MF exclusive escavação e reaterro, inclusive transporte do tubo</v>
          </cell>
          <cell r="C423" t="str">
            <v>m</v>
          </cell>
          <cell r="D423">
            <v>1123.8499999999999</v>
          </cell>
          <cell r="E423" t="str">
            <v>A incluir</v>
          </cell>
          <cell r="F423" t="e">
            <v>#N/A</v>
          </cell>
          <cell r="G423" t="e">
            <v>#N/A</v>
          </cell>
        </row>
        <row r="424">
          <cell r="A424">
            <v>40499</v>
          </cell>
          <cell r="B424" t="str">
            <v>Corpo BTTC (grota) diâmetro 1,00 m CA-1 PB exclusive escavação e reaterro, inclusive transporte do tubo</v>
          </cell>
          <cell r="C424" t="str">
            <v>m</v>
          </cell>
          <cell r="D424">
            <v>1120.26</v>
          </cell>
          <cell r="E424" t="str">
            <v>A incluir</v>
          </cell>
          <cell r="F424" t="e">
            <v>#N/A</v>
          </cell>
          <cell r="G424" t="e">
            <v>#N/A</v>
          </cell>
        </row>
        <row r="425">
          <cell r="A425">
            <v>40500</v>
          </cell>
          <cell r="B425" t="str">
            <v>Corpo BTTC (grota) diâmetro 1,00 m CA-2 MF exclusive escavação e reaterro, inclusive transporte do tubo</v>
          </cell>
          <cell r="C425" t="str">
            <v>m</v>
          </cell>
          <cell r="D425">
            <v>1234.8399999999999</v>
          </cell>
          <cell r="E425" t="str">
            <v>A incluir</v>
          </cell>
          <cell r="F425" t="e">
            <v>#N/A</v>
          </cell>
          <cell r="G425" t="e">
            <v>#N/A</v>
          </cell>
        </row>
        <row r="426">
          <cell r="A426">
            <v>40501</v>
          </cell>
          <cell r="B426" t="str">
            <v>Corpo BTTC (grota) diâmetro 1,00 m CA-2 PB exclusive escavação e reaterro, inclusive transporte do tubo</v>
          </cell>
          <cell r="C426" t="str">
            <v>m</v>
          </cell>
          <cell r="D426">
            <v>1186.1500000000001</v>
          </cell>
          <cell r="E426" t="str">
            <v>A incluir</v>
          </cell>
          <cell r="F426" t="e">
            <v>#N/A</v>
          </cell>
          <cell r="G426" t="e">
            <v>#N/A</v>
          </cell>
        </row>
        <row r="427">
          <cell r="A427">
            <v>40502</v>
          </cell>
          <cell r="B427" t="str">
            <v>Corpo BTTC (grota) diâmetro 1,00 m CA-3 MF exclusive escavação e reaterro, inclusive transporte do tubo</v>
          </cell>
          <cell r="C427" t="str">
            <v>m</v>
          </cell>
          <cell r="D427">
            <v>1234.47</v>
          </cell>
          <cell r="E427" t="str">
            <v>A incluir</v>
          </cell>
          <cell r="F427" t="e">
            <v>#N/A</v>
          </cell>
          <cell r="G427" t="e">
            <v>#N/A</v>
          </cell>
        </row>
        <row r="428">
          <cell r="A428">
            <v>40503</v>
          </cell>
          <cell r="B428" t="str">
            <v>Corpo BTTC (grota) diâmetro 1,20 m CA-1 MF exclusive escavação e reaterro, inclusive transporte do tubo</v>
          </cell>
          <cell r="C428" t="str">
            <v>m</v>
          </cell>
          <cell r="D428">
            <v>1648.7</v>
          </cell>
          <cell r="E428" t="str">
            <v>A incluir</v>
          </cell>
          <cell r="F428" t="e">
            <v>#N/A</v>
          </cell>
          <cell r="G428" t="e">
            <v>#N/A</v>
          </cell>
        </row>
        <row r="429">
          <cell r="A429">
            <v>40504</v>
          </cell>
          <cell r="B429" t="str">
            <v>Corpo BTTC (grota) diâmetro 1,20 m CA-1 PB exclusive escavação e reaterro, inclusive transporte do tubo</v>
          </cell>
          <cell r="C429" t="str">
            <v>m</v>
          </cell>
          <cell r="D429">
            <v>1696.16</v>
          </cell>
          <cell r="E429" t="str">
            <v>A incluir</v>
          </cell>
          <cell r="F429" t="e">
            <v>#N/A</v>
          </cell>
          <cell r="G429" t="e">
            <v>#N/A</v>
          </cell>
        </row>
        <row r="430">
          <cell r="A430">
            <v>40505</v>
          </cell>
          <cell r="B430" t="str">
            <v>Corpo BTTC (grota) diâmetro 1,20 m CA-2 MF exclusive escavação e reaterro, inclusive transporte do tubo</v>
          </cell>
          <cell r="C430" t="str">
            <v>m</v>
          </cell>
          <cell r="D430">
            <v>1666.71</v>
          </cell>
          <cell r="E430" t="str">
            <v>A incluir</v>
          </cell>
          <cell r="F430" t="e">
            <v>#N/A</v>
          </cell>
          <cell r="G430" t="e">
            <v>#N/A</v>
          </cell>
        </row>
        <row r="431">
          <cell r="A431">
            <v>40506</v>
          </cell>
          <cell r="B431" t="str">
            <v>Corpo BTTC (grota) diâmetro 1,20 m CA-2 PB exclusive escavação e reaterro, inclusive transporte do tubo</v>
          </cell>
          <cell r="C431" t="str">
            <v>m</v>
          </cell>
          <cell r="D431">
            <v>1787.17</v>
          </cell>
          <cell r="E431" t="str">
            <v>A incluir</v>
          </cell>
          <cell r="F431" t="e">
            <v>#N/A</v>
          </cell>
          <cell r="G431" t="e">
            <v>#N/A</v>
          </cell>
        </row>
        <row r="432">
          <cell r="A432">
            <v>40507</v>
          </cell>
          <cell r="B432" t="str">
            <v>Corpo BTTC (grota) diâmetro 1,20 m CA-3 MF exclusive escavação e reaterro, inclusive transporte do tubo</v>
          </cell>
          <cell r="C432" t="str">
            <v>m</v>
          </cell>
          <cell r="D432">
            <v>1741.19</v>
          </cell>
          <cell r="E432" t="str">
            <v>A incluir</v>
          </cell>
          <cell r="F432" t="e">
            <v>#N/A</v>
          </cell>
          <cell r="G432" t="e">
            <v>#N/A</v>
          </cell>
        </row>
        <row r="433">
          <cell r="A433">
            <v>40508</v>
          </cell>
          <cell r="B433" t="str">
            <v>Corpo BTTC (grota) diâmetro 1,50 m CA-1 MF exclusive escavação e reaterro, inclusive transporte do tubo</v>
          </cell>
          <cell r="C433" t="str">
            <v>m</v>
          </cell>
          <cell r="D433">
            <v>2776.45</v>
          </cell>
          <cell r="E433" t="str">
            <v>A incluir</v>
          </cell>
          <cell r="F433" t="e">
            <v>#N/A</v>
          </cell>
          <cell r="G433" t="e">
            <v>#N/A</v>
          </cell>
        </row>
        <row r="434">
          <cell r="A434">
            <v>40509</v>
          </cell>
          <cell r="B434" t="str">
            <v>Corpo BTTC (grota) diâmetro 1,50 m CA-1 PB exclusive escavação e reaterro, inclusive transporte do tubo</v>
          </cell>
          <cell r="C434" t="str">
            <v>m</v>
          </cell>
          <cell r="D434">
            <v>2392.83</v>
          </cell>
          <cell r="E434" t="str">
            <v>A incluir</v>
          </cell>
          <cell r="F434" t="e">
            <v>#N/A</v>
          </cell>
          <cell r="G434" t="e">
            <v>#N/A</v>
          </cell>
        </row>
        <row r="435">
          <cell r="A435">
            <v>40510</v>
          </cell>
          <cell r="B435" t="str">
            <v>Corpo BTTC (grota) diâmetro 1,50 m CA-2 MF exclusive escavação e reaterro, inclusive transporte do tubo</v>
          </cell>
          <cell r="C435" t="str">
            <v>m</v>
          </cell>
          <cell r="D435">
            <v>2777.37</v>
          </cell>
          <cell r="E435" t="str">
            <v>A incluir</v>
          </cell>
          <cell r="F435" t="e">
            <v>#N/A</v>
          </cell>
          <cell r="G435" t="e">
            <v>#N/A</v>
          </cell>
        </row>
        <row r="436">
          <cell r="A436">
            <v>40511</v>
          </cell>
          <cell r="B436" t="str">
            <v>Corpo BTTC (grota) diâmetro 1,50 m CA-2 PB exclusive escavação e reaterro, inclusive transporte do tubo</v>
          </cell>
          <cell r="C436" t="str">
            <v>m</v>
          </cell>
          <cell r="D436">
            <v>2516.77</v>
          </cell>
          <cell r="E436" t="str">
            <v>A incluir</v>
          </cell>
          <cell r="F436" t="e">
            <v>#N/A</v>
          </cell>
          <cell r="G436" t="e">
            <v>#N/A</v>
          </cell>
        </row>
        <row r="437">
          <cell r="A437">
            <v>40512</v>
          </cell>
          <cell r="B437" t="str">
            <v>Corpo BTTC (grota) diâmetro 1,50 m CA-3 MF exclusive escavação e reaterro, inclusive transporte do tubo</v>
          </cell>
          <cell r="C437" t="str">
            <v>m</v>
          </cell>
          <cell r="D437">
            <v>2147.37</v>
          </cell>
          <cell r="E437" t="str">
            <v>A incluir</v>
          </cell>
          <cell r="F437" t="e">
            <v>#N/A</v>
          </cell>
          <cell r="G437" t="e">
            <v>#N/A</v>
          </cell>
        </row>
        <row r="438">
          <cell r="A438">
            <v>40586</v>
          </cell>
          <cell r="B438" t="str">
            <v>Corpo de BDCC 1,50 x 1,50 m projeto DNIT para H &lt; = 2,50 m</v>
          </cell>
          <cell r="C438" t="str">
            <v>m</v>
          </cell>
          <cell r="D438">
            <v>3874.24</v>
          </cell>
          <cell r="E438">
            <v>0</v>
          </cell>
          <cell r="F438" t="e">
            <v>#N/A</v>
          </cell>
          <cell r="G438" t="e">
            <v>#N/A</v>
          </cell>
        </row>
        <row r="439">
          <cell r="A439">
            <v>40592</v>
          </cell>
          <cell r="B439" t="str">
            <v>Corpo de BDCC 1,50 x 1,50 m projeto DNIT para 2,50 &lt; H &lt; 5,00 m</v>
          </cell>
          <cell r="C439" t="str">
            <v>m</v>
          </cell>
          <cell r="D439">
            <v>4042.2</v>
          </cell>
          <cell r="E439">
            <v>0</v>
          </cell>
          <cell r="F439" t="e">
            <v>#N/A</v>
          </cell>
          <cell r="G439" t="e">
            <v>#N/A</v>
          </cell>
        </row>
        <row r="440">
          <cell r="A440">
            <v>40598</v>
          </cell>
          <cell r="B440" t="str">
            <v>Corpo de BDCC 2,00 x 1,20 m - tudo incluido conforme projeto</v>
          </cell>
          <cell r="C440" t="str">
            <v>m</v>
          </cell>
          <cell r="D440">
            <v>5634.29</v>
          </cell>
          <cell r="E440">
            <v>0</v>
          </cell>
          <cell r="F440" t="e">
            <v>#N/A</v>
          </cell>
          <cell r="G440" t="e">
            <v>#N/A</v>
          </cell>
        </row>
        <row r="441">
          <cell r="A441">
            <v>40587</v>
          </cell>
          <cell r="B441" t="str">
            <v>Corpo de BDCC 2,00 x 2,00 m projeto DNIT para H &lt; = 2,50 m</v>
          </cell>
          <cell r="C441" t="str">
            <v>m</v>
          </cell>
          <cell r="D441">
            <v>5572.62</v>
          </cell>
          <cell r="E441">
            <v>0</v>
          </cell>
          <cell r="F441" t="e">
            <v>#N/A</v>
          </cell>
          <cell r="G441" t="e">
            <v>#N/A</v>
          </cell>
        </row>
        <row r="442">
          <cell r="A442">
            <v>40593</v>
          </cell>
          <cell r="B442" t="str">
            <v>Corpo de BDCC 2,00 x 2,00 m projeto DNIT para 2,50 &lt; H &lt;5,00 m</v>
          </cell>
          <cell r="C442" t="str">
            <v>m</v>
          </cell>
          <cell r="D442">
            <v>6143.93</v>
          </cell>
          <cell r="E442">
            <v>0</v>
          </cell>
          <cell r="F442" t="e">
            <v>#N/A</v>
          </cell>
          <cell r="G442" t="e">
            <v>#N/A</v>
          </cell>
        </row>
        <row r="443">
          <cell r="A443">
            <v>40588</v>
          </cell>
          <cell r="B443" t="str">
            <v>Corpo de BDCC 2,00 x 3,00 m projeto DNIT para H &lt; = 2,50 m</v>
          </cell>
          <cell r="C443" t="str">
            <v>m</v>
          </cell>
          <cell r="D443">
            <v>7935.86</v>
          </cell>
          <cell r="E443">
            <v>0</v>
          </cell>
          <cell r="F443" t="e">
            <v>#N/A</v>
          </cell>
          <cell r="G443" t="e">
            <v>#N/A</v>
          </cell>
        </row>
        <row r="444">
          <cell r="A444">
            <v>40594</v>
          </cell>
          <cell r="B444" t="str">
            <v>Corpo de BDCC 2,00 x 3,00 m projeto DNIT para 2,50 &lt; H &lt; 5,00 m</v>
          </cell>
          <cell r="C444" t="str">
            <v>m</v>
          </cell>
          <cell r="D444">
            <v>9250.7199999999993</v>
          </cell>
          <cell r="E444">
            <v>0</v>
          </cell>
          <cell r="F444" t="e">
            <v>#N/A</v>
          </cell>
          <cell r="G444" t="e">
            <v>#N/A</v>
          </cell>
        </row>
        <row r="445">
          <cell r="A445">
            <v>40599</v>
          </cell>
          <cell r="B445" t="str">
            <v>Corpo de BDCC 2,50 x 2,00 m - tudo incluído conforme projeto</v>
          </cell>
          <cell r="C445" t="str">
            <v>m</v>
          </cell>
          <cell r="D445">
            <v>8138.75</v>
          </cell>
          <cell r="E445">
            <v>0</v>
          </cell>
          <cell r="F445" t="e">
            <v>#N/A</v>
          </cell>
          <cell r="G445" t="e">
            <v>#N/A</v>
          </cell>
        </row>
        <row r="446">
          <cell r="A446">
            <v>40589</v>
          </cell>
          <cell r="B446" t="str">
            <v>Corpo de BDCC 2,50 x 2,50 m projeto DNIT para H &lt; = 2,50 m</v>
          </cell>
          <cell r="C446" t="str">
            <v>m</v>
          </cell>
          <cell r="D446">
            <v>7479.45</v>
          </cell>
          <cell r="E446">
            <v>0</v>
          </cell>
          <cell r="F446" t="e">
            <v>#N/A</v>
          </cell>
          <cell r="G446" t="e">
            <v>#N/A</v>
          </cell>
        </row>
        <row r="447">
          <cell r="A447">
            <v>40595</v>
          </cell>
          <cell r="B447" t="str">
            <v>Corpo de BDCC 2,50 x 2,50 m projeto DNIT para 2,50 &lt; H &lt; 5,00 m</v>
          </cell>
          <cell r="C447" t="str">
            <v>m</v>
          </cell>
          <cell r="D447">
            <v>8361.9</v>
          </cell>
          <cell r="E447">
            <v>0</v>
          </cell>
          <cell r="F447" t="e">
            <v>#N/A</v>
          </cell>
          <cell r="G447" t="e">
            <v>#N/A</v>
          </cell>
        </row>
        <row r="448">
          <cell r="A448">
            <v>40590</v>
          </cell>
          <cell r="B448" t="str">
            <v>Corpo de BDCC 2,50 x 3,00 m projeto DNIT para H &lt; = 2,50 m</v>
          </cell>
          <cell r="C448" t="str">
            <v>m</v>
          </cell>
          <cell r="D448">
            <v>9074.25</v>
          </cell>
          <cell r="E448">
            <v>0</v>
          </cell>
          <cell r="F448" t="e">
            <v>#N/A</v>
          </cell>
          <cell r="G448" t="e">
            <v>#N/A</v>
          </cell>
        </row>
        <row r="449">
          <cell r="A449">
            <v>40596</v>
          </cell>
          <cell r="B449" t="str">
            <v>Corpo de BDCC 2,50 x 3,00 m projeto DNIT para 2,50 &lt; H &lt; 5,00 m</v>
          </cell>
          <cell r="C449" t="str">
            <v>m</v>
          </cell>
          <cell r="D449">
            <v>10050.780000000001</v>
          </cell>
          <cell r="E449">
            <v>0</v>
          </cell>
          <cell r="F449" t="e">
            <v>#N/A</v>
          </cell>
          <cell r="G449" t="e">
            <v>#N/A</v>
          </cell>
        </row>
        <row r="450">
          <cell r="A450">
            <v>40591</v>
          </cell>
          <cell r="B450" t="str">
            <v>Corpo de BDCC 3,00 x 3,00 m projeto DNIT para H &lt; = 2,50 m</v>
          </cell>
          <cell r="C450" t="str">
            <v>m</v>
          </cell>
          <cell r="D450">
            <v>9965.85</v>
          </cell>
          <cell r="E450">
            <v>0</v>
          </cell>
          <cell r="F450" t="e">
            <v>#N/A</v>
          </cell>
          <cell r="G450" t="e">
            <v>#N/A</v>
          </cell>
        </row>
        <row r="451">
          <cell r="A451">
            <v>40597</v>
          </cell>
          <cell r="B451" t="str">
            <v>Corpo de BDCC 3,00 x 3,00 m projeto DNIT para 2,50 &lt; H &lt; 5,00 m</v>
          </cell>
          <cell r="C451" t="str">
            <v>m</v>
          </cell>
          <cell r="D451">
            <v>10763.62</v>
          </cell>
          <cell r="E451">
            <v>0</v>
          </cell>
          <cell r="F451" t="e">
            <v>#N/A</v>
          </cell>
          <cell r="G451" t="e">
            <v>#N/A</v>
          </cell>
        </row>
        <row r="452">
          <cell r="A452">
            <v>40573</v>
          </cell>
          <cell r="B452" t="str">
            <v>Corpo de BSCC 1,50 x 1,50 m projeto DNIT para H &lt; = 2,50 m</v>
          </cell>
          <cell r="C452" t="str">
            <v>m</v>
          </cell>
          <cell r="D452">
            <v>2352.52</v>
          </cell>
          <cell r="E452">
            <v>0</v>
          </cell>
          <cell r="F452" t="e">
            <v>#N/A</v>
          </cell>
          <cell r="G452" t="e">
            <v>#N/A</v>
          </cell>
        </row>
        <row r="453">
          <cell r="A453">
            <v>40579</v>
          </cell>
          <cell r="B453" t="str">
            <v>Corpo de BSCC 1,50 x 1,50 m projeto DNIT para 2,50 &lt; H &lt; 5,00 m</v>
          </cell>
          <cell r="C453" t="str">
            <v>m</v>
          </cell>
          <cell r="D453">
            <v>2478.4899999999998</v>
          </cell>
          <cell r="E453">
            <v>0</v>
          </cell>
          <cell r="F453" t="e">
            <v>#N/A</v>
          </cell>
          <cell r="G453" t="e">
            <v>#N/A</v>
          </cell>
        </row>
        <row r="454">
          <cell r="A454">
            <v>41113</v>
          </cell>
          <cell r="B454" t="str">
            <v>Corpo de BSCC 2,00 x 2,00 m projeto DNIT para 5,00 &lt; H &lt; 7,50 m</v>
          </cell>
          <cell r="C454" t="str">
            <v>m</v>
          </cell>
          <cell r="D454">
            <v>4038.34</v>
          </cell>
          <cell r="E454">
            <v>0</v>
          </cell>
          <cell r="F454" t="e">
            <v>#N/A</v>
          </cell>
          <cell r="G454" t="e">
            <v>#N/A</v>
          </cell>
        </row>
        <row r="455">
          <cell r="A455">
            <v>40574</v>
          </cell>
          <cell r="B455" t="str">
            <v>Corpo de BSCC 2,00 x 2,00 m projeto DNIT para H &lt; = 2,50 m</v>
          </cell>
          <cell r="C455" t="str">
            <v>m</v>
          </cell>
          <cell r="D455">
            <v>3323.16</v>
          </cell>
          <cell r="E455">
            <v>0</v>
          </cell>
          <cell r="F455" t="e">
            <v>#N/A</v>
          </cell>
          <cell r="G455" t="e">
            <v>#N/A</v>
          </cell>
        </row>
        <row r="456">
          <cell r="A456">
            <v>40580</v>
          </cell>
          <cell r="B456" t="str">
            <v>Corpo de BSCC 2,00 x 2,00 m projeto DNIT para 2,50 &lt; H &lt; 5,00 m</v>
          </cell>
          <cell r="C456" t="str">
            <v>m</v>
          </cell>
          <cell r="D456">
            <v>3744.41</v>
          </cell>
          <cell r="E456">
            <v>0</v>
          </cell>
          <cell r="F456" t="e">
            <v>#N/A</v>
          </cell>
          <cell r="G456" t="e">
            <v>#N/A</v>
          </cell>
        </row>
        <row r="457">
          <cell r="A457">
            <v>40575</v>
          </cell>
          <cell r="B457" t="str">
            <v>Corpo de BSCC 2,00 x 3,00 m projeto DNIT para H &lt; = 2,50 m</v>
          </cell>
          <cell r="C457" t="str">
            <v>m</v>
          </cell>
          <cell r="D457">
            <v>4826.0200000000004</v>
          </cell>
          <cell r="E457">
            <v>0</v>
          </cell>
          <cell r="F457" t="e">
            <v>#N/A</v>
          </cell>
          <cell r="G457" t="e">
            <v>#N/A</v>
          </cell>
        </row>
        <row r="458">
          <cell r="A458">
            <v>40581</v>
          </cell>
          <cell r="B458" t="str">
            <v>Corpo de BSCC 2,00 x 3,00 m projeto DNIT para 2,50 &lt; H &lt; 5,00 m</v>
          </cell>
          <cell r="C458" t="str">
            <v>m</v>
          </cell>
          <cell r="D458">
            <v>6079.81</v>
          </cell>
          <cell r="E458">
            <v>0</v>
          </cell>
          <cell r="F458" t="e">
            <v>#N/A</v>
          </cell>
          <cell r="G458" t="e">
            <v>#N/A</v>
          </cell>
        </row>
        <row r="459">
          <cell r="A459">
            <v>40576</v>
          </cell>
          <cell r="B459" t="str">
            <v>Corpo de BSCC 2,50 x 2,50 m projeto DNIT para H &lt; = 2,50 m</v>
          </cell>
          <cell r="C459" t="str">
            <v>m</v>
          </cell>
          <cell r="D459">
            <v>4730.6099999999997</v>
          </cell>
          <cell r="E459">
            <v>0</v>
          </cell>
          <cell r="F459" t="e">
            <v>#N/A</v>
          </cell>
          <cell r="G459" t="e">
            <v>#N/A</v>
          </cell>
        </row>
        <row r="460">
          <cell r="A460">
            <v>40582</v>
          </cell>
          <cell r="B460" t="str">
            <v>Corpo de BSCC 2,50 x 2,50 m projeto DNIT para 2,50 &lt; H &lt; 5,00 m</v>
          </cell>
          <cell r="C460" t="str">
            <v>m</v>
          </cell>
          <cell r="D460">
            <v>5175.71</v>
          </cell>
          <cell r="E460">
            <v>0</v>
          </cell>
          <cell r="F460" t="e">
            <v>#N/A</v>
          </cell>
          <cell r="G460" t="e">
            <v>#N/A</v>
          </cell>
        </row>
        <row r="461">
          <cell r="A461">
            <v>40577</v>
          </cell>
          <cell r="B461" t="str">
            <v>Corpo de BSCC 2,50 x 3,00 m projeto DNIT para H &lt; = 2,50 m</v>
          </cell>
          <cell r="C461" t="str">
            <v>m</v>
          </cell>
          <cell r="D461">
            <v>5936.24</v>
          </cell>
          <cell r="E461">
            <v>0</v>
          </cell>
          <cell r="F461" t="e">
            <v>#N/A</v>
          </cell>
          <cell r="G461" t="e">
            <v>#N/A</v>
          </cell>
        </row>
        <row r="462">
          <cell r="A462">
            <v>40583</v>
          </cell>
          <cell r="B462" t="str">
            <v>Corpo de BSCC 2,50 x 3,00 m projeto DNIT para 2,50 &lt; H &lt; 5,00 m</v>
          </cell>
          <cell r="C462" t="str">
            <v>m</v>
          </cell>
          <cell r="D462">
            <v>7072.16</v>
          </cell>
          <cell r="E462">
            <v>0</v>
          </cell>
          <cell r="F462" t="e">
            <v>#N/A</v>
          </cell>
          <cell r="G462" t="e">
            <v>#N/A</v>
          </cell>
        </row>
        <row r="463">
          <cell r="A463">
            <v>40578</v>
          </cell>
          <cell r="B463" t="str">
            <v>Corpo de BSCC 3,00 x 3,00 m projeto DNIT para H &lt; = 2,50 m</v>
          </cell>
          <cell r="C463" t="str">
            <v>m</v>
          </cell>
          <cell r="D463">
            <v>6470.63</v>
          </cell>
          <cell r="E463">
            <v>0</v>
          </cell>
          <cell r="F463" t="e">
            <v>#N/A</v>
          </cell>
          <cell r="G463" t="e">
            <v>#N/A</v>
          </cell>
        </row>
        <row r="464">
          <cell r="A464">
            <v>40584</v>
          </cell>
          <cell r="B464" t="str">
            <v>Corpo de BSCC 3,00 x 3,00 m projeto DNIT para 2,50 &lt; H &lt; 5,00 m</v>
          </cell>
          <cell r="C464" t="str">
            <v>m</v>
          </cell>
          <cell r="D464">
            <v>7397.7</v>
          </cell>
          <cell r="E464">
            <v>0</v>
          </cell>
          <cell r="F464" t="e">
            <v>#N/A</v>
          </cell>
          <cell r="G464" t="e">
            <v>#N/A</v>
          </cell>
        </row>
        <row r="465">
          <cell r="A465">
            <v>40601</v>
          </cell>
          <cell r="B465" t="str">
            <v>Corpo de BTCC 1,50 x 1,50 m projeto DNIT para H &lt; = 2,50 m</v>
          </cell>
          <cell r="C465" t="str">
            <v>m</v>
          </cell>
          <cell r="D465">
            <v>5440.63</v>
          </cell>
          <cell r="E465">
            <v>0</v>
          </cell>
          <cell r="F465" t="e">
            <v>#N/A</v>
          </cell>
          <cell r="G465" t="e">
            <v>#N/A</v>
          </cell>
        </row>
        <row r="466">
          <cell r="A466">
            <v>40607</v>
          </cell>
          <cell r="B466" t="str">
            <v>Corpo de BTCC 1,50 x 1,50 m projeto DNIT para 2,50 &lt; H &lt; 5,00 m</v>
          </cell>
          <cell r="C466" t="str">
            <v>m</v>
          </cell>
          <cell r="D466">
            <v>5751.36</v>
          </cell>
          <cell r="E466">
            <v>0</v>
          </cell>
          <cell r="F466" t="e">
            <v>#N/A</v>
          </cell>
          <cell r="G466" t="e">
            <v>#N/A</v>
          </cell>
        </row>
        <row r="467">
          <cell r="A467">
            <v>40602</v>
          </cell>
          <cell r="B467" t="str">
            <v>Corpo de BTCC 2,00 x 2,00 m projeto DNIT para H &lt; = 2,50 m</v>
          </cell>
          <cell r="C467" t="str">
            <v>m</v>
          </cell>
          <cell r="D467">
            <v>7912.45</v>
          </cell>
          <cell r="E467">
            <v>0</v>
          </cell>
          <cell r="F467" t="e">
            <v>#N/A</v>
          </cell>
          <cell r="G467" t="e">
            <v>#N/A</v>
          </cell>
        </row>
        <row r="468">
          <cell r="A468">
            <v>40608</v>
          </cell>
          <cell r="B468" t="str">
            <v>Corpo de BTCC 2,00 x 2,00 m projeto DNIT para 2,50 &lt; H &lt; 5,00 m</v>
          </cell>
          <cell r="C468" t="str">
            <v>m</v>
          </cell>
          <cell r="D468">
            <v>8449.68</v>
          </cell>
          <cell r="E468">
            <v>0</v>
          </cell>
          <cell r="F468" t="e">
            <v>#N/A</v>
          </cell>
          <cell r="G468" t="e">
            <v>#N/A</v>
          </cell>
        </row>
        <row r="469">
          <cell r="A469">
            <v>40603</v>
          </cell>
          <cell r="B469" t="str">
            <v>Corpo de BTCC 2,00 x 3,00 m projeto DNIT para H &lt; = 2,50 m</v>
          </cell>
          <cell r="C469" t="str">
            <v>m</v>
          </cell>
          <cell r="D469">
            <v>11515.92</v>
          </cell>
          <cell r="E469">
            <v>0</v>
          </cell>
          <cell r="F469" t="e">
            <v>#N/A</v>
          </cell>
          <cell r="G469" t="e">
            <v>#N/A</v>
          </cell>
        </row>
        <row r="470">
          <cell r="A470">
            <v>40609</v>
          </cell>
          <cell r="B470" t="str">
            <v>Corpo de BTCC 2,00 x 3,00 m projeto DNIT para 2,50 &lt; H &lt; 5,00 m</v>
          </cell>
          <cell r="C470" t="str">
            <v>m</v>
          </cell>
          <cell r="D470">
            <v>13035.98</v>
          </cell>
          <cell r="E470">
            <v>0</v>
          </cell>
          <cell r="F470" t="e">
            <v>#N/A</v>
          </cell>
          <cell r="G470" t="e">
            <v>#N/A</v>
          </cell>
        </row>
        <row r="471">
          <cell r="A471">
            <v>40604</v>
          </cell>
          <cell r="B471" t="str">
            <v>Corpo de BTCC 2,50 x 2,50 m projeto DNIT para H &lt; = 2,50 m</v>
          </cell>
          <cell r="C471" t="str">
            <v>m</v>
          </cell>
          <cell r="D471">
            <v>10374.92</v>
          </cell>
          <cell r="E471">
            <v>0</v>
          </cell>
          <cell r="F471" t="e">
            <v>#N/A</v>
          </cell>
          <cell r="G471" t="e">
            <v>#N/A</v>
          </cell>
        </row>
        <row r="472">
          <cell r="A472">
            <v>40610</v>
          </cell>
          <cell r="B472" t="str">
            <v>Corpo de BTCC 2,50 x 2,50 m projeto DNIT para 2,50 &lt; H &lt; 5,00 m</v>
          </cell>
          <cell r="C472" t="str">
            <v>m</v>
          </cell>
          <cell r="D472">
            <v>11632.19</v>
          </cell>
          <cell r="E472">
            <v>0</v>
          </cell>
          <cell r="F472" t="e">
            <v>#N/A</v>
          </cell>
          <cell r="G472" t="e">
            <v>#N/A</v>
          </cell>
        </row>
        <row r="473">
          <cell r="A473">
            <v>40605</v>
          </cell>
          <cell r="B473" t="str">
            <v>Corpo de BTCC 2,50 x 3,00 m projeto DNIT para H &lt; = 2,50 m</v>
          </cell>
          <cell r="C473" t="str">
            <v>m</v>
          </cell>
          <cell r="D473">
            <v>12891.77</v>
          </cell>
          <cell r="E473">
            <v>0</v>
          </cell>
          <cell r="F473" t="e">
            <v>#N/A</v>
          </cell>
          <cell r="G473" t="e">
            <v>#N/A</v>
          </cell>
        </row>
        <row r="474">
          <cell r="A474">
            <v>40611</v>
          </cell>
          <cell r="B474" t="str">
            <v>Corpo de BTCC 2,50 x 3,00 m projeto DNIT para 2,50 &lt; H &lt; 5,00 m</v>
          </cell>
          <cell r="C474" t="str">
            <v>m</v>
          </cell>
          <cell r="D474">
            <v>14590.81</v>
          </cell>
          <cell r="E474">
            <v>0</v>
          </cell>
          <cell r="F474" t="e">
            <v>#N/A</v>
          </cell>
          <cell r="G474" t="e">
            <v>#N/A</v>
          </cell>
        </row>
        <row r="475">
          <cell r="A475">
            <v>40606</v>
          </cell>
          <cell r="B475" t="str">
            <v>Corpo de BTCC 3,00 x 3,00 m projeto DNIT para H &lt; = 2,50 m</v>
          </cell>
          <cell r="C475" t="str">
            <v>m</v>
          </cell>
          <cell r="D475">
            <v>13880.06</v>
          </cell>
          <cell r="E475">
            <v>0</v>
          </cell>
          <cell r="F475" t="e">
            <v>#N/A</v>
          </cell>
          <cell r="G475" t="e">
            <v>#N/A</v>
          </cell>
        </row>
        <row r="476">
          <cell r="A476">
            <v>40612</v>
          </cell>
          <cell r="B476" t="str">
            <v>Corpo de BTCC 3,00 x 3,00 m projeto DNIT para 2,50 &lt; H &lt; 5,00 m</v>
          </cell>
          <cell r="C476" t="str">
            <v>m</v>
          </cell>
          <cell r="D476">
            <v>15539.51</v>
          </cell>
          <cell r="E476">
            <v>0</v>
          </cell>
          <cell r="F476" t="e">
            <v>#N/A</v>
          </cell>
          <cell r="G476" t="e">
            <v>#N/A</v>
          </cell>
        </row>
        <row r="477">
          <cell r="A477">
            <v>40305</v>
          </cell>
          <cell r="B477" t="str">
            <v>Corta-rio (escavação mecânica em material de 1ª cat.) H = 1,50 a 3,00 m</v>
          </cell>
          <cell r="C477" t="str">
            <v>m³</v>
          </cell>
          <cell r="D477">
            <v>11.39</v>
          </cell>
          <cell r="E477">
            <v>0</v>
          </cell>
          <cell r="F477" t="e">
            <v>#N/A</v>
          </cell>
          <cell r="G477" t="e">
            <v>#N/A</v>
          </cell>
        </row>
        <row r="478">
          <cell r="A478">
            <v>40306</v>
          </cell>
          <cell r="B478" t="str">
            <v>Corta-rio (escavação mecânica em material de 2ª cat.) H = 1,50 a 3,00 m</v>
          </cell>
          <cell r="C478" t="str">
            <v>m³</v>
          </cell>
          <cell r="D478">
            <v>22.78</v>
          </cell>
          <cell r="E478">
            <v>0</v>
          </cell>
          <cell r="F478" t="e">
            <v>#N/A</v>
          </cell>
          <cell r="G478" t="e">
            <v>#N/A</v>
          </cell>
        </row>
        <row r="479">
          <cell r="A479">
            <v>40307</v>
          </cell>
          <cell r="B479" t="str">
            <v>Corta-rio (escavação mecânica em material de 3º cat.) H = 0,00 a 1,50 m</v>
          </cell>
          <cell r="C479" t="str">
            <v>m³</v>
          </cell>
          <cell r="D479">
            <v>101.5</v>
          </cell>
          <cell r="E479">
            <v>0</v>
          </cell>
          <cell r="F479" t="e">
            <v>#N/A</v>
          </cell>
          <cell r="G479" t="e">
            <v>#N/A</v>
          </cell>
        </row>
        <row r="480">
          <cell r="A480">
            <v>41049</v>
          </cell>
          <cell r="B480" t="str">
            <v>Corte e esmerilhamento de pontas de tubo de ferro fundido DN 500 a 200mm</v>
          </cell>
          <cell r="C480" t="str">
            <v>m</v>
          </cell>
          <cell r="D480">
            <v>18</v>
          </cell>
          <cell r="E480">
            <v>0</v>
          </cell>
          <cell r="F480" t="e">
            <v>#N/A</v>
          </cell>
          <cell r="G480" t="e">
            <v>#N/A</v>
          </cell>
        </row>
        <row r="481">
          <cell r="A481">
            <v>41124</v>
          </cell>
          <cell r="B481" t="str">
            <v>Curva 90° de PVC, junta elástica PBA, D=75mm, fornecimento e assentamento</v>
          </cell>
          <cell r="C481" t="str">
            <v>un</v>
          </cell>
          <cell r="D481">
            <v>57.14</v>
          </cell>
          <cell r="E481">
            <v>0</v>
          </cell>
          <cell r="F481" t="e">
            <v>#N/A</v>
          </cell>
          <cell r="G481" t="e">
            <v>#N/A</v>
          </cell>
        </row>
        <row r="482">
          <cell r="A482">
            <v>40372</v>
          </cell>
          <cell r="B482" t="str">
            <v>Demolição manual alvenaria tijolo furado assentado com argamassa</v>
          </cell>
          <cell r="C482" t="str">
            <v>m³</v>
          </cell>
          <cell r="D482">
            <v>179.4</v>
          </cell>
          <cell r="E482">
            <v>0</v>
          </cell>
          <cell r="F482" t="e">
            <v>#N/A</v>
          </cell>
          <cell r="G482" t="e">
            <v>#N/A</v>
          </cell>
        </row>
        <row r="483">
          <cell r="A483">
            <v>40374</v>
          </cell>
          <cell r="B483" t="str">
            <v>Demolição manual de concreto armado</v>
          </cell>
          <cell r="C483" t="str">
            <v>m³</v>
          </cell>
          <cell r="D483">
            <v>264.77999999999997</v>
          </cell>
          <cell r="E483">
            <v>0</v>
          </cell>
          <cell r="F483" t="e">
            <v>#N/A</v>
          </cell>
          <cell r="G483" t="e">
            <v>#N/A</v>
          </cell>
        </row>
        <row r="484">
          <cell r="A484">
            <v>40373</v>
          </cell>
          <cell r="B484" t="str">
            <v>Demolição manual de concreto simples ou ciclópico</v>
          </cell>
          <cell r="C484" t="str">
            <v>m³</v>
          </cell>
          <cell r="D484">
            <v>233.62</v>
          </cell>
          <cell r="E484">
            <v>0</v>
          </cell>
          <cell r="F484" t="e">
            <v>#N/A</v>
          </cell>
          <cell r="G484" t="e">
            <v>#N/A</v>
          </cell>
        </row>
        <row r="485">
          <cell r="A485">
            <v>40375</v>
          </cell>
          <cell r="B485" t="str">
            <v>Demolição mecânica de concreto</v>
          </cell>
          <cell r="C485" t="str">
            <v>m³</v>
          </cell>
          <cell r="D485">
            <v>133.16</v>
          </cell>
          <cell r="E485">
            <v>0</v>
          </cell>
          <cell r="F485" t="e">
            <v>#N/A</v>
          </cell>
          <cell r="G485" t="e">
            <v>#N/A</v>
          </cell>
        </row>
        <row r="486">
          <cell r="A486">
            <v>40678</v>
          </cell>
          <cell r="B486" t="str">
            <v>Descida d'água concreto armado (calha) c/ caiação (DSA-01A) canal</v>
          </cell>
          <cell r="C486" t="str">
            <v>m</v>
          </cell>
          <cell r="D486">
            <v>344.92</v>
          </cell>
          <cell r="E486">
            <v>0</v>
          </cell>
          <cell r="F486">
            <v>365.06</v>
          </cell>
          <cell r="G486">
            <v>1.0583903513858299</v>
          </cell>
        </row>
        <row r="487">
          <cell r="A487">
            <v>40679</v>
          </cell>
          <cell r="B487" t="str">
            <v>Descida d'água concreto armado (calha) c/ caiação (DSA-01A) dispersor</v>
          </cell>
          <cell r="C487" t="str">
            <v>un</v>
          </cell>
          <cell r="D487">
            <v>687.82</v>
          </cell>
          <cell r="E487">
            <v>0</v>
          </cell>
          <cell r="F487">
            <v>745.85</v>
          </cell>
          <cell r="G487">
            <v>1.08436800325667</v>
          </cell>
        </row>
        <row r="488">
          <cell r="A488">
            <v>40684</v>
          </cell>
          <cell r="B488" t="str">
            <v>Descida d'água concreto armado (degraus) c/ caiação (DSA-03A) apoio</v>
          </cell>
          <cell r="C488" t="str">
            <v>un</v>
          </cell>
          <cell r="D488">
            <v>755.28</v>
          </cell>
          <cell r="E488">
            <v>0</v>
          </cell>
          <cell r="F488">
            <v>838.79</v>
          </cell>
          <cell r="G488">
            <v>1.1105682660735099</v>
          </cell>
        </row>
        <row r="489">
          <cell r="A489">
            <v>40683</v>
          </cell>
          <cell r="B489" t="str">
            <v>Descida d'água concreto armado (degraus) c/ caiação (DSA-03A) degrau</v>
          </cell>
          <cell r="C489" t="str">
            <v>m</v>
          </cell>
          <cell r="D489">
            <v>366.67</v>
          </cell>
          <cell r="E489">
            <v>0</v>
          </cell>
          <cell r="F489">
            <v>395.64</v>
          </cell>
          <cell r="G489">
            <v>1.0790083726511599</v>
          </cell>
        </row>
        <row r="490">
          <cell r="A490">
            <v>40685</v>
          </cell>
          <cell r="B490" t="str">
            <v>Descida d'água concreto armado (degraus) c/ caiação (DSA-03A) dispersor</v>
          </cell>
          <cell r="C490" t="str">
            <v>un</v>
          </cell>
          <cell r="D490">
            <v>659.74</v>
          </cell>
          <cell r="E490">
            <v>0</v>
          </cell>
          <cell r="F490">
            <v>717.57</v>
          </cell>
          <cell r="G490">
            <v>1.0876557431715499</v>
          </cell>
        </row>
        <row r="491">
          <cell r="A491">
            <v>40686</v>
          </cell>
          <cell r="B491" t="str">
            <v>Descida d'água concreto armado DP-1 (calha) c/ caiação</v>
          </cell>
          <cell r="C491" t="str">
            <v>m</v>
          </cell>
          <cell r="D491">
            <v>470.21</v>
          </cell>
          <cell r="E491">
            <v>0</v>
          </cell>
          <cell r="F491" t="e">
            <v>#N/A</v>
          </cell>
          <cell r="G491" t="e">
            <v>#N/A</v>
          </cell>
        </row>
        <row r="492">
          <cell r="A492">
            <v>40687</v>
          </cell>
          <cell r="B492" t="str">
            <v>Descida d'água concreto armado DP-1 (degraus) c/ caiação</v>
          </cell>
          <cell r="C492" t="str">
            <v>m</v>
          </cell>
          <cell r="D492">
            <v>449.99</v>
          </cell>
          <cell r="E492">
            <v>0</v>
          </cell>
          <cell r="F492" t="e">
            <v>#N/A</v>
          </cell>
          <cell r="G492" t="e">
            <v>#N/A</v>
          </cell>
        </row>
        <row r="493">
          <cell r="A493">
            <v>40676</v>
          </cell>
          <cell r="B493" t="str">
            <v>Descida d'água concreto simples (calha) c/ caiação (DSA-01) canal</v>
          </cell>
          <cell r="C493" t="str">
            <v>m</v>
          </cell>
          <cell r="D493">
            <v>286.13</v>
          </cell>
          <cell r="E493">
            <v>0</v>
          </cell>
          <cell r="F493" t="e">
            <v>#N/A</v>
          </cell>
          <cell r="G493" t="e">
            <v>#N/A</v>
          </cell>
        </row>
        <row r="494">
          <cell r="A494">
            <v>40677</v>
          </cell>
          <cell r="B494" t="str">
            <v>Descida d'água concreto simples (calha) c/ caiação (DSA-01) dispersor</v>
          </cell>
          <cell r="C494" t="str">
            <v>un</v>
          </cell>
          <cell r="D494">
            <v>620.64</v>
          </cell>
          <cell r="E494">
            <v>0</v>
          </cell>
          <cell r="F494" t="e">
            <v>#N/A</v>
          </cell>
          <cell r="G494" t="e">
            <v>#N/A</v>
          </cell>
        </row>
        <row r="495">
          <cell r="A495">
            <v>40681</v>
          </cell>
          <cell r="B495" t="str">
            <v>Descida d'água concreto simples (degraus) c/ caiação (DSA-03) apoio</v>
          </cell>
          <cell r="C495" t="str">
            <v>un</v>
          </cell>
          <cell r="D495">
            <v>706.16</v>
          </cell>
          <cell r="E495">
            <v>0</v>
          </cell>
          <cell r="F495" t="e">
            <v>#N/A</v>
          </cell>
          <cell r="G495" t="e">
            <v>#N/A</v>
          </cell>
        </row>
        <row r="496">
          <cell r="A496">
            <v>40680</v>
          </cell>
          <cell r="B496" t="str">
            <v>Descida d'água concreto simples (degraus) c/ caiação (DSA-03) degrau</v>
          </cell>
          <cell r="C496" t="str">
            <v>m</v>
          </cell>
          <cell r="D496">
            <v>349.88</v>
          </cell>
          <cell r="E496">
            <v>0</v>
          </cell>
          <cell r="F496" t="e">
            <v>#N/A</v>
          </cell>
          <cell r="G496" t="e">
            <v>#N/A</v>
          </cell>
        </row>
        <row r="497">
          <cell r="A497">
            <v>40682</v>
          </cell>
          <cell r="B497" t="str">
            <v>Descida d'água concreto simples (degraus) c/ caiação (DSA-03) dispersor</v>
          </cell>
          <cell r="C497" t="str">
            <v>un</v>
          </cell>
          <cell r="D497">
            <v>617.75</v>
          </cell>
          <cell r="E497">
            <v>0</v>
          </cell>
          <cell r="F497" t="e">
            <v>#N/A</v>
          </cell>
          <cell r="G497" t="e">
            <v>#N/A</v>
          </cell>
        </row>
        <row r="498">
          <cell r="A498">
            <v>41189</v>
          </cell>
          <cell r="B498" t="str">
            <v>Deslocamento de cerca de tela galvanizada fio 12 malha 3" x 3"</v>
          </cell>
          <cell r="C498" t="str">
            <v>m</v>
          </cell>
          <cell r="D498">
            <v>36.39</v>
          </cell>
          <cell r="E498" t="str">
            <v>A incluir</v>
          </cell>
          <cell r="F498" t="e">
            <v>#N/A</v>
          </cell>
          <cell r="G498" t="e">
            <v>#N/A</v>
          </cell>
        </row>
        <row r="499">
          <cell r="A499">
            <v>40728</v>
          </cell>
          <cell r="B499" t="str">
            <v>Dissipador de energia aplicado a saída d'água tipo DP-1</v>
          </cell>
          <cell r="C499" t="str">
            <v>un</v>
          </cell>
          <cell r="D499">
            <v>340.53</v>
          </cell>
          <cell r="E499" t="str">
            <v>A incluir</v>
          </cell>
          <cell r="F499" t="e">
            <v>#N/A</v>
          </cell>
          <cell r="G499" t="e">
            <v>#N/A</v>
          </cell>
        </row>
        <row r="500">
          <cell r="A500">
            <v>40732</v>
          </cell>
          <cell r="B500" t="str">
            <v>Dissipador de energia aplicado a saída de bueiro/descida d'agua de aterro (DEB-01)</v>
          </cell>
          <cell r="C500" t="str">
            <v>un</v>
          </cell>
          <cell r="D500">
            <v>587.45000000000005</v>
          </cell>
          <cell r="E500" t="str">
            <v>A incluir</v>
          </cell>
          <cell r="F500" t="e">
            <v>#N/A</v>
          </cell>
          <cell r="G500" t="e">
            <v>#N/A</v>
          </cell>
        </row>
        <row r="501">
          <cell r="A501">
            <v>40733</v>
          </cell>
          <cell r="B501" t="str">
            <v>Dissipador de energia aplicado a saída de bueiro/descida d'água de aterro (DEB-02)</v>
          </cell>
          <cell r="C501" t="str">
            <v>un</v>
          </cell>
          <cell r="D501">
            <v>1465.52</v>
          </cell>
          <cell r="E501" t="str">
            <v>A incluir</v>
          </cell>
          <cell r="F501" t="e">
            <v>#N/A</v>
          </cell>
          <cell r="G501" t="e">
            <v>#N/A</v>
          </cell>
        </row>
        <row r="502">
          <cell r="A502">
            <v>40734</v>
          </cell>
          <cell r="B502" t="str">
            <v>Dissipador de energia aplicado a saída de bueiro/descida d'água de aterro (DEB-03)</v>
          </cell>
          <cell r="C502" t="str">
            <v>un</v>
          </cell>
          <cell r="D502">
            <v>2296.14</v>
          </cell>
          <cell r="E502" t="str">
            <v>A incluir</v>
          </cell>
          <cell r="F502">
            <v>2548.4299999999998</v>
          </cell>
          <cell r="G502">
            <v>1.10987570444311</v>
          </cell>
        </row>
        <row r="503">
          <cell r="A503">
            <v>40735</v>
          </cell>
          <cell r="B503" t="str">
            <v>Dissipador de energia aplicado a saída de bueiro/descida d'água de aterro (DEB-04)</v>
          </cell>
          <cell r="C503" t="str">
            <v>un</v>
          </cell>
          <cell r="D503">
            <v>3318.73</v>
          </cell>
          <cell r="E503" t="str">
            <v>A incluir</v>
          </cell>
          <cell r="F503" t="e">
            <v>#N/A</v>
          </cell>
          <cell r="G503" t="e">
            <v>#N/A</v>
          </cell>
        </row>
        <row r="504">
          <cell r="A504">
            <v>40736</v>
          </cell>
          <cell r="B504" t="str">
            <v>Dissipador de energia aplicado a saída de bueiro/descida d'água de aterro (DEB-05)</v>
          </cell>
          <cell r="C504" t="str">
            <v>un</v>
          </cell>
          <cell r="D504">
            <v>4464.8599999999997</v>
          </cell>
          <cell r="E504" t="str">
            <v>A incluir</v>
          </cell>
          <cell r="F504" t="e">
            <v>#N/A</v>
          </cell>
          <cell r="G504" t="e">
            <v>#N/A</v>
          </cell>
        </row>
        <row r="505">
          <cell r="A505">
            <v>40737</v>
          </cell>
          <cell r="B505" t="str">
            <v>Dissipador de energia aplicado a saída de bueiro/descida d'água de aterro (DEB-06)</v>
          </cell>
          <cell r="C505" t="str">
            <v>un</v>
          </cell>
          <cell r="D505">
            <v>7102.13</v>
          </cell>
          <cell r="E505" t="str">
            <v>A incluir</v>
          </cell>
          <cell r="F505" t="e">
            <v>#N/A</v>
          </cell>
          <cell r="G505" t="e">
            <v>#N/A</v>
          </cell>
        </row>
        <row r="506">
          <cell r="A506">
            <v>40738</v>
          </cell>
          <cell r="B506" t="str">
            <v>Dissipador de energia aplicado a saída de bueiro/descida d'água de aterro (DEB-07)</v>
          </cell>
          <cell r="C506" t="str">
            <v>un</v>
          </cell>
          <cell r="D506">
            <v>4548.09</v>
          </cell>
          <cell r="E506" t="str">
            <v>A incluir</v>
          </cell>
          <cell r="F506" t="e">
            <v>#N/A</v>
          </cell>
          <cell r="G506" t="e">
            <v>#N/A</v>
          </cell>
        </row>
        <row r="507">
          <cell r="A507">
            <v>40739</v>
          </cell>
          <cell r="B507" t="str">
            <v>Dissipador de energia aplicado a saída de bueiro/descida d'água de aterro (DEB-08)</v>
          </cell>
          <cell r="C507" t="str">
            <v>un</v>
          </cell>
          <cell r="D507">
            <v>6123.49</v>
          </cell>
          <cell r="E507" t="str">
            <v>A incluir</v>
          </cell>
          <cell r="F507" t="e">
            <v>#N/A</v>
          </cell>
          <cell r="G507" t="e">
            <v>#N/A</v>
          </cell>
        </row>
        <row r="508">
          <cell r="A508">
            <v>40740</v>
          </cell>
          <cell r="B508" t="str">
            <v>Dissipador de energia aplicado a saída de bueiro/descida d'água de aterro (DEB-09)</v>
          </cell>
          <cell r="C508" t="str">
            <v>un</v>
          </cell>
          <cell r="D508">
            <v>9502.74</v>
          </cell>
          <cell r="E508" t="str">
            <v>A incluir</v>
          </cell>
          <cell r="F508" t="e">
            <v>#N/A</v>
          </cell>
          <cell r="G508" t="e">
            <v>#N/A</v>
          </cell>
        </row>
        <row r="509">
          <cell r="A509">
            <v>40741</v>
          </cell>
          <cell r="B509" t="str">
            <v>Dissipador de energia aplicado a saída de bueiro/descida d'água de aterro (DEB-10)</v>
          </cell>
          <cell r="C509" t="str">
            <v>un</v>
          </cell>
          <cell r="D509">
            <v>5784.2</v>
          </cell>
          <cell r="E509" t="str">
            <v>A incluir</v>
          </cell>
          <cell r="F509" t="e">
            <v>#N/A</v>
          </cell>
          <cell r="G509" t="e">
            <v>#N/A</v>
          </cell>
        </row>
        <row r="510">
          <cell r="A510">
            <v>40742</v>
          </cell>
          <cell r="B510" t="str">
            <v>Dissipador de energia aplicado a saída de bueiro/descida d'água de aterro (DEB-12)</v>
          </cell>
          <cell r="C510" t="str">
            <v>un</v>
          </cell>
          <cell r="D510">
            <v>11901.5</v>
          </cell>
          <cell r="E510" t="str">
            <v>A incluir</v>
          </cell>
          <cell r="F510" t="e">
            <v>#N/A</v>
          </cell>
          <cell r="G510" t="e">
            <v>#N/A</v>
          </cell>
        </row>
        <row r="511">
          <cell r="A511">
            <v>40729</v>
          </cell>
          <cell r="B511" t="str">
            <v>Dissipador de energia aplicado a saída de sarjeta/valeta (DES-01)</v>
          </cell>
          <cell r="C511" t="str">
            <v>un</v>
          </cell>
          <cell r="D511">
            <v>286.31</v>
          </cell>
          <cell r="E511" t="str">
            <v>A incluir</v>
          </cell>
          <cell r="F511" t="e">
            <v>#N/A</v>
          </cell>
          <cell r="G511" t="e">
            <v>#N/A</v>
          </cell>
        </row>
        <row r="512">
          <cell r="A512">
            <v>40730</v>
          </cell>
          <cell r="B512" t="str">
            <v>Dissipador de energia aplicado a saída de sarjeta/valeta (DES-02)</v>
          </cell>
          <cell r="C512" t="str">
            <v>un</v>
          </cell>
          <cell r="D512">
            <v>340.53</v>
          </cell>
          <cell r="E512" t="str">
            <v>A incluir</v>
          </cell>
          <cell r="F512" t="e">
            <v>#N/A</v>
          </cell>
          <cell r="G512" t="e">
            <v>#N/A</v>
          </cell>
        </row>
        <row r="513">
          <cell r="A513">
            <v>40731</v>
          </cell>
          <cell r="B513" t="str">
            <v>Dissipador de energia aplicado a saída de sarjeta/valeta (DES-03)</v>
          </cell>
          <cell r="C513" t="str">
            <v>un</v>
          </cell>
          <cell r="D513">
            <v>406.04</v>
          </cell>
          <cell r="E513" t="str">
            <v>A incluir</v>
          </cell>
          <cell r="F513" t="e">
            <v>#N/A</v>
          </cell>
          <cell r="G513" t="e">
            <v>#N/A</v>
          </cell>
        </row>
        <row r="514">
          <cell r="A514">
            <v>40650</v>
          </cell>
          <cell r="B514" t="str">
            <v>Dreno de alívio de pavimento (DP - DAP - 01), com utilização de geotêxtil não tecido RT 07 kn
/m, inclusive transporte da brita</v>
          </cell>
          <cell r="C514" t="str">
            <v>m</v>
          </cell>
          <cell r="D514">
            <v>49.19</v>
          </cell>
          <cell r="E514" t="str">
            <v>A incluir</v>
          </cell>
          <cell r="F514" t="e">
            <v>#N/A</v>
          </cell>
          <cell r="G514" t="e">
            <v>#N/A</v>
          </cell>
        </row>
        <row r="515">
          <cell r="A515">
            <v>40637</v>
          </cell>
          <cell r="B515" t="str">
            <v>Dreno de PVC D = 100 mm</v>
          </cell>
          <cell r="C515" t="str">
            <v>m</v>
          </cell>
          <cell r="D515">
            <v>29.07</v>
          </cell>
          <cell r="E515">
            <v>0</v>
          </cell>
          <cell r="F515" t="e">
            <v>#N/A</v>
          </cell>
          <cell r="G515" t="e">
            <v>#N/A</v>
          </cell>
        </row>
        <row r="516">
          <cell r="A516">
            <v>40636</v>
          </cell>
          <cell r="B516" t="str">
            <v>Dreno de PVC D = 50 mm</v>
          </cell>
          <cell r="C516" t="str">
            <v>m</v>
          </cell>
          <cell r="D516">
            <v>17.649999999999999</v>
          </cell>
          <cell r="E516">
            <v>0</v>
          </cell>
          <cell r="F516" t="e">
            <v>#N/A</v>
          </cell>
          <cell r="G516" t="e">
            <v>#N/A</v>
          </cell>
        </row>
        <row r="517">
          <cell r="A517">
            <v>40712</v>
          </cell>
          <cell r="B517" t="str">
            <v>Dreno Longitudinal tipo Trincheira Drenante, H = 0,90 m com tubo poroso tipo PEAD de diâm
= 100 mm, incluindo esc. em mat. 1ª cat. e transporte do tubo</v>
          </cell>
          <cell r="C517" t="str">
            <v>m</v>
          </cell>
          <cell r="D517">
            <v>85.15</v>
          </cell>
          <cell r="E517" t="str">
            <v>A incluir</v>
          </cell>
          <cell r="F517" t="e">
            <v>#N/A</v>
          </cell>
          <cell r="G517" t="e">
            <v>#N/A</v>
          </cell>
        </row>
        <row r="518">
          <cell r="A518">
            <v>40713</v>
          </cell>
          <cell r="B518" t="str">
            <v>Dreno Longitudinal tipo Trincheira Drenante, H = 0,90 m com tubo poroso tipo PEAD de diâm
= 100 mm, incluindo esc. mat. 3ª cat. e transporte do tubo</v>
          </cell>
          <cell r="C518" t="str">
            <v>m</v>
          </cell>
          <cell r="D518">
            <v>103.94</v>
          </cell>
          <cell r="E518" t="str">
            <v>A incluir</v>
          </cell>
          <cell r="F518" t="e">
            <v>#N/A</v>
          </cell>
          <cell r="G518" t="e">
            <v>#N/A</v>
          </cell>
        </row>
        <row r="519">
          <cell r="A519">
            <v>41262</v>
          </cell>
          <cell r="B519" t="str">
            <v>Dreno Longitudinal tipo Trincheira Drenante, H=0,40m c/ tubo poroso tipo PEAD d=65mm, inclus. esc. em mat. 1ª cat.e geotêxtil não tecido RT 07 kN/m</v>
          </cell>
          <cell r="C519" t="str">
            <v>m</v>
          </cell>
          <cell r="D519">
            <v>83.47</v>
          </cell>
          <cell r="E519">
            <v>0</v>
          </cell>
          <cell r="F519" t="e">
            <v>#N/A</v>
          </cell>
          <cell r="G519" t="e">
            <v>#N/A</v>
          </cell>
        </row>
        <row r="520">
          <cell r="A520">
            <v>41259</v>
          </cell>
          <cell r="B520" t="str">
            <v>Dreno ou Barbacã em tubo PVC, diâmetro de 2"</v>
          </cell>
          <cell r="C520" t="str">
            <v>m</v>
          </cell>
          <cell r="D520">
            <v>15.67</v>
          </cell>
          <cell r="E520">
            <v>0</v>
          </cell>
          <cell r="F520" t="e">
            <v>#N/A</v>
          </cell>
          <cell r="G520" t="e">
            <v>#N/A</v>
          </cell>
        </row>
        <row r="521">
          <cell r="A521">
            <v>40640</v>
          </cell>
          <cell r="B521" t="str">
            <v>Dreno profundo com enchimento de areia, escavação em material 1ª categoria, inclusive transporte da areia</v>
          </cell>
          <cell r="C521" t="str">
            <v>m</v>
          </cell>
          <cell r="D521">
            <v>99.69</v>
          </cell>
          <cell r="E521" t="str">
            <v>A incluir</v>
          </cell>
          <cell r="F521" t="e">
            <v>#N/A</v>
          </cell>
          <cell r="G521" t="e">
            <v>#N/A</v>
          </cell>
        </row>
        <row r="522">
          <cell r="A522">
            <v>40642</v>
          </cell>
          <cell r="B522" t="str">
            <v>Dreno profundo com enchimento de brita e areia (1:1) escavação em material 1ª categoria, inclusive transporte da areia e da brita</v>
          </cell>
          <cell r="C522" t="str">
            <v>m</v>
          </cell>
          <cell r="D522">
            <v>101.06</v>
          </cell>
          <cell r="E522" t="str">
            <v>A incluir</v>
          </cell>
          <cell r="F522" t="e">
            <v>#N/A</v>
          </cell>
          <cell r="G522" t="e">
            <v>#N/A</v>
          </cell>
        </row>
        <row r="523">
          <cell r="A523">
            <v>40643</v>
          </cell>
          <cell r="B523" t="str">
            <v>Dreno profundo com enchimento de brita e areia (1:1) escavação em material 2ª categoria, inclusive transporte da areia e da brita</v>
          </cell>
          <cell r="C523" t="str">
            <v>m</v>
          </cell>
          <cell r="D523">
            <v>107.53</v>
          </cell>
          <cell r="E523" t="str">
            <v>A incluir</v>
          </cell>
          <cell r="F523" t="e">
            <v>#N/A</v>
          </cell>
          <cell r="G523" t="e">
            <v>#N/A</v>
          </cell>
        </row>
        <row r="524">
          <cell r="A524">
            <v>40641</v>
          </cell>
          <cell r="B524" t="str">
            <v>Dreno profundo com enchimento de brita, escavação em material 1ª categoria, inclusive transporte da brita</v>
          </cell>
          <cell r="C524" t="str">
            <v>m</v>
          </cell>
          <cell r="D524">
            <v>95.52</v>
          </cell>
          <cell r="E524" t="str">
            <v>A incluir</v>
          </cell>
          <cell r="F524" t="e">
            <v>#N/A</v>
          </cell>
          <cell r="G524" t="e">
            <v>#N/A</v>
          </cell>
        </row>
        <row r="525">
          <cell r="A525">
            <v>40648</v>
          </cell>
          <cell r="B525" t="str">
            <v>Dreno profundo com tubo poroso, D = 0,20 m com enchimento de brita e areia, escavação em material 2ª categoria, inclusive transp.da areia, brita, tubo</v>
          </cell>
          <cell r="C525" t="str">
            <v>m</v>
          </cell>
          <cell r="D525">
            <v>120.76</v>
          </cell>
          <cell r="E525" t="str">
            <v>A incluir</v>
          </cell>
          <cell r="F525" t="e">
            <v>#N/A</v>
          </cell>
          <cell r="G525" t="e">
            <v>#N/A</v>
          </cell>
        </row>
        <row r="526">
          <cell r="A526">
            <v>40649</v>
          </cell>
          <cell r="B526" t="str">
            <v>Dreno profundo com tubo poroso, D = 0,20 m com enchimento de brita, escavação em material 3ª categoria (DPR-01), inclusive transporte da brita, tubo</v>
          </cell>
          <cell r="C526" t="str">
            <v>m</v>
          </cell>
          <cell r="D526">
            <v>88.09</v>
          </cell>
          <cell r="E526" t="str">
            <v>A incluir</v>
          </cell>
          <cell r="F526" t="e">
            <v>#N/A</v>
          </cell>
          <cell r="G526" t="e">
            <v>#N/A</v>
          </cell>
        </row>
        <row r="527">
          <cell r="A527">
            <v>40645</v>
          </cell>
          <cell r="B527" t="str">
            <v>Dreno profundo D = 0,10 m c/ enchim. brita, areia (1:1) escav. mat. 3º categ.incl. transp. areia, brita c/ geotêxtil não tecido res.long. mín 16kn/m</v>
          </cell>
          <cell r="C527" t="str">
            <v>m</v>
          </cell>
          <cell r="D527">
            <v>196.36</v>
          </cell>
          <cell r="E527" t="str">
            <v>A incluir</v>
          </cell>
          <cell r="F527" t="e">
            <v>#N/A</v>
          </cell>
          <cell r="G527" t="e">
            <v>#N/A</v>
          </cell>
        </row>
        <row r="528">
          <cell r="A528">
            <v>40644</v>
          </cell>
          <cell r="B528" t="str">
            <v>Dreno profundo D = 0,10 m c/enchim. brita e areia (1:1) escav.mat. 1º categ., inclus.transp. areia, brita,c/ geotêxtil não tecido res.long. mín 16 kn/m</v>
          </cell>
          <cell r="C528" t="str">
            <v>m</v>
          </cell>
          <cell r="D528">
            <v>128</v>
          </cell>
          <cell r="E528" t="str">
            <v>A incluir</v>
          </cell>
          <cell r="F528" t="e">
            <v>#N/A</v>
          </cell>
          <cell r="G528" t="e">
            <v>#N/A</v>
          </cell>
        </row>
        <row r="529">
          <cell r="A529">
            <v>40646</v>
          </cell>
          <cell r="B529" t="str">
            <v>Dreno profundo D = 0,20 m com enchimento de areia, escavação em material 1ª categoria ( DPS-01), inclusive transporte da areia e do tubo</v>
          </cell>
          <cell r="C529" t="str">
            <v>m</v>
          </cell>
          <cell r="D529">
            <v>118.84</v>
          </cell>
          <cell r="E529" t="str">
            <v>A incluir</v>
          </cell>
          <cell r="F529" t="e">
            <v>#N/A</v>
          </cell>
          <cell r="G529" t="e">
            <v>#N/A</v>
          </cell>
        </row>
        <row r="530">
          <cell r="A530">
            <v>40647</v>
          </cell>
          <cell r="B530" t="str">
            <v>Dreno profundo D = 0,20 m com enchimento de brita e areia, escavação em material 1ª categoria, inclusive transporte da brita e da areia</v>
          </cell>
          <cell r="C530" t="str">
            <v>m</v>
          </cell>
          <cell r="D530">
            <v>114.29</v>
          </cell>
          <cell r="E530" t="str">
            <v>A incluir</v>
          </cell>
          <cell r="F530">
            <v>145.62</v>
          </cell>
          <cell r="G530">
            <v>1.27412722022924</v>
          </cell>
        </row>
        <row r="531">
          <cell r="A531">
            <v>40704</v>
          </cell>
          <cell r="B531" t="str">
            <v>Dreno profundo em solo com tubo PEAD perfur. D=100 mm, envolto por geotêxtil não tecido RT16 kn/m, preenchim. c/ brita, incl. transporte</v>
          </cell>
          <cell r="C531" t="str">
            <v>m</v>
          </cell>
          <cell r="D531">
            <v>83.46</v>
          </cell>
          <cell r="E531" t="str">
            <v>A incluir</v>
          </cell>
          <cell r="F531" t="e">
            <v>#N/A</v>
          </cell>
          <cell r="G531" t="e">
            <v>#N/A</v>
          </cell>
        </row>
        <row r="532">
          <cell r="A532">
            <v>41107</v>
          </cell>
          <cell r="B532" t="str">
            <v>Dreno profundo para corte em solo, com enchimento em brita revestido com geotextil não tecido RT 16 kn/m, inclusive transporte da brita</v>
          </cell>
          <cell r="C532" t="str">
            <v>m</v>
          </cell>
          <cell r="D532">
            <v>117.49</v>
          </cell>
          <cell r="E532" t="str">
            <v>A incluir</v>
          </cell>
          <cell r="F532" t="e">
            <v>#N/A</v>
          </cell>
          <cell r="G532" t="e">
            <v>#N/A</v>
          </cell>
        </row>
        <row r="533">
          <cell r="A533">
            <v>40638</v>
          </cell>
          <cell r="B533" t="str">
            <v>Dreno sub-horizontal D = 50 mm em PVC, com geotêxtil não tecido RT 16 kn/m, exclusive transportes</v>
          </cell>
          <cell r="C533" t="str">
            <v>m</v>
          </cell>
          <cell r="D533">
            <v>387.63</v>
          </cell>
          <cell r="E533">
            <v>0</v>
          </cell>
          <cell r="F533" t="e">
            <v>#N/A</v>
          </cell>
          <cell r="G533" t="e">
            <v>#N/A</v>
          </cell>
        </row>
        <row r="534">
          <cell r="A534">
            <v>41188</v>
          </cell>
          <cell r="B534" t="str">
            <v>Dreno sub-horizontal D=50mm em PVC (escavação em alteração de rocha), inclusive geotêxtil não tecido RT 16 kn/m, exclusive transportes</v>
          </cell>
          <cell r="C534" t="str">
            <v>m</v>
          </cell>
          <cell r="D534">
            <v>623.04</v>
          </cell>
          <cell r="E534">
            <v>0</v>
          </cell>
          <cell r="F534" t="e">
            <v>#N/A</v>
          </cell>
          <cell r="G534" t="e">
            <v>#N/A</v>
          </cell>
        </row>
        <row r="535">
          <cell r="A535">
            <v>41187</v>
          </cell>
          <cell r="B535" t="str">
            <v>Dreno sub-horizontal D=50mm em PVC (escavação em rocha sã), inlusive geotêxtil não tecido RT 16 kn/m, exclusive transportes</v>
          </cell>
          <cell r="C535" t="str">
            <v>m</v>
          </cell>
          <cell r="D535">
            <v>819.62</v>
          </cell>
          <cell r="E535">
            <v>0</v>
          </cell>
          <cell r="F535" t="e">
            <v>#N/A</v>
          </cell>
          <cell r="G535" t="e">
            <v>#N/A</v>
          </cell>
        </row>
        <row r="536">
          <cell r="A536">
            <v>40705</v>
          </cell>
          <cell r="B536" t="str">
            <v>Dreno sub-superficial rocha (h=0,55m) c/ tubo PEAD perfur. d=100mm, env. por geotêxtil16kn
/m, preenc.c/ brita, inclus.transp. tubo, exclusive transp.brita</v>
          </cell>
          <cell r="C536" t="str">
            <v>m</v>
          </cell>
          <cell r="D536">
            <v>67.92</v>
          </cell>
          <cell r="E536" t="str">
            <v>A incluir</v>
          </cell>
          <cell r="F536" t="e">
            <v>#N/A</v>
          </cell>
          <cell r="G536" t="e">
            <v>#N/A</v>
          </cell>
        </row>
        <row r="537">
          <cell r="A537">
            <v>40639</v>
          </cell>
          <cell r="B537" t="str">
            <v>Dreno vertical D = 75 mm em PVC, com geotêxtil não tecido resistência longitudinal 16 kn/m</v>
          </cell>
          <cell r="C537" t="str">
            <v>m</v>
          </cell>
          <cell r="D537">
            <v>392.23</v>
          </cell>
          <cell r="E537">
            <v>0</v>
          </cell>
          <cell r="F537" t="e">
            <v>#N/A</v>
          </cell>
          <cell r="G537" t="e">
            <v>#N/A</v>
          </cell>
        </row>
        <row r="538">
          <cell r="A538">
            <v>41227</v>
          </cell>
          <cell r="B538" t="str">
            <v>Eletroduto de ferro galvanizado DN 4", inclusive conexões, exclusive escavação e reaterro, fornecimento e assentamento</v>
          </cell>
          <cell r="C538" t="str">
            <v>m</v>
          </cell>
          <cell r="D538">
            <v>95.74</v>
          </cell>
          <cell r="E538">
            <v>0</v>
          </cell>
          <cell r="F538" t="e">
            <v>#N/A</v>
          </cell>
          <cell r="G538" t="e">
            <v>#N/A</v>
          </cell>
        </row>
        <row r="539">
          <cell r="A539">
            <v>40951</v>
          </cell>
          <cell r="B539" t="str">
            <v>Eletroduto para rede de lógica, inclusive conexões</v>
          </cell>
          <cell r="C539" t="str">
            <v>m</v>
          </cell>
          <cell r="D539">
            <v>18.989999999999998</v>
          </cell>
          <cell r="E539">
            <v>0</v>
          </cell>
          <cell r="F539" t="e">
            <v>#N/A</v>
          </cell>
          <cell r="G539" t="e">
            <v>#N/A</v>
          </cell>
        </row>
        <row r="540">
          <cell r="A540">
            <v>41121</v>
          </cell>
          <cell r="B540" t="str">
            <v>Eletroduto PVC diâmetro 75mm, fornecimento e assentamento</v>
          </cell>
          <cell r="C540" t="str">
            <v>m</v>
          </cell>
          <cell r="D540">
            <v>24.81</v>
          </cell>
          <cell r="E540">
            <v>0</v>
          </cell>
          <cell r="F540" t="e">
            <v>#N/A</v>
          </cell>
          <cell r="G540" t="e">
            <v>#N/A</v>
          </cell>
        </row>
        <row r="541">
          <cell r="A541">
            <v>41120</v>
          </cell>
          <cell r="B541" t="str">
            <v>Eletroduto PVC rígido roscável diâm. 50mm, fornecimento e assentamento</v>
          </cell>
          <cell r="C541" t="str">
            <v>m</v>
          </cell>
          <cell r="D541">
            <v>11.8</v>
          </cell>
          <cell r="E541">
            <v>0</v>
          </cell>
          <cell r="F541" t="e">
            <v>#N/A</v>
          </cell>
          <cell r="G541" t="e">
            <v>#N/A</v>
          </cell>
        </row>
        <row r="542">
          <cell r="A542">
            <v>41128</v>
          </cell>
          <cell r="B542" t="str">
            <v>Eletroduto tipo Kanaflex diâmetro 1 1/4", fornecimento e assentamento</v>
          </cell>
          <cell r="C542" t="str">
            <v>m</v>
          </cell>
          <cell r="D542">
            <v>11.41</v>
          </cell>
          <cell r="E542">
            <v>0</v>
          </cell>
          <cell r="F542" t="e">
            <v>#N/A</v>
          </cell>
          <cell r="G542" t="e">
            <v>#N/A</v>
          </cell>
        </row>
        <row r="543">
          <cell r="A543">
            <v>41129</v>
          </cell>
          <cell r="B543" t="str">
            <v>Eletroduto tipo Kanaflex diâmetro 1 1/2", fornecimento e assentamento</v>
          </cell>
          <cell r="C543" t="str">
            <v>m</v>
          </cell>
          <cell r="D543">
            <v>14.16</v>
          </cell>
          <cell r="E543">
            <v>0</v>
          </cell>
          <cell r="F543" t="e">
            <v>#N/A</v>
          </cell>
          <cell r="G543" t="e">
            <v>#N/A</v>
          </cell>
        </row>
        <row r="544">
          <cell r="A544">
            <v>41131</v>
          </cell>
          <cell r="B544" t="str">
            <v>Eletroduto tipo Kanaflex diâmetro 2", fornecimento e assentamento</v>
          </cell>
          <cell r="C544" t="str">
            <v>m</v>
          </cell>
          <cell r="D544">
            <v>19.57</v>
          </cell>
          <cell r="E544">
            <v>0</v>
          </cell>
          <cell r="F544" t="e">
            <v>#N/A</v>
          </cell>
          <cell r="G544" t="e">
            <v>#N/A</v>
          </cell>
        </row>
        <row r="545">
          <cell r="A545">
            <v>41130</v>
          </cell>
          <cell r="B545" t="str">
            <v>Eletroduto tipo Kanaflex diâmetro 4", fornecimento e assentamento</v>
          </cell>
          <cell r="C545" t="str">
            <v>m</v>
          </cell>
          <cell r="D545">
            <v>32.53</v>
          </cell>
          <cell r="E545">
            <v>0</v>
          </cell>
          <cell r="F545" t="e">
            <v>#N/A</v>
          </cell>
          <cell r="G545" t="e">
            <v>#N/A</v>
          </cell>
        </row>
        <row r="546">
          <cell r="A546">
            <v>40997</v>
          </cell>
          <cell r="B546" t="str">
            <v>Enrocamento de pedra arrumada com pá carregadeira e escavadeira, inclusive fornecimento, exclusive transporte da pedra</v>
          </cell>
          <cell r="C546" t="str">
            <v>m³</v>
          </cell>
          <cell r="D546">
            <v>83.47</v>
          </cell>
          <cell r="E546">
            <v>0</v>
          </cell>
          <cell r="F546" t="e">
            <v>#N/A</v>
          </cell>
          <cell r="G546" t="e">
            <v>#N/A</v>
          </cell>
        </row>
        <row r="547">
          <cell r="A547">
            <v>40724</v>
          </cell>
          <cell r="B547" t="str">
            <v>Enrocamento de pedra de mão arrumada exclusive transporte</v>
          </cell>
          <cell r="C547" t="str">
            <v>m³</v>
          </cell>
          <cell r="D547">
            <v>144.24</v>
          </cell>
          <cell r="E547">
            <v>0</v>
          </cell>
          <cell r="F547" t="e">
            <v>#N/A</v>
          </cell>
          <cell r="G547" t="e">
            <v>#N/A</v>
          </cell>
        </row>
        <row r="548">
          <cell r="A548">
            <v>40722</v>
          </cell>
          <cell r="B548" t="str">
            <v>Enrocamento de pedra jogada exclusive fornecimento e transporte (utilização de material considerado em medição)</v>
          </cell>
          <cell r="C548" t="str">
            <v>m³</v>
          </cell>
          <cell r="D548">
            <v>7.73</v>
          </cell>
          <cell r="E548">
            <v>0</v>
          </cell>
          <cell r="F548" t="e">
            <v>#N/A</v>
          </cell>
          <cell r="G548" t="e">
            <v>#N/A</v>
          </cell>
        </row>
        <row r="549">
          <cell r="A549">
            <v>40998</v>
          </cell>
          <cell r="B549" t="str">
            <v>Enrocamento de pedra jogada exclusive o fornecimento e transporte da pedra</v>
          </cell>
          <cell r="C549" t="str">
            <v>m³</v>
          </cell>
          <cell r="D549">
            <v>8.7100000000000009</v>
          </cell>
          <cell r="E549">
            <v>0</v>
          </cell>
          <cell r="F549" t="e">
            <v>#N/A</v>
          </cell>
          <cell r="G549" t="e">
            <v>#N/A</v>
          </cell>
        </row>
        <row r="550">
          <cell r="A550">
            <v>40723</v>
          </cell>
          <cell r="B550" t="str">
            <v>Enrocamento de pedra jogada inclusive fornecimento, exclusive transporte da pedra</v>
          </cell>
          <cell r="C550" t="str">
            <v>m³</v>
          </cell>
          <cell r="D550">
            <v>61.04</v>
          </cell>
          <cell r="E550">
            <v>0</v>
          </cell>
          <cell r="F550" t="e">
            <v>#N/A</v>
          </cell>
          <cell r="G550" t="e">
            <v>#N/A</v>
          </cell>
        </row>
        <row r="551">
          <cell r="A551">
            <v>40335</v>
          </cell>
          <cell r="B551" t="str">
            <v>Ensecadeira dupla de madeira esp.= 5 cm com 1 reaproveitamento</v>
          </cell>
          <cell r="C551" t="str">
            <v>m²</v>
          </cell>
          <cell r="D551">
            <v>527.34</v>
          </cell>
          <cell r="E551" t="str">
            <v>A incluir</v>
          </cell>
          <cell r="F551" t="e">
            <v>#N/A</v>
          </cell>
          <cell r="G551" t="e">
            <v>#N/A</v>
          </cell>
        </row>
        <row r="552">
          <cell r="A552">
            <v>40334</v>
          </cell>
          <cell r="B552" t="str">
            <v>Ensecadeira dupla de madeira esp.= 5 cm sem reaproveitamento, tudo incluído</v>
          </cell>
          <cell r="C552" t="str">
            <v>m²</v>
          </cell>
          <cell r="D552">
            <v>734.39</v>
          </cell>
          <cell r="E552" t="str">
            <v>A incluir</v>
          </cell>
          <cell r="F552" t="e">
            <v>#N/A</v>
          </cell>
          <cell r="G552" t="e">
            <v>#N/A</v>
          </cell>
        </row>
        <row r="553">
          <cell r="A553">
            <v>40333</v>
          </cell>
          <cell r="B553" t="str">
            <v>Ensecadeira simples de madeira esp.= 5 cm com 1 reaproveitamento, inclusive transporte das madeiras</v>
          </cell>
          <cell r="C553" t="str">
            <v>m²</v>
          </cell>
          <cell r="D553">
            <v>263.67</v>
          </cell>
          <cell r="E553" t="str">
            <v>A incluir</v>
          </cell>
          <cell r="F553" t="e">
            <v>#N/A</v>
          </cell>
          <cell r="G553" t="e">
            <v>#N/A</v>
          </cell>
        </row>
        <row r="554">
          <cell r="A554">
            <v>40332</v>
          </cell>
          <cell r="B554" t="str">
            <v>Ensecadeira simples de madeira esp.= 5 cm sem reaproveitamento, inclusive transporte das madeiras</v>
          </cell>
          <cell r="C554" t="str">
            <v>m²</v>
          </cell>
          <cell r="D554">
            <v>367.19</v>
          </cell>
          <cell r="E554" t="str">
            <v>A incluir</v>
          </cell>
          <cell r="F554" t="e">
            <v>#N/A</v>
          </cell>
          <cell r="G554" t="e">
            <v>#N/A</v>
          </cell>
        </row>
        <row r="555">
          <cell r="A555">
            <v>40675</v>
          </cell>
          <cell r="B555" t="str">
            <v>Entrada para descida d'agua DP-1 (calha/degraus) inclusive caiação</v>
          </cell>
          <cell r="C555" t="str">
            <v>un</v>
          </cell>
          <cell r="D555">
            <v>198.76</v>
          </cell>
          <cell r="E555">
            <v>0</v>
          </cell>
          <cell r="F555" t="e">
            <v>#N/A</v>
          </cell>
          <cell r="G555" t="e">
            <v>#N/A</v>
          </cell>
        </row>
        <row r="556">
          <cell r="A556">
            <v>40673</v>
          </cell>
          <cell r="B556" t="str">
            <v>Entrada para descida d'água EDA-01</v>
          </cell>
          <cell r="C556" t="str">
            <v>un</v>
          </cell>
          <cell r="D556">
            <v>72.88</v>
          </cell>
          <cell r="E556">
            <v>0</v>
          </cell>
          <cell r="F556">
            <v>82.38</v>
          </cell>
          <cell r="G556">
            <v>1.1303512623490699</v>
          </cell>
        </row>
        <row r="557">
          <cell r="A557">
            <v>40674</v>
          </cell>
          <cell r="B557" t="str">
            <v>Entrada para descida d'água EDA-02</v>
          </cell>
          <cell r="C557" t="str">
            <v>un</v>
          </cell>
          <cell r="D557">
            <v>77.88</v>
          </cell>
          <cell r="E557">
            <v>0</v>
          </cell>
          <cell r="F557">
            <v>87.72</v>
          </cell>
          <cell r="G557">
            <v>1.1263482280431401</v>
          </cell>
        </row>
        <row r="558">
          <cell r="A558">
            <v>41037</v>
          </cell>
          <cell r="B558" t="str">
            <v>Escada de madeira executada sobre terreno inclinado, com 80 cm de largura mínima</v>
          </cell>
          <cell r="C558" t="str">
            <v>m</v>
          </cell>
          <cell r="D558">
            <v>59.9</v>
          </cell>
          <cell r="E558">
            <v>0</v>
          </cell>
          <cell r="F558" t="e">
            <v>#N/A</v>
          </cell>
          <cell r="G558" t="e">
            <v>#N/A</v>
          </cell>
        </row>
        <row r="559">
          <cell r="A559">
            <v>40258</v>
          </cell>
          <cell r="B559" t="str">
            <v>Escavação manual em mat. 1ª cat. H= 0,00 a 1,50 m</v>
          </cell>
          <cell r="C559" t="str">
            <v>m³</v>
          </cell>
          <cell r="D559">
            <v>57.06</v>
          </cell>
          <cell r="E559">
            <v>0</v>
          </cell>
          <cell r="F559">
            <v>57.06</v>
          </cell>
          <cell r="G559">
            <v>1</v>
          </cell>
        </row>
        <row r="560">
          <cell r="A560">
            <v>40261</v>
          </cell>
          <cell r="B560" t="str">
            <v>Escavação manual em mat. 1ª cat. H= 0,00 a 1,50 m com esgotamento</v>
          </cell>
          <cell r="C560" t="str">
            <v>m³</v>
          </cell>
          <cell r="D560">
            <v>64.41</v>
          </cell>
          <cell r="E560">
            <v>0</v>
          </cell>
          <cell r="F560" t="e">
            <v>#N/A</v>
          </cell>
          <cell r="G560" t="e">
            <v>#N/A</v>
          </cell>
        </row>
        <row r="561">
          <cell r="A561">
            <v>40259</v>
          </cell>
          <cell r="B561" t="str">
            <v>Escavação manual em mat. 1ª cat. H= 1,50 a 3,00 m</v>
          </cell>
          <cell r="C561" t="str">
            <v>m³</v>
          </cell>
          <cell r="D561">
            <v>84.09</v>
          </cell>
          <cell r="E561">
            <v>0</v>
          </cell>
          <cell r="F561" t="e">
            <v>#N/A</v>
          </cell>
          <cell r="G561" t="e">
            <v>#N/A</v>
          </cell>
        </row>
        <row r="562">
          <cell r="A562">
            <v>40262</v>
          </cell>
          <cell r="B562" t="str">
            <v>Escavação manual em mat. 1ª cat. H= 1,50 a 3,00 m com esgotamento</v>
          </cell>
          <cell r="C562" t="str">
            <v>m³</v>
          </cell>
          <cell r="D562">
            <v>91.44</v>
          </cell>
          <cell r="E562">
            <v>0</v>
          </cell>
          <cell r="F562" t="e">
            <v>#N/A</v>
          </cell>
          <cell r="G562" t="e">
            <v>#N/A</v>
          </cell>
        </row>
        <row r="563">
          <cell r="A563">
            <v>40260</v>
          </cell>
          <cell r="B563" t="str">
            <v>Escavação manual em mat. 1ª cat. H= 3,00 a 4,50 m</v>
          </cell>
          <cell r="C563" t="str">
            <v>m³</v>
          </cell>
          <cell r="D563">
            <v>124.65</v>
          </cell>
          <cell r="E563">
            <v>0</v>
          </cell>
          <cell r="F563" t="e">
            <v>#N/A</v>
          </cell>
          <cell r="G563" t="e">
            <v>#N/A</v>
          </cell>
        </row>
        <row r="564">
          <cell r="A564">
            <v>40263</v>
          </cell>
          <cell r="B564" t="str">
            <v>Escavação manual em mat. 1ª cat. H= 3,00 a 4,50 m com esgotamento</v>
          </cell>
          <cell r="C564" t="str">
            <v>m³</v>
          </cell>
          <cell r="D564">
            <v>132</v>
          </cell>
          <cell r="E564">
            <v>0</v>
          </cell>
          <cell r="F564" t="e">
            <v>#N/A</v>
          </cell>
          <cell r="G564" t="e">
            <v>#N/A</v>
          </cell>
        </row>
        <row r="565">
          <cell r="A565">
            <v>40267</v>
          </cell>
          <cell r="B565" t="str">
            <v>Escavação manual em mat. 2ª cat. H= 0,00 a 1,50 m com esgotamento</v>
          </cell>
          <cell r="C565" t="str">
            <v>m³</v>
          </cell>
          <cell r="D565">
            <v>135.96</v>
          </cell>
          <cell r="E565">
            <v>0</v>
          </cell>
          <cell r="F565" t="e">
            <v>#N/A</v>
          </cell>
          <cell r="G565" t="e">
            <v>#N/A</v>
          </cell>
        </row>
        <row r="566">
          <cell r="A566">
            <v>40264</v>
          </cell>
          <cell r="B566" t="str">
            <v>Escavação manual em mat. 2ª cat. H= 0,00 a 1,50 m sem detonação</v>
          </cell>
          <cell r="C566" t="str">
            <v>m³</v>
          </cell>
          <cell r="D566">
            <v>128.61000000000001</v>
          </cell>
          <cell r="E566">
            <v>0</v>
          </cell>
          <cell r="F566" t="e">
            <v>#N/A</v>
          </cell>
          <cell r="G566" t="e">
            <v>#N/A</v>
          </cell>
        </row>
        <row r="567">
          <cell r="A567">
            <v>40268</v>
          </cell>
          <cell r="B567" t="str">
            <v>Escavação manual em mat. 2ª cat. H= 1,50 a 3,00 m com esgotamento</v>
          </cell>
          <cell r="C567" t="str">
            <v>m³</v>
          </cell>
          <cell r="D567">
            <v>167.41</v>
          </cell>
          <cell r="E567">
            <v>0</v>
          </cell>
          <cell r="F567" t="e">
            <v>#N/A</v>
          </cell>
          <cell r="G567" t="e">
            <v>#N/A</v>
          </cell>
        </row>
        <row r="568">
          <cell r="A568">
            <v>40265</v>
          </cell>
          <cell r="B568" t="str">
            <v>Escavação manual em mat. 2ª cat. H= 1,50 a 3,00 m sem detonação</v>
          </cell>
          <cell r="C568" t="str">
            <v>m³</v>
          </cell>
          <cell r="D568">
            <v>160.06</v>
          </cell>
          <cell r="E568">
            <v>0</v>
          </cell>
          <cell r="F568" t="e">
            <v>#N/A</v>
          </cell>
          <cell r="G568" t="e">
            <v>#N/A</v>
          </cell>
        </row>
        <row r="569">
          <cell r="A569">
            <v>40269</v>
          </cell>
          <cell r="B569" t="str">
            <v>Escavação manual em mat. 2ª cat. H= 3,00 a 4,50 m com esgotamento</v>
          </cell>
          <cell r="C569" t="str">
            <v>m³</v>
          </cell>
          <cell r="D569">
            <v>291.61</v>
          </cell>
          <cell r="E569">
            <v>0</v>
          </cell>
          <cell r="F569" t="e">
            <v>#N/A</v>
          </cell>
          <cell r="G569" t="e">
            <v>#N/A</v>
          </cell>
        </row>
        <row r="570">
          <cell r="A570">
            <v>40266</v>
          </cell>
          <cell r="B570" t="str">
            <v>Escavação manual em mat. 2ª cat. H= 3,00 a 4,50 m sem detonação</v>
          </cell>
          <cell r="C570" t="str">
            <v>m³</v>
          </cell>
          <cell r="D570">
            <v>284.26</v>
          </cell>
          <cell r="E570">
            <v>0</v>
          </cell>
          <cell r="F570" t="e">
            <v>#N/A</v>
          </cell>
          <cell r="G570" t="e">
            <v>#N/A</v>
          </cell>
        </row>
        <row r="571">
          <cell r="A571">
            <v>40276</v>
          </cell>
          <cell r="B571" t="str">
            <v>Escavação manual em mat. 3ª cat. H= 0,00 a 1,50 m, a fogo</v>
          </cell>
          <cell r="C571" t="str">
            <v>m³</v>
          </cell>
          <cell r="D571">
            <v>355.56</v>
          </cell>
          <cell r="E571">
            <v>0</v>
          </cell>
          <cell r="F571" t="e">
            <v>#N/A</v>
          </cell>
          <cell r="G571" t="e">
            <v>#N/A</v>
          </cell>
        </row>
        <row r="572">
          <cell r="A572">
            <v>40256</v>
          </cell>
          <cell r="B572" t="str">
            <v>Escavação manual furos, valetas mat. 1ª cat. H= 0,00 a 1,50 m (dim. reduz.)</v>
          </cell>
          <cell r="C572" t="str">
            <v>m³</v>
          </cell>
          <cell r="D572">
            <v>84.09</v>
          </cell>
          <cell r="E572">
            <v>0</v>
          </cell>
          <cell r="F572">
            <v>84.09</v>
          </cell>
          <cell r="G572">
            <v>1</v>
          </cell>
        </row>
        <row r="573">
          <cell r="A573">
            <v>40257</v>
          </cell>
          <cell r="B573" t="str">
            <v>Escavação manual furos, valetas mat. 2ª cat. H= 0,00 a 1,50 m sem detonação (dim. reduz.)</v>
          </cell>
          <cell r="C573" t="str">
            <v>m³</v>
          </cell>
          <cell r="D573">
            <v>191.42</v>
          </cell>
          <cell r="E573">
            <v>0</v>
          </cell>
          <cell r="F573" t="e">
            <v>#N/A</v>
          </cell>
          <cell r="G573" t="e">
            <v>#N/A</v>
          </cell>
        </row>
        <row r="574">
          <cell r="A574">
            <v>41192</v>
          </cell>
          <cell r="B574" t="str">
            <v>Escavação mecânica de valas em material de 1ª categoria, 3,00 a 4,50m, com esgotamento, carga do material, transporte do material para bota-fora</v>
          </cell>
          <cell r="C574" t="str">
            <v>m³</v>
          </cell>
          <cell r="D574">
            <v>184.3</v>
          </cell>
          <cell r="E574" t="str">
            <v>A incluir</v>
          </cell>
          <cell r="F574" t="e">
            <v>#N/A</v>
          </cell>
          <cell r="G574" t="e">
            <v>#N/A</v>
          </cell>
        </row>
        <row r="575">
          <cell r="A575">
            <v>41198</v>
          </cell>
          <cell r="B575" t="str">
            <v>Escavação mecânica de valas em 1ª categoria, profundidade de 4,50 a 6,00m com esgotamento, transp. DMT=20km, descarga e espalhamento</v>
          </cell>
          <cell r="C575" t="str">
            <v>m³</v>
          </cell>
          <cell r="D575">
            <v>186.13</v>
          </cell>
          <cell r="E575" t="str">
            <v>A incluir</v>
          </cell>
          <cell r="F575" t="e">
            <v>#N/A</v>
          </cell>
          <cell r="G575" t="e">
            <v>#N/A</v>
          </cell>
        </row>
        <row r="576">
          <cell r="A576">
            <v>40282</v>
          </cell>
          <cell r="B576" t="str">
            <v>Escavação mecânica em material de 1ª cat. H= 0,00 a 1,50 m</v>
          </cell>
          <cell r="C576" t="str">
            <v>m³</v>
          </cell>
          <cell r="D576">
            <v>10.35</v>
          </cell>
          <cell r="E576">
            <v>0</v>
          </cell>
          <cell r="F576">
            <v>10.36</v>
          </cell>
          <cell r="G576">
            <v>1.00096618357488</v>
          </cell>
        </row>
        <row r="577">
          <cell r="A577">
            <v>40285</v>
          </cell>
          <cell r="B577" t="str">
            <v>Escavação mecânica em material de 1ª cat. H= 0,00 a 1,50 m com esgotamento</v>
          </cell>
          <cell r="C577" t="str">
            <v>m³</v>
          </cell>
          <cell r="D577">
            <v>17.7</v>
          </cell>
          <cell r="E577">
            <v>0</v>
          </cell>
          <cell r="F577" t="e">
            <v>#N/A</v>
          </cell>
          <cell r="G577" t="e">
            <v>#N/A</v>
          </cell>
        </row>
        <row r="578">
          <cell r="A578">
            <v>40283</v>
          </cell>
          <cell r="B578" t="str">
            <v>Escavação mecânica em material de 1ª cat. H= 1,50 a 3,00 m</v>
          </cell>
          <cell r="C578" t="str">
            <v>m³</v>
          </cell>
          <cell r="D578">
            <v>11.39</v>
          </cell>
          <cell r="E578">
            <v>0</v>
          </cell>
          <cell r="F578">
            <v>11.39</v>
          </cell>
          <cell r="G578">
            <v>1</v>
          </cell>
        </row>
        <row r="579">
          <cell r="A579">
            <v>40286</v>
          </cell>
          <cell r="B579" t="str">
            <v>Escavação mecânica em material de 1ª cat. H= 1,50 a 3,00 m com esgotamento</v>
          </cell>
          <cell r="C579" t="str">
            <v>m³</v>
          </cell>
          <cell r="D579">
            <v>18.739999999999998</v>
          </cell>
          <cell r="E579">
            <v>0</v>
          </cell>
          <cell r="F579" t="e">
            <v>#N/A</v>
          </cell>
          <cell r="G579" t="e">
            <v>#N/A</v>
          </cell>
        </row>
        <row r="580">
          <cell r="A580">
            <v>40284</v>
          </cell>
          <cell r="B580" t="str">
            <v>Escavação mecânica em material de 1ª cat. H= 3,00 a 4,50 m</v>
          </cell>
          <cell r="C580" t="str">
            <v>m³</v>
          </cell>
          <cell r="D580">
            <v>13.4</v>
          </cell>
          <cell r="E580">
            <v>0</v>
          </cell>
          <cell r="F580" t="e">
            <v>#N/A</v>
          </cell>
          <cell r="G580" t="e">
            <v>#N/A</v>
          </cell>
        </row>
        <row r="581">
          <cell r="A581">
            <v>40287</v>
          </cell>
          <cell r="B581" t="str">
            <v>Escavação mecânica em material de 1º cat. H= 3,00 a 4,50 m com esgotamento</v>
          </cell>
          <cell r="C581" t="str">
            <v>m³</v>
          </cell>
          <cell r="D581">
            <v>20.75</v>
          </cell>
          <cell r="E581">
            <v>0</v>
          </cell>
          <cell r="F581" t="e">
            <v>#N/A</v>
          </cell>
          <cell r="G581" t="e">
            <v>#N/A</v>
          </cell>
        </row>
        <row r="582">
          <cell r="A582">
            <v>40288</v>
          </cell>
          <cell r="B582" t="str">
            <v>Escavação mecânica em material de 2ª cat. H= 0,00 a 1,50 m</v>
          </cell>
          <cell r="C582" t="str">
            <v>m³</v>
          </cell>
          <cell r="D582">
            <v>18.989999999999998</v>
          </cell>
          <cell r="E582">
            <v>0</v>
          </cell>
          <cell r="F582" t="e">
            <v>#N/A</v>
          </cell>
          <cell r="G582" t="e">
            <v>#N/A</v>
          </cell>
        </row>
        <row r="583">
          <cell r="A583">
            <v>40291</v>
          </cell>
          <cell r="B583" t="str">
            <v>Escavação mecânica em material de 2ª cat. H= 0,00 a 1,50 m com esgotamento</v>
          </cell>
          <cell r="C583" t="str">
            <v>m³</v>
          </cell>
          <cell r="D583">
            <v>26.34</v>
          </cell>
          <cell r="E583">
            <v>0</v>
          </cell>
          <cell r="F583" t="e">
            <v>#N/A</v>
          </cell>
          <cell r="G583" t="e">
            <v>#N/A</v>
          </cell>
        </row>
        <row r="584">
          <cell r="A584">
            <v>40289</v>
          </cell>
          <cell r="B584" t="str">
            <v>Escavação mecânica em material de 2ª cat. H= 1,50 a 3,00 m</v>
          </cell>
          <cell r="C584" t="str">
            <v>m³</v>
          </cell>
          <cell r="D584">
            <v>22.78</v>
          </cell>
          <cell r="E584">
            <v>0</v>
          </cell>
          <cell r="F584" t="e">
            <v>#N/A</v>
          </cell>
          <cell r="G584" t="e">
            <v>#N/A</v>
          </cell>
        </row>
        <row r="585">
          <cell r="A585">
            <v>40292</v>
          </cell>
          <cell r="B585" t="str">
            <v>Escavação mecânica em material de 2ª cat. H= 1,50 a 3,00 m com esgotamento</v>
          </cell>
          <cell r="C585" t="str">
            <v>m³</v>
          </cell>
          <cell r="D585">
            <v>30.13</v>
          </cell>
          <cell r="E585">
            <v>0</v>
          </cell>
          <cell r="F585" t="e">
            <v>#N/A</v>
          </cell>
          <cell r="G585" t="e">
            <v>#N/A</v>
          </cell>
        </row>
        <row r="586">
          <cell r="A586">
            <v>40290</v>
          </cell>
          <cell r="B586" t="str">
            <v>Escavação mecânica em material de 2ª cat. H= 3,00 a 4,50 m</v>
          </cell>
          <cell r="C586" t="str">
            <v>m³</v>
          </cell>
          <cell r="D586">
            <v>28.48</v>
          </cell>
          <cell r="E586">
            <v>0</v>
          </cell>
          <cell r="F586" t="e">
            <v>#N/A</v>
          </cell>
          <cell r="G586" t="e">
            <v>#N/A</v>
          </cell>
        </row>
        <row r="587">
          <cell r="A587">
            <v>40293</v>
          </cell>
          <cell r="B587" t="str">
            <v>Escavação mecânica em material de 2º cat. H= 3,00 a 4,50 m com esgotamento</v>
          </cell>
          <cell r="C587" t="str">
            <v>m³</v>
          </cell>
          <cell r="D587">
            <v>35.83</v>
          </cell>
          <cell r="E587">
            <v>0</v>
          </cell>
          <cell r="F587" t="e">
            <v>#N/A</v>
          </cell>
          <cell r="G587" t="e">
            <v>#N/A</v>
          </cell>
        </row>
        <row r="588">
          <cell r="A588">
            <v>40294</v>
          </cell>
          <cell r="B588" t="str">
            <v>Escavação mecânica em material de 3ª cat. H= 0,00 a 1,50 m</v>
          </cell>
          <cell r="C588" t="str">
            <v>m³</v>
          </cell>
          <cell r="D588">
            <v>101.5</v>
          </cell>
          <cell r="E588">
            <v>0</v>
          </cell>
          <cell r="F588" t="e">
            <v>#N/A</v>
          </cell>
          <cell r="G588" t="e">
            <v>#N/A</v>
          </cell>
        </row>
        <row r="589">
          <cell r="A589">
            <v>40297</v>
          </cell>
          <cell r="B589" t="str">
            <v>Escavação mecânica em material de 3ª cat. H= 0,00 a 1,50 m com esgotamento</v>
          </cell>
          <cell r="C589" t="str">
            <v>m³</v>
          </cell>
          <cell r="D589">
            <v>108.85</v>
          </cell>
          <cell r="E589">
            <v>0</v>
          </cell>
          <cell r="F589" t="e">
            <v>#N/A</v>
          </cell>
          <cell r="G589" t="e">
            <v>#N/A</v>
          </cell>
        </row>
        <row r="590">
          <cell r="A590">
            <v>40295</v>
          </cell>
          <cell r="B590" t="str">
            <v>Escavação mecânica em material de 3ª cat. H= 1,50 a 3,00 m</v>
          </cell>
          <cell r="C590" t="str">
            <v>m³</v>
          </cell>
          <cell r="D590">
            <v>114.55</v>
          </cell>
          <cell r="E590">
            <v>0</v>
          </cell>
          <cell r="F590" t="e">
            <v>#N/A</v>
          </cell>
          <cell r="G590" t="e">
            <v>#N/A</v>
          </cell>
        </row>
        <row r="591">
          <cell r="A591">
            <v>40298</v>
          </cell>
          <cell r="B591" t="str">
            <v>Escavação mecânica em material de 3ª cat. H= 1,50 a 3,00 m com esgotamento</v>
          </cell>
          <cell r="C591" t="str">
            <v>m³</v>
          </cell>
          <cell r="D591">
            <v>121.9</v>
          </cell>
          <cell r="E591">
            <v>0</v>
          </cell>
          <cell r="F591" t="e">
            <v>#N/A</v>
          </cell>
          <cell r="G591" t="e">
            <v>#N/A</v>
          </cell>
        </row>
        <row r="592">
          <cell r="A592">
            <v>40296</v>
          </cell>
          <cell r="B592" t="str">
            <v>Escavação mecânica em material de 3ª cat. H= 3,00 a 4,50 m</v>
          </cell>
          <cell r="C592" t="str">
            <v>m³</v>
          </cell>
          <cell r="D592">
            <v>138.46</v>
          </cell>
          <cell r="E592">
            <v>0</v>
          </cell>
          <cell r="F592" t="e">
            <v>#N/A</v>
          </cell>
          <cell r="G592" t="e">
            <v>#N/A</v>
          </cell>
        </row>
        <row r="593">
          <cell r="A593">
            <v>40299</v>
          </cell>
          <cell r="B593" t="str">
            <v>Escavação mecânica em material de 3ª cat. H= 3,00 a 4,50 m com esgotamento</v>
          </cell>
          <cell r="C593" t="str">
            <v>m³</v>
          </cell>
          <cell r="D593">
            <v>145.81</v>
          </cell>
          <cell r="E593">
            <v>0</v>
          </cell>
          <cell r="F593" t="e">
            <v>#N/A</v>
          </cell>
          <cell r="G593" t="e">
            <v>#N/A</v>
          </cell>
        </row>
        <row r="594">
          <cell r="A594">
            <v>40327</v>
          </cell>
          <cell r="B594" t="str">
            <v>Escoramento de cavas e valas, inclusive fornecimento e transportes das madeiras</v>
          </cell>
          <cell r="C594" t="str">
            <v>m²</v>
          </cell>
          <cell r="D594">
            <v>173.38</v>
          </cell>
          <cell r="E594" t="str">
            <v>A incluir</v>
          </cell>
          <cell r="F594" t="e">
            <v>#N/A</v>
          </cell>
          <cell r="G594" t="e">
            <v>#N/A</v>
          </cell>
        </row>
        <row r="595">
          <cell r="A595">
            <v>40328</v>
          </cell>
          <cell r="B595" t="str">
            <v>Escoramento e cimbramento (bueiro celular), inclusive fornecimento e transportes das madeiras</v>
          </cell>
          <cell r="C595" t="str">
            <v>m³</v>
          </cell>
          <cell r="D595">
            <v>112.57</v>
          </cell>
          <cell r="E595" t="str">
            <v>A incluir</v>
          </cell>
          <cell r="F595" t="e">
            <v>#N/A</v>
          </cell>
          <cell r="G595" t="e">
            <v>#N/A</v>
          </cell>
        </row>
        <row r="596">
          <cell r="A596">
            <v>43332</v>
          </cell>
          <cell r="B596" t="str">
            <v>Esgotamento de escavações para rebaixamento do nível dágua nos serviços de bueiros, galerias e outros, com conj. moto bomba</v>
          </cell>
          <cell r="C596" t="str">
            <v>mês</v>
          </cell>
          <cell r="D596">
            <v>5513.77</v>
          </cell>
          <cell r="E596">
            <v>0</v>
          </cell>
          <cell r="F596" t="e">
            <v>#N/A</v>
          </cell>
          <cell r="G596" t="e">
            <v>#N/A</v>
          </cell>
        </row>
        <row r="597">
          <cell r="A597">
            <v>40316</v>
          </cell>
          <cell r="B597" t="str">
            <v>Forma especial de madeira para meio fio, inclusive fornecimento e transporte das madeiras</v>
          </cell>
          <cell r="C597" t="str">
            <v>m²</v>
          </cell>
          <cell r="D597">
            <v>68.23</v>
          </cell>
          <cell r="E597" t="str">
            <v>A incluir</v>
          </cell>
          <cell r="F597">
            <v>69</v>
          </cell>
          <cell r="G597">
            <v>1.01128535834677</v>
          </cell>
        </row>
        <row r="598">
          <cell r="A598">
            <v>40317</v>
          </cell>
          <cell r="B598" t="str">
            <v>Forma especial de madeira para sarjeta (gabarito), inclusive fornecimento e transporte da madeira</v>
          </cell>
          <cell r="C598" t="str">
            <v>m²</v>
          </cell>
          <cell r="D598">
            <v>58.24</v>
          </cell>
          <cell r="E598" t="str">
            <v>A incluir</v>
          </cell>
          <cell r="F598">
            <v>58.98</v>
          </cell>
          <cell r="G598">
            <v>1.01270604395604</v>
          </cell>
        </row>
        <row r="599">
          <cell r="A599">
            <v>40318</v>
          </cell>
          <cell r="B599" t="str">
            <v>Forma metálica para meio fio</v>
          </cell>
          <cell r="C599" t="str">
            <v>m²</v>
          </cell>
          <cell r="D599">
            <v>6.51</v>
          </cell>
          <cell r="E599">
            <v>0</v>
          </cell>
          <cell r="F599" t="e">
            <v>#N/A</v>
          </cell>
          <cell r="G599" t="e">
            <v>#N/A</v>
          </cell>
        </row>
        <row r="600">
          <cell r="A600">
            <v>40311</v>
          </cell>
          <cell r="B600" t="str">
            <v>Formas planas de madeira com 01 (um) reaproveitamento, inclusive fornecimento e transporte das madeiras</v>
          </cell>
          <cell r="C600" t="str">
            <v>m²</v>
          </cell>
          <cell r="D600">
            <v>98.95</v>
          </cell>
          <cell r="E600" t="str">
            <v>A incluir</v>
          </cell>
          <cell r="F600" t="e">
            <v>#N/A</v>
          </cell>
          <cell r="G600" t="e">
            <v>#N/A</v>
          </cell>
        </row>
        <row r="601">
          <cell r="A601">
            <v>40312</v>
          </cell>
          <cell r="B601" t="str">
            <v>Formas planas de madeira com 02 (dois) reaproveitamentos, inclusive fornecimento e transporte das madeiras</v>
          </cell>
          <cell r="C601" t="str">
            <v>m²</v>
          </cell>
          <cell r="D601">
            <v>82.72</v>
          </cell>
          <cell r="E601" t="str">
            <v>A incluir</v>
          </cell>
          <cell r="F601">
            <v>83.2</v>
          </cell>
          <cell r="G601">
            <v>1.00580270793037</v>
          </cell>
        </row>
        <row r="602">
          <cell r="A602">
            <v>40313</v>
          </cell>
          <cell r="B602" t="str">
            <v>Formas planas de madeira com 04 (quatro) reaproveitamentos, inclusive fornecimento e transporte das madeiras</v>
          </cell>
          <cell r="C602" t="str">
            <v>m²</v>
          </cell>
          <cell r="D602">
            <v>70.08</v>
          </cell>
          <cell r="E602" t="str">
            <v>A incluir</v>
          </cell>
          <cell r="F602">
            <v>70.45</v>
          </cell>
          <cell r="G602">
            <v>1.0052796803652999</v>
          </cell>
        </row>
        <row r="603">
          <cell r="A603">
            <v>40310</v>
          </cell>
          <cell r="B603" t="str">
            <v>Formas planas de madeira sem reaproveitamento (forma perdida), inclusive fornecimento e transporte das madeiras</v>
          </cell>
          <cell r="C603" t="str">
            <v>m²</v>
          </cell>
          <cell r="D603">
            <v>145.43</v>
          </cell>
          <cell r="E603" t="str">
            <v>A incluir</v>
          </cell>
          <cell r="F603" t="e">
            <v>#N/A</v>
          </cell>
          <cell r="G603" t="e">
            <v>#N/A</v>
          </cell>
        </row>
        <row r="604">
          <cell r="A604">
            <v>40748</v>
          </cell>
          <cell r="B604" t="str">
            <v>Gabião manta/colchão, malha hex 6x8mm Zn-Al/PVC, e=2,8mm,h=0,23m, inclus.aquis./ assentam. pedra mão, exclus. transp. p/ revestim. canal</v>
          </cell>
          <cell r="C604" t="str">
            <v>m²</v>
          </cell>
          <cell r="D604">
            <v>198.27</v>
          </cell>
          <cell r="E604">
            <v>0</v>
          </cell>
          <cell r="F604" t="e">
            <v>#N/A</v>
          </cell>
          <cell r="G604" t="e">
            <v>#N/A</v>
          </cell>
        </row>
        <row r="605">
          <cell r="A605">
            <v>41400</v>
          </cell>
          <cell r="B605" t="str">
            <v>Gabiões com caixas e sacos galvanizados, com geotêxtil não tecido RT 07 kN/m, incluisve transp. de madeira e pedra de mão</v>
          </cell>
          <cell r="C605" t="str">
            <v>m³</v>
          </cell>
          <cell r="D605">
            <v>391.41</v>
          </cell>
          <cell r="E605" t="str">
            <v>A incluir</v>
          </cell>
          <cell r="F605" t="e">
            <v>#N/A</v>
          </cell>
          <cell r="G605" t="e">
            <v>#N/A</v>
          </cell>
        </row>
        <row r="606">
          <cell r="A606">
            <v>40726</v>
          </cell>
          <cell r="B606" t="str">
            <v>Gabiões com caixas galvanizadas com utilização de geotêxtil não tecido RT 07 kN/m, inclus. transp. madeira e pedra mão</v>
          </cell>
          <cell r="C606" t="str">
            <v>m³</v>
          </cell>
          <cell r="D606">
            <v>344.95</v>
          </cell>
          <cell r="E606" t="str">
            <v>A incluir</v>
          </cell>
          <cell r="F606" t="e">
            <v>#N/A</v>
          </cell>
          <cell r="G606" t="e">
            <v>#N/A</v>
          </cell>
        </row>
        <row r="607">
          <cell r="A607">
            <v>40725</v>
          </cell>
          <cell r="B607" t="str">
            <v>Gabiões com caixas galvanizadas, sem manta</v>
          </cell>
          <cell r="C607" t="str">
            <v>m³</v>
          </cell>
          <cell r="D607">
            <v>341.53</v>
          </cell>
          <cell r="E607" t="str">
            <v>A incluir</v>
          </cell>
          <cell r="F607" t="e">
            <v>#N/A</v>
          </cell>
          <cell r="G607" t="e">
            <v>#N/A</v>
          </cell>
        </row>
        <row r="608">
          <cell r="A608">
            <v>41394</v>
          </cell>
          <cell r="B608" t="str">
            <v>Geogrelha com resistência londitudinal a tração 35 a 40 kN, resist. transversal a tração 30 kN, fornecimento e aplicação</v>
          </cell>
          <cell r="C608" t="str">
            <v>m²</v>
          </cell>
          <cell r="D608">
            <v>23.02</v>
          </cell>
          <cell r="E608">
            <v>0</v>
          </cell>
          <cell r="F608" t="e">
            <v>#N/A</v>
          </cell>
          <cell r="G608" t="e">
            <v>#N/A</v>
          </cell>
        </row>
        <row r="609">
          <cell r="A609">
            <v>41393</v>
          </cell>
          <cell r="B609" t="str">
            <v>Geogrelha com resistência londitudinal a tração 55 a 60 kN, resist. transversal a tração 30 kN, fornecimento e aplicação</v>
          </cell>
          <cell r="C609" t="str">
            <v>m²</v>
          </cell>
          <cell r="D609">
            <v>21.29</v>
          </cell>
          <cell r="E609">
            <v>0</v>
          </cell>
          <cell r="F609" t="e">
            <v>#N/A</v>
          </cell>
          <cell r="G609" t="e">
            <v>#N/A</v>
          </cell>
        </row>
        <row r="610">
          <cell r="A610">
            <v>41391</v>
          </cell>
          <cell r="B610" t="str">
            <v>Geogrelha com resistência longitudinal a tração 300 kN, resist. transversal a tração 30 kN, fornecimento e aplicação</v>
          </cell>
          <cell r="C610" t="str">
            <v>m²</v>
          </cell>
          <cell r="D610">
            <v>67.400000000000006</v>
          </cell>
          <cell r="E610">
            <v>0</v>
          </cell>
          <cell r="F610" t="e">
            <v>#N/A</v>
          </cell>
          <cell r="G610" t="e">
            <v>#N/A</v>
          </cell>
        </row>
        <row r="611">
          <cell r="A611">
            <v>41392</v>
          </cell>
          <cell r="B611" t="str">
            <v>Geogrelha com resistência longitudinal a tração 80 a 90 kN, resist. transversal a tração 30 kN, fornecimento e aplicação</v>
          </cell>
          <cell r="C611" t="str">
            <v>m²</v>
          </cell>
          <cell r="D611">
            <v>33.14</v>
          </cell>
          <cell r="E611">
            <v>0</v>
          </cell>
          <cell r="F611" t="e">
            <v>#N/A</v>
          </cell>
          <cell r="G611" t="e">
            <v>#N/A</v>
          </cell>
        </row>
        <row r="612">
          <cell r="A612">
            <v>41197</v>
          </cell>
          <cell r="B612" t="str">
            <v>Geogrelha monodirecional 200KN, fornecimento e assentamento</v>
          </cell>
          <cell r="C612" t="str">
            <v>m²</v>
          </cell>
          <cell r="D612">
            <v>58.6</v>
          </cell>
          <cell r="E612">
            <v>0</v>
          </cell>
          <cell r="F612" t="e">
            <v>#N/A</v>
          </cell>
          <cell r="G612" t="e">
            <v>#N/A</v>
          </cell>
        </row>
        <row r="613">
          <cell r="A613">
            <v>40709</v>
          </cell>
          <cell r="B613" t="str">
            <v>Geogrelha tecida bidirecional de polipropileno de alto módulo inicial c/ módulo de rigidez nominal = 400KN/m nas duas direções, fornecimento/aplicação</v>
          </cell>
          <cell r="C613" t="str">
            <v>m²</v>
          </cell>
          <cell r="D613">
            <v>20.399999999999999</v>
          </cell>
          <cell r="E613">
            <v>0</v>
          </cell>
          <cell r="F613" t="e">
            <v>#N/A</v>
          </cell>
          <cell r="G613" t="e">
            <v>#N/A</v>
          </cell>
        </row>
        <row r="614">
          <cell r="A614">
            <v>40721</v>
          </cell>
          <cell r="B614" t="str">
            <v>Lastro de brita, inclusive transporte da brita</v>
          </cell>
          <cell r="C614" t="str">
            <v>m³</v>
          </cell>
          <cell r="D614">
            <v>103.69</v>
          </cell>
          <cell r="E614" t="str">
            <v>A incluir</v>
          </cell>
          <cell r="F614" t="e">
            <v>#N/A</v>
          </cell>
          <cell r="G614" t="e">
            <v>#N/A</v>
          </cell>
        </row>
        <row r="615">
          <cell r="A615">
            <v>40396</v>
          </cell>
          <cell r="B615" t="str">
            <v>Limpeza e apicoamento manual de superfície de rocha</v>
          </cell>
          <cell r="C615" t="str">
            <v>m²</v>
          </cell>
          <cell r="D615">
            <v>31.23</v>
          </cell>
          <cell r="E615">
            <v>0</v>
          </cell>
          <cell r="F615" t="e">
            <v>#N/A</v>
          </cell>
          <cell r="G615" t="e">
            <v>#N/A</v>
          </cell>
        </row>
        <row r="616">
          <cell r="A616">
            <v>40744</v>
          </cell>
          <cell r="B616" t="str">
            <v>Limpeza e desobstrução de BDTC e BDCC</v>
          </cell>
          <cell r="C616" t="str">
            <v>m</v>
          </cell>
          <cell r="D616">
            <v>28.52</v>
          </cell>
          <cell r="E616">
            <v>0</v>
          </cell>
          <cell r="F616" t="e">
            <v>#N/A</v>
          </cell>
          <cell r="G616" t="e">
            <v>#N/A</v>
          </cell>
        </row>
        <row r="617">
          <cell r="A617">
            <v>40746</v>
          </cell>
          <cell r="B617" t="str">
            <v>Limpeza e desobstrução de BQTC</v>
          </cell>
          <cell r="C617" t="str">
            <v>m</v>
          </cell>
          <cell r="D617">
            <v>55.55</v>
          </cell>
          <cell r="E617">
            <v>0</v>
          </cell>
          <cell r="F617" t="e">
            <v>#N/A</v>
          </cell>
          <cell r="G617" t="e">
            <v>#N/A</v>
          </cell>
        </row>
        <row r="618">
          <cell r="A618">
            <v>40743</v>
          </cell>
          <cell r="B618" t="str">
            <v>Limpeza e desobstrução de BSTC e BSCC</v>
          </cell>
          <cell r="C618" t="str">
            <v>m</v>
          </cell>
          <cell r="D618">
            <v>14.99</v>
          </cell>
          <cell r="E618">
            <v>0</v>
          </cell>
          <cell r="F618" t="e">
            <v>#N/A</v>
          </cell>
          <cell r="G618" t="e">
            <v>#N/A</v>
          </cell>
        </row>
        <row r="619">
          <cell r="A619">
            <v>40745</v>
          </cell>
          <cell r="B619" t="str">
            <v>Limpeza e desobstrução de BTTC e BTCC</v>
          </cell>
          <cell r="C619" t="str">
            <v>m</v>
          </cell>
          <cell r="D619">
            <v>42.03</v>
          </cell>
          <cell r="E619">
            <v>0</v>
          </cell>
          <cell r="F619" t="e">
            <v>#N/A</v>
          </cell>
          <cell r="G619" t="e">
            <v>#N/A</v>
          </cell>
        </row>
        <row r="620">
          <cell r="A620">
            <v>40397</v>
          </cell>
          <cell r="B620" t="str">
            <v>Limpeza e preparo de superfície de aço</v>
          </cell>
          <cell r="C620" t="str">
            <v>m²</v>
          </cell>
          <cell r="D620">
            <v>74.69</v>
          </cell>
          <cell r="E620">
            <v>0</v>
          </cell>
          <cell r="F620" t="e">
            <v>#N/A</v>
          </cell>
          <cell r="G620" t="e">
            <v>#N/A</v>
          </cell>
        </row>
        <row r="621">
          <cell r="A621">
            <v>41221</v>
          </cell>
          <cell r="B621" t="str">
            <v>Lona plástica preta para isolamento de concretagem sobre solo, fornecimento e colocação</v>
          </cell>
          <cell r="C621" t="str">
            <v>m²</v>
          </cell>
          <cell r="D621">
            <v>3.66</v>
          </cell>
          <cell r="E621">
            <v>0</v>
          </cell>
          <cell r="F621" t="e">
            <v>#N/A</v>
          </cell>
          <cell r="G621" t="e">
            <v>#N/A</v>
          </cell>
        </row>
        <row r="622">
          <cell r="A622">
            <v>41401</v>
          </cell>
          <cell r="B622" t="str">
            <v>Manta Geotêxtil não tecida com resistência longitudinal a tração 10kN/m, fornecimento e aplicação</v>
          </cell>
          <cell r="C622" t="str">
            <v>m²</v>
          </cell>
          <cell r="D622">
            <v>6.17</v>
          </cell>
          <cell r="E622">
            <v>0</v>
          </cell>
          <cell r="F622" t="e">
            <v>#N/A</v>
          </cell>
          <cell r="G622" t="e">
            <v>#N/A</v>
          </cell>
        </row>
        <row r="623">
          <cell r="A623">
            <v>40714</v>
          </cell>
          <cell r="B623" t="str">
            <v>Manta Geotêxtil não tecida RT - 16 kn/m, fornecimento e aplicação</v>
          </cell>
          <cell r="C623" t="str">
            <v>m²</v>
          </cell>
          <cell r="D623">
            <v>8.39</v>
          </cell>
          <cell r="E623">
            <v>0</v>
          </cell>
          <cell r="F623" t="e">
            <v>#N/A</v>
          </cell>
          <cell r="G623" t="e">
            <v>#N/A</v>
          </cell>
        </row>
        <row r="624">
          <cell r="A624">
            <v>40660</v>
          </cell>
          <cell r="B624" t="str">
            <v>Meio fio de concreto DP-1, inclusive caiação</v>
          </cell>
          <cell r="C624" t="str">
            <v>m</v>
          </cell>
          <cell r="D624">
            <v>52.92</v>
          </cell>
          <cell r="E624">
            <v>0</v>
          </cell>
          <cell r="F624" t="e">
            <v>#N/A</v>
          </cell>
          <cell r="G624" t="e">
            <v>#N/A</v>
          </cell>
        </row>
        <row r="625">
          <cell r="A625">
            <v>40661</v>
          </cell>
          <cell r="B625" t="str">
            <v>Meio fio de concreto MFC 01, inclusive caiação</v>
          </cell>
          <cell r="C625" t="str">
            <v>m</v>
          </cell>
          <cell r="D625">
            <v>106.72</v>
          </cell>
          <cell r="E625">
            <v>0</v>
          </cell>
          <cell r="F625" t="e">
            <v>#N/A</v>
          </cell>
          <cell r="G625" t="e">
            <v>#N/A</v>
          </cell>
        </row>
        <row r="626">
          <cell r="A626">
            <v>40662</v>
          </cell>
          <cell r="B626" t="str">
            <v>Meio fio de concreto MFC 05, inclusive caiação</v>
          </cell>
          <cell r="C626" t="str">
            <v>m</v>
          </cell>
          <cell r="D626">
            <v>56.08</v>
          </cell>
          <cell r="E626">
            <v>0</v>
          </cell>
          <cell r="F626">
            <v>59.37</v>
          </cell>
          <cell r="G626">
            <v>1.05866619115549</v>
          </cell>
        </row>
        <row r="627">
          <cell r="A627">
            <v>40663</v>
          </cell>
          <cell r="B627" t="str">
            <v>Meio fio de concreto pré-moldado (12 x 30 x 15) cm, inclusive caiação e transporte do meio fio</v>
          </cell>
          <cell r="C627" t="str">
            <v>m</v>
          </cell>
          <cell r="D627">
            <v>48.89</v>
          </cell>
          <cell r="E627" t="str">
            <v>A incluir</v>
          </cell>
          <cell r="F627" t="e">
            <v>#N/A</v>
          </cell>
          <cell r="G627" t="e">
            <v>#N/A</v>
          </cell>
        </row>
        <row r="628">
          <cell r="A628">
            <v>41018</v>
          </cell>
          <cell r="B628" t="str">
            <v>Meio fio de concreto pré-moldado (1,20m x 0,12m x 0,15m x 0,30m), exclusive transporte</v>
          </cell>
          <cell r="C628" t="str">
            <v>m</v>
          </cell>
          <cell r="D628">
            <v>48.19</v>
          </cell>
          <cell r="E628">
            <v>0</v>
          </cell>
          <cell r="F628" t="e">
            <v>#N/A</v>
          </cell>
          <cell r="G628" t="e">
            <v>#N/A</v>
          </cell>
        </row>
        <row r="629">
          <cell r="A629">
            <v>40665</v>
          </cell>
          <cell r="B629" t="str">
            <v>Meio fio de pedra (fornecimento e assentamento), inclusive caiação e transporte do meio fio</v>
          </cell>
          <cell r="C629" t="str">
            <v>m</v>
          </cell>
          <cell r="D629">
            <v>53.47</v>
          </cell>
          <cell r="E629" t="str">
            <v>A incluir</v>
          </cell>
          <cell r="F629" t="e">
            <v>#N/A</v>
          </cell>
          <cell r="G629" t="e">
            <v>#N/A</v>
          </cell>
        </row>
        <row r="630">
          <cell r="A630">
            <v>40659</v>
          </cell>
          <cell r="B630" t="str">
            <v>Meio fio sarjeta de concreto tipo DP-1 (0,035 m³/m) inclusive caiação</v>
          </cell>
          <cell r="C630" t="str">
            <v>m</v>
          </cell>
          <cell r="D630">
            <v>48.46</v>
          </cell>
          <cell r="E630">
            <v>0</v>
          </cell>
          <cell r="F630" t="e">
            <v>#N/A</v>
          </cell>
          <cell r="G630" t="e">
            <v>#N/A</v>
          </cell>
        </row>
        <row r="631">
          <cell r="A631">
            <v>41024</v>
          </cell>
          <cell r="B631" t="str">
            <v>Montagem e desmontagem de escoramento tubular normal, em obras de arte na densidade de 5m de tubo por m³ de escoramento</v>
          </cell>
          <cell r="C631" t="str">
            <v>m</v>
          </cell>
          <cell r="D631">
            <v>17.68</v>
          </cell>
          <cell r="E631">
            <v>0</v>
          </cell>
          <cell r="F631" t="e">
            <v>#N/A</v>
          </cell>
          <cell r="G631" t="e">
            <v>#N/A</v>
          </cell>
        </row>
        <row r="632">
          <cell r="A632">
            <v>40657</v>
          </cell>
          <cell r="B632" t="str">
            <v>Mureta de corte em rocha</v>
          </cell>
          <cell r="C632" t="str">
            <v>m</v>
          </cell>
          <cell r="D632">
            <v>181.94</v>
          </cell>
          <cell r="E632">
            <v>0</v>
          </cell>
          <cell r="F632" t="e">
            <v>#N/A</v>
          </cell>
          <cell r="G632" t="e">
            <v>#N/A</v>
          </cell>
        </row>
        <row r="633">
          <cell r="A633">
            <v>41395</v>
          </cell>
          <cell r="B633" t="str">
            <v>Muro com Terramesh System ou similar, altura H&lt;= 4,00 metros (4 cx 1x1x4m), tudo incluído</v>
          </cell>
          <cell r="C633" t="str">
            <v>m²</v>
          </cell>
          <cell r="D633">
            <v>633</v>
          </cell>
          <cell r="E633" t="str">
            <v>A incluir</v>
          </cell>
          <cell r="F633" t="e">
            <v>#N/A</v>
          </cell>
          <cell r="G633" t="e">
            <v>#N/A</v>
          </cell>
        </row>
        <row r="634">
          <cell r="A634">
            <v>41396</v>
          </cell>
          <cell r="B634" t="str">
            <v>Muro com Terramesh System ou similar, altura 4,00 &lt; H &lt;= 5,00 metros (3 cx 1x1x4m e 4 cx 0, 5x1x4m) , execução, tudo incluído</v>
          </cell>
          <cell r="C634" t="str">
            <v>m²</v>
          </cell>
          <cell r="D634">
            <v>722.18</v>
          </cell>
          <cell r="E634" t="str">
            <v>A incluir</v>
          </cell>
          <cell r="F634" t="e">
            <v>#N/A</v>
          </cell>
          <cell r="G634" t="e">
            <v>#N/A</v>
          </cell>
        </row>
        <row r="635">
          <cell r="A635">
            <v>41397</v>
          </cell>
          <cell r="B635" t="str">
            <v>Muro com Terramesh System ou similar, altura 5,00 &lt; H &lt;= 6,00 metros (4 cx 1x1x4m e 4 cx 0, 5x1x4m) , tudo incluído</v>
          </cell>
          <cell r="C635" t="str">
            <v>m²</v>
          </cell>
          <cell r="D635">
            <v>708.8</v>
          </cell>
          <cell r="E635" t="str">
            <v>A incluir</v>
          </cell>
          <cell r="F635" t="e">
            <v>#N/A</v>
          </cell>
          <cell r="G635" t="e">
            <v>#N/A</v>
          </cell>
        </row>
        <row r="636">
          <cell r="A636">
            <v>41398</v>
          </cell>
          <cell r="B636" t="str">
            <v>Muro com Terramesh System ou similar, altura 6,00 &lt; H &lt;= 7,50 metros (3cx 1x1x4m, 2cx 1x1x5 e 5cx 0,5x1x6m), tudo incluído</v>
          </cell>
          <cell r="C636" t="str">
            <v>m²</v>
          </cell>
          <cell r="D636">
            <v>802.64</v>
          </cell>
          <cell r="E636" t="str">
            <v>A incluir</v>
          </cell>
          <cell r="F636" t="e">
            <v>#N/A</v>
          </cell>
          <cell r="G636" t="e">
            <v>#N/A</v>
          </cell>
        </row>
        <row r="637">
          <cell r="A637">
            <v>41399</v>
          </cell>
          <cell r="B637" t="str">
            <v>Muro com Terramesh System ou similar, altura 7,50 &lt; H &lt;= 9,00 metros (4 cx 1x1x4m, 2 cx 1x1x5, 3 cx 0,5x1x6m e 3cx 0,5x1x7), tudo incluído</v>
          </cell>
          <cell r="C637" t="str">
            <v>m²</v>
          </cell>
          <cell r="D637">
            <v>813.82</v>
          </cell>
          <cell r="E637" t="str">
            <v>A incluir</v>
          </cell>
          <cell r="F637" t="e">
            <v>#N/A</v>
          </cell>
          <cell r="G637" t="e">
            <v>#N/A</v>
          </cell>
        </row>
        <row r="638">
          <cell r="A638">
            <v>40654</v>
          </cell>
          <cell r="B638" t="str">
            <v>Muro de testa em concreto para saída de dreno profundo em rocha, inclusive transporte do tubo</v>
          </cell>
          <cell r="C638" t="str">
            <v>un</v>
          </cell>
          <cell r="D638">
            <v>583.98</v>
          </cell>
          <cell r="E638" t="str">
            <v>A incluir</v>
          </cell>
          <cell r="F638" t="e">
            <v>#N/A</v>
          </cell>
          <cell r="G638" t="e">
            <v>#N/A</v>
          </cell>
        </row>
        <row r="639">
          <cell r="A639">
            <v>40653</v>
          </cell>
          <cell r="B639" t="str">
            <v>Muro de testa em concreto para saída de dreno profundo em solo, inclusive transporte do tubo</v>
          </cell>
          <cell r="C639" t="str">
            <v>un</v>
          </cell>
          <cell r="D639">
            <v>643.11</v>
          </cell>
          <cell r="E639" t="str">
            <v>A incluir</v>
          </cell>
          <cell r="F639" t="e">
            <v>#N/A</v>
          </cell>
          <cell r="G639" t="e">
            <v>#N/A</v>
          </cell>
        </row>
        <row r="640">
          <cell r="A640">
            <v>41337</v>
          </cell>
          <cell r="B640" t="str">
            <v>Passagem d'água 1,10 x 1,00 - Canteiro</v>
          </cell>
          <cell r="C640" t="str">
            <v>un</v>
          </cell>
          <cell r="D640">
            <v>279.8</v>
          </cell>
          <cell r="E640" t="str">
            <v>A incluir</v>
          </cell>
          <cell r="F640" t="e">
            <v>#N/A</v>
          </cell>
          <cell r="G640" t="e">
            <v>#N/A</v>
          </cell>
        </row>
        <row r="641">
          <cell r="A641">
            <v>40719</v>
          </cell>
          <cell r="B641" t="str">
            <v>Pedra de mão para (concreto ciclópico ou alvenaria) rocha paga em medição</v>
          </cell>
          <cell r="C641" t="str">
            <v>m³</v>
          </cell>
          <cell r="D641">
            <v>44.75</v>
          </cell>
          <cell r="E641">
            <v>0</v>
          </cell>
          <cell r="F641" t="e">
            <v>#N/A</v>
          </cell>
          <cell r="G641" t="e">
            <v>#N/A</v>
          </cell>
        </row>
        <row r="642">
          <cell r="A642">
            <v>41019</v>
          </cell>
          <cell r="B642" t="str">
            <v>Perfuração rotativa inclinada, em rocha sã, com coroa de diamante, diâmetro N (75mm), inclusive deslocamento e posicionamento em cada furo.</v>
          </cell>
          <cell r="C642" t="str">
            <v>m</v>
          </cell>
          <cell r="D642">
            <v>600.24</v>
          </cell>
          <cell r="E642">
            <v>0</v>
          </cell>
          <cell r="F642" t="e">
            <v>#N/A</v>
          </cell>
          <cell r="G642" t="e">
            <v>#N/A</v>
          </cell>
        </row>
        <row r="643">
          <cell r="A643">
            <v>40557</v>
          </cell>
          <cell r="B643" t="str">
            <v>Pescoço de poço de visita H=0,30 m, diâm. = 0,60 m, fornecimento, assentamento e transporte</v>
          </cell>
          <cell r="C643" t="str">
            <v>un</v>
          </cell>
          <cell r="D643">
            <v>126.69</v>
          </cell>
          <cell r="E643" t="str">
            <v>A incluir</v>
          </cell>
          <cell r="F643" t="e">
            <v>#N/A</v>
          </cell>
          <cell r="G643" t="e">
            <v>#N/A</v>
          </cell>
        </row>
        <row r="644">
          <cell r="A644">
            <v>40391</v>
          </cell>
          <cell r="B644" t="str">
            <v>Pintura com nata de cimento</v>
          </cell>
          <cell r="C644" t="str">
            <v>m²</v>
          </cell>
          <cell r="D644">
            <v>4.45</v>
          </cell>
          <cell r="E644">
            <v>0</v>
          </cell>
          <cell r="F644" t="e">
            <v>#N/A</v>
          </cell>
          <cell r="G644" t="e">
            <v>#N/A</v>
          </cell>
        </row>
        <row r="645">
          <cell r="A645">
            <v>40380</v>
          </cell>
          <cell r="B645" t="str">
            <v>Pintura interna ou externa sobre ferro, com tinta a base de resina de borracha clorada</v>
          </cell>
          <cell r="C645" t="str">
            <v>m²</v>
          </cell>
          <cell r="D645">
            <v>41.75</v>
          </cell>
          <cell r="E645">
            <v>0</v>
          </cell>
          <cell r="F645" t="e">
            <v>#N/A</v>
          </cell>
          <cell r="G645" t="e">
            <v>#N/A</v>
          </cell>
        </row>
        <row r="646">
          <cell r="A646">
            <v>40399</v>
          </cell>
          <cell r="B646" t="str">
            <v>Placas pré-moldadas para passeio</v>
          </cell>
          <cell r="C646" t="str">
            <v>m²</v>
          </cell>
          <cell r="D646">
            <v>170.09</v>
          </cell>
          <cell r="E646">
            <v>0</v>
          </cell>
          <cell r="F646" t="e">
            <v>#N/A</v>
          </cell>
          <cell r="G646" t="e">
            <v>#N/A</v>
          </cell>
        </row>
        <row r="647">
          <cell r="A647">
            <v>41028</v>
          </cell>
          <cell r="B647" t="str">
            <v>Plataforma ou passarela de pinho de 1ª ou similar, 1" x 12"</v>
          </cell>
          <cell r="C647" t="str">
            <v>m²</v>
          </cell>
          <cell r="D647">
            <v>2.5099999999999998</v>
          </cell>
          <cell r="E647">
            <v>0</v>
          </cell>
          <cell r="F647" t="e">
            <v>#N/A</v>
          </cell>
          <cell r="G647" t="e">
            <v>#N/A</v>
          </cell>
        </row>
        <row r="648">
          <cell r="A648">
            <v>41167</v>
          </cell>
          <cell r="B648" t="str">
            <v>Poço de visita em bloco pré-moldado para d=0,30 e 0,40m (0,80x0,80m)</v>
          </cell>
          <cell r="C648" t="str">
            <v>un</v>
          </cell>
          <cell r="D648">
            <v>2240.73</v>
          </cell>
          <cell r="E648">
            <v>0</v>
          </cell>
          <cell r="F648" t="e">
            <v>#N/A</v>
          </cell>
          <cell r="G648" t="e">
            <v>#N/A</v>
          </cell>
        </row>
        <row r="649">
          <cell r="A649">
            <v>41168</v>
          </cell>
          <cell r="B649" t="str">
            <v>Poço de visita em bloco pré-moldado para d=0,60m (1,00x1,00m)</v>
          </cell>
          <cell r="C649" t="str">
            <v>un</v>
          </cell>
          <cell r="D649">
            <v>2623.54</v>
          </cell>
          <cell r="E649">
            <v>0</v>
          </cell>
          <cell r="F649" t="e">
            <v>#N/A</v>
          </cell>
          <cell r="G649" t="e">
            <v>#N/A</v>
          </cell>
        </row>
        <row r="650">
          <cell r="A650">
            <v>40570</v>
          </cell>
          <cell r="B650" t="str">
            <v>Poço de visita para BDTC diam. 1,00 m - tudo incluido</v>
          </cell>
          <cell r="C650" t="str">
            <v>un</v>
          </cell>
          <cell r="D650">
            <v>9651.43</v>
          </cell>
          <cell r="E650" t="str">
            <v>A incluir</v>
          </cell>
          <cell r="F650" t="e">
            <v>#N/A</v>
          </cell>
          <cell r="G650" t="e">
            <v>#N/A</v>
          </cell>
        </row>
        <row r="651">
          <cell r="A651">
            <v>41115</v>
          </cell>
          <cell r="B651" t="str">
            <v>Poço de Visita para BSTC diâm. 0,40m em blocos de concreto</v>
          </cell>
          <cell r="C651" t="str">
            <v>un</v>
          </cell>
          <cell r="D651">
            <v>1202.5</v>
          </cell>
          <cell r="E651">
            <v>0</v>
          </cell>
          <cell r="F651" t="e">
            <v>#N/A</v>
          </cell>
          <cell r="G651" t="e">
            <v>#N/A</v>
          </cell>
        </row>
        <row r="652">
          <cell r="A652">
            <v>41116</v>
          </cell>
          <cell r="B652" t="str">
            <v>Poço de visita para BSTC diâm. 0,60m em blocos de concreto</v>
          </cell>
          <cell r="C652" t="str">
            <v>un</v>
          </cell>
          <cell r="D652">
            <v>1605.31</v>
          </cell>
          <cell r="E652">
            <v>0</v>
          </cell>
          <cell r="F652" t="e">
            <v>#N/A</v>
          </cell>
          <cell r="G652" t="e">
            <v>#N/A</v>
          </cell>
        </row>
        <row r="653">
          <cell r="A653">
            <v>41117</v>
          </cell>
          <cell r="B653" t="str">
            <v>Poço de visita para BSTC diâm. 0,80m em blocos de concreto</v>
          </cell>
          <cell r="C653" t="str">
            <v>un</v>
          </cell>
          <cell r="D653">
            <v>1997.34</v>
          </cell>
          <cell r="E653">
            <v>0</v>
          </cell>
          <cell r="F653" t="e">
            <v>#N/A</v>
          </cell>
          <cell r="G653" t="e">
            <v>#N/A</v>
          </cell>
        </row>
        <row r="654">
          <cell r="A654">
            <v>40572</v>
          </cell>
          <cell r="B654" t="str">
            <v>Poço de visita para BTTC diam. 1,20 m - tudo incluído</v>
          </cell>
          <cell r="C654" t="str">
            <v>un</v>
          </cell>
          <cell r="D654">
            <v>15935.37</v>
          </cell>
          <cell r="E654" t="str">
            <v>A incluir</v>
          </cell>
          <cell r="F654" t="e">
            <v>#N/A</v>
          </cell>
          <cell r="G654" t="e">
            <v>#N/A</v>
          </cell>
        </row>
        <row r="655">
          <cell r="A655">
            <v>40553</v>
          </cell>
          <cell r="B655" t="str">
            <v>Poço de visita (tubo D=0,40 m) H=1,50 m com tampão F.F.A.P., inclusive escavação e transporte do tampão</v>
          </cell>
          <cell r="C655" t="str">
            <v>un</v>
          </cell>
          <cell r="D655">
            <v>3518.99</v>
          </cell>
          <cell r="E655" t="str">
            <v>A incluir</v>
          </cell>
          <cell r="F655" t="e">
            <v>#N/A</v>
          </cell>
          <cell r="G655" t="e">
            <v>#N/A</v>
          </cell>
        </row>
        <row r="656">
          <cell r="A656">
            <v>40554</v>
          </cell>
          <cell r="B656" t="str">
            <v>Poço de visita (tubo D=0,60 m) H=1,70 m com tampão F.F.A.P., inclusive escavação e transporte do tampão</v>
          </cell>
          <cell r="C656" t="str">
            <v>un</v>
          </cell>
          <cell r="D656">
            <v>3914.42</v>
          </cell>
          <cell r="E656" t="str">
            <v>A incluir</v>
          </cell>
          <cell r="F656">
            <v>4107.7299999999996</v>
          </cell>
          <cell r="G656">
            <v>1.0493840722252601</v>
          </cell>
        </row>
        <row r="657">
          <cell r="A657">
            <v>40555</v>
          </cell>
          <cell r="B657" t="str">
            <v>Poço de visita (tubo D=0,80 m) H=1,90 m com tampão F.F.A.P., inclusive escavação e transporte do tampão</v>
          </cell>
          <cell r="C657" t="str">
            <v>un</v>
          </cell>
          <cell r="D657">
            <v>4309.84</v>
          </cell>
          <cell r="E657" t="str">
            <v>A incluir</v>
          </cell>
          <cell r="F657" t="e">
            <v>#N/A</v>
          </cell>
          <cell r="G657" t="e">
            <v>#N/A</v>
          </cell>
        </row>
        <row r="658">
          <cell r="A658">
            <v>40556</v>
          </cell>
          <cell r="B658" t="str">
            <v>Poço de visita (tubo D=1,00 m) H=2,10 m com tampão F.F.A.P., inclusive escavação e transporte do tampão</v>
          </cell>
          <cell r="C658" t="str">
            <v>un</v>
          </cell>
          <cell r="D658">
            <v>4705.26</v>
          </cell>
          <cell r="E658" t="str">
            <v>A incluir</v>
          </cell>
          <cell r="F658" t="e">
            <v>#N/A</v>
          </cell>
          <cell r="G658" t="e">
            <v>#N/A</v>
          </cell>
        </row>
        <row r="659">
          <cell r="A659">
            <v>41086</v>
          </cell>
          <cell r="B659" t="str">
            <v>Preparo manual de talude, compreendendo acerto, raspagem eventual de até 0,30m de prof. e afastamento lateral</v>
          </cell>
          <cell r="C659" t="str">
            <v>m²</v>
          </cell>
          <cell r="D659">
            <v>9.59</v>
          </cell>
          <cell r="E659">
            <v>0</v>
          </cell>
          <cell r="F659" t="e">
            <v>#N/A</v>
          </cell>
          <cell r="G659" t="e">
            <v>#N/A</v>
          </cell>
        </row>
        <row r="660">
          <cell r="A660">
            <v>41021</v>
          </cell>
          <cell r="B660" t="str">
            <v>Preparo manual de terreno, compreendendo acerto raspagem até 25cm de profundidade e afastamento lateral do material excedente</v>
          </cell>
          <cell r="C660" t="str">
            <v>m²</v>
          </cell>
          <cell r="D660">
            <v>7.71</v>
          </cell>
          <cell r="E660">
            <v>0</v>
          </cell>
          <cell r="F660" t="e">
            <v>#N/A</v>
          </cell>
          <cell r="G660" t="e">
            <v>#N/A</v>
          </cell>
        </row>
        <row r="661">
          <cell r="A661">
            <v>40304</v>
          </cell>
          <cell r="B661" t="str">
            <v>Reaterro com areia, tudo incluído</v>
          </cell>
          <cell r="C661" t="str">
            <v>m³</v>
          </cell>
          <cell r="D661">
            <v>68.819999999999993</v>
          </cell>
          <cell r="E661" t="str">
            <v>A incluir</v>
          </cell>
          <cell r="F661">
            <v>115.6</v>
          </cell>
          <cell r="G661">
            <v>1.6797442603894199</v>
          </cell>
        </row>
        <row r="662">
          <cell r="A662">
            <v>40302</v>
          </cell>
          <cell r="B662" t="str">
            <v>Reaterro de cavas c/ compactação manual (apiloamento)</v>
          </cell>
          <cell r="C662" t="str">
            <v>m³</v>
          </cell>
          <cell r="D662">
            <v>60.04</v>
          </cell>
          <cell r="E662">
            <v>0</v>
          </cell>
          <cell r="F662">
            <v>60.04</v>
          </cell>
          <cell r="G662">
            <v>1</v>
          </cell>
        </row>
        <row r="663">
          <cell r="A663">
            <v>40301</v>
          </cell>
          <cell r="B663" t="str">
            <v>Reaterro de cavas c/ compactação manual (apiloamento) (dim. reduz.)</v>
          </cell>
          <cell r="C663" t="str">
            <v>m³</v>
          </cell>
          <cell r="D663">
            <v>87.08</v>
          </cell>
          <cell r="E663">
            <v>0</v>
          </cell>
          <cell r="F663" t="e">
            <v>#N/A</v>
          </cell>
          <cell r="G663" t="e">
            <v>#N/A</v>
          </cell>
        </row>
        <row r="664">
          <cell r="A664">
            <v>40303</v>
          </cell>
          <cell r="B664" t="str">
            <v>Reaterro de cavas c/ compactação mecânica (compactador manual)</v>
          </cell>
          <cell r="C664" t="str">
            <v>m³</v>
          </cell>
          <cell r="D664">
            <v>38.17</v>
          </cell>
          <cell r="E664">
            <v>0</v>
          </cell>
          <cell r="F664">
            <v>38.18</v>
          </cell>
          <cell r="G664">
            <v>1.0002619858527599</v>
          </cell>
        </row>
        <row r="665">
          <cell r="A665">
            <v>40559</v>
          </cell>
          <cell r="B665" t="str">
            <v>Recuperação de poço de visita inclusive fornecimento tampão F.F.A.P.</v>
          </cell>
          <cell r="C665" t="str">
            <v>un</v>
          </cell>
          <cell r="D665">
            <v>555.96</v>
          </cell>
          <cell r="E665" t="str">
            <v>A incluir</v>
          </cell>
          <cell r="F665" t="e">
            <v>#N/A</v>
          </cell>
          <cell r="G665" t="e">
            <v>#N/A</v>
          </cell>
        </row>
        <row r="666">
          <cell r="A666">
            <v>41339</v>
          </cell>
          <cell r="B666" t="str">
            <v>Rede de dutos 65mm (duplo), envelopada com brita 3</v>
          </cell>
          <cell r="C666" t="str">
            <v>m</v>
          </cell>
          <cell r="D666">
            <v>81.209999999999994</v>
          </cell>
          <cell r="E666">
            <v>0</v>
          </cell>
          <cell r="F666" t="e">
            <v>#N/A</v>
          </cell>
          <cell r="G666" t="e">
            <v>#N/A</v>
          </cell>
        </row>
        <row r="667">
          <cell r="A667">
            <v>41332</v>
          </cell>
          <cell r="B667" t="str">
            <v>Rede em PVC Vinilfort ou similar DN = 200mm</v>
          </cell>
          <cell r="C667" t="str">
            <v>m</v>
          </cell>
          <cell r="D667">
            <v>234.62</v>
          </cell>
          <cell r="E667">
            <v>0</v>
          </cell>
          <cell r="F667" t="e">
            <v>#N/A</v>
          </cell>
          <cell r="G667" t="e">
            <v>#N/A</v>
          </cell>
        </row>
        <row r="668">
          <cell r="A668">
            <v>41224</v>
          </cell>
          <cell r="B668" t="str">
            <v>Religação de rede de água em PVC DN 20mm, inclusive conexões</v>
          </cell>
          <cell r="C668" t="str">
            <v>m</v>
          </cell>
          <cell r="D668">
            <v>15.73</v>
          </cell>
          <cell r="E668">
            <v>0</v>
          </cell>
          <cell r="F668" t="e">
            <v>#N/A</v>
          </cell>
          <cell r="G668" t="e">
            <v>#N/A</v>
          </cell>
        </row>
        <row r="669">
          <cell r="A669">
            <v>41225</v>
          </cell>
          <cell r="B669" t="str">
            <v>Religação de rede de água em PVC DN 25mm, incluisve conexões</v>
          </cell>
          <cell r="C669" t="str">
            <v>m</v>
          </cell>
          <cell r="D669">
            <v>19.170000000000002</v>
          </cell>
          <cell r="E669">
            <v>0</v>
          </cell>
          <cell r="F669" t="e">
            <v>#N/A</v>
          </cell>
          <cell r="G669" t="e">
            <v>#N/A</v>
          </cell>
        </row>
        <row r="670">
          <cell r="A670">
            <v>41226</v>
          </cell>
          <cell r="B670" t="str">
            <v>Religação de rede de água em PVC DN 32mm, incluisve conexões</v>
          </cell>
          <cell r="C670" t="str">
            <v>m</v>
          </cell>
          <cell r="D670">
            <v>22.97</v>
          </cell>
          <cell r="E670">
            <v>0</v>
          </cell>
          <cell r="F670" t="e">
            <v>#N/A</v>
          </cell>
          <cell r="G670" t="e">
            <v>#N/A</v>
          </cell>
        </row>
        <row r="671">
          <cell r="A671">
            <v>41060</v>
          </cell>
          <cell r="B671" t="str">
            <v>Religação de rede de água em PVC DN 75mm, inclusive conexões</v>
          </cell>
          <cell r="C671" t="str">
            <v>m</v>
          </cell>
          <cell r="D671">
            <v>51.75</v>
          </cell>
          <cell r="E671">
            <v>0</v>
          </cell>
          <cell r="F671" t="e">
            <v>#N/A</v>
          </cell>
          <cell r="G671" t="e">
            <v>#N/A</v>
          </cell>
        </row>
        <row r="672">
          <cell r="A672">
            <v>41059</v>
          </cell>
          <cell r="B672" t="str">
            <v>Religação de rede de água em PVC PBA CL 15 DN 100mm, inclusive conexões</v>
          </cell>
          <cell r="C672" t="str">
            <v>m</v>
          </cell>
          <cell r="D672">
            <v>85.64</v>
          </cell>
          <cell r="E672">
            <v>0</v>
          </cell>
          <cell r="F672" t="e">
            <v>#N/A</v>
          </cell>
          <cell r="G672" t="e">
            <v>#N/A</v>
          </cell>
        </row>
        <row r="673">
          <cell r="A673">
            <v>40567</v>
          </cell>
          <cell r="B673" t="str">
            <v>Remanejamento de ligação e religação de redes de esgoto</v>
          </cell>
          <cell r="C673" t="str">
            <v>m</v>
          </cell>
          <cell r="D673">
            <v>70.73</v>
          </cell>
          <cell r="E673">
            <v>0</v>
          </cell>
          <cell r="F673" t="e">
            <v>#N/A</v>
          </cell>
          <cell r="G673" t="e">
            <v>#N/A</v>
          </cell>
        </row>
        <row r="674">
          <cell r="A674">
            <v>40747</v>
          </cell>
          <cell r="B674" t="str">
            <v>Remoção de bueiros existentes</v>
          </cell>
          <cell r="C674" t="str">
            <v>m</v>
          </cell>
          <cell r="D674">
            <v>110.35</v>
          </cell>
          <cell r="E674">
            <v>0</v>
          </cell>
          <cell r="F674" t="e">
            <v>#N/A</v>
          </cell>
          <cell r="G674" t="e">
            <v>#N/A</v>
          </cell>
        </row>
        <row r="675">
          <cell r="A675">
            <v>40727</v>
          </cell>
          <cell r="B675" t="str">
            <v>Rip-rap c/ argamassa cimento areia 1:6, inclusive aquisição e transporte dos materiais</v>
          </cell>
          <cell r="C675" t="str">
            <v>m³</v>
          </cell>
          <cell r="D675">
            <v>325.47000000000003</v>
          </cell>
          <cell r="E675" t="str">
            <v>A incluir</v>
          </cell>
          <cell r="F675" t="e">
            <v>#N/A</v>
          </cell>
          <cell r="G675" t="e">
            <v>#N/A</v>
          </cell>
        </row>
        <row r="676">
          <cell r="A676">
            <v>41264</v>
          </cell>
          <cell r="B676" t="str">
            <v>Rip-rap de areia inclusive escavação, transporte e fornecimento de materiais</v>
          </cell>
          <cell r="C676" t="str">
            <v>m³</v>
          </cell>
          <cell r="D676">
            <v>371.52</v>
          </cell>
          <cell r="E676" t="str">
            <v>A incluir</v>
          </cell>
          <cell r="F676" t="e">
            <v>#N/A</v>
          </cell>
          <cell r="G676" t="e">
            <v>#N/A</v>
          </cell>
        </row>
        <row r="677">
          <cell r="A677">
            <v>41239</v>
          </cell>
          <cell r="B677" t="str">
            <v>Rip-rap de solo e cimento (Traço 1:15)</v>
          </cell>
          <cell r="C677" t="str">
            <v>m³</v>
          </cell>
          <cell r="D677">
            <v>88.92</v>
          </cell>
          <cell r="E677">
            <v>0</v>
          </cell>
          <cell r="F677" t="e">
            <v>#N/A</v>
          </cell>
          <cell r="G677" t="e">
            <v>#N/A</v>
          </cell>
        </row>
        <row r="678">
          <cell r="A678">
            <v>40688</v>
          </cell>
          <cell r="B678" t="str">
            <v>Saída d'água concreto armado DP-1 c/ caiação</v>
          </cell>
          <cell r="C678" t="str">
            <v>un</v>
          </cell>
          <cell r="D678">
            <v>278.08</v>
          </cell>
          <cell r="E678">
            <v>0</v>
          </cell>
          <cell r="F678" t="e">
            <v>#N/A</v>
          </cell>
          <cell r="G678" t="e">
            <v>#N/A</v>
          </cell>
        </row>
        <row r="679">
          <cell r="A679">
            <v>40690</v>
          </cell>
          <cell r="B679" t="str">
            <v>Saída d'água concreto p/ aterro c/ caiação (SDA-01)</v>
          </cell>
          <cell r="C679" t="str">
            <v>un</v>
          </cell>
          <cell r="D679">
            <v>1379.37</v>
          </cell>
          <cell r="E679">
            <v>0</v>
          </cell>
          <cell r="F679">
            <v>1497.56</v>
          </cell>
          <cell r="G679">
            <v>1.0856840441650899</v>
          </cell>
        </row>
        <row r="680">
          <cell r="A680">
            <v>40691</v>
          </cell>
          <cell r="B680" t="str">
            <v>Saída d'água concreto p/ aterro c/ caiação (SDA-02)</v>
          </cell>
          <cell r="C680" t="str">
            <v>un</v>
          </cell>
          <cell r="D680">
            <v>1643.88</v>
          </cell>
          <cell r="E680">
            <v>0</v>
          </cell>
          <cell r="F680" t="e">
            <v>#N/A</v>
          </cell>
          <cell r="G680" t="e">
            <v>#N/A</v>
          </cell>
        </row>
        <row r="681">
          <cell r="A681">
            <v>40689</v>
          </cell>
          <cell r="B681" t="str">
            <v>Saída d'água concreto p/ corte c/ caiação (SDC-01)</v>
          </cell>
          <cell r="C681" t="str">
            <v>un</v>
          </cell>
          <cell r="D681">
            <v>707.22</v>
          </cell>
          <cell r="E681">
            <v>0</v>
          </cell>
          <cell r="F681" t="e">
            <v>#N/A</v>
          </cell>
          <cell r="G681" t="e">
            <v>#N/A</v>
          </cell>
        </row>
        <row r="682">
          <cell r="A682">
            <v>40666</v>
          </cell>
          <cell r="B682" t="str">
            <v>Sarjeta de concreto DP-1 (0,081 m³/m) calha triangular, inclusive caiação</v>
          </cell>
          <cell r="C682" t="str">
            <v>m</v>
          </cell>
          <cell r="D682">
            <v>83.22</v>
          </cell>
          <cell r="E682">
            <v>0</v>
          </cell>
          <cell r="F682" t="e">
            <v>#N/A</v>
          </cell>
          <cell r="G682" t="e">
            <v>#N/A</v>
          </cell>
        </row>
        <row r="683">
          <cell r="A683">
            <v>40667</v>
          </cell>
          <cell r="B683" t="str">
            <v>Sarjeta de concreto DP-2 (0,085 m³/m) calha triangular, inclusive caiação</v>
          </cell>
          <cell r="C683" t="str">
            <v>m</v>
          </cell>
          <cell r="D683">
            <v>86.97</v>
          </cell>
          <cell r="E683">
            <v>0</v>
          </cell>
          <cell r="F683">
            <v>94.32</v>
          </cell>
          <cell r="G683">
            <v>1.0845119006554</v>
          </cell>
        </row>
        <row r="684">
          <cell r="A684">
            <v>41180</v>
          </cell>
          <cell r="B684" t="str">
            <v>Sarjeta de concreto SCA 40/10</v>
          </cell>
          <cell r="C684" t="str">
            <v>m</v>
          </cell>
          <cell r="D684">
            <v>72.75</v>
          </cell>
          <cell r="E684" t="str">
            <v>A incluir</v>
          </cell>
          <cell r="F684" t="e">
            <v>#N/A</v>
          </cell>
          <cell r="G684" t="e">
            <v>#N/A</v>
          </cell>
        </row>
        <row r="685">
          <cell r="A685">
            <v>40668</v>
          </cell>
          <cell r="B685" t="str">
            <v>Sarjeta de concreto (SCA 70/15) calha triangular, inclusive caiação</v>
          </cell>
          <cell r="C685" t="str">
            <v>m</v>
          </cell>
          <cell r="D685">
            <v>96.07</v>
          </cell>
          <cell r="E685">
            <v>0</v>
          </cell>
          <cell r="F685">
            <v>103.5</v>
          </cell>
          <cell r="G685">
            <v>1.07733943999167</v>
          </cell>
        </row>
        <row r="686">
          <cell r="A686">
            <v>40982</v>
          </cell>
          <cell r="B686" t="str">
            <v>Sarjeta de concreto (SCA 90/10) calha triangular, inclusive caiação</v>
          </cell>
          <cell r="C686" t="str">
            <v>m</v>
          </cell>
          <cell r="D686">
            <v>168.66</v>
          </cell>
          <cell r="E686">
            <v>0</v>
          </cell>
          <cell r="F686" t="e">
            <v>#N/A</v>
          </cell>
          <cell r="G686" t="e">
            <v>#N/A</v>
          </cell>
        </row>
        <row r="687">
          <cell r="A687">
            <v>41336</v>
          </cell>
          <cell r="B687" t="str">
            <v>Sarjeta de concreto SCC 40/15</v>
          </cell>
          <cell r="C687" t="str">
            <v>m</v>
          </cell>
          <cell r="D687">
            <v>88.21</v>
          </cell>
          <cell r="E687" t="str">
            <v>A incluir</v>
          </cell>
          <cell r="F687" t="e">
            <v>#N/A</v>
          </cell>
          <cell r="G687" t="e">
            <v>#N/A</v>
          </cell>
        </row>
        <row r="688">
          <cell r="A688">
            <v>40669</v>
          </cell>
          <cell r="B688" t="str">
            <v>Sarjeta de concreto (STC - 02) calha triangular em corte/aterro, inclusive caiação</v>
          </cell>
          <cell r="C688" t="str">
            <v>m</v>
          </cell>
          <cell r="D688">
            <v>81.55</v>
          </cell>
          <cell r="E688">
            <v>0</v>
          </cell>
          <cell r="F688" t="e">
            <v>#N/A</v>
          </cell>
          <cell r="G688" t="e">
            <v>#N/A</v>
          </cell>
        </row>
        <row r="689">
          <cell r="A689">
            <v>40670</v>
          </cell>
          <cell r="B689" t="str">
            <v>Sarjeta de concreto (STC - 04) calha triangular de bancada em corte, inclusive caiação</v>
          </cell>
          <cell r="C689" t="str">
            <v>m</v>
          </cell>
          <cell r="D689">
            <v>60.48</v>
          </cell>
          <cell r="E689">
            <v>0</v>
          </cell>
          <cell r="F689" t="e">
            <v>#N/A</v>
          </cell>
          <cell r="G689" t="e">
            <v>#N/A</v>
          </cell>
        </row>
        <row r="690">
          <cell r="A690">
            <v>40560</v>
          </cell>
          <cell r="B690" t="str">
            <v>Tampa de concreto em grelha, fornecimento, assentamento e transporte</v>
          </cell>
          <cell r="C690" t="str">
            <v>un</v>
          </cell>
          <cell r="D690">
            <v>221.91</v>
          </cell>
          <cell r="E690" t="str">
            <v>A incluir</v>
          </cell>
          <cell r="F690" t="e">
            <v>#N/A</v>
          </cell>
          <cell r="G690" t="e">
            <v>#N/A</v>
          </cell>
        </row>
        <row r="691">
          <cell r="A691">
            <v>40558</v>
          </cell>
          <cell r="B691" t="str">
            <v>Tampão F.F.A.P. com 100 kg, fornecimento, assentamento e transporte</v>
          </cell>
          <cell r="C691" t="str">
            <v>un</v>
          </cell>
          <cell r="D691">
            <v>307.83999999999997</v>
          </cell>
          <cell r="E691" t="str">
            <v>A incluir</v>
          </cell>
          <cell r="F691" t="e">
            <v>#N/A</v>
          </cell>
          <cell r="G691" t="e">
            <v>#N/A</v>
          </cell>
        </row>
        <row r="692">
          <cell r="A692">
            <v>41029</v>
          </cell>
          <cell r="B692" t="str">
            <v>Tapume de vedação e proteção, executado com chapas de compensado resinado com 6mm de espessura, exclusive pintura</v>
          </cell>
          <cell r="C692" t="str">
            <v>m²</v>
          </cell>
          <cell r="D692">
            <v>35.1</v>
          </cell>
          <cell r="E692">
            <v>0</v>
          </cell>
          <cell r="F692" t="e">
            <v>#N/A</v>
          </cell>
          <cell r="G692" t="e">
            <v>#N/A</v>
          </cell>
        </row>
        <row r="693">
          <cell r="A693">
            <v>41040</v>
          </cell>
          <cell r="B693" t="str">
            <v>Tela de aço soldada Telcon Q-138 ou similar, fornecimento e assentamento.</v>
          </cell>
          <cell r="C693" t="str">
            <v>m²</v>
          </cell>
          <cell r="D693">
            <v>28.17</v>
          </cell>
          <cell r="E693">
            <v>0</v>
          </cell>
          <cell r="F693" t="e">
            <v>#N/A</v>
          </cell>
          <cell r="G693" t="e">
            <v>#N/A</v>
          </cell>
        </row>
        <row r="694">
          <cell r="A694">
            <v>42658</v>
          </cell>
          <cell r="B694" t="str">
            <v>Tela de aço soldada Telcon Q-196 ou similar, fornecimento e assentamento.</v>
          </cell>
          <cell r="C694" t="str">
            <v>m²</v>
          </cell>
          <cell r="D694">
            <v>32.6</v>
          </cell>
          <cell r="E694">
            <v>0</v>
          </cell>
          <cell r="F694" t="e">
            <v>#N/A</v>
          </cell>
          <cell r="G694" t="e">
            <v>#N/A</v>
          </cell>
        </row>
        <row r="695">
          <cell r="A695">
            <v>40655</v>
          </cell>
          <cell r="B695" t="str">
            <v>Terminal de dreno de alívio de pavimento (DP - TDA - 01)</v>
          </cell>
          <cell r="C695" t="str">
            <v>un</v>
          </cell>
          <cell r="D695">
            <v>327.42</v>
          </cell>
          <cell r="E695" t="str">
            <v>A incluir</v>
          </cell>
          <cell r="F695" t="e">
            <v>#N/A</v>
          </cell>
          <cell r="G695" t="e">
            <v>#N/A</v>
          </cell>
        </row>
        <row r="696">
          <cell r="A696">
            <v>41092</v>
          </cell>
          <cell r="B696" t="str">
            <v>Transporte de materiais encosta abaixo, serviço manual, inclusive carga e descarga</v>
          </cell>
          <cell r="C696" t="str">
            <v>t dam</v>
          </cell>
          <cell r="D696">
            <v>21.87</v>
          </cell>
          <cell r="E696">
            <v>0</v>
          </cell>
          <cell r="F696" t="e">
            <v>#N/A</v>
          </cell>
          <cell r="G696" t="e">
            <v>#N/A</v>
          </cell>
        </row>
        <row r="697">
          <cell r="A697">
            <v>41091</v>
          </cell>
          <cell r="B697" t="str">
            <v>Transporte de materiais encosta acima, serviço manual, inclusive carga e descarga</v>
          </cell>
          <cell r="C697" t="str">
            <v>t dam</v>
          </cell>
          <cell r="D697">
            <v>29.6</v>
          </cell>
          <cell r="E697">
            <v>0</v>
          </cell>
          <cell r="F697" t="e">
            <v>#N/A</v>
          </cell>
          <cell r="G697" t="e">
            <v>#N/A</v>
          </cell>
        </row>
        <row r="698">
          <cell r="A698">
            <v>40706</v>
          </cell>
          <cell r="B698" t="str">
            <v>Transposição de segmento de sarjeta - TSS 01, inclusive transporte do tubo de concreto</v>
          </cell>
          <cell r="C698" t="str">
            <v>m</v>
          </cell>
          <cell r="D698">
            <v>282.66000000000003</v>
          </cell>
          <cell r="E698" t="str">
            <v>A incluir</v>
          </cell>
          <cell r="F698" t="e">
            <v>#N/A</v>
          </cell>
          <cell r="G698" t="e">
            <v>#N/A</v>
          </cell>
        </row>
        <row r="699">
          <cell r="A699">
            <v>40651</v>
          </cell>
          <cell r="B699" t="str">
            <v>Trincheira drenante cega (0,50 x 1,70) m, inclusive transporte da brita c/ geotêxtil não tecido res.long. mín 16 kn/m</v>
          </cell>
          <cell r="C699" t="str">
            <v>m</v>
          </cell>
          <cell r="D699">
            <v>323.77</v>
          </cell>
          <cell r="E699" t="str">
            <v>A incluir</v>
          </cell>
          <cell r="F699" t="e">
            <v>#N/A</v>
          </cell>
          <cell r="G699" t="e">
            <v>#N/A</v>
          </cell>
        </row>
        <row r="700">
          <cell r="A700">
            <v>41122</v>
          </cell>
          <cell r="B700" t="str">
            <v>Tubo de PVC NBR 5648 diâmetro 50 mm, fornecimento e assentamento</v>
          </cell>
          <cell r="C700" t="str">
            <v>m</v>
          </cell>
          <cell r="D700">
            <v>15.98</v>
          </cell>
          <cell r="E700">
            <v>0</v>
          </cell>
          <cell r="F700" t="e">
            <v>#N/A</v>
          </cell>
          <cell r="G700" t="e">
            <v>#N/A</v>
          </cell>
        </row>
        <row r="701">
          <cell r="A701">
            <v>41123</v>
          </cell>
          <cell r="B701" t="str">
            <v>Tubo de PVC NBR 5648 diâmetro 75 mm, fornecimento e assentamento</v>
          </cell>
          <cell r="C701" t="str">
            <v>m</v>
          </cell>
          <cell r="D701">
            <v>24.1</v>
          </cell>
          <cell r="E701">
            <v>0</v>
          </cell>
          <cell r="F701" t="e">
            <v>#N/A</v>
          </cell>
          <cell r="G701" t="e">
            <v>#N/A</v>
          </cell>
        </row>
        <row r="702">
          <cell r="A702">
            <v>41126</v>
          </cell>
          <cell r="B702" t="str">
            <v>Tubo de PVC PBA diâmetro 300 mm, fornecimento e assentamento</v>
          </cell>
          <cell r="C702" t="str">
            <v>m</v>
          </cell>
          <cell r="D702">
            <v>192.1</v>
          </cell>
          <cell r="E702">
            <v>0</v>
          </cell>
          <cell r="F702" t="e">
            <v>#N/A</v>
          </cell>
          <cell r="G702" t="e">
            <v>#N/A</v>
          </cell>
        </row>
        <row r="703">
          <cell r="A703">
            <v>41125</v>
          </cell>
          <cell r="B703" t="str">
            <v>Tubo de PVC rígido série R diâmetro 100 mm, fornecimento e assentamento</v>
          </cell>
          <cell r="C703" t="str">
            <v>m</v>
          </cell>
          <cell r="D703">
            <v>26.16</v>
          </cell>
          <cell r="E703">
            <v>0</v>
          </cell>
          <cell r="F703" t="e">
            <v>#N/A</v>
          </cell>
          <cell r="G703" t="e">
            <v>#N/A</v>
          </cell>
        </row>
        <row r="704">
          <cell r="A704">
            <v>41119</v>
          </cell>
          <cell r="B704" t="str">
            <v>Tubo irrifort agropecuário diâmetro 32 mm, fornecimento e assentamento</v>
          </cell>
          <cell r="C704" t="str">
            <v>m</v>
          </cell>
          <cell r="D704">
            <v>6.21</v>
          </cell>
          <cell r="E704">
            <v>0</v>
          </cell>
          <cell r="F704" t="e">
            <v>#N/A</v>
          </cell>
          <cell r="G704" t="e">
            <v>#N/A</v>
          </cell>
        </row>
        <row r="705">
          <cell r="A705">
            <v>41114</v>
          </cell>
          <cell r="B705" t="str">
            <v>Tubo para irrigação linha fixa PN40 50 mm, fornecimento e assentamento</v>
          </cell>
          <cell r="C705" t="str">
            <v>m</v>
          </cell>
          <cell r="D705">
            <v>7.91</v>
          </cell>
          <cell r="E705">
            <v>0</v>
          </cell>
          <cell r="F705" t="e">
            <v>#N/A</v>
          </cell>
          <cell r="G705" t="e">
            <v>#N/A</v>
          </cell>
        </row>
        <row r="706">
          <cell r="A706">
            <v>41127</v>
          </cell>
          <cell r="B706" t="str">
            <v>Tubo PVC PBA diâmetro 150 mm, fornecimento e assentamento</v>
          </cell>
          <cell r="C706" t="str">
            <v>m</v>
          </cell>
          <cell r="D706">
            <v>34.64</v>
          </cell>
          <cell r="E706">
            <v>0</v>
          </cell>
          <cell r="F706" t="e">
            <v>#N/A</v>
          </cell>
          <cell r="G706" t="e">
            <v>#N/A</v>
          </cell>
        </row>
        <row r="707">
          <cell r="A707">
            <v>40707</v>
          </cell>
          <cell r="B707" t="str">
            <v>Tubos de ferro fundido diâmetro 0,90 m, assentamento</v>
          </cell>
          <cell r="C707" t="str">
            <v>m</v>
          </cell>
          <cell r="D707">
            <v>226.64</v>
          </cell>
          <cell r="E707" t="str">
            <v>A incluir</v>
          </cell>
          <cell r="F707" t="e">
            <v>#N/A</v>
          </cell>
          <cell r="G707" t="e">
            <v>#N/A</v>
          </cell>
        </row>
        <row r="708">
          <cell r="A708">
            <v>41118</v>
          </cell>
          <cell r="B708" t="str">
            <v>Tubos para irrigação Linha fixa PN40, diâmetro 75 mm, fornecimento e assentamento</v>
          </cell>
          <cell r="C708" t="str">
            <v>m</v>
          </cell>
          <cell r="D708">
            <v>11.2</v>
          </cell>
          <cell r="E708">
            <v>0</v>
          </cell>
          <cell r="F708" t="e">
            <v>#N/A</v>
          </cell>
          <cell r="G708" t="e">
            <v>#N/A</v>
          </cell>
        </row>
        <row r="709">
          <cell r="A709">
            <v>40702</v>
          </cell>
          <cell r="B709" t="str">
            <v>Valeta de pedra argamassada VPAR</v>
          </cell>
          <cell r="C709" t="str">
            <v>m³</v>
          </cell>
          <cell r="D709">
            <v>338.61</v>
          </cell>
          <cell r="E709" t="str">
            <v>A incluir</v>
          </cell>
          <cell r="F709" t="e">
            <v>#N/A</v>
          </cell>
          <cell r="G709" t="e">
            <v>#N/A</v>
          </cell>
        </row>
        <row r="710">
          <cell r="A710">
            <v>40701</v>
          </cell>
          <cell r="B710" t="str">
            <v>Valeta de pedra jogada VPJ, inclusive transporte da pedra</v>
          </cell>
          <cell r="C710" t="str">
            <v>m³</v>
          </cell>
          <cell r="D710">
            <v>144.24</v>
          </cell>
          <cell r="E710" t="str">
            <v>A incluir</v>
          </cell>
          <cell r="F710" t="e">
            <v>#N/A</v>
          </cell>
          <cell r="G710" t="e">
            <v>#N/A</v>
          </cell>
        </row>
        <row r="711">
          <cell r="A711">
            <v>40698</v>
          </cell>
          <cell r="B711" t="str">
            <v>Valeta de proteção de aterro enleivada (VPA-01 DNIT)</v>
          </cell>
          <cell r="C711" t="str">
            <v>m</v>
          </cell>
          <cell r="D711">
            <v>72.22</v>
          </cell>
          <cell r="E711" t="str">
            <v>A incluir</v>
          </cell>
          <cell r="F711" t="e">
            <v>#N/A</v>
          </cell>
          <cell r="G711" t="e">
            <v>#N/A</v>
          </cell>
        </row>
        <row r="712">
          <cell r="A712">
            <v>40700</v>
          </cell>
          <cell r="B712" t="str">
            <v>Valeta de proteção de aterro revestida em concreto (VPA-03 DNIT)</v>
          </cell>
          <cell r="C712" t="str">
            <v>m</v>
          </cell>
          <cell r="D712">
            <v>89.6</v>
          </cell>
          <cell r="E712" t="str">
            <v>A incluir</v>
          </cell>
          <cell r="F712" t="e">
            <v>#N/A</v>
          </cell>
          <cell r="G712" t="e">
            <v>#N/A</v>
          </cell>
        </row>
        <row r="713">
          <cell r="A713">
            <v>40696</v>
          </cell>
          <cell r="B713" t="str">
            <v>Valeta de proteção de aterro VPA 02 (revestida em concreto)</v>
          </cell>
          <cell r="C713" t="str">
            <v>m</v>
          </cell>
          <cell r="D713">
            <v>174.07</v>
          </cell>
          <cell r="E713" t="str">
            <v>A incluir</v>
          </cell>
          <cell r="F713" t="e">
            <v>#N/A</v>
          </cell>
          <cell r="G713" t="e">
            <v>#N/A</v>
          </cell>
        </row>
        <row r="714">
          <cell r="A714">
            <v>40695</v>
          </cell>
          <cell r="B714" t="str">
            <v>Valeta de proteção de aterro VPA-01 (escavação)</v>
          </cell>
          <cell r="C714" t="str">
            <v>m</v>
          </cell>
          <cell r="D714">
            <v>59.21</v>
          </cell>
          <cell r="E714">
            <v>0</v>
          </cell>
          <cell r="F714" t="e">
            <v>#N/A</v>
          </cell>
          <cell r="G714" t="e">
            <v>#N/A</v>
          </cell>
        </row>
        <row r="715">
          <cell r="A715">
            <v>40692</v>
          </cell>
          <cell r="B715" t="str">
            <v>Valeta de proteção de corte - desobstrução e limpeza</v>
          </cell>
          <cell r="C715" t="str">
            <v>m</v>
          </cell>
          <cell r="D715">
            <v>3.29</v>
          </cell>
          <cell r="E715">
            <v>0</v>
          </cell>
          <cell r="F715" t="e">
            <v>#N/A</v>
          </cell>
          <cell r="G715" t="e">
            <v>#N/A</v>
          </cell>
        </row>
        <row r="716">
          <cell r="A716">
            <v>40697</v>
          </cell>
          <cell r="B716" t="str">
            <v>Valeta de proteção de corte enleivada (VPC-01 DNIT)</v>
          </cell>
          <cell r="C716" t="str">
            <v>m</v>
          </cell>
          <cell r="D716">
            <v>70.790000000000006</v>
          </cell>
          <cell r="E716" t="str">
            <v>A incluir</v>
          </cell>
          <cell r="F716" t="e">
            <v>#N/A</v>
          </cell>
          <cell r="G716" t="e">
            <v>#N/A</v>
          </cell>
        </row>
        <row r="717">
          <cell r="A717">
            <v>40699</v>
          </cell>
          <cell r="B717" t="str">
            <v>Valeta de proteção de corte revestida em concreto VPC-03</v>
          </cell>
          <cell r="C717" t="str">
            <v>m</v>
          </cell>
          <cell r="D717">
            <v>199.95</v>
          </cell>
          <cell r="E717" t="str">
            <v>A incluir</v>
          </cell>
          <cell r="F717" t="e">
            <v>#N/A</v>
          </cell>
          <cell r="G717" t="e">
            <v>#N/A</v>
          </cell>
        </row>
        <row r="718">
          <cell r="A718">
            <v>40693</v>
          </cell>
          <cell r="B718" t="str">
            <v>Valeta de proteção de corte VPC-01 (escavação)</v>
          </cell>
          <cell r="C718" t="str">
            <v>m</v>
          </cell>
          <cell r="D718">
            <v>32.06</v>
          </cell>
          <cell r="E718">
            <v>0</v>
          </cell>
          <cell r="F718" t="e">
            <v>#N/A</v>
          </cell>
          <cell r="G718" t="e">
            <v>#N/A</v>
          </cell>
        </row>
        <row r="719">
          <cell r="A719">
            <v>40694</v>
          </cell>
          <cell r="B719" t="str">
            <v>Valeta de proteção de corte VPC-02 (revestida em grama)</v>
          </cell>
          <cell r="C719" t="str">
            <v>m</v>
          </cell>
          <cell r="D719">
            <v>61.05</v>
          </cell>
          <cell r="E719" t="str">
            <v>A incluir</v>
          </cell>
          <cell r="F719" t="e">
            <v>#N/A</v>
          </cell>
          <cell r="G719" t="e">
            <v>#N/A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e">
            <v>#N/A</v>
          </cell>
          <cell r="F720" t="e">
            <v>#N/A</v>
          </cell>
          <cell r="G720" t="e">
            <v>#N/A</v>
          </cell>
        </row>
        <row r="721">
          <cell r="A721" t="str">
            <v>Grupo de Serviço: 4 - MATERIAL BETUMINOSO</v>
          </cell>
          <cell r="B721">
            <v>0</v>
          </cell>
          <cell r="C721">
            <v>0</v>
          </cell>
          <cell r="E721" t="e">
            <v>#N/A</v>
          </cell>
          <cell r="F721" t="e">
            <v>#N/A</v>
          </cell>
          <cell r="G721" t="e">
            <v>#N/A</v>
          </cell>
        </row>
        <row r="722">
          <cell r="A722">
            <v>40972</v>
          </cell>
          <cell r="B722" t="str">
            <v>Bonificação de 15,28% sobre Materiais Betuminosos</v>
          </cell>
          <cell r="C722" t="str">
            <v>%</v>
          </cell>
          <cell r="D722">
            <v>0</v>
          </cell>
          <cell r="E722">
            <v>0</v>
          </cell>
          <cell r="F722">
            <v>0</v>
          </cell>
          <cell r="G722" t="e">
            <v>#DIV/0!</v>
          </cell>
        </row>
        <row r="723">
          <cell r="A723">
            <v>41405</v>
          </cell>
          <cell r="B723" t="str">
            <v>CAP FLEX 60/85, fornecimento</v>
          </cell>
          <cell r="C723" t="str">
            <v>t</v>
          </cell>
          <cell r="D723">
            <v>2544.63</v>
          </cell>
          <cell r="E723">
            <v>0</v>
          </cell>
          <cell r="F723" t="e">
            <v>#N/A</v>
          </cell>
          <cell r="G723" t="e">
            <v>#N/A</v>
          </cell>
        </row>
        <row r="724">
          <cell r="A724">
            <v>41360</v>
          </cell>
          <cell r="B724" t="str">
            <v>CAP-50/70, fornecimento</v>
          </cell>
          <cell r="C724" t="str">
            <v>t</v>
          </cell>
          <cell r="D724">
            <v>1888.14</v>
          </cell>
          <cell r="E724">
            <v>0</v>
          </cell>
          <cell r="F724">
            <v>1888.14</v>
          </cell>
          <cell r="G724">
            <v>1</v>
          </cell>
        </row>
        <row r="725">
          <cell r="A725">
            <v>40968</v>
          </cell>
          <cell r="B725" t="str">
            <v>CM-30, fornecimento</v>
          </cell>
          <cell r="C725" t="str">
            <v>t</v>
          </cell>
          <cell r="D725">
            <v>3191.47</v>
          </cell>
          <cell r="E725">
            <v>0</v>
          </cell>
          <cell r="F725">
            <v>3191.47</v>
          </cell>
          <cell r="G725">
            <v>1</v>
          </cell>
        </row>
        <row r="726">
          <cell r="A726">
            <v>40976</v>
          </cell>
          <cell r="B726" t="str">
            <v>Dope, fornecimento</v>
          </cell>
          <cell r="C726" t="str">
            <v>t</v>
          </cell>
          <cell r="D726">
            <v>33260</v>
          </cell>
          <cell r="E726">
            <v>0</v>
          </cell>
          <cell r="F726">
            <v>33260</v>
          </cell>
          <cell r="G726">
            <v>1</v>
          </cell>
        </row>
        <row r="727">
          <cell r="A727">
            <v>42545</v>
          </cell>
          <cell r="B727" t="str">
            <v>Emulsão RL-1C- FLEX (Emulflex RL-1C-E), fornecimento</v>
          </cell>
          <cell r="C727" t="str">
            <v>t</v>
          </cell>
          <cell r="D727">
            <v>1792.18</v>
          </cell>
          <cell r="E727">
            <v>0</v>
          </cell>
          <cell r="F727" t="e">
            <v>#N/A</v>
          </cell>
          <cell r="G727" t="e">
            <v>#N/A</v>
          </cell>
        </row>
        <row r="728">
          <cell r="A728">
            <v>40974</v>
          </cell>
          <cell r="B728" t="str">
            <v>Emulsão RM-1C, fornecimento</v>
          </cell>
          <cell r="C728" t="str">
            <v>t</v>
          </cell>
          <cell r="D728">
            <v>1604.26</v>
          </cell>
          <cell r="E728">
            <v>0</v>
          </cell>
          <cell r="F728" t="e">
            <v>#N/A</v>
          </cell>
          <cell r="G728" t="e">
            <v>#N/A</v>
          </cell>
        </row>
        <row r="729">
          <cell r="A729">
            <v>40978</v>
          </cell>
          <cell r="B729" t="str">
            <v>Emulsão RR-1C FLEX (Emulflex RR-1C-E,) fornecimento</v>
          </cell>
          <cell r="C729" t="str">
            <v>t</v>
          </cell>
          <cell r="D729">
            <v>1905</v>
          </cell>
          <cell r="E729">
            <v>0</v>
          </cell>
          <cell r="F729" t="e">
            <v>#N/A</v>
          </cell>
          <cell r="G729" t="e">
            <v>#N/A</v>
          </cell>
        </row>
        <row r="730">
          <cell r="A730">
            <v>40975</v>
          </cell>
          <cell r="B730" t="str">
            <v>Emulsão RR-1C, fornecimento</v>
          </cell>
          <cell r="C730" t="str">
            <v>t</v>
          </cell>
          <cell r="D730">
            <v>1390.33</v>
          </cell>
          <cell r="E730">
            <v>0</v>
          </cell>
          <cell r="F730" t="e">
            <v>#N/A</v>
          </cell>
          <cell r="G730" t="e">
            <v>#N/A</v>
          </cell>
        </row>
        <row r="731">
          <cell r="A731">
            <v>40969</v>
          </cell>
          <cell r="B731" t="str">
            <v>Emulsão RR-2C, fornecimento</v>
          </cell>
          <cell r="C731" t="str">
            <v>t</v>
          </cell>
          <cell r="D731">
            <v>1543.73</v>
          </cell>
          <cell r="E731">
            <v>0</v>
          </cell>
          <cell r="F731" t="e">
            <v>#N/A</v>
          </cell>
          <cell r="G731" t="e">
            <v>#N/A</v>
          </cell>
        </row>
        <row r="732">
          <cell r="A732">
            <v>40971</v>
          </cell>
          <cell r="B732" t="str">
            <v>Emulsão RR-2C-FLEX (Emulflex RR-2C-E), fornecimento</v>
          </cell>
          <cell r="C732" t="str">
            <v>t</v>
          </cell>
          <cell r="D732">
            <v>1858.79</v>
          </cell>
          <cell r="E732">
            <v>0</v>
          </cell>
          <cell r="F732" t="e">
            <v>#N/A</v>
          </cell>
          <cell r="G732" t="e">
            <v>#N/A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e">
            <v>#N/A</v>
          </cell>
          <cell r="F733" t="e">
            <v>#N/A</v>
          </cell>
          <cell r="G733" t="e">
            <v>#N/A</v>
          </cell>
        </row>
        <row r="734">
          <cell r="A734" t="str">
            <v>Grupo de Serviço: 5 - OBRAS COMPLEMENTARES</v>
          </cell>
          <cell r="B734">
            <v>0</v>
          </cell>
          <cell r="C734">
            <v>0</v>
          </cell>
          <cell r="E734" t="e">
            <v>#N/A</v>
          </cell>
          <cell r="F734" t="e">
            <v>#N/A</v>
          </cell>
          <cell r="G734" t="e">
            <v>#N/A</v>
          </cell>
        </row>
        <row r="735">
          <cell r="A735">
            <v>40910</v>
          </cell>
          <cell r="B735" t="str">
            <v>Abrigo de Ônibus - Rodovia Rural - 3,40 m x 6,00 m</v>
          </cell>
          <cell r="C735" t="str">
            <v>un</v>
          </cell>
          <cell r="D735">
            <v>11766.59</v>
          </cell>
          <cell r="E735" t="str">
            <v>A incluir</v>
          </cell>
          <cell r="F735">
            <v>12028.45</v>
          </cell>
          <cell r="G735">
            <v>1.02225453593607</v>
          </cell>
        </row>
        <row r="736">
          <cell r="A736">
            <v>41362</v>
          </cell>
          <cell r="B736" t="str">
            <v>Abrigo de Ônibus Urbano - Padrão reduzido - 2,40 x 6,00 m</v>
          </cell>
          <cell r="C736" t="str">
            <v>un</v>
          </cell>
          <cell r="D736">
            <v>11534.26</v>
          </cell>
          <cell r="E736">
            <v>0</v>
          </cell>
          <cell r="F736" t="e">
            <v>#N/A</v>
          </cell>
          <cell r="G736" t="e">
            <v>#N/A</v>
          </cell>
        </row>
        <row r="737">
          <cell r="A737">
            <v>43343</v>
          </cell>
          <cell r="B737" t="str">
            <v>Alvenaria de tijolos cerâmicos maciços aparentes 5x10x20cm,assent.c/argam.de cimento,cal hidratada CH1 e areia no traço 1:0,5:8,juntas de 10mm e esp.</v>
          </cell>
          <cell r="C737" t="str">
            <v>m²</v>
          </cell>
          <cell r="D737">
            <v>163.44</v>
          </cell>
          <cell r="E737">
            <v>0</v>
          </cell>
          <cell r="F737" t="e">
            <v>#N/A</v>
          </cell>
          <cell r="G737" t="e">
            <v>#N/A</v>
          </cell>
        </row>
        <row r="738">
          <cell r="A738">
            <v>41151</v>
          </cell>
          <cell r="B738" t="str">
            <v>Braço galvanizado 101mm - projeção 4,70m, fornecimento e instalação</v>
          </cell>
          <cell r="C738" t="str">
            <v>un</v>
          </cell>
          <cell r="D738">
            <v>1688.5</v>
          </cell>
          <cell r="E738">
            <v>0</v>
          </cell>
          <cell r="F738" t="e">
            <v>#N/A</v>
          </cell>
          <cell r="G738" t="e">
            <v>#N/A</v>
          </cell>
        </row>
        <row r="739">
          <cell r="A739">
            <v>41346</v>
          </cell>
          <cell r="B739" t="str">
            <v>Cabo de cobre nú, seção 35 mm2, fornecimento e colocação</v>
          </cell>
          <cell r="C739" t="str">
            <v>m</v>
          </cell>
          <cell r="D739">
            <v>24.83</v>
          </cell>
          <cell r="E739">
            <v>0</v>
          </cell>
          <cell r="F739" t="e">
            <v>#N/A</v>
          </cell>
          <cell r="G739" t="e">
            <v>#N/A</v>
          </cell>
        </row>
        <row r="740">
          <cell r="A740">
            <v>41150</v>
          </cell>
          <cell r="B740" t="str">
            <v>Cabo flexível 2 x 1,5 mm², fornecimento e instalação</v>
          </cell>
          <cell r="C740" t="str">
            <v>m</v>
          </cell>
          <cell r="D740">
            <v>5.69</v>
          </cell>
          <cell r="E740">
            <v>0</v>
          </cell>
          <cell r="F740" t="e">
            <v>#N/A</v>
          </cell>
          <cell r="G740" t="e">
            <v>#N/A</v>
          </cell>
        </row>
        <row r="741">
          <cell r="A741">
            <v>41149</v>
          </cell>
          <cell r="B741" t="str">
            <v>Cabo flexível 2 x 2,5 mm², fornecimento e instalação</v>
          </cell>
          <cell r="C741" t="str">
            <v>m</v>
          </cell>
          <cell r="D741">
            <v>6.65</v>
          </cell>
          <cell r="E741">
            <v>0</v>
          </cell>
          <cell r="F741" t="e">
            <v>#N/A</v>
          </cell>
          <cell r="G741" t="e">
            <v>#N/A</v>
          </cell>
        </row>
        <row r="742">
          <cell r="A742">
            <v>41410</v>
          </cell>
          <cell r="B742" t="str">
            <v>Cabo flexível 3 x 1,5 mm², fornecimento e instalação</v>
          </cell>
          <cell r="C742" t="str">
            <v>m</v>
          </cell>
          <cell r="D742">
            <v>6.37</v>
          </cell>
          <cell r="E742">
            <v>0</v>
          </cell>
          <cell r="F742" t="e">
            <v>#N/A</v>
          </cell>
          <cell r="G742" t="e">
            <v>#N/A</v>
          </cell>
        </row>
        <row r="743">
          <cell r="A743">
            <v>41148</v>
          </cell>
          <cell r="B743" t="str">
            <v>Cabo flexível 4 x 1,5 mm², fornecimento e instalação</v>
          </cell>
          <cell r="C743" t="str">
            <v>m</v>
          </cell>
          <cell r="D743">
            <v>7.2</v>
          </cell>
          <cell r="E743">
            <v>0</v>
          </cell>
          <cell r="F743" t="e">
            <v>#N/A</v>
          </cell>
          <cell r="G743" t="e">
            <v>#N/A</v>
          </cell>
        </row>
        <row r="744">
          <cell r="A744">
            <v>41152</v>
          </cell>
          <cell r="B744" t="str">
            <v>Caixa de passagem de concreto armado de 0,40 x 0,40 x 0,40m</v>
          </cell>
          <cell r="C744" t="str">
            <v>un</v>
          </cell>
          <cell r="D744">
            <v>423.19</v>
          </cell>
          <cell r="E744">
            <v>0</v>
          </cell>
          <cell r="F744" t="e">
            <v>#N/A</v>
          </cell>
          <cell r="G744" t="e">
            <v>#N/A</v>
          </cell>
        </row>
        <row r="745">
          <cell r="A745">
            <v>41004</v>
          </cell>
          <cell r="B745" t="str">
            <v>Caixa de passagem de eletroduto de lógica</v>
          </cell>
          <cell r="C745" t="str">
            <v>un</v>
          </cell>
          <cell r="D745">
            <v>894.79</v>
          </cell>
          <cell r="E745">
            <v>0</v>
          </cell>
          <cell r="F745" t="e">
            <v>#N/A</v>
          </cell>
          <cell r="G745" t="e">
            <v>#N/A</v>
          </cell>
        </row>
        <row r="746">
          <cell r="A746">
            <v>40911</v>
          </cell>
          <cell r="B746" t="str">
            <v>Calçada de concreto</v>
          </cell>
          <cell r="C746" t="str">
            <v>m²</v>
          </cell>
          <cell r="D746">
            <v>44.58</v>
          </cell>
          <cell r="E746" t="str">
            <v>A incluir</v>
          </cell>
          <cell r="F746" t="e">
            <v>#N/A</v>
          </cell>
          <cell r="G746" t="e">
            <v>#N/A</v>
          </cell>
        </row>
        <row r="747">
          <cell r="A747">
            <v>40915</v>
          </cell>
          <cell r="B747" t="str">
            <v>Calçada de concreto fck=15 MP, camurçado c/ argam. cimento e areia 1:4, lastro de brita e 8 cm de concreto, incl. preparo da caixa e transp. da brita</v>
          </cell>
          <cell r="C747" t="str">
            <v>m²</v>
          </cell>
          <cell r="D747">
            <v>96.94</v>
          </cell>
          <cell r="E747" t="str">
            <v>A incluir</v>
          </cell>
          <cell r="F747">
            <v>107.51</v>
          </cell>
          <cell r="G747">
            <v>1.10903651743346</v>
          </cell>
        </row>
        <row r="748">
          <cell r="A748">
            <v>40899</v>
          </cell>
          <cell r="B748" t="str">
            <v>Cerca de arame farpado 4 fios com mourões a cada 2,0 m, esticadores de madeira, a cada 20
,0 m, inclusive transporte de mourão e arame farpado)</v>
          </cell>
          <cell r="C748" t="str">
            <v>m</v>
          </cell>
          <cell r="D748">
            <v>15.9</v>
          </cell>
          <cell r="E748" t="str">
            <v>A incluir</v>
          </cell>
          <cell r="F748" t="e">
            <v>#N/A</v>
          </cell>
          <cell r="G748" t="e">
            <v>#N/A</v>
          </cell>
        </row>
        <row r="749">
          <cell r="A749">
            <v>40900</v>
          </cell>
          <cell r="B749" t="str">
            <v>Cerca de arame farpado 4 fios com mourões a cada 1,0 m, esticadores de madeira, a cada 20, 0 m, inclusive transporte de mourão e arame farpado</v>
          </cell>
          <cell r="C749" t="str">
            <v>m</v>
          </cell>
          <cell r="D749">
            <v>21.6</v>
          </cell>
          <cell r="E749" t="str">
            <v>A incluir</v>
          </cell>
          <cell r="F749" t="e">
            <v>#N/A</v>
          </cell>
          <cell r="G749" t="e">
            <v>#N/A</v>
          </cell>
        </row>
        <row r="750">
          <cell r="A750">
            <v>41365</v>
          </cell>
          <cell r="B750" t="str">
            <v>Cerca de arame farpado 4 fios com mourões, a cada 2,5 m, esticadores de madeira a cada 60, 0m, inclusive transporte de arame farpado e mourão</v>
          </cell>
          <cell r="C750" t="str">
            <v>m</v>
          </cell>
          <cell r="D750">
            <v>16.010000000000002</v>
          </cell>
          <cell r="E750" t="str">
            <v>A incluir</v>
          </cell>
          <cell r="F750" t="e">
            <v>#N/A</v>
          </cell>
          <cell r="G750" t="e">
            <v>#N/A</v>
          </cell>
        </row>
        <row r="751">
          <cell r="A751">
            <v>41110</v>
          </cell>
          <cell r="B751" t="str">
            <v>Cerca de arame farpado 4 fios com mourões a cada 3,0 metros e sem esticadores, inclusive transporte de arame e mourão</v>
          </cell>
          <cell r="C751" t="str">
            <v>m</v>
          </cell>
          <cell r="D751">
            <v>14.51</v>
          </cell>
          <cell r="E751" t="str">
            <v>A incluir</v>
          </cell>
          <cell r="F751" t="e">
            <v>#N/A</v>
          </cell>
          <cell r="G751" t="e">
            <v>#N/A</v>
          </cell>
        </row>
        <row r="752">
          <cell r="A752">
            <v>40903</v>
          </cell>
          <cell r="B752" t="str">
            <v>Cerca de arame farpado 4 fios com postes cada 2,5 m, esticadores de concreto a cada 25,0 m</v>
          </cell>
          <cell r="C752" t="str">
            <v>m</v>
          </cell>
          <cell r="D752">
            <v>21.42</v>
          </cell>
          <cell r="E752" t="str">
            <v>A incluir</v>
          </cell>
          <cell r="F752">
            <v>21.79</v>
          </cell>
          <cell r="G752">
            <v>1.0172735760971101</v>
          </cell>
        </row>
        <row r="753">
          <cell r="A753">
            <v>40904</v>
          </cell>
          <cell r="B753" t="str">
            <v>Cerca de arame farpado 8 fios com postes concreto 10 x 10 x 220 cm, a cada 1,5 m</v>
          </cell>
          <cell r="C753" t="str">
            <v>m</v>
          </cell>
          <cell r="D753">
            <v>41.71</v>
          </cell>
          <cell r="E753" t="str">
            <v>A incluir</v>
          </cell>
          <cell r="F753" t="e">
            <v>#N/A</v>
          </cell>
          <cell r="G753" t="e">
            <v>#N/A</v>
          </cell>
        </row>
        <row r="754">
          <cell r="A754">
            <v>40905</v>
          </cell>
          <cell r="B754" t="str">
            <v>Cerca de arame farpado 8 fios com postes triangulares 10 x 200 cm, a cada 2,5 m, mourão de concreto 10 x 10 x 220 cm, a cada 50,0 m</v>
          </cell>
          <cell r="C754" t="str">
            <v>m</v>
          </cell>
          <cell r="D754">
            <v>23.28</v>
          </cell>
          <cell r="E754" t="str">
            <v>A incluir</v>
          </cell>
          <cell r="F754" t="e">
            <v>#N/A</v>
          </cell>
          <cell r="G754" t="e">
            <v>#N/A</v>
          </cell>
        </row>
        <row r="755">
          <cell r="A755">
            <v>43330</v>
          </cell>
          <cell r="B755" t="str">
            <v>Cerca de arame farpado,4 fios ,mourões de madeira a cada 2,5 m e esticadores de concreto/ madeira a cada 40m</v>
          </cell>
          <cell r="C755" t="str">
            <v>m</v>
          </cell>
          <cell r="D755">
            <v>26.11</v>
          </cell>
          <cell r="E755" t="str">
            <v>A incluir</v>
          </cell>
          <cell r="F755" t="e">
            <v>#N/A</v>
          </cell>
          <cell r="G755" t="e">
            <v>#N/A</v>
          </cell>
        </row>
        <row r="756">
          <cell r="A756">
            <v>40901</v>
          </cell>
          <cell r="B756" t="str">
            <v>Cerca de arame liso 4 fios com mourões cada 2,0 m, esticadores de madeira, a cada 20,0 m, inclusive transporte de mourão e arame liso</v>
          </cell>
          <cell r="C756" t="str">
            <v>m</v>
          </cell>
          <cell r="D756">
            <v>15.24</v>
          </cell>
          <cell r="E756" t="str">
            <v>A incluir</v>
          </cell>
          <cell r="F756">
            <v>15.8</v>
          </cell>
          <cell r="G756">
            <v>1.03674540682415</v>
          </cell>
        </row>
        <row r="757">
          <cell r="A757">
            <v>42475</v>
          </cell>
          <cell r="B757" t="str">
            <v>Concreto estrutural fck = 10,0 MPa, inclusive transportes areia, cimento e pedra britada</v>
          </cell>
          <cell r="C757" t="str">
            <v>m³</v>
          </cell>
          <cell r="D757">
            <v>524.25</v>
          </cell>
          <cell r="E757" t="str">
            <v>A incluir</v>
          </cell>
          <cell r="F757">
            <v>610.26</v>
          </cell>
          <cell r="G757">
            <v>1.1640629470672399</v>
          </cell>
        </row>
        <row r="758">
          <cell r="A758">
            <v>40945</v>
          </cell>
          <cell r="B758" t="str">
            <v>Corrimão em eucalipto tratado</v>
          </cell>
          <cell r="C758" t="str">
            <v>m</v>
          </cell>
          <cell r="D758">
            <v>51.79</v>
          </cell>
          <cell r="E758" t="str">
            <v>A incluir</v>
          </cell>
          <cell r="F758" t="e">
            <v>#N/A</v>
          </cell>
          <cell r="G758" t="e">
            <v>#N/A</v>
          </cell>
        </row>
        <row r="759">
          <cell r="A759">
            <v>41109</v>
          </cell>
          <cell r="B759" t="str">
            <v>Demolição de cerca de madeira com 4 fios</v>
          </cell>
          <cell r="C759" t="str">
            <v>m</v>
          </cell>
          <cell r="D759">
            <v>2.5099999999999998</v>
          </cell>
          <cell r="E759">
            <v>0</v>
          </cell>
          <cell r="F759" t="e">
            <v>#N/A</v>
          </cell>
          <cell r="G759" t="e">
            <v>#N/A</v>
          </cell>
        </row>
        <row r="760">
          <cell r="A760">
            <v>40164</v>
          </cell>
          <cell r="B760" t="str">
            <v>Demolição de edificações</v>
          </cell>
          <cell r="C760" t="str">
            <v>m²</v>
          </cell>
          <cell r="D760">
            <v>35.5</v>
          </cell>
          <cell r="E760">
            <v>0</v>
          </cell>
          <cell r="F760" t="e">
            <v>#N/A</v>
          </cell>
          <cell r="G760" t="e">
            <v>#N/A</v>
          </cell>
        </row>
        <row r="761">
          <cell r="A761">
            <v>40944</v>
          </cell>
          <cell r="B761" t="str">
            <v>Descida d'água em madeira e pedra de mão, tudo incluído</v>
          </cell>
          <cell r="C761" t="str">
            <v>m</v>
          </cell>
          <cell r="D761">
            <v>473.95</v>
          </cell>
          <cell r="E761" t="str">
            <v>A incluir</v>
          </cell>
          <cell r="F761" t="e">
            <v>#N/A</v>
          </cell>
          <cell r="G761" t="e">
            <v>#N/A</v>
          </cell>
        </row>
        <row r="762">
          <cell r="A762">
            <v>40902</v>
          </cell>
          <cell r="B762" t="str">
            <v>Deslocamento de cerca de madeira com 4 fios de arame</v>
          </cell>
          <cell r="C762" t="str">
            <v>m</v>
          </cell>
          <cell r="D762">
            <v>4.51</v>
          </cell>
          <cell r="E762">
            <v>0</v>
          </cell>
          <cell r="F762">
            <v>4.51</v>
          </cell>
          <cell r="G762">
            <v>1</v>
          </cell>
        </row>
        <row r="763">
          <cell r="A763">
            <v>41344</v>
          </cell>
          <cell r="B763" t="str">
            <v>Eletroduto de aço galv. 1 1/4" inclusive abertura e fechamento de rasgos em alvenaria, e luvas</v>
          </cell>
          <cell r="C763" t="str">
            <v>m</v>
          </cell>
          <cell r="D763">
            <v>67.38</v>
          </cell>
          <cell r="E763">
            <v>0</v>
          </cell>
          <cell r="F763" t="e">
            <v>#N/A</v>
          </cell>
          <cell r="G763" t="e">
            <v>#N/A</v>
          </cell>
        </row>
        <row r="764">
          <cell r="A764">
            <v>41345</v>
          </cell>
          <cell r="B764" t="str">
            <v>Eletroduto de PVC diâmetro de 4", fornecimento e instalação</v>
          </cell>
          <cell r="C764" t="str">
            <v>m</v>
          </cell>
          <cell r="D764">
            <v>99.54</v>
          </cell>
          <cell r="E764">
            <v>0</v>
          </cell>
          <cell r="F764" t="e">
            <v>#N/A</v>
          </cell>
          <cell r="G764" t="e">
            <v>#N/A</v>
          </cell>
        </row>
        <row r="765">
          <cell r="A765">
            <v>41242</v>
          </cell>
          <cell r="B765" t="str">
            <v>Estrutura de madeira para telha cerâmica ancorada em laje ou alvenaria</v>
          </cell>
          <cell r="C765" t="str">
            <v>m²</v>
          </cell>
          <cell r="D765">
            <v>70.11</v>
          </cell>
          <cell r="E765">
            <v>0</v>
          </cell>
          <cell r="F765" t="e">
            <v>#N/A</v>
          </cell>
          <cell r="G765" t="e">
            <v>#N/A</v>
          </cell>
        </row>
        <row r="766">
          <cell r="A766">
            <v>42476</v>
          </cell>
          <cell r="B766" t="str">
            <v>Fita isolante em rolo de 19 mm x 20 m, número 33 Scoth ou equivalente</v>
          </cell>
          <cell r="C766" t="str">
            <v>un</v>
          </cell>
          <cell r="D766">
            <v>38.29</v>
          </cell>
          <cell r="E766">
            <v>0</v>
          </cell>
          <cell r="F766" t="e">
            <v>#N/A</v>
          </cell>
          <cell r="G766" t="e">
            <v>#N/A</v>
          </cell>
        </row>
        <row r="767">
          <cell r="A767">
            <v>41136</v>
          </cell>
          <cell r="B767" t="str">
            <v>Haste cobreada para aterramento diâmetro 5/8" x 2,4m ( fornecimento e instalação)</v>
          </cell>
          <cell r="C767" t="str">
            <v>un</v>
          </cell>
          <cell r="D767">
            <v>117.06</v>
          </cell>
          <cell r="E767">
            <v>0</v>
          </cell>
          <cell r="F767" t="e">
            <v>#N/A</v>
          </cell>
          <cell r="G767" t="e">
            <v>#N/A</v>
          </cell>
        </row>
        <row r="768">
          <cell r="A768">
            <v>41135</v>
          </cell>
          <cell r="B768" t="str">
            <v>Isolador de Porcelana tipo roldana com rack 3 x 16, instalação</v>
          </cell>
          <cell r="C768" t="str">
            <v>un</v>
          </cell>
          <cell r="D768">
            <v>86.55</v>
          </cell>
          <cell r="E768">
            <v>0</v>
          </cell>
          <cell r="F768" t="e">
            <v>#N/A</v>
          </cell>
          <cell r="G768" t="e">
            <v>#N/A</v>
          </cell>
        </row>
        <row r="769">
          <cell r="A769">
            <v>40912</v>
          </cell>
          <cell r="B769" t="str">
            <v>Ladrilho hidráulico (argamassa cimento e areia 1:4), fornecimento e assentamento</v>
          </cell>
          <cell r="C769" t="str">
            <v>m²</v>
          </cell>
          <cell r="D769">
            <v>86.18</v>
          </cell>
          <cell r="E769" t="str">
            <v>A incluir</v>
          </cell>
          <cell r="F769">
            <v>94.12</v>
          </cell>
          <cell r="G769">
            <v>1.0921327454165699</v>
          </cell>
        </row>
        <row r="770">
          <cell r="A770">
            <v>40908</v>
          </cell>
          <cell r="B770" t="str">
            <v>Mata-burro</v>
          </cell>
          <cell r="C770" t="str">
            <v>un</v>
          </cell>
          <cell r="D770">
            <v>7475.83</v>
          </cell>
          <cell r="E770" t="str">
            <v>A incluir</v>
          </cell>
          <cell r="F770" t="e">
            <v>#N/A</v>
          </cell>
          <cell r="G770" t="e">
            <v>#N/A</v>
          </cell>
        </row>
        <row r="771">
          <cell r="A771">
            <v>40907</v>
          </cell>
          <cell r="B771" t="str">
            <v>Passagem de gado (boca)</v>
          </cell>
          <cell r="C771" t="str">
            <v>un</v>
          </cell>
          <cell r="D771">
            <v>13118.57</v>
          </cell>
          <cell r="E771" t="str">
            <v>A incluir</v>
          </cell>
          <cell r="F771" t="e">
            <v>#N/A</v>
          </cell>
          <cell r="G771" t="e">
            <v>#N/A</v>
          </cell>
        </row>
        <row r="772">
          <cell r="A772">
            <v>40906</v>
          </cell>
          <cell r="B772" t="str">
            <v>Passagem de gado (sem guarda corpo)</v>
          </cell>
          <cell r="C772" t="str">
            <v>m</v>
          </cell>
          <cell r="D772">
            <v>3768.78</v>
          </cell>
          <cell r="E772">
            <v>0</v>
          </cell>
          <cell r="F772" t="e">
            <v>#N/A</v>
          </cell>
          <cell r="G772" t="e">
            <v>#N/A</v>
          </cell>
        </row>
        <row r="773">
          <cell r="A773">
            <v>41240</v>
          </cell>
          <cell r="B773" t="str">
            <v>Passeio em concreto, largura 2,00m, acabamento em ladrilho hidráulico podotátil (L=0,40m)</v>
          </cell>
          <cell r="C773" t="str">
            <v>m²</v>
          </cell>
          <cell r="D773">
            <v>77.39</v>
          </cell>
          <cell r="E773" t="str">
            <v>A incluir</v>
          </cell>
          <cell r="F773" t="e">
            <v>#N/A</v>
          </cell>
          <cell r="G773" t="e">
            <v>#N/A</v>
          </cell>
        </row>
        <row r="774">
          <cell r="A774">
            <v>40946</v>
          </cell>
          <cell r="B774" t="str">
            <v>Passeio pavimentado em blocos de concreto esp.=6cm, colorido, resistência 35 MPa, colchão de areia 5cm, inclusive transporte dos blocos e da areia</v>
          </cell>
          <cell r="C774" t="str">
            <v>m²</v>
          </cell>
          <cell r="D774">
            <v>86.9</v>
          </cell>
          <cell r="E774" t="str">
            <v>A incluir</v>
          </cell>
          <cell r="F774" t="e">
            <v>#N/A</v>
          </cell>
          <cell r="G774" t="e">
            <v>#N/A</v>
          </cell>
        </row>
        <row r="775">
          <cell r="A775">
            <v>40942</v>
          </cell>
          <cell r="B775" t="str">
            <v>Pavimentação com pedra de mão (pé de moleque) argamassada</v>
          </cell>
          <cell r="C775" t="str">
            <v>m²</v>
          </cell>
          <cell r="D775">
            <v>36.39</v>
          </cell>
          <cell r="E775" t="str">
            <v>A incluir</v>
          </cell>
          <cell r="F775" t="e">
            <v>#N/A</v>
          </cell>
          <cell r="G775" t="e">
            <v>#N/A</v>
          </cell>
        </row>
        <row r="776">
          <cell r="A776">
            <v>41245</v>
          </cell>
          <cell r="B776" t="str">
            <v>Pintura com tinta a óleo em esquadria de ferros duas demãos</v>
          </cell>
          <cell r="C776" t="str">
            <v>m²</v>
          </cell>
          <cell r="D776">
            <v>36.18</v>
          </cell>
          <cell r="E776">
            <v>0</v>
          </cell>
          <cell r="F776" t="e">
            <v>#N/A</v>
          </cell>
          <cell r="G776" t="e">
            <v>#N/A</v>
          </cell>
        </row>
        <row r="777">
          <cell r="A777">
            <v>41404</v>
          </cell>
          <cell r="B777" t="str">
            <v>Pintura em estrutura metálica com tinta epoxídica inclusive primer</v>
          </cell>
          <cell r="C777" t="str">
            <v>m²</v>
          </cell>
          <cell r="D777">
            <v>33.159999999999997</v>
          </cell>
          <cell r="E777">
            <v>0</v>
          </cell>
          <cell r="F777" t="e">
            <v>#N/A</v>
          </cell>
          <cell r="G777" t="e">
            <v>#N/A</v>
          </cell>
        </row>
        <row r="778">
          <cell r="A778">
            <v>41244</v>
          </cell>
          <cell r="B778" t="str">
            <v>Pintura em látex acrílica em parede externa, sem massa corrida, três demãos</v>
          </cell>
          <cell r="C778" t="str">
            <v>m²</v>
          </cell>
          <cell r="D778">
            <v>21.49</v>
          </cell>
          <cell r="E778">
            <v>0</v>
          </cell>
          <cell r="F778" t="e">
            <v>#N/A</v>
          </cell>
          <cell r="G778" t="e">
            <v>#N/A</v>
          </cell>
        </row>
        <row r="779">
          <cell r="A779">
            <v>43328</v>
          </cell>
          <cell r="B779" t="str">
            <v>Pintura logomarca DER-ES em mourões de concreto ( baixo relevo )</v>
          </cell>
          <cell r="C779" t="str">
            <v>un</v>
          </cell>
          <cell r="D779">
            <v>10.65</v>
          </cell>
          <cell r="E779">
            <v>0</v>
          </cell>
          <cell r="F779" t="e">
            <v>#N/A</v>
          </cell>
          <cell r="G779" t="e">
            <v>#N/A</v>
          </cell>
        </row>
        <row r="780">
          <cell r="A780">
            <v>40909</v>
          </cell>
          <cell r="B780" t="str">
            <v>Porteira, confecção e colocação, inclusive fornecimento e transporte da madeira e chapa de aço</v>
          </cell>
          <cell r="C780" t="str">
            <v>un</v>
          </cell>
          <cell r="D780">
            <v>2442.42</v>
          </cell>
          <cell r="E780" t="str">
            <v>A incluir</v>
          </cell>
          <cell r="F780" t="e">
            <v>#N/A</v>
          </cell>
          <cell r="G780" t="e">
            <v>#N/A</v>
          </cell>
        </row>
        <row r="781">
          <cell r="A781">
            <v>41237</v>
          </cell>
          <cell r="B781" t="str">
            <v>Poste de iluminação urbana com luminária tipo chapeú chinês</v>
          </cell>
          <cell r="C781" t="str">
            <v>un</v>
          </cell>
          <cell r="D781">
            <v>1916.84</v>
          </cell>
          <cell r="E781" t="str">
            <v>A incluir</v>
          </cell>
          <cell r="F781" t="e">
            <v>#N/A</v>
          </cell>
          <cell r="G781" t="e">
            <v>#N/A</v>
          </cell>
        </row>
        <row r="782">
          <cell r="A782">
            <v>41140</v>
          </cell>
          <cell r="B782" t="str">
            <v>Poste galvanizado 101mm simples, fornecimento e instalação</v>
          </cell>
          <cell r="C782" t="str">
            <v>un</v>
          </cell>
          <cell r="D782">
            <v>1194.6600000000001</v>
          </cell>
          <cell r="E782">
            <v>0</v>
          </cell>
          <cell r="F782" t="e">
            <v>#N/A</v>
          </cell>
          <cell r="G782" t="e">
            <v>#N/A</v>
          </cell>
        </row>
        <row r="783">
          <cell r="A783">
            <v>41139</v>
          </cell>
          <cell r="B783" t="str">
            <v>Poste galvanizado 114 mm - 1boca, fornecimento e instalação</v>
          </cell>
          <cell r="C783" t="str">
            <v>un</v>
          </cell>
          <cell r="D783">
            <v>1738.81</v>
          </cell>
          <cell r="E783">
            <v>0</v>
          </cell>
          <cell r="F783" t="e">
            <v>#N/A</v>
          </cell>
          <cell r="G783" t="e">
            <v>#N/A</v>
          </cell>
        </row>
        <row r="784">
          <cell r="A784">
            <v>41138</v>
          </cell>
          <cell r="B784" t="str">
            <v>Poste galvanizado 114mm - 2 bocas, fornecimento e instalação</v>
          </cell>
          <cell r="C784" t="str">
            <v>un</v>
          </cell>
          <cell r="D784">
            <v>1939.7</v>
          </cell>
          <cell r="E784">
            <v>0</v>
          </cell>
          <cell r="F784" t="e">
            <v>#N/A</v>
          </cell>
          <cell r="G784" t="e">
            <v>#N/A</v>
          </cell>
        </row>
        <row r="785">
          <cell r="A785">
            <v>41246</v>
          </cell>
          <cell r="B785" t="str">
            <v>Rampa de pedestres, com piso em ladrilho hidráulico podotátil</v>
          </cell>
          <cell r="C785" t="str">
            <v>m</v>
          </cell>
          <cell r="D785">
            <v>46.54</v>
          </cell>
          <cell r="E785" t="str">
            <v>A incluir</v>
          </cell>
          <cell r="F785" t="e">
            <v>#N/A</v>
          </cell>
          <cell r="G785" t="e">
            <v>#N/A</v>
          </cell>
        </row>
        <row r="786">
          <cell r="A786">
            <v>40943</v>
          </cell>
          <cell r="B786" t="str">
            <v>Rampa em pedra de mão (pé de moleque) argamassada e travada</v>
          </cell>
          <cell r="C786" t="str">
            <v>m</v>
          </cell>
          <cell r="D786">
            <v>44.24</v>
          </cell>
          <cell r="E786" t="str">
            <v>A incluir</v>
          </cell>
          <cell r="F786" t="e">
            <v>#N/A</v>
          </cell>
          <cell r="G786" t="e">
            <v>#N/A</v>
          </cell>
        </row>
        <row r="787">
          <cell r="A787">
            <v>40922</v>
          </cell>
          <cell r="B787" t="str">
            <v>Remoção de camada vegetal</v>
          </cell>
          <cell r="C787" t="str">
            <v>m³</v>
          </cell>
          <cell r="D787">
            <v>4.2</v>
          </cell>
          <cell r="E787">
            <v>0</v>
          </cell>
          <cell r="F787" t="e">
            <v>#N/A</v>
          </cell>
          <cell r="G787" t="e">
            <v>#N/A</v>
          </cell>
        </row>
        <row r="788">
          <cell r="A788">
            <v>40914</v>
          </cell>
          <cell r="B788" t="str">
            <v>Retirada de Defensa Metálica</v>
          </cell>
          <cell r="C788" t="str">
            <v>m</v>
          </cell>
          <cell r="D788">
            <v>14.37</v>
          </cell>
          <cell r="E788" t="str">
            <v>A incluir</v>
          </cell>
          <cell r="F788" t="e">
            <v>#N/A</v>
          </cell>
          <cell r="G788" t="e">
            <v>#N/A</v>
          </cell>
        </row>
        <row r="789">
          <cell r="A789">
            <v>40913</v>
          </cell>
          <cell r="B789" t="str">
            <v>Retirada e recolocação de alambrado</v>
          </cell>
          <cell r="C789" t="str">
            <v>m</v>
          </cell>
          <cell r="D789">
            <v>103.61</v>
          </cell>
          <cell r="E789">
            <v>0</v>
          </cell>
          <cell r="F789" t="e">
            <v>#N/A</v>
          </cell>
          <cell r="G789" t="e">
            <v>#N/A</v>
          </cell>
        </row>
        <row r="790">
          <cell r="A790">
            <v>41191</v>
          </cell>
          <cell r="B790" t="str">
            <v>Sistema cercamento tipo Gradil Nylofor 3DPintura Simples (preto, verde ou branco), # 50x200m, fio 5,0mm, L=2,50m, H=2,03m, incl. forn./chumb. postes</v>
          </cell>
          <cell r="C790" t="str">
            <v>m</v>
          </cell>
          <cell r="D790">
            <v>300.52999999999997</v>
          </cell>
          <cell r="E790" t="str">
            <v>A incluir</v>
          </cell>
          <cell r="F790" t="e">
            <v>#N/A</v>
          </cell>
          <cell r="G790" t="e">
            <v>#N/A</v>
          </cell>
        </row>
        <row r="791">
          <cell r="A791">
            <v>40947</v>
          </cell>
          <cell r="B791" t="str">
            <v>Sumidouro cilíndrico pré-moldado diam. 2,00m com 5 anéis inclusive escavação</v>
          </cell>
          <cell r="C791" t="str">
            <v>un</v>
          </cell>
          <cell r="D791">
            <v>2982.08</v>
          </cell>
          <cell r="E791" t="str">
            <v>A incluir</v>
          </cell>
          <cell r="F791" t="e">
            <v>#N/A</v>
          </cell>
          <cell r="G791" t="e">
            <v>#N/A</v>
          </cell>
        </row>
        <row r="792">
          <cell r="A792">
            <v>43329</v>
          </cell>
          <cell r="B792" t="str">
            <v>Suporte de concreto armado ( 15x15x280 ) com logomarca pintada em baixo relevo</v>
          </cell>
          <cell r="C792" t="str">
            <v>un</v>
          </cell>
          <cell r="D792">
            <v>183.24</v>
          </cell>
          <cell r="E792" t="str">
            <v>A incluir</v>
          </cell>
          <cell r="F792" t="e">
            <v>#N/A</v>
          </cell>
          <cell r="G792" t="e">
            <v>#N/A</v>
          </cell>
        </row>
        <row r="793">
          <cell r="A793">
            <v>42050</v>
          </cell>
          <cell r="B793" t="str">
            <v>Tela de aço galvanizado ,em malha hexagonal de dupla torção, tipo 8,0cm x 10,0cm, com fios de diâmetro 2,7mm, tudo incluído, fornecimento e execução</v>
          </cell>
          <cell r="C793" t="str">
            <v>m²</v>
          </cell>
          <cell r="D793">
            <v>97.15</v>
          </cell>
          <cell r="E793" t="str">
            <v>A incluir</v>
          </cell>
          <cell r="F793" t="e">
            <v>#N/A</v>
          </cell>
          <cell r="G793" t="e">
            <v>#N/A</v>
          </cell>
        </row>
        <row r="794">
          <cell r="A794">
            <v>0</v>
          </cell>
          <cell r="B794">
            <v>0</v>
          </cell>
          <cell r="C794">
            <v>0</v>
          </cell>
          <cell r="E794" t="e">
            <v>#N/A</v>
          </cell>
          <cell r="F794" t="e">
            <v>#N/A</v>
          </cell>
        </row>
        <row r="795">
          <cell r="A795" t="str">
            <v>Grupo de Serviço: 8 - SERVIÇOS AMBIENTAIS</v>
          </cell>
          <cell r="B795">
            <v>0</v>
          </cell>
          <cell r="C795">
            <v>0</v>
          </cell>
          <cell r="E795" t="e">
            <v>#N/A</v>
          </cell>
          <cell r="F795" t="e">
            <v>#N/A</v>
          </cell>
        </row>
        <row r="796">
          <cell r="A796">
            <v>42203</v>
          </cell>
          <cell r="B796" t="str">
            <v>Arborização para paisagismo ( mudas viveiro de espera) com altura maior que 150 cm</v>
          </cell>
          <cell r="C796" t="str">
            <v>un</v>
          </cell>
          <cell r="D796">
            <v>105.75</v>
          </cell>
          <cell r="E796" t="str">
            <v>A incluir</v>
          </cell>
          <cell r="F796" t="e">
            <v>#N/A</v>
          </cell>
          <cell r="G796" t="e">
            <v>#N/A</v>
          </cell>
        </row>
        <row r="797">
          <cell r="A797">
            <v>42202</v>
          </cell>
          <cell r="B797" t="str">
            <v>Arborização para paisagismo (mudas viveiro de espera) com altura até 150 cm</v>
          </cell>
          <cell r="C797" t="str">
            <v>un</v>
          </cell>
          <cell r="D797">
            <v>84.32</v>
          </cell>
          <cell r="E797" t="str">
            <v>A incluir</v>
          </cell>
          <cell r="F797" t="e">
            <v>#N/A</v>
          </cell>
          <cell r="G797" t="e">
            <v>#N/A</v>
          </cell>
        </row>
        <row r="798">
          <cell r="A798">
            <v>42041</v>
          </cell>
          <cell r="B798" t="str">
            <v>Barreira de Siltagem com escoras de eucalipto, diâm. 0,10m e a altura 1,60m, espaçadas a cada 2,0 m, 1 reaproveitamento</v>
          </cell>
          <cell r="C798" t="str">
            <v>m</v>
          </cell>
          <cell r="D798">
            <v>22.49</v>
          </cell>
          <cell r="E798" t="str">
            <v>A incluir</v>
          </cell>
          <cell r="F798">
            <v>22.6</v>
          </cell>
          <cell r="G798">
            <v>1.00489106269453</v>
          </cell>
        </row>
        <row r="799">
          <cell r="A799">
            <v>42199</v>
          </cell>
          <cell r="B799" t="str">
            <v>Conformação manual de taludes</v>
          </cell>
          <cell r="C799" t="str">
            <v>m²</v>
          </cell>
          <cell r="D799">
            <v>1.49</v>
          </cell>
          <cell r="E799">
            <v>0</v>
          </cell>
          <cell r="F799">
            <v>1.49</v>
          </cell>
          <cell r="G799">
            <v>1</v>
          </cell>
        </row>
        <row r="800">
          <cell r="A800">
            <v>42210</v>
          </cell>
          <cell r="B800" t="str">
            <v>Grama  em placas em taludes com estacas de madeira, fornecimento e plantio</v>
          </cell>
          <cell r="C800" t="str">
            <v>m²</v>
          </cell>
          <cell r="D800">
            <v>18.55</v>
          </cell>
          <cell r="E800" t="str">
            <v>A incluir</v>
          </cell>
          <cell r="F800" t="e">
            <v>#N/A</v>
          </cell>
          <cell r="G800" t="e">
            <v>#N/A</v>
          </cell>
        </row>
        <row r="801">
          <cell r="A801">
            <v>42206</v>
          </cell>
          <cell r="B801" t="str">
            <v>Grama em placas, fornecimento e plantio (sem fixação com estacas)</v>
          </cell>
          <cell r="C801" t="str">
            <v>m²</v>
          </cell>
          <cell r="D801">
            <v>14.28</v>
          </cell>
          <cell r="E801" t="str">
            <v>A incluir</v>
          </cell>
          <cell r="F801">
            <v>14.96</v>
          </cell>
          <cell r="G801">
            <v>1.0476190476190499</v>
          </cell>
        </row>
        <row r="802">
          <cell r="A802">
            <v>42208</v>
          </cell>
          <cell r="B802" t="str">
            <v>Gramínea em leiva, extração</v>
          </cell>
          <cell r="C802" t="str">
            <v>m²</v>
          </cell>
          <cell r="D802">
            <v>1.65</v>
          </cell>
          <cell r="E802">
            <v>0</v>
          </cell>
          <cell r="F802" t="e">
            <v>#N/A</v>
          </cell>
          <cell r="G802" t="e">
            <v>#N/A</v>
          </cell>
        </row>
        <row r="803">
          <cell r="A803">
            <v>42209</v>
          </cell>
          <cell r="B803" t="str">
            <v>Gramínea em leiva, extração, plantio e transporte</v>
          </cell>
          <cell r="C803" t="str">
            <v>m²</v>
          </cell>
          <cell r="D803">
            <v>7.28</v>
          </cell>
          <cell r="E803" t="str">
            <v>A incluir</v>
          </cell>
          <cell r="F803" t="e">
            <v>#N/A</v>
          </cell>
          <cell r="G803" t="e">
            <v>#N/A</v>
          </cell>
        </row>
        <row r="804">
          <cell r="A804">
            <v>42207</v>
          </cell>
          <cell r="B804" t="str">
            <v>Gramíneas em sementes, fornecimento e plantio a lanço</v>
          </cell>
          <cell r="C804" t="str">
            <v>m²</v>
          </cell>
          <cell r="D804">
            <v>3.15</v>
          </cell>
          <cell r="E804">
            <v>0</v>
          </cell>
          <cell r="F804" t="e">
            <v>#N/A</v>
          </cell>
          <cell r="G804" t="e">
            <v>#N/A</v>
          </cell>
        </row>
        <row r="805">
          <cell r="A805">
            <v>42200</v>
          </cell>
          <cell r="B805" t="str">
            <v>Hidrossemeadura simples em taludes</v>
          </cell>
          <cell r="C805" t="str">
            <v>m²</v>
          </cell>
          <cell r="D805">
            <v>6.69</v>
          </cell>
          <cell r="E805">
            <v>0</v>
          </cell>
          <cell r="F805">
            <v>6.68</v>
          </cell>
          <cell r="G805">
            <v>0.998505231689088</v>
          </cell>
        </row>
        <row r="806">
          <cell r="A806">
            <v>42201</v>
          </cell>
          <cell r="B806" t="str">
            <v>Hidrossemeadura simples em terrenos planos</v>
          </cell>
          <cell r="C806" t="str">
            <v>m²</v>
          </cell>
          <cell r="D806">
            <v>5.14</v>
          </cell>
          <cell r="E806">
            <v>0</v>
          </cell>
          <cell r="F806">
            <v>5.14</v>
          </cell>
          <cell r="G806">
            <v>1</v>
          </cell>
        </row>
        <row r="807">
          <cell r="A807">
            <v>41247</v>
          </cell>
          <cell r="B807" t="str">
            <v>Recomposição de talude de corte com aterro de solo argiloso compactado, exclusive material de aterro</v>
          </cell>
          <cell r="C807" t="str">
            <v>m³</v>
          </cell>
          <cell r="D807">
            <v>58.04</v>
          </cell>
          <cell r="E807">
            <v>0</v>
          </cell>
          <cell r="F807" t="e">
            <v>#N/A</v>
          </cell>
          <cell r="G807" t="e">
            <v>#N/A</v>
          </cell>
        </row>
        <row r="808">
          <cell r="A808">
            <v>42204</v>
          </cell>
          <cell r="B808" t="str">
            <v>Reflorestamento com espécies nativas da mata atlântica, mudas em sacolas ou tubetes</v>
          </cell>
          <cell r="C808" t="str">
            <v>un</v>
          </cell>
          <cell r="D808">
            <v>32.93</v>
          </cell>
          <cell r="E808" t="str">
            <v>A incluir</v>
          </cell>
          <cell r="F808" t="e">
            <v>#N/A</v>
          </cell>
          <cell r="G808" t="e">
            <v>#N/A</v>
          </cell>
        </row>
        <row r="809">
          <cell r="A809">
            <v>42044</v>
          </cell>
          <cell r="B809" t="str">
            <v>Reunião de Comunicação Social inclusive material de consumo</v>
          </cell>
          <cell r="C809" t="str">
            <v>un</v>
          </cell>
          <cell r="D809">
            <v>4552.4399999999996</v>
          </cell>
          <cell r="E809">
            <v>0</v>
          </cell>
          <cell r="F809">
            <v>4552.4399999999996</v>
          </cell>
          <cell r="G809">
            <v>1</v>
          </cell>
        </row>
        <row r="810">
          <cell r="A810">
            <v>40102</v>
          </cell>
          <cell r="B810" t="str">
            <v>Revestimento vegetal com grama em placas, inclusive transporte de grama</v>
          </cell>
          <cell r="C810" t="str">
            <v>m²</v>
          </cell>
          <cell r="D810">
            <v>13.63</v>
          </cell>
          <cell r="E810" t="str">
            <v>A incluir</v>
          </cell>
          <cell r="F810" t="e">
            <v>#N/A</v>
          </cell>
          <cell r="G810" t="e">
            <v>#N/A</v>
          </cell>
        </row>
        <row r="811">
          <cell r="A811">
            <v>42039</v>
          </cell>
          <cell r="B811" t="str">
            <v>Revestimento vegetal por hidrossemeadura com manta de fibras vegetais</v>
          </cell>
          <cell r="C811" t="str">
            <v>m²</v>
          </cell>
          <cell r="D811">
            <v>16.16</v>
          </cell>
          <cell r="E811" t="str">
            <v>A incluir</v>
          </cell>
          <cell r="F811" t="e">
            <v>#N/A</v>
          </cell>
          <cell r="G811" t="e">
            <v>#N/A</v>
          </cell>
        </row>
        <row r="812">
          <cell r="A812">
            <v>42205</v>
          </cell>
          <cell r="B812" t="str">
            <v>Roçada para manutenção de mudas</v>
          </cell>
          <cell r="C812" t="str">
            <v>m²</v>
          </cell>
          <cell r="D812">
            <v>1.41</v>
          </cell>
          <cell r="E812">
            <v>0</v>
          </cell>
          <cell r="F812" t="e">
            <v>#N/A</v>
          </cell>
          <cell r="G812" t="e">
            <v>#N/A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e">
            <v>#N/A</v>
          </cell>
          <cell r="F813" t="e">
            <v>#N/A</v>
          </cell>
          <cell r="G813" t="e">
            <v>#N/A</v>
          </cell>
        </row>
        <row r="814">
          <cell r="A814" t="str">
            <v>Grupo de Serviço: 10 - SINALIZAÇÃO</v>
          </cell>
          <cell r="B814">
            <v>0</v>
          </cell>
          <cell r="C814">
            <v>0</v>
          </cell>
          <cell r="E814" t="e">
            <v>#N/A</v>
          </cell>
          <cell r="F814" t="e">
            <v>#N/A</v>
          </cell>
          <cell r="G814" t="e">
            <v>#N/A</v>
          </cell>
        </row>
        <row r="815">
          <cell r="A815">
            <v>41153</v>
          </cell>
          <cell r="B815" t="str">
            <v>Abraçadeira para fixação de semáforo em braço/coluna de diâmetro 101 ou 114 mm</v>
          </cell>
          <cell r="C815" t="str">
            <v>un</v>
          </cell>
          <cell r="D815">
            <v>62.84</v>
          </cell>
          <cell r="E815">
            <v>0</v>
          </cell>
          <cell r="F815" t="e">
            <v>#N/A</v>
          </cell>
          <cell r="G815" t="e">
            <v>#N/A</v>
          </cell>
        </row>
        <row r="816">
          <cell r="A816">
            <v>41409</v>
          </cell>
          <cell r="B816" t="str">
            <v>Anteparo 3 x 300 mm, fornecimento e instalação</v>
          </cell>
          <cell r="C816" t="str">
            <v>un</v>
          </cell>
          <cell r="D816">
            <v>347.77</v>
          </cell>
          <cell r="E816">
            <v>0</v>
          </cell>
          <cell r="F816" t="e">
            <v>#N/A</v>
          </cell>
          <cell r="G816" t="e">
            <v>#N/A</v>
          </cell>
        </row>
        <row r="817">
          <cell r="A817">
            <v>40928</v>
          </cell>
          <cell r="B817" t="str">
            <v>Balizador de concreto ( fornecimento e assentamento )</v>
          </cell>
          <cell r="C817" t="str">
            <v>un</v>
          </cell>
          <cell r="D817">
            <v>39.24</v>
          </cell>
          <cell r="E817" t="str">
            <v>A incluir</v>
          </cell>
          <cell r="F817" t="e">
            <v>#N/A</v>
          </cell>
          <cell r="G817" t="e">
            <v>#N/A</v>
          </cell>
        </row>
        <row r="818">
          <cell r="A818">
            <v>41408</v>
          </cell>
          <cell r="B818" t="str">
            <v>Botoeira com sinal sonoro, fornecimento e instalação</v>
          </cell>
          <cell r="C818" t="str">
            <v>un</v>
          </cell>
          <cell r="D818">
            <v>2653</v>
          </cell>
          <cell r="E818">
            <v>0</v>
          </cell>
          <cell r="F818" t="e">
            <v>#N/A</v>
          </cell>
          <cell r="G818" t="e">
            <v>#N/A</v>
          </cell>
        </row>
        <row r="819">
          <cell r="A819">
            <v>41147</v>
          </cell>
          <cell r="B819" t="str">
            <v>Cabos para rede de dados (sincronismo) blindado 2 x 20 awg, fornecimento e instalação</v>
          </cell>
          <cell r="C819" t="str">
            <v>m</v>
          </cell>
          <cell r="D819">
            <v>7.27</v>
          </cell>
          <cell r="E819">
            <v>0</v>
          </cell>
          <cell r="F819" t="e">
            <v>#N/A</v>
          </cell>
          <cell r="G819" t="e">
            <v>#N/A</v>
          </cell>
        </row>
        <row r="820">
          <cell r="A820">
            <v>42046</v>
          </cell>
          <cell r="B820" t="str">
            <v>Cones para sinalização, fornecimento e colocação</v>
          </cell>
          <cell r="C820" t="str">
            <v>un</v>
          </cell>
          <cell r="D820">
            <v>16.7</v>
          </cell>
          <cell r="E820">
            <v>0</v>
          </cell>
          <cell r="F820">
            <v>16.71</v>
          </cell>
          <cell r="G820">
            <v>1.0005988023952099</v>
          </cell>
        </row>
        <row r="821">
          <cell r="A821">
            <v>41407</v>
          </cell>
          <cell r="B821" t="str">
            <v>Controlador Eletrônico Microprocessado 4 fases, fornecimento e instalação</v>
          </cell>
          <cell r="C821" t="str">
            <v>un</v>
          </cell>
          <cell r="D821">
            <v>14177.73</v>
          </cell>
          <cell r="E821">
            <v>0</v>
          </cell>
          <cell r="F821" t="e">
            <v>#N/A</v>
          </cell>
          <cell r="G821" t="e">
            <v>#N/A</v>
          </cell>
        </row>
        <row r="822">
          <cell r="A822">
            <v>41146</v>
          </cell>
          <cell r="B822" t="str">
            <v>Controlador Eletrônico Microprocessado 6/6 fases, fornecimento e instalação</v>
          </cell>
          <cell r="C822" t="str">
            <v>un</v>
          </cell>
          <cell r="D822">
            <v>15373.79</v>
          </cell>
          <cell r="E822">
            <v>0</v>
          </cell>
          <cell r="F822" t="e">
            <v>#N/A</v>
          </cell>
          <cell r="G822" t="e">
            <v>#N/A</v>
          </cell>
        </row>
        <row r="823">
          <cell r="A823">
            <v>41017</v>
          </cell>
          <cell r="B823" t="str">
            <v>Defensa de concreto tipo New Jersey, fornecimento e colocação</v>
          </cell>
          <cell r="C823" t="str">
            <v>m</v>
          </cell>
          <cell r="D823">
            <v>450.95</v>
          </cell>
          <cell r="E823">
            <v>0</v>
          </cell>
          <cell r="F823" t="e">
            <v>#N/A</v>
          </cell>
          <cell r="G823" t="e">
            <v>#N/A</v>
          </cell>
        </row>
        <row r="824">
          <cell r="A824">
            <v>40929</v>
          </cell>
          <cell r="B824" t="str">
            <v>Defensa metálica (1 lâmina com espessura = 3 mm), fornecimento e colocação</v>
          </cell>
          <cell r="C824" t="str">
            <v>m</v>
          </cell>
          <cell r="D824">
            <v>236.68</v>
          </cell>
          <cell r="E824" t="str">
            <v>A incluir</v>
          </cell>
          <cell r="F824">
            <v>238.02</v>
          </cell>
          <cell r="G824">
            <v>1.0056616528646301</v>
          </cell>
        </row>
        <row r="825">
          <cell r="A825">
            <v>41203</v>
          </cell>
          <cell r="B825" t="str">
            <v>Defensa metálica (2 lâminas com espessuras = 3mm) inclusive acessórios, fornecimento e colocação</v>
          </cell>
          <cell r="C825" t="str">
            <v>m</v>
          </cell>
          <cell r="D825">
            <v>466.86</v>
          </cell>
          <cell r="E825" t="str">
            <v>A incluir</v>
          </cell>
          <cell r="F825" t="e">
            <v>#N/A</v>
          </cell>
          <cell r="G825" t="e">
            <v>#N/A</v>
          </cell>
        </row>
        <row r="826">
          <cell r="A826">
            <v>42047</v>
          </cell>
          <cell r="B826" t="str">
            <v>Elementos de madeira para sinalização - cavaletes</v>
          </cell>
          <cell r="C826" t="str">
            <v>un</v>
          </cell>
          <cell r="D826">
            <v>42.95</v>
          </cell>
          <cell r="E826">
            <v>0</v>
          </cell>
          <cell r="F826">
            <v>42.95</v>
          </cell>
          <cell r="G826">
            <v>1</v>
          </cell>
        </row>
        <row r="827">
          <cell r="A827">
            <v>41145</v>
          </cell>
          <cell r="B827" t="str">
            <v>Grupo focal gradativo (semáforo com informação de tempo) com lâmpada LED, fornecimento e instalação</v>
          </cell>
          <cell r="C827" t="str">
            <v>un</v>
          </cell>
          <cell r="D827">
            <v>9052.7099999999991</v>
          </cell>
          <cell r="E827">
            <v>0</v>
          </cell>
          <cell r="F827" t="e">
            <v>#N/A</v>
          </cell>
          <cell r="G827" t="e">
            <v>#N/A</v>
          </cell>
        </row>
        <row r="828">
          <cell r="A828">
            <v>41141</v>
          </cell>
          <cell r="B828" t="str">
            <v>Grupo focal repetidor 2x200 mm com lâmpada LED, fornecimento e instalação</v>
          </cell>
          <cell r="C828" t="str">
            <v>un</v>
          </cell>
          <cell r="D828">
            <v>1787.97</v>
          </cell>
          <cell r="E828">
            <v>0</v>
          </cell>
          <cell r="F828" t="e">
            <v>#N/A</v>
          </cell>
          <cell r="G828" t="e">
            <v>#N/A</v>
          </cell>
        </row>
        <row r="829">
          <cell r="A829">
            <v>41142</v>
          </cell>
          <cell r="B829" t="str">
            <v>Grupo focal repetidor 3x200 mm com lâmpada LED, fornecimento e instalação</v>
          </cell>
          <cell r="C829" t="str">
            <v>un</v>
          </cell>
          <cell r="D829">
            <v>2509.67</v>
          </cell>
          <cell r="E829">
            <v>0</v>
          </cell>
          <cell r="F829" t="e">
            <v>#N/A</v>
          </cell>
          <cell r="G829" t="e">
            <v>#N/A</v>
          </cell>
        </row>
        <row r="830">
          <cell r="A830">
            <v>41143</v>
          </cell>
          <cell r="B830" t="str">
            <v>Grupo focal repetidor 3x300 mm com lâmpada LED, fornecimento e instalação</v>
          </cell>
          <cell r="C830" t="str">
            <v>un</v>
          </cell>
          <cell r="D830">
            <v>3927.22</v>
          </cell>
          <cell r="E830">
            <v>0</v>
          </cell>
          <cell r="F830" t="e">
            <v>#N/A</v>
          </cell>
          <cell r="G830" t="e">
            <v>#N/A</v>
          </cell>
        </row>
        <row r="831">
          <cell r="A831">
            <v>43162</v>
          </cell>
          <cell r="B831" t="str">
            <v>Ondulação transversal em CBUQ</v>
          </cell>
          <cell r="C831" t="str">
            <v>m</v>
          </cell>
          <cell r="D831">
            <v>276.61</v>
          </cell>
          <cell r="E831" t="str">
            <v>A incluir</v>
          </cell>
          <cell r="F831" t="e">
            <v>#N/A</v>
          </cell>
          <cell r="G831" t="e">
            <v>#N/A</v>
          </cell>
        </row>
        <row r="832">
          <cell r="A832">
            <v>40931</v>
          </cell>
          <cell r="B832" t="str">
            <v>Ondulação transversal em concreto</v>
          </cell>
          <cell r="C832" t="str">
            <v>m²</v>
          </cell>
          <cell r="D832">
            <v>211.81</v>
          </cell>
          <cell r="E832" t="str">
            <v>A incluir</v>
          </cell>
          <cell r="F832" t="e">
            <v>#N/A</v>
          </cell>
          <cell r="G832" t="e">
            <v>#N/A</v>
          </cell>
        </row>
        <row r="833">
          <cell r="A833">
            <v>41526</v>
          </cell>
          <cell r="B833" t="str">
            <v>Pintura acrílica sobre capa asfáltica</v>
          </cell>
          <cell r="C833" t="str">
            <v>m²</v>
          </cell>
          <cell r="D833">
            <v>8.8699999999999992</v>
          </cell>
          <cell r="E833" t="str">
            <v>A incluir</v>
          </cell>
          <cell r="F833" t="e">
            <v>#N/A</v>
          </cell>
          <cell r="G833" t="e">
            <v>#N/A</v>
          </cell>
        </row>
        <row r="834">
          <cell r="A834">
            <v>42524</v>
          </cell>
          <cell r="B834" t="str">
            <v>Pintura de setas e zebrados em material termoplástico - 5 anos ( por extrusão)</v>
          </cell>
          <cell r="C834" t="str">
            <v>m²</v>
          </cell>
          <cell r="D834">
            <v>72.08</v>
          </cell>
          <cell r="E834">
            <v>0</v>
          </cell>
          <cell r="F834">
            <v>72.08</v>
          </cell>
          <cell r="G834">
            <v>1</v>
          </cell>
        </row>
        <row r="835">
          <cell r="A835">
            <v>40938</v>
          </cell>
          <cell r="B835" t="str">
            <v>Sinalização com chapa em alumínio revestida em película</v>
          </cell>
          <cell r="C835" t="str">
            <v>m²</v>
          </cell>
          <cell r="D835">
            <v>875.46</v>
          </cell>
          <cell r="E835">
            <v>0</v>
          </cell>
          <cell r="F835" t="e">
            <v>#N/A</v>
          </cell>
          <cell r="G835" t="e">
            <v>#N/A</v>
          </cell>
        </row>
        <row r="836">
          <cell r="A836">
            <v>40924</v>
          </cell>
          <cell r="B836" t="str">
            <v>Sinalização horizontal TMD=200, vida útil 2 a 3 anos, taxa=0,40 L/m²</v>
          </cell>
          <cell r="C836" t="str">
            <v>m²</v>
          </cell>
          <cell r="D836">
            <v>12.4</v>
          </cell>
          <cell r="E836" t="str">
            <v>A incluir</v>
          </cell>
          <cell r="F836" t="e">
            <v>#N/A</v>
          </cell>
          <cell r="G836" t="e">
            <v>#N/A</v>
          </cell>
        </row>
        <row r="837">
          <cell r="A837">
            <v>40925</v>
          </cell>
          <cell r="B837" t="str">
            <v>Sinalização horizontal TMD=400, vida útil 2 a 3 anos, taxa=0,60 L/m²</v>
          </cell>
          <cell r="C837" t="str">
            <v>m²</v>
          </cell>
          <cell r="D837">
            <v>15.95</v>
          </cell>
          <cell r="E837" t="str">
            <v>A incluir</v>
          </cell>
          <cell r="F837">
            <v>16.059999999999999</v>
          </cell>
          <cell r="G837">
            <v>1.0068965517241399</v>
          </cell>
        </row>
        <row r="838">
          <cell r="A838">
            <v>40926</v>
          </cell>
          <cell r="B838" t="str">
            <v>Sinalização horizontal TMD=600, vida útil 2 a 3 anos, taxa=0,80 L/m²</v>
          </cell>
          <cell r="C838" t="str">
            <v>m²</v>
          </cell>
          <cell r="D838">
            <v>19.52</v>
          </cell>
          <cell r="E838" t="str">
            <v>A incluir</v>
          </cell>
          <cell r="F838" t="e">
            <v>#N/A</v>
          </cell>
          <cell r="G838" t="e">
            <v>#N/A</v>
          </cell>
        </row>
        <row r="839">
          <cell r="A839">
            <v>40927</v>
          </cell>
          <cell r="B839" t="str">
            <v>Sinalização horizontal TMD=600, vida útil 3 anos, taxa=3,0 kg/m² material termoplástico )</v>
          </cell>
          <cell r="C839" t="str">
            <v>m²</v>
          </cell>
          <cell r="D839">
            <v>37.42</v>
          </cell>
          <cell r="E839" t="str">
            <v>A incluir</v>
          </cell>
          <cell r="F839" t="e">
            <v>#N/A</v>
          </cell>
          <cell r="G839" t="e">
            <v>#N/A</v>
          </cell>
        </row>
        <row r="840">
          <cell r="A840">
            <v>41202</v>
          </cell>
          <cell r="B840" t="str">
            <v>Sinalização noturna ( fio com lâmpada e balde ), fornecimento e instalação</v>
          </cell>
          <cell r="C840" t="str">
            <v>m</v>
          </cell>
          <cell r="D840">
            <v>22.45</v>
          </cell>
          <cell r="E840">
            <v>0</v>
          </cell>
          <cell r="F840" t="e">
            <v>#N/A</v>
          </cell>
          <cell r="G840" t="e">
            <v>#N/A</v>
          </cell>
        </row>
        <row r="841">
          <cell r="A841">
            <v>40937</v>
          </cell>
          <cell r="B841" t="str">
            <v>Sinalização vertical com chapa em esmalte sintético</v>
          </cell>
          <cell r="C841" t="str">
            <v>m²</v>
          </cell>
          <cell r="D841">
            <v>386.44</v>
          </cell>
          <cell r="E841">
            <v>0</v>
          </cell>
          <cell r="F841">
            <v>386.5</v>
          </cell>
          <cell r="G841">
            <v>1.0001552634302899</v>
          </cell>
        </row>
        <row r="842">
          <cell r="A842">
            <v>40939</v>
          </cell>
          <cell r="B842" t="str">
            <v>Sinalização vertical com chapa em poliéster (e=2,3mm) reforçada com fibra de vidro, inclusive suporte de madeira</v>
          </cell>
          <cell r="C842" t="str">
            <v>m²</v>
          </cell>
          <cell r="D842">
            <v>733.27</v>
          </cell>
          <cell r="E842">
            <v>0</v>
          </cell>
          <cell r="F842" t="e">
            <v>#N/A</v>
          </cell>
          <cell r="G842" t="e">
            <v>#N/A</v>
          </cell>
        </row>
        <row r="843">
          <cell r="A843">
            <v>40936</v>
          </cell>
          <cell r="B843" t="str">
            <v>Sinalização vertical com chapa revestida em película, inclusive suporte em madeira</v>
          </cell>
          <cell r="C843" t="str">
            <v>m²</v>
          </cell>
          <cell r="D843">
            <v>463.14</v>
          </cell>
          <cell r="E843">
            <v>0</v>
          </cell>
          <cell r="F843">
            <v>463.2</v>
          </cell>
          <cell r="G843">
            <v>1.0001295504598999</v>
          </cell>
        </row>
        <row r="844">
          <cell r="A844">
            <v>40930</v>
          </cell>
          <cell r="B844" t="str">
            <v>Sonorizador</v>
          </cell>
          <cell r="C844" t="str">
            <v>m²</v>
          </cell>
          <cell r="D844">
            <v>208.47</v>
          </cell>
          <cell r="E844" t="str">
            <v>A incluir</v>
          </cell>
          <cell r="F844" t="e">
            <v>#N/A</v>
          </cell>
          <cell r="G844" t="e">
            <v>#N/A</v>
          </cell>
        </row>
        <row r="845">
          <cell r="A845">
            <v>41222</v>
          </cell>
          <cell r="B845" t="str">
            <v>Suporte de placa de sinalização vertical em madeira de 1ª qualidade, pintada, fornecimento e instalação</v>
          </cell>
          <cell r="C845" t="str">
            <v>un</v>
          </cell>
          <cell r="D845">
            <v>78.349999999999994</v>
          </cell>
          <cell r="E845">
            <v>0</v>
          </cell>
          <cell r="F845" t="e">
            <v>#N/A</v>
          </cell>
          <cell r="G845" t="e">
            <v>#N/A</v>
          </cell>
        </row>
        <row r="846">
          <cell r="A846">
            <v>40932</v>
          </cell>
          <cell r="B846" t="str">
            <v>Tacha refletiva monodirecional, fornecimento e aplicação</v>
          </cell>
          <cell r="C846" t="str">
            <v>un</v>
          </cell>
          <cell r="D846">
            <v>19.25</v>
          </cell>
          <cell r="E846">
            <v>0</v>
          </cell>
          <cell r="F846">
            <v>19.25</v>
          </cell>
          <cell r="G846">
            <v>1</v>
          </cell>
        </row>
        <row r="847">
          <cell r="A847">
            <v>40934</v>
          </cell>
          <cell r="B847" t="str">
            <v>Tacha refletiva birrefletorizada, fornecimento e aplicação</v>
          </cell>
          <cell r="C847" t="str">
            <v>un</v>
          </cell>
          <cell r="D847">
            <v>21.11</v>
          </cell>
          <cell r="E847">
            <v>0</v>
          </cell>
          <cell r="F847" t="e">
            <v>#N/A</v>
          </cell>
          <cell r="G847" t="e">
            <v>#N/A</v>
          </cell>
        </row>
        <row r="848">
          <cell r="A848">
            <v>40933</v>
          </cell>
          <cell r="B848" t="str">
            <v>Tachão refletivo monodirecional, fornecimento e aplicação</v>
          </cell>
          <cell r="C848" t="str">
            <v>un</v>
          </cell>
          <cell r="D848">
            <v>49.62</v>
          </cell>
          <cell r="E848">
            <v>0</v>
          </cell>
          <cell r="F848" t="e">
            <v>#N/A</v>
          </cell>
          <cell r="G848" t="e">
            <v>#N/A</v>
          </cell>
        </row>
        <row r="849">
          <cell r="A849">
            <v>40935</v>
          </cell>
          <cell r="B849" t="str">
            <v>Tachão refletivo birrefletorizado, fornecimento e aplicação</v>
          </cell>
          <cell r="C849" t="str">
            <v>un</v>
          </cell>
          <cell r="D849">
            <v>54.86</v>
          </cell>
          <cell r="E849">
            <v>0</v>
          </cell>
          <cell r="F849">
            <v>54.87</v>
          </cell>
          <cell r="G849">
            <v>1.0001822821727999</v>
          </cell>
        </row>
        <row r="850">
          <cell r="A850">
            <v>41359</v>
          </cell>
          <cell r="B850" t="str">
            <v>Tela de proteção de segurança de PVC cor laranja com suporte para sinalização de obras</v>
          </cell>
          <cell r="C850" t="str">
            <v>m</v>
          </cell>
          <cell r="D850">
            <v>22.03</v>
          </cell>
          <cell r="E850" t="str">
            <v>A incluir</v>
          </cell>
          <cell r="F850" t="e">
            <v>#N/A</v>
          </cell>
          <cell r="G850" t="e">
            <v>#N/A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e">
            <v>#N/A</v>
          </cell>
          <cell r="F851" t="e">
            <v>#N/A</v>
          </cell>
          <cell r="G851" t="e">
            <v>#N/A</v>
          </cell>
        </row>
        <row r="852">
          <cell r="A852" t="str">
            <v>Grupo de Serviço: 12 - SERVIÇOS DIVERSOS</v>
          </cell>
          <cell r="B852">
            <v>0</v>
          </cell>
          <cell r="C852">
            <v>0</v>
          </cell>
          <cell r="E852" t="e">
            <v>#N/A</v>
          </cell>
          <cell r="F852" t="e">
            <v>#N/A</v>
          </cell>
          <cell r="G852" t="e">
            <v>#N/A</v>
          </cell>
        </row>
        <row r="853">
          <cell r="A853">
            <v>42878</v>
          </cell>
          <cell r="B853" t="str">
            <v>Aluguel de automóvel VW/ Gol (flex) 1,0 ou equivalente, inclusive combustível, sem motorista</v>
          </cell>
          <cell r="C853" t="str">
            <v>mês</v>
          </cell>
          <cell r="D853">
            <v>4294.37</v>
          </cell>
          <cell r="E853">
            <v>0</v>
          </cell>
          <cell r="F853">
            <v>4294.37</v>
          </cell>
          <cell r="G853">
            <v>1</v>
          </cell>
        </row>
        <row r="854">
          <cell r="A854">
            <v>42888</v>
          </cell>
          <cell r="B854" t="str">
            <v>Aluguel mensal de automóvel utilitário inclusive combustível, exclusive motorista</v>
          </cell>
          <cell r="C854" t="str">
            <v>mês</v>
          </cell>
          <cell r="D854">
            <v>6683.94</v>
          </cell>
          <cell r="E854">
            <v>0</v>
          </cell>
          <cell r="F854" t="e">
            <v>#N/A</v>
          </cell>
          <cell r="G854" t="e">
            <v>#N/A</v>
          </cell>
        </row>
        <row r="855">
          <cell r="A855">
            <v>0</v>
          </cell>
          <cell r="B855">
            <v>0</v>
          </cell>
          <cell r="C855">
            <v>0</v>
          </cell>
          <cell r="E855" t="e">
            <v>#N/A</v>
          </cell>
          <cell r="F855" t="e">
            <v>#N/A</v>
          </cell>
          <cell r="G855" t="e">
            <v>#N/A</v>
          </cell>
        </row>
        <row r="856">
          <cell r="A856" t="str">
            <v>Grupo de Serviço: 15 - CONSERVAÇÃO CORRETIVA ROTINEIRA</v>
          </cell>
          <cell r="B856">
            <v>0</v>
          </cell>
          <cell r="C856">
            <v>0</v>
          </cell>
          <cell r="E856" t="e">
            <v>#N/A</v>
          </cell>
          <cell r="F856" t="e">
            <v>#N/A</v>
          </cell>
          <cell r="G856" t="e">
            <v>#N/A</v>
          </cell>
        </row>
        <row r="857">
          <cell r="A857">
            <v>40981</v>
          </cell>
          <cell r="B857" t="str">
            <v>Aplicação de jato de ar comprimido para limpeza de trincas</v>
          </cell>
          <cell r="C857" t="str">
            <v>m²</v>
          </cell>
          <cell r="D857">
            <v>1.47</v>
          </cell>
          <cell r="E857">
            <v>0</v>
          </cell>
          <cell r="F857" t="e">
            <v>#N/A</v>
          </cell>
          <cell r="G857" t="e">
            <v>#N/A</v>
          </cell>
        </row>
        <row r="858">
          <cell r="A858">
            <v>40101</v>
          </cell>
          <cell r="B858" t="str">
            <v>Arborização (mudas de árvores com altura até 1,50 m)</v>
          </cell>
          <cell r="C858" t="str">
            <v>un</v>
          </cell>
          <cell r="D858">
            <v>134.85</v>
          </cell>
          <cell r="E858">
            <v>0</v>
          </cell>
          <cell r="F858" t="e">
            <v>#N/A</v>
          </cell>
          <cell r="G858" t="e">
            <v>#N/A</v>
          </cell>
        </row>
        <row r="859">
          <cell r="A859">
            <v>40110</v>
          </cell>
          <cell r="B859" t="str">
            <v>Base de solo estabilizada granulométricamente sem mistura inclusive escavação e carga</v>
          </cell>
          <cell r="C859" t="str">
            <v>m³</v>
          </cell>
          <cell r="D859">
            <v>28.33</v>
          </cell>
          <cell r="E859">
            <v>0</v>
          </cell>
          <cell r="F859" t="e">
            <v>#N/A</v>
          </cell>
          <cell r="G859" t="e">
            <v>#N/A</v>
          </cell>
        </row>
        <row r="860">
          <cell r="A860">
            <v>40137</v>
          </cell>
          <cell r="B860" t="str">
            <v>Boca de bueiro tubular em concreto ciclópico inclusive escavação, tudo incluído</v>
          </cell>
          <cell r="C860" t="str">
            <v>un</v>
          </cell>
          <cell r="D860">
            <v>1544.84</v>
          </cell>
          <cell r="E860" t="str">
            <v>A incluir</v>
          </cell>
          <cell r="F860" t="e">
            <v>#N/A</v>
          </cell>
          <cell r="G860" t="e">
            <v>#N/A</v>
          </cell>
        </row>
        <row r="861">
          <cell r="A861">
            <v>40138</v>
          </cell>
          <cell r="B861" t="str">
            <v>Caixa coletora em concreto fck=10,0 MPa inclusive escavação, tudo incluído</v>
          </cell>
          <cell r="C861" t="str">
            <v>un</v>
          </cell>
          <cell r="D861">
            <v>2602.98</v>
          </cell>
          <cell r="E861" t="str">
            <v>A incluir</v>
          </cell>
          <cell r="F861" t="e">
            <v>#N/A</v>
          </cell>
          <cell r="G861" t="e">
            <v>#N/A</v>
          </cell>
        </row>
        <row r="862">
          <cell r="A862">
            <v>43336</v>
          </cell>
          <cell r="B862" t="str">
            <v>Capina manual inclusive, limpeza</v>
          </cell>
          <cell r="C862" t="str">
            <v>m²</v>
          </cell>
          <cell r="D862">
            <v>1.19</v>
          </cell>
          <cell r="E862">
            <v>0</v>
          </cell>
          <cell r="F862" t="e">
            <v>#N/A</v>
          </cell>
          <cell r="G862" t="e">
            <v>#N/A</v>
          </cell>
        </row>
        <row r="863">
          <cell r="A863">
            <v>40980</v>
          </cell>
          <cell r="B863" t="str">
            <v>Carga manual de material de limpeza de galerias urbanas</v>
          </cell>
          <cell r="C863" t="str">
            <v>m³</v>
          </cell>
          <cell r="D863">
            <v>13.51</v>
          </cell>
          <cell r="E863">
            <v>0</v>
          </cell>
          <cell r="F863" t="e">
            <v>#N/A</v>
          </cell>
          <cell r="G863" t="e">
            <v>#N/A</v>
          </cell>
        </row>
        <row r="864">
          <cell r="A864">
            <v>40115</v>
          </cell>
          <cell r="B864" t="str">
            <v>CBUQ - Usinagem, aquisição e transporte dos materiais</v>
          </cell>
          <cell r="C864" t="str">
            <v>t</v>
          </cell>
          <cell r="D864">
            <v>244.61</v>
          </cell>
          <cell r="E864" t="str">
            <v>A incluir</v>
          </cell>
          <cell r="F864" t="e">
            <v>#N/A</v>
          </cell>
          <cell r="G864" t="e">
            <v>#N/A</v>
          </cell>
        </row>
        <row r="865">
          <cell r="A865">
            <v>40104</v>
          </cell>
          <cell r="B865" t="str">
            <v>Cerca com mourões de madeira, inclusive escavação e transporte de mourão e arame farpado</v>
          </cell>
          <cell r="C865" t="str">
            <v>m</v>
          </cell>
          <cell r="D865">
            <v>15.55</v>
          </cell>
          <cell r="E865" t="str">
            <v>A incluir</v>
          </cell>
          <cell r="F865" t="e">
            <v>#N/A</v>
          </cell>
          <cell r="G865" t="e">
            <v>#N/A</v>
          </cell>
        </row>
        <row r="866">
          <cell r="A866">
            <v>40143</v>
          </cell>
          <cell r="B866" t="str">
            <v>Colchão drenante de brita 1, inclusive fornecimento, espalhamento, compactação e transporte da brita</v>
          </cell>
          <cell r="C866" t="str">
            <v>m³</v>
          </cell>
          <cell r="D866">
            <v>96.55</v>
          </cell>
          <cell r="E866" t="str">
            <v>A incluir</v>
          </cell>
          <cell r="F866" t="e">
            <v>#N/A</v>
          </cell>
          <cell r="G866" t="e">
            <v>#N/A</v>
          </cell>
        </row>
        <row r="867">
          <cell r="A867">
            <v>40107</v>
          </cell>
          <cell r="B867" t="str">
            <v>Compactação de aterros 100% PN</v>
          </cell>
          <cell r="C867" t="str">
            <v>m³</v>
          </cell>
          <cell r="D867">
            <v>4.78</v>
          </cell>
          <cell r="E867">
            <v>0</v>
          </cell>
          <cell r="F867" t="e">
            <v>#N/A</v>
          </cell>
          <cell r="G867" t="e">
            <v>#N/A</v>
          </cell>
        </row>
        <row r="868">
          <cell r="A868">
            <v>40108</v>
          </cell>
          <cell r="B868" t="str">
            <v>Compactação de subleito</v>
          </cell>
          <cell r="C868" t="str">
            <v>m²</v>
          </cell>
          <cell r="D868">
            <v>2.33</v>
          </cell>
          <cell r="E868">
            <v>0</v>
          </cell>
          <cell r="F868" t="e">
            <v>#N/A</v>
          </cell>
          <cell r="G868" t="e">
            <v>#N/A</v>
          </cell>
        </row>
        <row r="869">
          <cell r="A869">
            <v>40081</v>
          </cell>
          <cell r="B869" t="str">
            <v>Conformação de taludes de corte</v>
          </cell>
          <cell r="C869" t="str">
            <v>m³</v>
          </cell>
          <cell r="D869">
            <v>7.9</v>
          </cell>
          <cell r="E869">
            <v>0</v>
          </cell>
          <cell r="F869" t="e">
            <v>#N/A</v>
          </cell>
          <cell r="G869" t="e">
            <v>#N/A</v>
          </cell>
        </row>
        <row r="870">
          <cell r="A870">
            <v>40136</v>
          </cell>
          <cell r="B870" t="str">
            <v>Corpo e berço de bueiro tubular, inclusive transporte do tubo</v>
          </cell>
          <cell r="C870" t="str">
            <v>m</v>
          </cell>
          <cell r="D870">
            <v>463.74</v>
          </cell>
          <cell r="E870" t="str">
            <v>A incluir</v>
          </cell>
          <cell r="F870" t="e">
            <v>#N/A</v>
          </cell>
          <cell r="G870" t="e">
            <v>#N/A</v>
          </cell>
        </row>
        <row r="871">
          <cell r="A871">
            <v>40096</v>
          </cell>
          <cell r="B871" t="str">
            <v>Defensas metálicas (espessura lâminas = 3 mm), inclusive fornecimento de materiais, substituição</v>
          </cell>
          <cell r="C871" t="str">
            <v>m</v>
          </cell>
          <cell r="D871">
            <v>309.63</v>
          </cell>
          <cell r="E871">
            <v>0</v>
          </cell>
          <cell r="F871" t="e">
            <v>#N/A</v>
          </cell>
          <cell r="G871" t="e">
            <v>#N/A</v>
          </cell>
        </row>
        <row r="872">
          <cell r="A872">
            <v>40134</v>
          </cell>
          <cell r="B872" t="str">
            <v>Demolição e remoção de estrutura de pavimento inclusive capa asfáltica</v>
          </cell>
          <cell r="C872" t="str">
            <v>m²</v>
          </cell>
          <cell r="D872">
            <v>4.25</v>
          </cell>
          <cell r="E872">
            <v>0</v>
          </cell>
          <cell r="F872" t="e">
            <v>#N/A</v>
          </cell>
          <cell r="G872" t="e">
            <v>#N/A</v>
          </cell>
        </row>
        <row r="873">
          <cell r="A873">
            <v>40105</v>
          </cell>
          <cell r="B873" t="str">
            <v>Desmatamento, destocamento e limpeza</v>
          </cell>
          <cell r="C873" t="str">
            <v>m²</v>
          </cell>
          <cell r="D873">
            <v>0.54</v>
          </cell>
          <cell r="E873">
            <v>0</v>
          </cell>
          <cell r="F873" t="e">
            <v>#N/A</v>
          </cell>
          <cell r="G873" t="e">
            <v>#N/A</v>
          </cell>
        </row>
        <row r="874">
          <cell r="A874">
            <v>40084</v>
          </cell>
          <cell r="B874" t="str">
            <v>Desobstrução manual de valetas</v>
          </cell>
          <cell r="C874" t="str">
            <v>m</v>
          </cell>
          <cell r="D874">
            <v>1.49</v>
          </cell>
          <cell r="E874">
            <v>0</v>
          </cell>
          <cell r="F874" t="e">
            <v>#N/A</v>
          </cell>
          <cell r="G874" t="e">
            <v>#N/A</v>
          </cell>
        </row>
        <row r="875">
          <cell r="A875">
            <v>40144</v>
          </cell>
          <cell r="B875" t="str">
            <v>Dreno profundo D=0,20 m com enchimento brita e areia, tudo incluído</v>
          </cell>
          <cell r="C875" t="str">
            <v>m</v>
          </cell>
          <cell r="D875">
            <v>134.15</v>
          </cell>
          <cell r="E875" t="str">
            <v>A incluir</v>
          </cell>
          <cell r="F875" t="e">
            <v>#N/A</v>
          </cell>
          <cell r="G875" t="e">
            <v>#N/A</v>
          </cell>
        </row>
        <row r="876">
          <cell r="A876">
            <v>40106</v>
          </cell>
          <cell r="B876" t="str">
            <v>Escavação, carga e transporte de material de 1º categoria</v>
          </cell>
          <cell r="C876" t="str">
            <v>m³</v>
          </cell>
          <cell r="D876">
            <v>9</v>
          </cell>
          <cell r="E876" t="str">
            <v>A incluir</v>
          </cell>
          <cell r="F876" t="e">
            <v>#N/A</v>
          </cell>
          <cell r="G876" t="e">
            <v>#N/A</v>
          </cell>
        </row>
        <row r="877">
          <cell r="A877">
            <v>40135</v>
          </cell>
          <cell r="B877" t="str">
            <v>Fresagem de pavimento asfáltico à frio, inclusive transporte do material</v>
          </cell>
          <cell r="C877" t="str">
            <v>m²</v>
          </cell>
          <cell r="D877">
            <v>10.61</v>
          </cell>
          <cell r="E877">
            <v>0</v>
          </cell>
          <cell r="F877" t="e">
            <v>#N/A</v>
          </cell>
          <cell r="G877" t="e">
            <v>#N/A</v>
          </cell>
        </row>
        <row r="878">
          <cell r="A878">
            <v>40111</v>
          </cell>
          <cell r="B878" t="str">
            <v>Imprimação inclusive fornecimento e transporte do CM-30</v>
          </cell>
          <cell r="C878" t="str">
            <v>m²</v>
          </cell>
          <cell r="D878">
            <v>5.59</v>
          </cell>
          <cell r="E878" t="str">
            <v>A incluir</v>
          </cell>
          <cell r="F878" t="e">
            <v>#N/A</v>
          </cell>
          <cell r="G878" t="e">
            <v>#N/A</v>
          </cell>
        </row>
        <row r="879">
          <cell r="A879">
            <v>40126</v>
          </cell>
          <cell r="B879" t="str">
            <v>Lama asfáltica (faixa I - ISSA) (tudo incluído)</v>
          </cell>
          <cell r="C879" t="str">
            <v>m²</v>
          </cell>
          <cell r="D879">
            <v>2.97</v>
          </cell>
          <cell r="E879" t="str">
            <v>A incluir</v>
          </cell>
          <cell r="F879" t="e">
            <v>#N/A</v>
          </cell>
          <cell r="G879" t="e">
            <v>#N/A</v>
          </cell>
        </row>
        <row r="880">
          <cell r="A880">
            <v>40127</v>
          </cell>
          <cell r="B880" t="str">
            <v>Lama asfáltica (faixa II - ISSA) (tudo incluído)</v>
          </cell>
          <cell r="C880" t="str">
            <v>m²</v>
          </cell>
          <cell r="D880">
            <v>3.99</v>
          </cell>
          <cell r="E880" t="str">
            <v>A incluir</v>
          </cell>
          <cell r="F880" t="e">
            <v>#N/A</v>
          </cell>
          <cell r="G880" t="e">
            <v>#N/A</v>
          </cell>
        </row>
        <row r="881">
          <cell r="A881">
            <v>40128</v>
          </cell>
          <cell r="B881" t="str">
            <v>Lama asfáltica (faixa III - ISSA) (tudo incluído)</v>
          </cell>
          <cell r="C881" t="str">
            <v>m²</v>
          </cell>
          <cell r="D881">
            <v>5.17</v>
          </cell>
          <cell r="E881" t="str">
            <v>A incluir</v>
          </cell>
          <cell r="F881" t="e">
            <v>#N/A</v>
          </cell>
          <cell r="G881" t="e">
            <v>#N/A</v>
          </cell>
        </row>
        <row r="882">
          <cell r="A882">
            <v>40129</v>
          </cell>
          <cell r="B882" t="str">
            <v>Lama asfáltica (faixa IV - ISSA) (tudo incluído)</v>
          </cell>
          <cell r="C882" t="str">
            <v>m²</v>
          </cell>
          <cell r="D882">
            <v>6.85</v>
          </cell>
          <cell r="E882" t="str">
            <v>A incluir</v>
          </cell>
          <cell r="F882" t="e">
            <v>#N/A</v>
          </cell>
          <cell r="G882" t="e">
            <v>#N/A</v>
          </cell>
        </row>
        <row r="883">
          <cell r="A883">
            <v>40085</v>
          </cell>
          <cell r="B883" t="str">
            <v>Limpeza de sarjeta e meio-fio</v>
          </cell>
          <cell r="C883" t="str">
            <v>m</v>
          </cell>
          <cell r="D883">
            <v>1.1200000000000001</v>
          </cell>
          <cell r="E883">
            <v>0</v>
          </cell>
          <cell r="F883" t="e">
            <v>#N/A</v>
          </cell>
          <cell r="G883" t="e">
            <v>#N/A</v>
          </cell>
        </row>
        <row r="884">
          <cell r="A884">
            <v>40086</v>
          </cell>
          <cell r="B884" t="str">
            <v>Limpeza e desobstrução de bueiros</v>
          </cell>
          <cell r="C884" t="str">
            <v>m</v>
          </cell>
          <cell r="D884">
            <v>25.28</v>
          </cell>
          <cell r="E884">
            <v>0</v>
          </cell>
          <cell r="F884" t="e">
            <v>#N/A</v>
          </cell>
          <cell r="G884" t="e">
            <v>#N/A</v>
          </cell>
        </row>
        <row r="885">
          <cell r="A885">
            <v>40087</v>
          </cell>
          <cell r="B885" t="str">
            <v>Limpeza e desobstrução de caixa coletora</v>
          </cell>
          <cell r="C885" t="str">
            <v>un</v>
          </cell>
          <cell r="D885">
            <v>93.36</v>
          </cell>
          <cell r="E885">
            <v>0</v>
          </cell>
          <cell r="F885" t="e">
            <v>#N/A</v>
          </cell>
          <cell r="G885" t="e">
            <v>#N/A</v>
          </cell>
        </row>
        <row r="886">
          <cell r="A886">
            <v>40983</v>
          </cell>
          <cell r="B886" t="str">
            <v>Limpeza e desobstrução de rede de drenagem, utilizando caminhão equipado com conjunto de alta pressão e sucção</v>
          </cell>
          <cell r="C886" t="str">
            <v>m</v>
          </cell>
          <cell r="D886">
            <v>7.7</v>
          </cell>
          <cell r="E886">
            <v>0</v>
          </cell>
          <cell r="F886" t="e">
            <v>#N/A</v>
          </cell>
          <cell r="G886" t="e">
            <v>#N/A</v>
          </cell>
        </row>
        <row r="887">
          <cell r="A887">
            <v>40100</v>
          </cell>
          <cell r="B887" t="str">
            <v>Limpeza e pintura de guarda-corpo</v>
          </cell>
          <cell r="C887" t="str">
            <v>m</v>
          </cell>
          <cell r="D887">
            <v>75.260000000000005</v>
          </cell>
          <cell r="E887">
            <v>0</v>
          </cell>
          <cell r="F887" t="e">
            <v>#N/A</v>
          </cell>
          <cell r="G887" t="e">
            <v>#N/A</v>
          </cell>
        </row>
        <row r="888">
          <cell r="A888">
            <v>40141</v>
          </cell>
          <cell r="B888" t="str">
            <v>Meio-fio pré-moldado em concreto, inclusive caiação e transporte do meio-fio</v>
          </cell>
          <cell r="C888" t="str">
            <v>m</v>
          </cell>
          <cell r="D888">
            <v>48.89</v>
          </cell>
          <cell r="E888" t="str">
            <v>A incluir</v>
          </cell>
          <cell r="F888" t="e">
            <v>#N/A</v>
          </cell>
          <cell r="G888" t="e">
            <v>#N/A</v>
          </cell>
        </row>
        <row r="889">
          <cell r="A889">
            <v>40118</v>
          </cell>
          <cell r="B889" t="str">
            <v>Obturação de buracos com CBUQ (tudo incluído)</v>
          </cell>
          <cell r="C889" t="str">
            <v>m²</v>
          </cell>
          <cell r="D889">
            <v>59.34</v>
          </cell>
          <cell r="E889" t="str">
            <v>A incluir</v>
          </cell>
          <cell r="F889" t="e">
            <v>#N/A</v>
          </cell>
          <cell r="G889" t="e">
            <v>#N/A</v>
          </cell>
        </row>
        <row r="890">
          <cell r="A890">
            <v>40116</v>
          </cell>
          <cell r="B890" t="str">
            <v>Obturação de buracos com PMF (tudo incluído)</v>
          </cell>
          <cell r="C890" t="str">
            <v>m²</v>
          </cell>
          <cell r="D890">
            <v>53.6</v>
          </cell>
          <cell r="E890" t="str">
            <v>A incluir</v>
          </cell>
          <cell r="F890" t="e">
            <v>#N/A</v>
          </cell>
          <cell r="G890" t="e">
            <v>#N/A</v>
          </cell>
        </row>
        <row r="891">
          <cell r="A891">
            <v>40117</v>
          </cell>
          <cell r="B891" t="str">
            <v>Obturação de buracos com PMF usinado pelo DER-ES (tudo incluído)</v>
          </cell>
          <cell r="C891" t="str">
            <v>m²</v>
          </cell>
          <cell r="D891">
            <v>35.97</v>
          </cell>
          <cell r="E891" t="str">
            <v>A incluir</v>
          </cell>
          <cell r="F891" t="e">
            <v>#N/A</v>
          </cell>
          <cell r="G891" t="e">
            <v>#N/A</v>
          </cell>
        </row>
        <row r="892">
          <cell r="A892">
            <v>40148</v>
          </cell>
          <cell r="B892" t="str">
            <v>Pintura de dispositivos de drenagem</v>
          </cell>
          <cell r="C892" t="str">
            <v>m</v>
          </cell>
          <cell r="D892">
            <v>2.63</v>
          </cell>
          <cell r="E892">
            <v>0</v>
          </cell>
          <cell r="F892" t="e">
            <v>#N/A</v>
          </cell>
          <cell r="G892" t="e">
            <v>#N/A</v>
          </cell>
        </row>
        <row r="893">
          <cell r="A893">
            <v>40112</v>
          </cell>
          <cell r="B893" t="str">
            <v>Pintura de ligação, inclusive fornecimento e transporte da emulsão</v>
          </cell>
          <cell r="C893" t="str">
            <v>m²</v>
          </cell>
          <cell r="D893">
            <v>1.89</v>
          </cell>
          <cell r="E893" t="str">
            <v>A incluir</v>
          </cell>
          <cell r="F893" t="e">
            <v>#N/A</v>
          </cell>
          <cell r="G893" t="e">
            <v>#N/A</v>
          </cell>
        </row>
        <row r="894">
          <cell r="A894">
            <v>40149</v>
          </cell>
          <cell r="B894" t="str">
            <v>Pintura de pontes a base de cal</v>
          </cell>
          <cell r="C894" t="str">
            <v>m²</v>
          </cell>
          <cell r="D894">
            <v>5.4</v>
          </cell>
          <cell r="E894">
            <v>0</v>
          </cell>
          <cell r="F894" t="e">
            <v>#N/A</v>
          </cell>
          <cell r="G894" t="e">
            <v>#N/A</v>
          </cell>
        </row>
        <row r="895">
          <cell r="A895">
            <v>40094</v>
          </cell>
          <cell r="B895" t="str">
            <v>Placas de sinalização, assentamento</v>
          </cell>
          <cell r="C895" t="str">
            <v>m²</v>
          </cell>
          <cell r="D895">
            <v>74.16</v>
          </cell>
          <cell r="E895">
            <v>0</v>
          </cell>
          <cell r="F895" t="e">
            <v>#N/A</v>
          </cell>
          <cell r="G895" t="e">
            <v>#N/A</v>
          </cell>
        </row>
        <row r="896">
          <cell r="A896">
            <v>40095</v>
          </cell>
          <cell r="B896" t="str">
            <v>Placas de sinalização, inclusive materiais, substituição</v>
          </cell>
          <cell r="C896" t="str">
            <v>m²</v>
          </cell>
          <cell r="D896">
            <v>490.32</v>
          </cell>
          <cell r="E896" t="str">
            <v>A incluir</v>
          </cell>
          <cell r="F896" t="e">
            <v>#N/A</v>
          </cell>
          <cell r="G896" t="e">
            <v>#N/A</v>
          </cell>
        </row>
        <row r="897">
          <cell r="A897">
            <v>40114</v>
          </cell>
          <cell r="B897" t="str">
            <v>PMF - Usinagem, aquisição e transportes dos materiais</v>
          </cell>
          <cell r="C897" t="str">
            <v>t</v>
          </cell>
          <cell r="D897">
            <v>200.5</v>
          </cell>
          <cell r="E897" t="str">
            <v>A incluir</v>
          </cell>
          <cell r="F897" t="e">
            <v>#N/A</v>
          </cell>
          <cell r="G897" t="e">
            <v>#N/A</v>
          </cell>
        </row>
        <row r="898">
          <cell r="A898">
            <v>40130</v>
          </cell>
          <cell r="B898" t="str">
            <v>Recomposição de revestimento c/ CBUQ - Inclusive fornecimento e transporte dos materiais</v>
          </cell>
          <cell r="C898" t="str">
            <v>t</v>
          </cell>
          <cell r="D898">
            <v>263.45999999999998</v>
          </cell>
          <cell r="E898" t="str">
            <v>A incluir</v>
          </cell>
          <cell r="F898" t="e">
            <v>#N/A</v>
          </cell>
          <cell r="G898" t="e">
            <v>#N/A</v>
          </cell>
        </row>
        <row r="899">
          <cell r="A899">
            <v>40131</v>
          </cell>
          <cell r="B899" t="str">
            <v>Recomposição de revestimento c/ PMF - Inclusive fornecimento e transporte dos materiais</v>
          </cell>
          <cell r="C899" t="str">
            <v>t</v>
          </cell>
          <cell r="D899">
            <v>217.46</v>
          </cell>
          <cell r="E899" t="str">
            <v>A incluir</v>
          </cell>
          <cell r="F899" t="e">
            <v>#N/A</v>
          </cell>
          <cell r="G899" t="e">
            <v>#N/A</v>
          </cell>
        </row>
        <row r="900">
          <cell r="A900">
            <v>40083</v>
          </cell>
          <cell r="B900" t="str">
            <v>Recomposição de revestimento primário (tudo incluído)</v>
          </cell>
          <cell r="C900" t="str">
            <v>m²</v>
          </cell>
          <cell r="D900">
            <v>2.25</v>
          </cell>
          <cell r="E900" t="str">
            <v>A incluir</v>
          </cell>
          <cell r="F900" t="e">
            <v>#N/A</v>
          </cell>
          <cell r="G900" t="e">
            <v>#N/A</v>
          </cell>
        </row>
        <row r="901">
          <cell r="A901">
            <v>40079</v>
          </cell>
          <cell r="B901" t="str">
            <v>Recomposição mecânica de aterros</v>
          </cell>
          <cell r="C901" t="str">
            <v>m³</v>
          </cell>
          <cell r="D901">
            <v>20.100000000000001</v>
          </cell>
          <cell r="E901" t="str">
            <v>A incluir</v>
          </cell>
          <cell r="F901" t="e">
            <v>#N/A</v>
          </cell>
          <cell r="G901" t="e">
            <v>#N/A</v>
          </cell>
        </row>
        <row r="902">
          <cell r="A902">
            <v>40082</v>
          </cell>
          <cell r="B902" t="str">
            <v>Reconformação mecânica de plataforma (patrolamento)</v>
          </cell>
          <cell r="C902" t="str">
            <v>m²</v>
          </cell>
          <cell r="D902">
            <v>0.09</v>
          </cell>
          <cell r="E902">
            <v>0</v>
          </cell>
          <cell r="F902" t="e">
            <v>#N/A</v>
          </cell>
          <cell r="G902" t="e">
            <v>#N/A</v>
          </cell>
        </row>
        <row r="903">
          <cell r="A903">
            <v>40119</v>
          </cell>
          <cell r="B903" t="str">
            <v>Remendo com massa asfáltica fria (tudo incluído)</v>
          </cell>
          <cell r="C903" t="str">
            <v>m²</v>
          </cell>
          <cell r="D903">
            <v>27.29</v>
          </cell>
          <cell r="E903" t="str">
            <v>A incluir</v>
          </cell>
          <cell r="F903" t="e">
            <v>#N/A</v>
          </cell>
          <cell r="G903" t="e">
            <v>#N/A</v>
          </cell>
        </row>
        <row r="904">
          <cell r="A904">
            <v>40122</v>
          </cell>
          <cell r="B904" t="str">
            <v>Remendo com massa asfáltica fria (tudo incluído)</v>
          </cell>
          <cell r="C904" t="str">
            <v>t</v>
          </cell>
          <cell r="D904">
            <v>310.02999999999997</v>
          </cell>
          <cell r="E904" t="str">
            <v>A incluir</v>
          </cell>
          <cell r="F904" t="e">
            <v>#N/A</v>
          </cell>
          <cell r="G904" t="e">
            <v>#N/A</v>
          </cell>
        </row>
        <row r="905">
          <cell r="A905">
            <v>40120</v>
          </cell>
          <cell r="B905" t="str">
            <v>Remendo com massa asfáltica fria usinada pelo DER-ES (tudo incluído)</v>
          </cell>
          <cell r="C905" t="str">
            <v>m²</v>
          </cell>
          <cell r="D905">
            <v>9.65</v>
          </cell>
          <cell r="E905" t="str">
            <v>A incluir</v>
          </cell>
          <cell r="F905" t="e">
            <v>#N/A</v>
          </cell>
          <cell r="G905" t="e">
            <v>#N/A</v>
          </cell>
        </row>
        <row r="906">
          <cell r="A906">
            <v>40121</v>
          </cell>
          <cell r="B906" t="str">
            <v>Remendo com massa asfáltica quente (tudo incluído)</v>
          </cell>
          <cell r="C906" t="str">
            <v>m²</v>
          </cell>
          <cell r="D906">
            <v>33.020000000000003</v>
          </cell>
          <cell r="E906" t="str">
            <v>A incluir</v>
          </cell>
          <cell r="F906" t="e">
            <v>#N/A</v>
          </cell>
          <cell r="G906" t="e">
            <v>#N/A</v>
          </cell>
        </row>
        <row r="907">
          <cell r="A907">
            <v>40123</v>
          </cell>
          <cell r="B907" t="str">
            <v>Remendo com massa asfáltica quente (tudo incluído)</v>
          </cell>
          <cell r="C907" t="str">
            <v>t</v>
          </cell>
          <cell r="D907">
            <v>349.71</v>
          </cell>
          <cell r="E907" t="str">
            <v>A incluir</v>
          </cell>
          <cell r="F907" t="e">
            <v>#N/A</v>
          </cell>
          <cell r="G907" t="e">
            <v>#N/A</v>
          </cell>
        </row>
        <row r="908">
          <cell r="A908">
            <v>40080</v>
          </cell>
          <cell r="B908" t="str">
            <v>Remoção mecânica de barreiras</v>
          </cell>
          <cell r="C908" t="str">
            <v>m³</v>
          </cell>
          <cell r="D908">
            <v>1.44</v>
          </cell>
          <cell r="E908" t="str">
            <v>A incluir</v>
          </cell>
          <cell r="F908" t="e">
            <v>#N/A</v>
          </cell>
          <cell r="G908" t="e">
            <v>#N/A</v>
          </cell>
        </row>
        <row r="909">
          <cell r="A909">
            <v>40089</v>
          </cell>
          <cell r="B909" t="str">
            <v>Reparo de bueiros celulares (inclusive boca)</v>
          </cell>
          <cell r="C909" t="str">
            <v>un</v>
          </cell>
          <cell r="D909">
            <v>1732.43</v>
          </cell>
          <cell r="E909" t="str">
            <v>A incluir</v>
          </cell>
          <cell r="F909" t="e">
            <v>#N/A</v>
          </cell>
          <cell r="G909" t="e">
            <v>#N/A</v>
          </cell>
        </row>
        <row r="910">
          <cell r="A910">
            <v>40088</v>
          </cell>
          <cell r="B910" t="str">
            <v>Reparo de bueiros tubulares</v>
          </cell>
          <cell r="C910" t="str">
            <v>un</v>
          </cell>
          <cell r="D910">
            <v>691.25</v>
          </cell>
          <cell r="E910" t="str">
            <v>A incluir</v>
          </cell>
          <cell r="F910" t="e">
            <v>#N/A</v>
          </cell>
          <cell r="G910" t="e">
            <v>#N/A</v>
          </cell>
        </row>
        <row r="911">
          <cell r="A911">
            <v>40092</v>
          </cell>
          <cell r="B911" t="str">
            <v>Reparo de caixa coletora</v>
          </cell>
          <cell r="C911" t="str">
            <v>un</v>
          </cell>
          <cell r="D911">
            <v>276.52999999999997</v>
          </cell>
          <cell r="E911" t="str">
            <v>A incluir</v>
          </cell>
          <cell r="F911" t="e">
            <v>#N/A</v>
          </cell>
          <cell r="G911" t="e">
            <v>#N/A</v>
          </cell>
        </row>
        <row r="912">
          <cell r="A912">
            <v>40078</v>
          </cell>
          <cell r="B912" t="str">
            <v>Reparo de cerca ( substituição de mourões, grampo e arame farpado), inclusive transportes de todos os materiais</v>
          </cell>
          <cell r="C912" t="str">
            <v>m</v>
          </cell>
          <cell r="D912">
            <v>7.05</v>
          </cell>
          <cell r="E912" t="str">
            <v>A incluir</v>
          </cell>
          <cell r="F912" t="e">
            <v>#N/A</v>
          </cell>
          <cell r="G912" t="e">
            <v>#N/A</v>
          </cell>
        </row>
        <row r="913">
          <cell r="A913">
            <v>40097</v>
          </cell>
          <cell r="B913" t="str">
            <v>Reparo de guarda-corpo</v>
          </cell>
          <cell r="C913" t="str">
            <v>m</v>
          </cell>
          <cell r="D913">
            <v>107.97</v>
          </cell>
          <cell r="E913">
            <v>0</v>
          </cell>
          <cell r="F913" t="e">
            <v>#N/A</v>
          </cell>
          <cell r="G913" t="e">
            <v>#N/A</v>
          </cell>
        </row>
        <row r="914">
          <cell r="A914">
            <v>40090</v>
          </cell>
          <cell r="B914" t="str">
            <v>Reparo de meio-fio, inclusive caiação</v>
          </cell>
          <cell r="C914" t="str">
            <v>m</v>
          </cell>
          <cell r="D914">
            <v>28.31</v>
          </cell>
          <cell r="E914" t="str">
            <v>A incluir</v>
          </cell>
          <cell r="F914" t="e">
            <v>#N/A</v>
          </cell>
          <cell r="G914" t="e">
            <v>#N/A</v>
          </cell>
        </row>
        <row r="915">
          <cell r="A915">
            <v>40099</v>
          </cell>
          <cell r="B915" t="str">
            <v>Reparo de muros de arrimo</v>
          </cell>
          <cell r="C915" t="str">
            <v>m³</v>
          </cell>
          <cell r="D915">
            <v>684.19</v>
          </cell>
          <cell r="E915" t="str">
            <v>A incluir</v>
          </cell>
          <cell r="F915" t="e">
            <v>#N/A</v>
          </cell>
          <cell r="G915" t="e">
            <v>#N/A</v>
          </cell>
        </row>
        <row r="916">
          <cell r="A916">
            <v>40091</v>
          </cell>
          <cell r="B916" t="str">
            <v>Reparo de sarjeta, inclusive caiação</v>
          </cell>
          <cell r="C916" t="str">
            <v>m</v>
          </cell>
          <cell r="D916">
            <v>38.35</v>
          </cell>
          <cell r="E916" t="str">
            <v>A incluir</v>
          </cell>
          <cell r="F916" t="e">
            <v>#N/A</v>
          </cell>
          <cell r="G916" t="e">
            <v>#N/A</v>
          </cell>
        </row>
        <row r="917">
          <cell r="A917">
            <v>40093</v>
          </cell>
          <cell r="B917" t="str">
            <v>Retirada de placas de sinalização</v>
          </cell>
          <cell r="C917" t="str">
            <v>m²</v>
          </cell>
          <cell r="D917">
            <v>67.11</v>
          </cell>
          <cell r="E917">
            <v>0</v>
          </cell>
          <cell r="F917" t="e">
            <v>#N/A</v>
          </cell>
          <cell r="G917" t="e">
            <v>#N/A</v>
          </cell>
        </row>
        <row r="918">
          <cell r="A918">
            <v>43353</v>
          </cell>
          <cell r="B918" t="str">
            <v>Roçada manual com roçadeira costal, ferramentas manuais, inclusive limpeza e remoção com retroescavadeira (conservação)</v>
          </cell>
          <cell r="C918" t="str">
            <v>m²</v>
          </cell>
          <cell r="D918">
            <v>0.59</v>
          </cell>
          <cell r="E918">
            <v>0</v>
          </cell>
          <cell r="F918" t="e">
            <v>#N/A</v>
          </cell>
          <cell r="G918" t="e">
            <v>#N/A</v>
          </cell>
        </row>
        <row r="919">
          <cell r="A919">
            <v>43337</v>
          </cell>
          <cell r="B919" t="str">
            <v>Roçada manual com roçadeira costal, ferramentas manuais, inclusive limpeza manual ( conservação)</v>
          </cell>
          <cell r="C919" t="str">
            <v>m²</v>
          </cell>
          <cell r="D919">
            <v>0.51</v>
          </cell>
          <cell r="E919">
            <v>0</v>
          </cell>
          <cell r="F919" t="e">
            <v>#N/A</v>
          </cell>
          <cell r="G919" t="e">
            <v>#N/A</v>
          </cell>
        </row>
        <row r="920">
          <cell r="A920">
            <v>40077</v>
          </cell>
          <cell r="B920" t="str">
            <v>Roçada mecanizada</v>
          </cell>
          <cell r="C920" t="str">
            <v>m²</v>
          </cell>
          <cell r="D920">
            <v>0.18</v>
          </cell>
          <cell r="E920">
            <v>0</v>
          </cell>
          <cell r="F920" t="e">
            <v>#N/A</v>
          </cell>
          <cell r="G920" t="e">
            <v>#N/A</v>
          </cell>
        </row>
        <row r="921">
          <cell r="A921">
            <v>40142</v>
          </cell>
          <cell r="B921" t="str">
            <v>Sarjeta em concreto fck=10,0 MPa inclusive caiação, tudo incluído</v>
          </cell>
          <cell r="C921" t="str">
            <v>m</v>
          </cell>
          <cell r="D921">
            <v>89.76</v>
          </cell>
          <cell r="E921" t="str">
            <v>A incluir</v>
          </cell>
          <cell r="F921" t="e">
            <v>#N/A</v>
          </cell>
          <cell r="G921" t="e">
            <v>#N/A</v>
          </cell>
        </row>
        <row r="922">
          <cell r="A922">
            <v>40124</v>
          </cell>
          <cell r="B922" t="str">
            <v>Selagem de trincas, inclusive transporte de areia e emulsão</v>
          </cell>
          <cell r="C922" t="str">
            <v>m²</v>
          </cell>
          <cell r="D922">
            <v>7.79</v>
          </cell>
          <cell r="E922" t="str">
            <v>A incluir</v>
          </cell>
          <cell r="F922" t="e">
            <v>#N/A</v>
          </cell>
          <cell r="G922" t="e">
            <v>#N/A</v>
          </cell>
        </row>
        <row r="923">
          <cell r="A923">
            <v>40146</v>
          </cell>
          <cell r="B923" t="str">
            <v>Sinalização horizontal - taxa 0,6 l/m², tudo incluído</v>
          </cell>
          <cell r="C923" t="str">
            <v>m²</v>
          </cell>
          <cell r="D923">
            <v>15.23</v>
          </cell>
          <cell r="E923" t="str">
            <v>A incluir</v>
          </cell>
          <cell r="F923" t="e">
            <v>#N/A</v>
          </cell>
          <cell r="G923" t="e">
            <v>#N/A</v>
          </cell>
        </row>
        <row r="924">
          <cell r="A924">
            <v>40145</v>
          </cell>
          <cell r="B924" t="str">
            <v>Sinalização vertical, inclusive transporte de placa sinalização e madeira</v>
          </cell>
          <cell r="C924" t="str">
            <v>m²</v>
          </cell>
          <cell r="D924">
            <v>412.18</v>
          </cell>
          <cell r="E924" t="str">
            <v>A incluir</v>
          </cell>
          <cell r="F924" t="e">
            <v>#N/A</v>
          </cell>
          <cell r="G924" t="e">
            <v>#N/A</v>
          </cell>
        </row>
        <row r="925">
          <cell r="A925">
            <v>40109</v>
          </cell>
          <cell r="B925" t="str">
            <v>Sub-base de solo estabilizada granulométricamente sem mistura inclusive escavação e carga</v>
          </cell>
          <cell r="C925" t="str">
            <v>m³</v>
          </cell>
          <cell r="D925">
            <v>24.91</v>
          </cell>
          <cell r="E925">
            <v>0</v>
          </cell>
          <cell r="F925" t="e">
            <v>#N/A</v>
          </cell>
          <cell r="G925" t="e">
            <v>#N/A</v>
          </cell>
        </row>
        <row r="926">
          <cell r="A926">
            <v>40125</v>
          </cell>
          <cell r="B926" t="str">
            <v>Tapa-panela, inclusive transporte de material de 1ª categoria</v>
          </cell>
          <cell r="C926" t="str">
            <v>m²</v>
          </cell>
          <cell r="D926">
            <v>10.64</v>
          </cell>
          <cell r="E926" t="str">
            <v>A incluir</v>
          </cell>
          <cell r="F926" t="e">
            <v>#N/A</v>
          </cell>
          <cell r="G926" t="e">
            <v>#N/A</v>
          </cell>
        </row>
        <row r="927">
          <cell r="A927">
            <v>40113</v>
          </cell>
          <cell r="B927" t="str">
            <v>TSD - Tratamento superficial duplo incl. transporte dos materiais</v>
          </cell>
          <cell r="C927" t="str">
            <v>m²</v>
          </cell>
          <cell r="D927">
            <v>12.15</v>
          </cell>
          <cell r="E927" t="str">
            <v>A incluir</v>
          </cell>
          <cell r="F927" t="e">
            <v>#N/A</v>
          </cell>
          <cell r="G927" t="e">
            <v>#N/A</v>
          </cell>
        </row>
        <row r="928">
          <cell r="A928">
            <v>40140</v>
          </cell>
          <cell r="B928" t="str">
            <v>Valeta em concreto fck=10,0 MPa, tudo incluído</v>
          </cell>
          <cell r="C928" t="str">
            <v>m</v>
          </cell>
          <cell r="D928">
            <v>90.99</v>
          </cell>
          <cell r="E928" t="str">
            <v>A incluir</v>
          </cell>
          <cell r="F928" t="e">
            <v>#N/A</v>
          </cell>
          <cell r="G928" t="e">
            <v>#N/A</v>
          </cell>
        </row>
        <row r="929">
          <cell r="A929">
            <v>40139</v>
          </cell>
          <cell r="B929" t="str">
            <v>Valeta não revestida</v>
          </cell>
          <cell r="C929" t="str">
            <v>m</v>
          </cell>
          <cell r="D929">
            <v>9.52</v>
          </cell>
          <cell r="E929">
            <v>0</v>
          </cell>
          <cell r="F929" t="e">
            <v>#N/A</v>
          </cell>
          <cell r="G929" t="e">
            <v>#N/A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e">
            <v>#N/A</v>
          </cell>
          <cell r="F930" t="e">
            <v>#N/A</v>
          </cell>
        </row>
        <row r="931">
          <cell r="A931" t="str">
            <v>Grupo de Serviço: 18 - ALUGUEL DE EQUIPAMENTOS</v>
          </cell>
          <cell r="B931">
            <v>0</v>
          </cell>
          <cell r="C931">
            <v>0</v>
          </cell>
          <cell r="D931">
            <v>0</v>
          </cell>
          <cell r="E931" t="e">
            <v>#N/A</v>
          </cell>
          <cell r="F931" t="e">
            <v>#N/A</v>
          </cell>
        </row>
        <row r="932">
          <cell r="A932">
            <v>42186</v>
          </cell>
          <cell r="B932" t="str">
            <v>Aluguel mensal de barco de alumínio 4,20 m com motor 15 HP (equipamentos)</v>
          </cell>
          <cell r="C932" t="str">
            <v>mês</v>
          </cell>
          <cell r="D932">
            <v>2372.67</v>
          </cell>
          <cell r="E932">
            <v>0</v>
          </cell>
          <cell r="F932" t="e">
            <v>#N/A</v>
          </cell>
          <cell r="G932" t="e">
            <v>#N/A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 t="e">
            <v>#N/A</v>
          </cell>
        </row>
        <row r="934">
          <cell r="A934" t="str">
            <v>Grupo de Serviço: 32 - INFRA E MESO-ESTRUTURA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 t="e">
            <v>#N/A</v>
          </cell>
        </row>
        <row r="935">
          <cell r="A935">
            <v>41352</v>
          </cell>
          <cell r="B935" t="str">
            <v>Arrasamento estaca concreto D = 0,80 m com martelete pneumático</v>
          </cell>
          <cell r="C935" t="str">
            <v>un</v>
          </cell>
          <cell r="D935">
            <v>127.3</v>
          </cell>
          <cell r="E935">
            <v>0</v>
          </cell>
          <cell r="F935" t="e">
            <v>#N/A</v>
          </cell>
          <cell r="G935" t="e">
            <v>#N/A</v>
          </cell>
        </row>
        <row r="936">
          <cell r="A936">
            <v>41340</v>
          </cell>
          <cell r="B936" t="str">
            <v>Encamisamento metálico de estacas, diâmetro 380mm em chapa de 6.3mm, preenchido c/ concreto auto adensável (20MPa)</v>
          </cell>
          <cell r="C936" t="str">
            <v>m</v>
          </cell>
          <cell r="D936">
            <v>622.4</v>
          </cell>
          <cell r="E936">
            <v>0</v>
          </cell>
          <cell r="F936" t="e">
            <v>#N/A</v>
          </cell>
          <cell r="G936" t="e">
            <v>#N/A</v>
          </cell>
        </row>
        <row r="937">
          <cell r="A937">
            <v>40331</v>
          </cell>
          <cell r="B937" t="str">
            <v>Escoramento para blocos submersos, inclusive transporte da madeira</v>
          </cell>
          <cell r="C937" t="str">
            <v>m²</v>
          </cell>
          <cell r="D937">
            <v>78.27</v>
          </cell>
          <cell r="E937" t="str">
            <v>A incluir</v>
          </cell>
          <cell r="F937" t="e">
            <v>#N/A</v>
          </cell>
          <cell r="G937" t="e">
            <v>#N/A</v>
          </cell>
        </row>
        <row r="938">
          <cell r="A938">
            <v>40403</v>
          </cell>
          <cell r="B938" t="str">
            <v>Estaca de eucalipto D= 0,20 m, fornecimento, transporte, cravação e perda</v>
          </cell>
          <cell r="C938" t="str">
            <v>m</v>
          </cell>
          <cell r="D938">
            <v>163.15</v>
          </cell>
          <cell r="E938" t="str">
            <v>A incluir</v>
          </cell>
          <cell r="F938" t="e">
            <v>#N/A</v>
          </cell>
          <cell r="G938" t="e">
            <v>#N/A</v>
          </cell>
        </row>
        <row r="939">
          <cell r="A939">
            <v>40405</v>
          </cell>
          <cell r="B939" t="str">
            <v>Estaca metálica dupla exclusive fornecimento de trilhos</v>
          </cell>
          <cell r="C939" t="str">
            <v>m</v>
          </cell>
          <cell r="D939">
            <v>221.47</v>
          </cell>
          <cell r="E939">
            <v>0</v>
          </cell>
          <cell r="F939" t="e">
            <v>#N/A</v>
          </cell>
          <cell r="G939" t="e">
            <v>#N/A</v>
          </cell>
        </row>
        <row r="940">
          <cell r="A940">
            <v>40408</v>
          </cell>
          <cell r="B940" t="str">
            <v>Estaca metálica, fornecimento, transporte, perdas, solda, emenda, corte e cravação de TR- 68</v>
          </cell>
          <cell r="C940" t="str">
            <v>m</v>
          </cell>
          <cell r="D940">
            <v>409.21</v>
          </cell>
          <cell r="E940" t="str">
            <v>A incluir</v>
          </cell>
          <cell r="F940" t="e">
            <v>#N/A</v>
          </cell>
          <cell r="G940" t="e">
            <v>#N/A</v>
          </cell>
        </row>
        <row r="941">
          <cell r="A941">
            <v>40406</v>
          </cell>
          <cell r="B941" t="str">
            <v>Estaca metálica, fornecimento, transporte, perdas, solda, emenda, corte e cravação de trilho TR- 57</v>
          </cell>
          <cell r="C941" t="str">
            <v>m</v>
          </cell>
          <cell r="D941">
            <v>373.32</v>
          </cell>
          <cell r="E941" t="str">
            <v>A incluir</v>
          </cell>
          <cell r="F941" t="e">
            <v>#N/A</v>
          </cell>
          <cell r="G941" t="e">
            <v>#N/A</v>
          </cell>
        </row>
        <row r="942">
          <cell r="A942">
            <v>40407</v>
          </cell>
          <cell r="B942" t="str">
            <v>Estaca metálica, fornecimento, transporte, perdas, solda, emenda, corte e cravação de 2 TR- 57</v>
          </cell>
          <cell r="C942" t="str">
            <v>m</v>
          </cell>
          <cell r="D942">
            <v>638.97</v>
          </cell>
          <cell r="E942" t="str">
            <v>A incluir</v>
          </cell>
          <cell r="F942" t="e">
            <v>#N/A</v>
          </cell>
          <cell r="G942" t="e">
            <v>#N/A</v>
          </cell>
        </row>
        <row r="943">
          <cell r="A943">
            <v>40409</v>
          </cell>
          <cell r="B943" t="str">
            <v>Estaca metálica, fornecimento, transporte, perdas, solda, emenda, corte e cravação de 2 TR- 68</v>
          </cell>
          <cell r="C943" t="str">
            <v>m</v>
          </cell>
          <cell r="D943">
            <v>710.75</v>
          </cell>
          <cell r="E943" t="str">
            <v>A incluir</v>
          </cell>
          <cell r="F943" t="e">
            <v>#N/A</v>
          </cell>
          <cell r="G943" t="e">
            <v>#N/A</v>
          </cell>
        </row>
        <row r="944">
          <cell r="A944">
            <v>40404</v>
          </cell>
          <cell r="B944" t="str">
            <v>Estaca metálica simples exclusive fornecimento de trilhos</v>
          </cell>
          <cell r="C944" t="str">
            <v>m</v>
          </cell>
          <cell r="D944">
            <v>151.41999999999999</v>
          </cell>
          <cell r="E944">
            <v>0</v>
          </cell>
          <cell r="F944" t="e">
            <v>#N/A</v>
          </cell>
          <cell r="G944" t="e">
            <v>#N/A</v>
          </cell>
        </row>
        <row r="945">
          <cell r="A945">
            <v>42051</v>
          </cell>
          <cell r="B945" t="str">
            <v>Estaca raiz perfurada em rocha, diâm. 310mm com injeção de arg. incl. fornecimento de todos materiais</v>
          </cell>
          <cell r="C945" t="str">
            <v>m</v>
          </cell>
          <cell r="D945">
            <v>1007.47</v>
          </cell>
          <cell r="E945" t="str">
            <v>A incluir</v>
          </cell>
          <cell r="F945" t="e">
            <v>#N/A</v>
          </cell>
          <cell r="G945" t="e">
            <v>#N/A</v>
          </cell>
        </row>
        <row r="946">
          <cell r="A946">
            <v>42052</v>
          </cell>
          <cell r="B946" t="str">
            <v>Estaca raiz perfurada em solo, diâm. 410mm com injeção de arg. incl. fornecimento de todos materiais</v>
          </cell>
          <cell r="C946" t="str">
            <v>m</v>
          </cell>
          <cell r="D946">
            <v>569.72</v>
          </cell>
          <cell r="E946" t="str">
            <v>A incluir</v>
          </cell>
          <cell r="F946" t="e">
            <v>#N/A</v>
          </cell>
          <cell r="G946" t="e">
            <v>#N/A</v>
          </cell>
        </row>
        <row r="947">
          <cell r="A947">
            <v>40410</v>
          </cell>
          <cell r="B947" t="str">
            <v>Estaca tipo Franki D = 520 mm</v>
          </cell>
          <cell r="C947" t="str">
            <v>m</v>
          </cell>
          <cell r="D947">
            <v>366.37</v>
          </cell>
          <cell r="E947" t="str">
            <v>A incluir</v>
          </cell>
          <cell r="F947" t="e">
            <v>#N/A</v>
          </cell>
          <cell r="G947" t="e">
            <v>#N/A</v>
          </cell>
        </row>
        <row r="948">
          <cell r="A948">
            <v>40309</v>
          </cell>
          <cell r="B948" t="str">
            <v>Formas planas de madeira sem reaproveitamento (fundações), inclusive fornecimento e transporte das madeiras</v>
          </cell>
          <cell r="C948" t="str">
            <v>m²</v>
          </cell>
          <cell r="D948">
            <v>164.69</v>
          </cell>
          <cell r="E948" t="str">
            <v>A incluir</v>
          </cell>
          <cell r="F948" t="e">
            <v>#N/A</v>
          </cell>
          <cell r="G948" t="e">
            <v>#N/A</v>
          </cell>
        </row>
        <row r="949">
          <cell r="A949">
            <v>41258</v>
          </cell>
          <cell r="B949" t="str">
            <v>Perfuração rotativa inclinada, em solo, com coroa de Widia, diâmetro 150mm</v>
          </cell>
          <cell r="C949" t="str">
            <v>m</v>
          </cell>
          <cell r="D949">
            <v>196.14</v>
          </cell>
          <cell r="E949">
            <v>0</v>
          </cell>
          <cell r="F949" t="e">
            <v>#N/A</v>
          </cell>
          <cell r="G949" t="e">
            <v>#N/A</v>
          </cell>
        </row>
        <row r="950">
          <cell r="A950">
            <v>41034</v>
          </cell>
          <cell r="B950" t="str">
            <v>Perfuração rotativa inclinada, em solo, com coroa de Widia, diâmetro 75mm</v>
          </cell>
          <cell r="C950" t="str">
            <v>m</v>
          </cell>
          <cell r="D950">
            <v>150.86000000000001</v>
          </cell>
          <cell r="E950">
            <v>0</v>
          </cell>
          <cell r="F950" t="e">
            <v>#N/A</v>
          </cell>
          <cell r="G950" t="e">
            <v>#N/A</v>
          </cell>
        </row>
        <row r="951">
          <cell r="A951">
            <v>41026</v>
          </cell>
          <cell r="B951" t="str">
            <v>Perfuração rotativa vertical, em solo, com coroa de Widia ou similar, diâmetro H(99mm), inclusive deslocamento e posicionamento em cada furo</v>
          </cell>
          <cell r="C951" t="str">
            <v>m</v>
          </cell>
          <cell r="D951">
            <v>127.57</v>
          </cell>
          <cell r="E951">
            <v>0</v>
          </cell>
          <cell r="F951" t="e">
            <v>#N/A</v>
          </cell>
          <cell r="G951" t="e">
            <v>#N/A</v>
          </cell>
        </row>
        <row r="952">
          <cell r="A952">
            <v>41022</v>
          </cell>
          <cell r="B952" t="str">
            <v>Perfuração rotativa vertical, em solo, com coroa de Widia ou similar, diâmetro N(75mm), inclusive deslocamento e posicionamento em cada furo</v>
          </cell>
          <cell r="C952" t="str">
            <v>m</v>
          </cell>
          <cell r="D952">
            <v>119.07</v>
          </cell>
          <cell r="E952">
            <v>0</v>
          </cell>
          <cell r="F952" t="e">
            <v>#N/A</v>
          </cell>
          <cell r="G952" t="e">
            <v>#N/A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A954" t="str">
            <v>Grupo de Serviço: 33 - SUPER-ESTRUTURA</v>
          </cell>
          <cell r="B954">
            <v>0</v>
          </cell>
          <cell r="C954">
            <v>0</v>
          </cell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A955">
            <v>41403</v>
          </cell>
          <cell r="B955" t="str">
            <v>Passarela metálica p/ pontes rodoviárias com 1,0m de largura, piso em chapa xadez esp 1/4", em perfis laminados, inclusive pintura</v>
          </cell>
          <cell r="C955" t="str">
            <v>m</v>
          </cell>
          <cell r="D955">
            <v>756.17</v>
          </cell>
          <cell r="E955">
            <v>0</v>
          </cell>
          <cell r="F955" t="e">
            <v>#N/A</v>
          </cell>
          <cell r="G955" t="e">
            <v>#N/A</v>
          </cell>
        </row>
        <row r="956">
          <cell r="A956">
            <v>40398</v>
          </cell>
          <cell r="B956" t="str">
            <v>Placas pré-moldadas para forma de tabuleiro de ponte</v>
          </cell>
          <cell r="C956" t="str">
            <v>m²</v>
          </cell>
          <cell r="D956">
            <v>170.09</v>
          </cell>
          <cell r="E956">
            <v>0</v>
          </cell>
          <cell r="F956" t="e">
            <v>#N/A</v>
          </cell>
          <cell r="G956" t="e">
            <v>#N/A</v>
          </cell>
        </row>
        <row r="957">
          <cell r="A957">
            <v>41036</v>
          </cell>
          <cell r="B957" t="str">
            <v>Remoção de superestrutura de pontes com auxilio de guindaste para 40 toneladas</v>
          </cell>
          <cell r="C957" t="str">
            <v>t</v>
          </cell>
          <cell r="D957">
            <v>99.11</v>
          </cell>
          <cell r="E957">
            <v>0</v>
          </cell>
          <cell r="F957" t="e">
            <v>#N/A</v>
          </cell>
          <cell r="G957" t="e">
            <v>#N/A</v>
          </cell>
        </row>
        <row r="958">
          <cell r="A958">
            <v>41423</v>
          </cell>
          <cell r="B958" t="str">
            <v>Tabuleiro em vigas pré-moldadas CL.45, com ou sem laje entre vigas, vão de 10,00 m, inclusive descarga e assentamento das vigas</v>
          </cell>
          <cell r="C958" t="str">
            <v>m²</v>
          </cell>
          <cell r="D958">
            <v>2818.86</v>
          </cell>
          <cell r="E958">
            <v>0</v>
          </cell>
          <cell r="F958" t="e">
            <v>#N/A</v>
          </cell>
          <cell r="G958" t="e">
            <v>#N/A</v>
          </cell>
        </row>
        <row r="959">
          <cell r="A959">
            <v>41424</v>
          </cell>
          <cell r="B959" t="str">
            <v>Tabuleiro em vigas pré-moldadas CL.45, com ou sem laje entre vigas, vão de 11,00 m, inclusive descarga e assentamento das vigas</v>
          </cell>
          <cell r="C959" t="str">
            <v>m²</v>
          </cell>
          <cell r="D959">
            <v>2774.2</v>
          </cell>
          <cell r="E959">
            <v>0</v>
          </cell>
          <cell r="F959" t="e">
            <v>#N/A</v>
          </cell>
          <cell r="G959" t="e">
            <v>#N/A</v>
          </cell>
        </row>
        <row r="960">
          <cell r="A960">
            <v>41425</v>
          </cell>
          <cell r="B960" t="str">
            <v>Tabuleiro em vigas pré-moldadas CL.45, com ou sem laje entre vigas, vão de 12,00 m, inclusive descarga e assentamento das vigas</v>
          </cell>
          <cell r="C960" t="str">
            <v>m²</v>
          </cell>
          <cell r="D960">
            <v>3047.68</v>
          </cell>
          <cell r="E960">
            <v>0</v>
          </cell>
          <cell r="F960" t="e">
            <v>#N/A</v>
          </cell>
          <cell r="G960" t="e">
            <v>#N/A</v>
          </cell>
        </row>
        <row r="961">
          <cell r="A961">
            <v>41426</v>
          </cell>
          <cell r="B961" t="str">
            <v>Tabuleiro em vigas pré-moldadas CL.45, com ou sem laje entre vigas, vão de 13,00 m, inclusive descarga e assentamento das vigas</v>
          </cell>
          <cell r="C961" t="str">
            <v>m²</v>
          </cell>
          <cell r="D961">
            <v>3182.92</v>
          </cell>
          <cell r="E961">
            <v>0</v>
          </cell>
          <cell r="F961" t="e">
            <v>#N/A</v>
          </cell>
          <cell r="G961" t="e">
            <v>#N/A</v>
          </cell>
        </row>
        <row r="962">
          <cell r="A962">
            <v>41428</v>
          </cell>
          <cell r="B962" t="str">
            <v>Tabuleiro em vigas pré-moldadas CL.45, com ou sem laje entre vigas, vão de 15,00 m, inclusive descarga e assentamento das vigas</v>
          </cell>
          <cell r="C962" t="str">
            <v>m²</v>
          </cell>
          <cell r="D962">
            <v>3304.21</v>
          </cell>
          <cell r="E962">
            <v>0</v>
          </cell>
          <cell r="F962" t="e">
            <v>#N/A</v>
          </cell>
          <cell r="G962" t="e">
            <v>#N/A</v>
          </cell>
        </row>
        <row r="963">
          <cell r="A963">
            <v>41417</v>
          </cell>
          <cell r="B963" t="str">
            <v>Tabuleiro em vigas pré-moldadas CL.45, com ou sem laje entre vigas, vão de 4,00 m, inclusive descarga e assentamento das vigas</v>
          </cell>
          <cell r="C963" t="str">
            <v>m²</v>
          </cell>
          <cell r="D963">
            <v>2111.67</v>
          </cell>
          <cell r="E963">
            <v>0</v>
          </cell>
          <cell r="F963" t="e">
            <v>#N/A</v>
          </cell>
          <cell r="G963" t="e">
            <v>#N/A</v>
          </cell>
        </row>
        <row r="964">
          <cell r="A964">
            <v>41418</v>
          </cell>
          <cell r="B964" t="str">
            <v>Tabuleiro em vigas pré-moldadas CL.45, com ou sem laje entre vigas, vão de 5,00 m, inclusive descarga e assentamento das vigas</v>
          </cell>
          <cell r="C964" t="str">
            <v>m²</v>
          </cell>
          <cell r="D964">
            <v>2149.4499999999998</v>
          </cell>
          <cell r="E964">
            <v>0</v>
          </cell>
          <cell r="F964" t="e">
            <v>#N/A</v>
          </cell>
          <cell r="G964" t="e">
            <v>#N/A</v>
          </cell>
        </row>
        <row r="965">
          <cell r="A965">
            <v>41419</v>
          </cell>
          <cell r="B965" t="str">
            <v>Tabuleiro em vigas pré-moldadas CL.45, com ou sem laje entre vigas, vão de 6,00 m, inclusive descarga e assentamento das vigas</v>
          </cell>
          <cell r="C965" t="str">
            <v>m²</v>
          </cell>
          <cell r="D965">
            <v>2220.1999999999998</v>
          </cell>
          <cell r="E965">
            <v>0</v>
          </cell>
          <cell r="F965" t="e">
            <v>#N/A</v>
          </cell>
          <cell r="G965" t="e">
            <v>#N/A</v>
          </cell>
        </row>
        <row r="966">
          <cell r="A966">
            <v>41420</v>
          </cell>
          <cell r="B966" t="str">
            <v>Tabuleiro em vigas pré-moldadas CL.45, com ou sem laje entre vigas, vão de 7,00 m, inclusive descarga e assentamento das vigas</v>
          </cell>
          <cell r="C966" t="str">
            <v>m²</v>
          </cell>
          <cell r="D966">
            <v>2476.84</v>
          </cell>
          <cell r="E966">
            <v>0</v>
          </cell>
          <cell r="F966" t="e">
            <v>#N/A</v>
          </cell>
          <cell r="G966" t="e">
            <v>#N/A</v>
          </cell>
        </row>
        <row r="967">
          <cell r="A967">
            <v>41421</v>
          </cell>
          <cell r="B967" t="str">
            <v>Tabuleiro em vigas pré-moldadas CL.45, com ou sem laje entre vigas, vão de 8,00 m, inclusive descarga e assentamento das vigas</v>
          </cell>
          <cell r="C967" t="str">
            <v>m²</v>
          </cell>
          <cell r="D967">
            <v>2734.22</v>
          </cell>
          <cell r="E967">
            <v>0</v>
          </cell>
          <cell r="F967" t="e">
            <v>#N/A</v>
          </cell>
          <cell r="G967" t="e">
            <v>#N/A</v>
          </cell>
        </row>
        <row r="968">
          <cell r="A968">
            <v>41422</v>
          </cell>
          <cell r="B968" t="str">
            <v>Tabuleiro em vigas pré-moldadas CL.45, com ou sem laje entre vigas, vão de 9,00 m, inclusive descarga e assentamento das vigas</v>
          </cell>
          <cell r="C968" t="str">
            <v>m²</v>
          </cell>
          <cell r="D968">
            <v>2823.22</v>
          </cell>
          <cell r="E968">
            <v>0</v>
          </cell>
          <cell r="F968" t="e">
            <v>#N/A</v>
          </cell>
          <cell r="G968" t="e">
            <v>#N/A</v>
          </cell>
        </row>
        <row r="969">
          <cell r="A969">
            <v>41427</v>
          </cell>
          <cell r="B969" t="str">
            <v>Tabuleiro em vigas pré-moldadas CL.45, com ou sem laje entre vigas, vão 14,00 m, inclusive descarga e assentamento das vigas</v>
          </cell>
          <cell r="C969" t="str">
            <v>m²</v>
          </cell>
          <cell r="D969">
            <v>3267.72</v>
          </cell>
          <cell r="E969">
            <v>0</v>
          </cell>
          <cell r="F969" t="e">
            <v>#N/A</v>
          </cell>
          <cell r="G969" t="e">
            <v>#N/A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 t="e">
            <v>#N/A</v>
          </cell>
          <cell r="F970" t="e">
            <v>#N/A</v>
          </cell>
          <cell r="G970" t="e">
            <v>#N/A</v>
          </cell>
        </row>
        <row r="971">
          <cell r="A971" t="str">
            <v>Grupo de Serviço: 37 - OBRAS DE ARTE ESPECIAIS</v>
          </cell>
          <cell r="B971">
            <v>0</v>
          </cell>
          <cell r="C971">
            <v>0</v>
          </cell>
          <cell r="E971" t="e">
            <v>#N/A</v>
          </cell>
          <cell r="F971" t="e">
            <v>#N/A</v>
          </cell>
          <cell r="G971" t="e">
            <v>#N/A</v>
          </cell>
        </row>
        <row r="972">
          <cell r="A972">
            <v>40381</v>
          </cell>
          <cell r="B972" t="str">
            <v>Acabamento em concreto fresco (15,0 MPA), para pavimento, inclusive endurecedor químico de superfície</v>
          </cell>
          <cell r="C972" t="str">
            <v>m²</v>
          </cell>
          <cell r="D972">
            <v>18.55</v>
          </cell>
          <cell r="E972">
            <v>0</v>
          </cell>
          <cell r="F972" t="e">
            <v>#N/A</v>
          </cell>
          <cell r="G972" t="e">
            <v>#N/A</v>
          </cell>
        </row>
        <row r="973">
          <cell r="A973">
            <v>41260</v>
          </cell>
          <cell r="B973" t="str">
            <v>Acessório para tirante protendido de aço Rocsolo ou similar diâmetro 29,3 mm</v>
          </cell>
          <cell r="C973" t="str">
            <v>un</v>
          </cell>
          <cell r="D973">
            <v>782.93</v>
          </cell>
          <cell r="E973" t="str">
            <v>A incluir</v>
          </cell>
          <cell r="F973" t="e">
            <v>#N/A</v>
          </cell>
          <cell r="G973" t="e">
            <v>#N/A</v>
          </cell>
        </row>
        <row r="974">
          <cell r="A974">
            <v>41045</v>
          </cell>
          <cell r="B974" t="str">
            <v>Acessório para tirante protendido de aço ST 85/105</v>
          </cell>
          <cell r="C974" t="str">
            <v>un</v>
          </cell>
          <cell r="D974">
            <v>779.61</v>
          </cell>
          <cell r="E974" t="str">
            <v>A incluir</v>
          </cell>
          <cell r="F974" t="e">
            <v>#N/A</v>
          </cell>
          <cell r="G974" t="e">
            <v>#N/A</v>
          </cell>
        </row>
        <row r="975">
          <cell r="A975">
            <v>40387</v>
          </cell>
          <cell r="B975" t="str">
            <v>Aparelho de apoio de neoprene fretado, fornecimento e assentamento, inclusive grauteamento e transporte do neoprene</v>
          </cell>
          <cell r="C975" t="str">
            <v>dm³</v>
          </cell>
          <cell r="D975">
            <v>139.96</v>
          </cell>
          <cell r="E975" t="str">
            <v>A incluir</v>
          </cell>
          <cell r="F975" t="e">
            <v>#N/A</v>
          </cell>
          <cell r="G975" t="e">
            <v>#N/A</v>
          </cell>
        </row>
        <row r="976">
          <cell r="A976">
            <v>40339</v>
          </cell>
          <cell r="B976" t="str">
            <v>Cantoneiras (2 1/2" x 2 1/2" x 5/16") para extremidade de laje, fornecimento, montagem e pintura</v>
          </cell>
          <cell r="C976" t="str">
            <v>m</v>
          </cell>
          <cell r="D976">
            <v>62.7</v>
          </cell>
          <cell r="E976">
            <v>0</v>
          </cell>
          <cell r="F976" t="e">
            <v>#N/A</v>
          </cell>
          <cell r="G976" t="e">
            <v>#N/A</v>
          </cell>
        </row>
        <row r="977">
          <cell r="A977">
            <v>40379</v>
          </cell>
          <cell r="B977" t="str">
            <v>Chapas de aço SAC 41 de 1/4" para passarelas, fornecimento, soldagem e montagem</v>
          </cell>
          <cell r="C977" t="str">
            <v>kg</v>
          </cell>
          <cell r="D977">
            <v>8.1300000000000008</v>
          </cell>
          <cell r="E977" t="str">
            <v>A incluir</v>
          </cell>
          <cell r="F977" t="e">
            <v>#N/A</v>
          </cell>
          <cell r="G977" t="e">
            <v>#N/A</v>
          </cell>
        </row>
        <row r="978">
          <cell r="A978">
            <v>42875</v>
          </cell>
          <cell r="B978" t="str">
            <v>Chumbador de aço de 25 mm, inclusive proteção anticorrosiva, exclusive a injeção e a perfuração</v>
          </cell>
          <cell r="C978" t="str">
            <v>m</v>
          </cell>
          <cell r="D978">
            <v>36.020000000000003</v>
          </cell>
          <cell r="E978">
            <v>0</v>
          </cell>
          <cell r="F978" t="e">
            <v>#N/A</v>
          </cell>
          <cell r="G978" t="e">
            <v>#N/A</v>
          </cell>
        </row>
        <row r="979">
          <cell r="A979">
            <v>40991</v>
          </cell>
          <cell r="B979" t="str">
            <v>Colagem das mantas de borracha nos berços de apoio das placas, com Sikadur 32 ou equivalente, fornecimento e aplicação</v>
          </cell>
          <cell r="C979" t="str">
            <v>kg</v>
          </cell>
          <cell r="D979">
            <v>106.11</v>
          </cell>
          <cell r="E979">
            <v>0</v>
          </cell>
          <cell r="F979" t="e">
            <v>#N/A</v>
          </cell>
          <cell r="G979" t="e">
            <v>#N/A</v>
          </cell>
        </row>
        <row r="980">
          <cell r="A980">
            <v>40382</v>
          </cell>
          <cell r="B980" t="str">
            <v>Concreto projetado com cimento especial</v>
          </cell>
          <cell r="C980" t="str">
            <v>m³</v>
          </cell>
          <cell r="D980">
            <v>617.21</v>
          </cell>
          <cell r="E980">
            <v>0</v>
          </cell>
          <cell r="F980" t="e">
            <v>#N/A</v>
          </cell>
          <cell r="G980" t="e">
            <v>#N/A</v>
          </cell>
        </row>
        <row r="981">
          <cell r="A981">
            <v>42660</v>
          </cell>
          <cell r="B981" t="str">
            <v>Concreto projetado com cimento especial, inclusive aditivo de pega Sigunit STM-35 AF</v>
          </cell>
          <cell r="C981" t="str">
            <v>m³</v>
          </cell>
          <cell r="D981">
            <v>658.8</v>
          </cell>
          <cell r="E981">
            <v>0</v>
          </cell>
          <cell r="F981" t="e">
            <v>#N/A</v>
          </cell>
          <cell r="G981" t="e">
            <v>#N/A</v>
          </cell>
        </row>
        <row r="982">
          <cell r="A982">
            <v>40401</v>
          </cell>
          <cell r="B982" t="str">
            <v>Cone de ancoragem de cabo de aço com 12 cordoalhas de 1/2", inclusive protensão dos cabos</v>
          </cell>
          <cell r="C982" t="str">
            <v>un</v>
          </cell>
          <cell r="D982">
            <v>1822.44</v>
          </cell>
          <cell r="E982" t="str">
            <v>A incluir</v>
          </cell>
          <cell r="F982" t="e">
            <v>#N/A</v>
          </cell>
          <cell r="G982" t="e">
            <v>#N/A</v>
          </cell>
        </row>
        <row r="983">
          <cell r="A983">
            <v>41200</v>
          </cell>
          <cell r="B983" t="str">
            <v>Conectores diâmetro 16mm (h=10cm), fornecimento e soldagem</v>
          </cell>
          <cell r="C983" t="str">
            <v>un</v>
          </cell>
          <cell r="D983">
            <v>24.03</v>
          </cell>
          <cell r="E983">
            <v>0</v>
          </cell>
          <cell r="F983" t="e">
            <v>#N/A</v>
          </cell>
          <cell r="G983" t="e">
            <v>#N/A</v>
          </cell>
        </row>
        <row r="984">
          <cell r="A984">
            <v>42876</v>
          </cell>
          <cell r="B984" t="str">
            <v>Escoramento contínuo de cavas em estaca prancha de largura até 4000 mm</v>
          </cell>
          <cell r="C984" t="str">
            <v>m²</v>
          </cell>
          <cell r="D984">
            <v>120.45</v>
          </cell>
          <cell r="E984">
            <v>0</v>
          </cell>
          <cell r="F984" t="e">
            <v>#N/A</v>
          </cell>
          <cell r="G984" t="e">
            <v>#N/A</v>
          </cell>
        </row>
        <row r="985">
          <cell r="A985">
            <v>42239</v>
          </cell>
          <cell r="B985" t="str">
            <v>Escoramento de O.A.E. diretamente sobre o solo, inclusive fornecimento e transporte das madeiras</v>
          </cell>
          <cell r="C985" t="str">
            <v>m³</v>
          </cell>
          <cell r="D985">
            <v>133.96</v>
          </cell>
          <cell r="E985" t="str">
            <v>A incluir</v>
          </cell>
          <cell r="F985" t="e">
            <v>#N/A</v>
          </cell>
          <cell r="G985" t="e">
            <v>#N/A</v>
          </cell>
        </row>
        <row r="986">
          <cell r="A986">
            <v>40329</v>
          </cell>
          <cell r="B986" t="str">
            <v>Escoramento e cimbramento (pontes e pontilhões), inclusive fornecimento e transporte das madeiras</v>
          </cell>
          <cell r="C986" t="str">
            <v>m³</v>
          </cell>
          <cell r="D986">
            <v>155.22</v>
          </cell>
          <cell r="E986" t="str">
            <v>A incluir</v>
          </cell>
          <cell r="F986" t="e">
            <v>#N/A</v>
          </cell>
          <cell r="G986" t="e">
            <v>#N/A</v>
          </cell>
        </row>
        <row r="987">
          <cell r="A987">
            <v>41195</v>
          </cell>
          <cell r="B987" t="str">
            <v>Estrutura metálica provisória para macaqueamento de laje de ponte</v>
          </cell>
          <cell r="C987" t="str">
            <v>kg</v>
          </cell>
          <cell r="D987">
            <v>8.08</v>
          </cell>
          <cell r="E987">
            <v>0</v>
          </cell>
          <cell r="F987" t="e">
            <v>#N/A</v>
          </cell>
          <cell r="G987" t="e">
            <v>#N/A</v>
          </cell>
        </row>
        <row r="988">
          <cell r="A988">
            <v>40315</v>
          </cell>
          <cell r="B988" t="str">
            <v>Formas curvas de madeira sem reutilização, inclusive fornecimento e transporte das madeiras</v>
          </cell>
          <cell r="C988" t="str">
            <v>m²</v>
          </cell>
          <cell r="D988">
            <v>265.92</v>
          </cell>
          <cell r="E988" t="str">
            <v>A incluir</v>
          </cell>
          <cell r="F988" t="e">
            <v>#N/A</v>
          </cell>
          <cell r="G988" t="e">
            <v>#N/A</v>
          </cell>
        </row>
        <row r="989">
          <cell r="A989">
            <v>40314</v>
          </cell>
          <cell r="B989" t="str">
            <v>Formas planas de madeira com 05 (cinco) utilizações (guarda-corpo de pontes), inclusive fornecimento e transportes das madeiras</v>
          </cell>
          <cell r="C989" t="str">
            <v>m²</v>
          </cell>
          <cell r="D989">
            <v>108.52</v>
          </cell>
          <cell r="E989" t="str">
            <v>A incluir</v>
          </cell>
          <cell r="F989" t="e">
            <v>#N/A</v>
          </cell>
          <cell r="G989" t="e">
            <v>#N/A</v>
          </cell>
        </row>
        <row r="990">
          <cell r="A990">
            <v>40321</v>
          </cell>
          <cell r="B990" t="str">
            <v>Formas planas de madeirit meso e superestrutura com 1 reaproveitamento esp. = 14 mm, inclusive fornecimento e transporte das madeiras</v>
          </cell>
          <cell r="C990" t="str">
            <v>m²</v>
          </cell>
          <cell r="D990">
            <v>76.52</v>
          </cell>
          <cell r="E990" t="str">
            <v>A incluir</v>
          </cell>
          <cell r="F990" t="e">
            <v>#N/A</v>
          </cell>
          <cell r="G990" t="e">
            <v>#N/A</v>
          </cell>
        </row>
        <row r="991">
          <cell r="A991">
            <v>40323</v>
          </cell>
          <cell r="B991" t="str">
            <v>Formas planas de madeirit meso e superestrutura com 1 reaproveitamento esp. = 17 mm, inclusive fornecimento e transporte das madeiras</v>
          </cell>
          <cell r="C991" t="str">
            <v>m²</v>
          </cell>
          <cell r="D991">
            <v>79.38</v>
          </cell>
          <cell r="E991" t="str">
            <v>A incluir</v>
          </cell>
          <cell r="F991" t="e">
            <v>#N/A</v>
          </cell>
          <cell r="G991" t="e">
            <v>#N/A</v>
          </cell>
        </row>
        <row r="992">
          <cell r="A992">
            <v>40324</v>
          </cell>
          <cell r="B992" t="str">
            <v>Formas planas de madeirit meso e superestrutura com 2 reaproveitamentos esp. = 17 mm, inclusive fornecimento e transporte das madeiras</v>
          </cell>
          <cell r="C992" t="str">
            <v>m²</v>
          </cell>
          <cell r="D992">
            <v>68.94</v>
          </cell>
          <cell r="E992" t="str">
            <v>A incluir</v>
          </cell>
          <cell r="F992">
            <v>69.33</v>
          </cell>
          <cell r="G992">
            <v>1.0056570931244599</v>
          </cell>
        </row>
        <row r="993">
          <cell r="A993">
            <v>40325</v>
          </cell>
          <cell r="B993" t="str">
            <v>Formas planas de madeirit meso e superestrutura com 4 reaproveitamentos esp. = 17 mm, inclusive fornecimento e transporte das madeiras</v>
          </cell>
          <cell r="C993" t="str">
            <v>m²</v>
          </cell>
          <cell r="D993">
            <v>59.88</v>
          </cell>
          <cell r="E993" t="str">
            <v>A incluir</v>
          </cell>
          <cell r="F993" t="e">
            <v>#N/A</v>
          </cell>
          <cell r="G993" t="e">
            <v>#N/A</v>
          </cell>
        </row>
        <row r="994">
          <cell r="A994">
            <v>40319</v>
          </cell>
          <cell r="B994" t="str">
            <v>Formas planas de madeirit meso e superestrutura sem reaproveitamento esp. = 10 mm, inclusive fornecimento e transporte das madeiras</v>
          </cell>
          <cell r="C994" t="str">
            <v>m²</v>
          </cell>
          <cell r="D994">
            <v>96.52</v>
          </cell>
          <cell r="E994" t="str">
            <v>A incluir</v>
          </cell>
          <cell r="F994" t="e">
            <v>#N/A</v>
          </cell>
          <cell r="G994" t="e">
            <v>#N/A</v>
          </cell>
        </row>
        <row r="995">
          <cell r="A995">
            <v>40320</v>
          </cell>
          <cell r="B995" t="str">
            <v>Formas planas de madeirit meso e superestrutura sem reaproveitamento esp. = 14 mm, inclusive fornecimento e transporte das madeiras</v>
          </cell>
          <cell r="C995" t="str">
            <v>m²</v>
          </cell>
          <cell r="D995">
            <v>107.69</v>
          </cell>
          <cell r="E995" t="str">
            <v>A incluir</v>
          </cell>
          <cell r="F995" t="e">
            <v>#N/A</v>
          </cell>
          <cell r="G995" t="e">
            <v>#N/A</v>
          </cell>
        </row>
        <row r="996">
          <cell r="A996">
            <v>40322</v>
          </cell>
          <cell r="B996" t="str">
            <v>Formas planas de madeirit meso e superestrutura sem reaproveitamento esp. = 17 mm, inclusive fornecimento e transporte das madeiras</v>
          </cell>
          <cell r="C996" t="str">
            <v>m²</v>
          </cell>
          <cell r="D996">
            <v>112.54</v>
          </cell>
          <cell r="E996" t="str">
            <v>A incluir</v>
          </cell>
          <cell r="F996" t="e">
            <v>#N/A</v>
          </cell>
          <cell r="G996" t="e">
            <v>#N/A</v>
          </cell>
        </row>
        <row r="997">
          <cell r="A997">
            <v>40342</v>
          </cell>
          <cell r="B997" t="str">
            <v>Furação, fornecimento e fixação de grampos diam.16 mm com resina epoxi (prof. 50 cm)</v>
          </cell>
          <cell r="C997" t="str">
            <v>un</v>
          </cell>
          <cell r="D997">
            <v>35.36</v>
          </cell>
          <cell r="E997">
            <v>0</v>
          </cell>
          <cell r="F997" t="e">
            <v>#N/A</v>
          </cell>
          <cell r="G997" t="e">
            <v>#N/A</v>
          </cell>
        </row>
        <row r="998">
          <cell r="A998">
            <v>40338</v>
          </cell>
          <cell r="B998" t="str">
            <v>Furação, fornecimento e fixação de grampos 10 mm com resina epoxi</v>
          </cell>
          <cell r="C998" t="str">
            <v>un</v>
          </cell>
          <cell r="D998">
            <v>26.46</v>
          </cell>
          <cell r="E998">
            <v>0</v>
          </cell>
          <cell r="F998" t="e">
            <v>#N/A</v>
          </cell>
          <cell r="G998" t="e">
            <v>#N/A</v>
          </cell>
        </row>
        <row r="999">
          <cell r="A999">
            <v>40341</v>
          </cell>
          <cell r="B999" t="str">
            <v>Furação, fornecimento e fixação de grampos 12,5 mm com resina epoxi em vigas pré- moldadas</v>
          </cell>
          <cell r="C999" t="str">
            <v>un</v>
          </cell>
          <cell r="D999">
            <v>7.1</v>
          </cell>
          <cell r="E999">
            <v>0</v>
          </cell>
          <cell r="F999" t="e">
            <v>#N/A</v>
          </cell>
          <cell r="G999" t="e">
            <v>#N/A</v>
          </cell>
        </row>
        <row r="1000">
          <cell r="A1000">
            <v>40416</v>
          </cell>
          <cell r="B1000" t="str">
            <v>Guarda corpo em toras de eucalipto conf. projeto</v>
          </cell>
          <cell r="C1000" t="str">
            <v>m</v>
          </cell>
          <cell r="D1000">
            <v>265.08</v>
          </cell>
          <cell r="E1000">
            <v>0</v>
          </cell>
          <cell r="F1000" t="e">
            <v>#N/A</v>
          </cell>
          <cell r="G1000" t="e">
            <v>#N/A</v>
          </cell>
        </row>
        <row r="1001">
          <cell r="A1001">
            <v>40389</v>
          </cell>
          <cell r="B1001" t="str">
            <v>Guarda corpo metálico</v>
          </cell>
          <cell r="C1001" t="str">
            <v>m</v>
          </cell>
          <cell r="D1001">
            <v>64.59</v>
          </cell>
          <cell r="E1001">
            <v>0</v>
          </cell>
          <cell r="F1001" t="e">
            <v>#N/A</v>
          </cell>
          <cell r="G1001" t="e">
            <v>#N/A</v>
          </cell>
        </row>
        <row r="1002">
          <cell r="A1002">
            <v>40388</v>
          </cell>
          <cell r="B1002" t="str">
            <v>Guarda corpo padrão (tipo DNIT)</v>
          </cell>
          <cell r="C1002" t="str">
            <v>m</v>
          </cell>
          <cell r="D1002">
            <v>256.7</v>
          </cell>
          <cell r="E1002">
            <v>0</v>
          </cell>
          <cell r="F1002" t="e">
            <v>#N/A</v>
          </cell>
          <cell r="G1002" t="e">
            <v>#N/A</v>
          </cell>
        </row>
        <row r="1003">
          <cell r="A1003">
            <v>41232</v>
          </cell>
          <cell r="B1003" t="str">
            <v>Hidrojateamento de superfícies de concreto</v>
          </cell>
          <cell r="C1003" t="str">
            <v>m²</v>
          </cell>
          <cell r="D1003">
            <v>10.49</v>
          </cell>
          <cell r="E1003">
            <v>0</v>
          </cell>
          <cell r="F1003" t="e">
            <v>#N/A</v>
          </cell>
          <cell r="G1003" t="e">
            <v>#N/A</v>
          </cell>
        </row>
        <row r="1004">
          <cell r="A1004">
            <v>40402</v>
          </cell>
          <cell r="B1004" t="str">
            <v>Hidrojateamento de superfícies metálicas</v>
          </cell>
          <cell r="C1004" t="str">
            <v>m²</v>
          </cell>
          <cell r="D1004">
            <v>27.58</v>
          </cell>
          <cell r="E1004">
            <v>0</v>
          </cell>
          <cell r="F1004" t="e">
            <v>#N/A</v>
          </cell>
          <cell r="G1004" t="e">
            <v>#N/A</v>
          </cell>
        </row>
        <row r="1005">
          <cell r="A1005">
            <v>41033</v>
          </cell>
          <cell r="B1005" t="str">
            <v>Injeção de calda de cimento para chumbamento de tirantes</v>
          </cell>
          <cell r="C1005" t="str">
            <v>sc</v>
          </cell>
          <cell r="D1005">
            <v>45.09</v>
          </cell>
          <cell r="E1005">
            <v>0</v>
          </cell>
          <cell r="F1005" t="e">
            <v>#N/A</v>
          </cell>
          <cell r="G1005" t="e">
            <v>#N/A</v>
          </cell>
        </row>
        <row r="1006">
          <cell r="A1006">
            <v>41233</v>
          </cell>
          <cell r="B1006" t="str">
            <v>Injeção de epoxi em fissuras, inclusive preparo e montagem de bicos de injeção</v>
          </cell>
          <cell r="C1006" t="str">
            <v>kg</v>
          </cell>
          <cell r="D1006">
            <v>640.64</v>
          </cell>
          <cell r="E1006">
            <v>0</v>
          </cell>
          <cell r="F1006" t="e">
            <v>#N/A</v>
          </cell>
          <cell r="G1006" t="e">
            <v>#N/A</v>
          </cell>
        </row>
        <row r="1007">
          <cell r="A1007">
            <v>40386</v>
          </cell>
          <cell r="B1007" t="str">
            <v>Junta de cantoneira L de 4" x 4" x 3/8"</v>
          </cell>
          <cell r="C1007" t="str">
            <v>m</v>
          </cell>
          <cell r="D1007">
            <v>142.84</v>
          </cell>
          <cell r="E1007" t="str">
            <v>A incluir</v>
          </cell>
          <cell r="F1007" t="e">
            <v>#N/A</v>
          </cell>
          <cell r="G1007" t="e">
            <v>#N/A</v>
          </cell>
        </row>
        <row r="1008">
          <cell r="A1008">
            <v>41199</v>
          </cell>
          <cell r="B1008" t="str">
            <v>Junta de dilatação elástica pré-moldada p/ concreto, tipo fungenband em perfil O-12 de PVC alta densidade, Uniontech ou equival. fornecim./colocação</v>
          </cell>
          <cell r="C1008" t="str">
            <v>m</v>
          </cell>
          <cell r="D1008">
            <v>47.05</v>
          </cell>
          <cell r="E1008">
            <v>0</v>
          </cell>
          <cell r="F1008" t="e">
            <v>#N/A</v>
          </cell>
          <cell r="G1008" t="e">
            <v>#N/A</v>
          </cell>
        </row>
        <row r="1009">
          <cell r="A1009">
            <v>42529</v>
          </cell>
          <cell r="B1009" t="str">
            <v>Junta perfil elastomérico de vedação p/pontes c/abertura média de 25mm ± 10 mm, inclus. lábios poliméricos-Marca Ref JEENE-JJ2540 VV (constr.)</v>
          </cell>
          <cell r="C1009" t="str">
            <v>m</v>
          </cell>
          <cell r="D1009">
            <v>760.53</v>
          </cell>
          <cell r="E1009">
            <v>0</v>
          </cell>
          <cell r="F1009" t="e">
            <v>#N/A</v>
          </cell>
          <cell r="G1009" t="e">
            <v>#N/A</v>
          </cell>
        </row>
        <row r="1010">
          <cell r="A1010">
            <v>40384</v>
          </cell>
          <cell r="B1010" t="str">
            <v>Junta perfil elastomérico de vedação p/pontes c/abertura média de 50 mm ±  25 mm, inclus. lábios poliméricos-Marca Ref.JEENE mod.JJ-5070 (constr.)</v>
          </cell>
          <cell r="C1010" t="str">
            <v>m</v>
          </cell>
          <cell r="D1010">
            <v>1307.19</v>
          </cell>
          <cell r="E1010">
            <v>0</v>
          </cell>
          <cell r="F1010" t="e">
            <v>#N/A</v>
          </cell>
          <cell r="G1010" t="e">
            <v>#N/A</v>
          </cell>
        </row>
        <row r="1011">
          <cell r="A1011">
            <v>40385</v>
          </cell>
          <cell r="B1011" t="str">
            <v>Junta perfil elastomérico de vedação p/pontes c/abertura média de 50mm ± 25mm,inclus. lábios poliméricos-Marca Ref JEENE mod.JJ-5070 VV(substituição)</v>
          </cell>
          <cell r="C1011" t="str">
            <v>m</v>
          </cell>
          <cell r="D1011">
            <v>1342.91</v>
          </cell>
          <cell r="E1011">
            <v>0</v>
          </cell>
          <cell r="F1011" t="e">
            <v>#N/A</v>
          </cell>
          <cell r="G1011" t="e">
            <v>#N/A</v>
          </cell>
        </row>
        <row r="1012">
          <cell r="A1012">
            <v>40393</v>
          </cell>
          <cell r="B1012" t="str">
            <v>Perfuração de concreto</v>
          </cell>
          <cell r="C1012" t="str">
            <v>m</v>
          </cell>
          <cell r="D1012">
            <v>16.079999999999998</v>
          </cell>
          <cell r="E1012">
            <v>0</v>
          </cell>
          <cell r="F1012" t="e">
            <v>#N/A</v>
          </cell>
          <cell r="G1012" t="e">
            <v>#N/A</v>
          </cell>
        </row>
        <row r="1013">
          <cell r="A1013">
            <v>40394</v>
          </cell>
          <cell r="B1013" t="str">
            <v>Perfuração de rocha para fixação de chumbadores</v>
          </cell>
          <cell r="C1013" t="str">
            <v>m</v>
          </cell>
          <cell r="D1013">
            <v>19.18</v>
          </cell>
          <cell r="E1013">
            <v>0</v>
          </cell>
          <cell r="F1013" t="e">
            <v>#N/A</v>
          </cell>
          <cell r="G1013" t="e">
            <v>#N/A</v>
          </cell>
        </row>
        <row r="1014">
          <cell r="A1014">
            <v>40390</v>
          </cell>
          <cell r="B1014" t="str">
            <v>Pintura a cal em pontes (2 demãos)</v>
          </cell>
          <cell r="C1014" t="str">
            <v>m²</v>
          </cell>
          <cell r="D1014">
            <v>3.58</v>
          </cell>
          <cell r="E1014">
            <v>0</v>
          </cell>
          <cell r="F1014" t="e">
            <v>#N/A</v>
          </cell>
          <cell r="G1014" t="e">
            <v>#N/A</v>
          </cell>
        </row>
        <row r="1015">
          <cell r="A1015">
            <v>42256</v>
          </cell>
          <cell r="B1015" t="str">
            <v>Ponte provisoria para movimentação de equipamentos de execução de fundação composta de passadiço de madeira sobre estacas de madeira</v>
          </cell>
          <cell r="C1015" t="str">
            <v>m²</v>
          </cell>
          <cell r="D1015">
            <v>3559.92</v>
          </cell>
          <cell r="E1015" t="str">
            <v>A incluir</v>
          </cell>
          <cell r="F1015" t="e">
            <v>#N/A</v>
          </cell>
          <cell r="G1015" t="e">
            <v>#N/A</v>
          </cell>
        </row>
        <row r="1016">
          <cell r="A1016">
            <v>40400</v>
          </cell>
          <cell r="B1016" t="str">
            <v>Preparo e colocação de 12 cordoalhas de 1/2" (Aço CP-190 RB) nas formas, inclusive injeção de nata de cimento</v>
          </cell>
          <cell r="C1016" t="str">
            <v>kg</v>
          </cell>
          <cell r="D1016">
            <v>10.83</v>
          </cell>
          <cell r="E1016" t="str">
            <v>A incluir</v>
          </cell>
          <cell r="F1016" t="e">
            <v>#N/A</v>
          </cell>
          <cell r="G1016" t="e">
            <v>#N/A</v>
          </cell>
        </row>
        <row r="1017">
          <cell r="A1017">
            <v>41201</v>
          </cell>
          <cell r="B1017" t="str">
            <v>Recuperação estrutural com uso de argamassa polimérica (espessura média=3,5cm)</v>
          </cell>
          <cell r="C1017" t="str">
            <v>m²</v>
          </cell>
          <cell r="D1017">
            <v>766.52</v>
          </cell>
          <cell r="E1017">
            <v>0</v>
          </cell>
          <cell r="F1017" t="e">
            <v>#N/A</v>
          </cell>
          <cell r="G1017" t="e">
            <v>#N/A</v>
          </cell>
        </row>
        <row r="1018">
          <cell r="A1018">
            <v>41035</v>
          </cell>
          <cell r="B1018" t="str">
            <v>Tirante de Aço CA-50, diâmetro de 25mm (1"), para comprimentos até 6m</v>
          </cell>
          <cell r="C1018" t="str">
            <v>m</v>
          </cell>
          <cell r="D1018">
            <v>90.06</v>
          </cell>
          <cell r="E1018">
            <v>0</v>
          </cell>
          <cell r="F1018" t="e">
            <v>#N/A</v>
          </cell>
          <cell r="G1018" t="e">
            <v>#N/A</v>
          </cell>
        </row>
        <row r="1019">
          <cell r="A1019">
            <v>41263</v>
          </cell>
          <cell r="B1019" t="str">
            <v>Tirante de aço Rocsolo ou similar, diâmetro 29,3mm, incluindo fornecimento da barra e da bainha proteção anticorrosiva, preparo e colocação no furo</v>
          </cell>
          <cell r="C1019" t="str">
            <v>m</v>
          </cell>
          <cell r="D1019">
            <v>157.57</v>
          </cell>
          <cell r="E1019">
            <v>0</v>
          </cell>
          <cell r="F1019" t="e">
            <v>#N/A</v>
          </cell>
          <cell r="G1019" t="e">
            <v>#N/A</v>
          </cell>
        </row>
        <row r="1020">
          <cell r="A1020">
            <v>41089</v>
          </cell>
          <cell r="B1020" t="str">
            <v>Tirante de aço ST 50/55, para carga trab. até 22 t, diam.32mm, incluindo fornecimento da bainha proteção anticorrosiva, preparo e colocação no furo.</v>
          </cell>
          <cell r="C1020" t="str">
            <v>m</v>
          </cell>
          <cell r="D1020">
            <v>155.77000000000001</v>
          </cell>
          <cell r="E1020">
            <v>0</v>
          </cell>
          <cell r="F1020" t="e">
            <v>#N/A</v>
          </cell>
          <cell r="G1020" t="e">
            <v>#N/A</v>
          </cell>
        </row>
        <row r="1021">
          <cell r="A1021">
            <v>41039</v>
          </cell>
          <cell r="B1021" t="str">
            <v>Tirante de aço ST 85/105, incluindo fornecimento da barra e da bainha proteção anticorrosiva, preparo e colocação no furo</v>
          </cell>
          <cell r="C1021" t="str">
            <v>m</v>
          </cell>
          <cell r="D1021">
            <v>168.36</v>
          </cell>
          <cell r="E1021">
            <v>0</v>
          </cell>
          <cell r="F1021" t="e">
            <v>#N/A</v>
          </cell>
          <cell r="G1021" t="e">
            <v>#N/A</v>
          </cell>
        </row>
        <row r="1022">
          <cell r="A1022">
            <v>41030</v>
          </cell>
          <cell r="B1022" t="str">
            <v>Tirante protendido em Aço GEWI 50/55 ou similar, diâmetro de 32mm</v>
          </cell>
          <cell r="C1022" t="str">
            <v>m</v>
          </cell>
          <cell r="D1022">
            <v>147.13999999999999</v>
          </cell>
          <cell r="E1022">
            <v>0</v>
          </cell>
          <cell r="F1022" t="e">
            <v>#N/A</v>
          </cell>
          <cell r="G1022" t="e">
            <v>#N/A</v>
          </cell>
        </row>
        <row r="1023">
          <cell r="A1023">
            <v>0</v>
          </cell>
          <cell r="B1023">
            <v>0</v>
          </cell>
          <cell r="C1023">
            <v>0</v>
          </cell>
          <cell r="E1023" t="e">
            <v>#N/A</v>
          </cell>
          <cell r="F1023" t="e">
            <v>#N/A</v>
          </cell>
          <cell r="G1023" t="e">
            <v>#N/A</v>
          </cell>
        </row>
        <row r="1024">
          <cell r="A1024" t="str">
            <v>Grupo de Serviço: 44 - MATERIAIS</v>
          </cell>
          <cell r="B1024">
            <v>0</v>
          </cell>
          <cell r="C1024">
            <v>0</v>
          </cell>
          <cell r="D1024">
            <v>0</v>
          </cell>
          <cell r="E1024" t="e">
            <v>#N/A</v>
          </cell>
          <cell r="F1024" t="e">
            <v>#N/A</v>
          </cell>
          <cell r="G1024" t="e">
            <v>#N/A</v>
          </cell>
        </row>
        <row r="1025">
          <cell r="A1025">
            <v>42045</v>
          </cell>
          <cell r="B1025" t="str">
            <v>Aquisição de solo de jazida comercial (saibreira)</v>
          </cell>
          <cell r="C1025" t="str">
            <v>m³</v>
          </cell>
          <cell r="D1025">
            <v>5.79</v>
          </cell>
          <cell r="E1025">
            <v>0</v>
          </cell>
          <cell r="F1025">
            <v>5.8</v>
          </cell>
          <cell r="G1025">
            <v>1.00172711571675</v>
          </cell>
        </row>
        <row r="1026">
          <cell r="A1026">
            <v>42043</v>
          </cell>
          <cell r="B1026" t="str">
            <v>Bonificação de 15,28% sobre aquisição de materiais</v>
          </cell>
          <cell r="C1026" t="str">
            <v>%</v>
          </cell>
          <cell r="D1026">
            <v>0</v>
          </cell>
          <cell r="E1026">
            <v>0</v>
          </cell>
          <cell r="F1026" t="e">
            <v>#N/A</v>
          </cell>
          <cell r="G1026" t="e">
            <v>#N/A</v>
          </cell>
        </row>
        <row r="1027">
          <cell r="A1027">
            <v>0</v>
          </cell>
          <cell r="B1027">
            <v>0</v>
          </cell>
          <cell r="C1027">
            <v>0</v>
          </cell>
          <cell r="E1027" t="e">
            <v>#N/A</v>
          </cell>
          <cell r="F1027" t="e">
            <v>#N/A</v>
          </cell>
          <cell r="G1027" t="e">
            <v>#N/A</v>
          </cell>
        </row>
        <row r="1028">
          <cell r="A1028" t="str">
            <v>Grupo de Serviço: 61 - TERRAPLENAGEM - VIAS URBANAS</v>
          </cell>
          <cell r="B1028">
            <v>0</v>
          </cell>
          <cell r="C1028">
            <v>0</v>
          </cell>
          <cell r="E1028" t="e">
            <v>#N/A</v>
          </cell>
          <cell r="F1028" t="e">
            <v>#N/A</v>
          </cell>
          <cell r="G1028" t="e">
            <v>#N/A</v>
          </cell>
        </row>
        <row r="1029">
          <cell r="A1029">
            <v>42512</v>
          </cell>
          <cell r="B1029" t="str">
            <v>Carga de material de 1ª categoria em Vias Urbanas</v>
          </cell>
          <cell r="C1029" t="str">
            <v>m³</v>
          </cell>
          <cell r="D1029">
            <v>2.88</v>
          </cell>
          <cell r="E1029">
            <v>0</v>
          </cell>
          <cell r="F1029" t="e">
            <v>#N/A</v>
          </cell>
          <cell r="G1029" t="e">
            <v>#N/A</v>
          </cell>
        </row>
        <row r="1030">
          <cell r="A1030">
            <v>42513</v>
          </cell>
          <cell r="B1030" t="str">
            <v>Carga de material de 2ª categoria (solo, areia, brita, excl. rocha escavada) em Vias Urbanas</v>
          </cell>
          <cell r="C1030" t="str">
            <v>m³</v>
          </cell>
          <cell r="D1030">
            <v>3.74</v>
          </cell>
          <cell r="E1030">
            <v>0</v>
          </cell>
          <cell r="F1030" t="e">
            <v>#N/A</v>
          </cell>
          <cell r="G1030" t="e">
            <v>#N/A</v>
          </cell>
        </row>
        <row r="1031">
          <cell r="A1031">
            <v>42514</v>
          </cell>
          <cell r="B1031" t="str">
            <v>Carga de material de 3ª categoria (rocha) em Vias Urbanas</v>
          </cell>
          <cell r="C1031" t="str">
            <v>m³</v>
          </cell>
          <cell r="D1031">
            <v>5.51</v>
          </cell>
          <cell r="E1031">
            <v>0</v>
          </cell>
          <cell r="F1031" t="e">
            <v>#N/A</v>
          </cell>
          <cell r="G1031" t="e">
            <v>#N/A</v>
          </cell>
        </row>
        <row r="1032">
          <cell r="A1032">
            <v>43349</v>
          </cell>
          <cell r="B1032" t="str">
            <v>Compactação de aterros 100% PI em Vias Urbanas</v>
          </cell>
          <cell r="C1032" t="str">
            <v>m³</v>
          </cell>
          <cell r="D1032">
            <v>6.01</v>
          </cell>
          <cell r="E1032">
            <v>0</v>
          </cell>
          <cell r="F1032" t="e">
            <v>#N/A</v>
          </cell>
          <cell r="G1032" t="e">
            <v>#N/A</v>
          </cell>
        </row>
        <row r="1033">
          <cell r="A1033">
            <v>42515</v>
          </cell>
          <cell r="B1033" t="str">
            <v>Compactação de aterros 100% PN em Vias Urbanas</v>
          </cell>
          <cell r="C1033" t="str">
            <v>m³</v>
          </cell>
          <cell r="D1033">
            <v>4.63</v>
          </cell>
          <cell r="E1033">
            <v>0</v>
          </cell>
          <cell r="F1033" t="e">
            <v>#N/A</v>
          </cell>
          <cell r="G1033" t="e">
            <v>#N/A</v>
          </cell>
        </row>
        <row r="1034">
          <cell r="A1034">
            <v>42523</v>
          </cell>
          <cell r="B1034" t="str">
            <v>Escalonamento de taludes com escavadeira em Vias Urbanas</v>
          </cell>
          <cell r="C1034" t="str">
            <v>m³</v>
          </cell>
          <cell r="D1034">
            <v>7.34</v>
          </cell>
          <cell r="E1034">
            <v>0</v>
          </cell>
          <cell r="F1034" t="e">
            <v>#N/A</v>
          </cell>
          <cell r="G1034" t="e">
            <v>#N/A</v>
          </cell>
        </row>
        <row r="1035">
          <cell r="A1035">
            <v>42525</v>
          </cell>
          <cell r="B1035" t="str">
            <v>Escavação a fogo em material de 3ª categoria, rocha viva, a céu aberto, perfuração a ar comprimido em Vias Urbanas</v>
          </cell>
          <cell r="C1035" t="str">
            <v>m³</v>
          </cell>
          <cell r="D1035">
            <v>56.11</v>
          </cell>
          <cell r="E1035">
            <v>0</v>
          </cell>
          <cell r="F1035" t="e">
            <v>#N/A</v>
          </cell>
          <cell r="G1035" t="e">
            <v>#N/A</v>
          </cell>
        </row>
        <row r="1036">
          <cell r="A1036">
            <v>42576</v>
          </cell>
          <cell r="B1036" t="str">
            <v>Escavação, carga de material de 3ª categoria (fogo controlado) em Vias Urbanas</v>
          </cell>
          <cell r="C1036" t="str">
            <v>m³</v>
          </cell>
          <cell r="D1036">
            <v>97.41</v>
          </cell>
          <cell r="E1036">
            <v>0</v>
          </cell>
          <cell r="F1036" t="e">
            <v>#N/A</v>
          </cell>
          <cell r="G1036" t="e">
            <v>#N/A</v>
          </cell>
        </row>
        <row r="1037">
          <cell r="A1037">
            <v>42577</v>
          </cell>
          <cell r="B1037" t="str">
            <v>Escavação e carga de material de barreira (remoção) em Vias Urbanas</v>
          </cell>
          <cell r="C1037" t="str">
            <v>m³</v>
          </cell>
          <cell r="D1037">
            <v>7.26</v>
          </cell>
          <cell r="E1037">
            <v>0</v>
          </cell>
          <cell r="F1037" t="e">
            <v>#N/A</v>
          </cell>
          <cell r="G1037" t="e">
            <v>#N/A</v>
          </cell>
        </row>
        <row r="1038">
          <cell r="A1038">
            <v>42578</v>
          </cell>
          <cell r="B1038" t="str">
            <v>Escavação e carga de material de 1ª categoria com escavadeira em Vias Urbanas</v>
          </cell>
          <cell r="C1038" t="str">
            <v>m³</v>
          </cell>
          <cell r="D1038">
            <v>3.15</v>
          </cell>
          <cell r="E1038">
            <v>0</v>
          </cell>
          <cell r="F1038" t="e">
            <v>#N/A</v>
          </cell>
          <cell r="G1038" t="e">
            <v>#N/A</v>
          </cell>
        </row>
        <row r="1039">
          <cell r="A1039">
            <v>42580</v>
          </cell>
          <cell r="B1039" t="str">
            <v>Escavação e carga de material de 2ª categoria com escavadeira em Vias Urbanas</v>
          </cell>
          <cell r="C1039" t="str">
            <v>m³</v>
          </cell>
          <cell r="D1039">
            <v>4.66</v>
          </cell>
          <cell r="E1039">
            <v>0</v>
          </cell>
          <cell r="F1039" t="e">
            <v>#N/A</v>
          </cell>
          <cell r="G1039" t="e">
            <v>#N/A</v>
          </cell>
        </row>
        <row r="1040">
          <cell r="A1040">
            <v>42582</v>
          </cell>
          <cell r="B1040" t="str">
            <v>Escavação e carga de material de 3ª categoria (H bancada &gt;1,0 m) em Vias Urbanas</v>
          </cell>
          <cell r="C1040" t="str">
            <v>m³</v>
          </cell>
          <cell r="D1040">
            <v>42.39</v>
          </cell>
          <cell r="E1040">
            <v>0</v>
          </cell>
          <cell r="F1040" t="e">
            <v>#N/A</v>
          </cell>
          <cell r="G1040" t="e">
            <v>#N/A</v>
          </cell>
        </row>
        <row r="1041">
          <cell r="A1041">
            <v>42586</v>
          </cell>
          <cell r="B1041" t="str">
            <v>Fragmentação de rocha (fogacheamento) em Vias Urbanas</v>
          </cell>
          <cell r="C1041" t="str">
            <v>m³</v>
          </cell>
          <cell r="D1041">
            <v>62.32</v>
          </cell>
          <cell r="E1041">
            <v>0</v>
          </cell>
          <cell r="F1041" t="e">
            <v>#N/A</v>
          </cell>
          <cell r="G1041" t="e">
            <v>#N/A</v>
          </cell>
        </row>
        <row r="1042">
          <cell r="A1042">
            <v>42587</v>
          </cell>
          <cell r="B1042" t="str">
            <v>Limpeza de acostamento em Vias Urbanas</v>
          </cell>
          <cell r="C1042" t="str">
            <v>m²</v>
          </cell>
          <cell r="D1042">
            <v>0.65</v>
          </cell>
          <cell r="E1042">
            <v>0</v>
          </cell>
          <cell r="F1042" t="e">
            <v>#N/A</v>
          </cell>
          <cell r="G1042" t="e">
            <v>#N/A</v>
          </cell>
        </row>
        <row r="1043">
          <cell r="A1043">
            <v>42590</v>
          </cell>
          <cell r="B1043" t="str">
            <v>Limpeza e desmatamento em área alagada (pântano) com ferr. man., incl. moto serra em Vias Urbanas</v>
          </cell>
          <cell r="C1043" t="str">
            <v>m²</v>
          </cell>
          <cell r="D1043">
            <v>9.4</v>
          </cell>
          <cell r="E1043">
            <v>0</v>
          </cell>
          <cell r="F1043" t="e">
            <v>#N/A</v>
          </cell>
          <cell r="G1043" t="e">
            <v>#N/A</v>
          </cell>
        </row>
        <row r="1044">
          <cell r="A1044">
            <v>42591</v>
          </cell>
          <cell r="B1044" t="str">
            <v>Pré-fissuramento de taludes de rocha em Vias Urbanas</v>
          </cell>
          <cell r="C1044" t="str">
            <v>m²</v>
          </cell>
          <cell r="D1044">
            <v>34.549999999999997</v>
          </cell>
          <cell r="E1044">
            <v>0</v>
          </cell>
          <cell r="F1044" t="e">
            <v>#N/A</v>
          </cell>
          <cell r="G1044" t="e">
            <v>#N/A</v>
          </cell>
        </row>
        <row r="1045">
          <cell r="A1045">
            <v>42592</v>
          </cell>
          <cell r="B1045" t="str">
            <v>Recomposição vegetal de jazidas, empréstimos e bota-fora em Vias Urbanas</v>
          </cell>
          <cell r="C1045" t="str">
            <v>m²</v>
          </cell>
          <cell r="D1045">
            <v>14.07</v>
          </cell>
          <cell r="E1045" t="str">
            <v>A incluir</v>
          </cell>
          <cell r="F1045" t="e">
            <v>#N/A</v>
          </cell>
          <cell r="G1045" t="e">
            <v>#N/A</v>
          </cell>
        </row>
        <row r="1046">
          <cell r="A1046">
            <v>42593</v>
          </cell>
          <cell r="B1046" t="str">
            <v>Remoção de solos moles, incluindo carregamento mecânico com escavadeira hidráulica em Vias Urbanas</v>
          </cell>
          <cell r="C1046" t="str">
            <v>m³</v>
          </cell>
          <cell r="D1046">
            <v>24.13</v>
          </cell>
          <cell r="E1046">
            <v>0</v>
          </cell>
          <cell r="F1046" t="e">
            <v>#N/A</v>
          </cell>
          <cell r="G1046" t="e">
            <v>#N/A</v>
          </cell>
        </row>
        <row r="1047">
          <cell r="A1047">
            <v>42596</v>
          </cell>
          <cell r="B1047" t="str">
            <v>Transporte horizontal com trator de lâmina de material de 1ª cat. DMTaté 50m em Vias Urbanas</v>
          </cell>
          <cell r="C1047" t="str">
            <v>m³</v>
          </cell>
          <cell r="D1047">
            <v>5.14</v>
          </cell>
          <cell r="E1047">
            <v>0</v>
          </cell>
          <cell r="F1047" t="e">
            <v>#N/A</v>
          </cell>
          <cell r="G1047" t="e">
            <v>#N/A</v>
          </cell>
        </row>
        <row r="1048">
          <cell r="A1048">
            <v>0</v>
          </cell>
          <cell r="B1048">
            <v>0</v>
          </cell>
          <cell r="C1048">
            <v>0</v>
          </cell>
          <cell r="E1048" t="e">
            <v>#N/A</v>
          </cell>
          <cell r="F1048" t="e">
            <v>#N/A</v>
          </cell>
          <cell r="G1048" t="e">
            <v>#N/A</v>
          </cell>
        </row>
        <row r="1049">
          <cell r="A1049" t="str">
            <v>Grupo de Serviço: 62 - PAVIMENTAÇÃO - VIAS URBANAS</v>
          </cell>
          <cell r="B1049">
            <v>0</v>
          </cell>
          <cell r="C1049">
            <v>0</v>
          </cell>
          <cell r="E1049" t="e">
            <v>#N/A</v>
          </cell>
          <cell r="F1049" t="e">
            <v>#N/A</v>
          </cell>
          <cell r="G1049" t="e">
            <v>#N/A</v>
          </cell>
        </row>
        <row r="1050">
          <cell r="A1050">
            <v>42483</v>
          </cell>
          <cell r="B1050" t="str">
            <v>Base de brita graduada, inclusive fornecimento, exclusive transporte da brita em Vias Urbanas</v>
          </cell>
          <cell r="C1050" t="str">
            <v>m³</v>
          </cell>
          <cell r="D1050">
            <v>110.55</v>
          </cell>
          <cell r="E1050">
            <v>0</v>
          </cell>
          <cell r="F1050" t="e">
            <v>#N/A</v>
          </cell>
          <cell r="G1050" t="e">
            <v>#N/A</v>
          </cell>
        </row>
        <row r="1051">
          <cell r="A1051">
            <v>42695</v>
          </cell>
          <cell r="B1051" t="str">
            <v>Base de brita 1, inclusive fornecimento, exclusive transporte da brita em Vias Urbanas</v>
          </cell>
          <cell r="C1051" t="str">
            <v>m³</v>
          </cell>
          <cell r="D1051">
            <v>105.89</v>
          </cell>
          <cell r="E1051">
            <v>0</v>
          </cell>
          <cell r="F1051" t="e">
            <v>#N/A</v>
          </cell>
          <cell r="G1051" t="e">
            <v>#N/A</v>
          </cell>
        </row>
        <row r="1052">
          <cell r="A1052">
            <v>42481</v>
          </cell>
          <cell r="B1052" t="str">
            <v>Base de solo brita, 50% em peso, inclusive fornecimento, exclusive transporte da brita em Vias Urbanas</v>
          </cell>
          <cell r="C1052" t="str">
            <v>m³</v>
          </cell>
          <cell r="D1052">
            <v>73.62</v>
          </cell>
          <cell r="E1052">
            <v>0</v>
          </cell>
          <cell r="F1052" t="e">
            <v>#N/A</v>
          </cell>
          <cell r="G1052" t="e">
            <v>#N/A</v>
          </cell>
        </row>
        <row r="1053">
          <cell r="A1053">
            <v>42508</v>
          </cell>
          <cell r="B1053" t="str">
            <v>CBUQ (massa asfáltica) inclusive fornecimento e transporte comercial do CAP, em Vias Urbanas</v>
          </cell>
          <cell r="C1053" t="str">
            <v>t</v>
          </cell>
          <cell r="D1053">
            <v>255.11</v>
          </cell>
          <cell r="E1053" t="str">
            <v>A incluir</v>
          </cell>
          <cell r="F1053" t="e">
            <v>#N/A</v>
          </cell>
          <cell r="G1053" t="e">
            <v>#N/A</v>
          </cell>
        </row>
        <row r="1054">
          <cell r="A1054">
            <v>42496</v>
          </cell>
          <cell r="B1054" t="str">
            <v>Demolição e remoção de pavimento asfáltico em Vias Urbanas</v>
          </cell>
          <cell r="C1054" t="str">
            <v>m²</v>
          </cell>
          <cell r="D1054">
            <v>3.05</v>
          </cell>
          <cell r="E1054">
            <v>0</v>
          </cell>
          <cell r="F1054" t="e">
            <v>#N/A</v>
          </cell>
          <cell r="G1054" t="e">
            <v>#N/A</v>
          </cell>
        </row>
        <row r="1055">
          <cell r="A1055">
            <v>41133</v>
          </cell>
          <cell r="B1055" t="str">
            <v>Fresagem de pavimento asfáltico a frio, esp. até 15cm, exclusive transporte de materiais, em Vias Urbanas</v>
          </cell>
          <cell r="C1055" t="str">
            <v>m²</v>
          </cell>
          <cell r="D1055">
            <v>10.220000000000001</v>
          </cell>
          <cell r="E1055">
            <v>0</v>
          </cell>
          <cell r="F1055" t="e">
            <v>#N/A</v>
          </cell>
          <cell r="G1055" t="e">
            <v>#N/A</v>
          </cell>
        </row>
        <row r="1056">
          <cell r="A1056">
            <v>42479</v>
          </cell>
          <cell r="B1056" t="str">
            <v>Fresagem de pavimento asfáltico a frio, esp=5cm, exclusive transporte de materiais em Vias Urbanas</v>
          </cell>
          <cell r="C1056" t="str">
            <v>m²</v>
          </cell>
          <cell r="D1056">
            <v>7.25</v>
          </cell>
          <cell r="E1056">
            <v>0</v>
          </cell>
          <cell r="F1056" t="e">
            <v>#N/A</v>
          </cell>
          <cell r="G1056" t="e">
            <v>#N/A</v>
          </cell>
        </row>
        <row r="1057">
          <cell r="A1057">
            <v>43333</v>
          </cell>
          <cell r="B1057" t="str">
            <v>Imprimação exclusive fornecimento e transporte comercial do material betuminoso em Vias Urbanas</v>
          </cell>
          <cell r="C1057" t="str">
            <v>m²</v>
          </cell>
          <cell r="D1057">
            <v>1.02</v>
          </cell>
          <cell r="E1057">
            <v>0</v>
          </cell>
          <cell r="F1057" t="e">
            <v>#N/A</v>
          </cell>
          <cell r="G1057" t="e">
            <v>#N/A</v>
          </cell>
        </row>
        <row r="1058">
          <cell r="A1058">
            <v>42484</v>
          </cell>
          <cell r="B1058" t="str">
            <v>Imprimação inclusive fornecimento e transporte comercial do material betuminoso em Vias Urbanas</v>
          </cell>
          <cell r="C1058" t="str">
            <v>m²</v>
          </cell>
          <cell r="D1058">
            <v>5.73</v>
          </cell>
          <cell r="E1058" t="str">
            <v>A incluir</v>
          </cell>
          <cell r="F1058" t="e">
            <v>#N/A</v>
          </cell>
          <cell r="G1058" t="e">
            <v>#N/A</v>
          </cell>
        </row>
        <row r="1059">
          <cell r="A1059">
            <v>42497</v>
          </cell>
          <cell r="B1059" t="str">
            <v>Micro revestimento asfáltico à frio inclusive fornecimento e transporte comercial do material betuminoso, em Vias Urbanas</v>
          </cell>
          <cell r="C1059" t="str">
            <v>m²</v>
          </cell>
          <cell r="D1059">
            <v>12.55</v>
          </cell>
          <cell r="E1059" t="str">
            <v>A incluir</v>
          </cell>
          <cell r="F1059" t="e">
            <v>#N/A</v>
          </cell>
          <cell r="G1059" t="e">
            <v>#N/A</v>
          </cell>
        </row>
        <row r="1060">
          <cell r="A1060">
            <v>42493</v>
          </cell>
          <cell r="B1060" t="str">
            <v>Obturação de buracos c/ CBUQ inclusive fornecimento e transporte comercial dos materiais betuminosos em Vias Urbanas</v>
          </cell>
          <cell r="C1060" t="str">
            <v>m²</v>
          </cell>
          <cell r="D1060">
            <v>69.92</v>
          </cell>
          <cell r="E1060" t="str">
            <v>A incluir</v>
          </cell>
          <cell r="F1060" t="e">
            <v>#N/A</v>
          </cell>
          <cell r="G1060" t="e">
            <v>#N/A</v>
          </cell>
        </row>
        <row r="1061">
          <cell r="A1061">
            <v>42494</v>
          </cell>
          <cell r="B1061" t="str">
            <v>Obturação de buracos c/ CBUQ inclusive fornecimento e transporte dos materiais betuminosos em Vias Urbanas</v>
          </cell>
          <cell r="C1061" t="str">
            <v>t</v>
          </cell>
          <cell r="D1061">
            <v>370.73</v>
          </cell>
          <cell r="E1061" t="str">
            <v>A incluir</v>
          </cell>
          <cell r="F1061" t="e">
            <v>#N/A</v>
          </cell>
          <cell r="G1061" t="e">
            <v>#N/A</v>
          </cell>
        </row>
        <row r="1062">
          <cell r="A1062">
            <v>42498</v>
          </cell>
          <cell r="B1062" t="str">
            <v>Pavimentação com blocos de concreto (35 MPa), esp.=06cm, sobre colchão areia esp.=5cm, inclusive fornecim. e transporte blocos e areia,  Vias Urbanas</v>
          </cell>
          <cell r="C1062" t="str">
            <v>m²</v>
          </cell>
          <cell r="D1062">
            <v>73.23</v>
          </cell>
          <cell r="E1062" t="str">
            <v>A incluir</v>
          </cell>
          <cell r="F1062" t="e">
            <v>#N/A</v>
          </cell>
          <cell r="G1062" t="e">
            <v>#N/A</v>
          </cell>
        </row>
        <row r="1063">
          <cell r="A1063">
            <v>42499</v>
          </cell>
          <cell r="B1063" t="str">
            <v>Pavimentação com blocos de concreto (35 MPa), esp.=08cm, sobre colchão de areia 5cm, inclusive fornecim. e transporte blocos e areia, em Vias Urbanas</v>
          </cell>
          <cell r="C1063" t="str">
            <v>m²</v>
          </cell>
          <cell r="D1063">
            <v>79.75</v>
          </cell>
          <cell r="E1063" t="str">
            <v>A incluir</v>
          </cell>
          <cell r="F1063" t="e">
            <v>#N/A</v>
          </cell>
          <cell r="G1063" t="e">
            <v>#N/A</v>
          </cell>
        </row>
        <row r="1064">
          <cell r="A1064">
            <v>42500</v>
          </cell>
          <cell r="B1064" t="str">
            <v>Pavimentação com blocos de concreto (35 MPa), esp.=10cm, sobre colchão de areia esp.= 5cm, inclusive fornecim.e transporte blocos e areia,Vias Urbanas</v>
          </cell>
          <cell r="C1064" t="str">
            <v>m²</v>
          </cell>
          <cell r="D1064">
            <v>94.74</v>
          </cell>
          <cell r="E1064" t="str">
            <v>A incluir</v>
          </cell>
          <cell r="F1064" t="e">
            <v>#N/A</v>
          </cell>
          <cell r="G1064" t="e">
            <v>#N/A</v>
          </cell>
        </row>
        <row r="1065">
          <cell r="A1065">
            <v>42501</v>
          </cell>
          <cell r="B1065" t="str">
            <v>Pavimentação com paralelepípedo, colchão areia 5cm, inclusive fornecimento e transporte do paralelepípedo e areia, em Vias Urbanas</v>
          </cell>
          <cell r="C1065" t="str">
            <v>m²</v>
          </cell>
          <cell r="D1065">
            <v>91.84</v>
          </cell>
          <cell r="E1065" t="str">
            <v>A incluir</v>
          </cell>
          <cell r="F1065" t="e">
            <v>#N/A</v>
          </cell>
          <cell r="G1065" t="e">
            <v>#N/A</v>
          </cell>
        </row>
        <row r="1066">
          <cell r="A1066">
            <v>42502</v>
          </cell>
          <cell r="B1066" t="str">
            <v>Pavimentação com paralelepípedo sobre colchão pó de pedra esp.=5cm, inclusive fornecimento e transporte do paralelepípedo e pó de pedra, Vias Urbanas</v>
          </cell>
          <cell r="C1066" t="str">
            <v>m²</v>
          </cell>
          <cell r="D1066">
            <v>90.04</v>
          </cell>
          <cell r="E1066" t="str">
            <v>A incluir</v>
          </cell>
          <cell r="F1066" t="e">
            <v>#N/A</v>
          </cell>
          <cell r="G1066" t="e">
            <v>#N/A</v>
          </cell>
        </row>
        <row r="1067">
          <cell r="A1067">
            <v>42503</v>
          </cell>
          <cell r="B1067" t="str">
            <v>Pavimentação com pedra portuguesa, inclusive fornecimento e transporte do cimento, areia e pedra portuguesa em Vias Urbanas</v>
          </cell>
          <cell r="C1067" t="str">
            <v>m²</v>
          </cell>
          <cell r="D1067">
            <v>125.03</v>
          </cell>
          <cell r="E1067" t="str">
            <v>A incluir</v>
          </cell>
          <cell r="F1067" t="e">
            <v>#N/A</v>
          </cell>
          <cell r="G1067" t="e">
            <v>#N/A</v>
          </cell>
        </row>
        <row r="1068">
          <cell r="A1068">
            <v>43334</v>
          </cell>
          <cell r="B1068" t="str">
            <v>Pintura de ligação exclusive fornecimento e transporte comercial do material betuminoso em Vias Urbanas</v>
          </cell>
          <cell r="C1068" t="str">
            <v>m²</v>
          </cell>
          <cell r="D1068">
            <v>0.85</v>
          </cell>
          <cell r="E1068">
            <v>0</v>
          </cell>
          <cell r="F1068" t="e">
            <v>#N/A</v>
          </cell>
          <cell r="G1068" t="e">
            <v>#N/A</v>
          </cell>
        </row>
        <row r="1069">
          <cell r="A1069">
            <v>42485</v>
          </cell>
          <cell r="B1069" t="str">
            <v>Pintura de ligação inclusive fornecimento e transporte comercial do material betuminoso em Vias Urbanas</v>
          </cell>
          <cell r="C1069" t="str">
            <v>m²</v>
          </cell>
          <cell r="D1069">
            <v>2.0299999999999998</v>
          </cell>
          <cell r="E1069" t="str">
            <v>A incluir</v>
          </cell>
          <cell r="F1069" t="e">
            <v>#N/A</v>
          </cell>
          <cell r="G1069" t="e">
            <v>#N/A</v>
          </cell>
        </row>
        <row r="1070">
          <cell r="A1070">
            <v>42478</v>
          </cell>
          <cell r="B1070" t="str">
            <v>Regularização e compactação do sub-leito (100% P.N.) H=0,15m em Vias Urbanas</v>
          </cell>
          <cell r="C1070" t="str">
            <v>m²</v>
          </cell>
          <cell r="D1070">
            <v>2.88</v>
          </cell>
          <cell r="E1070">
            <v>0</v>
          </cell>
          <cell r="F1070" t="e">
            <v>#N/A</v>
          </cell>
          <cell r="G1070" t="e">
            <v>#N/A</v>
          </cell>
        </row>
        <row r="1071">
          <cell r="A1071">
            <v>42477</v>
          </cell>
          <cell r="B1071" t="str">
            <v>Regularização e compactação do sub-leito (100% P.N.) H=0,20m Vias Urbanas</v>
          </cell>
          <cell r="C1071" t="str">
            <v>m²</v>
          </cell>
          <cell r="D1071">
            <v>3.81</v>
          </cell>
          <cell r="E1071">
            <v>0</v>
          </cell>
          <cell r="F1071" t="e">
            <v>#N/A</v>
          </cell>
          <cell r="G1071" t="e">
            <v>#N/A</v>
          </cell>
        </row>
        <row r="1072">
          <cell r="A1072">
            <v>42495</v>
          </cell>
          <cell r="B1072" t="str">
            <v>Remoção de capa asfáltica em TSS, TSD, ou TST exclusive transporte em Vias Urbanas</v>
          </cell>
          <cell r="C1072" t="str">
            <v>m²</v>
          </cell>
          <cell r="D1072">
            <v>0.98</v>
          </cell>
          <cell r="E1072">
            <v>0</v>
          </cell>
          <cell r="F1072" t="e">
            <v>#N/A</v>
          </cell>
          <cell r="G1072" t="e">
            <v>#N/A</v>
          </cell>
        </row>
        <row r="1073">
          <cell r="A1073">
            <v>42507</v>
          </cell>
          <cell r="B1073" t="str">
            <v>Remoção de meio fio em Vias Urbanas</v>
          </cell>
          <cell r="C1073" t="str">
            <v>m</v>
          </cell>
          <cell r="D1073">
            <v>23.6</v>
          </cell>
          <cell r="E1073">
            <v>0</v>
          </cell>
          <cell r="F1073" t="e">
            <v>#N/A</v>
          </cell>
          <cell r="G1073" t="e">
            <v>#N/A</v>
          </cell>
        </row>
        <row r="1074">
          <cell r="A1074">
            <v>42505</v>
          </cell>
          <cell r="B1074" t="str">
            <v>Remoção de pavimentação poliédrica em Vias Urbanas</v>
          </cell>
          <cell r="C1074" t="str">
            <v>m²</v>
          </cell>
          <cell r="D1074">
            <v>19.149999999999999</v>
          </cell>
          <cell r="E1074">
            <v>0</v>
          </cell>
          <cell r="F1074" t="e">
            <v>#N/A</v>
          </cell>
          <cell r="G1074" t="e">
            <v>#N/A</v>
          </cell>
        </row>
        <row r="1075">
          <cell r="A1075">
            <v>42504</v>
          </cell>
          <cell r="B1075" t="str">
            <v>Remoção e reassentamento de blocos de concreto, inclusive perdas em Vias Urbanas</v>
          </cell>
          <cell r="C1075" t="str">
            <v>m²</v>
          </cell>
          <cell r="D1075">
            <v>45.44</v>
          </cell>
          <cell r="E1075" t="str">
            <v>A incluir</v>
          </cell>
          <cell r="F1075" t="e">
            <v>#N/A</v>
          </cell>
          <cell r="G1075" t="e">
            <v>#N/A</v>
          </cell>
        </row>
        <row r="1076">
          <cell r="A1076">
            <v>42506</v>
          </cell>
          <cell r="B1076" t="str">
            <v>Remoção e reassentamento de paralelepípedos, inclusive perdas em Vias Urbanas</v>
          </cell>
          <cell r="C1076" t="str">
            <v>m²</v>
          </cell>
          <cell r="D1076">
            <v>45.15</v>
          </cell>
          <cell r="E1076" t="str">
            <v>A incluir</v>
          </cell>
          <cell r="F1076" t="e">
            <v>#N/A</v>
          </cell>
          <cell r="G1076" t="e">
            <v>#N/A</v>
          </cell>
        </row>
        <row r="1077">
          <cell r="A1077">
            <v>42482</v>
          </cell>
          <cell r="B1077" t="str">
            <v>Sub-base de brita graduada, inclusive fornecimento e transporte da brita em Vias Urbanas</v>
          </cell>
          <cell r="C1077" t="str">
            <v>m³</v>
          </cell>
          <cell r="D1077">
            <v>105.93</v>
          </cell>
          <cell r="E1077" t="str">
            <v>A incluir</v>
          </cell>
          <cell r="F1077" t="e">
            <v>#N/A</v>
          </cell>
          <cell r="G1077" t="e">
            <v>#N/A</v>
          </cell>
        </row>
        <row r="1078">
          <cell r="A1078">
            <v>42702</v>
          </cell>
          <cell r="B1078" t="str">
            <v>Sub-base de brita 1, inclusive fornecimento, exclusive transporte da brita em Vias Urbanas</v>
          </cell>
          <cell r="C1078" t="str">
            <v>m³</v>
          </cell>
          <cell r="D1078">
            <v>105.89</v>
          </cell>
          <cell r="E1078">
            <v>0</v>
          </cell>
          <cell r="F1078" t="e">
            <v>#N/A</v>
          </cell>
          <cell r="G1078" t="e">
            <v>#N/A</v>
          </cell>
        </row>
        <row r="1079">
          <cell r="A1079">
            <v>42480</v>
          </cell>
          <cell r="B1079" t="str">
            <v>Sub-base solo brita, 50% em peso, inclusive fornecimento e transporte da brita em Vias Urbanas</v>
          </cell>
          <cell r="C1079" t="str">
            <v>m³</v>
          </cell>
          <cell r="D1079">
            <v>73.62</v>
          </cell>
          <cell r="E1079" t="str">
            <v>A incluir</v>
          </cell>
          <cell r="F1079" t="e">
            <v>#N/A</v>
          </cell>
          <cell r="G1079" t="e">
            <v>#N/A</v>
          </cell>
        </row>
        <row r="1080">
          <cell r="A1080">
            <v>42489</v>
          </cell>
          <cell r="B1080" t="str">
            <v>T.S.B.D. com capa selante, executado com Multidistribuidor inclusive fornecimento e transporte da emulsão, areia, brita e lavagem da brita -V. Urbanas</v>
          </cell>
          <cell r="C1080" t="str">
            <v>m²</v>
          </cell>
          <cell r="D1080">
            <v>10.61</v>
          </cell>
          <cell r="E1080" t="str">
            <v>A incluir</v>
          </cell>
          <cell r="F1080" t="e">
            <v>#N/A</v>
          </cell>
          <cell r="G1080" t="e">
            <v>#N/A</v>
          </cell>
        </row>
        <row r="1081">
          <cell r="A1081">
            <v>42487</v>
          </cell>
          <cell r="B1081" t="str">
            <v>T.S.B.D. com capa selante inclusive fornec. areia/brita/emulsão, transporte comerc. emulsão e lavagem brita, exclus. transp. areia e brita - V.Urbana</v>
          </cell>
          <cell r="C1081" t="str">
            <v>m²</v>
          </cell>
          <cell r="D1081">
            <v>15.48</v>
          </cell>
          <cell r="E1081" t="str">
            <v>A incluir</v>
          </cell>
          <cell r="F1081" t="e">
            <v>#N/A</v>
          </cell>
          <cell r="G1081" t="e">
            <v>#N/A</v>
          </cell>
        </row>
        <row r="1082">
          <cell r="A1082">
            <v>42847</v>
          </cell>
          <cell r="B1082" t="str">
            <v>T.S.B.D. com capa selante inclusive fornec.areia/brita/emulsão, transp.comercial emulsão e lavagem brita, exclus. transp. areia e brita- Vias Urbanas</v>
          </cell>
          <cell r="C1082" t="str">
            <v>m²</v>
          </cell>
          <cell r="D1082">
            <v>16.510000000000002</v>
          </cell>
          <cell r="E1082" t="str">
            <v>A incluir</v>
          </cell>
          <cell r="F1082" t="e">
            <v>#N/A</v>
          </cell>
          <cell r="G1082" t="e">
            <v>#N/A</v>
          </cell>
        </row>
        <row r="1083">
          <cell r="A1083">
            <v>42486</v>
          </cell>
          <cell r="B1083" t="str">
            <v>T.S.B.D. sem capa selante, inclusive fornecimento e transporte comercial do material betuminoso e lavagem da brita em Vias Urbanas</v>
          </cell>
          <cell r="C1083" t="str">
            <v>m²</v>
          </cell>
          <cell r="D1083">
            <v>10.01</v>
          </cell>
          <cell r="E1083" t="str">
            <v>A incluir</v>
          </cell>
          <cell r="F1083" t="e">
            <v>#N/A</v>
          </cell>
          <cell r="G1083" t="e">
            <v>#N/A</v>
          </cell>
        </row>
        <row r="1084">
          <cell r="A1084">
            <v>42488</v>
          </cell>
          <cell r="B1084" t="str">
            <v>T.S.B.D. sem capa selante executado com Multidistribuidor excl. forn.e transp. com. da emulsão, inclus. fornecim., transp.e lavagem brita, V.Urbanas</v>
          </cell>
          <cell r="C1084" t="str">
            <v>m²</v>
          </cell>
          <cell r="D1084">
            <v>7.32</v>
          </cell>
          <cell r="E1084" t="str">
            <v>A incluir</v>
          </cell>
          <cell r="F1084" t="e">
            <v>#N/A</v>
          </cell>
          <cell r="G1084" t="e">
            <v>#N/A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A1086" t="str">
            <v>Grupo de Serviço: 63 - OBRAS DE ARTE CORRENTES E DRENAGEM - VIAS URBANAS</v>
          </cell>
          <cell r="B1086">
            <v>0</v>
          </cell>
          <cell r="C1086">
            <v>0</v>
          </cell>
          <cell r="E1086" t="e">
            <v>#N/A</v>
          </cell>
          <cell r="F1086" t="e">
            <v>#N/A</v>
          </cell>
          <cell r="G1086" t="e">
            <v>#N/A</v>
          </cell>
        </row>
        <row r="1087">
          <cell r="A1087">
            <v>42601</v>
          </cell>
          <cell r="B1087" t="str">
            <v>Alvenaria de bloco (39 x 19 x 09) cm espessura 09 cm em Vias Urbanas, inclusive transporte, areia, cimento e bloco</v>
          </cell>
          <cell r="C1087" t="str">
            <v>m²</v>
          </cell>
          <cell r="D1087">
            <v>53.02</v>
          </cell>
          <cell r="E1087" t="str">
            <v>A incluir</v>
          </cell>
          <cell r="F1087" t="e">
            <v>#N/A</v>
          </cell>
          <cell r="G1087" t="e">
            <v>#N/A</v>
          </cell>
        </row>
        <row r="1088">
          <cell r="A1088">
            <v>43602</v>
          </cell>
          <cell r="B1088" t="str">
            <v>Alvenaria de bloco (39 x 19 x 19) cm espessura 19 cm em Vias Urbanas</v>
          </cell>
          <cell r="C1088" t="str">
            <v>m²</v>
          </cell>
          <cell r="D1088">
            <v>80.290000000000006</v>
          </cell>
          <cell r="E1088" t="str">
            <v>A incluir</v>
          </cell>
          <cell r="F1088" t="e">
            <v>#N/A</v>
          </cell>
          <cell r="G1088" t="e">
            <v>#N/A</v>
          </cell>
        </row>
        <row r="1089">
          <cell r="A1089">
            <v>42602</v>
          </cell>
          <cell r="B1089" t="str">
            <v>Alvenaria de bloco (39 x 19 x 19) cm espessura 19 cm, inclusive transporte de areia, cimento e bloco em Vias Urbanas</v>
          </cell>
          <cell r="C1089" t="str">
            <v>m²</v>
          </cell>
          <cell r="D1089">
            <v>87.64</v>
          </cell>
          <cell r="E1089" t="str">
            <v>A incluir</v>
          </cell>
          <cell r="F1089" t="e">
            <v>#N/A</v>
          </cell>
          <cell r="G1089" t="e">
            <v>#N/A</v>
          </cell>
        </row>
        <row r="1090">
          <cell r="A1090">
            <v>42603</v>
          </cell>
          <cell r="B1090" t="str">
            <v>Alvenaria de lajota (20 x 20 x 10) cm espessura 10 cm , inclusive transporte de areia, lajota e cimento, em Vias Urbanas</v>
          </cell>
          <cell r="C1090" t="str">
            <v>m²</v>
          </cell>
          <cell r="D1090">
            <v>62.75</v>
          </cell>
          <cell r="E1090" t="str">
            <v>A incluir</v>
          </cell>
          <cell r="F1090" t="e">
            <v>#N/A</v>
          </cell>
          <cell r="G1090" t="e">
            <v>#N/A</v>
          </cell>
        </row>
        <row r="1091">
          <cell r="A1091">
            <v>42604</v>
          </cell>
          <cell r="B1091" t="str">
            <v>Alvenaria de pedra de mão (junta seca), inclusive transporte da pedra em Vias Urbanas</v>
          </cell>
          <cell r="C1091" t="str">
            <v>m³</v>
          </cell>
          <cell r="D1091">
            <v>251.72</v>
          </cell>
          <cell r="E1091" t="str">
            <v>A incluir</v>
          </cell>
          <cell r="F1091" t="e">
            <v>#N/A</v>
          </cell>
          <cell r="G1091" t="e">
            <v>#N/A</v>
          </cell>
        </row>
        <row r="1092">
          <cell r="A1092">
            <v>42605</v>
          </cell>
          <cell r="B1092" t="str">
            <v>Alvenaria de pedra de mão argamassada (argamassa cimento areia 1:4) inclusive transporte da pedra de mão, em Vias Urbanas</v>
          </cell>
          <cell r="C1092" t="str">
            <v>m³</v>
          </cell>
          <cell r="D1092">
            <v>364.16</v>
          </cell>
          <cell r="E1092" t="str">
            <v>A incluir</v>
          </cell>
          <cell r="F1092" t="e">
            <v>#N/A</v>
          </cell>
          <cell r="G1092" t="e">
            <v>#N/A</v>
          </cell>
        </row>
        <row r="1093">
          <cell r="A1093">
            <v>42606</v>
          </cell>
          <cell r="B1093" t="str">
            <v>Andaime de madeira para altura até 7 m, compreendendo montagem e desmontagem em Vias Urbanas</v>
          </cell>
          <cell r="C1093" t="str">
            <v>m³</v>
          </cell>
          <cell r="D1093">
            <v>21.67</v>
          </cell>
          <cell r="E1093">
            <v>0</v>
          </cell>
          <cell r="F1093" t="e">
            <v>#N/A</v>
          </cell>
          <cell r="G1093" t="e">
            <v>#N/A</v>
          </cell>
        </row>
        <row r="1094">
          <cell r="A1094">
            <v>42607</v>
          </cell>
          <cell r="B1094" t="str">
            <v>Andaime suspenso em madeira, inclusive montagem e desmontagem em Vias Urbanas</v>
          </cell>
          <cell r="C1094" t="str">
            <v>m²</v>
          </cell>
          <cell r="D1094">
            <v>112.75</v>
          </cell>
          <cell r="E1094">
            <v>0</v>
          </cell>
          <cell r="F1094" t="e">
            <v>#N/A</v>
          </cell>
          <cell r="G1094" t="e">
            <v>#N/A</v>
          </cell>
        </row>
        <row r="1095">
          <cell r="A1095">
            <v>42608</v>
          </cell>
          <cell r="B1095" t="str">
            <v>Apicoamento manual de superfície de concreto em Vias Urbanas</v>
          </cell>
          <cell r="C1095" t="str">
            <v>m²</v>
          </cell>
          <cell r="D1095">
            <v>23.67</v>
          </cell>
          <cell r="E1095">
            <v>0</v>
          </cell>
          <cell r="F1095" t="e">
            <v>#N/A</v>
          </cell>
          <cell r="G1095" t="e">
            <v>#N/A</v>
          </cell>
        </row>
        <row r="1096">
          <cell r="A1096">
            <v>42609</v>
          </cell>
          <cell r="B1096" t="str">
            <v>Apiloamento manual em Vias Urbanas</v>
          </cell>
          <cell r="C1096" t="str">
            <v>m³</v>
          </cell>
          <cell r="D1096">
            <v>50.57</v>
          </cell>
          <cell r="E1096">
            <v>0</v>
          </cell>
          <cell r="F1096" t="e">
            <v>#N/A</v>
          </cell>
          <cell r="G1096" t="e">
            <v>#N/A</v>
          </cell>
        </row>
        <row r="1097">
          <cell r="A1097">
            <v>42611</v>
          </cell>
          <cell r="B1097" t="str">
            <v>Argamassa cimento e areia traço 1:4 em Vias Urbanas</v>
          </cell>
          <cell r="C1097" t="str">
            <v>m³</v>
          </cell>
          <cell r="D1097">
            <v>519.21</v>
          </cell>
          <cell r="E1097" t="str">
            <v>A incluir</v>
          </cell>
          <cell r="F1097" t="e">
            <v>#N/A</v>
          </cell>
          <cell r="G1097" t="e">
            <v>#N/A</v>
          </cell>
        </row>
        <row r="1098">
          <cell r="A1098">
            <v>42612</v>
          </cell>
          <cell r="B1098" t="str">
            <v>Argamassa cimento (nata) em Vias Urbanas</v>
          </cell>
          <cell r="C1098" t="str">
            <v>m³</v>
          </cell>
          <cell r="D1098">
            <v>968.86</v>
          </cell>
          <cell r="E1098" t="str">
            <v>A incluir</v>
          </cell>
          <cell r="F1098" t="e">
            <v>#N/A</v>
          </cell>
          <cell r="G1098" t="e">
            <v>#N/A</v>
          </cell>
        </row>
        <row r="1099">
          <cell r="A1099">
            <v>42613</v>
          </cell>
          <cell r="B1099" t="str">
            <v>Argamassa de cimento e areia, traço 1:4, consumo de cimento 400 kg/m³ em Vias Urbanas</v>
          </cell>
          <cell r="C1099" t="str">
            <v>m³</v>
          </cell>
          <cell r="D1099">
            <v>538.45000000000005</v>
          </cell>
          <cell r="E1099" t="str">
            <v>A incluir</v>
          </cell>
          <cell r="F1099" t="e">
            <v>#N/A</v>
          </cell>
          <cell r="G1099" t="e">
            <v>#N/A</v>
          </cell>
        </row>
        <row r="1100">
          <cell r="A1100">
            <v>42615</v>
          </cell>
          <cell r="B1100" t="str">
            <v>Berço de concreto ciclópico para BDTC diâmetro 0,60 m em Via Urbanas</v>
          </cell>
          <cell r="C1100" t="str">
            <v>m</v>
          </cell>
          <cell r="D1100">
            <v>254.52</v>
          </cell>
          <cell r="E1100" t="str">
            <v>A incluir</v>
          </cell>
          <cell r="F1100" t="e">
            <v>#N/A</v>
          </cell>
          <cell r="G1100" t="e">
            <v>#N/A</v>
          </cell>
        </row>
        <row r="1101">
          <cell r="A1101">
            <v>41173</v>
          </cell>
          <cell r="B1101" t="str">
            <v>Berço em brita para BSTC diâm. = 0,30 m em Vias Urbanas</v>
          </cell>
          <cell r="C1101" t="str">
            <v>m</v>
          </cell>
          <cell r="D1101">
            <v>16.149999999999999</v>
          </cell>
          <cell r="E1101" t="str">
            <v>A incluir</v>
          </cell>
          <cell r="F1101" t="e">
            <v>#N/A</v>
          </cell>
          <cell r="G1101" t="e">
            <v>#N/A</v>
          </cell>
        </row>
        <row r="1102">
          <cell r="A1102">
            <v>41174</v>
          </cell>
          <cell r="B1102" t="str">
            <v>Berço em brita para BSTC diâm. = 0,40 m em Vias Urbanas</v>
          </cell>
          <cell r="C1102" t="str">
            <v>m</v>
          </cell>
          <cell r="D1102">
            <v>17.2</v>
          </cell>
          <cell r="E1102" t="str">
            <v>A incluir</v>
          </cell>
          <cell r="F1102" t="e">
            <v>#N/A</v>
          </cell>
          <cell r="G1102" t="e">
            <v>#N/A</v>
          </cell>
        </row>
        <row r="1103">
          <cell r="A1103">
            <v>41175</v>
          </cell>
          <cell r="B1103" t="str">
            <v>Berço em brita para BSTC diâm. = 0,60 m em Vias Urbanas</v>
          </cell>
          <cell r="C1103" t="str">
            <v>m</v>
          </cell>
          <cell r="D1103">
            <v>21.34</v>
          </cell>
          <cell r="E1103" t="str">
            <v>A incluir</v>
          </cell>
          <cell r="F1103" t="e">
            <v>#N/A</v>
          </cell>
          <cell r="G1103" t="e">
            <v>#N/A</v>
          </cell>
        </row>
        <row r="1104">
          <cell r="A1104">
            <v>41176</v>
          </cell>
          <cell r="B1104" t="str">
            <v>Berço em brita para BSTC diam. = 0,80 m em Vias Urbanas</v>
          </cell>
          <cell r="C1104" t="str">
            <v>m</v>
          </cell>
          <cell r="D1104">
            <v>31.71</v>
          </cell>
          <cell r="E1104" t="str">
            <v>A incluir</v>
          </cell>
          <cell r="F1104" t="e">
            <v>#N/A</v>
          </cell>
          <cell r="G1104" t="e">
            <v>#N/A</v>
          </cell>
        </row>
        <row r="1105">
          <cell r="A1105">
            <v>42635</v>
          </cell>
          <cell r="B1105" t="str">
            <v>Boca de BDCC 2,00 x 1,20m conforme projeto em Vias Urbanas</v>
          </cell>
          <cell r="C1105" t="str">
            <v>un</v>
          </cell>
          <cell r="D1105">
            <v>12945.99</v>
          </cell>
          <cell r="E1105">
            <v>0</v>
          </cell>
          <cell r="F1105" t="e">
            <v>#N/A</v>
          </cell>
          <cell r="G1105" t="e">
            <v>#N/A</v>
          </cell>
        </row>
        <row r="1106">
          <cell r="A1106">
            <v>40628</v>
          </cell>
          <cell r="B1106" t="str">
            <v>Boca de BDCC 2,00 x 2,50 m em Vias Urbanas</v>
          </cell>
          <cell r="C1106" t="str">
            <v>un</v>
          </cell>
          <cell r="D1106">
            <v>26106.48</v>
          </cell>
          <cell r="E1106">
            <v>0</v>
          </cell>
          <cell r="F1106" t="e">
            <v>#N/A</v>
          </cell>
          <cell r="G1106" t="e">
            <v>#N/A</v>
          </cell>
        </row>
        <row r="1107">
          <cell r="A1107">
            <v>40619</v>
          </cell>
          <cell r="B1107" t="str">
            <v>Boca de BSCC 2,50 x 2,50 m, projeto DNIT em Vias Urbanas</v>
          </cell>
          <cell r="C1107" t="str">
            <v>un</v>
          </cell>
          <cell r="D1107">
            <v>24190.04</v>
          </cell>
          <cell r="E1107">
            <v>0</v>
          </cell>
          <cell r="F1107" t="e">
            <v>#N/A</v>
          </cell>
          <cell r="G1107" t="e">
            <v>#N/A</v>
          </cell>
        </row>
        <row r="1108">
          <cell r="A1108">
            <v>41087</v>
          </cell>
          <cell r="B1108" t="str">
            <v>Boca de lobo simples em blocos pré-moldados CR(0,40 x 0,80 m) em Vias Urbanas</v>
          </cell>
          <cell r="C1108" t="str">
            <v>un</v>
          </cell>
          <cell r="D1108">
            <v>1284.8900000000001</v>
          </cell>
          <cell r="E1108">
            <v>0</v>
          </cell>
          <cell r="F1108" t="e">
            <v>#N/A</v>
          </cell>
          <cell r="G1108" t="e">
            <v>#N/A</v>
          </cell>
        </row>
        <row r="1109">
          <cell r="A1109">
            <v>42676</v>
          </cell>
          <cell r="B1109" t="str">
            <v>Bueiro Metálico BSTM - D= 3,00 m - T.L. com tratamento epóxi e=2,7 mm - método não destrutivo em Vias Urbanas</v>
          </cell>
          <cell r="C1109" t="str">
            <v>m</v>
          </cell>
          <cell r="D1109">
            <v>10098.94</v>
          </cell>
          <cell r="E1109" t="str">
            <v>A incluir</v>
          </cell>
          <cell r="F1109" t="e">
            <v>#N/A</v>
          </cell>
          <cell r="G1109" t="e">
            <v>#N/A</v>
          </cell>
        </row>
        <row r="1110">
          <cell r="A1110">
            <v>42677</v>
          </cell>
          <cell r="B1110" t="str">
            <v>Bueiro Metálico BSTM - D=3,05m - MP-152 com tratamento epóxi e=2,7mm - método destrutivo, inclusive lastro de brita em Vias Urbanas</v>
          </cell>
          <cell r="C1110" t="str">
            <v>m</v>
          </cell>
          <cell r="D1110">
            <v>7055.45</v>
          </cell>
          <cell r="E1110" t="str">
            <v>A incluir</v>
          </cell>
          <cell r="F1110" t="e">
            <v>#N/A</v>
          </cell>
          <cell r="G1110" t="e">
            <v>#N/A</v>
          </cell>
        </row>
        <row r="1111">
          <cell r="A1111">
            <v>42678</v>
          </cell>
          <cell r="B1111" t="str">
            <v>Caiação de meio fios, sarjetas, etc. em Vias Urbanas</v>
          </cell>
          <cell r="C1111" t="str">
            <v>m²</v>
          </cell>
          <cell r="D1111">
            <v>6.01</v>
          </cell>
          <cell r="E1111">
            <v>0</v>
          </cell>
          <cell r="F1111" t="e">
            <v>#N/A</v>
          </cell>
          <cell r="G1111" t="e">
            <v>#N/A</v>
          </cell>
        </row>
        <row r="1112">
          <cell r="A1112">
            <v>41159</v>
          </cell>
          <cell r="B1112" t="str">
            <v>Caixa Boca de Lobo em bloco pré-moldado de concreto para diâm.=1,00m (1,30 x 1,30m) em Vias Urbanas</v>
          </cell>
          <cell r="C1112" t="str">
            <v>un</v>
          </cell>
          <cell r="D1112">
            <v>2983.23</v>
          </cell>
          <cell r="E1112">
            <v>0</v>
          </cell>
          <cell r="F1112" t="e">
            <v>#N/A</v>
          </cell>
          <cell r="G1112" t="e">
            <v>#N/A</v>
          </cell>
        </row>
        <row r="1113">
          <cell r="A1113">
            <v>41144</v>
          </cell>
          <cell r="B1113" t="str">
            <v>Caixa Boca de Lobo em bloco pré-moldado para diâm. = 0,60m (1,00 x 1,00m) CBL2 (Vias Urbanas)</v>
          </cell>
          <cell r="C1113" t="str">
            <v>un</v>
          </cell>
          <cell r="D1113">
            <v>2191.59</v>
          </cell>
          <cell r="E1113">
            <v>0</v>
          </cell>
          <cell r="F1113" t="e">
            <v>#N/A</v>
          </cell>
          <cell r="G1113" t="e">
            <v>#N/A</v>
          </cell>
        </row>
        <row r="1114">
          <cell r="A1114">
            <v>41158</v>
          </cell>
          <cell r="B1114" t="str">
            <v>Caixa Boca de Lobo em bloco pré-moldado para diâm. = 0,80m (1,20 x 1,20m) (Vias Urbanas)</v>
          </cell>
          <cell r="C1114" t="str">
            <v>un</v>
          </cell>
          <cell r="D1114">
            <v>2557.41</v>
          </cell>
          <cell r="E1114">
            <v>0</v>
          </cell>
          <cell r="F1114" t="e">
            <v>#N/A</v>
          </cell>
          <cell r="G1114" t="e">
            <v>#N/A</v>
          </cell>
        </row>
        <row r="1115">
          <cell r="A1115">
            <v>41160</v>
          </cell>
          <cell r="B1115" t="str">
            <v>Caixa Boca de Lobo em bloco pré-moldado para diâm. = 1,20m(1,50 x 1,50m) (Vias Urbanas)</v>
          </cell>
          <cell r="C1115" t="str">
            <v>un</v>
          </cell>
          <cell r="D1115">
            <v>3799.34</v>
          </cell>
          <cell r="E1115">
            <v>0</v>
          </cell>
          <cell r="F1115" t="e">
            <v>#N/A</v>
          </cell>
          <cell r="G1115" t="e">
            <v>#N/A</v>
          </cell>
        </row>
        <row r="1116">
          <cell r="A1116">
            <v>41101</v>
          </cell>
          <cell r="B1116" t="str">
            <v>Caixa Boca de Lobo em bloco pré-moldado para diâm.= 0,30m e 0,40m (0,80 x 0,80m) (Vias Urbanas)</v>
          </cell>
          <cell r="C1116" t="str">
            <v>un</v>
          </cell>
          <cell r="D1116">
            <v>1838.07</v>
          </cell>
          <cell r="E1116">
            <v>0</v>
          </cell>
          <cell r="F1116" t="e">
            <v>#N/A</v>
          </cell>
          <cell r="G1116" t="e">
            <v>#N/A</v>
          </cell>
        </row>
        <row r="1117">
          <cell r="A1117">
            <v>42679</v>
          </cell>
          <cell r="B1117" t="str">
            <v>Caixa Boca de Lobo em bloco pré-moldado 1,20 x 1,20m em Vias Urbanas</v>
          </cell>
          <cell r="C1117" t="str">
            <v>un</v>
          </cell>
          <cell r="D1117">
            <v>4108.88</v>
          </cell>
          <cell r="E1117">
            <v>0</v>
          </cell>
          <cell r="F1117" t="e">
            <v>#N/A</v>
          </cell>
          <cell r="G1117" t="e">
            <v>#N/A</v>
          </cell>
        </row>
        <row r="1118">
          <cell r="A1118">
            <v>42680</v>
          </cell>
          <cell r="B1118" t="str">
            <v>Caixa coletora concreto armado H= 2,00m, inclusive escavação em Vias Urbanas</v>
          </cell>
          <cell r="C1118" t="str">
            <v>un</v>
          </cell>
          <cell r="D1118">
            <v>4331.59</v>
          </cell>
          <cell r="E1118">
            <v>0</v>
          </cell>
          <cell r="F1118" t="e">
            <v>#N/A</v>
          </cell>
          <cell r="G1118" t="e">
            <v>#N/A</v>
          </cell>
        </row>
        <row r="1119">
          <cell r="A1119">
            <v>42681</v>
          </cell>
          <cell r="B1119" t="str">
            <v>Caixa coletora concreto armado H= 2,50m, inclusive escavação em Vias Urbanas</v>
          </cell>
          <cell r="C1119" t="str">
            <v>un</v>
          </cell>
          <cell r="D1119">
            <v>5317.43</v>
          </cell>
          <cell r="E1119">
            <v>0</v>
          </cell>
          <cell r="F1119" t="e">
            <v>#N/A</v>
          </cell>
          <cell r="G1119" t="e">
            <v>#N/A</v>
          </cell>
        </row>
        <row r="1120">
          <cell r="A1120">
            <v>42682</v>
          </cell>
          <cell r="B1120" t="str">
            <v>Caixa coletora em bloco pré-moldado para d=0,60m (1,00 x 1,00m) em Vias Urbanas</v>
          </cell>
          <cell r="C1120" t="str">
            <v>un</v>
          </cell>
          <cell r="D1120">
            <v>2089.1</v>
          </cell>
          <cell r="E1120" t="str">
            <v>A incluir</v>
          </cell>
          <cell r="F1120" t="e">
            <v>#N/A</v>
          </cell>
          <cell r="G1120" t="e">
            <v>#N/A</v>
          </cell>
        </row>
        <row r="1121">
          <cell r="A1121">
            <v>41334</v>
          </cell>
          <cell r="B1121" t="str">
            <v>Caixa coletora em bloco pré-moldado para d=0,80m (1,20 x 1,20m) em Vias Urbanas</v>
          </cell>
          <cell r="C1121" t="str">
            <v>un</v>
          </cell>
          <cell r="D1121">
            <v>2633.48</v>
          </cell>
          <cell r="E1121" t="str">
            <v>A incluir</v>
          </cell>
          <cell r="F1121" t="e">
            <v>#N/A</v>
          </cell>
          <cell r="G1121" t="e">
            <v>#N/A</v>
          </cell>
        </row>
        <row r="1122">
          <cell r="A1122">
            <v>42683</v>
          </cell>
          <cell r="B1122" t="str">
            <v>Caixa de concreto para BSTC diâmetro 0,40 m H=1,60 m em Vias Urbanas</v>
          </cell>
          <cell r="C1122" t="str">
            <v>un</v>
          </cell>
          <cell r="D1122">
            <v>2000.17</v>
          </cell>
          <cell r="E1122" t="str">
            <v>A incluir</v>
          </cell>
          <cell r="F1122" t="e">
            <v>#N/A</v>
          </cell>
          <cell r="G1122" t="e">
            <v>#N/A</v>
          </cell>
        </row>
        <row r="1123">
          <cell r="A1123">
            <v>42684</v>
          </cell>
          <cell r="B1123" t="str">
            <v>Caixa de concreto para BSTC diâmetro 0,60m H=2,00m em Vias Urbanas</v>
          </cell>
          <cell r="C1123" t="str">
            <v>un</v>
          </cell>
          <cell r="D1123">
            <v>3103.07</v>
          </cell>
          <cell r="E1123" t="str">
            <v>A incluir</v>
          </cell>
          <cell r="F1123" t="e">
            <v>#N/A</v>
          </cell>
          <cell r="G1123" t="e">
            <v>#N/A</v>
          </cell>
        </row>
        <row r="1124">
          <cell r="A1124">
            <v>42685</v>
          </cell>
          <cell r="B1124" t="str">
            <v>Caixa de concreto para BSTC diâmetro 0,80m H=2,50m em Vias Urbanas</v>
          </cell>
          <cell r="C1124" t="str">
            <v>un</v>
          </cell>
          <cell r="D1124">
            <v>3849.37</v>
          </cell>
          <cell r="E1124" t="str">
            <v>A incluir</v>
          </cell>
          <cell r="F1124" t="e">
            <v>#N/A</v>
          </cell>
          <cell r="G1124" t="e">
            <v>#N/A</v>
          </cell>
        </row>
        <row r="1125">
          <cell r="A1125">
            <v>42686</v>
          </cell>
          <cell r="B1125" t="str">
            <v>Caixa de concreto para BSTC diâmetro 1,00m H=3,00m em Vias Urbanas</v>
          </cell>
          <cell r="C1125" t="str">
            <v>un</v>
          </cell>
          <cell r="D1125">
            <v>4569.59</v>
          </cell>
          <cell r="E1125" t="str">
            <v>A incluir</v>
          </cell>
          <cell r="F1125" t="e">
            <v>#N/A</v>
          </cell>
          <cell r="G1125" t="e">
            <v>#N/A</v>
          </cell>
        </row>
        <row r="1126">
          <cell r="A1126">
            <v>41162</v>
          </cell>
          <cell r="B1126" t="str">
            <v>Caixa de passagem em bloco pré-moldado para d=0,30 e 0,40m (0,80x0,80m) em Vias Urbanas</v>
          </cell>
          <cell r="C1126" t="str">
            <v>un</v>
          </cell>
          <cell r="D1126">
            <v>1937.13</v>
          </cell>
          <cell r="E1126">
            <v>0</v>
          </cell>
          <cell r="F1126" t="e">
            <v>#N/A</v>
          </cell>
          <cell r="G1126" t="e">
            <v>#N/A</v>
          </cell>
        </row>
        <row r="1127">
          <cell r="A1127">
            <v>41163</v>
          </cell>
          <cell r="B1127" t="str">
            <v>Caixa de passagem em bloco pré-moldado para d=0,60m (1,00x1,00m) em Vias Urbanas</v>
          </cell>
          <cell r="C1127" t="str">
            <v>un</v>
          </cell>
          <cell r="D1127">
            <v>2319.94</v>
          </cell>
          <cell r="E1127">
            <v>0</v>
          </cell>
          <cell r="F1127" t="e">
            <v>#N/A</v>
          </cell>
          <cell r="G1127" t="e">
            <v>#N/A</v>
          </cell>
        </row>
        <row r="1128">
          <cell r="A1128">
            <v>41164</v>
          </cell>
          <cell r="B1128" t="str">
            <v>Caixa de passagem em bloco pré-moldado para d=0,80m (1,20 x 1,20m) em Vias Urbanas</v>
          </cell>
          <cell r="C1128" t="str">
            <v>un</v>
          </cell>
          <cell r="D1128">
            <v>2826.97</v>
          </cell>
          <cell r="E1128">
            <v>0</v>
          </cell>
          <cell r="F1128" t="e">
            <v>#N/A</v>
          </cell>
          <cell r="G1128" t="e">
            <v>#N/A</v>
          </cell>
        </row>
        <row r="1129">
          <cell r="A1129">
            <v>41165</v>
          </cell>
          <cell r="B1129" t="str">
            <v>Caixa de passagem em bloco pré-moldado para d=1,00m (1,30 x 1,30m) em Vias Urbanas</v>
          </cell>
          <cell r="C1129" t="str">
            <v>un</v>
          </cell>
          <cell r="D1129">
            <v>3155.86</v>
          </cell>
          <cell r="E1129">
            <v>0</v>
          </cell>
          <cell r="F1129" t="e">
            <v>#N/A</v>
          </cell>
          <cell r="G1129" t="e">
            <v>#N/A</v>
          </cell>
        </row>
        <row r="1130">
          <cell r="A1130">
            <v>41166</v>
          </cell>
          <cell r="B1130" t="str">
            <v>Caixa de passagem em bloco pré-moldado para d=1,20m (1,50 x 1,50m) em Vias Urbanas</v>
          </cell>
          <cell r="C1130" t="str">
            <v>un</v>
          </cell>
          <cell r="D1130">
            <v>3867.73</v>
          </cell>
          <cell r="E1130">
            <v>0</v>
          </cell>
          <cell r="F1130" t="e">
            <v>#N/A</v>
          </cell>
          <cell r="G1130" t="e">
            <v>#N/A</v>
          </cell>
        </row>
        <row r="1131">
          <cell r="A1131">
            <v>42687</v>
          </cell>
          <cell r="B1131" t="str">
            <v>Caixa de passagem para tubos de D=0,40m H=1,10m em Vias Urbanas</v>
          </cell>
          <cell r="C1131" t="str">
            <v>un</v>
          </cell>
          <cell r="D1131">
            <v>1338.67</v>
          </cell>
          <cell r="E1131">
            <v>0</v>
          </cell>
          <cell r="F1131" t="e">
            <v>#N/A</v>
          </cell>
          <cell r="G1131" t="e">
            <v>#N/A</v>
          </cell>
        </row>
        <row r="1132">
          <cell r="A1132">
            <v>42688</v>
          </cell>
          <cell r="B1132" t="str">
            <v>Caixa de passagem para tubos de D=0,60m H=1,30m em Vias Urbanas</v>
          </cell>
          <cell r="C1132" t="str">
            <v>un</v>
          </cell>
          <cell r="D1132">
            <v>1690.76</v>
          </cell>
          <cell r="E1132">
            <v>0</v>
          </cell>
          <cell r="F1132" t="e">
            <v>#N/A</v>
          </cell>
          <cell r="G1132" t="e">
            <v>#N/A</v>
          </cell>
        </row>
        <row r="1133">
          <cell r="A1133">
            <v>42689</v>
          </cell>
          <cell r="B1133" t="str">
            <v>Caixa de passagem para tubos de D=0,80m H=1,50m em Vias Urbanas</v>
          </cell>
          <cell r="C1133" t="str">
            <v>un</v>
          </cell>
          <cell r="D1133">
            <v>2126.8000000000002</v>
          </cell>
          <cell r="E1133">
            <v>0</v>
          </cell>
          <cell r="F1133" t="e">
            <v>#N/A</v>
          </cell>
          <cell r="G1133" t="e">
            <v>#N/A</v>
          </cell>
        </row>
        <row r="1134">
          <cell r="A1134">
            <v>42690</v>
          </cell>
          <cell r="B1134" t="str">
            <v>Caixa de passagem para tubos de D=1,00m H=1,80m em Vias Urbanas</v>
          </cell>
          <cell r="C1134" t="str">
            <v>un</v>
          </cell>
          <cell r="D1134">
            <v>3383.04</v>
          </cell>
          <cell r="E1134">
            <v>0</v>
          </cell>
          <cell r="F1134" t="e">
            <v>#N/A</v>
          </cell>
          <cell r="G1134" t="e">
            <v>#N/A</v>
          </cell>
        </row>
        <row r="1135">
          <cell r="A1135">
            <v>42691</v>
          </cell>
          <cell r="B1135" t="str">
            <v>Caixa de passagem (2,50 x 2,50m) em Vias Urbanas</v>
          </cell>
          <cell r="C1135" t="str">
            <v>un</v>
          </cell>
          <cell r="D1135">
            <v>7418.68</v>
          </cell>
          <cell r="E1135" t="str">
            <v>A incluir</v>
          </cell>
          <cell r="F1135" t="e">
            <v>#N/A</v>
          </cell>
          <cell r="G1135" t="e">
            <v>#N/A</v>
          </cell>
        </row>
        <row r="1136">
          <cell r="A1136">
            <v>42693</v>
          </cell>
          <cell r="B1136" t="str">
            <v>Caixa para rede de dutos dimensões 100 x100 x100 cm, em Vias Urbanas</v>
          </cell>
          <cell r="C1136" t="str">
            <v>m</v>
          </cell>
          <cell r="D1136">
            <v>3644.79</v>
          </cell>
          <cell r="E1136">
            <v>0</v>
          </cell>
          <cell r="F1136" t="e">
            <v>#N/A</v>
          </cell>
          <cell r="G1136" t="e">
            <v>#N/A</v>
          </cell>
        </row>
        <row r="1137">
          <cell r="A1137">
            <v>42692</v>
          </cell>
          <cell r="B1137" t="str">
            <v>Caixa para rede de dutos dimensões 60 x 60 x 60 cm, em Vias Urbanas</v>
          </cell>
          <cell r="C1137" t="str">
            <v>un</v>
          </cell>
          <cell r="D1137">
            <v>594.55999999999995</v>
          </cell>
          <cell r="E1137">
            <v>0</v>
          </cell>
          <cell r="F1137" t="e">
            <v>#N/A</v>
          </cell>
          <cell r="G1137" t="e">
            <v>#N/A</v>
          </cell>
        </row>
        <row r="1138">
          <cell r="A1138">
            <v>41085</v>
          </cell>
          <cell r="B1138" t="str">
            <v>Caixa ralo com grelha de concreto em blocos pré-moldados - CRG - Vias Urbanas</v>
          </cell>
          <cell r="C1138" t="str">
            <v>un</v>
          </cell>
          <cell r="D1138">
            <v>1373.47</v>
          </cell>
          <cell r="E1138">
            <v>0</v>
          </cell>
          <cell r="F1138" t="e">
            <v>#N/A</v>
          </cell>
          <cell r="G1138" t="e">
            <v>#N/A</v>
          </cell>
        </row>
        <row r="1139">
          <cell r="A1139">
            <v>42694</v>
          </cell>
          <cell r="B1139" t="str">
            <v>Caixa ralo de elementos pré-moldados em concreto (tudo incluído) em Vias Urbanas</v>
          </cell>
          <cell r="C1139" t="str">
            <v>un</v>
          </cell>
          <cell r="D1139">
            <v>737.84</v>
          </cell>
          <cell r="E1139" t="str">
            <v>A incluir</v>
          </cell>
          <cell r="F1139" t="e">
            <v>#N/A</v>
          </cell>
          <cell r="G1139" t="e">
            <v>#N/A</v>
          </cell>
        </row>
        <row r="1140">
          <cell r="A1140">
            <v>41241</v>
          </cell>
          <cell r="B1140" t="str">
            <v>Caixa ralo em blocos pré-moldados e grelha articulada em FFA em Vias Urbanas</v>
          </cell>
          <cell r="C1140" t="str">
            <v>un</v>
          </cell>
          <cell r="D1140">
            <v>1299.44</v>
          </cell>
          <cell r="E1140" t="str">
            <v>A incluir</v>
          </cell>
          <cell r="F1140">
            <v>1386.91</v>
          </cell>
          <cell r="G1140">
            <v>1.06731361201748</v>
          </cell>
        </row>
        <row r="1141">
          <cell r="A1141">
            <v>42697</v>
          </cell>
          <cell r="B1141" t="str">
            <v>Canaleta com grelha DP-1, inclusive transporte da grelha em Vias Urbanas</v>
          </cell>
          <cell r="C1141" t="str">
            <v>m</v>
          </cell>
          <cell r="D1141">
            <v>636.6</v>
          </cell>
          <cell r="E1141" t="str">
            <v>A incluir</v>
          </cell>
          <cell r="F1141" t="e">
            <v>#N/A</v>
          </cell>
          <cell r="G1141" t="e">
            <v>#N/A</v>
          </cell>
        </row>
        <row r="1142">
          <cell r="A1142">
            <v>42698</v>
          </cell>
          <cell r="B1142" t="str">
            <v>Canaleta de concreto, com forma retangular inclusive caiação - parede 12 cm em Vias Urbanas</v>
          </cell>
          <cell r="C1142" t="str">
            <v>m</v>
          </cell>
          <cell r="D1142">
            <v>193.82</v>
          </cell>
          <cell r="E1142" t="str">
            <v>A incluir</v>
          </cell>
          <cell r="F1142" t="e">
            <v>#N/A</v>
          </cell>
          <cell r="G1142" t="e">
            <v>#N/A</v>
          </cell>
        </row>
        <row r="1143">
          <cell r="A1143">
            <v>42699</v>
          </cell>
          <cell r="B1143" t="str">
            <v>Canaleta de concreto retangular (0,130m³/m) inclusive caiação em Vias Urbanas</v>
          </cell>
          <cell r="C1143" t="str">
            <v>m</v>
          </cell>
          <cell r="D1143">
            <v>245.64</v>
          </cell>
          <cell r="E1143">
            <v>0</v>
          </cell>
          <cell r="F1143" t="e">
            <v>#N/A</v>
          </cell>
          <cell r="G1143" t="e">
            <v>#N/A</v>
          </cell>
        </row>
        <row r="1144">
          <cell r="A1144">
            <v>42700</v>
          </cell>
          <cell r="B1144" t="str">
            <v>Canaleta de concreto (0,130m³/m) forma trapezoidal inclusive caiação em Vias Urbanas</v>
          </cell>
          <cell r="C1144" t="str">
            <v>m</v>
          </cell>
          <cell r="D1144">
            <v>172.88</v>
          </cell>
          <cell r="E1144" t="str">
            <v>A incluir</v>
          </cell>
          <cell r="F1144" t="e">
            <v>#N/A</v>
          </cell>
          <cell r="G1144" t="e">
            <v>#N/A</v>
          </cell>
        </row>
        <row r="1145">
          <cell r="A1145">
            <v>42701</v>
          </cell>
          <cell r="B1145" t="str">
            <v>Cerca de tela de arame galvanizado h=1,20m em Vias Urbanas</v>
          </cell>
          <cell r="C1145" t="str">
            <v>m²</v>
          </cell>
          <cell r="D1145">
            <v>30.55</v>
          </cell>
          <cell r="E1145">
            <v>0</v>
          </cell>
          <cell r="F1145" t="e">
            <v>#N/A</v>
          </cell>
          <cell r="G1145" t="e">
            <v>#N/A</v>
          </cell>
        </row>
        <row r="1146">
          <cell r="A1146">
            <v>42703</v>
          </cell>
          <cell r="B1146" t="str">
            <v>Cerca em tela revestida em PVC com mourões de concreto, fornecimento e execução em Vias Urbanas</v>
          </cell>
          <cell r="C1146" t="str">
            <v>m²</v>
          </cell>
          <cell r="D1146">
            <v>77.53</v>
          </cell>
          <cell r="E1146">
            <v>0</v>
          </cell>
          <cell r="F1146" t="e">
            <v>#N/A</v>
          </cell>
          <cell r="G1146" t="e">
            <v>#N/A</v>
          </cell>
        </row>
        <row r="1147">
          <cell r="A1147">
            <v>42704</v>
          </cell>
          <cell r="B1147" t="str">
            <v>Chapisco com argamassa de cimento e areia 1:3 em Vias Urbanas</v>
          </cell>
          <cell r="C1147" t="str">
            <v>m²</v>
          </cell>
          <cell r="D1147">
            <v>6.32</v>
          </cell>
          <cell r="E1147">
            <v>0</v>
          </cell>
          <cell r="F1147" t="e">
            <v>#N/A</v>
          </cell>
          <cell r="G1147" t="e">
            <v>#N/A</v>
          </cell>
        </row>
        <row r="1148">
          <cell r="A1148">
            <v>42705</v>
          </cell>
          <cell r="B1148" t="str">
            <v>Chapisco com argamassa de cimento e pedrisco 1:4 em Vias Urbanas</v>
          </cell>
          <cell r="C1148" t="str">
            <v>m²</v>
          </cell>
          <cell r="D1148">
            <v>10.08</v>
          </cell>
          <cell r="E1148">
            <v>0</v>
          </cell>
          <cell r="F1148" t="e">
            <v>#N/A</v>
          </cell>
          <cell r="G1148" t="e">
            <v>#N/A</v>
          </cell>
        </row>
        <row r="1149">
          <cell r="A1149">
            <v>42706</v>
          </cell>
          <cell r="B1149" t="str">
            <v>Colchão drenante de areia para fundação de aterros, exclusive o fornecimento de areia em Vias Urbanas</v>
          </cell>
          <cell r="C1149" t="str">
            <v>m³</v>
          </cell>
          <cell r="D1149">
            <v>4.8499999999999996</v>
          </cell>
          <cell r="E1149">
            <v>0</v>
          </cell>
          <cell r="F1149" t="e">
            <v>#N/A</v>
          </cell>
          <cell r="G1149" t="e">
            <v>#N/A</v>
          </cell>
        </row>
        <row r="1150">
          <cell r="A1150">
            <v>42707</v>
          </cell>
          <cell r="B1150" t="str">
            <v>Colchão drenante de areia para fundação de aterros, inclusive fornecimento e transporte da areia em Vias Urbanas</v>
          </cell>
          <cell r="C1150" t="str">
            <v>m³</v>
          </cell>
          <cell r="D1150">
            <v>89.64</v>
          </cell>
          <cell r="E1150" t="str">
            <v>A incluir</v>
          </cell>
          <cell r="F1150" t="e">
            <v>#N/A</v>
          </cell>
          <cell r="G1150" t="e">
            <v>#N/A</v>
          </cell>
        </row>
        <row r="1151">
          <cell r="A1151">
            <v>42708</v>
          </cell>
          <cell r="B1151" t="str">
            <v>Colchão drenante de brita 1 inclusive fornecimento, espalhamento, compactação e transporte da brita em Vias Urbanas</v>
          </cell>
          <cell r="C1151" t="str">
            <v>m³</v>
          </cell>
          <cell r="D1151">
            <v>96.15</v>
          </cell>
          <cell r="E1151" t="str">
            <v>A incluir</v>
          </cell>
          <cell r="F1151" t="e">
            <v>#N/A</v>
          </cell>
          <cell r="G1151" t="e">
            <v>#N/A</v>
          </cell>
        </row>
        <row r="1152">
          <cell r="A1152">
            <v>42709</v>
          </cell>
          <cell r="B1152" t="str">
            <v>Colchão drenante de brita 2 inclusive fornecimento, espalhamento, compactação e transporte da brita em Vias Urbanas</v>
          </cell>
          <cell r="C1152" t="str">
            <v>m³</v>
          </cell>
          <cell r="D1152">
            <v>94.08</v>
          </cell>
          <cell r="E1152" t="str">
            <v>A incluir</v>
          </cell>
          <cell r="F1152" t="e">
            <v>#N/A</v>
          </cell>
          <cell r="G1152" t="e">
            <v>#N/A</v>
          </cell>
        </row>
        <row r="1153">
          <cell r="A1153">
            <v>42710</v>
          </cell>
          <cell r="B1153" t="str">
            <v>Colchão drenante de brita 3 inclusive fornecimento, espalhamento, compactação e transporte da brita em Vias Urbanas</v>
          </cell>
          <cell r="C1153" t="str">
            <v>m³</v>
          </cell>
          <cell r="D1153">
            <v>101.19</v>
          </cell>
          <cell r="E1153" t="str">
            <v>A incluir</v>
          </cell>
          <cell r="F1153" t="e">
            <v>#N/A</v>
          </cell>
          <cell r="G1153" t="e">
            <v>#N/A</v>
          </cell>
        </row>
        <row r="1154">
          <cell r="A1154">
            <v>42711</v>
          </cell>
          <cell r="B1154" t="str">
            <v>Coleta drenante (1,00x1,00) m c/ geotêxtil não tecido RT 16kn/m, inclusive transporte da brita em Vias Urbanas</v>
          </cell>
          <cell r="C1154" t="str">
            <v>m</v>
          </cell>
          <cell r="D1154">
            <v>349.45</v>
          </cell>
          <cell r="E1154" t="str">
            <v>A incluir</v>
          </cell>
          <cell r="F1154" t="e">
            <v>#N/A</v>
          </cell>
          <cell r="G1154" t="e">
            <v>#N/A</v>
          </cell>
        </row>
        <row r="1155">
          <cell r="A1155">
            <v>42712</v>
          </cell>
          <cell r="B1155" t="str">
            <v>Concreto armado, dosado para resist. 20 Mpa,  incluindo 60 kg aço CA-50 A, mão de obra p/ corte, dobragem e montagem, exclusive forma em Vias Urbanas</v>
          </cell>
          <cell r="C1155" t="str">
            <v>m³</v>
          </cell>
          <cell r="D1155">
            <v>832.95</v>
          </cell>
          <cell r="E1155">
            <v>0</v>
          </cell>
          <cell r="F1155" t="e">
            <v>#N/A</v>
          </cell>
          <cell r="G1155" t="e">
            <v>#N/A</v>
          </cell>
        </row>
        <row r="1156">
          <cell r="A1156">
            <v>42714</v>
          </cell>
          <cell r="B1156" t="str">
            <v>Concreto de regularização em Vias Urbanas</v>
          </cell>
          <cell r="C1156" t="str">
            <v>m³</v>
          </cell>
          <cell r="D1156">
            <v>473.56</v>
          </cell>
          <cell r="E1156" t="str">
            <v>A incluir</v>
          </cell>
          <cell r="F1156" t="e">
            <v>#N/A</v>
          </cell>
          <cell r="G1156" t="e">
            <v>#N/A</v>
          </cell>
        </row>
        <row r="1157">
          <cell r="A1157">
            <v>42717</v>
          </cell>
          <cell r="B1157" t="str">
            <v>Concreto estrutural fck = 20,0 MPa com plastificante em Vias Urbanas</v>
          </cell>
          <cell r="C1157" t="str">
            <v>m³</v>
          </cell>
          <cell r="D1157">
            <v>657.93</v>
          </cell>
          <cell r="E1157" t="str">
            <v>A incluir</v>
          </cell>
          <cell r="F1157" t="e">
            <v>#N/A</v>
          </cell>
          <cell r="G1157" t="e">
            <v>#N/A</v>
          </cell>
        </row>
        <row r="1158">
          <cell r="A1158">
            <v>42716</v>
          </cell>
          <cell r="B1158" t="str">
            <v>Concreto estrutural fck = 20,0 MPa em Vias Urbanas</v>
          </cell>
          <cell r="C1158" t="str">
            <v>m³</v>
          </cell>
          <cell r="D1158">
            <v>655</v>
          </cell>
          <cell r="E1158" t="str">
            <v>A incluir</v>
          </cell>
          <cell r="F1158" t="e">
            <v>#N/A</v>
          </cell>
          <cell r="G1158" t="e">
            <v>#N/A</v>
          </cell>
        </row>
        <row r="1159">
          <cell r="A1159">
            <v>42719</v>
          </cell>
          <cell r="B1159" t="str">
            <v>Concreto estrutural fck = 25,0 MPa com plastificante em Vias Urbanas</v>
          </cell>
          <cell r="C1159" t="str">
            <v>m³</v>
          </cell>
          <cell r="D1159">
            <v>685.64</v>
          </cell>
          <cell r="E1159" t="str">
            <v>A incluir</v>
          </cell>
          <cell r="F1159" t="e">
            <v>#N/A</v>
          </cell>
          <cell r="G1159" t="e">
            <v>#N/A</v>
          </cell>
        </row>
        <row r="1160">
          <cell r="A1160">
            <v>42718</v>
          </cell>
          <cell r="B1160" t="str">
            <v>Concreto estrutural fck = 25,0 MPa em Vias Urbanas</v>
          </cell>
          <cell r="C1160" t="str">
            <v>m³</v>
          </cell>
          <cell r="D1160">
            <v>682.35</v>
          </cell>
          <cell r="E1160" t="str">
            <v>A incluir</v>
          </cell>
          <cell r="F1160" t="e">
            <v>#N/A</v>
          </cell>
          <cell r="G1160" t="e">
            <v>#N/A</v>
          </cell>
        </row>
        <row r="1161">
          <cell r="A1161">
            <v>42722</v>
          </cell>
          <cell r="B1161" t="str">
            <v>Concreto estrutural fck = 30,0 MPa com micro-silica e Sikacrete BR ou equivalente em Vias Urbanas</v>
          </cell>
          <cell r="C1161" t="str">
            <v>m³</v>
          </cell>
          <cell r="D1161">
            <v>857.03</v>
          </cell>
          <cell r="E1161" t="str">
            <v>A incluir</v>
          </cell>
          <cell r="F1161" t="e">
            <v>#N/A</v>
          </cell>
          <cell r="G1161" t="e">
            <v>#N/A</v>
          </cell>
        </row>
        <row r="1162">
          <cell r="A1162">
            <v>42721</v>
          </cell>
          <cell r="B1162" t="str">
            <v>Concreto estrutural fck = 30,0 MPa com plastificante em Vias Urbanas</v>
          </cell>
          <cell r="C1162" t="str">
            <v>m³</v>
          </cell>
          <cell r="D1162">
            <v>711.17</v>
          </cell>
          <cell r="E1162" t="str">
            <v>A incluir</v>
          </cell>
          <cell r="F1162" t="e">
            <v>#N/A</v>
          </cell>
          <cell r="G1162" t="e">
            <v>#N/A</v>
          </cell>
        </row>
        <row r="1163">
          <cell r="A1163">
            <v>42720</v>
          </cell>
          <cell r="B1163" t="str">
            <v>Concreto estrutural fck = 30,0 MPa em Vias Urbanas</v>
          </cell>
          <cell r="C1163" t="str">
            <v>m³</v>
          </cell>
          <cell r="D1163">
            <v>707.54</v>
          </cell>
          <cell r="E1163" t="str">
            <v>A incluir</v>
          </cell>
          <cell r="F1163" t="e">
            <v>#N/A</v>
          </cell>
          <cell r="G1163" t="e">
            <v>#N/A</v>
          </cell>
        </row>
        <row r="1164">
          <cell r="A1164">
            <v>42723</v>
          </cell>
          <cell r="B1164" t="str">
            <v>Concreto estrutural fck = 35,0 MPa com micro-silica e Sikacrete ou equivalente em Vias Urbanas</v>
          </cell>
          <cell r="C1164" t="str">
            <v>m³</v>
          </cell>
          <cell r="D1164">
            <v>791.77</v>
          </cell>
          <cell r="E1164" t="str">
            <v>A incluir</v>
          </cell>
          <cell r="F1164" t="e">
            <v>#N/A</v>
          </cell>
          <cell r="G1164" t="e">
            <v>#N/A</v>
          </cell>
        </row>
        <row r="1165">
          <cell r="A1165">
            <v>42724</v>
          </cell>
          <cell r="B1165" t="str">
            <v>Concreto submerso fck = 20,0 MPa em Vias Urbanas</v>
          </cell>
          <cell r="C1165" t="str">
            <v>m³</v>
          </cell>
          <cell r="D1165">
            <v>1288.57</v>
          </cell>
          <cell r="E1165" t="str">
            <v>A incluir</v>
          </cell>
          <cell r="F1165" t="e">
            <v>#N/A</v>
          </cell>
          <cell r="G1165" t="e">
            <v>#N/A</v>
          </cell>
        </row>
        <row r="1166">
          <cell r="A1166">
            <v>42725</v>
          </cell>
          <cell r="B1166" t="str">
            <v>Conjunto Moto-bomba submersível de 15CV, fornecimento e assentamento em Vias Urbanas</v>
          </cell>
          <cell r="C1166" t="str">
            <v>un</v>
          </cell>
          <cell r="D1166">
            <v>32727.68</v>
          </cell>
          <cell r="E1166">
            <v>0</v>
          </cell>
          <cell r="F1166" t="e">
            <v>#N/A</v>
          </cell>
          <cell r="G1166" t="e">
            <v>#N/A</v>
          </cell>
        </row>
        <row r="1167">
          <cell r="A1167">
            <v>42726</v>
          </cell>
          <cell r="B1167" t="str">
            <v>Corpo BDTC (grota) diâmetro 0,60 m CA-1 MF exclusive escavação e reaterro, inclusive transporte do tubo em Vias Urbanas</v>
          </cell>
          <cell r="C1167" t="str">
            <v>m</v>
          </cell>
          <cell r="D1167">
            <v>324.04000000000002</v>
          </cell>
          <cell r="E1167" t="str">
            <v>A incluir</v>
          </cell>
          <cell r="F1167" t="e">
            <v>#N/A</v>
          </cell>
          <cell r="G1167" t="e">
            <v>#N/A</v>
          </cell>
        </row>
        <row r="1168">
          <cell r="A1168">
            <v>42727</v>
          </cell>
          <cell r="B1168" t="str">
            <v>Corpo BDTC (grota) diâmetro 0,60 m CA-1 PB exclusive escavação e reaterro, inclusive transporte do tubo em Vias Urbanas</v>
          </cell>
          <cell r="C1168" t="str">
            <v>m</v>
          </cell>
          <cell r="D1168">
            <v>327.79</v>
          </cell>
          <cell r="E1168" t="str">
            <v>A incluir</v>
          </cell>
          <cell r="F1168" t="e">
            <v>#N/A</v>
          </cell>
          <cell r="G1168" t="e">
            <v>#N/A</v>
          </cell>
        </row>
        <row r="1169">
          <cell r="A1169">
            <v>42728</v>
          </cell>
          <cell r="B1169" t="str">
            <v>Corpo BDTC (grota) diâmetro 0,60 m CA-2 MF exclusive escavação e reaterro, inclusive transporte do tubo em Vias Urbanas</v>
          </cell>
          <cell r="C1169" t="str">
            <v>m</v>
          </cell>
          <cell r="D1169">
            <v>311.64</v>
          </cell>
          <cell r="E1169" t="str">
            <v>A incluir</v>
          </cell>
          <cell r="F1169" t="e">
            <v>#N/A</v>
          </cell>
          <cell r="G1169" t="e">
            <v>#N/A</v>
          </cell>
        </row>
        <row r="1170">
          <cell r="A1170">
            <v>42729</v>
          </cell>
          <cell r="B1170" t="str">
            <v>Corpo BDTC (grota) diâmetro 0,60 m CA-2 PB exclusive escavação e reaterro, inclusive transporte do tubo em Vias Urbanas</v>
          </cell>
          <cell r="C1170" t="str">
            <v>m</v>
          </cell>
          <cell r="D1170">
            <v>318.3</v>
          </cell>
          <cell r="E1170" t="str">
            <v>A incluir</v>
          </cell>
          <cell r="F1170" t="e">
            <v>#N/A</v>
          </cell>
          <cell r="G1170" t="e">
            <v>#N/A</v>
          </cell>
        </row>
        <row r="1171">
          <cell r="A1171">
            <v>42730</v>
          </cell>
          <cell r="B1171" t="str">
            <v>Corpo BDTC (grota) diâmetro 0,80 m CA-1 MF exclusive escavação e reaterro, inclusive transporte do tubo em Vias Urbanas</v>
          </cell>
          <cell r="C1171" t="str">
            <v>m</v>
          </cell>
          <cell r="D1171">
            <v>666.39</v>
          </cell>
          <cell r="E1171" t="str">
            <v>A incluir</v>
          </cell>
          <cell r="F1171" t="e">
            <v>#N/A</v>
          </cell>
          <cell r="G1171" t="e">
            <v>#N/A</v>
          </cell>
        </row>
        <row r="1172">
          <cell r="A1172">
            <v>42731</v>
          </cell>
          <cell r="B1172" t="str">
            <v>Corpo BDTC (grota) diâmetro 0,80 m CA-1 PB exclusive escavação e reaterro, inclusive transporte do tubo em Vias Urbanas</v>
          </cell>
          <cell r="C1172" t="str">
            <v>m</v>
          </cell>
          <cell r="D1172">
            <v>670.91</v>
          </cell>
          <cell r="E1172" t="str">
            <v>A incluir</v>
          </cell>
          <cell r="F1172" t="e">
            <v>#N/A</v>
          </cell>
          <cell r="G1172" t="e">
            <v>#N/A</v>
          </cell>
        </row>
        <row r="1173">
          <cell r="A1173">
            <v>42732</v>
          </cell>
          <cell r="B1173" t="str">
            <v>Corpo BDTC (grota) diâmetro 0,80 m CA-2 MF exclusive escavação e reaterro, inclusive transporte do tubo em Vias Urbanas</v>
          </cell>
          <cell r="C1173" t="str">
            <v>m</v>
          </cell>
          <cell r="D1173">
            <v>653.80999999999995</v>
          </cell>
          <cell r="E1173" t="str">
            <v>A incluir</v>
          </cell>
          <cell r="F1173" t="e">
            <v>#N/A</v>
          </cell>
          <cell r="G1173" t="e">
            <v>#N/A</v>
          </cell>
        </row>
        <row r="1174">
          <cell r="A1174">
            <v>42733</v>
          </cell>
          <cell r="B1174" t="str">
            <v>Corpo BDTC (grota) diâmetro 0,80 m CA-2 PB exclusive escavação e reaterro, inclusive transporte do tubo em Vias Urbanas</v>
          </cell>
          <cell r="C1174" t="str">
            <v>m</v>
          </cell>
          <cell r="D1174">
            <v>693.92</v>
          </cell>
          <cell r="E1174" t="str">
            <v>A incluir</v>
          </cell>
          <cell r="F1174" t="e">
            <v>#N/A</v>
          </cell>
          <cell r="G1174" t="e">
            <v>#N/A</v>
          </cell>
        </row>
        <row r="1175">
          <cell r="A1175">
            <v>42734</v>
          </cell>
          <cell r="B1175" t="str">
            <v>Corpo BDTC (grota) diâmetro 1,00 m CA-1 MF exclusive escavação e reaterro, inclusive transporte do tubo em Vias Urbanas</v>
          </cell>
          <cell r="C1175" t="str">
            <v>m</v>
          </cell>
          <cell r="D1175">
            <v>832.82</v>
          </cell>
          <cell r="E1175" t="str">
            <v>A incluir</v>
          </cell>
          <cell r="F1175" t="e">
            <v>#N/A</v>
          </cell>
          <cell r="G1175" t="e">
            <v>#N/A</v>
          </cell>
        </row>
        <row r="1176">
          <cell r="A1176">
            <v>42735</v>
          </cell>
          <cell r="B1176" t="str">
            <v>Corpo BDTC (grota) diâmetro 1,00 m CA-1 PB exclusive escavação e reaterro, inclusive transporte do tubo em Vias Urbanas</v>
          </cell>
          <cell r="C1176" t="str">
            <v>m</v>
          </cell>
          <cell r="D1176">
            <v>769.61</v>
          </cell>
          <cell r="E1176" t="str">
            <v>A incluir</v>
          </cell>
          <cell r="F1176" t="e">
            <v>#N/A</v>
          </cell>
          <cell r="G1176" t="e">
            <v>#N/A</v>
          </cell>
        </row>
        <row r="1177">
          <cell r="A1177">
            <v>42736</v>
          </cell>
          <cell r="B1177" t="str">
            <v>Corpo BDTC (grota) diâmetro 1,00 m CA-2 MF exclusive escavação e reaterro, inclusive transporte do tubo em Vias Urbanas</v>
          </cell>
          <cell r="C1177" t="str">
            <v>m</v>
          </cell>
          <cell r="D1177">
            <v>906.82</v>
          </cell>
          <cell r="E1177" t="str">
            <v>A incluir</v>
          </cell>
          <cell r="F1177" t="e">
            <v>#N/A</v>
          </cell>
          <cell r="G1177" t="e">
            <v>#N/A</v>
          </cell>
        </row>
        <row r="1178">
          <cell r="A1178">
            <v>42737</v>
          </cell>
          <cell r="B1178" t="str">
            <v>Corpo BDTC (grota) diâmetro 1,00 m CA-2 PB exclusive escavação e reaterro, inclusive transporte do tubo em Vias Urbanas</v>
          </cell>
          <cell r="C1178" t="str">
            <v>m</v>
          </cell>
          <cell r="D1178">
            <v>874.36</v>
          </cell>
          <cell r="E1178" t="str">
            <v>A incluir</v>
          </cell>
          <cell r="F1178" t="e">
            <v>#N/A</v>
          </cell>
          <cell r="G1178" t="e">
            <v>#N/A</v>
          </cell>
        </row>
        <row r="1179">
          <cell r="A1179">
            <v>42738</v>
          </cell>
          <cell r="B1179" t="str">
            <v>Corpo BDTC (grota) diâmetro 1,00 m CA-3 MF exclusive escavação e reaterro, inclusive transporte do tubo em Vias Urbanas</v>
          </cell>
          <cell r="C1179" t="str">
            <v>m</v>
          </cell>
          <cell r="D1179">
            <v>906.57</v>
          </cell>
          <cell r="E1179" t="str">
            <v>A incluir</v>
          </cell>
          <cell r="F1179" t="e">
            <v>#N/A</v>
          </cell>
          <cell r="G1179" t="e">
            <v>#N/A</v>
          </cell>
        </row>
        <row r="1180">
          <cell r="A1180">
            <v>42739</v>
          </cell>
          <cell r="B1180" t="str">
            <v>Corpo BDTC (grota) diâmetro 1,20 m CA-1 MF exclusive escavação e reaterro, inclusive transporte do tubo em Vias Urbanas</v>
          </cell>
          <cell r="C1180" t="str">
            <v>m</v>
          </cell>
          <cell r="D1180">
            <v>1223.18</v>
          </cell>
          <cell r="E1180" t="str">
            <v>A incluir</v>
          </cell>
          <cell r="F1180" t="e">
            <v>#N/A</v>
          </cell>
          <cell r="G1180" t="e">
            <v>#N/A</v>
          </cell>
        </row>
        <row r="1181">
          <cell r="A1181">
            <v>42740</v>
          </cell>
          <cell r="B1181" t="str">
            <v>Corpo BDTC (grota) diâmetro 1,20 m CA-2 MF exclusive escavação e reaterro, inclusive transporte do tubo em Vias Urbanas</v>
          </cell>
          <cell r="C1181" t="str">
            <v>m</v>
          </cell>
          <cell r="D1181">
            <v>1203.55</v>
          </cell>
          <cell r="E1181" t="str">
            <v>A incluir</v>
          </cell>
          <cell r="F1181" t="e">
            <v>#N/A</v>
          </cell>
          <cell r="G1181" t="e">
            <v>#N/A</v>
          </cell>
        </row>
        <row r="1182">
          <cell r="A1182">
            <v>42741</v>
          </cell>
          <cell r="B1182" t="str">
            <v>Corpo BDTC (grota) diâmetro 1,20 m CA-2 PB exclusive escavação e reaterro, inclusive transporte do tubo em Vias Urbanas</v>
          </cell>
          <cell r="C1182" t="str">
            <v>m</v>
          </cell>
          <cell r="D1182">
            <v>1283.8499999999999</v>
          </cell>
          <cell r="E1182" t="str">
            <v>A incluir</v>
          </cell>
          <cell r="F1182" t="e">
            <v>#N/A</v>
          </cell>
          <cell r="G1182" t="e">
            <v>#N/A</v>
          </cell>
        </row>
        <row r="1183">
          <cell r="A1183">
            <v>42742</v>
          </cell>
          <cell r="B1183" t="str">
            <v>Corpo BDTC (grota) diâmetro 1,20 m CA-3 MF exclusive escavação e reaterro, inclusive transporte do tubo em Vias Urbanas</v>
          </cell>
          <cell r="C1183" t="str">
            <v>m</v>
          </cell>
          <cell r="D1183">
            <v>1253.2</v>
          </cell>
          <cell r="E1183" t="str">
            <v>A incluir</v>
          </cell>
          <cell r="F1183" t="e">
            <v>#N/A</v>
          </cell>
          <cell r="G1183" t="e">
            <v>#N/A</v>
          </cell>
        </row>
        <row r="1184">
          <cell r="A1184">
            <v>42743</v>
          </cell>
          <cell r="B1184" t="str">
            <v>Corpo BDTC (grota) diâmetro 1,50 m CA-1 MF exclusive escavação e reaterro, inclusive transporte do tubo em Vias Urbanas</v>
          </cell>
          <cell r="C1184" t="str">
            <v>m</v>
          </cell>
          <cell r="D1184">
            <v>1967.89</v>
          </cell>
          <cell r="E1184" t="str">
            <v>A incluir</v>
          </cell>
          <cell r="F1184" t="e">
            <v>#N/A</v>
          </cell>
          <cell r="G1184" t="e">
            <v>#N/A</v>
          </cell>
        </row>
        <row r="1185">
          <cell r="A1185">
            <v>42744</v>
          </cell>
          <cell r="B1185" t="str">
            <v>Corpo BDTC (grota) diâmetro 1,50 m CA-1 PB exclusive escavação e reaterro, inclusive transporte do tubo em Vias Urbanas</v>
          </cell>
          <cell r="C1185" t="str">
            <v>m</v>
          </cell>
          <cell r="D1185">
            <v>1712.15</v>
          </cell>
          <cell r="E1185" t="str">
            <v>A incluir</v>
          </cell>
          <cell r="F1185" t="e">
            <v>#N/A</v>
          </cell>
          <cell r="G1185" t="e">
            <v>#N/A</v>
          </cell>
        </row>
        <row r="1186">
          <cell r="A1186">
            <v>42745</v>
          </cell>
          <cell r="B1186" t="str">
            <v>Corpo BDTC (grota) diâmetro 1,50 m CA-2 MF exclusive escavação e reaterro, inclusive transporte do tubo em Vias Urbanas</v>
          </cell>
          <cell r="C1186" t="str">
            <v>m</v>
          </cell>
          <cell r="D1186">
            <v>1968.5</v>
          </cell>
          <cell r="E1186" t="str">
            <v>A incluir</v>
          </cell>
          <cell r="F1186" t="e">
            <v>#N/A</v>
          </cell>
          <cell r="G1186" t="e">
            <v>#N/A</v>
          </cell>
        </row>
        <row r="1187">
          <cell r="A1187">
            <v>42746</v>
          </cell>
          <cell r="B1187" t="str">
            <v>Corpo BDTC (grota) diâmetro 1,50 m CA-2 PB exclusive escavação e reaterro, inclusive transporte do tubo em Vias Urbanas</v>
          </cell>
          <cell r="C1187" t="str">
            <v>m</v>
          </cell>
          <cell r="D1187">
            <v>1794.77</v>
          </cell>
          <cell r="E1187" t="str">
            <v>A incluir</v>
          </cell>
          <cell r="F1187" t="e">
            <v>#N/A</v>
          </cell>
          <cell r="G1187" t="e">
            <v>#N/A</v>
          </cell>
        </row>
        <row r="1188">
          <cell r="A1188">
            <v>42747</v>
          </cell>
          <cell r="B1188" t="str">
            <v>Corpo BDTC (grota) diâmetro 1,50 m CA-3 MF exclusive escavação e reaterro, inclusive transporte do tubo em Vias Urbanas</v>
          </cell>
          <cell r="C1188" t="str">
            <v>m</v>
          </cell>
          <cell r="D1188">
            <v>1548.5</v>
          </cell>
          <cell r="E1188" t="str">
            <v>A incluir</v>
          </cell>
          <cell r="F1188" t="e">
            <v>#N/A</v>
          </cell>
          <cell r="G1188" t="e">
            <v>#N/A</v>
          </cell>
        </row>
        <row r="1189">
          <cell r="A1189">
            <v>42748</v>
          </cell>
          <cell r="B1189" t="str">
            <v>Corpo BSTC diâmetro 0,20 m C.S. MF inclusive escavação, reaterro e transporte do tubo em Vias Urbanas</v>
          </cell>
          <cell r="C1189" t="str">
            <v>m</v>
          </cell>
          <cell r="D1189">
            <v>89.06</v>
          </cell>
          <cell r="E1189" t="str">
            <v>A incluir</v>
          </cell>
          <cell r="F1189" t="e">
            <v>#N/A</v>
          </cell>
          <cell r="G1189" t="e">
            <v>#N/A</v>
          </cell>
        </row>
        <row r="1190">
          <cell r="A1190">
            <v>42749</v>
          </cell>
          <cell r="B1190" t="str">
            <v>Corpo BSTC diâmetro 0,20 m C.S. PB inclusive escavação, reaterro e transporte do tubo em Vias Urbanas</v>
          </cell>
          <cell r="C1190" t="str">
            <v>m</v>
          </cell>
          <cell r="D1190">
            <v>89.06</v>
          </cell>
          <cell r="E1190" t="str">
            <v>A incluir</v>
          </cell>
          <cell r="F1190" t="e">
            <v>#N/A</v>
          </cell>
          <cell r="G1190" t="e">
            <v>#N/A</v>
          </cell>
        </row>
        <row r="1191">
          <cell r="A1191">
            <v>42750</v>
          </cell>
          <cell r="B1191" t="str">
            <v>Corpo BSTC diâmetro 0,30 m C.S. MF inclusive escavação, reaterro e transporte do tubo em Vias Urbanas</v>
          </cell>
          <cell r="C1191" t="str">
            <v>m</v>
          </cell>
          <cell r="D1191">
            <v>114.09</v>
          </cell>
          <cell r="E1191" t="str">
            <v>A incluir</v>
          </cell>
          <cell r="F1191" t="e">
            <v>#N/A</v>
          </cell>
          <cell r="G1191" t="e">
            <v>#N/A</v>
          </cell>
        </row>
        <row r="1192">
          <cell r="A1192">
            <v>42751</v>
          </cell>
          <cell r="B1192" t="str">
            <v>Corpo BSTC diâmetro 0,30 m C.S. PB inclusive escavação, reaterro e transporte do tubo em Vias Urbanas</v>
          </cell>
          <cell r="C1192" t="str">
            <v>m</v>
          </cell>
          <cell r="D1192">
            <v>113.51</v>
          </cell>
          <cell r="E1192" t="str">
            <v>A incluir</v>
          </cell>
          <cell r="F1192" t="e">
            <v>#N/A</v>
          </cell>
          <cell r="G1192" t="e">
            <v>#N/A</v>
          </cell>
        </row>
        <row r="1193">
          <cell r="A1193">
            <v>42752</v>
          </cell>
          <cell r="B1193" t="str">
            <v>Corpo BSTC diâmetro 0,40 m C.S. MF inclusive escavação, reaterro e transporte do tubo em Vias Urbanas</v>
          </cell>
          <cell r="C1193" t="str">
            <v>m</v>
          </cell>
          <cell r="D1193">
            <v>153.33000000000001</v>
          </cell>
          <cell r="E1193" t="str">
            <v>A incluir</v>
          </cell>
          <cell r="F1193" t="e">
            <v>#N/A</v>
          </cell>
          <cell r="G1193" t="e">
            <v>#N/A</v>
          </cell>
        </row>
        <row r="1194">
          <cell r="A1194">
            <v>42753</v>
          </cell>
          <cell r="B1194" t="str">
            <v>Corpo BSTC diâmetro 0,40 m C.S. PB inclusive escavação, reaterro e transporte do tubo em Vias Urbanas</v>
          </cell>
          <cell r="C1194" t="str">
            <v>m</v>
          </cell>
          <cell r="D1194">
            <v>148.21</v>
          </cell>
          <cell r="E1194" t="str">
            <v>A incluir</v>
          </cell>
          <cell r="F1194" t="e">
            <v>#N/A</v>
          </cell>
          <cell r="G1194" t="e">
            <v>#N/A</v>
          </cell>
        </row>
        <row r="1195">
          <cell r="A1195">
            <v>42754</v>
          </cell>
          <cell r="B1195" t="str">
            <v>Corpo BSTC diâmetro 0,60 m C.S. MF inclusive escavação, reaterro e transporte do tubo em Vias Urbanas</v>
          </cell>
          <cell r="C1195" t="str">
            <v>m</v>
          </cell>
          <cell r="D1195">
            <v>247.72</v>
          </cell>
          <cell r="E1195" t="str">
            <v>A incluir</v>
          </cell>
          <cell r="F1195" t="e">
            <v>#N/A</v>
          </cell>
          <cell r="G1195" t="e">
            <v>#N/A</v>
          </cell>
        </row>
        <row r="1196">
          <cell r="A1196">
            <v>42755</v>
          </cell>
          <cell r="B1196" t="str">
            <v>Corpo BSTC diâmetro 0,60 m C.S. PB inclusive escavação, reaterro e transporte do tubo em Vias Urbanas</v>
          </cell>
          <cell r="C1196" t="str">
            <v>m</v>
          </cell>
          <cell r="D1196">
            <v>240.01</v>
          </cell>
          <cell r="E1196" t="str">
            <v>A incluir</v>
          </cell>
          <cell r="F1196" t="e">
            <v>#N/A</v>
          </cell>
          <cell r="G1196" t="e">
            <v>#N/A</v>
          </cell>
        </row>
        <row r="1197">
          <cell r="A1197">
            <v>42756</v>
          </cell>
          <cell r="B1197" t="str">
            <v>Corpo BSTC (greide) diâmetro 0,30 m CA-1 MF inclusive escavação, reaterro e transporte do tubo em Vias Urbanas</v>
          </cell>
          <cell r="C1197" t="str">
            <v>m</v>
          </cell>
          <cell r="D1197">
            <v>116.56</v>
          </cell>
          <cell r="E1197" t="str">
            <v>A incluir</v>
          </cell>
          <cell r="F1197" t="e">
            <v>#N/A</v>
          </cell>
          <cell r="G1197" t="e">
            <v>#N/A</v>
          </cell>
        </row>
        <row r="1198">
          <cell r="A1198">
            <v>42757</v>
          </cell>
          <cell r="B1198" t="str">
            <v>Corpo BSTC (greide) diâmetro 0,40 m CA-1 MF inclusive escavação, reaterro e transporte do tubo em Vias Urbanas</v>
          </cell>
          <cell r="C1198" t="str">
            <v>m</v>
          </cell>
          <cell r="D1198">
            <v>163.19999999999999</v>
          </cell>
          <cell r="E1198" t="str">
            <v>A incluir</v>
          </cell>
          <cell r="F1198" t="e">
            <v>#N/A</v>
          </cell>
          <cell r="G1198" t="e">
            <v>#N/A</v>
          </cell>
        </row>
        <row r="1199">
          <cell r="A1199">
            <v>42759</v>
          </cell>
          <cell r="B1199" t="str">
            <v>Corpo BSTC (greide) diâmetro 0,40 m CA-2 MF inclusive escavação, reaterro e transporte do tubo em Vias Urbanas</v>
          </cell>
          <cell r="C1199" t="str">
            <v>m</v>
          </cell>
          <cell r="D1199">
            <v>169.98</v>
          </cell>
          <cell r="E1199" t="str">
            <v>A incluir</v>
          </cell>
          <cell r="F1199" t="e">
            <v>#N/A</v>
          </cell>
          <cell r="G1199" t="e">
            <v>#N/A</v>
          </cell>
        </row>
        <row r="1200">
          <cell r="A1200">
            <v>42760</v>
          </cell>
          <cell r="B1200" t="str">
            <v>Corpo BSTC (greide) diâmetro 0,60 m CA-1 MF inclusive escavação, reaterro e transporte do tubo em Vias Urbanas</v>
          </cell>
          <cell r="C1200" t="str">
            <v>m</v>
          </cell>
          <cell r="D1200">
            <v>260.08999999999997</v>
          </cell>
          <cell r="E1200" t="str">
            <v>A incluir</v>
          </cell>
          <cell r="F1200" t="e">
            <v>#N/A</v>
          </cell>
          <cell r="G1200" t="e">
            <v>#N/A</v>
          </cell>
        </row>
        <row r="1201">
          <cell r="A1201">
            <v>42761</v>
          </cell>
          <cell r="B1201" t="str">
            <v>Corpo BSTC (greide) diâmetro 0,60 m CA-1 PB inclusive escavação, reaterro e transporte do tubo em Vias Urbanas</v>
          </cell>
          <cell r="C1201" t="str">
            <v>m</v>
          </cell>
          <cell r="D1201">
            <v>261.95999999999998</v>
          </cell>
          <cell r="E1201" t="str">
            <v>A incluir</v>
          </cell>
          <cell r="F1201" t="e">
            <v>#N/A</v>
          </cell>
          <cell r="G1201" t="e">
            <v>#N/A</v>
          </cell>
        </row>
        <row r="1202">
          <cell r="A1202">
            <v>42762</v>
          </cell>
          <cell r="B1202" t="str">
            <v>Corpo BSTC (greide) diâmetro 0,60 m CA-2 MF inclusive escavação, reaterro e transporte do tubo em Vias Urbanas</v>
          </cell>
          <cell r="C1202" t="str">
            <v>m</v>
          </cell>
          <cell r="D1202">
            <v>253.89</v>
          </cell>
          <cell r="E1202" t="str">
            <v>A incluir</v>
          </cell>
          <cell r="F1202" t="e">
            <v>#N/A</v>
          </cell>
          <cell r="G1202" t="e">
            <v>#N/A</v>
          </cell>
        </row>
        <row r="1203">
          <cell r="A1203">
            <v>42763</v>
          </cell>
          <cell r="B1203" t="str">
            <v>Corpo BSTC (greide) diâmetro 0,60 m CA-2 PB inclusive escavação, reaterro e transporte do tubo em Vias Urbanas</v>
          </cell>
          <cell r="C1203" t="str">
            <v>m</v>
          </cell>
          <cell r="D1203">
            <v>257.22000000000003</v>
          </cell>
          <cell r="E1203" t="str">
            <v>A incluir</v>
          </cell>
          <cell r="F1203" t="e">
            <v>#N/A</v>
          </cell>
          <cell r="G1203" t="e">
            <v>#N/A</v>
          </cell>
        </row>
        <row r="1204">
          <cell r="A1204">
            <v>42764</v>
          </cell>
          <cell r="B1204" t="str">
            <v>Corpo BSTC (greide) diâmetro 0,80 m CA-1 MF inclusive escavação, reaterro e transporte do tubo em Vias Urbanas</v>
          </cell>
          <cell r="C1204" t="str">
            <v>m</v>
          </cell>
          <cell r="D1204">
            <v>510.98</v>
          </cell>
          <cell r="E1204" t="str">
            <v>A incluir</v>
          </cell>
          <cell r="F1204" t="e">
            <v>#N/A</v>
          </cell>
          <cell r="G1204" t="e">
            <v>#N/A</v>
          </cell>
        </row>
        <row r="1205">
          <cell r="A1205">
            <v>42765</v>
          </cell>
          <cell r="B1205" t="str">
            <v>Corpo BSTC (greide) diâmetro 0,80 m CA-1 PB inclusive escavação, reaterro e transporte do tubo em Vias Urbanas</v>
          </cell>
          <cell r="C1205" t="str">
            <v>m</v>
          </cell>
          <cell r="D1205">
            <v>513.24</v>
          </cell>
          <cell r="E1205" t="str">
            <v>A incluir</v>
          </cell>
          <cell r="F1205" t="e">
            <v>#N/A</v>
          </cell>
          <cell r="G1205" t="e">
            <v>#N/A</v>
          </cell>
        </row>
        <row r="1206">
          <cell r="A1206">
            <v>42766</v>
          </cell>
          <cell r="B1206" t="str">
            <v>Corpo BSTC (greide) diâmetro 0,80 m CA-2 MF inclusive escavação, reaterro e transporte do tubo em Vias Urbanas</v>
          </cell>
          <cell r="C1206" t="str">
            <v>m</v>
          </cell>
          <cell r="D1206">
            <v>504.69</v>
          </cell>
          <cell r="E1206" t="str">
            <v>A incluir</v>
          </cell>
          <cell r="F1206" t="e">
            <v>#N/A</v>
          </cell>
          <cell r="G1206" t="e">
            <v>#N/A</v>
          </cell>
        </row>
        <row r="1207">
          <cell r="A1207">
            <v>42767</v>
          </cell>
          <cell r="B1207" t="str">
            <v>Corpo BSTC (greide) diâmetro 0,80 m CA-2 PB inclusive escavação, reaterro e transporte do tubo em Vias Urbanas</v>
          </cell>
          <cell r="C1207" t="str">
            <v>m</v>
          </cell>
          <cell r="D1207">
            <v>524.75</v>
          </cell>
          <cell r="E1207" t="str">
            <v>A incluir</v>
          </cell>
          <cell r="F1207" t="e">
            <v>#N/A</v>
          </cell>
          <cell r="G1207" t="e">
            <v>#N/A</v>
          </cell>
        </row>
        <row r="1208">
          <cell r="A1208">
            <v>42768</v>
          </cell>
          <cell r="B1208" t="str">
            <v>Corpo BSTC (greide) diâmetro 1,00 m CA-1 MF inclusive escavação, reaterro e transporte do tubo em Vias Urbanas</v>
          </cell>
          <cell r="C1208" t="str">
            <v>m</v>
          </cell>
          <cell r="D1208">
            <v>675.75</v>
          </cell>
          <cell r="E1208" t="str">
            <v>A incluir</v>
          </cell>
          <cell r="F1208" t="e">
            <v>#N/A</v>
          </cell>
          <cell r="G1208" t="e">
            <v>#N/A</v>
          </cell>
        </row>
        <row r="1209">
          <cell r="A1209">
            <v>42769</v>
          </cell>
          <cell r="B1209" t="str">
            <v>Corpo BSTC (greide) diâmetro 1,00 m CA-1 PB inclusive escavação, reaterro e transporte do tubo em Vias Urbanas</v>
          </cell>
          <cell r="C1209" t="str">
            <v>m</v>
          </cell>
          <cell r="D1209">
            <v>674.56</v>
          </cell>
          <cell r="E1209" t="str">
            <v>A incluir</v>
          </cell>
          <cell r="F1209" t="e">
            <v>#N/A</v>
          </cell>
          <cell r="G1209" t="e">
            <v>#N/A</v>
          </cell>
        </row>
        <row r="1210">
          <cell r="A1210">
            <v>42770</v>
          </cell>
          <cell r="B1210" t="str">
            <v>Corpo BSTC (greide) diâmetro 1,00 m CA-2 MF inclusive escavação, reaterro e transporte do tubo em Vias Urbanas</v>
          </cell>
          <cell r="C1210" t="str">
            <v>m</v>
          </cell>
          <cell r="D1210">
            <v>712.75</v>
          </cell>
          <cell r="E1210" t="str">
            <v>A incluir</v>
          </cell>
          <cell r="F1210" t="e">
            <v>#N/A</v>
          </cell>
          <cell r="G1210" t="e">
            <v>#N/A</v>
          </cell>
        </row>
        <row r="1211">
          <cell r="A1211">
            <v>42771</v>
          </cell>
          <cell r="B1211" t="str">
            <v>Corpo BSTC (greide) diâmetro 1,00 m CA-2 PB inclusive escavação, reaterro e transporte do tubo em Vias Urbanas</v>
          </cell>
          <cell r="C1211" t="str">
            <v>m</v>
          </cell>
          <cell r="D1211">
            <v>696.52</v>
          </cell>
          <cell r="E1211" t="str">
            <v>A incluir</v>
          </cell>
          <cell r="F1211" t="e">
            <v>#N/A</v>
          </cell>
          <cell r="G1211" t="e">
            <v>#N/A</v>
          </cell>
        </row>
        <row r="1212">
          <cell r="A1212">
            <v>42772</v>
          </cell>
          <cell r="B1212" t="str">
            <v>Corpo BSTC (greide) diâmetro 1,20 m CA-1 MF inclusive escavação, reaterro e transporte do tubo em Vias Urbanas</v>
          </cell>
          <cell r="C1212" t="str">
            <v>m</v>
          </cell>
          <cell r="D1212">
            <v>935.56</v>
          </cell>
          <cell r="E1212" t="str">
            <v>A incluir</v>
          </cell>
          <cell r="F1212" t="e">
            <v>#N/A</v>
          </cell>
          <cell r="G1212" t="e">
            <v>#N/A</v>
          </cell>
        </row>
        <row r="1213">
          <cell r="A1213">
            <v>42773</v>
          </cell>
          <cell r="B1213" t="str">
            <v>Corpo BSTC (greide) diâmetro 1,20 m CA-1 PB inclusive escavação, reaterro e transporte do tubo em Vias Urbanas</v>
          </cell>
          <cell r="C1213" t="str">
            <v>m</v>
          </cell>
          <cell r="D1213">
            <v>951.38</v>
          </cell>
          <cell r="E1213" t="str">
            <v>A incluir</v>
          </cell>
          <cell r="F1213" t="e">
            <v>#N/A</v>
          </cell>
          <cell r="G1213" t="e">
            <v>#N/A</v>
          </cell>
        </row>
        <row r="1214">
          <cell r="A1214">
            <v>42774</v>
          </cell>
          <cell r="B1214" t="str">
            <v>Corpo BSTC (greide) diâmetro 1,20 m CA-2 MF inclusive escavação, reaterro e transporte do tubo, em Vias Urbanas</v>
          </cell>
          <cell r="C1214" t="str">
            <v>m</v>
          </cell>
          <cell r="D1214">
            <v>941.57</v>
          </cell>
          <cell r="E1214" t="str">
            <v>A incluir</v>
          </cell>
          <cell r="F1214" t="e">
            <v>#N/A</v>
          </cell>
          <cell r="G1214" t="e">
            <v>#N/A</v>
          </cell>
        </row>
        <row r="1215">
          <cell r="A1215">
            <v>42775</v>
          </cell>
          <cell r="B1215" t="str">
            <v>Corpo BSTC (greide) diâmetro 1,20 m CA-2 PB inclusive escavação, reaterro e transporte do tubo em Vias Urbanas</v>
          </cell>
          <cell r="C1215" t="str">
            <v>m</v>
          </cell>
          <cell r="D1215">
            <v>981.72</v>
          </cell>
          <cell r="E1215" t="str">
            <v>A incluir</v>
          </cell>
          <cell r="F1215" t="e">
            <v>#N/A</v>
          </cell>
          <cell r="G1215" t="e">
            <v>#N/A</v>
          </cell>
        </row>
        <row r="1216">
          <cell r="A1216">
            <v>42776</v>
          </cell>
          <cell r="B1216" t="str">
            <v>Corpo BSTC (grota) diâmetro 0,60 m CA-1 MF exclusive escavação e reaterro, inclusive transporte do tubo em Vias Urbanas</v>
          </cell>
          <cell r="C1216" t="str">
            <v>m</v>
          </cell>
          <cell r="D1216">
            <v>163.81</v>
          </cell>
          <cell r="E1216" t="str">
            <v>A incluir</v>
          </cell>
          <cell r="F1216" t="e">
            <v>#N/A</v>
          </cell>
          <cell r="G1216" t="e">
            <v>#N/A</v>
          </cell>
        </row>
        <row r="1217">
          <cell r="A1217">
            <v>42777</v>
          </cell>
          <cell r="B1217" t="str">
            <v>Corpo BSTC (grota) diâmetro 0,60 m CA-1 PB exclusive escavação e reaterro, inclusive transporte do tubo em Vias Urbanas</v>
          </cell>
          <cell r="C1217" t="str">
            <v>m</v>
          </cell>
          <cell r="D1217">
            <v>165.69</v>
          </cell>
          <cell r="E1217" t="str">
            <v>A incluir</v>
          </cell>
          <cell r="F1217" t="e">
            <v>#N/A</v>
          </cell>
          <cell r="G1217" t="e">
            <v>#N/A</v>
          </cell>
        </row>
        <row r="1218">
          <cell r="A1218">
            <v>42778</v>
          </cell>
          <cell r="B1218" t="str">
            <v>Corpo BSTC (grota) diâmetro 0,60 m CA-2 MF exclusive escavação e reaterro, inclusive transporte do tubo em Vias Urbanas</v>
          </cell>
          <cell r="C1218" t="str">
            <v>m</v>
          </cell>
          <cell r="D1218">
            <v>157.61000000000001</v>
          </cell>
          <cell r="E1218" t="str">
            <v>A incluir</v>
          </cell>
          <cell r="F1218" t="e">
            <v>#N/A</v>
          </cell>
          <cell r="G1218" t="e">
            <v>#N/A</v>
          </cell>
        </row>
        <row r="1219">
          <cell r="A1219">
            <v>42779</v>
          </cell>
          <cell r="B1219" t="str">
            <v>Corpo BSTC (grota) diâmetro 0,60 m CA-2 PB exclusive escavação e reaterro, inclusive transporte do tubo em Vias Urbanas</v>
          </cell>
          <cell r="C1219" t="str">
            <v>m</v>
          </cell>
          <cell r="D1219">
            <v>160.94</v>
          </cell>
          <cell r="E1219" t="str">
            <v>A incluir</v>
          </cell>
          <cell r="F1219" t="e">
            <v>#N/A</v>
          </cell>
          <cell r="G1219" t="e">
            <v>#N/A</v>
          </cell>
        </row>
        <row r="1220">
          <cell r="A1220">
            <v>42780</v>
          </cell>
          <cell r="B1220" t="str">
            <v>Corpo BSTC (grota) diâmetro 0,80 m CA-1 MF exclusive escavação e reaterro, inclusive transporte do tubo em Vias Urbanas</v>
          </cell>
          <cell r="C1220" t="str">
            <v>m</v>
          </cell>
          <cell r="D1220">
            <v>375.33</v>
          </cell>
          <cell r="E1220" t="str">
            <v>A incluir</v>
          </cell>
          <cell r="F1220" t="e">
            <v>#N/A</v>
          </cell>
          <cell r="G1220" t="e">
            <v>#N/A</v>
          </cell>
        </row>
        <row r="1221">
          <cell r="A1221">
            <v>42781</v>
          </cell>
          <cell r="B1221" t="str">
            <v>Corpo BSTC (grota) diâmetro 0,80 m CA-1 PB exclusive escavação e reaterro, inclusive transporte do tubo em Vias Urbanas</v>
          </cell>
          <cell r="C1221" t="str">
            <v>m</v>
          </cell>
          <cell r="D1221">
            <v>377.59</v>
          </cell>
          <cell r="E1221" t="str">
            <v>A incluir</v>
          </cell>
          <cell r="F1221" t="e">
            <v>#N/A</v>
          </cell>
          <cell r="G1221" t="e">
            <v>#N/A</v>
          </cell>
        </row>
        <row r="1222">
          <cell r="A1222">
            <v>42782</v>
          </cell>
          <cell r="B1222" t="str">
            <v>Corpo BSTC (grota) diâmetro 0,80 m CA-2 MF exclusive escavação e reaterro, inclusive transporte do tubo em Vias Urbanas</v>
          </cell>
          <cell r="C1222" t="str">
            <v>m</v>
          </cell>
          <cell r="D1222">
            <v>369.04</v>
          </cell>
          <cell r="E1222" t="str">
            <v>A incluir</v>
          </cell>
          <cell r="F1222" t="e">
            <v>#N/A</v>
          </cell>
          <cell r="G1222" t="e">
            <v>#N/A</v>
          </cell>
        </row>
        <row r="1223">
          <cell r="A1223">
            <v>42783</v>
          </cell>
          <cell r="B1223" t="str">
            <v>Corpo BSTC (grota) diâmetro 0,80 m CA-2 PB exclusive escavação e reaterro, inclusive transporte do tubo em Vias Urbanas</v>
          </cell>
          <cell r="C1223" t="str">
            <v>m</v>
          </cell>
          <cell r="D1223">
            <v>389.09</v>
          </cell>
          <cell r="E1223" t="str">
            <v>A incluir</v>
          </cell>
          <cell r="F1223" t="e">
            <v>#N/A</v>
          </cell>
          <cell r="G1223" t="e">
            <v>#N/A</v>
          </cell>
        </row>
        <row r="1224">
          <cell r="A1224">
            <v>42784</v>
          </cell>
          <cell r="B1224" t="str">
            <v>Corpo BSTC (grota) diâmetro 1,00 m CA-1 MF exclusive escavação e reaterro, inclusive transporte do tubo em Vias Urbanas</v>
          </cell>
          <cell r="C1224" t="str">
            <v>m</v>
          </cell>
          <cell r="D1224">
            <v>457.56</v>
          </cell>
          <cell r="E1224" t="str">
            <v>A incluir</v>
          </cell>
          <cell r="F1224" t="e">
            <v>#N/A</v>
          </cell>
          <cell r="G1224" t="e">
            <v>#N/A</v>
          </cell>
        </row>
        <row r="1225">
          <cell r="A1225">
            <v>42785</v>
          </cell>
          <cell r="B1225" t="str">
            <v>Corpo BSTC (grota) diâmetro 1,00 m CA-1 PB exclusive escavação e reaterro, inclusive transporte do tubo em Vias Urbanas</v>
          </cell>
          <cell r="C1225" t="str">
            <v>m</v>
          </cell>
          <cell r="D1225">
            <v>456.37</v>
          </cell>
          <cell r="E1225" t="str">
            <v>A incluir</v>
          </cell>
          <cell r="F1225" t="e">
            <v>#N/A</v>
          </cell>
          <cell r="G1225" t="e">
            <v>#N/A</v>
          </cell>
        </row>
        <row r="1226">
          <cell r="A1226">
            <v>42786</v>
          </cell>
          <cell r="B1226" t="str">
            <v>Corpo BSTC (grota) diâmetro 1,00 m CA-2 MF exclusive escavação e reaterro, inclusive transporte do tubo em Vias Urbanas</v>
          </cell>
          <cell r="C1226" t="str">
            <v>m</v>
          </cell>
          <cell r="D1226">
            <v>494.56</v>
          </cell>
          <cell r="E1226" t="str">
            <v>A incluir</v>
          </cell>
          <cell r="F1226" t="e">
            <v>#N/A</v>
          </cell>
          <cell r="G1226" t="e">
            <v>#N/A</v>
          </cell>
        </row>
        <row r="1227">
          <cell r="A1227">
            <v>42787</v>
          </cell>
          <cell r="B1227" t="str">
            <v>Corpo BSTC (grota) diâmetro 1,00 m CA-2 PB exclusive escavação e reaterro, inclusive transporte do tubo em Vias Urbanas</v>
          </cell>
          <cell r="C1227" t="str">
            <v>m</v>
          </cell>
          <cell r="D1227">
            <v>478.33</v>
          </cell>
          <cell r="E1227" t="str">
            <v>A incluir</v>
          </cell>
          <cell r="F1227" t="e">
            <v>#N/A</v>
          </cell>
          <cell r="G1227" t="e">
            <v>#N/A</v>
          </cell>
        </row>
        <row r="1228">
          <cell r="A1228">
            <v>42788</v>
          </cell>
          <cell r="B1228" t="str">
            <v>Corpo BSTC (grota) diâmetro 1,00 m CA-3 MF exclusive escavação e reaterro, inclusive transporte do tubo em Vias Urbanas</v>
          </cell>
          <cell r="C1228" t="str">
            <v>m</v>
          </cell>
          <cell r="D1228">
            <v>494.43</v>
          </cell>
          <cell r="E1228" t="str">
            <v>A incluir</v>
          </cell>
          <cell r="F1228" t="e">
            <v>#N/A</v>
          </cell>
          <cell r="G1228" t="e">
            <v>#N/A</v>
          </cell>
        </row>
        <row r="1229">
          <cell r="A1229">
            <v>42789</v>
          </cell>
          <cell r="B1229" t="str">
            <v>Corpo BSTC (grota) diâmetro 1,20 m CA-1 MF exclusive escavação e reaterro, inclusive transporte do tubo em Vias Urbanas</v>
          </cell>
          <cell r="C1229" t="str">
            <v>m</v>
          </cell>
          <cell r="D1229">
            <v>640.51</v>
          </cell>
          <cell r="E1229" t="str">
            <v>A incluir</v>
          </cell>
          <cell r="F1229" t="e">
            <v>#N/A</v>
          </cell>
          <cell r="G1229" t="e">
            <v>#N/A</v>
          </cell>
        </row>
        <row r="1230">
          <cell r="A1230">
            <v>42790</v>
          </cell>
          <cell r="B1230" t="str">
            <v>Corpo BSTC (grota) diâmetro 1,20 m CA-1 PB exclusive escavação e reaterro, inclusive transporte do tubo em Vias Urbanas</v>
          </cell>
          <cell r="C1230" t="str">
            <v>m</v>
          </cell>
          <cell r="D1230">
            <v>656.33</v>
          </cell>
          <cell r="E1230" t="str">
            <v>A incluir</v>
          </cell>
          <cell r="F1230" t="e">
            <v>#N/A</v>
          </cell>
          <cell r="G1230" t="e">
            <v>#N/A</v>
          </cell>
        </row>
        <row r="1231">
          <cell r="A1231">
            <v>42791</v>
          </cell>
          <cell r="B1231" t="str">
            <v>Corpo BSTC (grota) diâmetro 1,20 m CA-2 MF exclusive escavação e reaterro, inclusive transporte do tubo em Vias Urbanas</v>
          </cell>
          <cell r="C1231" t="str">
            <v>m</v>
          </cell>
          <cell r="D1231">
            <v>646.51</v>
          </cell>
          <cell r="E1231" t="str">
            <v>A incluir</v>
          </cell>
          <cell r="F1231" t="e">
            <v>#N/A</v>
          </cell>
          <cell r="G1231" t="e">
            <v>#N/A</v>
          </cell>
        </row>
        <row r="1232">
          <cell r="A1232">
            <v>42792</v>
          </cell>
          <cell r="B1232" t="str">
            <v>Corpo BSTC (grota) diâmetro 1,20 m CA-2 PB exclusive escavação e reaterro, inclusive transporte do tubo em Vias Urbanas</v>
          </cell>
          <cell r="C1232" t="str">
            <v>m</v>
          </cell>
          <cell r="D1232">
            <v>686.67</v>
          </cell>
          <cell r="E1232" t="str">
            <v>A incluir</v>
          </cell>
          <cell r="F1232" t="e">
            <v>#N/A</v>
          </cell>
          <cell r="G1232" t="e">
            <v>#N/A</v>
          </cell>
        </row>
        <row r="1233">
          <cell r="A1233">
            <v>42793</v>
          </cell>
          <cell r="B1233" t="str">
            <v>Corpo BSTC (grota) diâmetro 1,20 m CA-3 MF exclusive escavação e reaterro, inclusive transporte do tubo em Vias Urbanas</v>
          </cell>
          <cell r="C1233" t="str">
            <v>m</v>
          </cell>
          <cell r="D1233">
            <v>671.34</v>
          </cell>
          <cell r="E1233" t="str">
            <v>A incluir</v>
          </cell>
          <cell r="F1233" t="e">
            <v>#N/A</v>
          </cell>
          <cell r="G1233" t="e">
            <v>#N/A</v>
          </cell>
        </row>
        <row r="1234">
          <cell r="A1234">
            <v>42794</v>
          </cell>
          <cell r="B1234" t="str">
            <v>Corpo BSTC (grota) diâmetro 1,50 m CA-1 MF exclusive escavação e reaterro, inclusive transporte do tubo em Vias Urbanas</v>
          </cell>
          <cell r="C1234" t="str">
            <v>m</v>
          </cell>
          <cell r="D1234">
            <v>1025.0899999999999</v>
          </cell>
          <cell r="E1234" t="str">
            <v>A incluir</v>
          </cell>
          <cell r="F1234" t="e">
            <v>#N/A</v>
          </cell>
          <cell r="G1234" t="e">
            <v>#N/A</v>
          </cell>
        </row>
        <row r="1235">
          <cell r="A1235">
            <v>42758</v>
          </cell>
          <cell r="B1235" t="str">
            <v>Corpo BSTC (grota) diâmetro 1,50 m CA-1 PB exclusive escavação e reaterro, inclusive transporte do tubo em Vias Urbanas</v>
          </cell>
          <cell r="C1235" t="str">
            <v>m</v>
          </cell>
          <cell r="D1235">
            <v>897.22</v>
          </cell>
          <cell r="E1235" t="str">
            <v>A incluir</v>
          </cell>
          <cell r="F1235" t="e">
            <v>#N/A</v>
          </cell>
          <cell r="G1235" t="e">
            <v>#N/A</v>
          </cell>
        </row>
        <row r="1236">
          <cell r="A1236">
            <v>42795</v>
          </cell>
          <cell r="B1236" t="str">
            <v>Corpo BSTC (grota) diâmetro 1,50 m CA-2 MF exclusive escavação e reaterro, inclusive transporte do tubo em Vias Urbanas</v>
          </cell>
          <cell r="C1236" t="str">
            <v>m</v>
          </cell>
          <cell r="D1236">
            <v>1025.4000000000001</v>
          </cell>
          <cell r="E1236" t="str">
            <v>A incluir</v>
          </cell>
          <cell r="F1236" t="e">
            <v>#N/A</v>
          </cell>
          <cell r="G1236" t="e">
            <v>#N/A</v>
          </cell>
        </row>
        <row r="1237">
          <cell r="A1237">
            <v>42796</v>
          </cell>
          <cell r="B1237" t="str">
            <v>Corpo BSTC (grota) diâmetro 1,50 m CA-2 PB exclusive escavação e reaterro, inclusive transporte do tubo em Vias Urbanas</v>
          </cell>
          <cell r="C1237" t="str">
            <v>m</v>
          </cell>
          <cell r="D1237">
            <v>938.53</v>
          </cell>
          <cell r="E1237" t="str">
            <v>A incluir</v>
          </cell>
          <cell r="F1237" t="e">
            <v>#N/A</v>
          </cell>
          <cell r="G1237" t="e">
            <v>#N/A</v>
          </cell>
        </row>
        <row r="1238">
          <cell r="A1238">
            <v>42797</v>
          </cell>
          <cell r="B1238" t="str">
            <v>Corpo BSTC (grota) diâmetro 1,50 m CA-3 MF exclusive escavação e reaterro, inclusive transporte do tubo em Vias Urbanas</v>
          </cell>
          <cell r="C1238" t="str">
            <v>m</v>
          </cell>
          <cell r="D1238">
            <v>815.4</v>
          </cell>
          <cell r="E1238" t="str">
            <v>A incluir</v>
          </cell>
          <cell r="F1238" t="e">
            <v>#N/A</v>
          </cell>
          <cell r="G1238" t="e">
            <v>#N/A</v>
          </cell>
        </row>
        <row r="1239">
          <cell r="A1239">
            <v>42798</v>
          </cell>
          <cell r="B1239" t="str">
            <v>Corpo BTTC (grota) diâmetro 0,60 m CA-1 MF exclusive escavação e reaterro, inclusive transporte do tubo em Vias Urbanas</v>
          </cell>
          <cell r="C1239" t="str">
            <v>m</v>
          </cell>
          <cell r="D1239">
            <v>487.9</v>
          </cell>
          <cell r="E1239" t="str">
            <v>A incluir</v>
          </cell>
          <cell r="F1239" t="e">
            <v>#N/A</v>
          </cell>
          <cell r="G1239" t="e">
            <v>#N/A</v>
          </cell>
        </row>
        <row r="1240">
          <cell r="A1240">
            <v>42799</v>
          </cell>
          <cell r="B1240" t="str">
            <v>Corpo BTTC (grota) diâmetro 0,60 m CA-1 PB exclusive escavação e reaterro, inclusive transporte do tubo em Vias Urbanas</v>
          </cell>
          <cell r="C1240" t="str">
            <v>m</v>
          </cell>
          <cell r="D1240">
            <v>493.52</v>
          </cell>
          <cell r="E1240" t="str">
            <v>A incluir</v>
          </cell>
          <cell r="F1240" t="e">
            <v>#N/A</v>
          </cell>
          <cell r="G1240" t="e">
            <v>#N/A</v>
          </cell>
        </row>
        <row r="1241">
          <cell r="A1241">
            <v>42800</v>
          </cell>
          <cell r="B1241" t="str">
            <v>Corpo BTTC (grota) diâmetro 0,60 m CA-2 MF exclusive escavação e reaterro, inclusive transporte do tubo em Vias Urbanas</v>
          </cell>
          <cell r="C1241" t="str">
            <v>m</v>
          </cell>
          <cell r="D1241">
            <v>469.29</v>
          </cell>
          <cell r="E1241" t="str">
            <v>A incluir</v>
          </cell>
          <cell r="F1241" t="e">
            <v>#N/A</v>
          </cell>
          <cell r="G1241" t="e">
            <v>#N/A</v>
          </cell>
        </row>
        <row r="1242">
          <cell r="A1242">
            <v>42801</v>
          </cell>
          <cell r="B1242" t="str">
            <v>Corpo BTTC (grota) diâmetro 0,60 m CA-2 PB exclusive escavação e reaterro, inclusive transporte do tubo em Vias Urbanas</v>
          </cell>
          <cell r="C1242" t="str">
            <v>m</v>
          </cell>
          <cell r="D1242">
            <v>479.28</v>
          </cell>
          <cell r="E1242" t="str">
            <v>A incluir</v>
          </cell>
          <cell r="F1242" t="e">
            <v>#N/A</v>
          </cell>
          <cell r="G1242" t="e">
            <v>#N/A</v>
          </cell>
        </row>
        <row r="1243">
          <cell r="A1243">
            <v>42802</v>
          </cell>
          <cell r="B1243" t="str">
            <v>Corpo BTTC (grota) diâmetro 0,80 m CA-1 MF exclusive escavação e reaterro, inclusive transporte do tubo em Vias Urbanas</v>
          </cell>
          <cell r="C1243" t="str">
            <v>m</v>
          </cell>
          <cell r="D1243">
            <v>961.41</v>
          </cell>
          <cell r="E1243" t="str">
            <v>A incluir</v>
          </cell>
          <cell r="F1243" t="e">
            <v>#N/A</v>
          </cell>
          <cell r="G1243" t="e">
            <v>#N/A</v>
          </cell>
        </row>
        <row r="1244">
          <cell r="A1244">
            <v>42803</v>
          </cell>
          <cell r="B1244" t="str">
            <v>Corpo BTTC (grota) diâmetro 0,80 m CA-1 PB exclusive escavação e reaterro, inclusive transporte do tubo em Vias Urbanas</v>
          </cell>
          <cell r="C1244" t="str">
            <v>m</v>
          </cell>
          <cell r="D1244">
            <v>968.18</v>
          </cell>
          <cell r="E1244" t="str">
            <v>A incluir</v>
          </cell>
          <cell r="F1244" t="e">
            <v>#N/A</v>
          </cell>
          <cell r="G1244" t="e">
            <v>#N/A</v>
          </cell>
        </row>
        <row r="1245">
          <cell r="A1245">
            <v>42804</v>
          </cell>
          <cell r="B1245" t="str">
            <v>Corpo BTTC (grota) diâmetro 0,80 m CA-2 MF exclusive escavação e reaterro, inclusive transporte do tubo em Vias Urbanas</v>
          </cell>
          <cell r="C1245" t="str">
            <v>m</v>
          </cell>
          <cell r="D1245">
            <v>942.54</v>
          </cell>
          <cell r="E1245" t="str">
            <v>A incluir</v>
          </cell>
          <cell r="F1245" t="e">
            <v>#N/A</v>
          </cell>
          <cell r="G1245" t="e">
            <v>#N/A</v>
          </cell>
        </row>
        <row r="1246">
          <cell r="A1246">
            <v>42805</v>
          </cell>
          <cell r="B1246" t="str">
            <v>Corpo BTTC (grota) diâmetro 0,80 m CA-2 PB exclusive escavação e reaterro, inclusive transporte do tubo em Vias Urbanas</v>
          </cell>
          <cell r="C1246" t="str">
            <v>m</v>
          </cell>
          <cell r="D1246">
            <v>1002.7</v>
          </cell>
          <cell r="E1246" t="str">
            <v>A incluir</v>
          </cell>
          <cell r="F1246" t="e">
            <v>#N/A</v>
          </cell>
          <cell r="G1246" t="e">
            <v>#N/A</v>
          </cell>
        </row>
        <row r="1247">
          <cell r="A1247">
            <v>42806</v>
          </cell>
          <cell r="B1247" t="str">
            <v>Corpo BTTC (grota) diâmetro 1,00 m CA-1 MF exclusive escavação e reaterro, inclusive transporte do tubo em Vias Urbanas</v>
          </cell>
          <cell r="C1247" t="str">
            <v>m</v>
          </cell>
          <cell r="D1247">
            <v>1208.0899999999999</v>
          </cell>
          <cell r="E1247" t="str">
            <v>A incluir</v>
          </cell>
          <cell r="F1247" t="e">
            <v>#N/A</v>
          </cell>
          <cell r="G1247" t="e">
            <v>#N/A</v>
          </cell>
        </row>
        <row r="1248">
          <cell r="A1248">
            <v>42807</v>
          </cell>
          <cell r="B1248" t="str">
            <v>Corpo BTTC (grota) diâmetro 1,00 m CA-1 PB exclusive escavação e reaterro, inclusive transporte do tubo em Vias Urbanas</v>
          </cell>
          <cell r="C1248" t="str">
            <v>m</v>
          </cell>
          <cell r="D1248">
            <v>1204.5</v>
          </cell>
          <cell r="E1248" t="str">
            <v>A incluir</v>
          </cell>
          <cell r="F1248" t="e">
            <v>#N/A</v>
          </cell>
          <cell r="G1248" t="e">
            <v>#N/A</v>
          </cell>
        </row>
        <row r="1249">
          <cell r="A1249">
            <v>42808</v>
          </cell>
          <cell r="B1249" t="str">
            <v>Corpo BTTC (grota) diâmetro 1,00 m CA-2 MF exclusive escavação e reaterro, inclusive transporte do tubo em Vias Urbanas</v>
          </cell>
          <cell r="C1249" t="str">
            <v>m</v>
          </cell>
          <cell r="D1249">
            <v>1319.08</v>
          </cell>
          <cell r="E1249" t="str">
            <v>A incluir</v>
          </cell>
          <cell r="F1249" t="e">
            <v>#N/A</v>
          </cell>
          <cell r="G1249" t="e">
            <v>#N/A</v>
          </cell>
        </row>
        <row r="1250">
          <cell r="A1250">
            <v>42809</v>
          </cell>
          <cell r="B1250" t="str">
            <v>Corpo BTTC (grota) diâmetro 1,00 m CA-2 PB exclusive escavação e reaterro, inclusive transporte do tubo em Vias Urbanas</v>
          </cell>
          <cell r="C1250" t="str">
            <v>m</v>
          </cell>
          <cell r="D1250">
            <v>1270.3900000000001</v>
          </cell>
          <cell r="E1250" t="str">
            <v>A incluir</v>
          </cell>
          <cell r="F1250" t="e">
            <v>#N/A</v>
          </cell>
          <cell r="G1250" t="e">
            <v>#N/A</v>
          </cell>
        </row>
        <row r="1251">
          <cell r="A1251">
            <v>42810</v>
          </cell>
          <cell r="B1251" t="str">
            <v>Corpo BTTC (grota) diâmetro 1,00 m CA-3 MF exclusive escavação e reaterro, inclusive transporte do tubo em Vias Urbanas</v>
          </cell>
          <cell r="C1251" t="str">
            <v>m</v>
          </cell>
          <cell r="D1251">
            <v>1318.71</v>
          </cell>
          <cell r="E1251" t="str">
            <v>A incluir</v>
          </cell>
          <cell r="F1251" t="e">
            <v>#N/A</v>
          </cell>
          <cell r="G1251" t="e">
            <v>#N/A</v>
          </cell>
        </row>
        <row r="1252">
          <cell r="A1252">
            <v>42811</v>
          </cell>
          <cell r="B1252" t="str">
            <v>Corpo BTTC (grota) diâmetro 1,20 m CA-1 MF exclusive escavação e reaterro, inclusive transporte do tubo em Vias Urbanas</v>
          </cell>
          <cell r="C1252" t="str">
            <v>m</v>
          </cell>
          <cell r="D1252">
            <v>1757</v>
          </cell>
          <cell r="E1252" t="str">
            <v>A incluir</v>
          </cell>
          <cell r="F1252" t="e">
            <v>#N/A</v>
          </cell>
          <cell r="G1252" t="e">
            <v>#N/A</v>
          </cell>
        </row>
        <row r="1253">
          <cell r="A1253">
            <v>42812</v>
          </cell>
          <cell r="B1253" t="str">
            <v>Corpo BTTC (grota) diâmetro 1,20 m CA-1 PB exclusive escavação e reaterro, inclusive transporte do tubo em Vias Urbanas</v>
          </cell>
          <cell r="C1253" t="str">
            <v>m</v>
          </cell>
          <cell r="D1253">
            <v>1804.46</v>
          </cell>
          <cell r="E1253" t="str">
            <v>A incluir</v>
          </cell>
          <cell r="F1253" t="e">
            <v>#N/A</v>
          </cell>
          <cell r="G1253" t="e">
            <v>#N/A</v>
          </cell>
        </row>
        <row r="1254">
          <cell r="A1254">
            <v>42813</v>
          </cell>
          <cell r="B1254" t="str">
            <v>Corpo BTTC (grota) diâmetro 1,20 m CA-2 MF exclusive escavação e reaterro, inclusive transporte do tubo em Vias Urbanas</v>
          </cell>
          <cell r="C1254" t="str">
            <v>m</v>
          </cell>
          <cell r="D1254">
            <v>1775.01</v>
          </cell>
          <cell r="E1254" t="str">
            <v>A incluir</v>
          </cell>
          <cell r="F1254" t="e">
            <v>#N/A</v>
          </cell>
          <cell r="G1254" t="e">
            <v>#N/A</v>
          </cell>
        </row>
        <row r="1255">
          <cell r="A1255">
            <v>42814</v>
          </cell>
          <cell r="B1255" t="str">
            <v>Corpo BTTC (grota) diâmetro 1,20 m CA-2 PB exclusive escavação e reaterro, inclusive transporte do tubo em Vias Urbanas</v>
          </cell>
          <cell r="C1255" t="str">
            <v>m</v>
          </cell>
          <cell r="D1255">
            <v>1895.47</v>
          </cell>
          <cell r="E1255" t="str">
            <v>A incluir</v>
          </cell>
          <cell r="F1255" t="e">
            <v>#N/A</v>
          </cell>
          <cell r="G1255" t="e">
            <v>#N/A</v>
          </cell>
        </row>
        <row r="1256">
          <cell r="A1256">
            <v>42815</v>
          </cell>
          <cell r="B1256" t="str">
            <v>Corpo BTTC (grota) diâmetro 1,20 m CA-3 MF exclusive escavação e reaterro, inclusive transporte do tubo em Vias Urbanas</v>
          </cell>
          <cell r="C1256" t="str">
            <v>m</v>
          </cell>
          <cell r="D1256">
            <v>1849.49</v>
          </cell>
          <cell r="E1256" t="str">
            <v>A incluir</v>
          </cell>
          <cell r="F1256" t="e">
            <v>#N/A</v>
          </cell>
          <cell r="G1256" t="e">
            <v>#N/A</v>
          </cell>
        </row>
        <row r="1257">
          <cell r="A1257">
            <v>42816</v>
          </cell>
          <cell r="B1257" t="str">
            <v>Corpo BTTC (grota) diâmetro 1,50 m CA-1 MF exclusive escavação e reaterro, inclusive transporte do tubo em Vias Urbanas</v>
          </cell>
          <cell r="C1257" t="str">
            <v>m</v>
          </cell>
          <cell r="D1257">
            <v>2910.64</v>
          </cell>
          <cell r="E1257" t="str">
            <v>A incluir</v>
          </cell>
          <cell r="F1257" t="e">
            <v>#N/A</v>
          </cell>
          <cell r="G1257" t="e">
            <v>#N/A</v>
          </cell>
        </row>
        <row r="1258">
          <cell r="A1258">
            <v>42817</v>
          </cell>
          <cell r="B1258" t="str">
            <v>Corpo BTTC (grota) diâmetro 1,50 m CA-1 PB exclusive escavação e reaterro, inclusive transporte do tubo em Vias Urbanas</v>
          </cell>
          <cell r="C1258" t="str">
            <v>m</v>
          </cell>
          <cell r="D1258">
            <v>2527.0300000000002</v>
          </cell>
          <cell r="E1258" t="str">
            <v>A incluir</v>
          </cell>
          <cell r="F1258" t="e">
            <v>#N/A</v>
          </cell>
          <cell r="G1258" t="e">
            <v>#N/A</v>
          </cell>
        </row>
        <row r="1259">
          <cell r="A1259">
            <v>42818</v>
          </cell>
          <cell r="B1259" t="str">
            <v>Corpo BTTC (grota) diâmetro 1,50 m CA-2 MF exclusive escavação e reaterro, inclusive transporte do tubo em Vias Urbanas</v>
          </cell>
          <cell r="C1259" t="str">
            <v>m</v>
          </cell>
          <cell r="D1259">
            <v>2911.57</v>
          </cell>
          <cell r="E1259" t="str">
            <v>A incluir</v>
          </cell>
          <cell r="F1259" t="e">
            <v>#N/A</v>
          </cell>
          <cell r="G1259" t="e">
            <v>#N/A</v>
          </cell>
        </row>
        <row r="1260">
          <cell r="A1260">
            <v>42819</v>
          </cell>
          <cell r="B1260" t="str">
            <v>Corpo BTTC (grota) diâmetro 1,50 m CA-2 PB exclusive escavação e reaterro, inclusive transporte do tubo em Vias Urbanas</v>
          </cell>
          <cell r="C1260" t="str">
            <v>m</v>
          </cell>
          <cell r="D1260">
            <v>2650.97</v>
          </cell>
          <cell r="E1260" t="str">
            <v>A incluir</v>
          </cell>
          <cell r="F1260" t="e">
            <v>#N/A</v>
          </cell>
          <cell r="G1260" t="e">
            <v>#N/A</v>
          </cell>
        </row>
        <row r="1261">
          <cell r="A1261">
            <v>42820</v>
          </cell>
          <cell r="B1261" t="str">
            <v>Corpo BTTC (grota) diâmetro 1,50 m CA-3 MF exclusive escavação e reaterro, inclusive transporte do tubo em Vias Urbanas</v>
          </cell>
          <cell r="C1261" t="str">
            <v>m</v>
          </cell>
          <cell r="D1261">
            <v>2281.56</v>
          </cell>
          <cell r="E1261" t="str">
            <v>A incluir</v>
          </cell>
          <cell r="F1261" t="e">
            <v>#N/A</v>
          </cell>
          <cell r="G1261" t="e">
            <v>#N/A</v>
          </cell>
        </row>
        <row r="1262">
          <cell r="A1262">
            <v>41321</v>
          </cell>
          <cell r="B1262" t="str">
            <v>Corpo de BDCC 1,00 x 1,00 m em Vias Urbanas</v>
          </cell>
          <cell r="C1262" t="str">
            <v>m</v>
          </cell>
          <cell r="D1262">
            <v>5261.15</v>
          </cell>
          <cell r="E1262">
            <v>0</v>
          </cell>
          <cell r="F1262" t="e">
            <v>#N/A</v>
          </cell>
          <cell r="G1262" t="e">
            <v>#N/A</v>
          </cell>
        </row>
        <row r="1263">
          <cell r="A1263">
            <v>42821</v>
          </cell>
          <cell r="B1263" t="str">
            <v>Corpo de BDCC 1,50 x 1,50 m projeto DNIT para H &lt; = 2,50 m em Vias Urbanas</v>
          </cell>
          <cell r="C1263" t="str">
            <v>m</v>
          </cell>
          <cell r="D1263">
            <v>3901.8</v>
          </cell>
          <cell r="E1263">
            <v>0</v>
          </cell>
          <cell r="F1263" t="e">
            <v>#N/A</v>
          </cell>
          <cell r="G1263" t="e">
            <v>#N/A</v>
          </cell>
        </row>
        <row r="1264">
          <cell r="A1264">
            <v>42822</v>
          </cell>
          <cell r="B1264" t="str">
            <v>Corpo de BDCC 1,50 x 1,50 m projeto DNIT para 2,50 &lt; H &lt; 5,00 m em Vias Urbanas</v>
          </cell>
          <cell r="C1264" t="str">
            <v>m</v>
          </cell>
          <cell r="D1264">
            <v>4069.76</v>
          </cell>
          <cell r="E1264">
            <v>0</v>
          </cell>
          <cell r="F1264" t="e">
            <v>#N/A</v>
          </cell>
          <cell r="G1264" t="e">
            <v>#N/A</v>
          </cell>
        </row>
        <row r="1265">
          <cell r="A1265">
            <v>42823</v>
          </cell>
          <cell r="B1265" t="str">
            <v>Corpo de BDCC 2,00 x 1,20 m - tudo incluido conforme projeto em Vias Urbanas</v>
          </cell>
          <cell r="C1265" t="str">
            <v>m</v>
          </cell>
          <cell r="D1265">
            <v>5661.85</v>
          </cell>
          <cell r="E1265">
            <v>0</v>
          </cell>
          <cell r="F1265" t="e">
            <v>#N/A</v>
          </cell>
          <cell r="G1265" t="e">
            <v>#N/A</v>
          </cell>
        </row>
        <row r="1266">
          <cell r="A1266">
            <v>42824</v>
          </cell>
          <cell r="B1266" t="str">
            <v>Corpo de BDCC 2,00 x 2,00 m projeto DNIT para H &lt; = 2,50 m em Vias Urbanas</v>
          </cell>
          <cell r="C1266" t="str">
            <v>m</v>
          </cell>
          <cell r="D1266">
            <v>5600.18</v>
          </cell>
          <cell r="E1266">
            <v>0</v>
          </cell>
          <cell r="F1266" t="e">
            <v>#N/A</v>
          </cell>
          <cell r="G1266" t="e">
            <v>#N/A</v>
          </cell>
        </row>
        <row r="1267">
          <cell r="A1267">
            <v>42825</v>
          </cell>
          <cell r="B1267" t="str">
            <v>Corpo de BDCC 2,00 x 2,00 m projeto DNIT para 2,50 &lt; H &lt; 5,00 m em Vias Urbanas</v>
          </cell>
          <cell r="C1267" t="str">
            <v>m</v>
          </cell>
          <cell r="D1267">
            <v>6199.07</v>
          </cell>
          <cell r="E1267">
            <v>0</v>
          </cell>
          <cell r="F1267" t="e">
            <v>#N/A</v>
          </cell>
          <cell r="G1267" t="e">
            <v>#N/A</v>
          </cell>
        </row>
        <row r="1268">
          <cell r="A1268">
            <v>40600</v>
          </cell>
          <cell r="B1268" t="str">
            <v>Corpo de BDCC 2,00 x 2,50 m em Vias Urbanas</v>
          </cell>
          <cell r="C1268" t="str">
            <v>m</v>
          </cell>
          <cell r="D1268">
            <v>8332.1200000000008</v>
          </cell>
          <cell r="E1268">
            <v>0</v>
          </cell>
          <cell r="F1268" t="e">
            <v>#N/A</v>
          </cell>
          <cell r="G1268" t="e">
            <v>#N/A</v>
          </cell>
        </row>
        <row r="1269">
          <cell r="A1269">
            <v>42827</v>
          </cell>
          <cell r="B1269" t="str">
            <v>Corpo de BDCC 2,00 x 3,00 m projeto DNIT p/ 2,50 &lt; H &lt; 5,00 m em Vias Urbanas</v>
          </cell>
          <cell r="C1269" t="str">
            <v>m</v>
          </cell>
          <cell r="D1269">
            <v>9305.86</v>
          </cell>
          <cell r="E1269">
            <v>0</v>
          </cell>
          <cell r="F1269" t="e">
            <v>#N/A</v>
          </cell>
          <cell r="G1269" t="e">
            <v>#N/A</v>
          </cell>
        </row>
        <row r="1270">
          <cell r="A1270">
            <v>42826</v>
          </cell>
          <cell r="B1270" t="str">
            <v>Corpo de BDCC 2,00 x 3,00 m projeto DNIT para H &lt; = 2,50 m em Vias Urbanas</v>
          </cell>
          <cell r="C1270" t="str">
            <v>m</v>
          </cell>
          <cell r="D1270">
            <v>7991</v>
          </cell>
          <cell r="E1270">
            <v>0</v>
          </cell>
          <cell r="F1270" t="e">
            <v>#N/A</v>
          </cell>
          <cell r="G1270" t="e">
            <v>#N/A</v>
          </cell>
        </row>
        <row r="1271">
          <cell r="A1271">
            <v>42828</v>
          </cell>
          <cell r="B1271" t="str">
            <v>Corpo de BDCC 2,50 x 2,00m - tudo incluído conforme projeto em Vias Urbanas</v>
          </cell>
          <cell r="C1271" t="str">
            <v>m</v>
          </cell>
          <cell r="D1271">
            <v>8166.31</v>
          </cell>
          <cell r="E1271">
            <v>0</v>
          </cell>
          <cell r="F1271" t="e">
            <v>#N/A</v>
          </cell>
          <cell r="G1271" t="e">
            <v>#N/A</v>
          </cell>
        </row>
        <row r="1272">
          <cell r="A1272">
            <v>42830</v>
          </cell>
          <cell r="B1272" t="str">
            <v>Corpo de BDCC 2,50 x 2,50 m projeto DNIT p/ 2,50&lt; H &lt;5,00 m em Vias Urbanas</v>
          </cell>
          <cell r="C1272" t="str">
            <v>m</v>
          </cell>
          <cell r="D1272">
            <v>8417.0400000000009</v>
          </cell>
          <cell r="E1272">
            <v>0</v>
          </cell>
          <cell r="F1272" t="e">
            <v>#N/A</v>
          </cell>
          <cell r="G1272" t="e">
            <v>#N/A</v>
          </cell>
        </row>
        <row r="1273">
          <cell r="A1273">
            <v>42829</v>
          </cell>
          <cell r="B1273" t="str">
            <v>Corpo de BDCC 2,50 x 2,50 m projeto DNIT para H&lt;=2,50m em Vias Urbanas</v>
          </cell>
          <cell r="C1273" t="str">
            <v>m</v>
          </cell>
          <cell r="D1273">
            <v>7534.59</v>
          </cell>
          <cell r="E1273">
            <v>0</v>
          </cell>
          <cell r="F1273" t="e">
            <v>#N/A</v>
          </cell>
          <cell r="G1273" t="e">
            <v>#N/A</v>
          </cell>
        </row>
        <row r="1274">
          <cell r="A1274">
            <v>42831</v>
          </cell>
          <cell r="B1274" t="str">
            <v>Corpo de BDCC 2,50 x 3,00 m projeto DNIT p/ H &lt;= 2,50 m em Vias Urbanas</v>
          </cell>
          <cell r="C1274" t="str">
            <v>m</v>
          </cell>
          <cell r="D1274">
            <v>9129.39</v>
          </cell>
          <cell r="E1274">
            <v>0</v>
          </cell>
          <cell r="F1274" t="e">
            <v>#N/A</v>
          </cell>
          <cell r="G1274" t="e">
            <v>#N/A</v>
          </cell>
        </row>
        <row r="1275">
          <cell r="A1275">
            <v>42832</v>
          </cell>
          <cell r="B1275" t="str">
            <v>Corpo de BDCC 2,50 x 3,00 m projeto DNIT p/ 2,50 &lt; H &lt; 5,00 m em Vias Urbanas</v>
          </cell>
          <cell r="C1275" t="str">
            <v>m</v>
          </cell>
          <cell r="D1275">
            <v>10105.92</v>
          </cell>
          <cell r="E1275">
            <v>0</v>
          </cell>
          <cell r="F1275" t="e">
            <v>#N/A</v>
          </cell>
          <cell r="G1275" t="e">
            <v>#N/A</v>
          </cell>
        </row>
        <row r="1276">
          <cell r="A1276">
            <v>42834</v>
          </cell>
          <cell r="B1276" t="str">
            <v>Corpo de BDCC 3,00 x 3,00 m projeto DNIT p/ 2,50 &lt; H &lt; 5,00 m em Vias Urbanas</v>
          </cell>
          <cell r="C1276" t="str">
            <v>m</v>
          </cell>
          <cell r="D1276">
            <v>10818.76</v>
          </cell>
          <cell r="E1276">
            <v>0</v>
          </cell>
          <cell r="F1276" t="e">
            <v>#N/A</v>
          </cell>
          <cell r="G1276" t="e">
            <v>#N/A</v>
          </cell>
        </row>
        <row r="1277">
          <cell r="A1277">
            <v>42833</v>
          </cell>
          <cell r="B1277" t="str">
            <v>Corpo de BDCC 3,00 x 3,00 m projeto DNIT para H &lt;= 2,50 m em Vias Urbanas</v>
          </cell>
          <cell r="C1277" t="str">
            <v>m</v>
          </cell>
          <cell r="D1277">
            <v>10020.99</v>
          </cell>
          <cell r="E1277">
            <v>0</v>
          </cell>
          <cell r="F1277" t="e">
            <v>#N/A</v>
          </cell>
          <cell r="G1277" t="e">
            <v>#N/A</v>
          </cell>
        </row>
        <row r="1278">
          <cell r="A1278">
            <v>42835</v>
          </cell>
          <cell r="B1278" t="str">
            <v>Corpo de BSCC 1,50 x 1,50 m projeto DNIT p/ H &lt;= 2,50 m em Vias Urbanas</v>
          </cell>
          <cell r="C1278" t="str">
            <v>m</v>
          </cell>
          <cell r="D1278">
            <v>2370.58</v>
          </cell>
          <cell r="E1278">
            <v>0</v>
          </cell>
          <cell r="F1278" t="e">
            <v>#N/A</v>
          </cell>
          <cell r="G1278" t="e">
            <v>#N/A</v>
          </cell>
        </row>
        <row r="1279">
          <cell r="A1279">
            <v>42836</v>
          </cell>
          <cell r="B1279" t="str">
            <v>Corpo de BSCC 1,50x1,50m projeto DNIT p/ 2,50&lt; H &lt;5,00m em Vias Urbanas</v>
          </cell>
          <cell r="C1279" t="str">
            <v>m</v>
          </cell>
          <cell r="D1279">
            <v>2496.5500000000002</v>
          </cell>
          <cell r="E1279">
            <v>0</v>
          </cell>
          <cell r="F1279" t="e">
            <v>#N/A</v>
          </cell>
          <cell r="G1279" t="e">
            <v>#N/A</v>
          </cell>
        </row>
        <row r="1280">
          <cell r="A1280">
            <v>42837</v>
          </cell>
          <cell r="B1280" t="str">
            <v>Corpo de BSCC 2,00 x 2,00m projeto DNIT para 5,00 &lt; H &lt; 7,50 m em Vias Urbanas</v>
          </cell>
          <cell r="C1280" t="str">
            <v>m</v>
          </cell>
          <cell r="D1280">
            <v>4065.9</v>
          </cell>
          <cell r="E1280">
            <v>0</v>
          </cell>
          <cell r="F1280" t="e">
            <v>#N/A</v>
          </cell>
          <cell r="G1280" t="e">
            <v>#N/A</v>
          </cell>
        </row>
        <row r="1281">
          <cell r="A1281">
            <v>42838</v>
          </cell>
          <cell r="B1281" t="str">
            <v>Corpo de BSCC 2,00x2,00m projeto DNIT p/ H&lt;=2,50m em Vias Urbanas</v>
          </cell>
          <cell r="C1281" t="str">
            <v>m</v>
          </cell>
          <cell r="D1281">
            <v>3350.72</v>
          </cell>
          <cell r="E1281">
            <v>0</v>
          </cell>
          <cell r="F1281" t="e">
            <v>#N/A</v>
          </cell>
          <cell r="G1281" t="e">
            <v>#N/A</v>
          </cell>
        </row>
        <row r="1282">
          <cell r="A1282">
            <v>42839</v>
          </cell>
          <cell r="B1282" t="str">
            <v>Corpo de BSCC 2,00x2,00m projeto DNIT p/ 2,50&lt; H &lt;5,00m em Vias Urbanas</v>
          </cell>
          <cell r="C1282" t="str">
            <v>m</v>
          </cell>
          <cell r="D1282">
            <v>3771.97</v>
          </cell>
          <cell r="E1282">
            <v>0</v>
          </cell>
          <cell r="F1282" t="e">
            <v>#N/A</v>
          </cell>
          <cell r="G1282" t="e">
            <v>#N/A</v>
          </cell>
        </row>
        <row r="1283">
          <cell r="A1283">
            <v>42840</v>
          </cell>
          <cell r="B1283" t="str">
            <v>Corpo de BSCC 2,00x3,00m projeto DNIT p/ H&lt;=2,50m em Vias Urbanas</v>
          </cell>
          <cell r="C1283" t="str">
            <v>m</v>
          </cell>
          <cell r="D1283">
            <v>4853.59</v>
          </cell>
          <cell r="E1283">
            <v>0</v>
          </cell>
          <cell r="F1283" t="e">
            <v>#N/A</v>
          </cell>
          <cell r="G1283" t="e">
            <v>#N/A</v>
          </cell>
        </row>
        <row r="1284">
          <cell r="A1284">
            <v>42841</v>
          </cell>
          <cell r="B1284" t="str">
            <v>Corpo de BSCC 2,00x3,00m projeto DNIT p/ 2,50&lt; H &lt;5,00m em Vias Urbanas</v>
          </cell>
          <cell r="C1284" t="str">
            <v>m</v>
          </cell>
          <cell r="D1284">
            <v>6107.37</v>
          </cell>
          <cell r="E1284">
            <v>0</v>
          </cell>
          <cell r="F1284" t="e">
            <v>#N/A</v>
          </cell>
          <cell r="G1284" t="e">
            <v>#N/A</v>
          </cell>
        </row>
        <row r="1285">
          <cell r="A1285">
            <v>40585</v>
          </cell>
          <cell r="B1285" t="str">
            <v>Corpo de BSCC 2,50 x 2,50 m, para H &lt; = 2,50 m em Vias Urbanas</v>
          </cell>
          <cell r="C1285" t="str">
            <v>m</v>
          </cell>
          <cell r="D1285">
            <v>5205.75</v>
          </cell>
          <cell r="E1285">
            <v>0</v>
          </cell>
          <cell r="F1285" t="e">
            <v>#N/A</v>
          </cell>
          <cell r="G1285" t="e">
            <v>#N/A</v>
          </cell>
        </row>
        <row r="1286">
          <cell r="A1286">
            <v>42843</v>
          </cell>
          <cell r="B1286" t="str">
            <v>Corpo de BSCC 2,50x2,50m projeto DNIT para 2,50&lt; H &lt;5,00m em Vias Urbanas</v>
          </cell>
          <cell r="C1286" t="str">
            <v>m</v>
          </cell>
          <cell r="D1286">
            <v>5203.2700000000004</v>
          </cell>
          <cell r="E1286">
            <v>0</v>
          </cell>
          <cell r="F1286" t="e">
            <v>#N/A</v>
          </cell>
          <cell r="G1286" t="e">
            <v>#N/A</v>
          </cell>
        </row>
        <row r="1287">
          <cell r="A1287">
            <v>42844</v>
          </cell>
          <cell r="B1287" t="str">
            <v>Corpo de BSCC 2,50x3,00m projeto DNIT para H&lt;=2,50m em Vias Urbanas</v>
          </cell>
          <cell r="C1287" t="str">
            <v>m</v>
          </cell>
          <cell r="D1287">
            <v>5991.37</v>
          </cell>
          <cell r="E1287">
            <v>0</v>
          </cell>
          <cell r="F1287" t="e">
            <v>#N/A</v>
          </cell>
          <cell r="G1287" t="e">
            <v>#N/A</v>
          </cell>
        </row>
        <row r="1288">
          <cell r="A1288">
            <v>42845</v>
          </cell>
          <cell r="B1288" t="str">
            <v>Corpo de BSCC 2,50x3,00m projeto DNIT para 2,50&lt; H &lt;5,00m em Vias Urbanas</v>
          </cell>
          <cell r="C1288" t="str">
            <v>m</v>
          </cell>
          <cell r="D1288">
            <v>7127.3</v>
          </cell>
          <cell r="E1288">
            <v>0</v>
          </cell>
          <cell r="F1288" t="e">
            <v>#N/A</v>
          </cell>
          <cell r="G1288" t="e">
            <v>#N/A</v>
          </cell>
        </row>
        <row r="1289">
          <cell r="A1289">
            <v>41179</v>
          </cell>
          <cell r="B1289" t="str">
            <v>Corpo de BSCC 3,00x1,50 para 2,50m&lt; H &lt; 5,00m , em Vias Urbanas</v>
          </cell>
          <cell r="C1289" t="str">
            <v>m</v>
          </cell>
          <cell r="D1289">
            <v>6267.67</v>
          </cell>
          <cell r="E1289">
            <v>0</v>
          </cell>
          <cell r="F1289" t="e">
            <v>#N/A</v>
          </cell>
          <cell r="G1289" t="e">
            <v>#N/A</v>
          </cell>
        </row>
        <row r="1290">
          <cell r="A1290">
            <v>42842</v>
          </cell>
          <cell r="B1290" t="str">
            <v>Corpo de BSCC 3,00x3,00m projeto DNIT para H&lt;=2,50m em Vias Urbanas</v>
          </cell>
          <cell r="C1290" t="str">
            <v>m</v>
          </cell>
          <cell r="D1290">
            <v>6525.77</v>
          </cell>
          <cell r="E1290">
            <v>0</v>
          </cell>
          <cell r="F1290" t="e">
            <v>#N/A</v>
          </cell>
          <cell r="G1290" t="e">
            <v>#N/A</v>
          </cell>
        </row>
        <row r="1291">
          <cell r="A1291">
            <v>42848</v>
          </cell>
          <cell r="B1291" t="str">
            <v>Corpo de BSCC 3,00x3,00m projeto DNIT para 2,50&lt; H &lt;5,00m em Vias Urbanas</v>
          </cell>
          <cell r="C1291" t="str">
            <v>m</v>
          </cell>
          <cell r="D1291">
            <v>7452.84</v>
          </cell>
          <cell r="E1291">
            <v>0</v>
          </cell>
          <cell r="F1291" t="e">
            <v>#N/A</v>
          </cell>
          <cell r="G1291" t="e">
            <v>#N/A</v>
          </cell>
        </row>
        <row r="1292">
          <cell r="A1292">
            <v>42849</v>
          </cell>
          <cell r="B1292" t="str">
            <v>Corpo de BTCC 1,50 x 1,50 m projeto DNIT para H &lt;= 2,50 m em Vias Urbanas</v>
          </cell>
          <cell r="C1292" t="str">
            <v>m</v>
          </cell>
          <cell r="D1292">
            <v>5468.19</v>
          </cell>
          <cell r="E1292">
            <v>0</v>
          </cell>
          <cell r="F1292" t="e">
            <v>#N/A</v>
          </cell>
          <cell r="G1292" t="e">
            <v>#N/A</v>
          </cell>
        </row>
        <row r="1293">
          <cell r="A1293">
            <v>42850</v>
          </cell>
          <cell r="B1293" t="str">
            <v>Corpo de BTCC 1,50 x 1,50 m projeto DNIT para 2,50 &lt; H &lt; 5,00 m em Vias Urbanas</v>
          </cell>
          <cell r="C1293" t="str">
            <v>m</v>
          </cell>
          <cell r="D1293">
            <v>5778.92</v>
          </cell>
          <cell r="E1293">
            <v>0</v>
          </cell>
          <cell r="F1293" t="e">
            <v>#N/A</v>
          </cell>
          <cell r="G1293" t="e">
            <v>#N/A</v>
          </cell>
        </row>
        <row r="1294">
          <cell r="A1294">
            <v>42851</v>
          </cell>
          <cell r="B1294" t="str">
            <v>Corpo de BTCC 2,00 x 2,00 m projeto DNIT para H &lt;= 2,50 m em Vias Urbanas</v>
          </cell>
          <cell r="C1294" t="str">
            <v>m</v>
          </cell>
          <cell r="D1294">
            <v>7967.59</v>
          </cell>
          <cell r="E1294">
            <v>0</v>
          </cell>
          <cell r="F1294" t="e">
            <v>#N/A</v>
          </cell>
          <cell r="G1294" t="e">
            <v>#N/A</v>
          </cell>
        </row>
        <row r="1295">
          <cell r="A1295">
            <v>42852</v>
          </cell>
          <cell r="B1295" t="str">
            <v>Corpo de BTCC 2,00 x 2,00 m projeto DNIT para 2,50 &lt; H &lt; 5,00 m em Vias Urbanas</v>
          </cell>
          <cell r="C1295" t="str">
            <v>m</v>
          </cell>
          <cell r="D1295">
            <v>8477.25</v>
          </cell>
          <cell r="E1295">
            <v>0</v>
          </cell>
          <cell r="F1295" t="e">
            <v>#N/A</v>
          </cell>
          <cell r="G1295" t="e">
            <v>#N/A</v>
          </cell>
        </row>
        <row r="1296">
          <cell r="A1296">
            <v>42853</v>
          </cell>
          <cell r="B1296" t="str">
            <v>Corpo de BTCC 2,00 x 3,00 m projeto DNIT para H &lt; = 2,50 m em Vias Urbanas</v>
          </cell>
          <cell r="C1296" t="str">
            <v>m</v>
          </cell>
          <cell r="D1296">
            <v>11571.06</v>
          </cell>
          <cell r="E1296">
            <v>0</v>
          </cell>
          <cell r="F1296" t="e">
            <v>#N/A</v>
          </cell>
          <cell r="G1296" t="e">
            <v>#N/A</v>
          </cell>
        </row>
        <row r="1297">
          <cell r="A1297">
            <v>42854</v>
          </cell>
          <cell r="B1297" t="str">
            <v>Corpo de BTCC 2,00 x 3,00 m projeto DNIT para 2,50 &lt; H &lt; 5,00 m em Vias Urbanas</v>
          </cell>
          <cell r="C1297" t="str">
            <v>m</v>
          </cell>
          <cell r="D1297">
            <v>13091.12</v>
          </cell>
          <cell r="E1297">
            <v>0</v>
          </cell>
          <cell r="F1297" t="e">
            <v>#N/A</v>
          </cell>
          <cell r="G1297" t="e">
            <v>#N/A</v>
          </cell>
        </row>
        <row r="1298">
          <cell r="A1298">
            <v>42855</v>
          </cell>
          <cell r="B1298" t="str">
            <v>Corpo de BTCC 2,50 x 2,50 m projeto DNIT para H &lt; = 2,50 m em Vias Urbanas</v>
          </cell>
          <cell r="C1298" t="str">
            <v>m</v>
          </cell>
          <cell r="D1298">
            <v>10430.06</v>
          </cell>
          <cell r="E1298">
            <v>0</v>
          </cell>
          <cell r="F1298" t="e">
            <v>#N/A</v>
          </cell>
          <cell r="G1298" t="e">
            <v>#N/A</v>
          </cell>
        </row>
        <row r="1299">
          <cell r="A1299">
            <v>42856</v>
          </cell>
          <cell r="B1299" t="str">
            <v>Corpo de BTCC 2,50 x 2,50 m projeto DNIT para 2,50 &lt; H &lt; 5,00 m em Vias Urbanas</v>
          </cell>
          <cell r="C1299" t="str">
            <v>m</v>
          </cell>
          <cell r="D1299">
            <v>11687.33</v>
          </cell>
          <cell r="E1299">
            <v>0</v>
          </cell>
          <cell r="F1299" t="e">
            <v>#N/A</v>
          </cell>
          <cell r="G1299" t="e">
            <v>#N/A</v>
          </cell>
        </row>
        <row r="1300">
          <cell r="A1300">
            <v>42858</v>
          </cell>
          <cell r="B1300" t="str">
            <v>Corpo de BTCC 2,50 x 3,00 m projeto DNIT para H &lt; = 2,50 m em Vias Urbanas</v>
          </cell>
          <cell r="C1300" t="str">
            <v>m</v>
          </cell>
          <cell r="D1300">
            <v>12946.91</v>
          </cell>
          <cell r="E1300">
            <v>0</v>
          </cell>
          <cell r="F1300" t="e">
            <v>#N/A</v>
          </cell>
          <cell r="G1300" t="e">
            <v>#N/A</v>
          </cell>
        </row>
        <row r="1301">
          <cell r="A1301">
            <v>42857</v>
          </cell>
          <cell r="B1301" t="str">
            <v>Corpo de BTCC 2,50 x 3,00 m projeto DNIT para H &lt; = 2,50 m em vias Urbanas</v>
          </cell>
          <cell r="C1301" t="str">
            <v>m</v>
          </cell>
          <cell r="D1301">
            <v>12946.91</v>
          </cell>
          <cell r="E1301">
            <v>0</v>
          </cell>
          <cell r="F1301" t="e">
            <v>#N/A</v>
          </cell>
          <cell r="G1301" t="e">
            <v>#N/A</v>
          </cell>
        </row>
        <row r="1302">
          <cell r="A1302">
            <v>42859</v>
          </cell>
          <cell r="B1302" t="str">
            <v>Corpo de BTCC 2,50 x 3,00 m projeto DNIT para 2,50 &lt; H &lt; 5,00 m em Vias Urbanas</v>
          </cell>
          <cell r="C1302" t="str">
            <v>m</v>
          </cell>
          <cell r="D1302">
            <v>14645.95</v>
          </cell>
          <cell r="E1302">
            <v>0</v>
          </cell>
          <cell r="F1302" t="e">
            <v>#N/A</v>
          </cell>
          <cell r="G1302" t="e">
            <v>#N/A</v>
          </cell>
        </row>
        <row r="1303">
          <cell r="A1303">
            <v>42860</v>
          </cell>
          <cell r="B1303" t="str">
            <v>Corpo de BTCC 3,00 x 3,00 m projeto DNIT para H &lt; = 2,50 m em Vias Urbanas</v>
          </cell>
          <cell r="C1303" t="str">
            <v>m</v>
          </cell>
          <cell r="D1303">
            <v>13935.19</v>
          </cell>
          <cell r="E1303">
            <v>0</v>
          </cell>
          <cell r="F1303" t="e">
            <v>#N/A</v>
          </cell>
          <cell r="G1303" t="e">
            <v>#N/A</v>
          </cell>
        </row>
        <row r="1304">
          <cell r="A1304">
            <v>42861</v>
          </cell>
          <cell r="B1304" t="str">
            <v>Corpo de BTCC 3,00 x 3,00 m projeto DNIT para 2,50 &lt; H &lt; 5,00 m em Vias Urbanas</v>
          </cell>
          <cell r="C1304" t="str">
            <v>m</v>
          </cell>
          <cell r="D1304">
            <v>15594.65</v>
          </cell>
          <cell r="E1304">
            <v>0</v>
          </cell>
          <cell r="F1304" t="e">
            <v>#N/A</v>
          </cell>
          <cell r="G1304" t="e">
            <v>#N/A</v>
          </cell>
        </row>
        <row r="1305">
          <cell r="A1305">
            <v>42862</v>
          </cell>
          <cell r="B1305" t="str">
            <v>Corta-rio (escavação mecânica em material de 1ª cat.) H=1,50 a 3,00 m em Vias Urbanas</v>
          </cell>
          <cell r="C1305" t="str">
            <v>m³</v>
          </cell>
          <cell r="D1305">
            <v>13.72</v>
          </cell>
          <cell r="E1305">
            <v>0</v>
          </cell>
          <cell r="F1305" t="e">
            <v>#N/A</v>
          </cell>
          <cell r="G1305" t="e">
            <v>#N/A</v>
          </cell>
        </row>
        <row r="1306">
          <cell r="A1306">
            <v>42863</v>
          </cell>
          <cell r="B1306" t="str">
            <v>Corta-rio (escavação mecânica em material de 2ª cat.) H=1,50 a 3,00m em Vias Urbanas</v>
          </cell>
          <cell r="C1306" t="str">
            <v>m³</v>
          </cell>
          <cell r="D1306">
            <v>27.46</v>
          </cell>
          <cell r="E1306">
            <v>0</v>
          </cell>
          <cell r="F1306" t="e">
            <v>#N/A</v>
          </cell>
          <cell r="G1306" t="e">
            <v>#N/A</v>
          </cell>
        </row>
        <row r="1307">
          <cell r="A1307">
            <v>42864</v>
          </cell>
          <cell r="B1307" t="str">
            <v>Corta-rio (escavação mecânica em material de 3º cat.) H=0,00 a 1,50m em Vias Urbanas</v>
          </cell>
          <cell r="C1307" t="str">
            <v>m³</v>
          </cell>
          <cell r="D1307">
            <v>118.88</v>
          </cell>
          <cell r="E1307">
            <v>0</v>
          </cell>
          <cell r="F1307" t="e">
            <v>#N/A</v>
          </cell>
          <cell r="G1307" t="e">
            <v>#N/A</v>
          </cell>
        </row>
        <row r="1308">
          <cell r="A1308">
            <v>42865</v>
          </cell>
          <cell r="B1308" t="str">
            <v>Corte e esmerilhamento de pontas de tubo de ferro fundido DN 500 a 200mm em Vias Urbanas</v>
          </cell>
          <cell r="C1308" t="str">
            <v>m</v>
          </cell>
          <cell r="D1308">
            <v>21.7</v>
          </cell>
          <cell r="E1308">
            <v>0</v>
          </cell>
          <cell r="F1308" t="e">
            <v>#N/A</v>
          </cell>
          <cell r="G1308" t="e">
            <v>#N/A</v>
          </cell>
        </row>
        <row r="1309">
          <cell r="A1309">
            <v>42866</v>
          </cell>
          <cell r="B1309" t="str">
            <v>Curva 90° de PVC, junta elástica PBA, D=75mm, fornecimento e assentamento em Vias Urbanas</v>
          </cell>
          <cell r="C1309" t="str">
            <v>un</v>
          </cell>
          <cell r="D1309">
            <v>57.46</v>
          </cell>
          <cell r="E1309">
            <v>0</v>
          </cell>
          <cell r="F1309" t="e">
            <v>#N/A</v>
          </cell>
          <cell r="G1309" t="e">
            <v>#N/A</v>
          </cell>
        </row>
        <row r="1310">
          <cell r="A1310">
            <v>42867</v>
          </cell>
          <cell r="B1310" t="str">
            <v>Demolição manual alvenaria tijolo furado assentado com argamassa em Vias Urbanas</v>
          </cell>
          <cell r="C1310" t="str">
            <v>m³</v>
          </cell>
          <cell r="D1310">
            <v>195</v>
          </cell>
          <cell r="E1310">
            <v>0</v>
          </cell>
          <cell r="F1310" t="e">
            <v>#N/A</v>
          </cell>
          <cell r="G1310" t="e">
            <v>#N/A</v>
          </cell>
        </row>
        <row r="1311">
          <cell r="A1311">
            <v>42868</v>
          </cell>
          <cell r="B1311" t="str">
            <v>Demolição manual de concreto armado em Vias Urbanas</v>
          </cell>
          <cell r="C1311" t="str">
            <v>m³</v>
          </cell>
          <cell r="D1311">
            <v>287.8</v>
          </cell>
          <cell r="E1311">
            <v>0</v>
          </cell>
          <cell r="F1311" t="e">
            <v>#N/A</v>
          </cell>
          <cell r="G1311" t="e">
            <v>#N/A</v>
          </cell>
        </row>
        <row r="1312">
          <cell r="A1312">
            <v>42869</v>
          </cell>
          <cell r="B1312" t="str">
            <v>Demolição manual de concreto simples ou ciclópico em Vias Urbanas</v>
          </cell>
          <cell r="C1312" t="str">
            <v>m³</v>
          </cell>
          <cell r="D1312">
            <v>253.94</v>
          </cell>
          <cell r="E1312">
            <v>0</v>
          </cell>
          <cell r="F1312" t="e">
            <v>#N/A</v>
          </cell>
          <cell r="G1312" t="e">
            <v>#N/A</v>
          </cell>
        </row>
        <row r="1313">
          <cell r="A1313">
            <v>42870</v>
          </cell>
          <cell r="B1313" t="str">
            <v>Demolição mecânica de concreto em Vias Urbanas</v>
          </cell>
          <cell r="C1313" t="str">
            <v>m³</v>
          </cell>
          <cell r="D1313">
            <v>160.41999999999999</v>
          </cell>
          <cell r="E1313">
            <v>0</v>
          </cell>
          <cell r="F1313" t="e">
            <v>#N/A</v>
          </cell>
          <cell r="G1313" t="e">
            <v>#N/A</v>
          </cell>
        </row>
        <row r="1314">
          <cell r="A1314">
            <v>42880</v>
          </cell>
          <cell r="B1314" t="str">
            <v>Descida d'água concreto simples (degraus) c/ caiação (DSA-03) apoio em Vias Urbanas</v>
          </cell>
          <cell r="C1314" t="str">
            <v>un</v>
          </cell>
          <cell r="D1314">
            <v>706.16</v>
          </cell>
          <cell r="E1314">
            <v>0</v>
          </cell>
          <cell r="F1314" t="e">
            <v>#N/A</v>
          </cell>
          <cell r="G1314" t="e">
            <v>#N/A</v>
          </cell>
        </row>
        <row r="1315">
          <cell r="A1315">
            <v>42883</v>
          </cell>
          <cell r="B1315" t="str">
            <v>Deslocamento de cerca de tela galvanizada fio 12 malha 3" x 3", em Vias Urbanas</v>
          </cell>
          <cell r="C1315" t="str">
            <v>m</v>
          </cell>
          <cell r="D1315">
            <v>39.06</v>
          </cell>
          <cell r="E1315" t="str">
            <v>A incluir</v>
          </cell>
          <cell r="F1315" t="e">
            <v>#N/A</v>
          </cell>
          <cell r="G1315" t="e">
            <v>#N/A</v>
          </cell>
        </row>
        <row r="1316">
          <cell r="A1316">
            <v>42899</v>
          </cell>
          <cell r="B1316" t="str">
            <v>Dreno de alívio de pavimento (DP - DAP - 01), com tubo PVC d=50mm, geotêxtil não tecido RT 07 kN/m inclusive transporte da brita em Vias Urbanas</v>
          </cell>
          <cell r="C1316" t="str">
            <v>m</v>
          </cell>
          <cell r="D1316">
            <v>53.17</v>
          </cell>
          <cell r="E1316" t="str">
            <v>A incluir</v>
          </cell>
          <cell r="F1316" t="e">
            <v>#N/A</v>
          </cell>
          <cell r="G1316" t="e">
            <v>#N/A</v>
          </cell>
        </row>
        <row r="1317">
          <cell r="A1317">
            <v>42901</v>
          </cell>
          <cell r="B1317" t="str">
            <v>Dreno de PVC D = 100 mm em Vias Urbanas</v>
          </cell>
          <cell r="C1317" t="str">
            <v>m</v>
          </cell>
          <cell r="D1317">
            <v>32.119999999999997</v>
          </cell>
          <cell r="E1317">
            <v>0</v>
          </cell>
          <cell r="F1317" t="e">
            <v>#N/A</v>
          </cell>
          <cell r="G1317" t="e">
            <v>#N/A</v>
          </cell>
        </row>
        <row r="1318">
          <cell r="A1318">
            <v>42900</v>
          </cell>
          <cell r="B1318" t="str">
            <v>Dreno de PVC D = 50 mm em Vias Urbanas</v>
          </cell>
          <cell r="C1318" t="str">
            <v>m</v>
          </cell>
          <cell r="D1318">
            <v>19.48</v>
          </cell>
          <cell r="E1318">
            <v>0</v>
          </cell>
          <cell r="F1318" t="e">
            <v>#N/A</v>
          </cell>
          <cell r="G1318" t="e">
            <v>#N/A</v>
          </cell>
        </row>
        <row r="1319">
          <cell r="A1319">
            <v>41185</v>
          </cell>
          <cell r="B1319" t="str">
            <v>Dreno em PEAD perfurado diâm. = 100 mm, inclusive transporte do tubo, em Vias Urbanas</v>
          </cell>
          <cell r="C1319" t="str">
            <v>m</v>
          </cell>
          <cell r="D1319">
            <v>11.35</v>
          </cell>
          <cell r="E1319" t="str">
            <v>A incluir</v>
          </cell>
          <cell r="F1319" t="e">
            <v>#N/A</v>
          </cell>
          <cell r="G1319" t="e">
            <v>#N/A</v>
          </cell>
        </row>
        <row r="1320">
          <cell r="A1320">
            <v>42903</v>
          </cell>
          <cell r="B1320" t="str">
            <v>Dreno Longitudinal tipo Trincheira Drenante, H = 0,90 m com tubo poroso tipo PEAD d =100 mm, incluindo esc. mat. 3ª cat. e transporte do tubo em Vias Urbanas</v>
          </cell>
          <cell r="C1320" t="str">
            <v>m</v>
          </cell>
          <cell r="D1320">
            <v>106.86</v>
          </cell>
          <cell r="E1320" t="str">
            <v>A incluir</v>
          </cell>
          <cell r="F1320" t="e">
            <v>#N/A</v>
          </cell>
          <cell r="G1320" t="e">
            <v>#N/A</v>
          </cell>
        </row>
        <row r="1321">
          <cell r="A1321">
            <v>42904</v>
          </cell>
          <cell r="B1321" t="str">
            <v>Dreno Longitudinal tipo Trincheira Drenante, H = 0,90 m com tubo poroso tipo PEAD d=100 mm, inclusive esc. em mat. 1ª cat. e transporte do tubo em Vias Urbanas</v>
          </cell>
          <cell r="C1321" t="str">
            <v>m</v>
          </cell>
          <cell r="D1321">
            <v>87.39</v>
          </cell>
          <cell r="E1321" t="str">
            <v>A incluir</v>
          </cell>
          <cell r="F1321" t="e">
            <v>#N/A</v>
          </cell>
          <cell r="G1321" t="e">
            <v>#N/A</v>
          </cell>
        </row>
        <row r="1322">
          <cell r="A1322">
            <v>42902</v>
          </cell>
          <cell r="B1322" t="str">
            <v>Dreno Longitudinal tipo Trincheira Drenante, H=0,40m c/tubo poroso PEAD d = 65 mm, incl. esc. mat. 1ª cat., geotêxtil não tecido RT 07kN/m, V. Urbanas</v>
          </cell>
          <cell r="C1322" t="str">
            <v>m</v>
          </cell>
          <cell r="D1322">
            <v>89.82</v>
          </cell>
          <cell r="E1322">
            <v>0</v>
          </cell>
          <cell r="F1322" t="e">
            <v>#N/A</v>
          </cell>
          <cell r="G1322" t="e">
            <v>#N/A</v>
          </cell>
        </row>
        <row r="1323">
          <cell r="A1323">
            <v>42905</v>
          </cell>
          <cell r="B1323" t="str">
            <v>Dreno ou Barbacã em tubo PVC, diâmetro de 2" em Vias Urbanas</v>
          </cell>
          <cell r="C1323" t="str">
            <v>m</v>
          </cell>
          <cell r="D1323">
            <v>16.98</v>
          </cell>
          <cell r="E1323">
            <v>0</v>
          </cell>
          <cell r="F1323" t="e">
            <v>#N/A</v>
          </cell>
          <cell r="G1323" t="e">
            <v>#N/A</v>
          </cell>
        </row>
        <row r="1324">
          <cell r="A1324">
            <v>43120</v>
          </cell>
          <cell r="B1324" t="str">
            <v>Dreno profundo com enchimento de areia, escavação em material 1ª categoria, inclusive transporte da areia, em vias Urbanas</v>
          </cell>
          <cell r="C1324" t="str">
            <v>m</v>
          </cell>
          <cell r="D1324">
            <v>106.44</v>
          </cell>
          <cell r="E1324" t="str">
            <v>A incluir</v>
          </cell>
          <cell r="F1324" t="e">
            <v>#N/A</v>
          </cell>
          <cell r="G1324" t="e">
            <v>#N/A</v>
          </cell>
        </row>
        <row r="1325">
          <cell r="A1325">
            <v>42906</v>
          </cell>
          <cell r="B1325" t="str">
            <v>Dreno profundo com enchimento de brita e areia (1:1) escavação em material 1ª categoria, inclusive transporte da areia e da brita em Vias Urbanas</v>
          </cell>
          <cell r="C1325" t="str">
            <v>m</v>
          </cell>
          <cell r="D1325">
            <v>109.19</v>
          </cell>
          <cell r="E1325" t="str">
            <v>A incluir</v>
          </cell>
          <cell r="F1325" t="e">
            <v>#N/A</v>
          </cell>
          <cell r="G1325" t="e">
            <v>#N/A</v>
          </cell>
        </row>
        <row r="1326">
          <cell r="A1326">
            <v>42907</v>
          </cell>
          <cell r="B1326" t="str">
            <v>Dreno profundo com enchimento de brita e areia (1:1) escavação em material 2ª categoria, inclusive transporte da areia e da brita em Vias Urbanas</v>
          </cell>
          <cell r="C1326" t="str">
            <v>m</v>
          </cell>
          <cell r="D1326">
            <v>115.67</v>
          </cell>
          <cell r="E1326" t="str">
            <v>A incluir</v>
          </cell>
          <cell r="F1326" t="e">
            <v>#N/A</v>
          </cell>
          <cell r="G1326" t="e">
            <v>#N/A</v>
          </cell>
        </row>
        <row r="1327">
          <cell r="A1327">
            <v>42908</v>
          </cell>
          <cell r="B1327" t="str">
            <v>Dreno profundo com enchimento de brita, escavação em material 1ª categoria, inclusive transporte da brita em Vias Urbanas</v>
          </cell>
          <cell r="C1327" t="str">
            <v>m</v>
          </cell>
          <cell r="D1327">
            <v>103.66</v>
          </cell>
          <cell r="E1327" t="str">
            <v>A incluir</v>
          </cell>
          <cell r="F1327" t="e">
            <v>#N/A</v>
          </cell>
          <cell r="G1327" t="e">
            <v>#N/A</v>
          </cell>
        </row>
        <row r="1328">
          <cell r="A1328">
            <v>43122</v>
          </cell>
          <cell r="B1328" t="str">
            <v>Dreno profundo com tubo poroso, D=0,20 m com enchim. de brita, escav. material 3ª categoria (DPR-01),  inclus. transporte brita e tubo,  Vias Urbanas</v>
          </cell>
          <cell r="C1328" t="str">
            <v>m</v>
          </cell>
          <cell r="D1328">
            <v>94.77</v>
          </cell>
          <cell r="E1328" t="str">
            <v>A incluir</v>
          </cell>
          <cell r="F1328" t="e">
            <v>#N/A</v>
          </cell>
          <cell r="G1328" t="e">
            <v>#N/A</v>
          </cell>
        </row>
        <row r="1329">
          <cell r="A1329">
            <v>42913</v>
          </cell>
          <cell r="B1329" t="str">
            <v>Dreno profundo com tubo poroso, D=0,20m com enchim. de brita e areia, escav. material 2ª categoria, inclusi. transp. areia,brita e tubo Vias Urbanas</v>
          </cell>
          <cell r="C1329" t="str">
            <v>m</v>
          </cell>
          <cell r="D1329">
            <v>127.43</v>
          </cell>
          <cell r="E1329" t="str">
            <v>A incluir</v>
          </cell>
          <cell r="F1329" t="e">
            <v>#N/A</v>
          </cell>
          <cell r="G1329" t="e">
            <v>#N/A</v>
          </cell>
        </row>
        <row r="1330">
          <cell r="A1330">
            <v>42910</v>
          </cell>
          <cell r="B1330" t="str">
            <v>Dreno profundo D=0,10m c/ enchim.brita, areia (1:1) escav. em mat. 3ª categoria, incl.geotêxtil não tecido RT 16kn/m, e transp. brita, areia V.Urbanas</v>
          </cell>
          <cell r="C1330" t="str">
            <v>m</v>
          </cell>
          <cell r="D1330">
            <v>205.51</v>
          </cell>
          <cell r="E1330" t="str">
            <v>A incluir</v>
          </cell>
          <cell r="F1330" t="e">
            <v>#N/A</v>
          </cell>
          <cell r="G1330" t="e">
            <v>#N/A</v>
          </cell>
        </row>
        <row r="1331">
          <cell r="A1331">
            <v>42909</v>
          </cell>
          <cell r="B1331" t="str">
            <v>Dreno profundo D=0,10m c/ enchim.brita,areia (1:1) escav.mat. 1ª categoria, incl. geotêxtil não tecido RT16 kn/m e transp. areia,brita- Vias Urbanas</v>
          </cell>
          <cell r="C1331" t="str">
            <v>m</v>
          </cell>
          <cell r="D1331">
            <v>137.15</v>
          </cell>
          <cell r="E1331" t="str">
            <v>A incluir</v>
          </cell>
          <cell r="F1331" t="e">
            <v>#N/A</v>
          </cell>
          <cell r="G1331" t="e">
            <v>#N/A</v>
          </cell>
        </row>
        <row r="1332">
          <cell r="A1332">
            <v>42911</v>
          </cell>
          <cell r="B1332" t="str">
            <v>Dreno profundo D=0,20m com enchimento de areia, escavação em material 1ª categoria (DPS
-01), inclusive transporte da areia e do tubo em Vias Urbanas</v>
          </cell>
          <cell r="C1332" t="str">
            <v>m</v>
          </cell>
          <cell r="D1332">
            <v>125.51</v>
          </cell>
          <cell r="E1332" t="str">
            <v>A incluir</v>
          </cell>
          <cell r="F1332" t="e">
            <v>#N/A</v>
          </cell>
          <cell r="G1332" t="e">
            <v>#N/A</v>
          </cell>
        </row>
        <row r="1333">
          <cell r="A1333">
            <v>42912</v>
          </cell>
          <cell r="B1333" t="str">
            <v>Dreno profundo D=0,20m com enchimento de brita e areia, escavação em material 1ª categoria, inclusive transporte da brita e da areia, em Vias Urbanas</v>
          </cell>
          <cell r="C1333" t="str">
            <v>m</v>
          </cell>
          <cell r="D1333">
            <v>120.96</v>
          </cell>
          <cell r="E1333" t="str">
            <v>A incluir</v>
          </cell>
          <cell r="F1333" t="e">
            <v>#N/A</v>
          </cell>
          <cell r="G1333" t="e">
            <v>#N/A</v>
          </cell>
        </row>
        <row r="1334">
          <cell r="A1334">
            <v>42915</v>
          </cell>
          <cell r="B1334" t="str">
            <v>Dreno profundo para corte em solo, com enchimento em brita revestido com geotêxtil não tecido RT-16, inclusive transporte da brita em Vias Urbanas</v>
          </cell>
          <cell r="C1334" t="str">
            <v>m</v>
          </cell>
          <cell r="D1334">
            <v>125.63</v>
          </cell>
          <cell r="E1334" t="str">
            <v>A incluir</v>
          </cell>
          <cell r="F1334" t="e">
            <v>#N/A</v>
          </cell>
          <cell r="G1334" t="e">
            <v>#N/A</v>
          </cell>
        </row>
        <row r="1335">
          <cell r="A1335">
            <v>42914</v>
          </cell>
          <cell r="B1335" t="str">
            <v>Dreno profundo solo c/tubo PEAD perfur. D=100mm envolto geotêxtil não tecido RT16kn, preench.c/brita, inclus.transp.tubo exclus transp.brita V Urbanas</v>
          </cell>
          <cell r="C1335" t="str">
            <v>m</v>
          </cell>
          <cell r="D1335">
            <v>85.79</v>
          </cell>
          <cell r="E1335" t="str">
            <v>A incluir</v>
          </cell>
          <cell r="F1335" t="e">
            <v>#N/A</v>
          </cell>
          <cell r="G1335" t="e">
            <v>#N/A</v>
          </cell>
        </row>
        <row r="1336">
          <cell r="A1336">
            <v>42917</v>
          </cell>
          <cell r="B1336" t="str">
            <v>Dreno sub-horizontal D = 50 mm em PVC inclus. escavação em alteração de rocha, geotêxtil não tecido RT-16 exclusive transp. em Vias Urbanas</v>
          </cell>
          <cell r="C1336" t="str">
            <v>m</v>
          </cell>
          <cell r="D1336">
            <v>666.01</v>
          </cell>
          <cell r="E1336">
            <v>0</v>
          </cell>
          <cell r="F1336" t="e">
            <v>#N/A</v>
          </cell>
          <cell r="G1336" t="e">
            <v>#N/A</v>
          </cell>
        </row>
        <row r="1337">
          <cell r="A1337">
            <v>42918</v>
          </cell>
          <cell r="B1337" t="str">
            <v>Dreno sub-horizontal D = 50 mm em PVC inclus.escavação em rocha sã, geotêxtil não tecido RT-16, exclusive transportes em Vias Urbanas</v>
          </cell>
          <cell r="C1337" t="str">
            <v>m</v>
          </cell>
          <cell r="D1337">
            <v>859.81</v>
          </cell>
          <cell r="E1337">
            <v>0</v>
          </cell>
          <cell r="F1337" t="e">
            <v>#N/A</v>
          </cell>
          <cell r="G1337" t="e">
            <v>#N/A</v>
          </cell>
        </row>
        <row r="1338">
          <cell r="A1338">
            <v>42916</v>
          </cell>
          <cell r="B1338" t="str">
            <v>Dreno sub-horizontal D=50 mm inclusive geotêxtil não tecido RT 16 kn/m, em PVC, exclusive transportes em Vias Urbanas</v>
          </cell>
          <cell r="C1338" t="str">
            <v>m</v>
          </cell>
          <cell r="D1338">
            <v>462.33</v>
          </cell>
          <cell r="E1338">
            <v>0</v>
          </cell>
          <cell r="F1338" t="e">
            <v>#N/A</v>
          </cell>
          <cell r="G1338" t="e">
            <v>#N/A</v>
          </cell>
        </row>
        <row r="1339">
          <cell r="A1339">
            <v>42919</v>
          </cell>
          <cell r="B1339" t="str">
            <v>Dreno sub-superficial rocha (h=0,55m) c/tubo PEAD perfur.d=100mm, env. geotêxtil RT-16, preenc.c/ brita, incl. transp. tubo, excl. transp brita-Vias Urb</v>
          </cell>
          <cell r="C1339" t="str">
            <v>m</v>
          </cell>
          <cell r="D1339">
            <v>70.25</v>
          </cell>
          <cell r="E1339" t="str">
            <v>A incluir</v>
          </cell>
          <cell r="F1339" t="e">
            <v>#N/A</v>
          </cell>
          <cell r="G1339" t="e">
            <v>#N/A</v>
          </cell>
        </row>
        <row r="1340">
          <cell r="A1340">
            <v>42920</v>
          </cell>
          <cell r="B1340" t="str">
            <v>Dreno vertical D = 75 mm em PVC, inclusive geotêxtil não tecido RT-16, exclusive transportes, em Vias Urbanas</v>
          </cell>
          <cell r="C1340" t="str">
            <v>m</v>
          </cell>
          <cell r="D1340">
            <v>466.93</v>
          </cell>
          <cell r="E1340">
            <v>0</v>
          </cell>
          <cell r="F1340" t="e">
            <v>#N/A</v>
          </cell>
          <cell r="G1340" t="e">
            <v>#N/A</v>
          </cell>
        </row>
        <row r="1341">
          <cell r="A1341">
            <v>42921</v>
          </cell>
          <cell r="B1341" t="str">
            <v>Eletroduto de ferro galvanizado DN 4" , inclusive conexões, exclusive escavação e reaterro, fornecimento e assentamento, em Vias Urbanas</v>
          </cell>
          <cell r="C1341" t="str">
            <v>m</v>
          </cell>
          <cell r="D1341">
            <v>99.35</v>
          </cell>
          <cell r="E1341">
            <v>0</v>
          </cell>
          <cell r="F1341" t="e">
            <v>#N/A</v>
          </cell>
          <cell r="G1341" t="e">
            <v>#N/A</v>
          </cell>
        </row>
        <row r="1342">
          <cell r="A1342">
            <v>42922</v>
          </cell>
          <cell r="B1342" t="str">
            <v>Eletroduto para rede de lógica, inclusive conexões, em Vias Urbanas</v>
          </cell>
          <cell r="C1342" t="str">
            <v>m</v>
          </cell>
          <cell r="D1342">
            <v>21.01</v>
          </cell>
          <cell r="E1342">
            <v>0</v>
          </cell>
          <cell r="F1342" t="e">
            <v>#N/A</v>
          </cell>
          <cell r="G1342" t="e">
            <v>#N/A</v>
          </cell>
        </row>
        <row r="1343">
          <cell r="A1343">
            <v>42923</v>
          </cell>
          <cell r="B1343" t="str">
            <v>Eletroduto PVC diâmetro 75mm, fornecimento e assentamento em Vias Urbanas</v>
          </cell>
          <cell r="C1343" t="str">
            <v>m</v>
          </cell>
          <cell r="D1343">
            <v>25.52</v>
          </cell>
          <cell r="E1343">
            <v>0</v>
          </cell>
          <cell r="F1343" t="e">
            <v>#N/A</v>
          </cell>
          <cell r="G1343" t="e">
            <v>#N/A</v>
          </cell>
        </row>
        <row r="1344">
          <cell r="A1344">
            <v>42924</v>
          </cell>
          <cell r="B1344" t="str">
            <v>Eletroduto PVC rígido roscável diâm. 50 mm, fornecimento e assentamento em Vias Urbanas</v>
          </cell>
          <cell r="C1344" t="str">
            <v>m</v>
          </cell>
          <cell r="D1344">
            <v>12.51</v>
          </cell>
          <cell r="E1344">
            <v>0</v>
          </cell>
          <cell r="F1344" t="e">
            <v>#N/A</v>
          </cell>
          <cell r="G1344" t="e">
            <v>#N/A</v>
          </cell>
        </row>
        <row r="1345">
          <cell r="A1345">
            <v>42925</v>
          </cell>
          <cell r="B1345" t="str">
            <v>Eletroduto tipo Kanaflex diâmetro 1 1/4", fornecimento e assentamento em Vias Urbanas</v>
          </cell>
          <cell r="C1345" t="str">
            <v>m</v>
          </cell>
          <cell r="D1345">
            <v>12.13</v>
          </cell>
          <cell r="E1345">
            <v>0</v>
          </cell>
          <cell r="F1345" t="e">
            <v>#N/A</v>
          </cell>
          <cell r="G1345" t="e">
            <v>#N/A</v>
          </cell>
        </row>
        <row r="1346">
          <cell r="A1346">
            <v>42926</v>
          </cell>
          <cell r="B1346" t="str">
            <v>Eletroduto tipo Kanaflex diâmetro 1 1/2", fornecimento e assentamento em Vias Urbanas</v>
          </cell>
          <cell r="C1346" t="str">
            <v>m</v>
          </cell>
          <cell r="D1346">
            <v>14.88</v>
          </cell>
          <cell r="E1346">
            <v>0</v>
          </cell>
          <cell r="F1346" t="e">
            <v>#N/A</v>
          </cell>
          <cell r="G1346" t="e">
            <v>#N/A</v>
          </cell>
        </row>
        <row r="1347">
          <cell r="A1347">
            <v>42927</v>
          </cell>
          <cell r="B1347" t="str">
            <v>Eletroduto tipo Kanaflex diâmetro 2", fornecimento e assentamento em Vias Urbanas</v>
          </cell>
          <cell r="C1347" t="str">
            <v>m</v>
          </cell>
          <cell r="D1347">
            <v>20.28</v>
          </cell>
          <cell r="E1347">
            <v>0</v>
          </cell>
          <cell r="F1347" t="e">
            <v>#N/A</v>
          </cell>
          <cell r="G1347" t="e">
            <v>#N/A</v>
          </cell>
        </row>
        <row r="1348">
          <cell r="A1348">
            <v>42928</v>
          </cell>
          <cell r="B1348" t="str">
            <v>Eletroduto tipo Kanaflex diâmetro 4", fornecimento e assentamento em Vias Urbanas</v>
          </cell>
          <cell r="C1348" t="str">
            <v>m</v>
          </cell>
          <cell r="D1348">
            <v>33.24</v>
          </cell>
          <cell r="E1348">
            <v>0</v>
          </cell>
          <cell r="F1348" t="e">
            <v>#N/A</v>
          </cell>
          <cell r="G1348" t="e">
            <v>#N/A</v>
          </cell>
        </row>
        <row r="1349">
          <cell r="A1349">
            <v>42942</v>
          </cell>
          <cell r="B1349" t="str">
            <v>Escada de madeira executada sobre terreno inclinado, com 80 cm de largura mínima em Vias Urbanas</v>
          </cell>
          <cell r="C1349" t="str">
            <v>m</v>
          </cell>
          <cell r="D1349">
            <v>66.39</v>
          </cell>
          <cell r="E1349">
            <v>0</v>
          </cell>
          <cell r="F1349" t="e">
            <v>#N/A</v>
          </cell>
          <cell r="G1349" t="e">
            <v>#N/A</v>
          </cell>
        </row>
        <row r="1350">
          <cell r="A1350">
            <v>42944</v>
          </cell>
          <cell r="B1350" t="str">
            <v>Escavação manual em mat. 1ª cat. H= 0,00 a 1,50 m c/ esgotamento em Vias Urbanas</v>
          </cell>
          <cell r="C1350" t="str">
            <v>m³</v>
          </cell>
          <cell r="D1350">
            <v>65.03</v>
          </cell>
          <cell r="E1350">
            <v>0</v>
          </cell>
          <cell r="F1350" t="e">
            <v>#N/A</v>
          </cell>
          <cell r="G1350" t="e">
            <v>#N/A</v>
          </cell>
        </row>
        <row r="1351">
          <cell r="A1351">
            <v>42943</v>
          </cell>
          <cell r="B1351" t="str">
            <v>Escavação manual em mat. 1ª cat. H= 0,00 a 1,50 m em Vias Urbanas</v>
          </cell>
          <cell r="C1351" t="str">
            <v>m³</v>
          </cell>
          <cell r="D1351">
            <v>62.01</v>
          </cell>
          <cell r="E1351">
            <v>0</v>
          </cell>
          <cell r="F1351" t="e">
            <v>#N/A</v>
          </cell>
          <cell r="G1351" t="e">
            <v>#N/A</v>
          </cell>
        </row>
        <row r="1352">
          <cell r="A1352">
            <v>42946</v>
          </cell>
          <cell r="B1352" t="str">
            <v>Escavação manual em mat. 1ª cat. H= 1,50 a 3,00 m c/ esgotamento em Vias Urbanas</v>
          </cell>
          <cell r="C1352" t="str">
            <v>m³</v>
          </cell>
          <cell r="D1352">
            <v>92.07</v>
          </cell>
          <cell r="E1352">
            <v>0</v>
          </cell>
          <cell r="F1352" t="e">
            <v>#N/A</v>
          </cell>
          <cell r="G1352" t="e">
            <v>#N/A</v>
          </cell>
        </row>
        <row r="1353">
          <cell r="A1353">
            <v>42945</v>
          </cell>
          <cell r="B1353" t="str">
            <v>Escavação manual em mat. 1ª cat. H= 1,50 a 3,00 m em Vias Urbanas</v>
          </cell>
          <cell r="C1353" t="str">
            <v>m³</v>
          </cell>
          <cell r="D1353">
            <v>91.39</v>
          </cell>
          <cell r="E1353">
            <v>0</v>
          </cell>
          <cell r="F1353" t="e">
            <v>#N/A</v>
          </cell>
          <cell r="G1353" t="e">
            <v>#N/A</v>
          </cell>
        </row>
        <row r="1354">
          <cell r="A1354">
            <v>42948</v>
          </cell>
          <cell r="B1354" t="str">
            <v>Escavação manual em mat. 1ª cat. H= 3,00 a 4,50 m c/ esgotamento, em Vias Urbanas</v>
          </cell>
          <cell r="C1354" t="str">
            <v>m³</v>
          </cell>
          <cell r="D1354">
            <v>132.63</v>
          </cell>
          <cell r="E1354">
            <v>0</v>
          </cell>
          <cell r="F1354" t="e">
            <v>#N/A</v>
          </cell>
          <cell r="G1354" t="e">
            <v>#N/A</v>
          </cell>
        </row>
        <row r="1355">
          <cell r="A1355">
            <v>42947</v>
          </cell>
          <cell r="B1355" t="str">
            <v>Escavação manual em mat. 1ª cat. H= 3,00 a 4,50 m, em Vias Urbanas</v>
          </cell>
          <cell r="C1355" t="str">
            <v>m³</v>
          </cell>
          <cell r="D1355">
            <v>135.47</v>
          </cell>
          <cell r="E1355">
            <v>0</v>
          </cell>
          <cell r="F1355" t="e">
            <v>#N/A</v>
          </cell>
          <cell r="G1355" t="e">
            <v>#N/A</v>
          </cell>
        </row>
        <row r="1356">
          <cell r="A1356">
            <v>42949</v>
          </cell>
          <cell r="B1356" t="str">
            <v>Escavação manual em mat. 2ª cat. H= 0,00 a 1,50 m c/ esgotamento, em Vias Urbanas</v>
          </cell>
          <cell r="C1356" t="str">
            <v>m³</v>
          </cell>
          <cell r="D1356">
            <v>136.58000000000001</v>
          </cell>
          <cell r="E1356">
            <v>0</v>
          </cell>
          <cell r="F1356" t="e">
            <v>#N/A</v>
          </cell>
          <cell r="G1356" t="e">
            <v>#N/A</v>
          </cell>
        </row>
        <row r="1357">
          <cell r="A1357">
            <v>42950</v>
          </cell>
          <cell r="B1357" t="str">
            <v>Escavação manual em mat. 2ª cat. H= 0,00 a 1,50 m s/ detonação, em Vias Urbanas</v>
          </cell>
          <cell r="C1357" t="str">
            <v>m³</v>
          </cell>
          <cell r="D1357">
            <v>139.78</v>
          </cell>
          <cell r="E1357">
            <v>0</v>
          </cell>
          <cell r="F1357" t="e">
            <v>#N/A</v>
          </cell>
          <cell r="G1357" t="e">
            <v>#N/A</v>
          </cell>
        </row>
        <row r="1358">
          <cell r="A1358">
            <v>42951</v>
          </cell>
          <cell r="B1358" t="str">
            <v>Escavação manual em mat. 2ª cat. H= 1,50 a 3,00 m c/ esgotamento, em Vias Urbanas</v>
          </cell>
          <cell r="C1358" t="str">
            <v>m³</v>
          </cell>
          <cell r="D1358">
            <v>168.04</v>
          </cell>
          <cell r="E1358">
            <v>0</v>
          </cell>
          <cell r="F1358" t="e">
            <v>#N/A</v>
          </cell>
          <cell r="G1358" t="e">
            <v>#N/A</v>
          </cell>
        </row>
        <row r="1359">
          <cell r="A1359">
            <v>42952</v>
          </cell>
          <cell r="B1359" t="str">
            <v>Escavação manual em mat. 2ª cat. H= 1,50 a 3,00 m s/ detonação, em Vias Urbanas</v>
          </cell>
          <cell r="C1359" t="str">
            <v>m³</v>
          </cell>
          <cell r="D1359">
            <v>173.97</v>
          </cell>
          <cell r="E1359">
            <v>0</v>
          </cell>
          <cell r="F1359" t="e">
            <v>#N/A</v>
          </cell>
          <cell r="G1359" t="e">
            <v>#N/A</v>
          </cell>
        </row>
        <row r="1360">
          <cell r="A1360">
            <v>42953</v>
          </cell>
          <cell r="B1360" t="str">
            <v>Escavação manual em mat. 2ª cat. H= 3,00 a 4,50 m c/ esgotamento, em Vias Urbanas</v>
          </cell>
          <cell r="C1360" t="str">
            <v>m³</v>
          </cell>
          <cell r="D1360">
            <v>292.24</v>
          </cell>
          <cell r="E1360">
            <v>0</v>
          </cell>
          <cell r="F1360" t="e">
            <v>#N/A</v>
          </cell>
          <cell r="G1360" t="e">
            <v>#N/A</v>
          </cell>
        </row>
        <row r="1361">
          <cell r="A1361">
            <v>42954</v>
          </cell>
          <cell r="B1361" t="str">
            <v>Escavação manual em mat. 2ª cat. H= 3,00 a 4,50 m s/ detonação, em Vias Urbanas</v>
          </cell>
          <cell r="C1361" t="str">
            <v>m³</v>
          </cell>
          <cell r="D1361">
            <v>308.97000000000003</v>
          </cell>
          <cell r="E1361">
            <v>0</v>
          </cell>
          <cell r="F1361" t="e">
            <v>#N/A</v>
          </cell>
          <cell r="G1361" t="e">
            <v>#N/A</v>
          </cell>
        </row>
        <row r="1362">
          <cell r="A1362">
            <v>42955</v>
          </cell>
          <cell r="B1362" t="str">
            <v>Escavação manual em mat. 3ª cat. H= 0,00 a 1,50 m, a fogo, em Vias Urbanas</v>
          </cell>
          <cell r="C1362" t="str">
            <v>m³</v>
          </cell>
          <cell r="D1362">
            <v>374.86</v>
          </cell>
          <cell r="E1362">
            <v>0</v>
          </cell>
          <cell r="F1362" t="e">
            <v>#N/A</v>
          </cell>
          <cell r="G1362" t="e">
            <v>#N/A</v>
          </cell>
        </row>
        <row r="1363">
          <cell r="A1363">
            <v>42956</v>
          </cell>
          <cell r="B1363" t="str">
            <v>Escavação manual furos, valetas mat. 1ª cat. H= 0,00 a 1,50 m (dim. reduz.), em Vias Urbanas</v>
          </cell>
          <cell r="C1363" t="str">
            <v>m³</v>
          </cell>
          <cell r="D1363">
            <v>91.39</v>
          </cell>
          <cell r="E1363">
            <v>0</v>
          </cell>
          <cell r="F1363" t="e">
            <v>#N/A</v>
          </cell>
          <cell r="G1363" t="e">
            <v>#N/A</v>
          </cell>
        </row>
        <row r="1364">
          <cell r="A1364">
            <v>42957</v>
          </cell>
          <cell r="B1364" t="str">
            <v>Escavação manual furos, valetas mat. 2ª cat. H= 0,00 a 1,50 m s/detonação (dim. reduz.), em Vias Urbanas</v>
          </cell>
          <cell r="C1364" t="str">
            <v>m³</v>
          </cell>
          <cell r="D1364">
            <v>208.06</v>
          </cell>
          <cell r="E1364">
            <v>0</v>
          </cell>
          <cell r="F1364" t="e">
            <v>#N/A</v>
          </cell>
          <cell r="G1364" t="e">
            <v>#N/A</v>
          </cell>
        </row>
        <row r="1365">
          <cell r="A1365">
            <v>42958</v>
          </cell>
          <cell r="B1365" t="str">
            <v>Escavação mecânica de valas em material de 1ª categoria, 3,00 a 4,50 m, c/ esgotamento, carga do material, transp. material p/ bota-fora -Vias Urbanas</v>
          </cell>
          <cell r="C1365" t="str">
            <v>m³</v>
          </cell>
          <cell r="D1365">
            <v>199.16</v>
          </cell>
          <cell r="E1365" t="str">
            <v>A incluir</v>
          </cell>
          <cell r="F1365" t="e">
            <v>#N/A</v>
          </cell>
          <cell r="G1365" t="e">
            <v>#N/A</v>
          </cell>
        </row>
        <row r="1366">
          <cell r="A1366">
            <v>42959</v>
          </cell>
          <cell r="B1366" t="str">
            <v>Escavação mecânica de valas em 1ª categoria, profundidade de 4,50 a 6,00 m com esgotamento, transp. DMT=20km, descarga e espalhamento, em Vias Urbanas</v>
          </cell>
          <cell r="C1366" t="str">
            <v>m³</v>
          </cell>
          <cell r="D1366">
            <v>201.15</v>
          </cell>
          <cell r="E1366" t="str">
            <v>A incluir</v>
          </cell>
          <cell r="F1366" t="e">
            <v>#N/A</v>
          </cell>
          <cell r="G1366" t="e">
            <v>#N/A</v>
          </cell>
        </row>
        <row r="1367">
          <cell r="A1367">
            <v>42961</v>
          </cell>
          <cell r="B1367" t="str">
            <v>Escavação mecânica em material de 1ª cat. H= 0,00 a 1,50 m c/ esgotamento, em Vias Urbanas</v>
          </cell>
          <cell r="C1367" t="str">
            <v>m³</v>
          </cell>
          <cell r="D1367">
            <v>18.329999999999998</v>
          </cell>
          <cell r="E1367">
            <v>0</v>
          </cell>
          <cell r="F1367" t="e">
            <v>#N/A</v>
          </cell>
          <cell r="G1367" t="e">
            <v>#N/A</v>
          </cell>
        </row>
        <row r="1368">
          <cell r="A1368">
            <v>42962</v>
          </cell>
          <cell r="B1368" t="str">
            <v>Escavação mecânica em material de 1ª cat. H= 0,00 a 1,50 m c/ esgotamento, em Vias Urbanas</v>
          </cell>
          <cell r="C1368" t="str">
            <v>m³</v>
          </cell>
          <cell r="D1368">
            <v>18.329999999999998</v>
          </cell>
          <cell r="E1368">
            <v>0</v>
          </cell>
          <cell r="F1368" t="e">
            <v>#N/A</v>
          </cell>
          <cell r="G1368" t="e">
            <v>#N/A</v>
          </cell>
        </row>
        <row r="1369">
          <cell r="A1369">
            <v>42960</v>
          </cell>
          <cell r="B1369" t="str">
            <v>Escavação mecânica em material de 1ª cat. H= 0,00 a 1,50 m, em Vias Urbanas</v>
          </cell>
          <cell r="C1369" t="str">
            <v>m³</v>
          </cell>
          <cell r="D1369">
            <v>11.39</v>
          </cell>
          <cell r="E1369">
            <v>0</v>
          </cell>
          <cell r="F1369" t="e">
            <v>#N/A</v>
          </cell>
          <cell r="G1369" t="e">
            <v>#N/A</v>
          </cell>
        </row>
        <row r="1370">
          <cell r="A1370">
            <v>42964</v>
          </cell>
          <cell r="B1370" t="str">
            <v>Escavação mecânica em material de 1ª cat. H= 1,50 a 3,00 m c/ esgotamento, em Vias Urbanas</v>
          </cell>
          <cell r="C1370" t="str">
            <v>m³</v>
          </cell>
          <cell r="D1370">
            <v>19.37</v>
          </cell>
          <cell r="E1370">
            <v>0</v>
          </cell>
          <cell r="F1370" t="e">
            <v>#N/A</v>
          </cell>
          <cell r="G1370" t="e">
            <v>#N/A</v>
          </cell>
        </row>
        <row r="1371">
          <cell r="A1371">
            <v>42963</v>
          </cell>
          <cell r="B1371" t="str">
            <v>Escavação mecânica em material de 1ª cat. H= 1,50 a 3,00 m, em Vias Urbanas</v>
          </cell>
          <cell r="C1371" t="str">
            <v>m³</v>
          </cell>
          <cell r="D1371">
            <v>12.38</v>
          </cell>
          <cell r="E1371">
            <v>0</v>
          </cell>
          <cell r="F1371" t="e">
            <v>#N/A</v>
          </cell>
          <cell r="G1371" t="e">
            <v>#N/A</v>
          </cell>
        </row>
        <row r="1372">
          <cell r="A1372">
            <v>42966</v>
          </cell>
          <cell r="B1372" t="str">
            <v>Escavação mecânica em material de 1º cat. H= 3,00 a 4,50 m c/ esgotamento, em Vias Urbanas</v>
          </cell>
          <cell r="C1372" t="str">
            <v>m³</v>
          </cell>
          <cell r="D1372">
            <v>21.38</v>
          </cell>
          <cell r="E1372">
            <v>0</v>
          </cell>
          <cell r="F1372" t="e">
            <v>#N/A</v>
          </cell>
          <cell r="G1372" t="e">
            <v>#N/A</v>
          </cell>
        </row>
        <row r="1373">
          <cell r="A1373">
            <v>42965</v>
          </cell>
          <cell r="B1373" t="str">
            <v>Escavação mecânica em material de 1ª cat. H= 3,00 a 4,50 m, em Vias Urbanas</v>
          </cell>
          <cell r="C1373" t="str">
            <v>m³</v>
          </cell>
          <cell r="D1373">
            <v>14.37</v>
          </cell>
          <cell r="E1373">
            <v>0</v>
          </cell>
          <cell r="F1373" t="e">
            <v>#N/A</v>
          </cell>
          <cell r="G1373" t="e">
            <v>#N/A</v>
          </cell>
        </row>
        <row r="1374">
          <cell r="A1374">
            <v>42968</v>
          </cell>
          <cell r="B1374" t="str">
            <v>Escavação mecânica em material de 2ª cat. H= 0,00 a 1,50 m c/ esgotamento, em Vias Urbanas</v>
          </cell>
          <cell r="C1374" t="str">
            <v>m³</v>
          </cell>
          <cell r="D1374">
            <v>26.97</v>
          </cell>
          <cell r="E1374">
            <v>0</v>
          </cell>
          <cell r="F1374" t="e">
            <v>#N/A</v>
          </cell>
          <cell r="G1374" t="e">
            <v>#N/A</v>
          </cell>
        </row>
        <row r="1375">
          <cell r="A1375">
            <v>42967</v>
          </cell>
          <cell r="B1375" t="str">
            <v>Escavação mecânica em material de 2ª cat. H= 0,00 a 1,50 m, em Vias Urbanas</v>
          </cell>
          <cell r="C1375" t="str">
            <v>m³</v>
          </cell>
          <cell r="D1375">
            <v>20.71</v>
          </cell>
          <cell r="E1375">
            <v>0</v>
          </cell>
          <cell r="F1375" t="e">
            <v>#N/A</v>
          </cell>
          <cell r="G1375" t="e">
            <v>#N/A</v>
          </cell>
        </row>
        <row r="1376">
          <cell r="A1376">
            <v>42970</v>
          </cell>
          <cell r="B1376" t="str">
            <v>Escavação mecânica em material de 2ª cat. H= 1,50 a 3,00 m c/ esgotamento, em Vias Urbanas</v>
          </cell>
          <cell r="C1376" t="str">
            <v>m³</v>
          </cell>
          <cell r="D1376">
            <v>30.76</v>
          </cell>
          <cell r="E1376">
            <v>0</v>
          </cell>
          <cell r="F1376" t="e">
            <v>#N/A</v>
          </cell>
          <cell r="G1376" t="e">
            <v>#N/A</v>
          </cell>
        </row>
        <row r="1377">
          <cell r="A1377">
            <v>42969</v>
          </cell>
          <cell r="B1377" t="str">
            <v>Escavação mecânica em material de 2ª cat. H= 1,50 a 3,00 m, em Vias Urbanas</v>
          </cell>
          <cell r="C1377" t="str">
            <v>m³</v>
          </cell>
          <cell r="D1377">
            <v>24.77</v>
          </cell>
          <cell r="E1377">
            <v>0</v>
          </cell>
          <cell r="F1377" t="e">
            <v>#N/A</v>
          </cell>
          <cell r="G1377" t="e">
            <v>#N/A</v>
          </cell>
        </row>
        <row r="1378">
          <cell r="A1378">
            <v>42973</v>
          </cell>
          <cell r="B1378" t="str">
            <v>Escavação mecânica em material de 2ª cat. H= 3,00 a 4,50 m c/ esgotamento, em Vias Urbanas</v>
          </cell>
          <cell r="C1378" t="str">
            <v>m³</v>
          </cell>
          <cell r="D1378">
            <v>36.46</v>
          </cell>
          <cell r="E1378">
            <v>0</v>
          </cell>
          <cell r="F1378" t="e">
            <v>#N/A</v>
          </cell>
          <cell r="G1378" t="e">
            <v>#N/A</v>
          </cell>
        </row>
        <row r="1379">
          <cell r="A1379">
            <v>42979</v>
          </cell>
          <cell r="B1379" t="str">
            <v>Escavação mecânica em material de 2º cat. H= 3,00 a 4,50 m c/ esgotamento em Vias Urbanas</v>
          </cell>
          <cell r="C1379" t="str">
            <v>m³</v>
          </cell>
          <cell r="D1379">
            <v>36.46</v>
          </cell>
          <cell r="E1379">
            <v>0</v>
          </cell>
          <cell r="F1379" t="e">
            <v>#N/A</v>
          </cell>
          <cell r="G1379" t="e">
            <v>#N/A</v>
          </cell>
        </row>
        <row r="1380">
          <cell r="A1380">
            <v>42971</v>
          </cell>
          <cell r="B1380" t="str">
            <v>Escavação mecânica em material de 2ª cat. H= 3,00 a 4,50 m, em Vias Urbanas</v>
          </cell>
          <cell r="C1380" t="str">
            <v>m³</v>
          </cell>
          <cell r="D1380">
            <v>31.01</v>
          </cell>
          <cell r="E1380">
            <v>0</v>
          </cell>
          <cell r="F1380" t="e">
            <v>#N/A</v>
          </cell>
          <cell r="G1380" t="e">
            <v>#N/A</v>
          </cell>
        </row>
        <row r="1381">
          <cell r="A1381">
            <v>42981</v>
          </cell>
          <cell r="B1381" t="str">
            <v>Escoramento de cavas e valas, inclusive fornecimento e transporte das madeiras, em Vias Urbanas</v>
          </cell>
          <cell r="C1381" t="str">
            <v>m²</v>
          </cell>
          <cell r="D1381">
            <v>180.04</v>
          </cell>
          <cell r="E1381" t="str">
            <v>A incluir</v>
          </cell>
          <cell r="F1381" t="e">
            <v>#N/A</v>
          </cell>
          <cell r="G1381" t="e">
            <v>#N/A</v>
          </cell>
        </row>
        <row r="1382">
          <cell r="A1382">
            <v>42982</v>
          </cell>
          <cell r="B1382" t="str">
            <v>Escoramento e cimbramento (bueiro celular), inclusive fornecimento e transporte das madeiras
,  em Vias Urbanas</v>
          </cell>
          <cell r="C1382" t="str">
            <v>m³</v>
          </cell>
          <cell r="D1382">
            <v>126.73</v>
          </cell>
          <cell r="E1382" t="str">
            <v>A incluir</v>
          </cell>
          <cell r="F1382" t="e">
            <v>#N/A</v>
          </cell>
          <cell r="G1382" t="e">
            <v>#N/A</v>
          </cell>
        </row>
        <row r="1383">
          <cell r="A1383">
            <v>42987</v>
          </cell>
          <cell r="B1383" t="str">
            <v>Forma especial de madeira para meio fio, inclusive fornecimento e transporte das madeiras em Vias Urbanas</v>
          </cell>
          <cell r="C1383" t="str">
            <v>m²</v>
          </cell>
          <cell r="D1383">
            <v>73.040000000000006</v>
          </cell>
          <cell r="E1383" t="str">
            <v>A incluir</v>
          </cell>
          <cell r="F1383" t="e">
            <v>#N/A</v>
          </cell>
          <cell r="G1383" t="e">
            <v>#N/A</v>
          </cell>
        </row>
        <row r="1384">
          <cell r="A1384">
            <v>42988</v>
          </cell>
          <cell r="B1384" t="str">
            <v>Forma especial de madeira para sarjeta (gabarito), inclusive fornecimento e transporte das madeiras, em Vias Urbanas</v>
          </cell>
          <cell r="C1384" t="str">
            <v>m²</v>
          </cell>
          <cell r="D1384">
            <v>61.45</v>
          </cell>
          <cell r="E1384" t="str">
            <v>A incluir</v>
          </cell>
          <cell r="F1384" t="e">
            <v>#N/A</v>
          </cell>
          <cell r="G1384" t="e">
            <v>#N/A</v>
          </cell>
        </row>
        <row r="1385">
          <cell r="A1385">
            <v>42989</v>
          </cell>
          <cell r="B1385" t="str">
            <v>Forma metálica para meio fio, em Vias Urbanas</v>
          </cell>
          <cell r="C1385" t="str">
            <v>m²</v>
          </cell>
          <cell r="D1385">
            <v>7.44</v>
          </cell>
          <cell r="E1385">
            <v>0</v>
          </cell>
          <cell r="F1385" t="e">
            <v>#N/A</v>
          </cell>
          <cell r="G1385" t="e">
            <v>#N/A</v>
          </cell>
        </row>
        <row r="1386">
          <cell r="A1386">
            <v>42991</v>
          </cell>
          <cell r="B1386" t="str">
            <v>Formas planas de madeira com 01 (um) reaproveitamento, inclusive fornecimento e transporte das madeiras, em Vias Urbanas</v>
          </cell>
          <cell r="C1386" t="str">
            <v>m²</v>
          </cell>
          <cell r="D1386">
            <v>109.32</v>
          </cell>
          <cell r="E1386" t="str">
            <v>A incluir</v>
          </cell>
          <cell r="F1386" t="e">
            <v>#N/A</v>
          </cell>
          <cell r="G1386" t="e">
            <v>#N/A</v>
          </cell>
        </row>
        <row r="1387">
          <cell r="A1387">
            <v>42992</v>
          </cell>
          <cell r="B1387" t="str">
            <v>Formas planas de madeira com 02 (dois) reaproveitamentos, inclusive fornecimento e transporte das madeiras, em Vias Urbanas</v>
          </cell>
          <cell r="C1387" t="str">
            <v>m²</v>
          </cell>
          <cell r="D1387">
            <v>92.08</v>
          </cell>
          <cell r="E1387" t="str">
            <v>A incluir</v>
          </cell>
          <cell r="F1387" t="e">
            <v>#N/A</v>
          </cell>
          <cell r="G1387" t="e">
            <v>#N/A</v>
          </cell>
        </row>
        <row r="1388">
          <cell r="A1388">
            <v>42993</v>
          </cell>
          <cell r="B1388" t="str">
            <v>Formas planas de madeira com 04 (quatro) reaproveitamentos, inclusive fornecimento e transporte das madeiras, em Vias Urbanas</v>
          </cell>
          <cell r="C1388" t="str">
            <v>m²</v>
          </cell>
          <cell r="D1388">
            <v>77.45</v>
          </cell>
          <cell r="E1388" t="str">
            <v>A incluir</v>
          </cell>
          <cell r="F1388" t="e">
            <v>#N/A</v>
          </cell>
          <cell r="G1388" t="e">
            <v>#N/A</v>
          </cell>
        </row>
        <row r="1389">
          <cell r="A1389">
            <v>42994</v>
          </cell>
          <cell r="B1389" t="str">
            <v>Formas planas de madeira sem reaproveitamento (forma perdida), inclusive fornecimento e transporte das madeiras em Vias Urbanas</v>
          </cell>
          <cell r="C1389" t="str">
            <v>m²</v>
          </cell>
          <cell r="D1389">
            <v>158.86000000000001</v>
          </cell>
          <cell r="E1389" t="str">
            <v>A incluir</v>
          </cell>
          <cell r="F1389" t="e">
            <v>#N/A</v>
          </cell>
          <cell r="G1389" t="e">
            <v>#N/A</v>
          </cell>
        </row>
        <row r="1390">
          <cell r="A1390">
            <v>43070</v>
          </cell>
          <cell r="B1390" t="str">
            <v>Gabião manta/colchão, p/ revest. canal em malha hex 6x8mm Zn-Al/PVC, e=2,8mm,h=0,23m, inclus.aquis./assentam. pedra mão, exclus. transp., Vias Urbanas</v>
          </cell>
          <cell r="C1390" t="str">
            <v>m²</v>
          </cell>
          <cell r="D1390">
            <v>208</v>
          </cell>
          <cell r="E1390">
            <v>0</v>
          </cell>
          <cell r="F1390" t="e">
            <v>#N/A</v>
          </cell>
          <cell r="G1390" t="e">
            <v>#N/A</v>
          </cell>
        </row>
        <row r="1391">
          <cell r="A1391">
            <v>42995</v>
          </cell>
          <cell r="B1391" t="str">
            <v>Gabiões com caixas e sacos galvanizados, com geotêxtil não tecido RT 07 kN/m, em Vias Urbanas</v>
          </cell>
          <cell r="C1391" t="str">
            <v>m³</v>
          </cell>
          <cell r="D1391">
            <v>399.31</v>
          </cell>
          <cell r="E1391" t="str">
            <v>A incluir</v>
          </cell>
          <cell r="F1391" t="e">
            <v>#N/A</v>
          </cell>
          <cell r="G1391" t="e">
            <v>#N/A</v>
          </cell>
        </row>
        <row r="1392">
          <cell r="A1392">
            <v>42996</v>
          </cell>
          <cell r="B1392" t="str">
            <v>Gabiões com caixas galvanizadas, sem manta, em Vias Urbanas</v>
          </cell>
          <cell r="C1392" t="str">
            <v>m³</v>
          </cell>
          <cell r="D1392">
            <v>349.42</v>
          </cell>
          <cell r="E1392" t="str">
            <v>A incluir</v>
          </cell>
          <cell r="F1392" t="e">
            <v>#N/A</v>
          </cell>
          <cell r="G1392" t="e">
            <v>#N/A</v>
          </cell>
        </row>
        <row r="1393">
          <cell r="A1393">
            <v>43012</v>
          </cell>
          <cell r="B1393" t="str">
            <v>Geotêxtil não tecido RT-16 kn/m, fornecimento e aplicação em Vias Urbanas</v>
          </cell>
          <cell r="C1393" t="str">
            <v>m²</v>
          </cell>
          <cell r="D1393">
            <v>8.5299999999999994</v>
          </cell>
          <cell r="E1393">
            <v>0</v>
          </cell>
          <cell r="F1393" t="e">
            <v>#N/A</v>
          </cell>
          <cell r="G1393" t="e">
            <v>#N/A</v>
          </cell>
        </row>
        <row r="1394">
          <cell r="A1394">
            <v>43011</v>
          </cell>
          <cell r="B1394" t="str">
            <v>Geotêxtil não-tecido com resistência longitudinal a tração 10kN/m, fornecimento e aplicação em Vias Urbanas</v>
          </cell>
          <cell r="C1394" t="str">
            <v>m²</v>
          </cell>
          <cell r="D1394">
            <v>6.33</v>
          </cell>
          <cell r="E1394">
            <v>0</v>
          </cell>
          <cell r="F1394" t="e">
            <v>#N/A</v>
          </cell>
          <cell r="G1394" t="e">
            <v>#N/A</v>
          </cell>
        </row>
        <row r="1395">
          <cell r="A1395">
            <v>43003</v>
          </cell>
          <cell r="B1395" t="str">
            <v>Lastro de brita, inclusive transporte da brita em Vias Urbanas</v>
          </cell>
          <cell r="C1395" t="str">
            <v>m³</v>
          </cell>
          <cell r="D1395">
            <v>111.99</v>
          </cell>
          <cell r="E1395" t="str">
            <v>A incluir</v>
          </cell>
          <cell r="F1395" t="e">
            <v>#N/A</v>
          </cell>
          <cell r="G1395" t="e">
            <v>#N/A</v>
          </cell>
        </row>
        <row r="1396">
          <cell r="A1396">
            <v>43004</v>
          </cell>
          <cell r="B1396" t="str">
            <v>Limpeza e apicoamento manual de superfície de rocha em Vias Urbanas</v>
          </cell>
          <cell r="C1396" t="str">
            <v>m²</v>
          </cell>
          <cell r="D1396">
            <v>37.619999999999997</v>
          </cell>
          <cell r="E1396">
            <v>0</v>
          </cell>
          <cell r="F1396" t="e">
            <v>#N/A</v>
          </cell>
          <cell r="G1396" t="e">
            <v>#N/A</v>
          </cell>
        </row>
        <row r="1397">
          <cell r="A1397">
            <v>43005</v>
          </cell>
          <cell r="B1397" t="str">
            <v>Limpeza e desobstrução de BDTC e BDCC em Vias Urbanas</v>
          </cell>
          <cell r="C1397" t="str">
            <v>m</v>
          </cell>
          <cell r="D1397">
            <v>34.35</v>
          </cell>
          <cell r="E1397">
            <v>0</v>
          </cell>
          <cell r="F1397" t="e">
            <v>#N/A</v>
          </cell>
          <cell r="G1397" t="e">
            <v>#N/A</v>
          </cell>
        </row>
        <row r="1398">
          <cell r="A1398">
            <v>43006</v>
          </cell>
          <cell r="B1398" t="str">
            <v>Limpeza e desobstrução de BQTC em Vias Urbanas</v>
          </cell>
          <cell r="C1398" t="str">
            <v>m</v>
          </cell>
          <cell r="D1398">
            <v>55.55</v>
          </cell>
          <cell r="E1398">
            <v>0</v>
          </cell>
          <cell r="F1398" t="e">
            <v>#N/A</v>
          </cell>
          <cell r="G1398" t="e">
            <v>#N/A</v>
          </cell>
        </row>
        <row r="1399">
          <cell r="A1399">
            <v>43007</v>
          </cell>
          <cell r="B1399" t="str">
            <v>Limpeza e desobstrução de BSTC e BSCC em Vias Urbanas</v>
          </cell>
          <cell r="C1399" t="str">
            <v>m</v>
          </cell>
          <cell r="D1399">
            <v>18.059999999999999</v>
          </cell>
          <cell r="E1399">
            <v>0</v>
          </cell>
          <cell r="F1399" t="e">
            <v>#N/A</v>
          </cell>
          <cell r="G1399" t="e">
            <v>#N/A</v>
          </cell>
        </row>
        <row r="1400">
          <cell r="A1400">
            <v>43008</v>
          </cell>
          <cell r="B1400" t="str">
            <v>Limpeza e desobstrução de BTTC e BTCC em Vias Urbanas</v>
          </cell>
          <cell r="C1400" t="str">
            <v>m</v>
          </cell>
          <cell r="D1400">
            <v>50.64</v>
          </cell>
          <cell r="E1400">
            <v>0</v>
          </cell>
          <cell r="F1400" t="e">
            <v>#N/A</v>
          </cell>
          <cell r="G1400" t="e">
            <v>#N/A</v>
          </cell>
        </row>
        <row r="1401">
          <cell r="A1401">
            <v>43009</v>
          </cell>
          <cell r="B1401" t="str">
            <v>Limpeza e preparo de superfície de aço em Vias Urbanas</v>
          </cell>
          <cell r="C1401" t="str">
            <v>m²</v>
          </cell>
          <cell r="D1401">
            <v>89.98</v>
          </cell>
          <cell r="E1401">
            <v>0</v>
          </cell>
          <cell r="F1401" t="e">
            <v>#N/A</v>
          </cell>
          <cell r="G1401" t="e">
            <v>#N/A</v>
          </cell>
        </row>
        <row r="1402">
          <cell r="A1402">
            <v>43018</v>
          </cell>
          <cell r="B1402" t="str">
            <v>Meio fio de concreto pré-moldado (12 x 30 x 15) cm, inclusive caiação e transporte do meio fio em Vias Urbanas</v>
          </cell>
          <cell r="C1402" t="str">
            <v>m</v>
          </cell>
          <cell r="D1402">
            <v>53.95</v>
          </cell>
          <cell r="E1402" t="str">
            <v>A incluir</v>
          </cell>
          <cell r="F1402" t="e">
            <v>#N/A</v>
          </cell>
          <cell r="G1402" t="e">
            <v>#N/A</v>
          </cell>
        </row>
        <row r="1403">
          <cell r="A1403">
            <v>43016</v>
          </cell>
          <cell r="B1403" t="str">
            <v>Meio fio de concreto pré-moldado (1,20 m x 0,12 m x 0,15 m x 0,30 m),exclusive transporte, em Vias Urbanas</v>
          </cell>
          <cell r="C1403" t="str">
            <v>m</v>
          </cell>
          <cell r="D1403">
            <v>53.24</v>
          </cell>
          <cell r="E1403">
            <v>0</v>
          </cell>
          <cell r="F1403" t="e">
            <v>#N/A</v>
          </cell>
          <cell r="G1403" t="e">
            <v>#N/A</v>
          </cell>
        </row>
        <row r="1404">
          <cell r="A1404">
            <v>43019</v>
          </cell>
          <cell r="B1404" t="str">
            <v>Meio fio de pedra (fornecimento e assentamento), inclusive caiação e transporte do meio fio em Vias Urbanas</v>
          </cell>
          <cell r="C1404" t="str">
            <v>m</v>
          </cell>
          <cell r="D1404">
            <v>58.86</v>
          </cell>
          <cell r="E1404" t="str">
            <v>A incluir</v>
          </cell>
          <cell r="F1404" t="e">
            <v>#N/A</v>
          </cell>
          <cell r="G1404" t="e">
            <v>#N/A</v>
          </cell>
        </row>
        <row r="1405">
          <cell r="A1405">
            <v>43026</v>
          </cell>
          <cell r="B1405" t="str">
            <v>Montagem e desmontagem de escoramento tubular normal, em obras de arte na densidade de 5m de tubo por m³ de escoramento em Vias Urbanas</v>
          </cell>
          <cell r="C1405" t="str">
            <v>m</v>
          </cell>
          <cell r="D1405">
            <v>21.29</v>
          </cell>
          <cell r="E1405">
            <v>0</v>
          </cell>
          <cell r="F1405" t="e">
            <v>#N/A</v>
          </cell>
          <cell r="G1405" t="e">
            <v>#N/A</v>
          </cell>
        </row>
        <row r="1406">
          <cell r="A1406">
            <v>43033</v>
          </cell>
          <cell r="B1406" t="str">
            <v>Muro de testa em concreto para saída de dreno profundo em rocha, inclusive transporte do tubo em Vias Urbanas</v>
          </cell>
          <cell r="C1406" t="str">
            <v>un</v>
          </cell>
          <cell r="D1406">
            <v>1073.54</v>
          </cell>
          <cell r="E1406" t="str">
            <v>A incluir</v>
          </cell>
          <cell r="F1406" t="e">
            <v>#N/A</v>
          </cell>
          <cell r="G1406" t="e">
            <v>#N/A</v>
          </cell>
        </row>
        <row r="1407">
          <cell r="A1407">
            <v>43037</v>
          </cell>
          <cell r="B1407" t="str">
            <v>Pedra de mão p/ (concreto ciclópico ou alvenaria) rocha paga em medição em Vias Urbanas</v>
          </cell>
          <cell r="C1407" t="str">
            <v>m³</v>
          </cell>
          <cell r="D1407">
            <v>49.96</v>
          </cell>
          <cell r="E1407">
            <v>0</v>
          </cell>
          <cell r="F1407" t="e">
            <v>#N/A</v>
          </cell>
          <cell r="G1407" t="e">
            <v>#N/A</v>
          </cell>
        </row>
        <row r="1408">
          <cell r="A1408">
            <v>43038</v>
          </cell>
          <cell r="B1408" t="str">
            <v>Pescoço de poço de visita H=0,30m, diâm. = 0,60 m, fornecimento, assentamento e transporte em Vias Urbanas</v>
          </cell>
          <cell r="C1408" t="str">
            <v>un</v>
          </cell>
          <cell r="D1408">
            <v>134.04</v>
          </cell>
          <cell r="E1408" t="str">
            <v>A incluir</v>
          </cell>
          <cell r="F1408" t="e">
            <v>#N/A</v>
          </cell>
          <cell r="G1408" t="e">
            <v>#N/A</v>
          </cell>
        </row>
        <row r="1409">
          <cell r="A1409">
            <v>43039</v>
          </cell>
          <cell r="B1409" t="str">
            <v>Pintura com nata de cimento em Vias Urbanas</v>
          </cell>
          <cell r="C1409" t="str">
            <v>m²</v>
          </cell>
          <cell r="D1409">
            <v>5.1100000000000003</v>
          </cell>
          <cell r="E1409">
            <v>0</v>
          </cell>
          <cell r="F1409" t="e">
            <v>#N/A</v>
          </cell>
          <cell r="G1409" t="e">
            <v>#N/A</v>
          </cell>
        </row>
        <row r="1410">
          <cell r="A1410">
            <v>43040</v>
          </cell>
          <cell r="B1410" t="str">
            <v>Pintura interna ou externa sobre ferro, com tinta a base de resina de borracha clorada em Vias Urbanas</v>
          </cell>
          <cell r="C1410" t="str">
            <v>m²</v>
          </cell>
          <cell r="D1410">
            <v>44.17</v>
          </cell>
          <cell r="E1410">
            <v>0</v>
          </cell>
          <cell r="F1410" t="e">
            <v>#N/A</v>
          </cell>
          <cell r="G1410" t="e">
            <v>#N/A</v>
          </cell>
        </row>
        <row r="1411">
          <cell r="A1411">
            <v>43042</v>
          </cell>
          <cell r="B1411" t="str">
            <v>Plataforma ou passarela de pinho de 1ª ou similar, 1" x 12", em Vias Urbanas</v>
          </cell>
          <cell r="C1411" t="str">
            <v>m²</v>
          </cell>
          <cell r="D1411">
            <v>2.82</v>
          </cell>
          <cell r="E1411">
            <v>0</v>
          </cell>
          <cell r="F1411" t="e">
            <v>#N/A</v>
          </cell>
          <cell r="G1411" t="e">
            <v>#N/A</v>
          </cell>
        </row>
        <row r="1412">
          <cell r="A1412">
            <v>43043</v>
          </cell>
          <cell r="B1412" t="str">
            <v>Poço de visita em bloco pré-moldado para d=0,30 e 0,40 m (0,80 x 0,8 0m), em Vias Urbanas</v>
          </cell>
          <cell r="C1412" t="str">
            <v>un</v>
          </cell>
          <cell r="D1412">
            <v>2250.52</v>
          </cell>
          <cell r="E1412">
            <v>0</v>
          </cell>
          <cell r="F1412" t="e">
            <v>#N/A</v>
          </cell>
          <cell r="G1412" t="e">
            <v>#N/A</v>
          </cell>
        </row>
        <row r="1413">
          <cell r="A1413">
            <v>43044</v>
          </cell>
          <cell r="B1413" t="str">
            <v>Poço de visita em bloco pré-moldado para d=0,60 m (1,00 x 1,00 m), em Vias Urbanas</v>
          </cell>
          <cell r="C1413" t="str">
            <v>un</v>
          </cell>
          <cell r="D1413">
            <v>2633.33</v>
          </cell>
          <cell r="E1413">
            <v>0</v>
          </cell>
          <cell r="F1413" t="e">
            <v>#N/A</v>
          </cell>
          <cell r="G1413" t="e">
            <v>#N/A</v>
          </cell>
        </row>
        <row r="1414">
          <cell r="A1414">
            <v>41169</v>
          </cell>
          <cell r="B1414" t="str">
            <v>Poço de visita em bloco pré-moldado para d=0,80m (1,20x1,20m), em Vias Urbanas</v>
          </cell>
          <cell r="C1414" t="str">
            <v>un</v>
          </cell>
          <cell r="D1414">
            <v>3140.36</v>
          </cell>
          <cell r="E1414">
            <v>0</v>
          </cell>
          <cell r="F1414" t="e">
            <v>#N/A</v>
          </cell>
          <cell r="G1414" t="e">
            <v>#N/A</v>
          </cell>
        </row>
        <row r="1415">
          <cell r="A1415">
            <v>41170</v>
          </cell>
          <cell r="B1415" t="str">
            <v>Poço de visita em bloco pré-moldado para d=1,00m (1,30x1,30m) (Vias Urbanas)</v>
          </cell>
          <cell r="C1415" t="str">
            <v>un</v>
          </cell>
          <cell r="D1415">
            <v>3469.26</v>
          </cell>
          <cell r="E1415">
            <v>0</v>
          </cell>
          <cell r="F1415" t="e">
            <v>#N/A</v>
          </cell>
          <cell r="G1415" t="e">
            <v>#N/A</v>
          </cell>
        </row>
        <row r="1416">
          <cell r="A1416">
            <v>41171</v>
          </cell>
          <cell r="B1416" t="str">
            <v>Poço de visita em bloco pré-moldado para d=1,20m (1,50x1,50m), em Vias Urbanas</v>
          </cell>
          <cell r="C1416" t="str">
            <v>un</v>
          </cell>
          <cell r="D1416">
            <v>4171.33</v>
          </cell>
          <cell r="E1416">
            <v>0</v>
          </cell>
          <cell r="F1416" t="e">
            <v>#N/A</v>
          </cell>
          <cell r="G1416" t="e">
            <v>#N/A</v>
          </cell>
        </row>
        <row r="1417">
          <cell r="A1417">
            <v>43046</v>
          </cell>
          <cell r="B1417" t="str">
            <v>Poço de Visita para BSTC diâm. 0,40 m em blocos de concreto, em Vias Urbanas</v>
          </cell>
          <cell r="C1417" t="str">
            <v>un</v>
          </cell>
          <cell r="D1417">
            <v>1229.27</v>
          </cell>
          <cell r="E1417">
            <v>0</v>
          </cell>
          <cell r="F1417" t="e">
            <v>#N/A</v>
          </cell>
          <cell r="G1417" t="e">
            <v>#N/A</v>
          </cell>
        </row>
        <row r="1418">
          <cell r="A1418">
            <v>43047</v>
          </cell>
          <cell r="B1418" t="str">
            <v>Poço de visita para BSTC diâm. 0,60 m em blocos de concreto, em Vias Urbanas</v>
          </cell>
          <cell r="C1418" t="str">
            <v>un</v>
          </cell>
          <cell r="D1418">
            <v>1632.09</v>
          </cell>
          <cell r="E1418">
            <v>0</v>
          </cell>
          <cell r="F1418" t="e">
            <v>#N/A</v>
          </cell>
          <cell r="G1418" t="e">
            <v>#N/A</v>
          </cell>
        </row>
        <row r="1419">
          <cell r="A1419">
            <v>43048</v>
          </cell>
          <cell r="B1419" t="str">
            <v>Poço de visita para BSTC diâm. 0,80 m em blocos de concreto, em Vias Urbanas</v>
          </cell>
          <cell r="C1419" t="str">
            <v>un</v>
          </cell>
          <cell r="D1419">
            <v>2024.11</v>
          </cell>
          <cell r="E1419">
            <v>0</v>
          </cell>
          <cell r="F1419" t="e">
            <v>#N/A</v>
          </cell>
          <cell r="G1419" t="e">
            <v>#N/A</v>
          </cell>
        </row>
        <row r="1420">
          <cell r="A1420">
            <v>43050</v>
          </cell>
          <cell r="B1420" t="str">
            <v>Poço de visita (tubo D=0,40 m) H=1,50 m com tampão F.F.A.P., inclusive escavação e transporte do tampão, em Vias Urbanas</v>
          </cell>
          <cell r="C1420" t="str">
            <v>un</v>
          </cell>
          <cell r="D1420">
            <v>3527.59</v>
          </cell>
          <cell r="E1420" t="str">
            <v>A incluir</v>
          </cell>
          <cell r="F1420" t="e">
            <v>#N/A</v>
          </cell>
          <cell r="G1420" t="e">
            <v>#N/A</v>
          </cell>
        </row>
        <row r="1421">
          <cell r="A1421">
            <v>43051</v>
          </cell>
          <cell r="B1421" t="str">
            <v>Poço de visita (tubo D=0,60 m) H=1,70 m com tampão F.F.A.P., inclusive escavação e transporte do tampão, em Vias Urbanas</v>
          </cell>
          <cell r="C1421" t="str">
            <v>un</v>
          </cell>
          <cell r="D1421">
            <v>3923.01</v>
          </cell>
          <cell r="E1421" t="str">
            <v>A incluir</v>
          </cell>
          <cell r="F1421" t="e">
            <v>#N/A</v>
          </cell>
          <cell r="G1421" t="e">
            <v>#N/A</v>
          </cell>
        </row>
        <row r="1422">
          <cell r="A1422">
            <v>43052</v>
          </cell>
          <cell r="B1422" t="str">
            <v>Poço de visita (tubo D=0,80 m) H=1,90 m com tampão F.F.A.P., inclusive escavação e transporte do tampão, em Vias Urbanas</v>
          </cell>
          <cell r="C1422" t="str">
            <v>un</v>
          </cell>
          <cell r="D1422">
            <v>4318.4399999999996</v>
          </cell>
          <cell r="E1422" t="str">
            <v>A incluir</v>
          </cell>
          <cell r="F1422" t="e">
            <v>#N/A</v>
          </cell>
          <cell r="G1422" t="e">
            <v>#N/A</v>
          </cell>
        </row>
        <row r="1423">
          <cell r="A1423">
            <v>43053</v>
          </cell>
          <cell r="B1423" t="str">
            <v>Poço de visita (tubo D=1,00 m) H=2,10 m com tampão F.F.A.P., inclusive escavação e transporte do tampão, em Vias Urbanas</v>
          </cell>
          <cell r="C1423" t="str">
            <v>un</v>
          </cell>
          <cell r="D1423">
            <v>4713.8500000000004</v>
          </cell>
          <cell r="E1423" t="str">
            <v>A incluir</v>
          </cell>
          <cell r="F1423" t="e">
            <v>#N/A</v>
          </cell>
          <cell r="G1423" t="e">
            <v>#N/A</v>
          </cell>
        </row>
        <row r="1424">
          <cell r="A1424">
            <v>43054</v>
          </cell>
          <cell r="B1424" t="str">
            <v>Preparo manual de talude, compreendendo acerto, raspagem eventual de até 0,30 m de prof. e afastamento lateral, em Vias Urbanas</v>
          </cell>
          <cell r="C1424" t="str">
            <v>m²</v>
          </cell>
          <cell r="D1424">
            <v>10.42</v>
          </cell>
          <cell r="E1424">
            <v>0</v>
          </cell>
          <cell r="F1424" t="e">
            <v>#N/A</v>
          </cell>
          <cell r="G1424" t="e">
            <v>#N/A</v>
          </cell>
        </row>
        <row r="1425">
          <cell r="A1425">
            <v>43055</v>
          </cell>
          <cell r="B1425" t="str">
            <v>Preparo manual de terreno, compreendendo acerto raspagem até 25 cm de profundidade e afastamento lateral do material excedente, em Vias Urbanas</v>
          </cell>
          <cell r="C1425" t="str">
            <v>m²</v>
          </cell>
          <cell r="D1425">
            <v>8.3800000000000008</v>
          </cell>
          <cell r="E1425">
            <v>0</v>
          </cell>
          <cell r="F1425" t="e">
            <v>#N/A</v>
          </cell>
          <cell r="G1425" t="e">
            <v>#N/A</v>
          </cell>
        </row>
        <row r="1426">
          <cell r="A1426">
            <v>43056</v>
          </cell>
          <cell r="B1426" t="str">
            <v>Reaterro com areia, tudo incluído, em Vias Urbanas</v>
          </cell>
          <cell r="C1426" t="str">
            <v>m³</v>
          </cell>
          <cell r="D1426">
            <v>70.11</v>
          </cell>
          <cell r="E1426" t="str">
            <v>A incluir</v>
          </cell>
          <cell r="F1426" t="e">
            <v>#N/A</v>
          </cell>
          <cell r="G1426" t="e">
            <v>#N/A</v>
          </cell>
        </row>
        <row r="1427">
          <cell r="A1427">
            <v>43058</v>
          </cell>
          <cell r="B1427" t="str">
            <v>Reaterro de cavas c/ compactação manual (apiloamento) (dim. reduz.), em Vias Urbanas</v>
          </cell>
          <cell r="C1427" t="str">
            <v>m³</v>
          </cell>
          <cell r="D1427">
            <v>94.66</v>
          </cell>
          <cell r="E1427">
            <v>0</v>
          </cell>
          <cell r="F1427" t="e">
            <v>#N/A</v>
          </cell>
          <cell r="G1427" t="e">
            <v>#N/A</v>
          </cell>
        </row>
        <row r="1428">
          <cell r="A1428">
            <v>43057</v>
          </cell>
          <cell r="B1428" t="str">
            <v>Reaterro de cavas c/ compactação manual (apiloamento) em Vias Urbanas</v>
          </cell>
          <cell r="C1428" t="str">
            <v>m³</v>
          </cell>
          <cell r="D1428">
            <v>65.260000000000005</v>
          </cell>
          <cell r="E1428">
            <v>0</v>
          </cell>
          <cell r="F1428" t="e">
            <v>#N/A</v>
          </cell>
          <cell r="G1428" t="e">
            <v>#N/A</v>
          </cell>
        </row>
        <row r="1429">
          <cell r="A1429">
            <v>43059</v>
          </cell>
          <cell r="B1429" t="str">
            <v>Reaterro de cavas c/ compactação mecânica (compactador manual), em Vias Urbanas</v>
          </cell>
          <cell r="C1429" t="str">
            <v>m³</v>
          </cell>
          <cell r="D1429">
            <v>41.49</v>
          </cell>
          <cell r="E1429">
            <v>0</v>
          </cell>
          <cell r="F1429" t="e">
            <v>#N/A</v>
          </cell>
          <cell r="G1429" t="e">
            <v>#N/A</v>
          </cell>
        </row>
        <row r="1430">
          <cell r="A1430">
            <v>43060</v>
          </cell>
          <cell r="B1430" t="str">
            <v>Recuperação de poço de visita inclusive fornecimento tampão F.F.A.P., em Vias Urbanas</v>
          </cell>
          <cell r="C1430" t="str">
            <v>un</v>
          </cell>
          <cell r="D1430">
            <v>557.94000000000005</v>
          </cell>
          <cell r="E1430" t="str">
            <v>A incluir</v>
          </cell>
          <cell r="F1430" t="e">
            <v>#N/A</v>
          </cell>
          <cell r="G1430" t="e">
            <v>#N/A</v>
          </cell>
        </row>
        <row r="1431">
          <cell r="A1431">
            <v>41183</v>
          </cell>
          <cell r="B1431" t="str">
            <v>Rede de dutos - Vias Urbanas</v>
          </cell>
          <cell r="C1431" t="str">
            <v>m</v>
          </cell>
          <cell r="D1431">
            <v>77.05</v>
          </cell>
          <cell r="E1431">
            <v>0</v>
          </cell>
          <cell r="F1431" t="e">
            <v>#N/A</v>
          </cell>
          <cell r="G1431" t="e">
            <v>#N/A</v>
          </cell>
        </row>
        <row r="1432">
          <cell r="A1432">
            <v>43061</v>
          </cell>
          <cell r="B1432" t="str">
            <v>Rede de dutos 65mm (duplo), envelopada com brita 3, em Vias Urbanas</v>
          </cell>
          <cell r="C1432" t="str">
            <v>m</v>
          </cell>
          <cell r="D1432">
            <v>86.27</v>
          </cell>
          <cell r="E1432">
            <v>0</v>
          </cell>
          <cell r="F1432" t="e">
            <v>#N/A</v>
          </cell>
          <cell r="G1432" t="e">
            <v>#N/A</v>
          </cell>
        </row>
        <row r="1433">
          <cell r="A1433">
            <v>43062</v>
          </cell>
          <cell r="B1433" t="str">
            <v>Rede em PVC Vinilfort ou similar DN = 200 mm, em Vias Urbanas</v>
          </cell>
          <cell r="C1433" t="str">
            <v>m</v>
          </cell>
          <cell r="D1433">
            <v>238.25</v>
          </cell>
          <cell r="E1433">
            <v>0</v>
          </cell>
          <cell r="F1433" t="e">
            <v>#N/A</v>
          </cell>
          <cell r="G1433" t="e">
            <v>#N/A</v>
          </cell>
        </row>
        <row r="1434">
          <cell r="A1434">
            <v>43064</v>
          </cell>
          <cell r="B1434" t="str">
            <v>Religação de rede de água em PVC DN 20 mm, inclusive conexões, em Vias Urbanas</v>
          </cell>
          <cell r="C1434" t="str">
            <v>m</v>
          </cell>
          <cell r="D1434">
            <v>18.260000000000002</v>
          </cell>
          <cell r="E1434">
            <v>0</v>
          </cell>
          <cell r="F1434" t="e">
            <v>#N/A</v>
          </cell>
          <cell r="G1434" t="e">
            <v>#N/A</v>
          </cell>
        </row>
        <row r="1435">
          <cell r="A1435">
            <v>43065</v>
          </cell>
          <cell r="B1435" t="str">
            <v>Religação de rede de água em PVC DN 25 mm, inclusive conexões, em Vias Urbanas</v>
          </cell>
          <cell r="C1435" t="str">
            <v>m</v>
          </cell>
          <cell r="D1435">
            <v>22.06</v>
          </cell>
          <cell r="E1435">
            <v>0</v>
          </cell>
          <cell r="F1435" t="e">
            <v>#N/A</v>
          </cell>
          <cell r="G1435" t="e">
            <v>#N/A</v>
          </cell>
        </row>
        <row r="1436">
          <cell r="A1436">
            <v>43066</v>
          </cell>
          <cell r="B1436" t="str">
            <v>Religação de rede de água em PVC DN 32 mm, inclusive conexões, em Vias Urbanas</v>
          </cell>
          <cell r="C1436" t="str">
            <v>m</v>
          </cell>
          <cell r="D1436">
            <v>27.89</v>
          </cell>
          <cell r="E1436">
            <v>0</v>
          </cell>
          <cell r="F1436" t="e">
            <v>#N/A</v>
          </cell>
          <cell r="G1436" t="e">
            <v>#N/A</v>
          </cell>
        </row>
        <row r="1437">
          <cell r="A1437">
            <v>43067</v>
          </cell>
          <cell r="B1437" t="str">
            <v>Religação de rede de água em PVC DN 75 mm, inclusive conexões, em Vias Urbanas</v>
          </cell>
          <cell r="C1437" t="str">
            <v>m</v>
          </cell>
          <cell r="D1437">
            <v>55.38</v>
          </cell>
          <cell r="E1437">
            <v>0</v>
          </cell>
          <cell r="F1437" t="e">
            <v>#N/A</v>
          </cell>
          <cell r="G1437" t="e">
            <v>#N/A</v>
          </cell>
        </row>
        <row r="1438">
          <cell r="A1438">
            <v>43063</v>
          </cell>
          <cell r="B1438" t="str">
            <v>Religação de rede de água em PVC PBA CL 15 DN 100 mm, inclusive conexões, em Vias Urbanas</v>
          </cell>
          <cell r="C1438" t="str">
            <v>m</v>
          </cell>
          <cell r="D1438">
            <v>89.27</v>
          </cell>
          <cell r="E1438">
            <v>0</v>
          </cell>
          <cell r="F1438" t="e">
            <v>#N/A</v>
          </cell>
          <cell r="G1438" t="e">
            <v>#N/A</v>
          </cell>
        </row>
        <row r="1439">
          <cell r="A1439">
            <v>43068</v>
          </cell>
          <cell r="B1439" t="str">
            <v>Remanejamento de ligação e religação de redes de esgoto, em Vias Urbanas</v>
          </cell>
          <cell r="C1439" t="str">
            <v>m</v>
          </cell>
          <cell r="D1439">
            <v>73.790000000000006</v>
          </cell>
          <cell r="E1439">
            <v>0</v>
          </cell>
          <cell r="F1439" t="e">
            <v>#N/A</v>
          </cell>
          <cell r="G1439" t="e">
            <v>#N/A</v>
          </cell>
        </row>
        <row r="1440">
          <cell r="A1440">
            <v>43069</v>
          </cell>
          <cell r="B1440" t="str">
            <v>Remoção de bueiros existentes, em Vias Urbanas</v>
          </cell>
          <cell r="C1440" t="str">
            <v>m</v>
          </cell>
          <cell r="D1440">
            <v>132.94999999999999</v>
          </cell>
          <cell r="E1440" t="str">
            <v>A incluir</v>
          </cell>
          <cell r="F1440" t="e">
            <v>#N/A</v>
          </cell>
          <cell r="G1440" t="e">
            <v>#N/A</v>
          </cell>
        </row>
        <row r="1441">
          <cell r="A1441">
            <v>43071</v>
          </cell>
          <cell r="B1441" t="str">
            <v>Rip-rap c/ argamassa cimento areia 1:6, inclusive aquisição e transporte dos materiais, em Vias Urbanas</v>
          </cell>
          <cell r="C1441" t="str">
            <v>m³</v>
          </cell>
          <cell r="D1441">
            <v>339.61</v>
          </cell>
          <cell r="E1441" t="str">
            <v>A incluir</v>
          </cell>
          <cell r="F1441" t="e">
            <v>#N/A</v>
          </cell>
          <cell r="G1441" t="e">
            <v>#N/A</v>
          </cell>
        </row>
        <row r="1442">
          <cell r="A1442">
            <v>43078</v>
          </cell>
          <cell r="B1442" t="str">
            <v>Sarjeta de concreto DP-1 (0,081 m³/m) calha triangular, inclusive caiação, em Vias Urbanas</v>
          </cell>
          <cell r="C1442" t="str">
            <v>m</v>
          </cell>
          <cell r="D1442">
            <v>86.65</v>
          </cell>
          <cell r="E1442">
            <v>0</v>
          </cell>
          <cell r="F1442" t="e">
            <v>#N/A</v>
          </cell>
          <cell r="G1442" t="e">
            <v>#N/A</v>
          </cell>
        </row>
        <row r="1443">
          <cell r="A1443">
            <v>43079</v>
          </cell>
          <cell r="B1443" t="str">
            <v>Sarjeta de concreto DP-2 (0,085 m³/m) calha triangular, inclusive caiação, em Vias Urbanas</v>
          </cell>
          <cell r="C1443" t="str">
            <v>m</v>
          </cell>
          <cell r="D1443">
            <v>90.4</v>
          </cell>
          <cell r="E1443">
            <v>0</v>
          </cell>
          <cell r="F1443" t="e">
            <v>#N/A</v>
          </cell>
          <cell r="G1443" t="e">
            <v>#N/A</v>
          </cell>
        </row>
        <row r="1444">
          <cell r="A1444">
            <v>43080</v>
          </cell>
          <cell r="B1444" t="str">
            <v>Sarjeta de concreto SCA 40/10 - em Vias Urbanas</v>
          </cell>
          <cell r="C1444" t="str">
            <v>m</v>
          </cell>
          <cell r="D1444">
            <v>76.180000000000007</v>
          </cell>
          <cell r="E1444" t="str">
            <v>A incluir</v>
          </cell>
          <cell r="F1444" t="e">
            <v>#N/A</v>
          </cell>
          <cell r="G1444" t="e">
            <v>#N/A</v>
          </cell>
        </row>
        <row r="1445">
          <cell r="A1445">
            <v>43081</v>
          </cell>
          <cell r="B1445" t="str">
            <v>Sarjeta de concreto (SCA 70/15) calha triangular, inclusive caiação, em Vias Urbanas</v>
          </cell>
          <cell r="C1445" t="str">
            <v>m</v>
          </cell>
          <cell r="D1445">
            <v>99.5</v>
          </cell>
          <cell r="E1445">
            <v>0</v>
          </cell>
          <cell r="F1445" t="e">
            <v>#N/A</v>
          </cell>
          <cell r="G1445" t="e">
            <v>#N/A</v>
          </cell>
        </row>
        <row r="1446">
          <cell r="A1446">
            <v>43085</v>
          </cell>
          <cell r="B1446" t="str">
            <v>Sarjeta de concreto (SCA 90/10) calha triangular, inclusive caiação, em Vias Urbanas</v>
          </cell>
          <cell r="C1446" t="str">
            <v>m</v>
          </cell>
          <cell r="D1446">
            <v>172.82</v>
          </cell>
          <cell r="E1446">
            <v>0</v>
          </cell>
          <cell r="F1446" t="e">
            <v>#N/A</v>
          </cell>
          <cell r="G1446" t="e">
            <v>#N/A</v>
          </cell>
        </row>
        <row r="1447">
          <cell r="A1447">
            <v>43083</v>
          </cell>
          <cell r="B1447" t="str">
            <v>Sarjeta de concreto (STC - 02) calha triangular em corte/aterro, inclusive caiação, em Vias Urbanas</v>
          </cell>
          <cell r="C1447" t="str">
            <v>m</v>
          </cell>
          <cell r="D1447">
            <v>84.97</v>
          </cell>
          <cell r="E1447">
            <v>0</v>
          </cell>
          <cell r="F1447" t="e">
            <v>#N/A</v>
          </cell>
          <cell r="G1447" t="e">
            <v>#N/A</v>
          </cell>
        </row>
        <row r="1448">
          <cell r="A1448">
            <v>43084</v>
          </cell>
          <cell r="B1448" t="str">
            <v>Sarjeta de concreto (STC - 04) calha triangular de bancada em corte, inclusive caiação, em Vias Urbanas</v>
          </cell>
          <cell r="C1448" t="str">
            <v>m</v>
          </cell>
          <cell r="D1448">
            <v>63.91</v>
          </cell>
          <cell r="E1448">
            <v>0</v>
          </cell>
          <cell r="F1448" t="e">
            <v>#N/A</v>
          </cell>
          <cell r="G1448" t="e">
            <v>#N/A</v>
          </cell>
        </row>
        <row r="1449">
          <cell r="A1449">
            <v>43086</v>
          </cell>
          <cell r="B1449" t="str">
            <v>Tampa de concreto em grelha, fornecimento, assentamento e transporte, em Vias Urbanas</v>
          </cell>
          <cell r="C1449" t="str">
            <v>un</v>
          </cell>
          <cell r="D1449">
            <v>223.29</v>
          </cell>
          <cell r="E1449" t="str">
            <v>A incluir</v>
          </cell>
          <cell r="F1449" t="e">
            <v>#N/A</v>
          </cell>
          <cell r="G1449" t="e">
            <v>#N/A</v>
          </cell>
        </row>
        <row r="1450">
          <cell r="A1450">
            <v>43087</v>
          </cell>
          <cell r="B1450" t="str">
            <v>Tampão F.F.A.P. com 100 kg, fornecimento, assentamento e transporte em Vias Urbanas</v>
          </cell>
          <cell r="C1450" t="str">
            <v>un</v>
          </cell>
          <cell r="D1450">
            <v>310.75</v>
          </cell>
          <cell r="E1450" t="str">
            <v>A incluir</v>
          </cell>
          <cell r="F1450" t="e">
            <v>#N/A</v>
          </cell>
          <cell r="G1450" t="e">
            <v>#N/A</v>
          </cell>
        </row>
        <row r="1451">
          <cell r="A1451">
            <v>43089</v>
          </cell>
          <cell r="B1451" t="str">
            <v>Tapume de vedação e proteção, executado com chapas de compensado resinado com 6 mm de espessura, exclusive pintura, em Vias Urbanas</v>
          </cell>
          <cell r="C1451" t="str">
            <v>m²</v>
          </cell>
          <cell r="D1451">
            <v>39.770000000000003</v>
          </cell>
          <cell r="E1451">
            <v>0</v>
          </cell>
          <cell r="F1451" t="e">
            <v>#N/A</v>
          </cell>
          <cell r="G1451" t="e">
            <v>#N/A</v>
          </cell>
        </row>
        <row r="1452">
          <cell r="A1452">
            <v>43090</v>
          </cell>
          <cell r="B1452" t="str">
            <v>Tela de aço soldada Telcon Q-138 ou similar, fornecimento e assentamento em Vias Urbanas</v>
          </cell>
          <cell r="C1452" t="str">
            <v>m²</v>
          </cell>
          <cell r="D1452">
            <v>30.8</v>
          </cell>
          <cell r="E1452">
            <v>0</v>
          </cell>
          <cell r="F1452" t="e">
            <v>#N/A</v>
          </cell>
          <cell r="G1452" t="e">
            <v>#N/A</v>
          </cell>
        </row>
        <row r="1453">
          <cell r="A1453">
            <v>43088</v>
          </cell>
          <cell r="B1453" t="str">
            <v>Tela de proteção de segurança de PVC cor laranja com suporte para sinalização de obras em Vias Urbanas</v>
          </cell>
          <cell r="C1453" t="str">
            <v>m</v>
          </cell>
          <cell r="D1453">
            <v>22.49</v>
          </cell>
          <cell r="E1453" t="str">
            <v>A incluir</v>
          </cell>
          <cell r="F1453" t="e">
            <v>#N/A</v>
          </cell>
          <cell r="G1453" t="e">
            <v>#N/A</v>
          </cell>
        </row>
        <row r="1454">
          <cell r="A1454">
            <v>43091</v>
          </cell>
          <cell r="B1454" t="str">
            <v>Terminal de dreno de alívio de pavimento (DP - TDA - 01) em Vias Urbanas</v>
          </cell>
          <cell r="C1454" t="str">
            <v>un</v>
          </cell>
          <cell r="D1454">
            <v>363.02</v>
          </cell>
          <cell r="E1454" t="str">
            <v>A incluir</v>
          </cell>
          <cell r="F1454" t="e">
            <v>#N/A</v>
          </cell>
          <cell r="G1454" t="e">
            <v>#N/A</v>
          </cell>
        </row>
        <row r="1455">
          <cell r="A1455">
            <v>43092</v>
          </cell>
          <cell r="B1455" t="str">
            <v>Transporte de materiais encosta abaixo, serviço manual, inclusive carga e descarga em Vias Urbanas</v>
          </cell>
          <cell r="C1455" t="str">
            <v>t dam</v>
          </cell>
          <cell r="D1455">
            <v>23.77</v>
          </cell>
          <cell r="E1455">
            <v>0</v>
          </cell>
          <cell r="F1455" t="e">
            <v>#N/A</v>
          </cell>
          <cell r="G1455" t="e">
            <v>#N/A</v>
          </cell>
        </row>
        <row r="1456">
          <cell r="A1456">
            <v>43093</v>
          </cell>
          <cell r="B1456" t="str">
            <v>Transporte de materiais encosta acima, serviço manual, inclusive carga e descarga em Vias Urbanas</v>
          </cell>
          <cell r="C1456" t="str">
            <v>t dam</v>
          </cell>
          <cell r="D1456">
            <v>32.17</v>
          </cell>
          <cell r="E1456">
            <v>0</v>
          </cell>
          <cell r="F1456" t="e">
            <v>#N/A</v>
          </cell>
          <cell r="G1456" t="e">
            <v>#N/A</v>
          </cell>
        </row>
        <row r="1457">
          <cell r="A1457">
            <v>43094</v>
          </cell>
          <cell r="B1457" t="str">
            <v>Transposição de segmento de sarjeta - TSS 01, inclusive transporte do tubo de concreto em Vias Urbanas</v>
          </cell>
          <cell r="C1457" t="str">
            <v>m</v>
          </cell>
          <cell r="D1457">
            <v>293.77</v>
          </cell>
          <cell r="E1457" t="str">
            <v>A incluir</v>
          </cell>
          <cell r="F1457" t="e">
            <v>#N/A</v>
          </cell>
          <cell r="G1457" t="e">
            <v>#N/A</v>
          </cell>
        </row>
        <row r="1458">
          <cell r="A1458">
            <v>43095</v>
          </cell>
          <cell r="B1458" t="str">
            <v>Trincheira drenante cega (0,50 x 1,70) m, com utilização de geotêxtil não tecido Rt-16 kn/m, inclusive transporte da brita em Vias Urbanas</v>
          </cell>
          <cell r="C1458" t="str">
            <v>m</v>
          </cell>
          <cell r="D1458">
            <v>368.88</v>
          </cell>
          <cell r="E1458" t="str">
            <v>A incluir</v>
          </cell>
          <cell r="F1458" t="e">
            <v>#N/A</v>
          </cell>
          <cell r="G1458" t="e">
            <v>#N/A</v>
          </cell>
        </row>
        <row r="1459">
          <cell r="A1459">
            <v>43096</v>
          </cell>
          <cell r="B1459" t="str">
            <v>Trincheira drenante em madeira em Vias Urbanas</v>
          </cell>
          <cell r="C1459" t="str">
            <v>m</v>
          </cell>
          <cell r="D1459">
            <v>488.77</v>
          </cell>
          <cell r="E1459">
            <v>0</v>
          </cell>
          <cell r="F1459" t="e">
            <v>#N/A</v>
          </cell>
          <cell r="G1459" t="e">
            <v>#N/A</v>
          </cell>
        </row>
        <row r="1460">
          <cell r="A1460">
            <v>43098</v>
          </cell>
          <cell r="B1460" t="str">
            <v>Tubo de PVC NBR 5648 diâmetro 50 mm, fornecimento e assentamento em Vias Urbanas</v>
          </cell>
          <cell r="C1460" t="str">
            <v>m</v>
          </cell>
          <cell r="D1460">
            <v>16.690000000000001</v>
          </cell>
          <cell r="E1460">
            <v>0</v>
          </cell>
          <cell r="F1460" t="e">
            <v>#N/A</v>
          </cell>
          <cell r="G1460" t="e">
            <v>#N/A</v>
          </cell>
        </row>
        <row r="1461">
          <cell r="A1461">
            <v>43097</v>
          </cell>
          <cell r="B1461" t="str">
            <v>Tubo de PVC NBR 5648 diâmetro 75 mm, fornecimento e assentamento em Vias Urbanas</v>
          </cell>
          <cell r="C1461" t="str">
            <v>m</v>
          </cell>
          <cell r="D1461">
            <v>24.82</v>
          </cell>
          <cell r="E1461">
            <v>0</v>
          </cell>
          <cell r="F1461" t="e">
            <v>#N/A</v>
          </cell>
          <cell r="G1461" t="e">
            <v>#N/A</v>
          </cell>
        </row>
        <row r="1462">
          <cell r="A1462">
            <v>43099</v>
          </cell>
          <cell r="B1462" t="str">
            <v>Tubo de PVC PBA diâmetro 300 mm, fornecimento e assentamento em Vias Urbanas</v>
          </cell>
          <cell r="C1462" t="str">
            <v>m</v>
          </cell>
          <cell r="D1462">
            <v>192.82</v>
          </cell>
          <cell r="E1462">
            <v>0</v>
          </cell>
          <cell r="F1462" t="e">
            <v>#N/A</v>
          </cell>
          <cell r="G1462" t="e">
            <v>#N/A</v>
          </cell>
        </row>
        <row r="1463">
          <cell r="A1463">
            <v>43100</v>
          </cell>
          <cell r="B1463" t="str">
            <v>Tubo de PVC rígido série R diâmetro 100 mm, fornecimento e assentamento em Vias Urbanas</v>
          </cell>
          <cell r="C1463" t="str">
            <v>m</v>
          </cell>
          <cell r="D1463">
            <v>26.88</v>
          </cell>
          <cell r="E1463">
            <v>0</v>
          </cell>
          <cell r="F1463" t="e">
            <v>#N/A</v>
          </cell>
          <cell r="G1463" t="e">
            <v>#N/A</v>
          </cell>
        </row>
        <row r="1464">
          <cell r="A1464">
            <v>43101</v>
          </cell>
          <cell r="B1464" t="str">
            <v>Tubo irrifort agropecuário diâmetro 32 mm, fornecimento e assentamento em Vias Urbanas</v>
          </cell>
          <cell r="C1464" t="str">
            <v>m</v>
          </cell>
          <cell r="D1464">
            <v>6.93</v>
          </cell>
          <cell r="E1464">
            <v>0</v>
          </cell>
          <cell r="F1464" t="e">
            <v>#N/A</v>
          </cell>
          <cell r="G1464" t="e">
            <v>#N/A</v>
          </cell>
        </row>
        <row r="1465">
          <cell r="A1465">
            <v>43102</v>
          </cell>
          <cell r="B1465" t="str">
            <v>Tubo para irrigação linha fixa PN40 50 mm, fornecimento e assentamento em Vias Urbanas</v>
          </cell>
          <cell r="C1465" t="str">
            <v>m</v>
          </cell>
          <cell r="D1465">
            <v>8.6300000000000008</v>
          </cell>
          <cell r="E1465">
            <v>0</v>
          </cell>
          <cell r="F1465" t="e">
            <v>#N/A</v>
          </cell>
          <cell r="G1465" t="e">
            <v>#N/A</v>
          </cell>
        </row>
        <row r="1466">
          <cell r="A1466">
            <v>43103</v>
          </cell>
          <cell r="B1466" t="str">
            <v>Tubo PVC PBA diâmetro 150 mm, fornecimento e assentamento em Vias Urbanas</v>
          </cell>
          <cell r="C1466" t="str">
            <v>m</v>
          </cell>
          <cell r="D1466">
            <v>35.35</v>
          </cell>
          <cell r="E1466">
            <v>0</v>
          </cell>
          <cell r="F1466" t="e">
            <v>#N/A</v>
          </cell>
          <cell r="G1466" t="e">
            <v>#N/A</v>
          </cell>
        </row>
        <row r="1467">
          <cell r="A1467">
            <v>42614</v>
          </cell>
          <cell r="B1467" t="str">
            <v>Tubos de ferro fundido diâmetro 0,90 m, assentamento em Vias Urbanas</v>
          </cell>
          <cell r="C1467" t="str">
            <v>m</v>
          </cell>
          <cell r="D1467">
            <v>228.98</v>
          </cell>
          <cell r="E1467" t="str">
            <v>A incluir</v>
          </cell>
          <cell r="F1467" t="e">
            <v>#N/A</v>
          </cell>
          <cell r="G1467" t="e">
            <v>#N/A</v>
          </cell>
        </row>
        <row r="1468">
          <cell r="A1468">
            <v>43104</v>
          </cell>
          <cell r="B1468" t="str">
            <v>Tubos para irrigação Linha fixa PN40, diâmetro 75 mm, fornecimento e assentamento em Vias Urbanas</v>
          </cell>
          <cell r="C1468" t="str">
            <v>m</v>
          </cell>
          <cell r="D1468">
            <v>11.92</v>
          </cell>
          <cell r="E1468">
            <v>0</v>
          </cell>
          <cell r="F1468" t="e">
            <v>#N/A</v>
          </cell>
          <cell r="G1468" t="e">
            <v>#N/A</v>
          </cell>
        </row>
        <row r="1469">
          <cell r="A1469">
            <v>43105</v>
          </cell>
          <cell r="B1469" t="str">
            <v>Valeta de pedra argamassada VPAR em Vias Urbanas</v>
          </cell>
          <cell r="C1469" t="str">
            <v>m³</v>
          </cell>
          <cell r="D1469">
            <v>338.61</v>
          </cell>
          <cell r="E1469" t="str">
            <v>A incluir</v>
          </cell>
          <cell r="F1469" t="e">
            <v>#N/A</v>
          </cell>
          <cell r="G1469" t="e">
            <v>#N/A</v>
          </cell>
        </row>
        <row r="1470">
          <cell r="A1470">
            <v>43106</v>
          </cell>
          <cell r="B1470" t="str">
            <v>Valeta de pedra jogada VPJ, inclusive transporte da pedra em Vias Urbanas</v>
          </cell>
          <cell r="C1470" t="str">
            <v>m³</v>
          </cell>
          <cell r="D1470">
            <v>161.15</v>
          </cell>
          <cell r="E1470" t="str">
            <v>A incluir</v>
          </cell>
          <cell r="F1470" t="e">
            <v>#N/A</v>
          </cell>
          <cell r="G1470" t="e">
            <v>#N/A</v>
          </cell>
        </row>
        <row r="1471">
          <cell r="A1471">
            <v>43111</v>
          </cell>
          <cell r="B1471" t="str">
            <v>Valeta de proteção de corte - desobstrução e limpeza em Vias Urbanas</v>
          </cell>
          <cell r="C1471" t="str">
            <v>m</v>
          </cell>
          <cell r="D1471">
            <v>3.58</v>
          </cell>
          <cell r="E1471">
            <v>0</v>
          </cell>
          <cell r="F1471" t="e">
            <v>#N/A</v>
          </cell>
          <cell r="G1471" t="e">
            <v>#N/A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 t="e">
            <v>#N/A</v>
          </cell>
          <cell r="F1472" t="e">
            <v>#N/A</v>
          </cell>
          <cell r="G1472" t="e">
            <v>#N/A</v>
          </cell>
        </row>
        <row r="1473">
          <cell r="A1473" t="str">
            <v>Grupo de Serviço: 139 - INSTALAÇÃO DE CANTEIRO, MOBILIZAÇÃO E DESMOBILIZAÇÃO</v>
          </cell>
          <cell r="B1473">
            <v>0</v>
          </cell>
          <cell r="C1473">
            <v>0</v>
          </cell>
          <cell r="E1473" t="e">
            <v>#N/A</v>
          </cell>
          <cell r="F1473" t="e">
            <v>#N/A</v>
          </cell>
          <cell r="G1473" t="e">
            <v>#N/A</v>
          </cell>
        </row>
        <row r="1474">
          <cell r="A1474">
            <v>41578</v>
          </cell>
          <cell r="B1474" t="str">
            <v>Aluguel de container p/ escritório c/ ar condicionado e banheiro, isolam.térmico e acústico, 2 luminárias, janela de vidro, tomada p/ comput. e telef.</v>
          </cell>
          <cell r="C1474" t="str">
            <v>mês</v>
          </cell>
          <cell r="D1474">
            <v>1015.33</v>
          </cell>
          <cell r="E1474">
            <v>0</v>
          </cell>
          <cell r="F1474" t="e">
            <v>#N/A</v>
          </cell>
          <cell r="G1474" t="e">
            <v>#N/A</v>
          </cell>
        </row>
        <row r="1475">
          <cell r="A1475">
            <v>42511</v>
          </cell>
          <cell r="B1475" t="str">
            <v>Aluguel de container p/ escritório com ar condicionado, isolamento term/acust., 2 luminárias, janela de vidro, tomadas computador e telefone</v>
          </cell>
          <cell r="C1475" t="str">
            <v>mês</v>
          </cell>
          <cell r="D1475">
            <v>809.8</v>
          </cell>
          <cell r="E1475">
            <v>0</v>
          </cell>
          <cell r="F1475" t="e">
            <v>#N/A</v>
          </cell>
          <cell r="G1475" t="e">
            <v>#N/A</v>
          </cell>
        </row>
        <row r="1476">
          <cell r="A1476">
            <v>41579</v>
          </cell>
          <cell r="B1476" t="str">
            <v>Aluguel de container para almoxarifado</v>
          </cell>
          <cell r="C1476" t="str">
            <v>mês</v>
          </cell>
          <cell r="D1476">
            <v>408.49</v>
          </cell>
          <cell r="E1476">
            <v>0</v>
          </cell>
          <cell r="F1476" t="e">
            <v>#N/A</v>
          </cell>
          <cell r="G1476" t="e">
            <v>#N/A</v>
          </cell>
        </row>
        <row r="1477">
          <cell r="A1477">
            <v>41494</v>
          </cell>
          <cell r="B1477" t="str">
            <v>Aluguel de container tipo cozinha com isolamento térmico e acústico, 2 luminárias, piso especial e janela</v>
          </cell>
          <cell r="C1477" t="str">
            <v>mês</v>
          </cell>
          <cell r="D1477">
            <v>760.47</v>
          </cell>
          <cell r="E1477">
            <v>0</v>
          </cell>
          <cell r="F1477" t="e">
            <v>#N/A</v>
          </cell>
          <cell r="G1477" t="e">
            <v>#N/A</v>
          </cell>
        </row>
        <row r="1478">
          <cell r="A1478">
            <v>41678</v>
          </cell>
          <cell r="B1478" t="str">
            <v>Aluguel de container tipo refeitório simples, c/ 1 aparelho de ar condicionado, 2 luminárias e 2 janelas de vidro</v>
          </cell>
          <cell r="C1478" t="str">
            <v>mês</v>
          </cell>
          <cell r="D1478">
            <v>871.46</v>
          </cell>
          <cell r="E1478">
            <v>0</v>
          </cell>
          <cell r="F1478" t="e">
            <v>#N/A</v>
          </cell>
          <cell r="G1478" t="e">
            <v>#N/A</v>
          </cell>
        </row>
        <row r="1479">
          <cell r="A1479">
            <v>41455</v>
          </cell>
          <cell r="B1479" t="str">
            <v>Aluguel de container tipo refeitório (2 unidades acopladas), c/ 2 aparelhos de ar condicionado, 4 lumináriase 4 janelas de vidro</v>
          </cell>
          <cell r="C1479" t="str">
            <v>mês</v>
          </cell>
          <cell r="D1479">
            <v>1892.96</v>
          </cell>
          <cell r="E1479">
            <v>0</v>
          </cell>
          <cell r="F1479" t="e">
            <v>#N/A</v>
          </cell>
          <cell r="G1479" t="e">
            <v>#N/A</v>
          </cell>
        </row>
        <row r="1480">
          <cell r="A1480">
            <v>41456</v>
          </cell>
          <cell r="B1480" t="str">
            <v>Aluguel de container tipo refeitório (3 unidades acopladas), c/ 3 aparelhos de ar condiocionado
, 6 luminárias e 6 janelas de vidro</v>
          </cell>
          <cell r="C1480" t="str">
            <v>mês</v>
          </cell>
          <cell r="D1480">
            <v>4377.8599999999997</v>
          </cell>
          <cell r="E1480">
            <v>0</v>
          </cell>
          <cell r="F1480" t="e">
            <v>#N/A</v>
          </cell>
          <cell r="G1480" t="e">
            <v>#N/A</v>
          </cell>
        </row>
        <row r="1481">
          <cell r="A1481">
            <v>41580</v>
          </cell>
          <cell r="B1481" t="str">
            <v>Aluguel de container tipo sanitário com 3 vasos sanitários, lavatório, mictório, 5 chuveiros, 2 venezianas e piso especial</v>
          </cell>
          <cell r="C1481" t="str">
            <v>mês</v>
          </cell>
          <cell r="D1481">
            <v>739.92</v>
          </cell>
          <cell r="E1481">
            <v>0</v>
          </cell>
          <cell r="F1481" t="e">
            <v>#N/A</v>
          </cell>
          <cell r="G1481" t="e">
            <v>#N/A</v>
          </cell>
        </row>
        <row r="1482">
          <cell r="A1482">
            <v>41454</v>
          </cell>
          <cell r="B1482" t="str">
            <v>Aluguel de container tipo vestiário, 2 luminárias, piso especial e janela</v>
          </cell>
          <cell r="C1482" t="str">
            <v>mês</v>
          </cell>
          <cell r="D1482">
            <v>546.71</v>
          </cell>
          <cell r="E1482">
            <v>0</v>
          </cell>
          <cell r="F1482" t="e">
            <v>#N/A</v>
          </cell>
          <cell r="G1482" t="e">
            <v>#N/A</v>
          </cell>
        </row>
        <row r="1483">
          <cell r="A1483">
            <v>41498</v>
          </cell>
          <cell r="B1483" t="str">
            <v>Barracão com sanitário, em chapa compensada 12 mm e pont. 8x8cm, piso cimentado e cobertura em telha de fibroc. 6mm, incl. ponto de luz e cx. inspeção</v>
          </cell>
          <cell r="C1483" t="str">
            <v>m²</v>
          </cell>
          <cell r="D1483">
            <v>559.44000000000005</v>
          </cell>
          <cell r="E1483">
            <v>0</v>
          </cell>
          <cell r="F1483" t="e">
            <v>#N/A</v>
          </cell>
          <cell r="G1483" t="e">
            <v>#N/A</v>
          </cell>
        </row>
        <row r="1484">
          <cell r="A1484">
            <v>41531</v>
          </cell>
          <cell r="B1484" t="str">
            <v>Barracão em chapa compensada 12mm e pont. 8x8cm, piso cimentado e cobertura de telhas fibrocimento 6mm, incl. ponto de luz</v>
          </cell>
          <cell r="C1484" t="str">
            <v>m²</v>
          </cell>
          <cell r="D1484">
            <v>389.85</v>
          </cell>
          <cell r="E1484">
            <v>0</v>
          </cell>
          <cell r="F1484" t="e">
            <v>#N/A</v>
          </cell>
          <cell r="G1484" t="e">
            <v>#N/A</v>
          </cell>
        </row>
        <row r="1485">
          <cell r="A1485">
            <v>41557</v>
          </cell>
          <cell r="B1485" t="str">
            <v>Canaleta de concreto retangular com grelha em barra de aço</v>
          </cell>
          <cell r="C1485" t="str">
            <v>m</v>
          </cell>
          <cell r="D1485">
            <v>163.05000000000001</v>
          </cell>
          <cell r="E1485">
            <v>0</v>
          </cell>
          <cell r="F1485" t="e">
            <v>#N/A</v>
          </cell>
          <cell r="G1485" t="e">
            <v>#N/A</v>
          </cell>
        </row>
        <row r="1486">
          <cell r="A1486">
            <v>41506</v>
          </cell>
          <cell r="B1486" t="str">
            <v>Cobertura nova de telhas onduladas de fibrocimento 6,0mm, inclusive cumeeiras e acessórios de fixação</v>
          </cell>
          <cell r="C1486" t="str">
            <v>m²</v>
          </cell>
          <cell r="D1486">
            <v>45.34</v>
          </cell>
          <cell r="E1486">
            <v>0</v>
          </cell>
          <cell r="F1486" t="e">
            <v>#N/A</v>
          </cell>
          <cell r="G1486" t="e">
            <v>#N/A</v>
          </cell>
        </row>
        <row r="1487">
          <cell r="A1487">
            <v>41505</v>
          </cell>
          <cell r="B1487" t="str">
            <v>Estrutura de madeira lei para telhado de telha ondulada de fibroc. esp. 6mm, c/ pontaletes e caibros, incl. com cupinicida, excl. telhas</v>
          </cell>
          <cell r="C1487" t="str">
            <v>m²</v>
          </cell>
          <cell r="D1487">
            <v>79.25</v>
          </cell>
          <cell r="E1487">
            <v>0</v>
          </cell>
          <cell r="F1487" t="e">
            <v>#N/A</v>
          </cell>
          <cell r="G1487" t="e">
            <v>#N/A</v>
          </cell>
        </row>
        <row r="1488">
          <cell r="A1488">
            <v>41528</v>
          </cell>
          <cell r="B1488" t="str">
            <v>Galpão em peças de madeira 8x8cm e contravent. de 5x7cm, cobertura de telhas de fibroc. de 6mm, incl. ponto e cabo de alimentação da máquina</v>
          </cell>
          <cell r="C1488" t="str">
            <v>m²</v>
          </cell>
          <cell r="D1488">
            <v>155.56</v>
          </cell>
          <cell r="E1488">
            <v>0</v>
          </cell>
          <cell r="F1488">
            <v>155.57</v>
          </cell>
          <cell r="G1488">
            <v>1.0000642838775999</v>
          </cell>
        </row>
        <row r="1489">
          <cell r="A1489">
            <v>41546</v>
          </cell>
          <cell r="B1489" t="str">
            <v>Mobilização e desmobilização de caminhão basculante (máximo)</v>
          </cell>
          <cell r="C1489" t="str">
            <v>h</v>
          </cell>
          <cell r="D1489">
            <v>189.54</v>
          </cell>
          <cell r="E1489">
            <v>0</v>
          </cell>
          <cell r="F1489">
            <v>189.56</v>
          </cell>
          <cell r="G1489">
            <v>1.00010551862404</v>
          </cell>
        </row>
        <row r="1490">
          <cell r="A1490">
            <v>41545</v>
          </cell>
          <cell r="B1490" t="str">
            <v>Mobilização e desmobilização de caminhão carroceria (máximo)</v>
          </cell>
          <cell r="C1490" t="str">
            <v>h</v>
          </cell>
          <cell r="D1490">
            <v>158.94999999999999</v>
          </cell>
          <cell r="E1490">
            <v>0</v>
          </cell>
          <cell r="F1490">
            <v>158.96</v>
          </cell>
          <cell r="G1490">
            <v>1.0000629128656799</v>
          </cell>
        </row>
        <row r="1491">
          <cell r="A1491">
            <v>41547</v>
          </cell>
          <cell r="B1491" t="str">
            <v>Mobilização e desmobilização de caminhão tanque (6.000 L) (máximo)</v>
          </cell>
          <cell r="C1491" t="str">
            <v>h</v>
          </cell>
          <cell r="D1491">
            <v>155.02000000000001</v>
          </cell>
          <cell r="E1491">
            <v>0</v>
          </cell>
          <cell r="F1491">
            <v>155.03</v>
          </cell>
          <cell r="G1491">
            <v>1.00006450780544</v>
          </cell>
        </row>
        <row r="1492">
          <cell r="A1492">
            <v>41497</v>
          </cell>
          <cell r="B1492" t="str">
            <v>Mobilização e desmobilização de container acima de 150 km</v>
          </cell>
          <cell r="C1492" t="str">
            <v>un</v>
          </cell>
          <cell r="D1492">
            <v>1526.08</v>
          </cell>
          <cell r="E1492">
            <v>0</v>
          </cell>
          <cell r="F1492" t="e">
            <v>#N/A</v>
          </cell>
          <cell r="G1492" t="e">
            <v>#N/A</v>
          </cell>
        </row>
        <row r="1493">
          <cell r="A1493">
            <v>41495</v>
          </cell>
          <cell r="B1493" t="str">
            <v>Mobilização e desmobilização de container até 50 km</v>
          </cell>
          <cell r="C1493" t="str">
            <v>un</v>
          </cell>
          <cell r="D1493">
            <v>524.11</v>
          </cell>
          <cell r="E1493">
            <v>0</v>
          </cell>
          <cell r="F1493" t="e">
            <v>#N/A</v>
          </cell>
          <cell r="G1493" t="e">
            <v>#N/A</v>
          </cell>
        </row>
        <row r="1494">
          <cell r="A1494">
            <v>41496</v>
          </cell>
          <cell r="B1494" t="str">
            <v>Mobilização e desmobilização de container de 51 km até 150 km</v>
          </cell>
          <cell r="C1494" t="str">
            <v>un</v>
          </cell>
          <cell r="D1494">
            <v>924.9</v>
          </cell>
          <cell r="E1494">
            <v>0</v>
          </cell>
          <cell r="F1494" t="e">
            <v>#N/A</v>
          </cell>
          <cell r="G1494" t="e">
            <v>#N/A</v>
          </cell>
        </row>
        <row r="1495">
          <cell r="A1495">
            <v>41544</v>
          </cell>
          <cell r="B1495" t="str">
            <v>Mobilização e desmobilização de equipamentos com carreta prancha (máximo)</v>
          </cell>
          <cell r="C1495" t="str">
            <v>h</v>
          </cell>
          <cell r="D1495">
            <v>296.7</v>
          </cell>
          <cell r="E1495">
            <v>0</v>
          </cell>
          <cell r="F1495">
            <v>296.70999999999998</v>
          </cell>
          <cell r="G1495">
            <v>1.0000337040781899</v>
          </cell>
        </row>
        <row r="1496">
          <cell r="A1496">
            <v>41500</v>
          </cell>
          <cell r="B1496" t="str">
            <v>Placa de obra nas dimensões de 3,0 x 6,0 m, padrão DER-ES</v>
          </cell>
          <cell r="C1496" t="str">
            <v>m²</v>
          </cell>
          <cell r="D1496">
            <v>179.83</v>
          </cell>
          <cell r="E1496">
            <v>0</v>
          </cell>
          <cell r="F1496">
            <v>179.84</v>
          </cell>
          <cell r="G1496">
            <v>1.0000556080742899</v>
          </cell>
        </row>
        <row r="1497">
          <cell r="A1497">
            <v>41501</v>
          </cell>
          <cell r="B1497" t="str">
            <v>Rede de água c/ padrão de entrada d'água diâm. 3/4" conf. CESAN, incl. tubos e conexões p/ aliment., distrib., extravas. e limp., cons. o padrão a 25m</v>
          </cell>
          <cell r="C1497" t="str">
            <v>m</v>
          </cell>
          <cell r="D1497">
            <v>31.76</v>
          </cell>
          <cell r="E1497">
            <v>0</v>
          </cell>
          <cell r="F1497">
            <v>31.77</v>
          </cell>
          <cell r="G1497">
            <v>1.00031486146096</v>
          </cell>
        </row>
        <row r="1498">
          <cell r="A1498">
            <v>41499</v>
          </cell>
          <cell r="B1498" t="str">
            <v>Rede de esgoto, contendo fossa e filtro, incl. tubos e conexões de ligação entre caixas, considerando distância de 25m</v>
          </cell>
          <cell r="C1498" t="str">
            <v>m</v>
          </cell>
          <cell r="D1498">
            <v>283.06</v>
          </cell>
          <cell r="E1498">
            <v>0</v>
          </cell>
          <cell r="F1498">
            <v>283.07</v>
          </cell>
          <cell r="G1498">
            <v>1.00003532819897</v>
          </cell>
        </row>
        <row r="1499">
          <cell r="A1499">
            <v>41503</v>
          </cell>
          <cell r="B1499" t="str">
            <v>Rede de luz, incl. padrão entr. energia trifás. cabo ligação até barracões, quadro distrib., disj. e chave de força, cons. 20m entre padrão entr.e QDG</v>
          </cell>
          <cell r="C1499" t="str">
            <v>m</v>
          </cell>
          <cell r="D1499">
            <v>412.5</v>
          </cell>
          <cell r="E1499">
            <v>0</v>
          </cell>
          <cell r="F1499">
            <v>412.51</v>
          </cell>
          <cell r="G1499">
            <v>1.00002424242424</v>
          </cell>
        </row>
        <row r="1500">
          <cell r="A1500">
            <v>41530</v>
          </cell>
          <cell r="B1500" t="str">
            <v>Refeitório c/ paredes chapa de comp. 12mm e pont. 8x8cm, piso ciment. e cob. telhas fibroc. 6mm, incl. ponto de luz e cx. de insp. (1,21m²/func/turno)</v>
          </cell>
          <cell r="C1500" t="str">
            <v>m²</v>
          </cell>
          <cell r="D1500">
            <v>343.77</v>
          </cell>
          <cell r="E1500">
            <v>0</v>
          </cell>
          <cell r="F1500">
            <v>343.78</v>
          </cell>
          <cell r="G1500">
            <v>1.0000290892166299</v>
          </cell>
        </row>
        <row r="1501">
          <cell r="A1501">
            <v>41527</v>
          </cell>
          <cell r="B1501" t="str">
            <v>Reservatório de fibra de vidro de 1000 L, incl. suporte em madeira de 7x12cm, elevado de 4m</v>
          </cell>
          <cell r="C1501" t="str">
            <v>un</v>
          </cell>
          <cell r="D1501">
            <v>1470.33</v>
          </cell>
          <cell r="E1501">
            <v>0</v>
          </cell>
          <cell r="F1501">
            <v>1470.33</v>
          </cell>
          <cell r="G1501">
            <v>1</v>
          </cell>
        </row>
        <row r="1502">
          <cell r="A1502">
            <v>41529</v>
          </cell>
          <cell r="B1502" t="str">
            <v>Sanitário e vestiário de 40/60 func., c/ 33,90m², paredes chapa compens. 12mm e pont. 8x8cm
, piso ciment., cobert. telha fibroc., incl. luz e cx. insp</v>
          </cell>
          <cell r="C1502" t="str">
            <v>un</v>
          </cell>
          <cell r="D1502">
            <v>20236.28</v>
          </cell>
          <cell r="E1502">
            <v>0</v>
          </cell>
          <cell r="F1502">
            <v>20236.28</v>
          </cell>
          <cell r="G1502">
            <v>1</v>
          </cell>
        </row>
        <row r="1503">
          <cell r="A1503">
            <v>41555</v>
          </cell>
          <cell r="B1503" t="str">
            <v>Sistema separador de água e óleo</v>
          </cell>
          <cell r="C1503" t="str">
            <v>un</v>
          </cell>
          <cell r="D1503">
            <v>5526.45</v>
          </cell>
          <cell r="E1503">
            <v>0</v>
          </cell>
          <cell r="F1503">
            <v>5728.1</v>
          </cell>
          <cell r="G1503">
            <v>1.03648816147798</v>
          </cell>
        </row>
        <row r="1504">
          <cell r="A1504">
            <v>100883</v>
          </cell>
          <cell r="B1504" t="str">
            <v>Tapume madeira compensada resinada e= 12mm h=2,20m, estr. c/ mad reflorest., incl montagem e pintura esmalte sintético</v>
          </cell>
          <cell r="C1504" t="str">
            <v>m</v>
          </cell>
          <cell r="D1504">
            <v>150.93</v>
          </cell>
          <cell r="F1504" t="e">
            <v>#N/A</v>
          </cell>
          <cell r="G1504" t="e">
            <v>#N/A</v>
          </cell>
        </row>
        <row r="1505">
          <cell r="A1505">
            <v>100882</v>
          </cell>
          <cell r="B1505" t="str">
            <v>Tapume Telha Metálica Ondulada 0,50mm Branca h=2,20m, incl. montagem estr. mad. 8"x8", incl. faixas pint. esmalte sintético c/ h=40cm (Reaproveitamento 2x)</v>
          </cell>
          <cell r="C1505" t="str">
            <v>m</v>
          </cell>
          <cell r="D1505">
            <v>119.75</v>
          </cell>
          <cell r="F1505" t="e">
            <v>#N/A</v>
          </cell>
          <cell r="G1505" t="e">
            <v>#N/A</v>
          </cell>
        </row>
        <row r="1506">
          <cell r="F1506">
            <v>0</v>
          </cell>
        </row>
        <row r="1507">
          <cell r="F1507">
            <v>0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J7" t="str">
            <v>LG-001</v>
          </cell>
          <cell r="K7">
            <v>21532.73</v>
          </cell>
          <cell r="L7" t="str">
            <v>Administração local</v>
          </cell>
          <cell r="M7" t="str">
            <v>mês</v>
          </cell>
        </row>
        <row r="20">
          <cell r="J20">
            <v>0</v>
          </cell>
          <cell r="K20">
            <v>0</v>
          </cell>
        </row>
        <row r="27">
          <cell r="J27" t="str">
            <v>Prazo previsto=</v>
          </cell>
          <cell r="K27">
            <v>8</v>
          </cell>
        </row>
        <row r="43">
          <cell r="K43">
            <v>0</v>
          </cell>
        </row>
        <row r="46">
          <cell r="J46" t="str">
            <v>LG-002</v>
          </cell>
          <cell r="K46">
            <v>7707.5</v>
          </cell>
          <cell r="L46" t="str">
            <v>Remanejamento de postes</v>
          </cell>
          <cell r="M46" t="str">
            <v>un</v>
          </cell>
        </row>
        <row r="68">
          <cell r="L68">
            <v>0</v>
          </cell>
          <cell r="M68">
            <v>0</v>
          </cell>
        </row>
        <row r="69">
          <cell r="J69" t="e">
            <v>#N/A</v>
          </cell>
        </row>
        <row r="73">
          <cell r="K73">
            <v>0</v>
          </cell>
        </row>
        <row r="82">
          <cell r="J82" t="str">
            <v>LG-003</v>
          </cell>
          <cell r="K82">
            <v>138.09</v>
          </cell>
          <cell r="L82" t="str">
            <v>Base mistura em peso 60% de brita graduada / 40% solo</v>
          </cell>
          <cell r="M82" t="str">
            <v>m³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 t="str">
            <v>Brita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J119">
            <v>67.75</v>
          </cell>
          <cell r="K119">
            <v>0</v>
          </cell>
          <cell r="L119">
            <v>0</v>
          </cell>
          <cell r="M119">
            <v>0</v>
          </cell>
        </row>
        <row r="120"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J124" t="str">
            <v>LG-004</v>
          </cell>
          <cell r="K124">
            <v>2402.98</v>
          </cell>
          <cell r="L124" t="str">
            <v>Corpo BDTP (Bueiro Duplo Tubular PEAD) diâmetro 1,00 PB, exclusive escavação e reaterro, inclusive transporte do tubo</v>
          </cell>
          <cell r="M124" t="str">
            <v>m</v>
          </cell>
        </row>
        <row r="125">
          <cell r="M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4"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J146">
            <v>0</v>
          </cell>
          <cell r="K146">
            <v>0</v>
          </cell>
        </row>
        <row r="147">
          <cell r="J147">
            <v>0</v>
          </cell>
          <cell r="K147">
            <v>0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60">
          <cell r="J160" t="str">
            <v>LG-005</v>
          </cell>
          <cell r="K160">
            <v>18748.87</v>
          </cell>
          <cell r="L160" t="str">
            <v>Equipe de Topografia</v>
          </cell>
          <cell r="M160" t="str">
            <v>mês</v>
          </cell>
        </row>
        <row r="184">
          <cell r="L184">
            <v>0</v>
          </cell>
          <cell r="M184">
            <v>0</v>
          </cell>
        </row>
        <row r="185">
          <cell r="J185">
            <v>0</v>
          </cell>
          <cell r="L185">
            <v>7025.94</v>
          </cell>
        </row>
        <row r="189">
          <cell r="K189">
            <v>0</v>
          </cell>
        </row>
        <row r="197">
          <cell r="J197" t="str">
            <v>LG-006</v>
          </cell>
          <cell r="K197">
            <v>20487.849999999999</v>
          </cell>
          <cell r="L197" t="str">
            <v>Equipe de Laboratório</v>
          </cell>
          <cell r="M197" t="str">
            <v>mês</v>
          </cell>
        </row>
        <row r="220">
          <cell r="L220">
            <v>0</v>
          </cell>
          <cell r="M220">
            <v>0</v>
          </cell>
        </row>
        <row r="221">
          <cell r="J221">
            <v>0</v>
          </cell>
          <cell r="L221">
            <v>7025.94</v>
          </cell>
        </row>
        <row r="225">
          <cell r="K225">
            <v>0</v>
          </cell>
        </row>
      </sheetData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5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"/>
      <sheetName val="quant a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199 - Tabela Referencial Junho 2015 com desoneração</v>
          </cell>
          <cell r="G1" t="str">
            <v>Data Base: Junho/2015</v>
          </cell>
        </row>
        <row r="2">
          <cell r="A2" t="str">
            <v xml:space="preserve">Código </v>
          </cell>
          <cell r="B2" t="str">
            <v>Equipamento</v>
          </cell>
          <cell r="C2" t="str">
            <v>CT</v>
          </cell>
          <cell r="D2" t="str">
            <v>Potência</v>
          </cell>
          <cell r="E2" t="str">
            <v>Combustível</v>
          </cell>
          <cell r="F2" t="str">
            <v>Hora Prod.</v>
          </cell>
          <cell r="G2" t="str">
            <v>Hora Improd.</v>
          </cell>
        </row>
        <row r="3">
          <cell r="A3">
            <v>30041</v>
          </cell>
          <cell r="B3" t="str">
            <v>Acabadora de asfalto AF 5000, esteira, CIBER ou equivalente</v>
          </cell>
          <cell r="C3">
            <v>0</v>
          </cell>
          <cell r="D3">
            <v>54</v>
          </cell>
          <cell r="E3" t="str">
            <v>ÓLEO DIESEL</v>
          </cell>
          <cell r="F3" t="str">
            <v>171,01</v>
          </cell>
          <cell r="G3" t="str">
            <v>89,14</v>
          </cell>
        </row>
        <row r="4">
          <cell r="A4">
            <v>30047</v>
          </cell>
          <cell r="B4" t="str">
            <v>Acabadora de superficie de concreto, rotativa PT 36" B c/ motor de 9 hp, Petrotec ou equivalente</v>
          </cell>
          <cell r="C4" t="str">
            <v>m</v>
          </cell>
          <cell r="D4">
            <v>9</v>
          </cell>
          <cell r="E4" t="str">
            <v>ÓLEO DIESEL</v>
          </cell>
          <cell r="F4" t="str">
            <v>6,53</v>
          </cell>
          <cell r="G4" t="str">
            <v>1,06</v>
          </cell>
        </row>
        <row r="5">
          <cell r="A5">
            <v>30140</v>
          </cell>
          <cell r="B5" t="str">
            <v>Aplicador de material termoplástico por extrusão, marca de referência Elgimaq ou equivalente</v>
          </cell>
          <cell r="C5">
            <v>0</v>
          </cell>
          <cell r="D5">
            <v>4</v>
          </cell>
          <cell r="E5" t="str">
            <v>ÓLEO DIESEL</v>
          </cell>
          <cell r="F5" t="str">
            <v>24,13</v>
          </cell>
          <cell r="G5" t="str">
            <v>19,56</v>
          </cell>
        </row>
        <row r="6">
          <cell r="A6">
            <v>30106</v>
          </cell>
          <cell r="B6" t="str">
            <v>Automóvel - VW/ Gol (flex), 1.0 Total Flex 4 p ou equivalente</v>
          </cell>
          <cell r="C6">
            <v>0</v>
          </cell>
          <cell r="D6">
            <v>60</v>
          </cell>
          <cell r="E6" t="str">
            <v>GASOLINA</v>
          </cell>
          <cell r="F6" t="str">
            <v>22,93</v>
          </cell>
          <cell r="G6" t="str">
            <v>19,64</v>
          </cell>
        </row>
        <row r="7">
          <cell r="A7">
            <v>30104</v>
          </cell>
          <cell r="B7" t="str">
            <v>Automóvel Utilitário - FIAT/ Pálio (flex), 4p ou equivalente</v>
          </cell>
          <cell r="C7">
            <v>0</v>
          </cell>
          <cell r="D7">
            <v>62</v>
          </cell>
          <cell r="E7" t="str">
            <v>GASOLINA</v>
          </cell>
          <cell r="F7" t="str">
            <v>86,79</v>
          </cell>
          <cell r="G7" t="str">
            <v>19,29</v>
          </cell>
        </row>
        <row r="8">
          <cell r="A8">
            <v>30102</v>
          </cell>
          <cell r="B8" t="str">
            <v>Automóvel Utilitário - GM/S 10 cabine simples (flex)</v>
          </cell>
          <cell r="C8" t="str">
            <v>m</v>
          </cell>
          <cell r="D8">
            <v>99</v>
          </cell>
          <cell r="E8" t="str">
            <v>GASOLINA</v>
          </cell>
          <cell r="F8" t="str">
            <v>131,47</v>
          </cell>
          <cell r="G8" t="str">
            <v>22,36</v>
          </cell>
        </row>
        <row r="9">
          <cell r="A9">
            <v>30101</v>
          </cell>
          <cell r="B9" t="str">
            <v>Automóvel Utilitário - VW/ Kombi (flex)</v>
          </cell>
          <cell r="C9">
            <v>0</v>
          </cell>
          <cell r="D9">
            <v>52</v>
          </cell>
          <cell r="E9" t="str">
            <v>GASOLINA</v>
          </cell>
          <cell r="F9" t="str">
            <v>77,83</v>
          </cell>
          <cell r="G9" t="str">
            <v>20,17</v>
          </cell>
        </row>
        <row r="10">
          <cell r="A10">
            <v>30103</v>
          </cell>
          <cell r="B10" t="str">
            <v>Automóvel Utilitário - VW/ Saveiro CL (flex)</v>
          </cell>
          <cell r="C10">
            <v>0</v>
          </cell>
          <cell r="D10">
            <v>85</v>
          </cell>
          <cell r="E10" t="str">
            <v>GASOLINA</v>
          </cell>
          <cell r="F10" t="str">
            <v>112,15</v>
          </cell>
          <cell r="G10" t="str">
            <v>19,88</v>
          </cell>
        </row>
        <row r="11">
          <cell r="A11">
            <v>30134</v>
          </cell>
          <cell r="B11" t="str">
            <v>Barco de aluminio compr. 4,20 metros motor 15HP</v>
          </cell>
          <cell r="C11" t="str">
            <v>m</v>
          </cell>
          <cell r="D11">
            <v>15</v>
          </cell>
          <cell r="E11" t="str">
            <v>ÓLEO DIESEL</v>
          </cell>
          <cell r="F11" t="str">
            <v>9,09</v>
          </cell>
          <cell r="G11" t="str">
            <v>1,33</v>
          </cell>
        </row>
        <row r="12">
          <cell r="A12">
            <v>30077</v>
          </cell>
          <cell r="B12" t="str">
            <v>Bate-estaca (martelo 1.500 kg)</v>
          </cell>
          <cell r="C12" t="str">
            <v>m</v>
          </cell>
          <cell r="D12">
            <v>45</v>
          </cell>
          <cell r="E12" t="str">
            <v>ÓLEO DIESEL</v>
          </cell>
          <cell r="F12" t="str">
            <v>82,66</v>
          </cell>
          <cell r="G12" t="str">
            <v>47,32</v>
          </cell>
        </row>
        <row r="13">
          <cell r="A13">
            <v>30078</v>
          </cell>
          <cell r="B13" t="str">
            <v>Bate-estaca (martelo 2.500 kg)</v>
          </cell>
          <cell r="C13" t="str">
            <v>m</v>
          </cell>
          <cell r="D13">
            <v>90</v>
          </cell>
          <cell r="E13" t="str">
            <v>ÓLEO DIESEL</v>
          </cell>
          <cell r="F13" t="str">
            <v>99,12</v>
          </cell>
          <cell r="G13" t="str">
            <v>38,83</v>
          </cell>
        </row>
        <row r="14">
          <cell r="A14">
            <v>30070</v>
          </cell>
          <cell r="B14" t="str">
            <v>Betoneira 600 l com carregador (elétrica)</v>
          </cell>
          <cell r="C14">
            <v>0</v>
          </cell>
          <cell r="D14">
            <v>5</v>
          </cell>
          <cell r="E14" t="str">
            <v>ENERGIA</v>
          </cell>
          <cell r="F14" t="str">
            <v>19,51</v>
          </cell>
          <cell r="G14" t="str">
            <v>14,77</v>
          </cell>
        </row>
        <row r="15">
          <cell r="A15">
            <v>30081</v>
          </cell>
          <cell r="B15" t="str">
            <v>Bomba d'água 3,0 CV</v>
          </cell>
          <cell r="C15">
            <v>0</v>
          </cell>
          <cell r="D15">
            <v>4</v>
          </cell>
          <cell r="E15" t="str">
            <v>ENERGIA</v>
          </cell>
          <cell r="F15" t="str">
            <v>11,26</v>
          </cell>
          <cell r="G15" t="str">
            <v>8,58</v>
          </cell>
        </row>
        <row r="16">
          <cell r="A16">
            <v>30072</v>
          </cell>
          <cell r="B16" t="str">
            <v>Bomba de concreto BSF 1406 D (diesel) 60m3/h</v>
          </cell>
          <cell r="C16">
            <v>0</v>
          </cell>
          <cell r="D16">
            <v>100</v>
          </cell>
          <cell r="E16" t="str">
            <v>ÓLEO DIESEL</v>
          </cell>
          <cell r="F16" t="str">
            <v>116,85</v>
          </cell>
          <cell r="G16" t="str">
            <v>42,22</v>
          </cell>
        </row>
        <row r="17">
          <cell r="A17">
            <v>30088</v>
          </cell>
          <cell r="B17" t="str">
            <v>Bomba hidraulica tipo MT 200</v>
          </cell>
          <cell r="C17">
            <v>0</v>
          </cell>
          <cell r="D17">
            <v>27</v>
          </cell>
          <cell r="E17" t="str">
            <v>ÓLEO DIESEL</v>
          </cell>
          <cell r="F17" t="str">
            <v>43,47</v>
          </cell>
          <cell r="G17" t="str">
            <v>24,87</v>
          </cell>
        </row>
        <row r="18">
          <cell r="A18">
            <v>30113</v>
          </cell>
          <cell r="B18" t="str">
            <v>Bomba triplex MT-100, motor diesel de 12CV, 122 l/min, 250rpm, Maquessonda ou equivalente</v>
          </cell>
          <cell r="C18" t="str">
            <v>m</v>
          </cell>
          <cell r="D18">
            <v>12</v>
          </cell>
          <cell r="E18" t="str">
            <v>ÓLEO DIESEL</v>
          </cell>
          <cell r="F18" t="str">
            <v>19,69</v>
          </cell>
          <cell r="G18" t="str">
            <v>11,52</v>
          </cell>
        </row>
        <row r="19">
          <cell r="A19">
            <v>30079</v>
          </cell>
          <cell r="B19" t="str">
            <v>Britador CH - 9060 (MAROBRAS) ou equivalente</v>
          </cell>
          <cell r="C19">
            <v>0</v>
          </cell>
          <cell r="D19">
            <v>90</v>
          </cell>
          <cell r="E19" t="str">
            <v>ENERGIA</v>
          </cell>
          <cell r="F19" t="str">
            <v>198,02</v>
          </cell>
          <cell r="G19" t="str">
            <v>105,72</v>
          </cell>
        </row>
        <row r="20">
          <cell r="A20">
            <v>30002</v>
          </cell>
          <cell r="B20" t="str">
            <v>Caminhão basculante L 2324/41 PBT=22,0t (TRUCK 15,0t)</v>
          </cell>
          <cell r="C20" t="str">
            <v>m</v>
          </cell>
          <cell r="D20">
            <v>184</v>
          </cell>
          <cell r="E20" t="str">
            <v>ÓLEO DIESEL</v>
          </cell>
          <cell r="F20" t="str">
            <v>143,57</v>
          </cell>
          <cell r="G20" t="str">
            <v>39,74</v>
          </cell>
        </row>
        <row r="21">
          <cell r="A21">
            <v>30131</v>
          </cell>
          <cell r="B21" t="str">
            <v>Caminhão basculante L 2324/51 PBT - 22,0 t</v>
          </cell>
          <cell r="C21" t="str">
            <v>m</v>
          </cell>
          <cell r="D21">
            <v>200</v>
          </cell>
          <cell r="E21" t="str">
            <v>ÓLEO DIESEL</v>
          </cell>
          <cell r="F21" t="str">
            <v>80,61</v>
          </cell>
          <cell r="G21" t="str">
            <v>50,36</v>
          </cell>
        </row>
        <row r="22">
          <cell r="A22">
            <v>30003</v>
          </cell>
          <cell r="B22" t="str">
            <v>Caminhão basculante LK 2324/42 PBT=22,0t (TRUCK 15,0t T.R.)</v>
          </cell>
          <cell r="C22">
            <v>0</v>
          </cell>
          <cell r="D22">
            <v>208</v>
          </cell>
          <cell r="E22" t="str">
            <v>ÓLEO DIESEL</v>
          </cell>
          <cell r="F22" t="str">
            <v>151,31</v>
          </cell>
          <cell r="G22" t="str">
            <v>38,08</v>
          </cell>
        </row>
        <row r="23">
          <cell r="A23">
            <v>30000</v>
          </cell>
          <cell r="B23" t="str">
            <v>Caminhão basculante 1315C PBT=12,9t (TOCO 8,0t)</v>
          </cell>
          <cell r="C23" t="str">
            <v>m</v>
          </cell>
          <cell r="D23">
            <v>150</v>
          </cell>
          <cell r="E23" t="str">
            <v>ÓLEO DIESEL</v>
          </cell>
          <cell r="F23" t="str">
            <v>120,58</v>
          </cell>
          <cell r="G23" t="str">
            <v>35,73</v>
          </cell>
        </row>
        <row r="24">
          <cell r="A24">
            <v>30001</v>
          </cell>
          <cell r="B24" t="str">
            <v>Caminhão basculante 1518/48C PBT=19,0t (TRUCK 12,0t)</v>
          </cell>
          <cell r="C24" t="str">
            <v>m</v>
          </cell>
          <cell r="D24">
            <v>150</v>
          </cell>
          <cell r="E24" t="str">
            <v>ÓLEO DIESEL</v>
          </cell>
          <cell r="F24" t="str">
            <v>127,89</v>
          </cell>
          <cell r="G24" t="str">
            <v>39,60</v>
          </cell>
        </row>
        <row r="25">
          <cell r="A25">
            <v>30005</v>
          </cell>
          <cell r="B25" t="str">
            <v>Caminhão carroceria L 1319 PBT=13,9t (TOCO 8,0t)</v>
          </cell>
          <cell r="C25" t="str">
            <v>m</v>
          </cell>
          <cell r="D25">
            <v>150</v>
          </cell>
          <cell r="E25" t="str">
            <v>ÓLEO DIESEL</v>
          </cell>
          <cell r="F25" t="str">
            <v>110,89</v>
          </cell>
          <cell r="G25" t="str">
            <v>31,48</v>
          </cell>
        </row>
        <row r="26">
          <cell r="A26">
            <v>30006</v>
          </cell>
          <cell r="B26" t="str">
            <v>Caminhão carroceria 1518/48 PBT=19,0t (TRUCK 15,0t)</v>
          </cell>
          <cell r="C26" t="str">
            <v>m</v>
          </cell>
          <cell r="D26">
            <v>150</v>
          </cell>
          <cell r="E26" t="str">
            <v>ÓLEO DIESEL</v>
          </cell>
          <cell r="F26" t="str">
            <v>118,00</v>
          </cell>
          <cell r="G26" t="str">
            <v>35,48</v>
          </cell>
        </row>
        <row r="27">
          <cell r="A27">
            <v>30004</v>
          </cell>
          <cell r="B27" t="str">
            <v>Caminhão carroceria 815/37 PBT=8,3t (TOCO 4,0t)</v>
          </cell>
          <cell r="C27" t="str">
            <v>m</v>
          </cell>
          <cell r="D27">
            <v>143</v>
          </cell>
          <cell r="E27" t="str">
            <v>ÓLEO DIESEL</v>
          </cell>
          <cell r="F27" t="str">
            <v>104,56</v>
          </cell>
          <cell r="G27" t="str">
            <v>29,70</v>
          </cell>
        </row>
        <row r="28">
          <cell r="A28">
            <v>30010</v>
          </cell>
          <cell r="B28" t="str">
            <v>Caminhao para hidrossemeadura L 1319 - (6.000 L)</v>
          </cell>
          <cell r="C28" t="str">
            <v>m</v>
          </cell>
          <cell r="D28">
            <v>180</v>
          </cell>
          <cell r="E28" t="str">
            <v>ÓLEO DIESEL</v>
          </cell>
          <cell r="F28" t="str">
            <v>173,97</v>
          </cell>
          <cell r="G28" t="str">
            <v>61,21</v>
          </cell>
        </row>
        <row r="29">
          <cell r="A29">
            <v>30007</v>
          </cell>
          <cell r="B29" t="str">
            <v>Caminhão tanque L 1319/48 PBT=12,9t (6.000L)</v>
          </cell>
          <cell r="C29" t="str">
            <v>m</v>
          </cell>
          <cell r="D29">
            <v>150</v>
          </cell>
          <cell r="E29" t="str">
            <v>ÓLEO DIESEL</v>
          </cell>
          <cell r="F29" t="str">
            <v>117,04</v>
          </cell>
          <cell r="G29" t="str">
            <v>34,94</v>
          </cell>
        </row>
        <row r="30">
          <cell r="A30">
            <v>30023</v>
          </cell>
          <cell r="B30" t="str">
            <v>Carregadeira de rodas ref. Caterpillar modelo 924H (1,9 m3) ( cab + ar ) ou equivalente</v>
          </cell>
          <cell r="C30" t="str">
            <v>m</v>
          </cell>
          <cell r="D30">
            <v>145</v>
          </cell>
          <cell r="E30" t="str">
            <v>ÓLEO DIESEL</v>
          </cell>
          <cell r="F30" t="str">
            <v>152,64</v>
          </cell>
          <cell r="G30" t="str">
            <v>52,20</v>
          </cell>
        </row>
        <row r="31">
          <cell r="A31">
            <v>30024</v>
          </cell>
          <cell r="B31" t="str">
            <v>Carregadeira de rodas ref. Caterpillar modelo 950H (3,10 m3) ( cab + ar ) ou equivalente</v>
          </cell>
          <cell r="C31" t="str">
            <v>m</v>
          </cell>
          <cell r="D31">
            <v>170</v>
          </cell>
          <cell r="E31" t="str">
            <v>ÓLEO DIESEL</v>
          </cell>
          <cell r="F31" t="str">
            <v>233,39</v>
          </cell>
          <cell r="G31" t="str">
            <v>92,32</v>
          </cell>
        </row>
        <row r="32">
          <cell r="A32">
            <v>30008</v>
          </cell>
          <cell r="B32" t="str">
            <v>Carreta com prancha 2040 45,0 t</v>
          </cell>
          <cell r="C32" t="str">
            <v>m</v>
          </cell>
          <cell r="D32">
            <v>360</v>
          </cell>
          <cell r="E32" t="str">
            <v>ÓLEO DIESEL</v>
          </cell>
          <cell r="F32" t="str">
            <v>239,83</v>
          </cell>
          <cell r="G32" t="str">
            <v>48,71</v>
          </cell>
        </row>
        <row r="33">
          <cell r="A33">
            <v>30076</v>
          </cell>
          <cell r="B33" t="str">
            <v>Carrinho de mão</v>
          </cell>
          <cell r="C33">
            <v>0</v>
          </cell>
          <cell r="D33">
            <v>0</v>
          </cell>
          <cell r="E33" t="str">
            <v>ENERGIA</v>
          </cell>
          <cell r="F33" t="str">
            <v>0,13</v>
          </cell>
          <cell r="G33" t="str">
            <v>0,09</v>
          </cell>
        </row>
        <row r="34">
          <cell r="A34">
            <v>30011</v>
          </cell>
          <cell r="B34" t="str">
            <v>Comboio de lubrificaçao 1215C 5.000 L</v>
          </cell>
          <cell r="C34">
            <v>0</v>
          </cell>
          <cell r="D34">
            <v>180</v>
          </cell>
          <cell r="E34" t="str">
            <v>ÓLEO DIESEL</v>
          </cell>
          <cell r="F34" t="str">
            <v>121,56</v>
          </cell>
          <cell r="G34" t="str">
            <v>33,47</v>
          </cell>
        </row>
        <row r="35">
          <cell r="A35">
            <v>30075</v>
          </cell>
          <cell r="B35" t="str">
            <v>Compactador manual LF-100 gasol marca de referência Honda asfal 500mm ou equivalente</v>
          </cell>
          <cell r="C35">
            <v>0</v>
          </cell>
          <cell r="D35">
            <v>6</v>
          </cell>
          <cell r="E35" t="str">
            <v>GASOLINA</v>
          </cell>
          <cell r="F35" t="str">
            <v>11,12</v>
          </cell>
          <cell r="G35" t="str">
            <v>9,69</v>
          </cell>
        </row>
        <row r="36">
          <cell r="A36">
            <v>30059</v>
          </cell>
          <cell r="B36" t="str">
            <v>Compressor de ar XA 187/400 PCM, ATLAS ou equivalente</v>
          </cell>
          <cell r="C36">
            <v>0</v>
          </cell>
          <cell r="D36">
            <v>119</v>
          </cell>
          <cell r="E36" t="str">
            <v>ÓLEO DIESEL</v>
          </cell>
          <cell r="F36" t="str">
            <v>84,82</v>
          </cell>
          <cell r="G36" t="str">
            <v>18,91</v>
          </cell>
        </row>
        <row r="37">
          <cell r="A37">
            <v>30060</v>
          </cell>
          <cell r="B37" t="str">
            <v>Compressor de ar XA 360/763 pcm (ATLAS) ou equivalente</v>
          </cell>
          <cell r="C37">
            <v>0</v>
          </cell>
          <cell r="D37">
            <v>180</v>
          </cell>
          <cell r="E37" t="str">
            <v>ÓLEO DIESEL</v>
          </cell>
          <cell r="F37" t="str">
            <v>132,86</v>
          </cell>
          <cell r="G37" t="str">
            <v>29,08</v>
          </cell>
        </row>
        <row r="38">
          <cell r="A38">
            <v>30116</v>
          </cell>
          <cell r="B38" t="str">
            <v>Conjunto acoplado para manômetro para bomba injetora manual Putzmeister ou equivalente</v>
          </cell>
          <cell r="C38" t="str">
            <v>m</v>
          </cell>
          <cell r="D38">
            <v>12</v>
          </cell>
          <cell r="E38" t="str">
            <v>ENERGIA</v>
          </cell>
          <cell r="F38" t="str">
            <v>16,45</v>
          </cell>
          <cell r="G38" t="str">
            <v>8,54</v>
          </cell>
        </row>
        <row r="39">
          <cell r="A39">
            <v>30126</v>
          </cell>
          <cell r="B39" t="str">
            <v>Conjunto de campânula para fundação a ar comprimido</v>
          </cell>
          <cell r="C39" t="str">
            <v>m</v>
          </cell>
          <cell r="D39">
            <v>0</v>
          </cell>
          <cell r="E39" t="str">
            <v>ÓLEO DIESEL</v>
          </cell>
          <cell r="F39" t="str">
            <v>33,55</v>
          </cell>
          <cell r="G39" t="str">
            <v>28,56</v>
          </cell>
        </row>
        <row r="40">
          <cell r="A40">
            <v>30117</v>
          </cell>
          <cell r="B40" t="str">
            <v>Conjunto de manômetro O-100 bar, para bomba injetora manual Putzmeister ou similar.</v>
          </cell>
          <cell r="C40" t="str">
            <v>m</v>
          </cell>
          <cell r="D40">
            <v>10</v>
          </cell>
          <cell r="E40" t="str">
            <v>ENERGIA</v>
          </cell>
          <cell r="F40" t="str">
            <v>15,14</v>
          </cell>
          <cell r="G40" t="str">
            <v>8,54</v>
          </cell>
        </row>
        <row r="41">
          <cell r="A41">
            <v>30080</v>
          </cell>
          <cell r="B41" t="str">
            <v>Conjunto moto bomba diam. 4"</v>
          </cell>
          <cell r="C41">
            <v>0</v>
          </cell>
          <cell r="D41">
            <v>8</v>
          </cell>
          <cell r="E41" t="str">
            <v>ÓLEO DIESEL</v>
          </cell>
          <cell r="F41" t="str">
            <v>13,04</v>
          </cell>
          <cell r="G41" t="str">
            <v>8,86</v>
          </cell>
        </row>
        <row r="42">
          <cell r="A42">
            <v>30120</v>
          </cell>
          <cell r="B42" t="str">
            <v>Conjunto Moto Bomba submersível de 15 CV - Marca Flygt - Modelo 3153/LT622 ou equivalente</v>
          </cell>
          <cell r="C42" t="str">
            <v>m</v>
          </cell>
          <cell r="D42">
            <v>15</v>
          </cell>
          <cell r="E42" t="str">
            <v>ENERGIA</v>
          </cell>
          <cell r="F42" t="str">
            <v>21,91</v>
          </cell>
          <cell r="G42" t="str">
            <v>10,12</v>
          </cell>
        </row>
        <row r="43">
          <cell r="A43">
            <v>30145</v>
          </cell>
          <cell r="B43" t="str">
            <v>Conjunto móvel de britagem (produção de 80 a 100t/h)</v>
          </cell>
          <cell r="C43" t="str">
            <v>m</v>
          </cell>
          <cell r="D43">
            <v>90</v>
          </cell>
          <cell r="E43" t="str">
            <v>ENERGIA</v>
          </cell>
          <cell r="F43" t="str">
            <v>515,52</v>
          </cell>
          <cell r="G43" t="str">
            <v>283,27</v>
          </cell>
        </row>
        <row r="44">
          <cell r="A44">
            <v>30092</v>
          </cell>
          <cell r="B44" t="str">
            <v>Demarcador de faixas a gasolina referência Elgimaq EGM CAF 800 L ou equivalente</v>
          </cell>
          <cell r="C44">
            <v>0</v>
          </cell>
          <cell r="D44">
            <v>46</v>
          </cell>
          <cell r="E44" t="str">
            <v>GASOLINA</v>
          </cell>
          <cell r="F44" t="str">
            <v>142,07</v>
          </cell>
          <cell r="G44" t="str">
            <v>70,64</v>
          </cell>
        </row>
        <row r="45">
          <cell r="A45">
            <v>30053</v>
          </cell>
          <cell r="B45" t="str">
            <v>Distribuidor de agregado DA 3660 D, CMV ou equivalente</v>
          </cell>
          <cell r="C45" t="str">
            <v>m</v>
          </cell>
          <cell r="D45">
            <v>0</v>
          </cell>
          <cell r="E45" t="str">
            <v>ÓLEO DIESEL</v>
          </cell>
          <cell r="F45" t="str">
            <v>5,20</v>
          </cell>
          <cell r="G45" t="str">
            <v>3,79</v>
          </cell>
        </row>
        <row r="46">
          <cell r="A46">
            <v>30009</v>
          </cell>
          <cell r="B46" t="str">
            <v>Equipamento espargidor de asfalto 1315C DA-6C 6.500L (CONSMAQ) ou equivalente</v>
          </cell>
          <cell r="C46" t="str">
            <v>m</v>
          </cell>
          <cell r="D46">
            <v>150</v>
          </cell>
          <cell r="E46" t="str">
            <v>ÓLEO DIESEL</v>
          </cell>
          <cell r="F46" t="str">
            <v>125,49</v>
          </cell>
          <cell r="G46" t="str">
            <v>43,74</v>
          </cell>
        </row>
        <row r="47">
          <cell r="A47">
            <v>30012</v>
          </cell>
          <cell r="B47" t="str">
            <v>Equipamento lama asfáltica LA-6, CONSMAQ ou equivalente, montado em caminhão</v>
          </cell>
          <cell r="C47" t="str">
            <v>m</v>
          </cell>
          <cell r="D47">
            <v>185</v>
          </cell>
          <cell r="E47" t="str">
            <v>ÓLEO DIESEL</v>
          </cell>
          <cell r="F47" t="str">
            <v>204,75</v>
          </cell>
          <cell r="G47" t="str">
            <v>78,68</v>
          </cell>
        </row>
        <row r="48">
          <cell r="A48">
            <v>30109</v>
          </cell>
          <cell r="B48" t="str">
            <v>Equipamento Vácuo SEWER JET e combinado de jato d'água à alta pressão ou equivalente</v>
          </cell>
          <cell r="C48" t="str">
            <v>m</v>
          </cell>
          <cell r="D48">
            <v>145</v>
          </cell>
          <cell r="E48" t="str">
            <v>ÓLEO DIESEL</v>
          </cell>
          <cell r="F48" t="str">
            <v>138,81</v>
          </cell>
          <cell r="G48" t="str">
            <v>57,92</v>
          </cell>
        </row>
        <row r="49">
          <cell r="A49">
            <v>30044</v>
          </cell>
          <cell r="B49" t="str">
            <v>Escavadeira EC 240 VOLVO ou equivalente</v>
          </cell>
          <cell r="C49" t="str">
            <v>m</v>
          </cell>
          <cell r="D49">
            <v>168</v>
          </cell>
          <cell r="E49" t="str">
            <v>ÓLEO DIESEL</v>
          </cell>
          <cell r="F49" t="str">
            <v>174,86</v>
          </cell>
          <cell r="G49" t="str">
            <v>53,09</v>
          </cell>
        </row>
        <row r="50">
          <cell r="A50">
            <v>30025</v>
          </cell>
          <cell r="B50" t="str">
            <v>Escavadeira hidráulica sobre esteiras mod. C X 220 (22t), Case ou equivalente</v>
          </cell>
          <cell r="C50">
            <v>0</v>
          </cell>
          <cell r="D50">
            <v>106</v>
          </cell>
          <cell r="E50" t="str">
            <v>ÓLEO DIESEL</v>
          </cell>
          <cell r="F50" t="str">
            <v>154,40</v>
          </cell>
          <cell r="G50" t="str">
            <v>66,08</v>
          </cell>
        </row>
        <row r="51">
          <cell r="A51">
            <v>30098</v>
          </cell>
          <cell r="B51" t="str">
            <v>Esmerilhadeira Angular 7" marca de referência BOSCH - 1755 ou equivalente</v>
          </cell>
          <cell r="C51">
            <v>0</v>
          </cell>
          <cell r="D51">
            <v>2</v>
          </cell>
          <cell r="E51" t="str">
            <v>ENERGIA</v>
          </cell>
          <cell r="F51" t="str">
            <v>17,91</v>
          </cell>
          <cell r="G51" t="str">
            <v>16,56</v>
          </cell>
        </row>
        <row r="52">
          <cell r="A52">
            <v>30042</v>
          </cell>
          <cell r="B52" t="str">
            <v>Fresadora de pav. asfalt. W 1000 ou equivalente</v>
          </cell>
          <cell r="C52">
            <v>0</v>
          </cell>
          <cell r="D52">
            <v>105</v>
          </cell>
          <cell r="E52" t="str">
            <v>ÓLEO DIESEL</v>
          </cell>
          <cell r="F52" t="str">
            <v>411,50</v>
          </cell>
          <cell r="G52" t="str">
            <v>185,97</v>
          </cell>
        </row>
        <row r="53">
          <cell r="A53">
            <v>30096</v>
          </cell>
          <cell r="B53" t="str">
            <v>Furadeira elétrica de bancada</v>
          </cell>
          <cell r="C53">
            <v>0</v>
          </cell>
          <cell r="D53">
            <v>1</v>
          </cell>
          <cell r="E53" t="str">
            <v>ENERGIA</v>
          </cell>
          <cell r="F53" t="str">
            <v>0,69</v>
          </cell>
          <cell r="G53" t="str">
            <v>0,03</v>
          </cell>
        </row>
        <row r="54">
          <cell r="A54">
            <v>30094</v>
          </cell>
          <cell r="B54" t="str">
            <v>Furadeira elétrica de impacto BOSCH 1184 ou equivalente</v>
          </cell>
          <cell r="C54">
            <v>0</v>
          </cell>
          <cell r="D54">
            <v>1</v>
          </cell>
          <cell r="E54" t="str">
            <v>ENERGIA</v>
          </cell>
          <cell r="F54" t="str">
            <v>13,77</v>
          </cell>
          <cell r="G54" t="str">
            <v>13,10</v>
          </cell>
        </row>
        <row r="55">
          <cell r="A55">
            <v>30054</v>
          </cell>
          <cell r="B55" t="str">
            <v>Grade de disco GA-24x24 (TATU) ou equivalente</v>
          </cell>
          <cell r="C55">
            <v>0</v>
          </cell>
          <cell r="D55">
            <v>0</v>
          </cell>
          <cell r="E55" t="str">
            <v>ÓLEO DIESEL</v>
          </cell>
          <cell r="F55" t="str">
            <v>13,17</v>
          </cell>
          <cell r="G55" t="str">
            <v>11,78</v>
          </cell>
        </row>
        <row r="56">
          <cell r="A56">
            <v>30129</v>
          </cell>
          <cell r="B56" t="str">
            <v>Grupo Gerador - 25,0 / 18,0 kVA (20kW) ou equivalente</v>
          </cell>
          <cell r="C56" t="str">
            <v>m</v>
          </cell>
          <cell r="D56">
            <v>20</v>
          </cell>
          <cell r="E56" t="str">
            <v>ÓLEO DIESEL</v>
          </cell>
          <cell r="F56" t="str">
            <v>30,51</v>
          </cell>
          <cell r="G56" t="str">
            <v>17,16</v>
          </cell>
        </row>
        <row r="57">
          <cell r="A57">
            <v>30069</v>
          </cell>
          <cell r="B57" t="str">
            <v>Grupo gerador GEHM 200/187 kva (HEIMER) ou equivalente</v>
          </cell>
          <cell r="C57" t="str">
            <v>m</v>
          </cell>
          <cell r="D57">
            <v>200</v>
          </cell>
          <cell r="E57" t="str">
            <v>ÓLEO DIESEL</v>
          </cell>
          <cell r="F57" t="str">
            <v>129,95</v>
          </cell>
          <cell r="G57" t="str">
            <v>15,85</v>
          </cell>
        </row>
        <row r="58">
          <cell r="A58">
            <v>30144</v>
          </cell>
          <cell r="B58" t="str">
            <v>Grupo Gerador Stemac ou equivalente, montado em contêiner , 500 KVa</v>
          </cell>
          <cell r="C58">
            <v>0</v>
          </cell>
          <cell r="D58">
            <v>500</v>
          </cell>
          <cell r="E58" t="str">
            <v>ÓLEO DIESEL</v>
          </cell>
          <cell r="F58" t="str">
            <v>260,80</v>
          </cell>
          <cell r="G58" t="str">
            <v>24,06</v>
          </cell>
        </row>
        <row r="59">
          <cell r="A59">
            <v>30068</v>
          </cell>
          <cell r="B59" t="str">
            <v>Grupo gerador 114/109 kva (STEMAC) ou equivalente</v>
          </cell>
          <cell r="C59" t="str">
            <v>m</v>
          </cell>
          <cell r="D59">
            <v>114</v>
          </cell>
          <cell r="E59" t="str">
            <v>ÓLEO DIESEL</v>
          </cell>
          <cell r="F59" t="str">
            <v>80,79</v>
          </cell>
          <cell r="G59" t="str">
            <v>14,93</v>
          </cell>
        </row>
        <row r="60">
          <cell r="A60">
            <v>30093</v>
          </cell>
          <cell r="B60" t="str">
            <v>Grupo gerador 2,5 a 3,0 kva a gasolina</v>
          </cell>
          <cell r="C60">
            <v>0</v>
          </cell>
          <cell r="D60">
            <v>3</v>
          </cell>
          <cell r="E60" t="str">
            <v>GASOLINA</v>
          </cell>
          <cell r="F60" t="str">
            <v>11,94</v>
          </cell>
          <cell r="G60" t="str">
            <v>8,89</v>
          </cell>
        </row>
        <row r="61">
          <cell r="A61">
            <v>30067</v>
          </cell>
          <cell r="B61" t="str">
            <v>Grupo gerador 40/35 kva (STEMAC) ou equivalente</v>
          </cell>
          <cell r="C61" t="str">
            <v>m</v>
          </cell>
          <cell r="D61">
            <v>40</v>
          </cell>
          <cell r="E61" t="str">
            <v>ÓLEO DIESEL</v>
          </cell>
          <cell r="F61" t="str">
            <v>37,16</v>
          </cell>
          <cell r="G61" t="str">
            <v>13,01</v>
          </cell>
        </row>
        <row r="62">
          <cell r="A62">
            <v>30097</v>
          </cell>
          <cell r="B62" t="str">
            <v>Guilhotina para corte em chapa de aço até 2mm</v>
          </cell>
          <cell r="C62">
            <v>0</v>
          </cell>
          <cell r="D62">
            <v>3</v>
          </cell>
          <cell r="E62" t="str">
            <v>ENERGIA</v>
          </cell>
          <cell r="F62" t="str">
            <v>24,98</v>
          </cell>
          <cell r="G62" t="str">
            <v>20,54</v>
          </cell>
        </row>
        <row r="63">
          <cell r="A63">
            <v>30028</v>
          </cell>
          <cell r="B63" t="str">
            <v>Guindaste de esteira para 40.0t (KOEHRING BANTAM) ou equivalente</v>
          </cell>
          <cell r="C63" t="str">
            <v>m</v>
          </cell>
          <cell r="D63">
            <v>151</v>
          </cell>
          <cell r="E63" t="str">
            <v>ÓLEO DIESEL</v>
          </cell>
          <cell r="F63" t="str">
            <v>350,27</v>
          </cell>
          <cell r="G63" t="str">
            <v>180,27</v>
          </cell>
        </row>
        <row r="64">
          <cell r="A64">
            <v>30111</v>
          </cell>
          <cell r="B64" t="str">
            <v>Guindaste 97 T (PBT) sobre esteira com lança de 15m</v>
          </cell>
          <cell r="C64" t="str">
            <v>m</v>
          </cell>
          <cell r="D64">
            <v>560</v>
          </cell>
          <cell r="E64" t="str">
            <v>ÓLEO DIESEL</v>
          </cell>
          <cell r="F64" t="str">
            <v>431,52</v>
          </cell>
          <cell r="G64" t="str">
            <v>110,04</v>
          </cell>
        </row>
        <row r="65">
          <cell r="A65">
            <v>30130</v>
          </cell>
          <cell r="B65" t="str">
            <v>Guindauto 6t, Madal-Palfinger ou equivalente</v>
          </cell>
          <cell r="C65" t="str">
            <v>m</v>
          </cell>
          <cell r="D65">
            <v>0</v>
          </cell>
          <cell r="E65" t="str">
            <v>ÓLEO DIESEL</v>
          </cell>
          <cell r="F65" t="str">
            <v>16,56</v>
          </cell>
          <cell r="G65" t="str">
            <v>15,57</v>
          </cell>
        </row>
        <row r="66">
          <cell r="A66">
            <v>30115</v>
          </cell>
          <cell r="B66" t="str">
            <v>Macaco Freyssinet modelo K101 ou similar, 7 cordoalhas de 1/2" ou equivalente</v>
          </cell>
          <cell r="C66" t="str">
            <v>m</v>
          </cell>
          <cell r="D66">
            <v>30</v>
          </cell>
          <cell r="E66" t="str">
            <v>ÓLEO DIESEL</v>
          </cell>
          <cell r="F66" t="str">
            <v>37,37</v>
          </cell>
          <cell r="G66" t="str">
            <v>15,58</v>
          </cell>
        </row>
        <row r="67">
          <cell r="A67">
            <v>30089</v>
          </cell>
          <cell r="B67" t="str">
            <v>Macaco hidraúlico p/ protensao (12 cordoalhas)</v>
          </cell>
          <cell r="C67">
            <v>0</v>
          </cell>
          <cell r="D67">
            <v>5</v>
          </cell>
          <cell r="E67" t="str">
            <v>ÓLEO DIESEL</v>
          </cell>
          <cell r="F67" t="str">
            <v>51,89</v>
          </cell>
          <cell r="G67" t="str">
            <v>42,71</v>
          </cell>
        </row>
        <row r="68">
          <cell r="A68">
            <v>30119</v>
          </cell>
          <cell r="B68" t="str">
            <v>Macaco Hidráulico 50t com acionamento à distância</v>
          </cell>
          <cell r="C68" t="str">
            <v>m</v>
          </cell>
          <cell r="D68">
            <v>0</v>
          </cell>
          <cell r="E68" t="str">
            <v>ÓLEO DIESEL</v>
          </cell>
          <cell r="F68" t="str">
            <v>13,57</v>
          </cell>
          <cell r="G68" t="str">
            <v>13,47</v>
          </cell>
        </row>
        <row r="69">
          <cell r="A69">
            <v>30074</v>
          </cell>
          <cell r="B69" t="str">
            <v>Máquina de cortar ferro</v>
          </cell>
          <cell r="C69">
            <v>0</v>
          </cell>
          <cell r="D69">
            <v>4</v>
          </cell>
          <cell r="E69" t="str">
            <v>ENERGIA</v>
          </cell>
          <cell r="F69" t="str">
            <v>14,81</v>
          </cell>
          <cell r="G69" t="str">
            <v>12,17</v>
          </cell>
        </row>
        <row r="70">
          <cell r="A70">
            <v>30147</v>
          </cell>
          <cell r="B70" t="str">
            <v>Máquina de hidrojateamento</v>
          </cell>
          <cell r="C70">
            <v>0</v>
          </cell>
          <cell r="D70">
            <v>40</v>
          </cell>
          <cell r="E70" t="str">
            <v>ENERGIA</v>
          </cell>
          <cell r="F70" t="str">
            <v>45,34</v>
          </cell>
          <cell r="G70" t="str">
            <v>12,01</v>
          </cell>
        </row>
        <row r="71">
          <cell r="A71">
            <v>30091</v>
          </cell>
          <cell r="B71" t="str">
            <v>Máquina de jateamento de areia</v>
          </cell>
          <cell r="C71">
            <v>0</v>
          </cell>
          <cell r="D71">
            <v>0</v>
          </cell>
          <cell r="E71" t="str">
            <v>ÓLEO DIESEL</v>
          </cell>
          <cell r="F71" t="str">
            <v>10,68</v>
          </cell>
          <cell r="G71" t="str">
            <v>9,73</v>
          </cell>
        </row>
        <row r="72">
          <cell r="A72">
            <v>30082</v>
          </cell>
          <cell r="B72" t="str">
            <v>Máquina de solda 425 A, pot=33A</v>
          </cell>
          <cell r="C72">
            <v>0</v>
          </cell>
          <cell r="D72">
            <v>33</v>
          </cell>
          <cell r="E72" t="str">
            <v>ENERGIA</v>
          </cell>
          <cell r="F72" t="str">
            <v>38,71</v>
          </cell>
          <cell r="G72" t="str">
            <v>16,93</v>
          </cell>
        </row>
        <row r="73">
          <cell r="A73">
            <v>30090</v>
          </cell>
          <cell r="B73" t="str">
            <v>Máquina injetora de nata de cimento</v>
          </cell>
          <cell r="C73">
            <v>0</v>
          </cell>
          <cell r="D73">
            <v>3</v>
          </cell>
          <cell r="E73" t="str">
            <v>ENERGIA</v>
          </cell>
          <cell r="F73" t="str">
            <v>17,11</v>
          </cell>
          <cell r="G73" t="str">
            <v>12,25</v>
          </cell>
        </row>
        <row r="74">
          <cell r="A74">
            <v>30146</v>
          </cell>
          <cell r="B74" t="str">
            <v>Máquina para fio diamantado, Guidoni, modelo TSY, 15 cv/11kw, ou equivalente</v>
          </cell>
          <cell r="C74">
            <v>0</v>
          </cell>
          <cell r="D74">
            <v>15</v>
          </cell>
          <cell r="E74" t="str">
            <v>ENERGIA</v>
          </cell>
          <cell r="F74" t="str">
            <v>70,39</v>
          </cell>
          <cell r="G74" t="str">
            <v>6,11</v>
          </cell>
        </row>
        <row r="75">
          <cell r="A75">
            <v>30061</v>
          </cell>
          <cell r="B75" t="str">
            <v>Martelete man. e mec. RH 658 110 pcm/24kg (ATLAS) ou equivalente</v>
          </cell>
          <cell r="C75">
            <v>0</v>
          </cell>
          <cell r="D75">
            <v>0</v>
          </cell>
          <cell r="E75" t="str">
            <v>ÓLEO DIESEL</v>
          </cell>
          <cell r="F75" t="str">
            <v>12,36</v>
          </cell>
          <cell r="G75" t="str">
            <v>11,60</v>
          </cell>
        </row>
        <row r="76">
          <cell r="A76">
            <v>30021</v>
          </cell>
          <cell r="B76" t="str">
            <v>Moto Escavo carregador ref. Caterpillar modelo 621G ou equivalente</v>
          </cell>
          <cell r="C76">
            <v>0</v>
          </cell>
          <cell r="D76">
            <v>335</v>
          </cell>
          <cell r="E76" t="str">
            <v>ÓLEO DIESEL</v>
          </cell>
          <cell r="F76" t="str">
            <v>730,21</v>
          </cell>
          <cell r="G76" t="str">
            <v>300,24</v>
          </cell>
        </row>
        <row r="77">
          <cell r="A77">
            <v>30085</v>
          </cell>
          <cell r="B77" t="str">
            <v>Moto serra 15" (gas.)</v>
          </cell>
          <cell r="C77" t="str">
            <v>m</v>
          </cell>
          <cell r="D77">
            <v>7</v>
          </cell>
          <cell r="E77" t="str">
            <v>GASOLINA</v>
          </cell>
          <cell r="F77" t="str">
            <v>17,36</v>
          </cell>
          <cell r="G77" t="str">
            <v>10,54</v>
          </cell>
        </row>
        <row r="78">
          <cell r="A78">
            <v>30022</v>
          </cell>
          <cell r="B78" t="str">
            <v>Motoniveladora Caterpillar modelo 120K ( cab + ar + ríper) ou equivalente</v>
          </cell>
          <cell r="C78" t="str">
            <v>m</v>
          </cell>
          <cell r="D78">
            <v>140</v>
          </cell>
          <cell r="E78" t="str">
            <v>ÓLEO DIESEL</v>
          </cell>
          <cell r="F78" t="str">
            <v>193,33</v>
          </cell>
          <cell r="G78" t="str">
            <v>69,72</v>
          </cell>
        </row>
        <row r="79">
          <cell r="A79">
            <v>30046</v>
          </cell>
          <cell r="B79" t="str">
            <v>Multi distribuidor de agregados referência MDR 9 Romanelli ou equivalente</v>
          </cell>
          <cell r="C79">
            <v>0</v>
          </cell>
          <cell r="D79">
            <v>268</v>
          </cell>
          <cell r="E79" t="str">
            <v>ÓLEO DIESEL</v>
          </cell>
          <cell r="F79" t="str">
            <v>197,88</v>
          </cell>
          <cell r="G79" t="str">
            <v>63,17</v>
          </cell>
        </row>
        <row r="80">
          <cell r="A80">
            <v>30110</v>
          </cell>
          <cell r="B80" t="str">
            <v>Perfilômetro</v>
          </cell>
          <cell r="C80">
            <v>0</v>
          </cell>
          <cell r="D80">
            <v>0</v>
          </cell>
          <cell r="E80" t="str">
            <v>ENERGIA</v>
          </cell>
          <cell r="F80" t="str">
            <v>4.710,28</v>
          </cell>
          <cell r="G80" t="str">
            <v>4.710,28</v>
          </cell>
        </row>
        <row r="81">
          <cell r="A81">
            <v>30132</v>
          </cell>
          <cell r="B81" t="str">
            <v>Perfilometro laser</v>
          </cell>
          <cell r="C81">
            <v>0</v>
          </cell>
          <cell r="D81">
            <v>0</v>
          </cell>
          <cell r="E81" t="str">
            <v>ENERGIA</v>
          </cell>
          <cell r="F81" t="str">
            <v>16,61</v>
          </cell>
          <cell r="G81" t="str">
            <v>11,23</v>
          </cell>
        </row>
        <row r="82">
          <cell r="A82">
            <v>30099</v>
          </cell>
          <cell r="B82" t="str">
            <v>Perfuratriz de 22,4 kg de peso para uso subterrâneo</v>
          </cell>
          <cell r="C82">
            <v>0</v>
          </cell>
          <cell r="D82">
            <v>10</v>
          </cell>
          <cell r="E82" t="str">
            <v>ÓLEO DIESEL</v>
          </cell>
          <cell r="F82" t="str">
            <v>7,07</v>
          </cell>
          <cell r="G82" t="str">
            <v>1,21</v>
          </cell>
        </row>
        <row r="83">
          <cell r="A83">
            <v>30133</v>
          </cell>
          <cell r="B83" t="str">
            <v>Perfuratriz Mach 16 montada em esteira auto propulsora, incl. conj. de haste ou equivalente</v>
          </cell>
          <cell r="C83" t="str">
            <v>m</v>
          </cell>
          <cell r="D83">
            <v>67</v>
          </cell>
          <cell r="E83" t="str">
            <v>ÓLEO DIESEL</v>
          </cell>
          <cell r="F83" t="str">
            <v>177,82</v>
          </cell>
          <cell r="G83" t="str">
            <v>83,83</v>
          </cell>
        </row>
        <row r="84">
          <cell r="A84">
            <v>30112</v>
          </cell>
          <cell r="B84" t="str">
            <v>Pinça 8t para utilização concomitante ao guindaste 97t</v>
          </cell>
          <cell r="C84" t="str">
            <v>m</v>
          </cell>
          <cell r="D84">
            <v>0</v>
          </cell>
          <cell r="E84" t="str">
            <v>ÓLEO DIESEL</v>
          </cell>
          <cell r="F84" t="str">
            <v>32,18</v>
          </cell>
          <cell r="G84" t="str">
            <v>29,37</v>
          </cell>
        </row>
        <row r="85">
          <cell r="A85">
            <v>30125</v>
          </cell>
          <cell r="B85" t="str">
            <v>Pulvimisturadora</v>
          </cell>
          <cell r="C85" t="str">
            <v>m</v>
          </cell>
          <cell r="D85">
            <v>150</v>
          </cell>
          <cell r="E85" t="str">
            <v>ÓLEO DIESEL</v>
          </cell>
          <cell r="F85" t="str">
            <v>105,03</v>
          </cell>
          <cell r="G85" t="str">
            <v>28,56</v>
          </cell>
        </row>
        <row r="86">
          <cell r="A86">
            <v>30045</v>
          </cell>
          <cell r="B86" t="str">
            <v>Recicladora ref. Caterpillar modelo RM500 ou equivalente</v>
          </cell>
          <cell r="C86">
            <v>0</v>
          </cell>
          <cell r="D86">
            <v>297</v>
          </cell>
          <cell r="E86" t="str">
            <v>ÓLEO DIESEL</v>
          </cell>
          <cell r="F86" t="str">
            <v>740,16</v>
          </cell>
          <cell r="G86" t="str">
            <v>323,30</v>
          </cell>
        </row>
        <row r="87">
          <cell r="A87">
            <v>30043</v>
          </cell>
          <cell r="B87" t="str">
            <v>Recicladora WIRTGEN WR 2500 ou equivalente</v>
          </cell>
          <cell r="C87">
            <v>0</v>
          </cell>
          <cell r="D87">
            <v>218</v>
          </cell>
          <cell r="E87" t="str">
            <v>ÓLEO DIESEL</v>
          </cell>
          <cell r="F87" t="str">
            <v>504,29</v>
          </cell>
          <cell r="G87" t="str">
            <v>222,43</v>
          </cell>
        </row>
        <row r="88">
          <cell r="A88">
            <v>30127</v>
          </cell>
          <cell r="B88" t="str">
            <v>Régua vibratória (auto-propelida) treliçada - 4,25m</v>
          </cell>
          <cell r="C88" t="str">
            <v>m</v>
          </cell>
          <cell r="D88">
            <v>1</v>
          </cell>
          <cell r="E88" t="str">
            <v>ENERGIA</v>
          </cell>
          <cell r="F88" t="str">
            <v>22,93</v>
          </cell>
          <cell r="G88" t="str">
            <v>22,06</v>
          </cell>
        </row>
        <row r="89">
          <cell r="A89">
            <v>30029</v>
          </cell>
          <cell r="B89" t="str">
            <v>Retroescavadeira MF 86 TM (MASSEY FERGUSSON) ou equivalente</v>
          </cell>
          <cell r="C89" t="str">
            <v>m</v>
          </cell>
          <cell r="D89">
            <v>76</v>
          </cell>
          <cell r="E89" t="str">
            <v>ÓLEO DIESEL</v>
          </cell>
          <cell r="F89" t="str">
            <v>78,99</v>
          </cell>
          <cell r="G89" t="str">
            <v>31,57</v>
          </cell>
        </row>
        <row r="90">
          <cell r="A90">
            <v>30055</v>
          </cell>
          <cell r="B90" t="str">
            <v>Roçadeira deslocavel adaptavel ao trator agrícola</v>
          </cell>
          <cell r="C90">
            <v>0</v>
          </cell>
          <cell r="D90">
            <v>0</v>
          </cell>
          <cell r="E90" t="str">
            <v>ÓLEO DIESEL</v>
          </cell>
          <cell r="F90" t="str">
            <v>10,23</v>
          </cell>
          <cell r="G90" t="str">
            <v>9,59</v>
          </cell>
        </row>
        <row r="91">
          <cell r="A91">
            <v>30142</v>
          </cell>
          <cell r="B91" t="str">
            <v>Roçadeira mecânica costal, Stihl - F 220 ou equivalente</v>
          </cell>
          <cell r="C91">
            <v>0</v>
          </cell>
          <cell r="D91">
            <v>5</v>
          </cell>
          <cell r="E91" t="str">
            <v>ÓLEO DIESEL</v>
          </cell>
          <cell r="F91" t="str">
            <v>2,62</v>
          </cell>
          <cell r="G91" t="str">
            <v>0,18</v>
          </cell>
        </row>
        <row r="92">
          <cell r="A92">
            <v>30032</v>
          </cell>
          <cell r="B92" t="str">
            <v>Rolo AP de pneus AP-26 (8,9t) (MULLER) ou equivalente</v>
          </cell>
          <cell r="C92" t="str">
            <v>m</v>
          </cell>
          <cell r="D92">
            <v>127</v>
          </cell>
          <cell r="E92" t="str">
            <v>ÓLEO DIESEL</v>
          </cell>
          <cell r="F92" t="str">
            <v>129,34</v>
          </cell>
          <cell r="G92" t="str">
            <v>45,39</v>
          </cell>
        </row>
        <row r="93">
          <cell r="A93">
            <v>30038</v>
          </cell>
          <cell r="B93" t="str">
            <v>Rolo AP liso de aço CA 2505 STD Dynapac ou equivalente</v>
          </cell>
          <cell r="C93" t="str">
            <v>m</v>
          </cell>
          <cell r="D93">
            <v>145</v>
          </cell>
          <cell r="E93" t="str">
            <v>ÓLEO DIESEL</v>
          </cell>
          <cell r="F93" t="str">
            <v>143,19</v>
          </cell>
          <cell r="G93" t="str">
            <v>48,73</v>
          </cell>
        </row>
        <row r="94">
          <cell r="A94">
            <v>30034</v>
          </cell>
          <cell r="B94" t="str">
            <v>Rolo AP liso de aço RT-82H (6,5t) (MULLER) ou equivalente</v>
          </cell>
          <cell r="C94">
            <v>0</v>
          </cell>
          <cell r="D94">
            <v>58</v>
          </cell>
          <cell r="E94" t="str">
            <v>ÓLEO DIESEL</v>
          </cell>
          <cell r="F94" t="str">
            <v>68,53</v>
          </cell>
          <cell r="G94" t="str">
            <v>29,89</v>
          </cell>
        </row>
        <row r="95">
          <cell r="A95">
            <v>30035</v>
          </cell>
          <cell r="B95" t="str">
            <v>Rolo AP liso de aço TH-10 (6,3t) (TEMA TERRA) ou equivalente</v>
          </cell>
          <cell r="C95">
            <v>0</v>
          </cell>
          <cell r="D95">
            <v>44</v>
          </cell>
          <cell r="E95" t="str">
            <v>ÓLEO DIESEL</v>
          </cell>
          <cell r="F95" t="str">
            <v>76,92</v>
          </cell>
          <cell r="G95" t="str">
            <v>39,80</v>
          </cell>
        </row>
        <row r="96">
          <cell r="A96">
            <v>30037</v>
          </cell>
          <cell r="B96" t="str">
            <v>Rolo AP vib. liso de aço CA-15 STD (DYNAPAC) ou equivalente</v>
          </cell>
          <cell r="C96" t="str">
            <v>m</v>
          </cell>
          <cell r="D96">
            <v>76</v>
          </cell>
          <cell r="E96" t="str">
            <v>ÓLEO DIESEL</v>
          </cell>
          <cell r="F96" t="str">
            <v>88,38</v>
          </cell>
          <cell r="G96" t="str">
            <v>35,95</v>
          </cell>
        </row>
        <row r="97">
          <cell r="A97">
            <v>30036</v>
          </cell>
          <cell r="B97" t="str">
            <v>Rolo AP vib. liso de aço VAP-70 L (MULLER) ou equivalente</v>
          </cell>
          <cell r="C97" t="str">
            <v>m</v>
          </cell>
          <cell r="D97">
            <v>127</v>
          </cell>
          <cell r="E97" t="str">
            <v>ÓLEO DIESEL</v>
          </cell>
          <cell r="F97" t="str">
            <v>130,92</v>
          </cell>
          <cell r="G97" t="str">
            <v>45,02</v>
          </cell>
        </row>
        <row r="98">
          <cell r="A98">
            <v>30040</v>
          </cell>
          <cell r="B98" t="str">
            <v>Rolo AP vib. patas 100 mm CA-25P (DYNAPAC) ou equivalente</v>
          </cell>
          <cell r="C98" t="str">
            <v>m</v>
          </cell>
          <cell r="D98">
            <v>145</v>
          </cell>
          <cell r="E98" t="str">
            <v>ÓLEO DIESEL</v>
          </cell>
          <cell r="F98" t="str">
            <v>146,14</v>
          </cell>
          <cell r="G98" t="str">
            <v>49,76</v>
          </cell>
        </row>
        <row r="99">
          <cell r="A99">
            <v>30039</v>
          </cell>
          <cell r="B99" t="str">
            <v>Rolo AP vib. patas 128 mm CA-15P (DYNAPAC) ou equivalente</v>
          </cell>
          <cell r="C99" t="str">
            <v>m</v>
          </cell>
          <cell r="D99">
            <v>76</v>
          </cell>
          <cell r="E99" t="str">
            <v>ÓLEO DIESEL</v>
          </cell>
          <cell r="F99" t="str">
            <v>93,49</v>
          </cell>
          <cell r="G99" t="str">
            <v>39,40</v>
          </cell>
        </row>
        <row r="100">
          <cell r="A100">
            <v>30033</v>
          </cell>
          <cell r="B100" t="str">
            <v>Rolo compactador de pneus CP 224, Dynapac ou equivalente</v>
          </cell>
          <cell r="C100">
            <v>0</v>
          </cell>
          <cell r="D100">
            <v>145</v>
          </cell>
          <cell r="E100" t="str">
            <v>ÓLEO DIESEL</v>
          </cell>
          <cell r="F100" t="str">
            <v>140,48</v>
          </cell>
          <cell r="G100" t="str">
            <v>46,66</v>
          </cell>
        </row>
        <row r="101">
          <cell r="A101">
            <v>30095</v>
          </cell>
          <cell r="B101" t="str">
            <v>Serra circular manual</v>
          </cell>
          <cell r="C101">
            <v>0</v>
          </cell>
          <cell r="D101">
            <v>4</v>
          </cell>
          <cell r="E101" t="str">
            <v>ENERGIA</v>
          </cell>
          <cell r="F101" t="str">
            <v>2,66</v>
          </cell>
          <cell r="G101" t="str">
            <v>0,04</v>
          </cell>
        </row>
        <row r="102">
          <cell r="A102">
            <v>30073</v>
          </cell>
          <cell r="B102" t="str">
            <v>Serra circular (WEG) ou equivalente</v>
          </cell>
          <cell r="C102" t="str">
            <v>m</v>
          </cell>
          <cell r="D102">
            <v>5</v>
          </cell>
          <cell r="E102" t="str">
            <v>ENERGIA</v>
          </cell>
          <cell r="F102" t="str">
            <v>14,04</v>
          </cell>
          <cell r="G102" t="str">
            <v>10,68</v>
          </cell>
        </row>
        <row r="103">
          <cell r="A103">
            <v>30128</v>
          </cell>
          <cell r="B103" t="str">
            <v>Serra de juntas para concreto, Clipper, mod. C-844 ou equivalente</v>
          </cell>
          <cell r="C103" t="str">
            <v>m</v>
          </cell>
          <cell r="D103">
            <v>6</v>
          </cell>
          <cell r="E103" t="str">
            <v>ENERGIA</v>
          </cell>
          <cell r="F103" t="str">
            <v>18,11</v>
          </cell>
          <cell r="G103" t="str">
            <v>13,40</v>
          </cell>
        </row>
        <row r="104">
          <cell r="A104">
            <v>30114</v>
          </cell>
          <cell r="B104" t="str">
            <v>Sonda rotativa Mach 850, com motor a diesel de 30HP, Maquesonda ou equivalente</v>
          </cell>
          <cell r="C104" t="str">
            <v>m</v>
          </cell>
          <cell r="D104">
            <v>30</v>
          </cell>
          <cell r="E104" t="str">
            <v>ÓLEO DIESEL</v>
          </cell>
          <cell r="F104" t="str">
            <v>48,29</v>
          </cell>
          <cell r="G104" t="str">
            <v>28,17</v>
          </cell>
        </row>
        <row r="105">
          <cell r="A105">
            <v>30086</v>
          </cell>
          <cell r="B105" t="str">
            <v>Sonda rotativa tipo Mach 700 ou equivalente</v>
          </cell>
          <cell r="C105">
            <v>0</v>
          </cell>
          <cell r="D105">
            <v>48</v>
          </cell>
          <cell r="E105" t="str">
            <v>ÓLEO DIESEL</v>
          </cell>
          <cell r="F105" t="str">
            <v>70,18</v>
          </cell>
          <cell r="G105" t="str">
            <v>34,25</v>
          </cell>
        </row>
        <row r="106">
          <cell r="A106">
            <v>30138</v>
          </cell>
          <cell r="B106" t="str">
            <v>Talha de 4 toneladas, elétrica ref. Tirfor ou equivalente,</v>
          </cell>
          <cell r="C106" t="str">
            <v>m</v>
          </cell>
          <cell r="D106">
            <v>5</v>
          </cell>
          <cell r="E106" t="str">
            <v>ENERGIA</v>
          </cell>
          <cell r="F106" t="str">
            <v>4,62</v>
          </cell>
          <cell r="G106" t="str">
            <v>0,50</v>
          </cell>
        </row>
        <row r="107">
          <cell r="A107">
            <v>30084</v>
          </cell>
          <cell r="B107" t="str">
            <v>Tanque estacionário 20.000 L</v>
          </cell>
          <cell r="C107">
            <v>0</v>
          </cell>
          <cell r="D107">
            <v>0</v>
          </cell>
          <cell r="E107" t="str">
            <v>ENERGIA</v>
          </cell>
          <cell r="F107" t="str">
            <v>5,09</v>
          </cell>
          <cell r="G107" t="str">
            <v>3,64</v>
          </cell>
        </row>
        <row r="108">
          <cell r="A108">
            <v>30136</v>
          </cell>
          <cell r="B108" t="str">
            <v>Tanque estacionário 30.000 L</v>
          </cell>
          <cell r="C108">
            <v>0</v>
          </cell>
          <cell r="D108">
            <v>0</v>
          </cell>
          <cell r="E108" t="str">
            <v>ENERGIA</v>
          </cell>
          <cell r="F108" t="str">
            <v>5,70</v>
          </cell>
          <cell r="G108" t="str">
            <v>4,08</v>
          </cell>
        </row>
        <row r="109">
          <cell r="A109">
            <v>30058</v>
          </cell>
          <cell r="B109" t="str">
            <v>Tanque pré-aquecedor 20.000 L (s/ óleo)</v>
          </cell>
          <cell r="C109">
            <v>0</v>
          </cell>
          <cell r="D109">
            <v>0</v>
          </cell>
          <cell r="E109" t="str">
            <v>ÓLEO DIESEL</v>
          </cell>
          <cell r="F109" t="str">
            <v>13,77</v>
          </cell>
          <cell r="G109" t="str">
            <v>9,84</v>
          </cell>
        </row>
        <row r="110">
          <cell r="A110">
            <v>30135</v>
          </cell>
          <cell r="B110" t="str">
            <v>Tanque pre-aquecedor 30.000L (s/óleo)</v>
          </cell>
          <cell r="C110">
            <v>0</v>
          </cell>
          <cell r="D110">
            <v>0</v>
          </cell>
          <cell r="E110" t="str">
            <v>ÓLEO DIESEL</v>
          </cell>
          <cell r="F110" t="str">
            <v>19,71</v>
          </cell>
          <cell r="G110" t="str">
            <v>14,09</v>
          </cell>
        </row>
        <row r="111">
          <cell r="A111">
            <v>30030</v>
          </cell>
          <cell r="B111" t="str">
            <v>Trator agrícola MF 297/4 -4 X 4 (MASSEY FERGUSSON) ou equivalente</v>
          </cell>
          <cell r="C111" t="str">
            <v>m</v>
          </cell>
          <cell r="D111">
            <v>110</v>
          </cell>
          <cell r="E111" t="str">
            <v>ÓLEO DIESEL</v>
          </cell>
          <cell r="F111" t="str">
            <v>94,12</v>
          </cell>
          <cell r="G111" t="str">
            <v>28,57</v>
          </cell>
        </row>
        <row r="112">
          <cell r="A112">
            <v>30031</v>
          </cell>
          <cell r="B112" t="str">
            <v>Trator agrícola mod. BH-145, Valtra ou equivalente</v>
          </cell>
          <cell r="C112">
            <v>0</v>
          </cell>
          <cell r="D112">
            <v>126</v>
          </cell>
          <cell r="E112" t="str">
            <v>ÓLEO DIESEL</v>
          </cell>
          <cell r="F112" t="str">
            <v>99,72</v>
          </cell>
          <cell r="G112" t="str">
            <v>27,08</v>
          </cell>
        </row>
        <row r="113">
          <cell r="A113">
            <v>30020</v>
          </cell>
          <cell r="B113" t="str">
            <v>Trator de esteiras c/ placa emp. D-8R (CAT) ou equivalente</v>
          </cell>
          <cell r="C113" t="str">
            <v>p</v>
          </cell>
          <cell r="D113">
            <v>300</v>
          </cell>
          <cell r="E113" t="str">
            <v>ÓLEO DIESEL</v>
          </cell>
          <cell r="F113" t="str">
            <v>502,84</v>
          </cell>
          <cell r="G113" t="str">
            <v>182,76</v>
          </cell>
        </row>
        <row r="114">
          <cell r="A114">
            <v>30015</v>
          </cell>
          <cell r="B114" t="str">
            <v>Trator de esteiras ref. Caterpillar cm lâmina modelo D5K ou equivalente</v>
          </cell>
          <cell r="C114" t="str">
            <v>m</v>
          </cell>
          <cell r="D114">
            <v>105</v>
          </cell>
          <cell r="E114" t="str">
            <v>ÓLEO DIESEL</v>
          </cell>
          <cell r="F114" t="str">
            <v>225,62</v>
          </cell>
          <cell r="G114" t="str">
            <v>99,70</v>
          </cell>
        </row>
        <row r="115">
          <cell r="A115">
            <v>30016</v>
          </cell>
          <cell r="B115" t="str">
            <v>Trator de esteiras ref. Caterpillar cm lâmina modelo D6N ou equivalente</v>
          </cell>
          <cell r="C115" t="str">
            <v>m</v>
          </cell>
          <cell r="D115">
            <v>155</v>
          </cell>
          <cell r="E115" t="str">
            <v>ÓLEO DIESEL</v>
          </cell>
          <cell r="F115" t="str">
            <v>259,39</v>
          </cell>
          <cell r="G115" t="str">
            <v>101,66</v>
          </cell>
        </row>
        <row r="116">
          <cell r="A116">
            <v>30017</v>
          </cell>
          <cell r="B116" t="str">
            <v>Trator de esteiras ref. Caterpillar cm lâmina modelo D6T ou equivalente</v>
          </cell>
          <cell r="C116" t="str">
            <v>m</v>
          </cell>
          <cell r="D116">
            <v>140</v>
          </cell>
          <cell r="E116" t="str">
            <v>ÓLEO DIESEL</v>
          </cell>
          <cell r="F116" t="str">
            <v>262,41</v>
          </cell>
          <cell r="G116" t="str">
            <v>109,76</v>
          </cell>
        </row>
        <row r="117">
          <cell r="A117">
            <v>30018</v>
          </cell>
          <cell r="B117" t="str">
            <v>Trator de esteiras ref. Caterpillar com lâmina modelo D8T, sem ríper ou equivalente</v>
          </cell>
          <cell r="C117" t="str">
            <v>p</v>
          </cell>
          <cell r="D117">
            <v>300</v>
          </cell>
          <cell r="E117" t="str">
            <v>ÓLEO DIESEL</v>
          </cell>
          <cell r="F117" t="str">
            <v>505,96</v>
          </cell>
          <cell r="G117" t="str">
            <v>184,44</v>
          </cell>
        </row>
        <row r="118">
          <cell r="A118">
            <v>30019</v>
          </cell>
          <cell r="B118" t="str">
            <v>Trator de esteiras ref. Caterpillar com lâmina e ripper modelo D8T ou equivalente</v>
          </cell>
          <cell r="C118" t="str">
            <v>p</v>
          </cell>
          <cell r="D118">
            <v>300</v>
          </cell>
          <cell r="E118" t="str">
            <v>ÓLEO DIESEL</v>
          </cell>
          <cell r="F118" t="str">
            <v>527,78</v>
          </cell>
          <cell r="G118" t="str">
            <v>196,17</v>
          </cell>
        </row>
        <row r="119">
          <cell r="A119">
            <v>30063</v>
          </cell>
          <cell r="B119" t="str">
            <v>Usina de asfalto UA-2 60/80 t/h - CBUQ (CIBER) ou equivalente</v>
          </cell>
          <cell r="C119">
            <v>0</v>
          </cell>
          <cell r="D119">
            <v>195</v>
          </cell>
          <cell r="E119" t="str">
            <v>ENERGIA</v>
          </cell>
          <cell r="F119" t="str">
            <v>474,43</v>
          </cell>
          <cell r="G119" t="str">
            <v>282,06</v>
          </cell>
        </row>
        <row r="120">
          <cell r="A120">
            <v>30065</v>
          </cell>
          <cell r="B120" t="str">
            <v>Usina de asfalto 33-E 40/60 t/h - PMF (ALMEIDA) ou equivalente</v>
          </cell>
          <cell r="C120" t="str">
            <v>m</v>
          </cell>
          <cell r="D120">
            <v>15</v>
          </cell>
          <cell r="E120" t="str">
            <v>ÓLEO DIESEL</v>
          </cell>
          <cell r="F120" t="str">
            <v>107,00</v>
          </cell>
          <cell r="G120" t="str">
            <v>93,94</v>
          </cell>
        </row>
        <row r="121">
          <cell r="A121">
            <v>30066</v>
          </cell>
          <cell r="B121" t="str">
            <v>Usina de solos USC-2 dos. triplo 100/200t (CIBER) ou equivalente</v>
          </cell>
          <cell r="C121" t="str">
            <v>m</v>
          </cell>
          <cell r="D121">
            <v>110</v>
          </cell>
          <cell r="E121" t="str">
            <v>ÓLEO DIESEL</v>
          </cell>
          <cell r="F121" t="str">
            <v>228,17</v>
          </cell>
          <cell r="G121" t="str">
            <v>140,96</v>
          </cell>
        </row>
        <row r="122">
          <cell r="A122">
            <v>30051</v>
          </cell>
          <cell r="B122" t="str">
            <v>Vassoura mecânica VM-2440 (CMV) ou equivalente</v>
          </cell>
          <cell r="C122" t="str">
            <v>m</v>
          </cell>
          <cell r="D122">
            <v>0</v>
          </cell>
          <cell r="E122" t="str">
            <v>ÓLEO DIESEL</v>
          </cell>
          <cell r="F122" t="str">
            <v>7,31</v>
          </cell>
          <cell r="G122" t="str">
            <v>4,58</v>
          </cell>
        </row>
        <row r="123">
          <cell r="A123">
            <v>30071</v>
          </cell>
          <cell r="B123" t="str">
            <v>Vibrador de imersao AA67 c/ mangote, marca de referência ATLAS COPCO ou equivalente</v>
          </cell>
          <cell r="C123">
            <v>0</v>
          </cell>
          <cell r="D123">
            <v>4</v>
          </cell>
          <cell r="E123" t="str">
            <v>ENERGIA</v>
          </cell>
          <cell r="F123" t="str">
            <v>12,33</v>
          </cell>
          <cell r="G123" t="str">
            <v>9,36</v>
          </cell>
        </row>
        <row r="124">
          <cell r="A124">
            <v>30139</v>
          </cell>
          <cell r="B124" t="str">
            <v>Viga Benkelman</v>
          </cell>
          <cell r="C124">
            <v>0</v>
          </cell>
          <cell r="D124">
            <v>0</v>
          </cell>
          <cell r="E124" t="str">
            <v>ÓLEO DIESEL</v>
          </cell>
          <cell r="F124" t="str">
            <v>22,08</v>
          </cell>
          <cell r="G124" t="str">
            <v>22,08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</sheetData>
      <sheetData sheetId="7">
        <row r="1">
          <cell r="A1" t="str">
            <v>199 - Tabela Referencial Junho 2015 com desoneração</v>
          </cell>
          <cell r="B1">
            <v>0</v>
          </cell>
          <cell r="C1">
            <v>0</v>
          </cell>
          <cell r="D1">
            <v>0</v>
          </cell>
          <cell r="E1" t="str">
            <v>Data Base: Junho/2015</v>
          </cell>
        </row>
        <row r="2">
          <cell r="A2" t="str">
            <v>Salário Base: R$ 810,78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Mão de Obra</v>
          </cell>
          <cell r="C3" t="str">
            <v>Qt Salário</v>
          </cell>
          <cell r="D3" t="str">
            <v>Valor s/enc</v>
          </cell>
          <cell r="E3" t="str">
            <v>Valor c/enc</v>
          </cell>
          <cell r="F3" t="str">
            <v>% encargos</v>
          </cell>
        </row>
        <row r="4">
          <cell r="A4" t="str">
            <v>Família : 2 - ENCARGOS SOCIAIS E COMPLEMENTARES</v>
          </cell>
        </row>
        <row r="5">
          <cell r="A5">
            <v>20039</v>
          </cell>
          <cell r="B5" t="str">
            <v>Ajudante de carpinteiro</v>
          </cell>
          <cell r="C5" t="str">
            <v>1,01</v>
          </cell>
          <cell r="D5" t="str">
            <v>3,72</v>
          </cell>
          <cell r="E5" t="str">
            <v>8,49</v>
          </cell>
          <cell r="F5">
            <v>1.2833000000000001</v>
          </cell>
        </row>
        <row r="6">
          <cell r="A6">
            <v>20050</v>
          </cell>
          <cell r="B6" t="str">
            <v>Ajudante de carpinteiro de O.A.C.</v>
          </cell>
          <cell r="C6" t="str">
            <v>1,01</v>
          </cell>
          <cell r="D6" t="str">
            <v>3,72</v>
          </cell>
          <cell r="E6" t="str">
            <v>8,49</v>
          </cell>
          <cell r="F6">
            <v>1.2833000000000001</v>
          </cell>
        </row>
        <row r="7">
          <cell r="A7">
            <v>20151</v>
          </cell>
          <cell r="B7" t="str">
            <v>Ajudante de eletricista</v>
          </cell>
          <cell r="C7" t="str">
            <v>1,01</v>
          </cell>
          <cell r="D7" t="str">
            <v>3,72</v>
          </cell>
          <cell r="E7" t="str">
            <v>8,49</v>
          </cell>
          <cell r="F7">
            <v>1.2833000000000001</v>
          </cell>
        </row>
        <row r="8">
          <cell r="A8">
            <v>20061</v>
          </cell>
          <cell r="B8" t="str">
            <v>Ajudante de máquina</v>
          </cell>
          <cell r="C8" t="str">
            <v>1,01</v>
          </cell>
          <cell r="D8" t="str">
            <v>3,72</v>
          </cell>
          <cell r="E8" t="str">
            <v>8,49</v>
          </cell>
          <cell r="F8">
            <v>1.2833000000000001</v>
          </cell>
        </row>
        <row r="9">
          <cell r="A9">
            <v>20072</v>
          </cell>
          <cell r="B9" t="str">
            <v>Ajudante de pedreiro O.A.C.</v>
          </cell>
          <cell r="C9" t="str">
            <v>1,01</v>
          </cell>
          <cell r="D9" t="str">
            <v>3,72</v>
          </cell>
          <cell r="E9" t="str">
            <v>8,49</v>
          </cell>
          <cell r="F9">
            <v>1.2833000000000001</v>
          </cell>
        </row>
        <row r="10">
          <cell r="A10">
            <v>20083</v>
          </cell>
          <cell r="B10" t="str">
            <v>Ajudante de pedreiro O.A.E.</v>
          </cell>
          <cell r="C10" t="str">
            <v>1,01</v>
          </cell>
          <cell r="D10" t="str">
            <v>3,72</v>
          </cell>
          <cell r="E10" t="str">
            <v>8,49</v>
          </cell>
          <cell r="F10">
            <v>1.2833000000000001</v>
          </cell>
        </row>
        <row r="11">
          <cell r="A11">
            <v>20094</v>
          </cell>
          <cell r="B11" t="str">
            <v>Almoxarife</v>
          </cell>
          <cell r="C11" t="str">
            <v>1,65</v>
          </cell>
          <cell r="D11" t="str">
            <v>6,08</v>
          </cell>
          <cell r="E11" t="str">
            <v>13,88</v>
          </cell>
          <cell r="F11">
            <v>1.2833000000000001</v>
          </cell>
        </row>
        <row r="12">
          <cell r="A12">
            <v>20012</v>
          </cell>
          <cell r="B12" t="str">
            <v>Apontador</v>
          </cell>
          <cell r="C12" t="str">
            <v>1,65</v>
          </cell>
          <cell r="D12" t="str">
            <v>6,08</v>
          </cell>
          <cell r="E12" t="str">
            <v>13,88</v>
          </cell>
          <cell r="F12">
            <v>1.2833000000000001</v>
          </cell>
        </row>
        <row r="13">
          <cell r="A13">
            <v>20020</v>
          </cell>
          <cell r="B13" t="str">
            <v>Armador</v>
          </cell>
          <cell r="C13" t="str">
            <v>1,44</v>
          </cell>
          <cell r="D13" t="str">
            <v>5,30</v>
          </cell>
          <cell r="E13" t="str">
            <v>12,11</v>
          </cell>
          <cell r="F13">
            <v>1.2833000000000001</v>
          </cell>
        </row>
        <row r="14">
          <cell r="A14">
            <v>20022</v>
          </cell>
          <cell r="B14" t="str">
            <v>Auxiliar de almoxarife</v>
          </cell>
          <cell r="C14" t="str">
            <v>1,01</v>
          </cell>
          <cell r="D14" t="str">
            <v>3,72</v>
          </cell>
          <cell r="E14" t="str">
            <v>8,49</v>
          </cell>
          <cell r="F14">
            <v>1.2833000000000001</v>
          </cell>
        </row>
        <row r="15">
          <cell r="A15">
            <v>20027</v>
          </cell>
          <cell r="B15" t="str">
            <v>Auxiliar de serviços gerais</v>
          </cell>
          <cell r="C15" t="str">
            <v>1,01</v>
          </cell>
          <cell r="D15" t="str">
            <v>3,72</v>
          </cell>
          <cell r="E15" t="str">
            <v>8,49</v>
          </cell>
          <cell r="F15">
            <v>1.2833000000000001</v>
          </cell>
        </row>
        <row r="16">
          <cell r="A16">
            <v>20033</v>
          </cell>
          <cell r="B16" t="str">
            <v>Blaster</v>
          </cell>
          <cell r="C16" t="str">
            <v>1,96</v>
          </cell>
          <cell r="D16" t="str">
            <v>7,22</v>
          </cell>
          <cell r="E16" t="str">
            <v>16,49</v>
          </cell>
          <cell r="F16">
            <v>1.2833000000000001</v>
          </cell>
        </row>
        <row r="17">
          <cell r="A17">
            <v>20034</v>
          </cell>
          <cell r="B17" t="str">
            <v>Cabo de fogo</v>
          </cell>
          <cell r="C17" t="str">
            <v>1,96</v>
          </cell>
          <cell r="D17" t="str">
            <v>7,22</v>
          </cell>
          <cell r="E17" t="str">
            <v>16,49</v>
          </cell>
          <cell r="F17">
            <v>1.2833000000000001</v>
          </cell>
        </row>
        <row r="18">
          <cell r="A18">
            <v>20035</v>
          </cell>
          <cell r="B18" t="str">
            <v>Calceteiro</v>
          </cell>
          <cell r="C18" t="str">
            <v>1,24</v>
          </cell>
          <cell r="D18" t="str">
            <v>4,56</v>
          </cell>
          <cell r="E18" t="str">
            <v>10,43</v>
          </cell>
          <cell r="F18">
            <v>1.2833000000000001</v>
          </cell>
        </row>
        <row r="19">
          <cell r="A19">
            <v>20037</v>
          </cell>
          <cell r="B19" t="str">
            <v>Capataz de ar comprimido</v>
          </cell>
          <cell r="C19" t="str">
            <v>2,35</v>
          </cell>
          <cell r="D19" t="str">
            <v>8,66</v>
          </cell>
          <cell r="E19" t="str">
            <v>19,77</v>
          </cell>
          <cell r="F19">
            <v>1.2833000000000001</v>
          </cell>
        </row>
        <row r="20">
          <cell r="A20">
            <v>20038</v>
          </cell>
          <cell r="B20" t="str">
            <v>Carpinteiro de O.A.C.</v>
          </cell>
          <cell r="C20" t="str">
            <v>1,24</v>
          </cell>
          <cell r="D20" t="str">
            <v>4,56</v>
          </cell>
          <cell r="E20" t="str">
            <v>10,43</v>
          </cell>
          <cell r="F20">
            <v>1.2833000000000001</v>
          </cell>
        </row>
        <row r="21">
          <cell r="A21">
            <v>20040</v>
          </cell>
          <cell r="B21" t="str">
            <v>Carpinteiro de O.A.E.</v>
          </cell>
          <cell r="C21" t="str">
            <v>1,65</v>
          </cell>
          <cell r="D21" t="str">
            <v>6,08</v>
          </cell>
          <cell r="E21" t="str">
            <v>13,88</v>
          </cell>
          <cell r="F21">
            <v>1.2833000000000001</v>
          </cell>
        </row>
        <row r="22">
          <cell r="A22">
            <v>20041</v>
          </cell>
          <cell r="B22" t="str">
            <v>Cavouqueiro</v>
          </cell>
          <cell r="C22" t="str">
            <v>1,24</v>
          </cell>
          <cell r="D22" t="str">
            <v>4,56</v>
          </cell>
          <cell r="E22" t="str">
            <v>10,43</v>
          </cell>
          <cell r="F22">
            <v>1.2833000000000001</v>
          </cell>
        </row>
        <row r="23">
          <cell r="A23">
            <v>20042</v>
          </cell>
          <cell r="B23" t="str">
            <v>Compressorista</v>
          </cell>
          <cell r="C23" t="str">
            <v>1,24</v>
          </cell>
          <cell r="D23" t="str">
            <v>4,56</v>
          </cell>
          <cell r="E23" t="str">
            <v>10,43</v>
          </cell>
          <cell r="F23">
            <v>1.2833000000000001</v>
          </cell>
        </row>
        <row r="24">
          <cell r="A24">
            <v>20056</v>
          </cell>
          <cell r="B24" t="str">
            <v>Eletricista</v>
          </cell>
          <cell r="C24" t="str">
            <v>1,24</v>
          </cell>
          <cell r="D24" t="str">
            <v>4,56</v>
          </cell>
          <cell r="E24" t="str">
            <v>10,43</v>
          </cell>
          <cell r="F24">
            <v>1.2833000000000001</v>
          </cell>
        </row>
        <row r="25">
          <cell r="A25">
            <v>20057</v>
          </cell>
          <cell r="B25" t="str">
            <v>Encarregado de britador</v>
          </cell>
          <cell r="C25" t="str">
            <v>2,35</v>
          </cell>
          <cell r="D25" t="str">
            <v>8,66</v>
          </cell>
          <cell r="E25" t="str">
            <v>19,77</v>
          </cell>
          <cell r="F25">
            <v>1.2833000000000001</v>
          </cell>
        </row>
        <row r="26">
          <cell r="A26">
            <v>20058</v>
          </cell>
          <cell r="B26" t="str">
            <v>Encarregado de escritório</v>
          </cell>
          <cell r="C26" t="str">
            <v>2,35</v>
          </cell>
          <cell r="D26" t="str">
            <v>8,66</v>
          </cell>
          <cell r="E26" t="str">
            <v>19,77</v>
          </cell>
          <cell r="F26">
            <v>1.2833000000000001</v>
          </cell>
        </row>
        <row r="27">
          <cell r="A27">
            <v>20059</v>
          </cell>
          <cell r="B27" t="str">
            <v>Encarregado de fundação</v>
          </cell>
          <cell r="C27" t="str">
            <v>2,26</v>
          </cell>
          <cell r="D27" t="str">
            <v>8,32</v>
          </cell>
          <cell r="E27" t="str">
            <v>19,01</v>
          </cell>
          <cell r="F27">
            <v>1.2833000000000001</v>
          </cell>
        </row>
        <row r="28">
          <cell r="A28">
            <v>20060</v>
          </cell>
          <cell r="B28" t="str">
            <v>Encarregado de O.A.C.</v>
          </cell>
          <cell r="C28" t="str">
            <v>2,26</v>
          </cell>
          <cell r="D28" t="str">
            <v>8,32</v>
          </cell>
          <cell r="E28" t="str">
            <v>19,01</v>
          </cell>
          <cell r="F28">
            <v>1.2833000000000001</v>
          </cell>
        </row>
        <row r="29">
          <cell r="A29">
            <v>20065</v>
          </cell>
          <cell r="B29" t="str">
            <v>Encarregado de pavimentação</v>
          </cell>
          <cell r="C29" t="str">
            <v>2,26</v>
          </cell>
          <cell r="D29" t="str">
            <v>8,32</v>
          </cell>
          <cell r="E29" t="str">
            <v>19,01</v>
          </cell>
          <cell r="F29">
            <v>1.2833000000000001</v>
          </cell>
        </row>
        <row r="30">
          <cell r="A30">
            <v>20064</v>
          </cell>
          <cell r="B30" t="str">
            <v>Encarregado de pesagem</v>
          </cell>
          <cell r="C30" t="str">
            <v>2,26</v>
          </cell>
          <cell r="D30" t="str">
            <v>8,32</v>
          </cell>
          <cell r="E30" t="str">
            <v>19,01</v>
          </cell>
          <cell r="F30">
            <v>1.2833000000000001</v>
          </cell>
        </row>
        <row r="31">
          <cell r="A31">
            <v>20063</v>
          </cell>
          <cell r="B31" t="str">
            <v>Encarregado de pista</v>
          </cell>
          <cell r="C31" t="str">
            <v>2,26</v>
          </cell>
          <cell r="D31" t="str">
            <v>8,32</v>
          </cell>
          <cell r="E31" t="str">
            <v>19,01</v>
          </cell>
          <cell r="F31">
            <v>1.2833000000000001</v>
          </cell>
        </row>
        <row r="32">
          <cell r="A32">
            <v>20066</v>
          </cell>
          <cell r="B32" t="str">
            <v>Encarregado de protensao</v>
          </cell>
          <cell r="C32" t="str">
            <v>2,35</v>
          </cell>
          <cell r="D32" t="str">
            <v>8,66</v>
          </cell>
          <cell r="E32" t="str">
            <v>19,77</v>
          </cell>
          <cell r="F32">
            <v>1.2833000000000001</v>
          </cell>
        </row>
        <row r="33">
          <cell r="A33">
            <v>20067</v>
          </cell>
          <cell r="B33" t="str">
            <v>Encarregado de terraplenagem</v>
          </cell>
          <cell r="C33" t="str">
            <v>2,35</v>
          </cell>
          <cell r="D33" t="str">
            <v>8,66</v>
          </cell>
          <cell r="E33" t="str">
            <v>19,77</v>
          </cell>
          <cell r="F33">
            <v>1.2833000000000001</v>
          </cell>
        </row>
        <row r="34">
          <cell r="A34">
            <v>20068</v>
          </cell>
          <cell r="B34" t="str">
            <v>Encarregado de usina</v>
          </cell>
          <cell r="C34" t="str">
            <v>2,35</v>
          </cell>
          <cell r="D34" t="str">
            <v>8,66</v>
          </cell>
          <cell r="E34" t="str">
            <v>19,77</v>
          </cell>
          <cell r="F34">
            <v>1.2833000000000001</v>
          </cell>
        </row>
        <row r="35">
          <cell r="A35">
            <v>99301</v>
          </cell>
          <cell r="B35" t="str">
            <v>Encarregado Geral</v>
          </cell>
          <cell r="C35" t="str">
            <v>2,26</v>
          </cell>
          <cell r="D35" t="str">
            <v>8,32</v>
          </cell>
          <cell r="E35" t="str">
            <v>19,01</v>
          </cell>
          <cell r="F35">
            <v>1.2833000000000001</v>
          </cell>
        </row>
        <row r="36">
          <cell r="A36">
            <v>20062</v>
          </cell>
          <cell r="B36" t="str">
            <v>Encarregado O.A.E.</v>
          </cell>
          <cell r="C36" t="str">
            <v>2,26</v>
          </cell>
          <cell r="D36" t="str">
            <v>8,32</v>
          </cell>
          <cell r="E36" t="str">
            <v>19,01</v>
          </cell>
          <cell r="F36">
            <v>1.2833000000000001</v>
          </cell>
        </row>
        <row r="37">
          <cell r="A37">
            <v>20081</v>
          </cell>
          <cell r="B37" t="str">
            <v>Escavadeirista</v>
          </cell>
          <cell r="C37" t="str">
            <v>1,65</v>
          </cell>
          <cell r="D37" t="str">
            <v>6,08</v>
          </cell>
          <cell r="E37" t="str">
            <v>13,88</v>
          </cell>
          <cell r="F37">
            <v>1.2833000000000001</v>
          </cell>
        </row>
        <row r="38">
          <cell r="A38">
            <v>20087</v>
          </cell>
          <cell r="B38" t="str">
            <v>Feitor</v>
          </cell>
          <cell r="C38" t="str">
            <v>2,26</v>
          </cell>
          <cell r="D38" t="str">
            <v>8,32</v>
          </cell>
          <cell r="E38" t="str">
            <v>19,01</v>
          </cell>
          <cell r="F38">
            <v>1.2833000000000001</v>
          </cell>
        </row>
        <row r="39">
          <cell r="A39">
            <v>20088</v>
          </cell>
          <cell r="B39" t="str">
            <v>Greidista</v>
          </cell>
          <cell r="C39" t="str">
            <v>1,24</v>
          </cell>
          <cell r="D39" t="str">
            <v>4,56</v>
          </cell>
          <cell r="E39" t="str">
            <v>10,43</v>
          </cell>
          <cell r="F39">
            <v>1.2833000000000001</v>
          </cell>
        </row>
        <row r="40">
          <cell r="A40">
            <v>20157</v>
          </cell>
          <cell r="B40" t="str">
            <v>Laboratorista de Usina</v>
          </cell>
          <cell r="C40" t="str">
            <v>5,00</v>
          </cell>
          <cell r="D40" t="str">
            <v>18,42</v>
          </cell>
          <cell r="E40" t="str">
            <v>42,07</v>
          </cell>
          <cell r="F40">
            <v>1.2833000000000001</v>
          </cell>
        </row>
        <row r="41">
          <cell r="A41">
            <v>20092</v>
          </cell>
          <cell r="B41" t="str">
            <v>Marroeiro</v>
          </cell>
          <cell r="C41" t="str">
            <v>1,24</v>
          </cell>
          <cell r="D41" t="str">
            <v>4,56</v>
          </cell>
          <cell r="E41" t="str">
            <v>10,43</v>
          </cell>
          <cell r="F41">
            <v>1.2833000000000001</v>
          </cell>
        </row>
        <row r="42">
          <cell r="A42">
            <v>20093</v>
          </cell>
          <cell r="B42" t="str">
            <v>Marteleteiro</v>
          </cell>
          <cell r="C42" t="str">
            <v>1,24</v>
          </cell>
          <cell r="D42" t="str">
            <v>4,56</v>
          </cell>
          <cell r="E42" t="str">
            <v>10,43</v>
          </cell>
          <cell r="F42">
            <v>1.2833000000000001</v>
          </cell>
        </row>
        <row r="43">
          <cell r="A43">
            <v>20095</v>
          </cell>
          <cell r="B43" t="str">
            <v>Meio Oficial</v>
          </cell>
          <cell r="C43" t="str">
            <v>1,24</v>
          </cell>
          <cell r="D43" t="str">
            <v>4,56</v>
          </cell>
          <cell r="E43" t="str">
            <v>10,43</v>
          </cell>
          <cell r="F43">
            <v>1.2833000000000001</v>
          </cell>
        </row>
        <row r="44">
          <cell r="A44">
            <v>20096</v>
          </cell>
          <cell r="B44" t="str">
            <v>Montador</v>
          </cell>
          <cell r="C44" t="str">
            <v>1,96</v>
          </cell>
          <cell r="D44" t="str">
            <v>7,22</v>
          </cell>
          <cell r="E44" t="str">
            <v>16,49</v>
          </cell>
          <cell r="F44">
            <v>1.2833000000000001</v>
          </cell>
        </row>
        <row r="45">
          <cell r="A45">
            <v>20097</v>
          </cell>
          <cell r="B45" t="str">
            <v>Motorista</v>
          </cell>
          <cell r="C45" t="str">
            <v>2,00</v>
          </cell>
          <cell r="D45" t="str">
            <v>7,37</v>
          </cell>
          <cell r="E45" t="str">
            <v>16,82</v>
          </cell>
          <cell r="F45">
            <v>1.2833000000000001</v>
          </cell>
        </row>
        <row r="46">
          <cell r="A46">
            <v>20099</v>
          </cell>
          <cell r="B46" t="str">
            <v>Oficial</v>
          </cell>
          <cell r="C46" t="str">
            <v>1,65</v>
          </cell>
          <cell r="D46" t="str">
            <v>6,08</v>
          </cell>
          <cell r="E46" t="str">
            <v>13,88</v>
          </cell>
          <cell r="F46">
            <v>1.2833000000000001</v>
          </cell>
        </row>
        <row r="47">
          <cell r="A47">
            <v>20100</v>
          </cell>
          <cell r="B47" t="str">
            <v>Operador de bate-estacas</v>
          </cell>
          <cell r="C47" t="str">
            <v>1,65</v>
          </cell>
          <cell r="D47" t="str">
            <v>6,08</v>
          </cell>
          <cell r="E47" t="str">
            <v>13,88</v>
          </cell>
          <cell r="F47">
            <v>1.2833000000000001</v>
          </cell>
        </row>
        <row r="48">
          <cell r="A48">
            <v>20101</v>
          </cell>
          <cell r="B48" t="str">
            <v>Operador de betoneira</v>
          </cell>
          <cell r="C48" t="str">
            <v>1,55</v>
          </cell>
          <cell r="D48" t="str">
            <v>5,71</v>
          </cell>
          <cell r="E48" t="str">
            <v>13,04</v>
          </cell>
          <cell r="F48">
            <v>1.2833000000000001</v>
          </cell>
        </row>
        <row r="49">
          <cell r="A49">
            <v>20102</v>
          </cell>
          <cell r="B49" t="str">
            <v>Operador de campânula p/ tubulaçao</v>
          </cell>
          <cell r="C49" t="str">
            <v>1,96</v>
          </cell>
          <cell r="D49" t="str">
            <v>7,22</v>
          </cell>
          <cell r="E49" t="str">
            <v>16,49</v>
          </cell>
          <cell r="F49">
            <v>1.2833000000000001</v>
          </cell>
        </row>
        <row r="50">
          <cell r="A50">
            <v>20103</v>
          </cell>
          <cell r="B50" t="str">
            <v>Operador de máquina</v>
          </cell>
          <cell r="C50" t="str">
            <v>1,55</v>
          </cell>
          <cell r="D50" t="str">
            <v>5,71</v>
          </cell>
          <cell r="E50" t="str">
            <v>13,04</v>
          </cell>
          <cell r="F50">
            <v>1.2833000000000001</v>
          </cell>
        </row>
        <row r="51">
          <cell r="A51">
            <v>20104</v>
          </cell>
          <cell r="B51" t="str">
            <v>Operador de protensão</v>
          </cell>
          <cell r="C51" t="str">
            <v>1,96</v>
          </cell>
          <cell r="D51" t="str">
            <v>7,22</v>
          </cell>
          <cell r="E51" t="str">
            <v>16,49</v>
          </cell>
          <cell r="F51">
            <v>1.2833000000000001</v>
          </cell>
        </row>
        <row r="52">
          <cell r="A52">
            <v>20173</v>
          </cell>
          <cell r="B52" t="str">
            <v>Operador de roçadeira</v>
          </cell>
          <cell r="C52" t="str">
            <v>1,24</v>
          </cell>
          <cell r="D52" t="str">
            <v>4,56</v>
          </cell>
          <cell r="E52" t="str">
            <v>10,43</v>
          </cell>
          <cell r="F52">
            <v>1.2833000000000001</v>
          </cell>
        </row>
        <row r="53">
          <cell r="A53">
            <v>20106</v>
          </cell>
          <cell r="B53" t="str">
            <v>Operador de usina</v>
          </cell>
          <cell r="C53" t="str">
            <v>1,96</v>
          </cell>
          <cell r="D53" t="str">
            <v>7,22</v>
          </cell>
          <cell r="E53" t="str">
            <v>16,49</v>
          </cell>
          <cell r="F53">
            <v>1.2833000000000001</v>
          </cell>
        </row>
        <row r="54">
          <cell r="A54">
            <v>20107</v>
          </cell>
          <cell r="B54" t="str">
            <v>Operário braçal</v>
          </cell>
          <cell r="C54" t="str">
            <v>1,00</v>
          </cell>
          <cell r="D54" t="str">
            <v>3,68</v>
          </cell>
          <cell r="E54" t="str">
            <v>8,41</v>
          </cell>
          <cell r="F54">
            <v>1.2833000000000001</v>
          </cell>
        </row>
        <row r="55">
          <cell r="A55">
            <v>20108</v>
          </cell>
          <cell r="B55" t="str">
            <v>Patrolista</v>
          </cell>
          <cell r="C55" t="str">
            <v>1,55</v>
          </cell>
          <cell r="D55" t="str">
            <v>5,71</v>
          </cell>
          <cell r="E55" t="str">
            <v>13,04</v>
          </cell>
          <cell r="F55">
            <v>1.2833000000000001</v>
          </cell>
        </row>
        <row r="56">
          <cell r="A56">
            <v>20109</v>
          </cell>
          <cell r="B56" t="str">
            <v>Pedreiro de O.A.C.</v>
          </cell>
          <cell r="C56" t="str">
            <v>1,24</v>
          </cell>
          <cell r="D56" t="str">
            <v>4,56</v>
          </cell>
          <cell r="E56" t="str">
            <v>10,43</v>
          </cell>
          <cell r="F56">
            <v>1.2833000000000001</v>
          </cell>
        </row>
        <row r="57">
          <cell r="A57">
            <v>20110</v>
          </cell>
          <cell r="B57" t="str">
            <v>Pedreiro de O.A.E.</v>
          </cell>
          <cell r="C57" t="str">
            <v>1,65</v>
          </cell>
          <cell r="D57" t="str">
            <v>6,08</v>
          </cell>
          <cell r="E57" t="str">
            <v>13,88</v>
          </cell>
          <cell r="F57">
            <v>1.2833000000000001</v>
          </cell>
        </row>
        <row r="58">
          <cell r="A58">
            <v>20111</v>
          </cell>
          <cell r="B58" t="str">
            <v>Pintor</v>
          </cell>
          <cell r="C58" t="str">
            <v>1,44</v>
          </cell>
          <cell r="D58" t="str">
            <v>5,30</v>
          </cell>
          <cell r="E58" t="str">
            <v>12,11</v>
          </cell>
          <cell r="F58">
            <v>1.2833000000000001</v>
          </cell>
        </row>
        <row r="59">
          <cell r="A59">
            <v>20112</v>
          </cell>
          <cell r="B59" t="str">
            <v>Poceiro</v>
          </cell>
          <cell r="C59" t="str">
            <v>1,44</v>
          </cell>
          <cell r="D59" t="str">
            <v>5,30</v>
          </cell>
          <cell r="E59" t="str">
            <v>12,11</v>
          </cell>
          <cell r="F59">
            <v>1.2833000000000001</v>
          </cell>
        </row>
        <row r="60">
          <cell r="A60">
            <v>20156</v>
          </cell>
          <cell r="B60" t="str">
            <v>Rasteleiro</v>
          </cell>
          <cell r="C60" t="str">
            <v>1,24</v>
          </cell>
          <cell r="D60" t="str">
            <v>4,56</v>
          </cell>
          <cell r="E60" t="str">
            <v>10,43</v>
          </cell>
          <cell r="F60">
            <v>1.2833000000000001</v>
          </cell>
        </row>
        <row r="61">
          <cell r="A61">
            <v>20115</v>
          </cell>
          <cell r="B61" t="str">
            <v>Serralheiro</v>
          </cell>
          <cell r="C61" t="str">
            <v>1,65</v>
          </cell>
          <cell r="D61" t="str">
            <v>6,08</v>
          </cell>
          <cell r="E61" t="str">
            <v>13,88</v>
          </cell>
          <cell r="F61">
            <v>1.2833000000000001</v>
          </cell>
        </row>
        <row r="62">
          <cell r="A62">
            <v>20002</v>
          </cell>
          <cell r="B62" t="str">
            <v>Servente</v>
          </cell>
          <cell r="C62" t="str">
            <v>1,00</v>
          </cell>
          <cell r="D62" t="str">
            <v>3,68</v>
          </cell>
          <cell r="E62" t="str">
            <v>8,41</v>
          </cell>
          <cell r="F62">
            <v>1.2833000000000001</v>
          </cell>
        </row>
        <row r="63">
          <cell r="A63">
            <v>20003</v>
          </cell>
          <cell r="B63" t="str">
            <v>Servente de usina</v>
          </cell>
          <cell r="C63" t="str">
            <v>1,00</v>
          </cell>
          <cell r="D63" t="str">
            <v>3,68</v>
          </cell>
          <cell r="E63" t="str">
            <v>8,41</v>
          </cell>
          <cell r="F63">
            <v>1.2833000000000001</v>
          </cell>
        </row>
        <row r="64">
          <cell r="A64">
            <v>20004</v>
          </cell>
          <cell r="B64" t="str">
            <v>Sinaleiro</v>
          </cell>
          <cell r="C64" t="str">
            <v>1,00</v>
          </cell>
          <cell r="D64" t="str">
            <v>3,68</v>
          </cell>
          <cell r="E64" t="str">
            <v>8,41</v>
          </cell>
          <cell r="F64">
            <v>1.2833000000000001</v>
          </cell>
        </row>
        <row r="65">
          <cell r="A65">
            <v>20005</v>
          </cell>
          <cell r="B65" t="str">
            <v>Soldador</v>
          </cell>
          <cell r="C65" t="str">
            <v>1,96</v>
          </cell>
          <cell r="D65" t="str">
            <v>7,22</v>
          </cell>
          <cell r="E65" t="str">
            <v>16,49</v>
          </cell>
          <cell r="F65">
            <v>1.2833000000000001</v>
          </cell>
        </row>
        <row r="66">
          <cell r="A66">
            <v>20006</v>
          </cell>
          <cell r="B66" t="str">
            <v>Sondador</v>
          </cell>
          <cell r="C66" t="str">
            <v>1,96</v>
          </cell>
          <cell r="D66" t="str">
            <v>7,22</v>
          </cell>
          <cell r="E66" t="str">
            <v>16,49</v>
          </cell>
          <cell r="F66">
            <v>1.2833000000000001</v>
          </cell>
        </row>
        <row r="67">
          <cell r="A67">
            <v>20117</v>
          </cell>
          <cell r="B67" t="str">
            <v>Supervisor Técnico de Montagem</v>
          </cell>
          <cell r="C67" t="str">
            <v>5,14</v>
          </cell>
          <cell r="D67" t="str">
            <v>18,94</v>
          </cell>
          <cell r="E67" t="str">
            <v>43,25</v>
          </cell>
          <cell r="F67">
            <v>1.2833000000000001</v>
          </cell>
          <cell r="G67">
            <v>0</v>
          </cell>
        </row>
        <row r="68">
          <cell r="A68">
            <v>20017</v>
          </cell>
          <cell r="B68" t="str">
            <v>Trabalhador sob ar comprimido</v>
          </cell>
          <cell r="C68" t="str">
            <v>1,65</v>
          </cell>
          <cell r="D68" t="str">
            <v>6,08</v>
          </cell>
          <cell r="E68" t="str">
            <v>13,88</v>
          </cell>
          <cell r="F68">
            <v>1.2833000000000001</v>
          </cell>
        </row>
        <row r="69">
          <cell r="A69">
            <v>20018</v>
          </cell>
          <cell r="B69" t="str">
            <v>Tratorista</v>
          </cell>
          <cell r="C69" t="str">
            <v>1,65</v>
          </cell>
          <cell r="D69" t="str">
            <v>6,08</v>
          </cell>
          <cell r="E69" t="str">
            <v>13,88</v>
          </cell>
          <cell r="F69">
            <v>1.2833000000000001</v>
          </cell>
        </row>
        <row r="70">
          <cell r="A70">
            <v>20019</v>
          </cell>
          <cell r="B70" t="str">
            <v>Vigia</v>
          </cell>
          <cell r="C70" t="str">
            <v>1,00</v>
          </cell>
          <cell r="D70" t="str">
            <v>3,68</v>
          </cell>
          <cell r="E70" t="str">
            <v>8,41</v>
          </cell>
          <cell r="F70">
            <v>1.2833000000000001</v>
          </cell>
        </row>
        <row r="71">
          <cell r="A71">
            <v>0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004 - CONSULTORIA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0</v>
          </cell>
          <cell r="C74" t="str">
            <v>Qt Salário</v>
          </cell>
          <cell r="D74" t="str">
            <v>Valor s/enc</v>
          </cell>
          <cell r="E74" t="str">
            <v>Valor c/enc</v>
          </cell>
          <cell r="F74" t="str">
            <v>% encargos</v>
          </cell>
        </row>
        <row r="75">
          <cell r="A75">
            <v>20000</v>
          </cell>
          <cell r="B75" t="str">
            <v>Administrador de empresas</v>
          </cell>
          <cell r="C75" t="str">
            <v>-</v>
          </cell>
          <cell r="D75">
            <v>7092</v>
          </cell>
          <cell r="E75">
            <v>13052.12</v>
          </cell>
          <cell r="F75">
            <v>0.84040000000000004</v>
          </cell>
        </row>
        <row r="76">
          <cell r="A76">
            <v>20028</v>
          </cell>
          <cell r="B76" t="str">
            <v>Advogado</v>
          </cell>
          <cell r="C76" t="str">
            <v>-</v>
          </cell>
          <cell r="D76">
            <v>7823.24</v>
          </cell>
          <cell r="E76">
            <v>14397.89</v>
          </cell>
          <cell r="F76">
            <v>0.84040000000000004</v>
          </cell>
        </row>
        <row r="77">
          <cell r="A77">
            <v>20105</v>
          </cell>
          <cell r="B77" t="str">
            <v>Analista de sistemas (júnior)</v>
          </cell>
          <cell r="C77" t="str">
            <v>-</v>
          </cell>
          <cell r="D77">
            <v>7823.24</v>
          </cell>
          <cell r="E77">
            <v>14397.89</v>
          </cell>
          <cell r="F77">
            <v>0.84040000000000004</v>
          </cell>
        </row>
        <row r="78">
          <cell r="A78">
            <v>20001</v>
          </cell>
          <cell r="B78" t="str">
            <v>Analista de sistemas (sênior)</v>
          </cell>
          <cell r="C78" t="str">
            <v>-</v>
          </cell>
          <cell r="D78">
            <v>12154.98</v>
          </cell>
          <cell r="E78">
            <v>22370.03</v>
          </cell>
          <cell r="F78">
            <v>0.84040000000000004</v>
          </cell>
        </row>
        <row r="79">
          <cell r="A79">
            <v>20021</v>
          </cell>
          <cell r="B79" t="str">
            <v>Auxiliar de administraçao</v>
          </cell>
          <cell r="C79" t="str">
            <v>-</v>
          </cell>
          <cell r="D79">
            <v>1713.02</v>
          </cell>
          <cell r="E79">
            <v>3152.64</v>
          </cell>
          <cell r="F79">
            <v>0.84040000000000004</v>
          </cell>
        </row>
        <row r="80">
          <cell r="A80">
            <v>20023</v>
          </cell>
          <cell r="B80" t="str">
            <v>Auxiliar de desenhista</v>
          </cell>
          <cell r="C80" t="str">
            <v>-</v>
          </cell>
          <cell r="D80">
            <v>1905.93</v>
          </cell>
          <cell r="E80">
            <v>3507.67</v>
          </cell>
          <cell r="F80">
            <v>0.84040000000000004</v>
          </cell>
        </row>
        <row r="81">
          <cell r="A81">
            <v>20025</v>
          </cell>
          <cell r="B81" t="str">
            <v>Auxiliar de escritório</v>
          </cell>
          <cell r="C81" t="str">
            <v>-</v>
          </cell>
          <cell r="D81">
            <v>1713.02</v>
          </cell>
          <cell r="E81">
            <v>3152.64</v>
          </cell>
          <cell r="F81">
            <v>0.84040000000000004</v>
          </cell>
        </row>
        <row r="82">
          <cell r="A82">
            <v>20026</v>
          </cell>
          <cell r="B82" t="str">
            <v>Auxiliar de laboratório</v>
          </cell>
          <cell r="C82" t="str">
            <v>-</v>
          </cell>
          <cell r="D82">
            <v>1905.93</v>
          </cell>
          <cell r="E82">
            <v>3507.67</v>
          </cell>
          <cell r="F82">
            <v>0.84040000000000004</v>
          </cell>
        </row>
        <row r="83">
          <cell r="A83">
            <v>100387</v>
          </cell>
          <cell r="B83" t="str">
            <v>Auxiliar de Serviços Gerais</v>
          </cell>
          <cell r="C83" t="str">
            <v>-</v>
          </cell>
          <cell r="D83">
            <v>1493.36</v>
          </cell>
          <cell r="E83">
            <v>2748.38</v>
          </cell>
          <cell r="F83">
            <v>0.84040000000000004</v>
          </cell>
        </row>
        <row r="84">
          <cell r="A84">
            <v>20029</v>
          </cell>
          <cell r="B84" t="str">
            <v>Auxiliar de topografia</v>
          </cell>
          <cell r="C84" t="str">
            <v>-</v>
          </cell>
          <cell r="D84">
            <v>1905.93</v>
          </cell>
          <cell r="E84">
            <v>3507.67</v>
          </cell>
          <cell r="F84">
            <v>0.84040000000000004</v>
          </cell>
        </row>
        <row r="85">
          <cell r="A85">
            <v>20031</v>
          </cell>
          <cell r="B85" t="str">
            <v>Auxiliar técnico</v>
          </cell>
          <cell r="C85" t="str">
            <v>-</v>
          </cell>
          <cell r="D85">
            <v>1905.93</v>
          </cell>
          <cell r="E85">
            <v>3507.67</v>
          </cell>
          <cell r="F85">
            <v>0.84040000000000004</v>
          </cell>
        </row>
        <row r="86">
          <cell r="A86">
            <v>20032</v>
          </cell>
          <cell r="B86" t="str">
            <v>Auxiliar técnico de estradas</v>
          </cell>
          <cell r="C86" t="str">
            <v>-</v>
          </cell>
          <cell r="D86">
            <v>1905.93</v>
          </cell>
          <cell r="E86">
            <v>3507.67</v>
          </cell>
          <cell r="F86">
            <v>0.84040000000000004</v>
          </cell>
        </row>
        <row r="87">
          <cell r="A87">
            <v>20024</v>
          </cell>
          <cell r="B87" t="str">
            <v>Auxliar de engenharia</v>
          </cell>
          <cell r="C87" t="str">
            <v>-</v>
          </cell>
          <cell r="D87">
            <v>3178.57</v>
          </cell>
          <cell r="E87">
            <v>5849.84</v>
          </cell>
          <cell r="F87">
            <v>0.84040000000000004</v>
          </cell>
        </row>
        <row r="88">
          <cell r="A88">
            <v>20044</v>
          </cell>
          <cell r="B88" t="str">
            <v>Contador de nível superior</v>
          </cell>
          <cell r="C88" t="str">
            <v>-</v>
          </cell>
          <cell r="D88">
            <v>7092</v>
          </cell>
          <cell r="E88">
            <v>13052.12</v>
          </cell>
          <cell r="F88">
            <v>0.84040000000000004</v>
          </cell>
        </row>
        <row r="89">
          <cell r="A89">
            <v>20048</v>
          </cell>
          <cell r="B89" t="str">
            <v>Desenhista</v>
          </cell>
          <cell r="C89" t="str">
            <v>-</v>
          </cell>
          <cell r="D89">
            <v>3178.57</v>
          </cell>
          <cell r="E89">
            <v>5849.84</v>
          </cell>
          <cell r="F89">
            <v>0.84040000000000004</v>
          </cell>
        </row>
        <row r="90">
          <cell r="A90">
            <v>20049</v>
          </cell>
          <cell r="B90" t="str">
            <v>Desenhista chefe</v>
          </cell>
          <cell r="C90" t="str">
            <v>-</v>
          </cell>
          <cell r="D90">
            <v>4203.0600000000004</v>
          </cell>
          <cell r="E90">
            <v>7735.31</v>
          </cell>
          <cell r="F90">
            <v>0.84040000000000004</v>
          </cell>
        </row>
        <row r="91">
          <cell r="A91">
            <v>20051</v>
          </cell>
          <cell r="B91" t="str">
            <v>Desenhista projetista</v>
          </cell>
          <cell r="C91" t="str">
            <v>-</v>
          </cell>
          <cell r="D91">
            <v>5510.61</v>
          </cell>
          <cell r="E91">
            <v>10141.73</v>
          </cell>
          <cell r="F91">
            <v>0.84040000000000004</v>
          </cell>
        </row>
        <row r="92">
          <cell r="A92">
            <v>20052</v>
          </cell>
          <cell r="B92" t="str">
            <v>Digitador</v>
          </cell>
          <cell r="C92" t="str">
            <v>-</v>
          </cell>
          <cell r="D92">
            <v>1905.93</v>
          </cell>
          <cell r="E92">
            <v>3507.67</v>
          </cell>
          <cell r="F92">
            <v>0.84040000000000004</v>
          </cell>
        </row>
        <row r="93">
          <cell r="A93">
            <v>20054</v>
          </cell>
          <cell r="B93" t="str">
            <v>Economista</v>
          </cell>
          <cell r="C93" t="str">
            <v>-</v>
          </cell>
          <cell r="D93">
            <v>7092</v>
          </cell>
          <cell r="E93">
            <v>13052.12</v>
          </cell>
          <cell r="F93">
            <v>0.84040000000000004</v>
          </cell>
        </row>
        <row r="94">
          <cell r="A94">
            <v>20077</v>
          </cell>
          <cell r="B94" t="str">
            <v>Engenheiro auxiliar</v>
          </cell>
          <cell r="C94" t="str">
            <v>-</v>
          </cell>
          <cell r="D94">
            <v>7092</v>
          </cell>
          <cell r="E94">
            <v>13052.12</v>
          </cell>
          <cell r="F94">
            <v>0.84040000000000004</v>
          </cell>
        </row>
        <row r="95">
          <cell r="A95">
            <v>20073</v>
          </cell>
          <cell r="B95" t="str">
            <v>Engenheiro coordenador</v>
          </cell>
          <cell r="C95" t="str">
            <v>-</v>
          </cell>
          <cell r="D95">
            <v>15425.84</v>
          </cell>
          <cell r="E95">
            <v>28389.72</v>
          </cell>
          <cell r="F95">
            <v>0.84040000000000004</v>
          </cell>
        </row>
        <row r="96">
          <cell r="A96">
            <v>20070</v>
          </cell>
          <cell r="B96" t="str">
            <v>Engenheiro junior</v>
          </cell>
          <cell r="C96" t="str">
            <v>-</v>
          </cell>
          <cell r="D96">
            <v>7823.24</v>
          </cell>
          <cell r="E96">
            <v>14397.89</v>
          </cell>
          <cell r="F96">
            <v>0.84040000000000004</v>
          </cell>
        </row>
        <row r="97">
          <cell r="A97">
            <v>20069</v>
          </cell>
          <cell r="B97" t="str">
            <v>Engenheiro pleno</v>
          </cell>
          <cell r="C97" t="str">
            <v>-</v>
          </cell>
          <cell r="D97">
            <v>9509.14</v>
          </cell>
          <cell r="E97">
            <v>17500.62</v>
          </cell>
          <cell r="F97">
            <v>0.84040000000000004</v>
          </cell>
        </row>
        <row r="98">
          <cell r="A98">
            <v>20079</v>
          </cell>
          <cell r="B98" t="str">
            <v>Engenheiro sênior</v>
          </cell>
          <cell r="C98" t="str">
            <v>-</v>
          </cell>
          <cell r="D98">
            <v>12154.98</v>
          </cell>
          <cell r="E98">
            <v>22370.03</v>
          </cell>
          <cell r="F98">
            <v>0.84040000000000004</v>
          </cell>
        </row>
        <row r="99">
          <cell r="A99">
            <v>20153</v>
          </cell>
          <cell r="B99" t="str">
            <v>Especialista Ambiental (Coordenador de Estudos)</v>
          </cell>
          <cell r="C99" t="str">
            <v>-</v>
          </cell>
          <cell r="D99">
            <v>15425.84</v>
          </cell>
          <cell r="E99">
            <v>28389.72</v>
          </cell>
          <cell r="F99">
            <v>0.84040000000000004</v>
          </cell>
        </row>
        <row r="100">
          <cell r="A100">
            <v>20084</v>
          </cell>
          <cell r="B100" t="str">
            <v>Especialista em meio ambiente</v>
          </cell>
          <cell r="C100" t="str">
            <v>-</v>
          </cell>
          <cell r="D100">
            <v>12154.98</v>
          </cell>
          <cell r="E100">
            <v>22370.03</v>
          </cell>
          <cell r="F100">
            <v>0.84040000000000004</v>
          </cell>
        </row>
        <row r="101">
          <cell r="A101">
            <v>20089</v>
          </cell>
          <cell r="B101" t="str">
            <v>Laboratorista</v>
          </cell>
          <cell r="C101" t="str">
            <v>-</v>
          </cell>
          <cell r="D101">
            <v>3178.57</v>
          </cell>
          <cell r="E101">
            <v>5849.84</v>
          </cell>
          <cell r="F101">
            <v>0.84040000000000004</v>
          </cell>
        </row>
        <row r="102">
          <cell r="A102">
            <v>20090</v>
          </cell>
          <cell r="B102" t="str">
            <v>Laboratorista auxiliar</v>
          </cell>
          <cell r="C102" t="str">
            <v>-</v>
          </cell>
          <cell r="D102">
            <v>2551.2399999999998</v>
          </cell>
          <cell r="E102">
            <v>4695.3</v>
          </cell>
          <cell r="F102">
            <v>0.84040000000000004</v>
          </cell>
        </row>
        <row r="103">
          <cell r="A103">
            <v>20091</v>
          </cell>
          <cell r="B103" t="str">
            <v>Laboratorista chefe</v>
          </cell>
          <cell r="C103" t="str">
            <v>-</v>
          </cell>
          <cell r="D103">
            <v>4203.0600000000004</v>
          </cell>
          <cell r="E103">
            <v>7735.31</v>
          </cell>
          <cell r="F103">
            <v>0.84040000000000004</v>
          </cell>
        </row>
        <row r="104">
          <cell r="A104">
            <v>20098</v>
          </cell>
          <cell r="B104" t="str">
            <v>Nivelador</v>
          </cell>
          <cell r="C104" t="str">
            <v>-</v>
          </cell>
          <cell r="D104">
            <v>2551.2399999999998</v>
          </cell>
          <cell r="E104">
            <v>4695.3</v>
          </cell>
          <cell r="F104">
            <v>0.84040000000000004</v>
          </cell>
        </row>
        <row r="105">
          <cell r="A105">
            <v>20114</v>
          </cell>
          <cell r="B105" t="str">
            <v>Secretária</v>
          </cell>
          <cell r="C105" t="str">
            <v>-</v>
          </cell>
          <cell r="D105">
            <v>2651.39</v>
          </cell>
          <cell r="E105">
            <v>4879.62</v>
          </cell>
          <cell r="F105">
            <v>0.84040000000000004</v>
          </cell>
        </row>
        <row r="106">
          <cell r="A106">
            <v>20174</v>
          </cell>
          <cell r="B106" t="str">
            <v>Servente consultoria</v>
          </cell>
          <cell r="C106" t="str">
            <v>-</v>
          </cell>
          <cell r="D106">
            <v>1493.36</v>
          </cell>
          <cell r="E106">
            <v>2748.38</v>
          </cell>
          <cell r="F106">
            <v>0.84040000000000004</v>
          </cell>
        </row>
        <row r="107">
          <cell r="A107">
            <v>20007</v>
          </cell>
          <cell r="B107" t="str">
            <v>Técnico de campo</v>
          </cell>
          <cell r="C107" t="str">
            <v>-</v>
          </cell>
          <cell r="D107">
            <v>1905.93</v>
          </cell>
          <cell r="E107">
            <v>3507.67</v>
          </cell>
          <cell r="F107">
            <v>0.84040000000000004</v>
          </cell>
        </row>
        <row r="108">
          <cell r="A108">
            <v>20009</v>
          </cell>
          <cell r="B108" t="str">
            <v>Técnico de estradas I</v>
          </cell>
          <cell r="C108" t="str">
            <v>-</v>
          </cell>
          <cell r="D108">
            <v>2551.2399999999998</v>
          </cell>
          <cell r="E108">
            <v>4695.3</v>
          </cell>
          <cell r="F108">
            <v>0.84040000000000004</v>
          </cell>
        </row>
        <row r="109">
          <cell r="A109">
            <v>99872</v>
          </cell>
          <cell r="B109" t="str">
            <v>Técnico de Estradas II</v>
          </cell>
          <cell r="C109" t="str">
            <v>-</v>
          </cell>
          <cell r="D109">
            <v>3178.57</v>
          </cell>
          <cell r="E109">
            <v>5849.84</v>
          </cell>
          <cell r="F109">
            <v>0.84040000000000004</v>
          </cell>
        </row>
        <row r="110">
          <cell r="A110">
            <v>99873</v>
          </cell>
          <cell r="B110" t="str">
            <v>Técnico de Estradas III</v>
          </cell>
          <cell r="C110" t="str">
            <v>-</v>
          </cell>
          <cell r="D110">
            <v>4203.0600000000004</v>
          </cell>
          <cell r="E110">
            <v>7735.31</v>
          </cell>
          <cell r="F110">
            <v>0.84040000000000004</v>
          </cell>
        </row>
        <row r="111">
          <cell r="A111">
            <v>20008</v>
          </cell>
          <cell r="B111" t="str">
            <v>Técnico de nível médio</v>
          </cell>
          <cell r="C111" t="str">
            <v>-</v>
          </cell>
          <cell r="D111">
            <v>2551.2399999999998</v>
          </cell>
          <cell r="E111">
            <v>4695.3</v>
          </cell>
          <cell r="F111">
            <v>0.84040000000000004</v>
          </cell>
        </row>
        <row r="112">
          <cell r="A112">
            <v>99302</v>
          </cell>
          <cell r="B112" t="str">
            <v>Técnico de Segurança</v>
          </cell>
          <cell r="C112" t="str">
            <v>-</v>
          </cell>
          <cell r="D112">
            <v>4203.0600000000004</v>
          </cell>
          <cell r="E112">
            <v>7735.31</v>
          </cell>
          <cell r="F112">
            <v>0.84040000000000004</v>
          </cell>
        </row>
        <row r="113">
          <cell r="A113">
            <v>20010</v>
          </cell>
          <cell r="B113" t="str">
            <v>Técnico em meio ambiente</v>
          </cell>
          <cell r="C113" t="str">
            <v>-</v>
          </cell>
          <cell r="D113">
            <v>3178.57</v>
          </cell>
          <cell r="E113">
            <v>5849.84</v>
          </cell>
          <cell r="F113">
            <v>0.84040000000000004</v>
          </cell>
        </row>
        <row r="114">
          <cell r="A114">
            <v>99874</v>
          </cell>
          <cell r="B114" t="str">
            <v>Técnico Especial</v>
          </cell>
          <cell r="C114" t="str">
            <v>-</v>
          </cell>
          <cell r="D114">
            <v>5510.61</v>
          </cell>
          <cell r="E114">
            <v>10141.73</v>
          </cell>
          <cell r="F114">
            <v>0.84040000000000004</v>
          </cell>
        </row>
        <row r="115">
          <cell r="A115">
            <v>20014</v>
          </cell>
          <cell r="B115" t="str">
            <v>Topógrafo</v>
          </cell>
          <cell r="C115" t="str">
            <v>-</v>
          </cell>
          <cell r="D115">
            <v>3178.57</v>
          </cell>
          <cell r="E115">
            <v>5849.84</v>
          </cell>
          <cell r="F115">
            <v>0.84040000000000004</v>
          </cell>
        </row>
        <row r="116">
          <cell r="A116">
            <v>20015</v>
          </cell>
          <cell r="B116" t="str">
            <v>Topógrafo auxiliar (nivelador)</v>
          </cell>
          <cell r="C116" t="str">
            <v>-</v>
          </cell>
          <cell r="D116">
            <v>2551.2399999999998</v>
          </cell>
          <cell r="E116">
            <v>4695.3</v>
          </cell>
          <cell r="F116">
            <v>0.84040000000000004</v>
          </cell>
        </row>
        <row r="117">
          <cell r="A117">
            <v>20016</v>
          </cell>
          <cell r="B117" t="str">
            <v>Topógrafo chefe</v>
          </cell>
          <cell r="C117" t="str">
            <v>-</v>
          </cell>
          <cell r="D117">
            <v>4203.0600000000004</v>
          </cell>
          <cell r="E117">
            <v>7735.31</v>
          </cell>
          <cell r="F117">
            <v>0.84040000000000004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C348">
            <v>0</v>
          </cell>
          <cell r="D348">
            <v>0</v>
          </cell>
          <cell r="E348">
            <v>0</v>
          </cell>
          <cell r="F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</sheetData>
      <sheetData sheetId="8">
        <row r="1">
          <cell r="A1" t="str">
            <v>199 - Tabela Referencial Junho 2015 com desoneração</v>
          </cell>
          <cell r="D1" t="str">
            <v>Data Base: Junho/2015</v>
          </cell>
        </row>
        <row r="2">
          <cell r="A2">
            <v>0</v>
          </cell>
          <cell r="B2" t="str">
            <v>VALORES SEM BDI</v>
          </cell>
          <cell r="D2">
            <v>0</v>
          </cell>
        </row>
        <row r="3">
          <cell r="A3" t="str">
            <v xml:space="preserve">Código </v>
          </cell>
          <cell r="B3" t="str">
            <v>Material</v>
          </cell>
          <cell r="C3" t="str">
            <v>Unidade</v>
          </cell>
          <cell r="D3" t="str">
            <v>Custo Unitário</v>
          </cell>
        </row>
        <row r="4">
          <cell r="A4">
            <v>11013</v>
          </cell>
          <cell r="B4" t="str">
            <v>Abraçadeira para fixação de eletroduto diâm. 3/4"</v>
          </cell>
          <cell r="C4" t="str">
            <v>un</v>
          </cell>
          <cell r="D4">
            <v>0.89</v>
          </cell>
        </row>
        <row r="5">
          <cell r="A5">
            <v>10714</v>
          </cell>
          <cell r="B5" t="str">
            <v>Abraçadeira para fixação de semáforo em braço/coluna de diâmetro 101 ou 114mm</v>
          </cell>
          <cell r="C5" t="str">
            <v>un</v>
          </cell>
          <cell r="D5">
            <v>40</v>
          </cell>
        </row>
        <row r="6">
          <cell r="A6">
            <v>10186</v>
          </cell>
          <cell r="B6" t="str">
            <v>Acetileno</v>
          </cell>
          <cell r="C6" t="str">
            <v>kg</v>
          </cell>
          <cell r="D6">
            <v>29.94</v>
          </cell>
        </row>
        <row r="7">
          <cell r="A7">
            <v>10645</v>
          </cell>
          <cell r="B7" t="str">
            <v>Aço (barra) GEWI ou equivalente, ST 85/105, de 32mm</v>
          </cell>
          <cell r="C7" t="str">
            <v>m</v>
          </cell>
          <cell r="D7">
            <v>62.63</v>
          </cell>
        </row>
        <row r="8">
          <cell r="A8">
            <v>10625</v>
          </cell>
          <cell r="B8" t="str">
            <v>Aço (barra) GEWI ou similar,ST 50/55 diâmetro de 32mm</v>
          </cell>
          <cell r="C8" t="str">
            <v>m</v>
          </cell>
          <cell r="D8">
            <v>55.8</v>
          </cell>
        </row>
        <row r="9">
          <cell r="A9">
            <v>10133</v>
          </cell>
          <cell r="B9" t="str">
            <v>Aço CA-25 (granel) - (preço médio)</v>
          </cell>
          <cell r="C9" t="str">
            <v>kg</v>
          </cell>
          <cell r="D9">
            <v>3.62</v>
          </cell>
        </row>
        <row r="10">
          <cell r="A10">
            <v>10131</v>
          </cell>
          <cell r="B10" t="str">
            <v>Aço CA-25 (granel) D=1/2"</v>
          </cell>
          <cell r="C10" t="str">
            <v>kg</v>
          </cell>
          <cell r="D10">
            <v>3.55</v>
          </cell>
        </row>
        <row r="11">
          <cell r="A11">
            <v>10132</v>
          </cell>
          <cell r="B11" t="str">
            <v>Aço CA-25 (granel) D=3/8"</v>
          </cell>
          <cell r="C11" t="str">
            <v>kg</v>
          </cell>
          <cell r="D11">
            <v>3.68</v>
          </cell>
        </row>
        <row r="12">
          <cell r="A12">
            <v>10130</v>
          </cell>
          <cell r="B12" t="str">
            <v>Aço CA-50 (carreta 20 t) D=1/2" a 3/8"</v>
          </cell>
          <cell r="C12" t="str">
            <v>kg</v>
          </cell>
          <cell r="D12">
            <v>3.56</v>
          </cell>
        </row>
        <row r="13">
          <cell r="A13">
            <v>11570</v>
          </cell>
          <cell r="B13" t="str">
            <v>Aço CA-50 diam 12.5 a 25 mm</v>
          </cell>
          <cell r="C13" t="str">
            <v>kg</v>
          </cell>
          <cell r="D13">
            <v>3.83</v>
          </cell>
        </row>
        <row r="14">
          <cell r="A14">
            <v>11569</v>
          </cell>
          <cell r="B14" t="str">
            <v>Aço CA-50 diam. 6.3 a 10 mm</v>
          </cell>
          <cell r="C14" t="str">
            <v>kg</v>
          </cell>
          <cell r="D14">
            <v>3.77</v>
          </cell>
        </row>
        <row r="15">
          <cell r="A15">
            <v>10129</v>
          </cell>
          <cell r="B15" t="str">
            <v>Aço CA-50 (granel) - (preço médio)</v>
          </cell>
          <cell r="C15" t="str">
            <v>kg</v>
          </cell>
          <cell r="D15">
            <v>3.8</v>
          </cell>
        </row>
        <row r="16">
          <cell r="A16">
            <v>10127</v>
          </cell>
          <cell r="B16" t="str">
            <v>Aço CA-50 (granel) diam. 1/2"</v>
          </cell>
          <cell r="C16" t="str">
            <v>kg</v>
          </cell>
          <cell r="D16">
            <v>3.83</v>
          </cell>
        </row>
        <row r="17">
          <cell r="A17">
            <v>10128</v>
          </cell>
          <cell r="B17" t="str">
            <v>Aço CA-50 (granel) diam. 3/8"</v>
          </cell>
          <cell r="C17" t="str">
            <v>kg</v>
          </cell>
          <cell r="D17">
            <v>3.77</v>
          </cell>
        </row>
        <row r="18">
          <cell r="A18">
            <v>10801</v>
          </cell>
          <cell r="B18" t="str">
            <v>Aço CA-60 (granel) (preço médio)</v>
          </cell>
          <cell r="C18" t="str">
            <v>kg</v>
          </cell>
          <cell r="D18">
            <v>3.8</v>
          </cell>
        </row>
        <row r="19">
          <cell r="A19">
            <v>10202</v>
          </cell>
          <cell r="B19" t="str">
            <v>Aço (cordoalha de 7 fios) CP 190 RB-12,7 mm</v>
          </cell>
          <cell r="C19" t="str">
            <v>kg</v>
          </cell>
          <cell r="D19">
            <v>4.91</v>
          </cell>
        </row>
        <row r="20">
          <cell r="A20">
            <v>10799</v>
          </cell>
          <cell r="B20" t="str">
            <v>Aço diâmetro 29,3mm para tirante, referência Rocsolo ou equivalente</v>
          </cell>
          <cell r="C20" t="str">
            <v>m</v>
          </cell>
          <cell r="D20">
            <v>56.5</v>
          </cell>
        </row>
        <row r="21">
          <cell r="A21">
            <v>10769</v>
          </cell>
          <cell r="B21" t="str">
            <v>Adesivo epoxi bicomponente para fissuras, em latas de 1kg, Sikadur 32 ou equivalente</v>
          </cell>
          <cell r="C21" t="str">
            <v>lat</v>
          </cell>
          <cell r="D21">
            <v>34.270000000000003</v>
          </cell>
        </row>
        <row r="22">
          <cell r="A22">
            <v>10770</v>
          </cell>
          <cell r="B22" t="str">
            <v>Adesivo estrutural tixotrópico a base de epoxi para colagem de pré-moldados em latas de 1kg -Sikadur 31</v>
          </cell>
          <cell r="C22" t="str">
            <v>lat</v>
          </cell>
          <cell r="D22">
            <v>82.07</v>
          </cell>
        </row>
        <row r="23">
          <cell r="A23">
            <v>10762</v>
          </cell>
          <cell r="B23" t="str">
            <v>Adesivo para PVC soldável</v>
          </cell>
          <cell r="C23" t="str">
            <v>Kg</v>
          </cell>
          <cell r="D23">
            <v>34.75</v>
          </cell>
        </row>
        <row r="24">
          <cell r="A24">
            <v>10574</v>
          </cell>
          <cell r="B24" t="str">
            <v>Adubo NPK</v>
          </cell>
          <cell r="C24" t="str">
            <v>kg</v>
          </cell>
          <cell r="D24">
            <v>3.51</v>
          </cell>
        </row>
        <row r="25">
          <cell r="A25">
            <v>10557</v>
          </cell>
          <cell r="B25" t="str">
            <v>Agua potável tratada (CESAN)</v>
          </cell>
          <cell r="C25" t="str">
            <v>m³</v>
          </cell>
          <cell r="D25">
            <v>6.2</v>
          </cell>
        </row>
        <row r="26">
          <cell r="A26">
            <v>10785</v>
          </cell>
          <cell r="B26" t="str">
            <v>Aguarráz mineral</v>
          </cell>
          <cell r="C26" t="str">
            <v>l</v>
          </cell>
          <cell r="D26">
            <v>11.31</v>
          </cell>
        </row>
        <row r="27">
          <cell r="A27">
            <v>10035</v>
          </cell>
          <cell r="B27" t="str">
            <v>Alcool etílico hidratado</v>
          </cell>
          <cell r="C27" t="str">
            <v>l</v>
          </cell>
          <cell r="D27">
            <v>2.72</v>
          </cell>
        </row>
        <row r="28">
          <cell r="A28">
            <v>10591</v>
          </cell>
          <cell r="B28" t="str">
            <v>Aluguel computador com : Processador 2,80 GHz , Memória RAM 4,00 GB, Sistema Operacional 32 Bits, Windows com Pacote Office e Impressora Jato de Tinta</v>
          </cell>
          <cell r="C28" t="str">
            <v>mes</v>
          </cell>
          <cell r="D28">
            <v>400</v>
          </cell>
        </row>
        <row r="29">
          <cell r="A29">
            <v>10592</v>
          </cell>
          <cell r="B29" t="str">
            <v>Aluguel copiadora Xerox</v>
          </cell>
          <cell r="C29" t="str">
            <v>mes</v>
          </cell>
          <cell r="D29">
            <v>203.33</v>
          </cell>
        </row>
        <row r="30">
          <cell r="A30">
            <v>11553</v>
          </cell>
          <cell r="B30" t="str">
            <v>Aluguel de barco 40HP com barqueiro</v>
          </cell>
          <cell r="C30" t="str">
            <v>mes</v>
          </cell>
          <cell r="D30">
            <v>16895.3</v>
          </cell>
        </row>
        <row r="31">
          <cell r="A31">
            <v>11473</v>
          </cell>
          <cell r="B31" t="str">
            <v>Aluguel de caminhão Munck, capacidade máxima de 15t e 20m de lança, inclusive motorista e combustível</v>
          </cell>
          <cell r="C31" t="str">
            <v>mes</v>
          </cell>
          <cell r="D31">
            <v>21600</v>
          </cell>
        </row>
        <row r="32">
          <cell r="A32">
            <v>10634</v>
          </cell>
          <cell r="B32" t="str">
            <v>Aluguel de tubo equipado completo para andaime com h=10,0 m</v>
          </cell>
          <cell r="C32" t="str">
            <v>mes</v>
          </cell>
          <cell r="D32">
            <v>142.5</v>
          </cell>
        </row>
        <row r="33">
          <cell r="A33">
            <v>10578</v>
          </cell>
          <cell r="B33" t="str">
            <v>Aluguel mensal de alojamento</v>
          </cell>
          <cell r="C33" t="str">
            <v>mes</v>
          </cell>
          <cell r="D33">
            <v>1527.09</v>
          </cell>
        </row>
        <row r="34">
          <cell r="A34">
            <v>10579</v>
          </cell>
          <cell r="B34" t="str">
            <v>Aluguel mensal de escritório</v>
          </cell>
          <cell r="C34" t="str">
            <v>mes</v>
          </cell>
          <cell r="D34">
            <v>2486.87</v>
          </cell>
        </row>
        <row r="35">
          <cell r="A35">
            <v>11490</v>
          </cell>
          <cell r="B35" t="str">
            <v>Aluguel mensal de GPS Geodésico dupla frequência (L1/L2)</v>
          </cell>
          <cell r="C35" t="str">
            <v>mes</v>
          </cell>
          <cell r="D35">
            <v>4000</v>
          </cell>
        </row>
        <row r="36">
          <cell r="A36">
            <v>10587</v>
          </cell>
          <cell r="B36" t="str">
            <v>Aluguel mensal de instrumento de topografia ( Estação Total )</v>
          </cell>
          <cell r="C36" t="str">
            <v>mes</v>
          </cell>
          <cell r="D36">
            <v>1400</v>
          </cell>
        </row>
        <row r="37">
          <cell r="A37">
            <v>10589</v>
          </cell>
          <cell r="B37" t="str">
            <v>Aluguel mensal de laboratório de betume</v>
          </cell>
          <cell r="C37" t="str">
            <v>mes</v>
          </cell>
          <cell r="D37">
            <v>2196.46</v>
          </cell>
        </row>
        <row r="38">
          <cell r="A38">
            <v>10590</v>
          </cell>
          <cell r="B38" t="str">
            <v>Aluguel mensal de laboratório de concreto</v>
          </cell>
          <cell r="C38" t="str">
            <v>mes</v>
          </cell>
          <cell r="D38">
            <v>2949.69</v>
          </cell>
        </row>
        <row r="39">
          <cell r="A39">
            <v>10588</v>
          </cell>
          <cell r="B39" t="str">
            <v>Aluguel mensal de laboratório de solos</v>
          </cell>
          <cell r="C39" t="str">
            <v>mes</v>
          </cell>
          <cell r="D39">
            <v>2019.34</v>
          </cell>
        </row>
        <row r="40">
          <cell r="A40">
            <v>10595</v>
          </cell>
          <cell r="B40" t="str">
            <v>Aluguel mensal de máquina fotográfica (12.1 MP)</v>
          </cell>
          <cell r="C40" t="str">
            <v>mes</v>
          </cell>
          <cell r="D40">
            <v>101.29</v>
          </cell>
        </row>
        <row r="41">
          <cell r="A41">
            <v>10581</v>
          </cell>
          <cell r="B41" t="str">
            <v>Aluguel mensal de mobiliário - alojamento</v>
          </cell>
          <cell r="C41" t="str">
            <v>mes</v>
          </cell>
          <cell r="D41">
            <v>1157.28</v>
          </cell>
        </row>
        <row r="42">
          <cell r="A42">
            <v>10582</v>
          </cell>
          <cell r="B42" t="str">
            <v>Aluguel mensal de mobiliário - escritório</v>
          </cell>
          <cell r="C42" t="str">
            <v>mes</v>
          </cell>
          <cell r="D42">
            <v>1307.05</v>
          </cell>
        </row>
        <row r="43">
          <cell r="A43">
            <v>10583</v>
          </cell>
          <cell r="B43" t="str">
            <v>Aluguel mensal de mobiliário - resid. engenheiro</v>
          </cell>
          <cell r="C43" t="str">
            <v>mes</v>
          </cell>
          <cell r="D43">
            <v>912.64</v>
          </cell>
        </row>
        <row r="44">
          <cell r="A44">
            <v>10580</v>
          </cell>
          <cell r="B44" t="str">
            <v>Aluguel mensal de residência - engenheiro</v>
          </cell>
          <cell r="C44" t="str">
            <v>mes</v>
          </cell>
          <cell r="D44">
            <v>2097.89</v>
          </cell>
        </row>
        <row r="45">
          <cell r="A45">
            <v>10586</v>
          </cell>
          <cell r="B45" t="str">
            <v>Aluguel mensal de utilitário exclusive motorista e combustível</v>
          </cell>
          <cell r="C45" t="str">
            <v>mes</v>
          </cell>
          <cell r="D45">
            <v>2700</v>
          </cell>
        </row>
        <row r="46">
          <cell r="A46">
            <v>10585</v>
          </cell>
          <cell r="B46" t="str">
            <v>Aluguel mensal de veículos tipo Gol 1.0, exclusive motorista e combustível</v>
          </cell>
          <cell r="C46" t="str">
            <v>mes</v>
          </cell>
          <cell r="D46">
            <v>1559.42</v>
          </cell>
        </row>
        <row r="47">
          <cell r="A47">
            <v>10662</v>
          </cell>
          <cell r="B47" t="str">
            <v>Anéis de borracha para PVC PBA 75mm</v>
          </cell>
          <cell r="C47" t="str">
            <v>un</v>
          </cell>
          <cell r="D47">
            <v>3.17</v>
          </cell>
        </row>
        <row r="48">
          <cell r="A48">
            <v>10659</v>
          </cell>
          <cell r="B48" t="str">
            <v>Anéis de borracha para PVC PBA 100mm</v>
          </cell>
          <cell r="C48" t="str">
            <v>un</v>
          </cell>
          <cell r="D48">
            <v>4.4800000000000004</v>
          </cell>
        </row>
        <row r="49">
          <cell r="A49">
            <v>10804</v>
          </cell>
          <cell r="B49" t="str">
            <v>Anéis de borracha para PVC PBA 200mm</v>
          </cell>
          <cell r="C49" t="str">
            <v>un</v>
          </cell>
          <cell r="D49">
            <v>6.22</v>
          </cell>
        </row>
        <row r="50">
          <cell r="A50">
            <v>10650</v>
          </cell>
          <cell r="B50" t="str">
            <v>Anel de ângulo de 15 graus, referência Gewi</v>
          </cell>
          <cell r="C50" t="str">
            <v>un</v>
          </cell>
          <cell r="D50">
            <v>24.2</v>
          </cell>
        </row>
        <row r="51">
          <cell r="A51">
            <v>10795</v>
          </cell>
          <cell r="B51" t="str">
            <v>Anel de ângulo de 15° para tirante Rocsolo</v>
          </cell>
          <cell r="C51" t="str">
            <v>un</v>
          </cell>
          <cell r="D51">
            <v>24.2</v>
          </cell>
        </row>
        <row r="52">
          <cell r="A52">
            <v>10613</v>
          </cell>
          <cell r="B52" t="str">
            <v>Anel GEWI para compensação angular de 15°</v>
          </cell>
          <cell r="C52" t="str">
            <v>un</v>
          </cell>
          <cell r="D52">
            <v>46.2</v>
          </cell>
        </row>
        <row r="53">
          <cell r="A53">
            <v>10675</v>
          </cell>
          <cell r="B53" t="str">
            <v>Anel pré moldado para bueiro celular 1,50 x 1,50 x 1,00m CL45, duas peças</v>
          </cell>
          <cell r="C53" t="str">
            <v>un</v>
          </cell>
          <cell r="D53">
            <v>2817.66</v>
          </cell>
        </row>
        <row r="54">
          <cell r="A54">
            <v>10676</v>
          </cell>
          <cell r="B54" t="str">
            <v>Anel pré moldado para bueiro celular 2,00 x 2,00 x 1,00m CL 45, duas peças</v>
          </cell>
          <cell r="C54" t="str">
            <v>un</v>
          </cell>
          <cell r="D54">
            <v>3875.07</v>
          </cell>
        </row>
        <row r="55">
          <cell r="A55">
            <v>10677</v>
          </cell>
          <cell r="B55" t="str">
            <v>Anel pré moldado para bueiro celular 2,50 x 2,50 x 1,00m CL 45, duas peças</v>
          </cell>
          <cell r="C55" t="str">
            <v>un</v>
          </cell>
          <cell r="D55">
            <v>4101.96</v>
          </cell>
        </row>
        <row r="56">
          <cell r="A56">
            <v>10243</v>
          </cell>
          <cell r="B56" t="str">
            <v>Anel pré-moldado em concreto para sumidouro diam. 2,0m MF</v>
          </cell>
          <cell r="C56" t="str">
            <v>un</v>
          </cell>
          <cell r="D56">
            <v>367.82</v>
          </cell>
        </row>
        <row r="57">
          <cell r="A57">
            <v>10670</v>
          </cell>
          <cell r="B57" t="str">
            <v>Anel pré-moldado para bueiro celular 3,00 x 3,00 x 1,00m CL 45, duas peças</v>
          </cell>
          <cell r="C57" t="str">
            <v>m</v>
          </cell>
          <cell r="D57">
            <v>5612.35</v>
          </cell>
        </row>
        <row r="58">
          <cell r="A58">
            <v>10857</v>
          </cell>
          <cell r="B58" t="str">
            <v>Anteparo 3 x 300 mm</v>
          </cell>
          <cell r="C58" t="str">
            <v>un</v>
          </cell>
          <cell r="D58">
            <v>225</v>
          </cell>
        </row>
        <row r="59">
          <cell r="A59">
            <v>10367</v>
          </cell>
          <cell r="B59" t="str">
            <v>Anti-óxido de base de resina alquídica modificada</v>
          </cell>
          <cell r="C59" t="str">
            <v>Gl</v>
          </cell>
          <cell r="D59">
            <v>105.39</v>
          </cell>
        </row>
        <row r="60">
          <cell r="A60">
            <v>11571</v>
          </cell>
          <cell r="B60" t="str">
            <v>Aquisição de máquina fotográfica (12.1 MP)</v>
          </cell>
          <cell r="C60" t="str">
            <v>un</v>
          </cell>
          <cell r="D60">
            <v>1215.48</v>
          </cell>
        </row>
        <row r="61">
          <cell r="A61">
            <v>10140</v>
          </cell>
          <cell r="B61" t="str">
            <v>Arame farpado fio 16 rolo 500 m</v>
          </cell>
          <cell r="C61" t="str">
            <v>rl</v>
          </cell>
          <cell r="D61">
            <v>229.53</v>
          </cell>
        </row>
        <row r="62">
          <cell r="A62">
            <v>10626</v>
          </cell>
          <cell r="B62" t="str">
            <v>Arame nº 06 galvanizado</v>
          </cell>
          <cell r="C62" t="str">
            <v>kg</v>
          </cell>
          <cell r="D62">
            <v>8.25</v>
          </cell>
        </row>
        <row r="63">
          <cell r="A63">
            <v>10639</v>
          </cell>
          <cell r="B63" t="str">
            <v>Arame nº 10 galvanizado</v>
          </cell>
          <cell r="C63" t="str">
            <v>Kg</v>
          </cell>
          <cell r="D63">
            <v>8.01</v>
          </cell>
        </row>
        <row r="64">
          <cell r="A64">
            <v>10640</v>
          </cell>
          <cell r="B64" t="str">
            <v>Arame nº 12 galvanizado</v>
          </cell>
          <cell r="C64" t="str">
            <v>Kg</v>
          </cell>
          <cell r="D64">
            <v>8.1199999999999992</v>
          </cell>
        </row>
        <row r="65">
          <cell r="A65">
            <v>10641</v>
          </cell>
          <cell r="B65" t="str">
            <v>Arame nº 16 galvanizado</v>
          </cell>
          <cell r="C65" t="str">
            <v>Kg</v>
          </cell>
          <cell r="D65">
            <v>9.48</v>
          </cell>
        </row>
        <row r="66">
          <cell r="A66">
            <v>10138</v>
          </cell>
          <cell r="B66" t="str">
            <v>Arame ovalado liso (cerca) 45 kg - 1.000m</v>
          </cell>
          <cell r="C66" t="str">
            <v>rl</v>
          </cell>
          <cell r="D66">
            <v>387.23</v>
          </cell>
        </row>
        <row r="67">
          <cell r="A67">
            <v>10134</v>
          </cell>
          <cell r="B67" t="str">
            <v>Arame recozido 18</v>
          </cell>
          <cell r="C67" t="str">
            <v>kg</v>
          </cell>
          <cell r="D67">
            <v>7.99</v>
          </cell>
        </row>
        <row r="68">
          <cell r="A68">
            <v>10112</v>
          </cell>
          <cell r="B68" t="str">
            <v>Areia de rio (preço médio)</v>
          </cell>
          <cell r="C68" t="str">
            <v>m³</v>
          </cell>
          <cell r="D68">
            <v>48.33</v>
          </cell>
        </row>
        <row r="69">
          <cell r="A69">
            <v>10109</v>
          </cell>
          <cell r="B69" t="str">
            <v>Areia grossa jazida com carregamento mecânico</v>
          </cell>
          <cell r="C69" t="str">
            <v>m³</v>
          </cell>
          <cell r="D69">
            <v>56.25</v>
          </cell>
        </row>
        <row r="70">
          <cell r="A70">
            <v>10107</v>
          </cell>
          <cell r="B70" t="str">
            <v>Areia grossa rio com carregamento mecânico</v>
          </cell>
          <cell r="C70" t="str">
            <v>m³</v>
          </cell>
          <cell r="D70">
            <v>50</v>
          </cell>
        </row>
        <row r="71">
          <cell r="A71">
            <v>10110</v>
          </cell>
          <cell r="B71" t="str">
            <v>Areia média jazida com carregamento mecânico</v>
          </cell>
          <cell r="C71" t="str">
            <v>m³</v>
          </cell>
          <cell r="D71">
            <v>57.5</v>
          </cell>
        </row>
        <row r="72">
          <cell r="A72">
            <v>10111</v>
          </cell>
          <cell r="B72" t="str">
            <v>Areia suja jazida com carregamento mecânico</v>
          </cell>
          <cell r="C72" t="str">
            <v>m³</v>
          </cell>
          <cell r="D72">
            <v>46.25</v>
          </cell>
        </row>
        <row r="73">
          <cell r="A73">
            <v>10657</v>
          </cell>
          <cell r="B73" t="str">
            <v>Argamassa expansiva</v>
          </cell>
          <cell r="C73" t="str">
            <v>kg</v>
          </cell>
          <cell r="D73">
            <v>2.7</v>
          </cell>
        </row>
        <row r="74">
          <cell r="A74">
            <v>10564</v>
          </cell>
          <cell r="B74" t="str">
            <v>Argila (barreiras comerciais - saibreiras)</v>
          </cell>
          <cell r="C74" t="str">
            <v>m³</v>
          </cell>
          <cell r="D74">
            <v>4.1900000000000004</v>
          </cell>
        </row>
        <row r="75">
          <cell r="A75">
            <v>10605</v>
          </cell>
          <cell r="B75" t="str">
            <v>ARMCO BDTM D=1,20 m - T.L. esp. 2,7 mm</v>
          </cell>
          <cell r="C75" t="str">
            <v>m</v>
          </cell>
          <cell r="D75">
            <v>2956</v>
          </cell>
        </row>
        <row r="76">
          <cell r="A76">
            <v>10606</v>
          </cell>
          <cell r="B76" t="str">
            <v>ARMCO BDTM D=1,40 m - T.L. esp. 2,7 mm</v>
          </cell>
          <cell r="C76" t="str">
            <v>m</v>
          </cell>
          <cell r="D76">
            <v>3460</v>
          </cell>
        </row>
        <row r="77">
          <cell r="A77">
            <v>10607</v>
          </cell>
          <cell r="B77" t="str">
            <v>ARMCO BDTM D=1,60 m - T.L. esp. 2,7 mm</v>
          </cell>
          <cell r="C77" t="str">
            <v>m</v>
          </cell>
          <cell r="D77">
            <v>4032</v>
          </cell>
        </row>
        <row r="78">
          <cell r="A78">
            <v>10608</v>
          </cell>
          <cell r="B78" t="str">
            <v>ARMCO BDTM D=2,00 m - T.L. esp. 2,7 mm</v>
          </cell>
          <cell r="C78" t="str">
            <v>m</v>
          </cell>
          <cell r="D78">
            <v>5072</v>
          </cell>
        </row>
        <row r="79">
          <cell r="A79">
            <v>10609</v>
          </cell>
          <cell r="B79" t="str">
            <v>ARMCO BDTM D=2,20 m - T.L. esp. 2,7 mm</v>
          </cell>
          <cell r="C79" t="str">
            <v>m</v>
          </cell>
          <cell r="D79">
            <v>5644</v>
          </cell>
        </row>
        <row r="80">
          <cell r="A80">
            <v>10610</v>
          </cell>
          <cell r="B80" t="str">
            <v>ARMCO BDTM D=2,40 m - T.L. esp. 2,7 mm</v>
          </cell>
          <cell r="C80" t="str">
            <v>m</v>
          </cell>
          <cell r="D80">
            <v>6086</v>
          </cell>
        </row>
        <row r="81">
          <cell r="A81">
            <v>10611</v>
          </cell>
          <cell r="B81" t="str">
            <v>ARMCO BDTM D=2,60 m - T.L. esp. 3,4 mm</v>
          </cell>
          <cell r="C81" t="str">
            <v>m</v>
          </cell>
          <cell r="D81">
            <v>7980</v>
          </cell>
        </row>
        <row r="82">
          <cell r="A82">
            <v>10597</v>
          </cell>
          <cell r="B82" t="str">
            <v>ARMCO BSTM D=1,20 m - T.L. esp. 2,7 mm</v>
          </cell>
          <cell r="C82" t="str">
            <v>m</v>
          </cell>
          <cell r="D82">
            <v>1535</v>
          </cell>
        </row>
        <row r="83">
          <cell r="A83">
            <v>10598</v>
          </cell>
          <cell r="B83" t="str">
            <v>ARMCO BSTM D=1,40 m - T.L. esp. 2,7 mm</v>
          </cell>
          <cell r="C83" t="str">
            <v>m</v>
          </cell>
          <cell r="D83">
            <v>1730</v>
          </cell>
        </row>
        <row r="84">
          <cell r="A84">
            <v>10599</v>
          </cell>
          <cell r="B84" t="str">
            <v>ARMCO BSTM D=1,60 m - T.L. esp. 2,7 mm</v>
          </cell>
          <cell r="C84" t="str">
            <v>m</v>
          </cell>
          <cell r="D84">
            <v>2016</v>
          </cell>
        </row>
        <row r="85">
          <cell r="A85">
            <v>10600</v>
          </cell>
          <cell r="B85" t="str">
            <v>ARMCO BSTM D=2,00 m - T.L. esp. 2,7 mm</v>
          </cell>
          <cell r="C85" t="str">
            <v>m</v>
          </cell>
          <cell r="D85">
            <v>2536</v>
          </cell>
        </row>
        <row r="86">
          <cell r="A86">
            <v>10601</v>
          </cell>
          <cell r="B86" t="str">
            <v>ARMCO BSTM D=2,20 m - T.L. esp. 2,7 mm</v>
          </cell>
          <cell r="C86" t="str">
            <v>m</v>
          </cell>
          <cell r="D86">
            <v>2822</v>
          </cell>
        </row>
        <row r="87">
          <cell r="A87">
            <v>10602</v>
          </cell>
          <cell r="B87" t="str">
            <v>ARMCO BSTM D=2,40 m - T.L. esp. 2,7 mm</v>
          </cell>
          <cell r="C87" t="str">
            <v>m</v>
          </cell>
          <cell r="D87">
            <v>3043</v>
          </cell>
        </row>
        <row r="88">
          <cell r="A88">
            <v>10603</v>
          </cell>
          <cell r="B88" t="str">
            <v>ARMCO BSTM D=2,60 m - T.L. esp. 3,4 mm</v>
          </cell>
          <cell r="C88" t="str">
            <v>m</v>
          </cell>
          <cell r="D88">
            <v>3990</v>
          </cell>
        </row>
        <row r="89">
          <cell r="A89">
            <v>10604</v>
          </cell>
          <cell r="B89" t="str">
            <v>ARMCO BSTM D=3,00 m - T.L. esp. 2,7 mm</v>
          </cell>
          <cell r="C89" t="str">
            <v>m</v>
          </cell>
          <cell r="D89">
            <v>3810</v>
          </cell>
        </row>
        <row r="90">
          <cell r="A90">
            <v>11266</v>
          </cell>
          <cell r="B90" t="str">
            <v>ARMCO STACO BDTM D=3,05 m - MPI52 esp.2,7mm</v>
          </cell>
          <cell r="C90" t="str">
            <v>m</v>
          </cell>
          <cell r="D90">
            <v>8084</v>
          </cell>
        </row>
        <row r="91">
          <cell r="A91">
            <v>11265</v>
          </cell>
          <cell r="B91" t="str">
            <v>ARMCO STACO BSTM D=3,05 m - MPI52 esp.2,7mm</v>
          </cell>
          <cell r="C91" t="str">
            <v>m</v>
          </cell>
          <cell r="D91">
            <v>4042</v>
          </cell>
        </row>
        <row r="92">
          <cell r="A92">
            <v>11012</v>
          </cell>
          <cell r="B92" t="str">
            <v>Arruela de alumínio fundido 3/4"</v>
          </cell>
          <cell r="C92" t="str">
            <v>un</v>
          </cell>
          <cell r="D92">
            <v>0.22</v>
          </cell>
        </row>
        <row r="93">
          <cell r="A93">
            <v>10203</v>
          </cell>
          <cell r="B93" t="str">
            <v>Bainha de aço galvanizado diam. interno= 65 mm</v>
          </cell>
          <cell r="C93" t="str">
            <v>m</v>
          </cell>
          <cell r="D93">
            <v>20.28</v>
          </cell>
        </row>
        <row r="94">
          <cell r="A94">
            <v>10647</v>
          </cell>
          <cell r="B94" t="str">
            <v>Bainha metálica preta, diâmetro de 75mm</v>
          </cell>
          <cell r="C94" t="str">
            <v>m</v>
          </cell>
          <cell r="D94">
            <v>18.899999999999999</v>
          </cell>
        </row>
        <row r="95">
          <cell r="A95">
            <v>10627</v>
          </cell>
          <cell r="B95" t="str">
            <v>Bainha Plástica de PEAD (tubo de polietileno de alta densidade )</v>
          </cell>
          <cell r="C95" t="str">
            <v>m</v>
          </cell>
          <cell r="D95">
            <v>12.8</v>
          </cell>
        </row>
        <row r="96">
          <cell r="A96">
            <v>10745</v>
          </cell>
          <cell r="B96" t="str">
            <v>Balde plástico para sinalização (vermelho)</v>
          </cell>
          <cell r="C96" t="str">
            <v>un</v>
          </cell>
          <cell r="D96">
            <v>7.13</v>
          </cell>
        </row>
        <row r="97">
          <cell r="A97">
            <v>11491</v>
          </cell>
          <cell r="B97" t="str">
            <v>Bentonita</v>
          </cell>
          <cell r="C97" t="str">
            <v>Kg</v>
          </cell>
          <cell r="D97">
            <v>1.96</v>
          </cell>
        </row>
        <row r="98">
          <cell r="A98">
            <v>10118</v>
          </cell>
          <cell r="B98" t="str">
            <v>Bica corrida sem frete</v>
          </cell>
          <cell r="C98" t="str">
            <v>m³</v>
          </cell>
          <cell r="D98">
            <v>45.81</v>
          </cell>
        </row>
        <row r="99">
          <cell r="A99">
            <v>10717</v>
          </cell>
          <cell r="B99" t="str">
            <v>Biomanta vegetal 100% degradável com 500g/m², aplicada</v>
          </cell>
          <cell r="C99" t="str">
            <v>m²</v>
          </cell>
          <cell r="D99">
            <v>13.57</v>
          </cell>
        </row>
        <row r="100">
          <cell r="A100">
            <v>10271</v>
          </cell>
          <cell r="B100" t="str">
            <v>Bloco de concreto para alvenaria 39 X 19 X 09 cm</v>
          </cell>
          <cell r="C100" t="str">
            <v>un</v>
          </cell>
          <cell r="D100">
            <v>1.37</v>
          </cell>
        </row>
        <row r="101">
          <cell r="A101">
            <v>10272</v>
          </cell>
          <cell r="B101" t="str">
            <v>Bloco de concreto para alvenaria 39 X 19 X 14 cm</v>
          </cell>
          <cell r="C101" t="str">
            <v>un</v>
          </cell>
          <cell r="D101">
            <v>1.87</v>
          </cell>
        </row>
        <row r="102">
          <cell r="A102">
            <v>10273</v>
          </cell>
          <cell r="B102" t="str">
            <v>Bloco de concreto para alvenaria 39 X 19 X 19 cm</v>
          </cell>
          <cell r="C102" t="str">
            <v>un</v>
          </cell>
          <cell r="D102">
            <v>2.4900000000000002</v>
          </cell>
        </row>
        <row r="103">
          <cell r="A103">
            <v>10619</v>
          </cell>
          <cell r="B103" t="str">
            <v>Bloco de concreto 19 x 19 x 39 cm ( estrutural )</v>
          </cell>
          <cell r="C103" t="str">
            <v>un</v>
          </cell>
          <cell r="D103">
            <v>2.69</v>
          </cell>
        </row>
        <row r="104">
          <cell r="A104">
            <v>10266</v>
          </cell>
          <cell r="B104" t="str">
            <v>Bloco para pavimentaçao intertravado - esp= 06 cm, resistência 35 MPa</v>
          </cell>
          <cell r="C104" t="str">
            <v>m²</v>
          </cell>
          <cell r="D104">
            <v>28.65</v>
          </cell>
        </row>
        <row r="105">
          <cell r="A105">
            <v>10296</v>
          </cell>
          <cell r="B105" t="str">
            <v>Bloco para pavimentação intertravado - esp= 06cm, colorido, resistência 35 MPa</v>
          </cell>
          <cell r="C105" t="str">
            <v>m²</v>
          </cell>
          <cell r="D105">
            <v>45.77</v>
          </cell>
        </row>
        <row r="106">
          <cell r="A106">
            <v>10267</v>
          </cell>
          <cell r="B106" t="str">
            <v>Bloco para pavimentaçao intertravado - esp= 08 cm, resistência 35 MPa</v>
          </cell>
          <cell r="C106" t="str">
            <v>m²</v>
          </cell>
          <cell r="D106">
            <v>34.83</v>
          </cell>
        </row>
        <row r="107">
          <cell r="A107">
            <v>10268</v>
          </cell>
          <cell r="B107" t="str">
            <v>Bloco para pavimentaçao intertravado - esp= 10 cm, resistência 35 MPa</v>
          </cell>
          <cell r="C107" t="str">
            <v>m²</v>
          </cell>
          <cell r="D107">
            <v>47.41</v>
          </cell>
        </row>
        <row r="108">
          <cell r="A108">
            <v>10748</v>
          </cell>
          <cell r="B108" t="str">
            <v>Bocal com rabicho</v>
          </cell>
          <cell r="C108" t="str">
            <v>un</v>
          </cell>
          <cell r="D108">
            <v>1.66</v>
          </cell>
        </row>
        <row r="109">
          <cell r="A109">
            <v>10097</v>
          </cell>
          <cell r="B109" t="str">
            <v>Bombeamento de concreto</v>
          </cell>
          <cell r="C109" t="str">
            <v>m³</v>
          </cell>
          <cell r="D109">
            <v>25</v>
          </cell>
        </row>
        <row r="110">
          <cell r="A110">
            <v>10553</v>
          </cell>
          <cell r="B110" t="str">
            <v>Bonificação de 15,0 % sobre material betuminoso</v>
          </cell>
          <cell r="C110" t="str">
            <v>%</v>
          </cell>
          <cell r="D110">
            <v>0</v>
          </cell>
        </row>
        <row r="111">
          <cell r="A111">
            <v>10355</v>
          </cell>
          <cell r="B111" t="str">
            <v>Bota borracha sem forro cano 40cm</v>
          </cell>
          <cell r="C111" t="str">
            <v>un</v>
          </cell>
          <cell r="D111">
            <v>21.38</v>
          </cell>
        </row>
        <row r="112">
          <cell r="A112">
            <v>10562</v>
          </cell>
          <cell r="B112" t="str">
            <v>Botinas de couro sem biqueira</v>
          </cell>
          <cell r="C112" t="str">
            <v>un</v>
          </cell>
          <cell r="D112">
            <v>27.23</v>
          </cell>
        </row>
        <row r="113">
          <cell r="A113">
            <v>10855</v>
          </cell>
          <cell r="B113" t="str">
            <v>Botoneira com sinal sonoro</v>
          </cell>
          <cell r="C113" t="str">
            <v>un</v>
          </cell>
          <cell r="D113">
            <v>2160</v>
          </cell>
        </row>
        <row r="114">
          <cell r="A114">
            <v>10713</v>
          </cell>
          <cell r="B114" t="str">
            <v>Braço galvanizado 101 mm - projeção 4,70 m, para sustentação de semáforos</v>
          </cell>
          <cell r="C114" t="str">
            <v>un</v>
          </cell>
          <cell r="D114">
            <v>1238.49</v>
          </cell>
        </row>
        <row r="115">
          <cell r="A115">
            <v>10119</v>
          </cell>
          <cell r="B115" t="str">
            <v>Brita graduada, especificada sem pó, sem frete</v>
          </cell>
          <cell r="C115" t="str">
            <v>m³</v>
          </cell>
          <cell r="D115">
            <v>51.32</v>
          </cell>
        </row>
        <row r="116">
          <cell r="A116">
            <v>10113</v>
          </cell>
          <cell r="B116" t="str">
            <v>Brita 0 (incl. 0% IUM) sem frete</v>
          </cell>
          <cell r="C116" t="str">
            <v>m³</v>
          </cell>
          <cell r="D116">
            <v>57.12</v>
          </cell>
        </row>
        <row r="117">
          <cell r="A117">
            <v>10114</v>
          </cell>
          <cell r="B117" t="str">
            <v>Brita 1 (incl. 0% IUM) sem frete</v>
          </cell>
          <cell r="C117" t="str">
            <v>m³</v>
          </cell>
          <cell r="D117">
            <v>49.77</v>
          </cell>
        </row>
        <row r="118">
          <cell r="A118">
            <v>10115</v>
          </cell>
          <cell r="B118" t="str">
            <v>Brita 2 (incl. 0% IUM) sem frete</v>
          </cell>
          <cell r="C118" t="str">
            <v>m³</v>
          </cell>
          <cell r="D118">
            <v>48.27</v>
          </cell>
        </row>
        <row r="119">
          <cell r="A119">
            <v>10116</v>
          </cell>
          <cell r="B119" t="str">
            <v>Brita 3 (incl. 0% IUM) sem frete</v>
          </cell>
          <cell r="C119" t="str">
            <v>m³</v>
          </cell>
          <cell r="D119">
            <v>52.62</v>
          </cell>
        </row>
        <row r="120">
          <cell r="A120">
            <v>10117</v>
          </cell>
          <cell r="B120" t="str">
            <v>Brita 4 (incl. 0% IUM) sem frete</v>
          </cell>
          <cell r="C120" t="str">
            <v>m³</v>
          </cell>
          <cell r="D120">
            <v>45.59</v>
          </cell>
        </row>
        <row r="121">
          <cell r="A121">
            <v>10047</v>
          </cell>
          <cell r="B121" t="str">
            <v>Broca para perfuratriz 714.0441 (S-12)</v>
          </cell>
          <cell r="C121" t="str">
            <v>un</v>
          </cell>
          <cell r="D121">
            <v>387.15</v>
          </cell>
        </row>
        <row r="122">
          <cell r="A122">
            <v>10048</v>
          </cell>
          <cell r="B122" t="str">
            <v>Broca para perfuratriz 714.0840 (S-12)</v>
          </cell>
          <cell r="C122" t="str">
            <v>un</v>
          </cell>
          <cell r="D122">
            <v>384.97</v>
          </cell>
        </row>
        <row r="123">
          <cell r="A123">
            <v>10049</v>
          </cell>
          <cell r="B123" t="str">
            <v>Broca para perfuratriz 714.1639 (S-12)</v>
          </cell>
          <cell r="C123" t="str">
            <v>un</v>
          </cell>
          <cell r="D123">
            <v>402.25</v>
          </cell>
        </row>
        <row r="124">
          <cell r="A124">
            <v>10050</v>
          </cell>
          <cell r="B124" t="str">
            <v>Broca para perfuratriz 714.2438 (S-12)</v>
          </cell>
          <cell r="C124" t="str">
            <v>un</v>
          </cell>
          <cell r="D124">
            <v>444.97</v>
          </cell>
        </row>
        <row r="125">
          <cell r="A125">
            <v>10051</v>
          </cell>
          <cell r="B125" t="str">
            <v>Broca para perfuratriz 714.3237 (S-12)</v>
          </cell>
          <cell r="C125" t="str">
            <v>un</v>
          </cell>
          <cell r="D125">
            <v>486.78</v>
          </cell>
        </row>
        <row r="126">
          <cell r="A126">
            <v>10052</v>
          </cell>
          <cell r="B126" t="str">
            <v>Broca para perfuratriz 714.4036 (S-12)</v>
          </cell>
          <cell r="C126" t="str">
            <v>un</v>
          </cell>
          <cell r="D126">
            <v>563.9</v>
          </cell>
        </row>
        <row r="127">
          <cell r="A127">
            <v>10053</v>
          </cell>
          <cell r="B127" t="str">
            <v>Broca para perfuratriz 714.4835 (S-12)</v>
          </cell>
          <cell r="C127" t="str">
            <v>un</v>
          </cell>
          <cell r="D127">
            <v>618.66</v>
          </cell>
        </row>
        <row r="128">
          <cell r="A128">
            <v>10054</v>
          </cell>
          <cell r="B128" t="str">
            <v>Broca para perfuratriz 714.5634 (S-12)</v>
          </cell>
          <cell r="C128" t="str">
            <v>un</v>
          </cell>
          <cell r="D128">
            <v>709.56</v>
          </cell>
        </row>
        <row r="129">
          <cell r="A129">
            <v>10055</v>
          </cell>
          <cell r="B129" t="str">
            <v>Broca para perfuratriz 714.6433 (S-12)</v>
          </cell>
          <cell r="C129" t="str">
            <v>un</v>
          </cell>
          <cell r="D129">
            <v>796.94</v>
          </cell>
        </row>
        <row r="130">
          <cell r="A130">
            <v>11011</v>
          </cell>
          <cell r="B130" t="str">
            <v>Bucha de alumínio fundido 3/4"</v>
          </cell>
          <cell r="C130" t="str">
            <v>un</v>
          </cell>
          <cell r="D130">
            <v>0.38</v>
          </cell>
        </row>
        <row r="131">
          <cell r="A131">
            <v>11566</v>
          </cell>
          <cell r="B131" t="str">
            <v>Bucha de nylon nº 20</v>
          </cell>
          <cell r="C131" t="str">
            <v>un</v>
          </cell>
          <cell r="D131">
            <v>3.11</v>
          </cell>
        </row>
        <row r="132">
          <cell r="A132">
            <v>11005</v>
          </cell>
          <cell r="B132" t="str">
            <v>Bucha plástica com parafuso - 8 mm</v>
          </cell>
          <cell r="C132" t="str">
            <v>un</v>
          </cell>
          <cell r="D132">
            <v>0.31</v>
          </cell>
        </row>
        <row r="133">
          <cell r="A133">
            <v>10170</v>
          </cell>
          <cell r="B133" t="str">
            <v>Cabo de aço polido com alma de fibra, 6 pernas 19 fios, diâm. 3/8"</v>
          </cell>
          <cell r="C133" t="str">
            <v>m</v>
          </cell>
          <cell r="D133">
            <v>9.74</v>
          </cell>
        </row>
        <row r="134">
          <cell r="A134">
            <v>11420</v>
          </cell>
          <cell r="B134" t="str">
            <v>Cabo de cobre com isolamento para 1000V (1KV), seção 2,5 mm2</v>
          </cell>
          <cell r="C134" t="str">
            <v>m</v>
          </cell>
          <cell r="D134">
            <v>1.1499999999999999</v>
          </cell>
        </row>
        <row r="135">
          <cell r="A135">
            <v>11421</v>
          </cell>
          <cell r="B135" t="str">
            <v>Cabo de cobre com isolamento para 1000V (1KV), seção 4,0 mm2</v>
          </cell>
          <cell r="C135" t="str">
            <v>m</v>
          </cell>
          <cell r="D135">
            <v>1.74</v>
          </cell>
        </row>
        <row r="136">
          <cell r="A136">
            <v>11422</v>
          </cell>
          <cell r="B136" t="str">
            <v>Cabo de cobre com isolamento para 1000V (1KV), seção 6,0 mm2</v>
          </cell>
          <cell r="C136" t="str">
            <v>m</v>
          </cell>
          <cell r="D136">
            <v>2.54</v>
          </cell>
        </row>
        <row r="137">
          <cell r="A137">
            <v>11423</v>
          </cell>
          <cell r="B137" t="str">
            <v>Cabo de cobre com isolamento para 1000V (1KV), seção 10,0 mm2</v>
          </cell>
          <cell r="C137" t="str">
            <v>m</v>
          </cell>
          <cell r="D137">
            <v>3.9</v>
          </cell>
        </row>
        <row r="138">
          <cell r="A138">
            <v>11424</v>
          </cell>
          <cell r="B138" t="str">
            <v>Cabo de cobre com isolamento para 1000V (1KV), seção 25,0 mm2</v>
          </cell>
          <cell r="C138" t="str">
            <v>m</v>
          </cell>
          <cell r="D138">
            <v>9.44</v>
          </cell>
        </row>
        <row r="139">
          <cell r="A139">
            <v>11425</v>
          </cell>
          <cell r="B139" t="str">
            <v>Cabo de cobre com isolamento para 1000V (1KV), seção 35,0 mm2</v>
          </cell>
          <cell r="C139" t="str">
            <v>m</v>
          </cell>
          <cell r="D139">
            <v>12.64</v>
          </cell>
        </row>
        <row r="140">
          <cell r="A140">
            <v>10811</v>
          </cell>
          <cell r="B140" t="str">
            <v>Cabo de cobre nú seção 35mm2</v>
          </cell>
          <cell r="C140" t="str">
            <v>m</v>
          </cell>
          <cell r="D140">
            <v>11.91</v>
          </cell>
        </row>
        <row r="141">
          <cell r="A141">
            <v>10712</v>
          </cell>
          <cell r="B141" t="str">
            <v>Cabo flexivel 2 x 1,5mm²</v>
          </cell>
          <cell r="C141" t="str">
            <v>m</v>
          </cell>
          <cell r="D141">
            <v>1.67</v>
          </cell>
        </row>
        <row r="142">
          <cell r="A142">
            <v>10711</v>
          </cell>
          <cell r="B142" t="str">
            <v>Cabo flexivel 2 x 2,5 mm²</v>
          </cell>
          <cell r="C142" t="str">
            <v>m</v>
          </cell>
          <cell r="D142">
            <v>2.33</v>
          </cell>
        </row>
        <row r="143">
          <cell r="A143">
            <v>10858</v>
          </cell>
          <cell r="B143" t="str">
            <v>Cabo flexivel 3 x 1,5 mm2</v>
          </cell>
          <cell r="C143" t="str">
            <v>m</v>
          </cell>
          <cell r="D143">
            <v>2.11</v>
          </cell>
        </row>
        <row r="144">
          <cell r="A144">
            <v>10710</v>
          </cell>
          <cell r="B144" t="str">
            <v>Cabo flexivel 4 x 1,5mm²</v>
          </cell>
          <cell r="C144" t="str">
            <v>m</v>
          </cell>
          <cell r="D144">
            <v>2.82</v>
          </cell>
        </row>
        <row r="145">
          <cell r="A145">
            <v>11010</v>
          </cell>
          <cell r="B145" t="str">
            <v>Cabo isolado 750V - 4 x 4,00 mm²</v>
          </cell>
          <cell r="C145" t="str">
            <v>m</v>
          </cell>
          <cell r="D145">
            <v>7.2</v>
          </cell>
        </row>
        <row r="146">
          <cell r="A146">
            <v>10709</v>
          </cell>
          <cell r="B146" t="str">
            <v>Cabos para rede de dados(sincronismo) blindado 2 x 20</v>
          </cell>
          <cell r="C146" t="str">
            <v>m</v>
          </cell>
          <cell r="D146">
            <v>3.52</v>
          </cell>
        </row>
        <row r="147">
          <cell r="A147">
            <v>10162</v>
          </cell>
          <cell r="B147" t="str">
            <v>Cadeado de 40mm</v>
          </cell>
          <cell r="C147" t="str">
            <v>un</v>
          </cell>
          <cell r="D147">
            <v>19.760000000000002</v>
          </cell>
        </row>
        <row r="148">
          <cell r="A148">
            <v>10817</v>
          </cell>
          <cell r="B148" t="str">
            <v>Caibros abrigo passag. 9pç 15x7x240 / 2pç 25x7x620 cm</v>
          </cell>
          <cell r="C148" t="str">
            <v>cj</v>
          </cell>
          <cell r="D148">
            <v>1213.3699999999999</v>
          </cell>
        </row>
        <row r="149">
          <cell r="A149">
            <v>10064</v>
          </cell>
          <cell r="B149" t="str">
            <v>Caibros abrigo passag. 9pç 15x7x300 / 2pç 25x7x620cm</v>
          </cell>
          <cell r="C149" t="str">
            <v>cj</v>
          </cell>
          <cell r="D149">
            <v>1527.76</v>
          </cell>
        </row>
        <row r="150">
          <cell r="A150">
            <v>10062</v>
          </cell>
          <cell r="B150" t="str">
            <v>Caibros 7 X 7 cm</v>
          </cell>
          <cell r="C150" t="str">
            <v>m</v>
          </cell>
          <cell r="D150">
            <v>8.17</v>
          </cell>
        </row>
        <row r="151">
          <cell r="A151">
            <v>10066</v>
          </cell>
          <cell r="B151" t="str">
            <v>Caibros 7 X 7 cm (pontalete)</v>
          </cell>
          <cell r="C151" t="str">
            <v>m³</v>
          </cell>
          <cell r="D151">
            <v>1666.67</v>
          </cell>
        </row>
        <row r="152">
          <cell r="A152">
            <v>10256</v>
          </cell>
          <cell r="B152" t="str">
            <v>Caixa ralo sup e inf p/ carga média</v>
          </cell>
          <cell r="C152" t="str">
            <v>cj</v>
          </cell>
          <cell r="D152">
            <v>260</v>
          </cell>
        </row>
        <row r="153">
          <cell r="A153">
            <v>10312</v>
          </cell>
          <cell r="B153" t="str">
            <v>Cal (saco de 7 kg)</v>
          </cell>
          <cell r="C153" t="str">
            <v>kg</v>
          </cell>
          <cell r="D153">
            <v>0.98</v>
          </cell>
        </row>
        <row r="154">
          <cell r="A154">
            <v>10153</v>
          </cell>
          <cell r="B154" t="str">
            <v>Calandragem, D= 38,2 cm, chapa de 6.3 mm ou 8.0 mm ou 10.0 mm</v>
          </cell>
          <cell r="C154" t="str">
            <v>m</v>
          </cell>
          <cell r="D154">
            <v>206.61</v>
          </cell>
        </row>
        <row r="155">
          <cell r="A155">
            <v>10068</v>
          </cell>
          <cell r="B155" t="str">
            <v>Cambotas de 1" (taipá de 1ª com 2,5cm)</v>
          </cell>
          <cell r="C155" t="str">
            <v>m³</v>
          </cell>
          <cell r="D155">
            <v>1164</v>
          </cell>
        </row>
        <row r="156">
          <cell r="A156">
            <v>10143</v>
          </cell>
          <cell r="B156" t="str">
            <v>Cantoneira seção - 2" X 2" x 1/8"</v>
          </cell>
          <cell r="C156" t="str">
            <v>kg</v>
          </cell>
          <cell r="D156">
            <v>3.73</v>
          </cell>
        </row>
        <row r="157">
          <cell r="A157">
            <v>10145</v>
          </cell>
          <cell r="B157" t="str">
            <v>Cantoneira seçao - 3" X 3" X 3/8"</v>
          </cell>
          <cell r="C157" t="str">
            <v>kg</v>
          </cell>
          <cell r="D157">
            <v>4.24</v>
          </cell>
        </row>
        <row r="158">
          <cell r="A158">
            <v>10144</v>
          </cell>
          <cell r="B158" t="str">
            <v>Cantoneira seçao - 4" X 4" X 3/8"</v>
          </cell>
          <cell r="C158" t="str">
            <v>kg</v>
          </cell>
          <cell r="D158">
            <v>4.2699999999999996</v>
          </cell>
        </row>
        <row r="159">
          <cell r="A159">
            <v>10169</v>
          </cell>
          <cell r="B159" t="str">
            <v>Cantoneira seção 2 1/2"x 2 1/2" x 5/16"</v>
          </cell>
          <cell r="C159" t="str">
            <v>kg</v>
          </cell>
          <cell r="D159">
            <v>4</v>
          </cell>
        </row>
        <row r="160">
          <cell r="A160">
            <v>10772</v>
          </cell>
          <cell r="B160" t="str">
            <v>CAP FLEX B (CAP c/ Borracha)</v>
          </cell>
          <cell r="C160" t="str">
            <v>t</v>
          </cell>
          <cell r="D160">
            <v>1905.13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>
            <v>10001</v>
          </cell>
          <cell r="B164" t="str">
            <v>CAP 50/70</v>
          </cell>
          <cell r="C164" t="str">
            <v>t</v>
          </cell>
          <cell r="D164">
            <v>1307.23</v>
          </cell>
        </row>
        <row r="165">
          <cell r="A165">
            <v>10353</v>
          </cell>
          <cell r="B165" t="str">
            <v>Capacete PVC triestriado completo</v>
          </cell>
          <cell r="C165" t="str">
            <v>un</v>
          </cell>
          <cell r="D165">
            <v>31.3</v>
          </cell>
        </row>
        <row r="166">
          <cell r="A166">
            <v>10622</v>
          </cell>
          <cell r="B166" t="str">
            <v>Chapa compensada resinada 06mm (dim. 2,20 x 1,10m)</v>
          </cell>
          <cell r="C166" t="str">
            <v>m²</v>
          </cell>
          <cell r="D166">
            <v>9.7799999999999994</v>
          </cell>
        </row>
        <row r="167">
          <cell r="A167">
            <v>10085</v>
          </cell>
          <cell r="B167" t="str">
            <v>Chapa compensada resinada 10mm (dim. 2,20 x 1,10m)</v>
          </cell>
          <cell r="C167" t="str">
            <v>ch</v>
          </cell>
          <cell r="D167">
            <v>29.86</v>
          </cell>
        </row>
        <row r="168">
          <cell r="A168">
            <v>11014</v>
          </cell>
          <cell r="B168" t="str">
            <v>Chapa compensada resinada 12mm (dim. 2,20 x 1,10m)</v>
          </cell>
          <cell r="C168" t="str">
            <v>m²</v>
          </cell>
          <cell r="D168">
            <v>31.77</v>
          </cell>
        </row>
        <row r="169">
          <cell r="A169">
            <v>10086</v>
          </cell>
          <cell r="B169" t="str">
            <v>Chapa compensada resinada 14mm (dim. 2,20 x 1,10m)</v>
          </cell>
          <cell r="C169" t="str">
            <v>ch</v>
          </cell>
          <cell r="D169">
            <v>48.44</v>
          </cell>
        </row>
        <row r="170">
          <cell r="A170">
            <v>10087</v>
          </cell>
          <cell r="B170" t="str">
            <v>Chapa compensada resinada 17mm (dim. 2,20 x 1,10m)</v>
          </cell>
          <cell r="C170" t="str">
            <v>ch</v>
          </cell>
          <cell r="D170">
            <v>58.98</v>
          </cell>
        </row>
        <row r="171">
          <cell r="A171">
            <v>11462</v>
          </cell>
          <cell r="B171" t="str">
            <v>Chapa de aço ASTM A572, grau 50 esp.=12,50mm,</v>
          </cell>
          <cell r="C171" t="str">
            <v>kg</v>
          </cell>
          <cell r="D171">
            <v>4.1500000000000004</v>
          </cell>
        </row>
        <row r="172">
          <cell r="A172">
            <v>10147</v>
          </cell>
          <cell r="B172" t="str">
            <v>Chapa de aço esp.= 25mm</v>
          </cell>
          <cell r="C172" t="str">
            <v>kg</v>
          </cell>
          <cell r="D172">
            <v>3.9</v>
          </cell>
        </row>
        <row r="173">
          <cell r="A173">
            <v>10146</v>
          </cell>
          <cell r="B173" t="str">
            <v>Chapa de aço esp.= 5mm</v>
          </cell>
          <cell r="C173" t="str">
            <v>kg</v>
          </cell>
          <cell r="D173">
            <v>3.72</v>
          </cell>
        </row>
        <row r="174">
          <cell r="A174">
            <v>10812</v>
          </cell>
          <cell r="B174" t="str">
            <v>Chapa de aço espessura 2mm</v>
          </cell>
          <cell r="C174" t="str">
            <v>kg</v>
          </cell>
          <cell r="D174">
            <v>3.91</v>
          </cell>
        </row>
        <row r="175">
          <cell r="A175">
            <v>10379</v>
          </cell>
          <cell r="B175" t="str">
            <v>Chapa de aço fina-frio nº 16, esp.1,5mm SAE 1008/1010</v>
          </cell>
          <cell r="C175" t="str">
            <v>m²</v>
          </cell>
          <cell r="D175">
            <v>50.88</v>
          </cell>
        </row>
        <row r="176">
          <cell r="A176">
            <v>10168</v>
          </cell>
          <cell r="B176" t="str">
            <v>Chapa de aço 1/2"</v>
          </cell>
          <cell r="C176" t="str">
            <v>kg</v>
          </cell>
          <cell r="D176">
            <v>3.54</v>
          </cell>
        </row>
        <row r="177">
          <cell r="A177">
            <v>10148</v>
          </cell>
          <cell r="B177" t="str">
            <v>Chapa de aço 1/8"</v>
          </cell>
          <cell r="C177" t="str">
            <v>kg</v>
          </cell>
          <cell r="D177">
            <v>3.73</v>
          </cell>
        </row>
        <row r="178">
          <cell r="A178">
            <v>10150</v>
          </cell>
          <cell r="B178" t="str">
            <v>Chapa de aço 3/8"</v>
          </cell>
          <cell r="C178" t="str">
            <v>kg</v>
          </cell>
          <cell r="D178">
            <v>3.54</v>
          </cell>
        </row>
        <row r="179">
          <cell r="A179">
            <v>10149</v>
          </cell>
          <cell r="B179" t="str">
            <v>Chapa de aço 6.3 mm</v>
          </cell>
          <cell r="C179" t="str">
            <v>kg</v>
          </cell>
          <cell r="D179">
            <v>3.41</v>
          </cell>
        </row>
        <row r="180">
          <cell r="A180">
            <v>10854</v>
          </cell>
          <cell r="B180" t="str">
            <v>Chapa xadrez espessura=1/4"</v>
          </cell>
          <cell r="C180" t="str">
            <v>kg</v>
          </cell>
          <cell r="D180">
            <v>4.62</v>
          </cell>
        </row>
        <row r="181">
          <cell r="A181">
            <v>10188</v>
          </cell>
          <cell r="B181" t="str">
            <v>Cilindro acetileno 8 kg (aluguel-mês)</v>
          </cell>
          <cell r="C181" t="str">
            <v>mes</v>
          </cell>
          <cell r="D181">
            <v>25</v>
          </cell>
        </row>
        <row r="182">
          <cell r="A182">
            <v>10189</v>
          </cell>
          <cell r="B182" t="str">
            <v>Cilindro oxigênio 10 kg (aluguel-mês)</v>
          </cell>
          <cell r="C182" t="str">
            <v>mes</v>
          </cell>
          <cell r="D182">
            <v>25</v>
          </cell>
        </row>
        <row r="183">
          <cell r="A183">
            <v>10092</v>
          </cell>
          <cell r="B183" t="str">
            <v>Cimento CP III</v>
          </cell>
          <cell r="C183" t="str">
            <v>kg</v>
          </cell>
          <cell r="D183">
            <v>0.48</v>
          </cell>
        </row>
        <row r="184">
          <cell r="A184">
            <v>10357</v>
          </cell>
          <cell r="B184" t="str">
            <v>Cinto segurança nylon</v>
          </cell>
          <cell r="C184" t="str">
            <v>un</v>
          </cell>
          <cell r="D184">
            <v>38.950000000000003</v>
          </cell>
        </row>
        <row r="185">
          <cell r="A185">
            <v>10171</v>
          </cell>
          <cell r="B185" t="str">
            <v>Clips para cabo de aço diam. 3/8"</v>
          </cell>
          <cell r="C185" t="str">
            <v>un</v>
          </cell>
          <cell r="D185">
            <v>1.1299999999999999</v>
          </cell>
        </row>
        <row r="186">
          <cell r="A186">
            <v>10006</v>
          </cell>
          <cell r="B186" t="str">
            <v>CM - 30</v>
          </cell>
          <cell r="C186" t="str">
            <v>t</v>
          </cell>
          <cell r="D186">
            <v>2099.09</v>
          </cell>
        </row>
        <row r="187">
          <cell r="A187">
            <v>10362</v>
          </cell>
          <cell r="B187" t="str">
            <v>Cola a base de poliester</v>
          </cell>
          <cell r="C187" t="str">
            <v>kg</v>
          </cell>
          <cell r="D187">
            <v>17.079999999999998</v>
          </cell>
        </row>
        <row r="188">
          <cell r="A188">
            <v>11427</v>
          </cell>
          <cell r="B188" t="str">
            <v>Concreto pronto - 15 MPa - DT = 50 km</v>
          </cell>
          <cell r="C188" t="str">
            <v>m³</v>
          </cell>
          <cell r="D188">
            <v>236.48</v>
          </cell>
        </row>
        <row r="189">
          <cell r="A189">
            <v>11428</v>
          </cell>
          <cell r="B189" t="str">
            <v>Concreto pronto - 20 MPa - DT = 50 km</v>
          </cell>
          <cell r="C189" t="str">
            <v>m³</v>
          </cell>
          <cell r="D189">
            <v>239.69</v>
          </cell>
        </row>
        <row r="190">
          <cell r="A190">
            <v>11426</v>
          </cell>
          <cell r="B190" t="str">
            <v>Concreto pronto - 25 MPa - DT = 50 km</v>
          </cell>
          <cell r="C190" t="str">
            <v>m³</v>
          </cell>
          <cell r="D190">
            <v>249.69</v>
          </cell>
        </row>
        <row r="191">
          <cell r="A191">
            <v>11406</v>
          </cell>
          <cell r="B191" t="str">
            <v>Concreto pronto - 30 MPa - DT = 50 km</v>
          </cell>
          <cell r="C191" t="str">
            <v>m³</v>
          </cell>
          <cell r="D191">
            <v>255.87</v>
          </cell>
        </row>
        <row r="192">
          <cell r="A192">
            <v>11481</v>
          </cell>
          <cell r="B192" t="str">
            <v>Concreto pronto - 35 MPa - DT = 50 km</v>
          </cell>
          <cell r="C192" t="str">
            <v>m³</v>
          </cell>
          <cell r="D192">
            <v>260.39999999999998</v>
          </cell>
        </row>
        <row r="193">
          <cell r="A193">
            <v>11482</v>
          </cell>
          <cell r="B193" t="str">
            <v>Concreto pronto - 40 MPa - DT = 50 km</v>
          </cell>
          <cell r="C193" t="str">
            <v>m³</v>
          </cell>
          <cell r="D193">
            <v>272.48</v>
          </cell>
        </row>
        <row r="194">
          <cell r="A194">
            <v>10283</v>
          </cell>
          <cell r="B194" t="str">
            <v>Cone de ancoragem ativo 12 fios de 1/2"</v>
          </cell>
          <cell r="C194" t="str">
            <v>un</v>
          </cell>
          <cell r="D194">
            <v>1151.5</v>
          </cell>
        </row>
        <row r="195">
          <cell r="A195">
            <v>10364</v>
          </cell>
          <cell r="B195" t="str">
            <v>Cone para sinalizaçao, h=50cm</v>
          </cell>
          <cell r="C195" t="str">
            <v>un</v>
          </cell>
          <cell r="D195">
            <v>12.51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10765</v>
          </cell>
          <cell r="B197" t="str">
            <v>Conjunto Moto Bomba submersível de 15 CV - Marca Flygt - Modelo 3153/LT622 ou similar</v>
          </cell>
          <cell r="C197" t="str">
            <v>un</v>
          </cell>
          <cell r="D197">
            <v>24446</v>
          </cell>
        </row>
        <row r="198">
          <cell r="A198">
            <v>11004</v>
          </cell>
          <cell r="B198" t="str">
            <v>Conjunto vedação elástica</v>
          </cell>
          <cell r="C198" t="str">
            <v>un</v>
          </cell>
          <cell r="D198">
            <v>1.1000000000000001</v>
          </cell>
        </row>
        <row r="199">
          <cell r="A199">
            <v>10651</v>
          </cell>
          <cell r="B199" t="str">
            <v>Contra porca sextavada</v>
          </cell>
          <cell r="C199" t="str">
            <v>un</v>
          </cell>
          <cell r="D199">
            <v>23</v>
          </cell>
        </row>
        <row r="200">
          <cell r="A200">
            <v>10796</v>
          </cell>
          <cell r="B200" t="str">
            <v>Contra porca sextavada para tirante Rocsolo</v>
          </cell>
          <cell r="C200" t="str">
            <v>un</v>
          </cell>
          <cell r="D200">
            <v>23</v>
          </cell>
        </row>
        <row r="201">
          <cell r="A201">
            <v>10614</v>
          </cell>
          <cell r="B201" t="str">
            <v>Contra-porca de ancoragem, sextavada, GEWI, para protensão com altura de 35mm</v>
          </cell>
          <cell r="C201" t="str">
            <v>un</v>
          </cell>
          <cell r="D201">
            <v>27.5</v>
          </cell>
        </row>
        <row r="202">
          <cell r="A202">
            <v>10708</v>
          </cell>
          <cell r="B202" t="str">
            <v>Controlador eletronico microprocessado 6/6 fases</v>
          </cell>
          <cell r="C202" t="str">
            <v>un</v>
          </cell>
          <cell r="D202">
            <v>12170.67</v>
          </cell>
        </row>
        <row r="203">
          <cell r="A203">
            <v>10856</v>
          </cell>
          <cell r="B203" t="str">
            <v>Controlador microprocessado 4 fases</v>
          </cell>
          <cell r="C203" t="str">
            <v>un</v>
          </cell>
          <cell r="D203">
            <v>11370.78</v>
          </cell>
        </row>
        <row r="204">
          <cell r="A204">
            <v>11476</v>
          </cell>
          <cell r="B204" t="str">
            <v>Cópia Xerox - formato A4</v>
          </cell>
          <cell r="C204" t="str">
            <v>un</v>
          </cell>
          <cell r="D204">
            <v>0.22</v>
          </cell>
        </row>
        <row r="205">
          <cell r="A205">
            <v>10045</v>
          </cell>
          <cell r="B205" t="str">
            <v>Cordel detonante</v>
          </cell>
          <cell r="C205" t="str">
            <v>m</v>
          </cell>
          <cell r="D205">
            <v>0.8</v>
          </cell>
        </row>
        <row r="206">
          <cell r="A206">
            <v>10644</v>
          </cell>
          <cell r="B206" t="str">
            <v>Coroa para diamante NX</v>
          </cell>
          <cell r="C206" t="str">
            <v>un</v>
          </cell>
          <cell r="D206">
            <v>740</v>
          </cell>
        </row>
        <row r="207">
          <cell r="A207">
            <v>10774</v>
          </cell>
          <cell r="B207" t="str">
            <v>Curva de aço 90° para eletroduto 3/4"</v>
          </cell>
          <cell r="C207" t="str">
            <v>un</v>
          </cell>
          <cell r="D207">
            <v>6.53</v>
          </cell>
        </row>
        <row r="208">
          <cell r="A208">
            <v>11007</v>
          </cell>
          <cell r="B208" t="str">
            <v>Curva de PVC rígido para eletroduto 3/4"</v>
          </cell>
          <cell r="C208" t="str">
            <v>un</v>
          </cell>
          <cell r="D208">
            <v>1.53</v>
          </cell>
        </row>
        <row r="209">
          <cell r="A209">
            <v>10689</v>
          </cell>
          <cell r="B209" t="str">
            <v>Curva de 90° PVC junta elástica ponta e bolsa PBA, diam 75mm</v>
          </cell>
          <cell r="C209" t="str">
            <v>un</v>
          </cell>
          <cell r="D209">
            <v>39.68</v>
          </cell>
        </row>
        <row r="210">
          <cell r="A210">
            <v>10879</v>
          </cell>
          <cell r="B210" t="str">
            <v>Custo médio tabuleiro vigas pré-moldadas CL.45 c/ ou s/ laje entre vigas, vão 10m, incl. desc.e asse</v>
          </cell>
          <cell r="C210" t="str">
            <v>m²</v>
          </cell>
          <cell r="D210">
            <v>2252.87</v>
          </cell>
        </row>
        <row r="211">
          <cell r="A211">
            <v>10880</v>
          </cell>
          <cell r="B211" t="str">
            <v>Custo médio tabuleiro vigas pré-moldadas CL.45 c/ ou s/ laje entre vigas, vão 11m, incl. desc.e asse</v>
          </cell>
          <cell r="C211" t="str">
            <v>m²</v>
          </cell>
          <cell r="D211">
            <v>2211.27</v>
          </cell>
        </row>
        <row r="212">
          <cell r="A212">
            <v>10881</v>
          </cell>
          <cell r="B212" t="str">
            <v>Custo médio tabuleiro vigas pré-moldadas CL.45 c/ ou s/ laje entre vigas, vão 12m, incl. desc.e asse</v>
          </cell>
          <cell r="C212" t="str">
            <v>m²</v>
          </cell>
          <cell r="D212">
            <v>2436.69</v>
          </cell>
        </row>
        <row r="213">
          <cell r="A213">
            <v>10882</v>
          </cell>
          <cell r="B213" t="str">
            <v>Custo médio tabuleiro vigas pré-moldadas CL.45 c/ ou s/ laje entre vigas, vão 13m, incl. desc.e asse</v>
          </cell>
          <cell r="C213" t="str">
            <v>m²</v>
          </cell>
          <cell r="D213">
            <v>2545.37</v>
          </cell>
        </row>
        <row r="214">
          <cell r="A214">
            <v>10883</v>
          </cell>
          <cell r="B214" t="str">
            <v>Custo médio tabuleiro vigas pré-moldadas CL.45 c/ ou s/ laje entre vigas, vão 14m, incl. desc.e asse</v>
          </cell>
          <cell r="C214" t="str">
            <v>m²</v>
          </cell>
          <cell r="D214">
            <v>2609.8000000000002</v>
          </cell>
        </row>
        <row r="215">
          <cell r="A215">
            <v>10884</v>
          </cell>
          <cell r="B215" t="str">
            <v>Custo médio tabuleiro vigas pré-moldadas CL.45 c/ ou s/ laje entre vigas, vão 15m, incl. desc.e asse</v>
          </cell>
          <cell r="C215" t="str">
            <v>m²</v>
          </cell>
          <cell r="D215">
            <v>2637.5</v>
          </cell>
        </row>
        <row r="216">
          <cell r="A216">
            <v>10873</v>
          </cell>
          <cell r="B216" t="str">
            <v>Custo médio tabuleiro vigas pré-moldadas CL.45 c/ ou s/ laje entre vigas, vão 4m, incl. desc.e assen</v>
          </cell>
          <cell r="C216" t="str">
            <v>m²</v>
          </cell>
          <cell r="D216">
            <v>1746.94</v>
          </cell>
        </row>
        <row r="217">
          <cell r="A217">
            <v>10874</v>
          </cell>
          <cell r="B217" t="str">
            <v>Custo médio tabuleiro vigas pré-moldadas CL.45 c/ ou s/ laje entre vigas, vão 5 m, incl. desc.e asse</v>
          </cell>
          <cell r="C217" t="str">
            <v>m²</v>
          </cell>
          <cell r="D217">
            <v>1779.12</v>
          </cell>
        </row>
        <row r="218">
          <cell r="A218">
            <v>10875</v>
          </cell>
          <cell r="B218" t="str">
            <v>Custo médio tabuleiro vigas pré-moldadas CL.45 c/ ou s/ laje entre vigas, vão 6m, incl. desc.e assen</v>
          </cell>
          <cell r="C218" t="str">
            <v>m²</v>
          </cell>
          <cell r="D218">
            <v>1826.34</v>
          </cell>
        </row>
        <row r="219">
          <cell r="A219">
            <v>10876</v>
          </cell>
          <cell r="B219" t="str">
            <v>Custo médio tabuleiro vigas pré-moldadas CL.45 c/ ou s/ laje entre vigas, vão 7m, incl. desc.e assen</v>
          </cell>
          <cell r="C219" t="str">
            <v>m²</v>
          </cell>
          <cell r="D219">
            <v>2049.88</v>
          </cell>
        </row>
        <row r="220">
          <cell r="A220">
            <v>10877</v>
          </cell>
          <cell r="B220" t="str">
            <v>Custo médio tabuleiro vigas pré-moldadas CL.45 c/ ou s/ laje entre vigas, vão 8m, incl. desc.e assen</v>
          </cell>
          <cell r="C220" t="str">
            <v>m²</v>
          </cell>
          <cell r="D220">
            <v>2194.36</v>
          </cell>
        </row>
        <row r="221">
          <cell r="A221">
            <v>10878</v>
          </cell>
          <cell r="B221" t="str">
            <v>Custo médio tabuleiro vigas pré-moldadas CL.45 c/ ou s/ laje entre vigas, vão 9m, incl. desc.e assen</v>
          </cell>
          <cell r="C221" t="str">
            <v>m²</v>
          </cell>
          <cell r="D221">
            <v>2263.6799999999998</v>
          </cell>
        </row>
        <row r="222">
          <cell r="A222">
            <v>10342</v>
          </cell>
          <cell r="B222" t="str">
            <v>Defensa (lâmina 4 m, espessura = 3 mm) - semi maleável</v>
          </cell>
          <cell r="C222" t="str">
            <v>m</v>
          </cell>
          <cell r="D222">
            <v>183.67</v>
          </cell>
        </row>
        <row r="223">
          <cell r="A223">
            <v>10208</v>
          </cell>
          <cell r="B223" t="str">
            <v>Desengraxante alcalino (Solupan)</v>
          </cell>
          <cell r="C223" t="str">
            <v>kg</v>
          </cell>
          <cell r="D223">
            <v>5.25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11020</v>
          </cell>
          <cell r="B225" t="str">
            <v>Diária</v>
          </cell>
          <cell r="C225" t="str">
            <v>dia</v>
          </cell>
          <cell r="D225">
            <v>112</v>
          </cell>
        </row>
        <row r="226">
          <cell r="A226">
            <v>10040</v>
          </cell>
          <cell r="B226" t="str">
            <v>Dinamite a 60%</v>
          </cell>
          <cell r="C226" t="str">
            <v>kg</v>
          </cell>
          <cell r="D226">
            <v>6.51</v>
          </cell>
        </row>
        <row r="227">
          <cell r="A227">
            <v>10029</v>
          </cell>
          <cell r="B227" t="str">
            <v>Dope</v>
          </cell>
          <cell r="C227" t="str">
            <v>kg</v>
          </cell>
          <cell r="D227">
            <v>32.630000000000003</v>
          </cell>
        </row>
        <row r="228">
          <cell r="A228">
            <v>10028</v>
          </cell>
          <cell r="B228" t="str">
            <v>Dope AT</v>
          </cell>
          <cell r="C228" t="str">
            <v>t</v>
          </cell>
          <cell r="D228">
            <v>32630</v>
          </cell>
        </row>
        <row r="229">
          <cell r="A229">
            <v>10185</v>
          </cell>
          <cell r="B229" t="str">
            <v>Eletrodo para soldas - OK 4804</v>
          </cell>
          <cell r="C229" t="str">
            <v>kg</v>
          </cell>
          <cell r="D229">
            <v>13.75</v>
          </cell>
        </row>
        <row r="230">
          <cell r="A230">
            <v>10775</v>
          </cell>
          <cell r="B230" t="str">
            <v>Eletroduto de aço com costura galvanizada 3/4"</v>
          </cell>
          <cell r="C230" t="str">
            <v>m</v>
          </cell>
          <cell r="D230">
            <v>10.29</v>
          </cell>
        </row>
        <row r="231">
          <cell r="A231">
            <v>10809</v>
          </cell>
          <cell r="B231" t="str">
            <v>Eletroduto de aço galvanizado d=1 1/4"</v>
          </cell>
          <cell r="C231" t="str">
            <v>m</v>
          </cell>
          <cell r="D231">
            <v>19.77</v>
          </cell>
        </row>
        <row r="232">
          <cell r="A232">
            <v>11479</v>
          </cell>
          <cell r="B232" t="str">
            <v>Eletroduto de aço galvanizado d=6"</v>
          </cell>
          <cell r="C232" t="str">
            <v>m</v>
          </cell>
          <cell r="D232">
            <v>123.78</v>
          </cell>
        </row>
        <row r="233">
          <cell r="A233">
            <v>10763</v>
          </cell>
          <cell r="B233" t="str">
            <v>Eletroduto de ferro galvanizado DN 4"</v>
          </cell>
          <cell r="C233" t="str">
            <v>m</v>
          </cell>
          <cell r="D233">
            <v>37.96</v>
          </cell>
        </row>
        <row r="234">
          <cell r="A234">
            <v>11467</v>
          </cell>
          <cell r="B234" t="str">
            <v>Eletroduto de ferro galvanizado d=2"</v>
          </cell>
          <cell r="C234" t="str">
            <v>vr</v>
          </cell>
          <cell r="D234">
            <v>193.82</v>
          </cell>
        </row>
        <row r="235">
          <cell r="A235">
            <v>10715</v>
          </cell>
          <cell r="B235" t="str">
            <v>Eletroduto de PVC diâmetro 65mm</v>
          </cell>
          <cell r="C235" t="str">
            <v>m</v>
          </cell>
          <cell r="D235">
            <v>15.93</v>
          </cell>
        </row>
        <row r="236">
          <cell r="A236">
            <v>11006</v>
          </cell>
          <cell r="B236" t="str">
            <v>Eletroduto de PVC rígido d=3/4"</v>
          </cell>
          <cell r="C236" t="str">
            <v>m</v>
          </cell>
          <cell r="D236">
            <v>2.2799999999999998</v>
          </cell>
        </row>
        <row r="237">
          <cell r="A237">
            <v>10810</v>
          </cell>
          <cell r="B237" t="str">
            <v>Eletroduto de PVC rígido d=4"</v>
          </cell>
          <cell r="C237" t="str">
            <v>m</v>
          </cell>
          <cell r="D237">
            <v>29.25</v>
          </cell>
        </row>
        <row r="238">
          <cell r="A238">
            <v>10685</v>
          </cell>
          <cell r="B238" t="str">
            <v>Eletroduto de PVC rígido roscável diâm.50mm</v>
          </cell>
          <cell r="C238" t="str">
            <v>m</v>
          </cell>
          <cell r="D238">
            <v>5.99</v>
          </cell>
        </row>
        <row r="239">
          <cell r="A239">
            <v>10686</v>
          </cell>
          <cell r="B239" t="str">
            <v>Eletroduto de PVC rígido roscável diâm.75mm</v>
          </cell>
          <cell r="C239" t="str">
            <v>m</v>
          </cell>
          <cell r="D239">
            <v>14</v>
          </cell>
        </row>
        <row r="240">
          <cell r="A240">
            <v>10694</v>
          </cell>
          <cell r="B240" t="str">
            <v>Eletroduto Kanaflex diâmetro 1 1/2</v>
          </cell>
          <cell r="C240" t="str">
            <v>m</v>
          </cell>
          <cell r="D240">
            <v>8.2799999999999994</v>
          </cell>
        </row>
        <row r="241">
          <cell r="A241">
            <v>10693</v>
          </cell>
          <cell r="B241" t="str">
            <v>Eletroduto Kanaflex diâmetro 1 1/4</v>
          </cell>
          <cell r="C241" t="str">
            <v>m</v>
          </cell>
          <cell r="D241">
            <v>6.14</v>
          </cell>
        </row>
        <row r="242">
          <cell r="A242">
            <v>10696</v>
          </cell>
          <cell r="B242" t="str">
            <v>Eletroduto Kanaflex diâmetro 2</v>
          </cell>
          <cell r="C242" t="str">
            <v>m</v>
          </cell>
          <cell r="D242">
            <v>10.92</v>
          </cell>
        </row>
        <row r="243">
          <cell r="A243">
            <v>10695</v>
          </cell>
          <cell r="B243" t="str">
            <v>Eletroduto Kanaflex diâmetro 4</v>
          </cell>
          <cell r="C243" t="str">
            <v>m</v>
          </cell>
          <cell r="D243">
            <v>20.71</v>
          </cell>
        </row>
        <row r="244">
          <cell r="A244">
            <v>10777</v>
          </cell>
          <cell r="B244" t="str">
            <v>Emulsão RC-1C-E</v>
          </cell>
          <cell r="C244" t="str">
            <v>t</v>
          </cell>
          <cell r="D244">
            <v>1548.07</v>
          </cell>
        </row>
        <row r="245">
          <cell r="A245">
            <v>10011</v>
          </cell>
          <cell r="B245" t="str">
            <v>Emulsao RL-1C</v>
          </cell>
          <cell r="C245" t="str">
            <v>t</v>
          </cell>
          <cell r="D245">
            <v>1132.49</v>
          </cell>
        </row>
        <row r="246">
          <cell r="A246">
            <v>10022</v>
          </cell>
          <cell r="B246" t="str">
            <v>Emulsão RL-1C- FLEX (Emulflex RL-1C-E)</v>
          </cell>
          <cell r="C246" t="str">
            <v>t</v>
          </cell>
          <cell r="D246">
            <v>1428</v>
          </cell>
        </row>
        <row r="247">
          <cell r="A247">
            <v>10008</v>
          </cell>
          <cell r="B247" t="str">
            <v>Emulsao RM-1C</v>
          </cell>
          <cell r="C247" t="str">
            <v>t</v>
          </cell>
          <cell r="D247">
            <v>1209.01</v>
          </cell>
        </row>
        <row r="248">
          <cell r="A248">
            <v>10009</v>
          </cell>
          <cell r="B248" t="str">
            <v>Emulsão RR-1C</v>
          </cell>
          <cell r="C248" t="str">
            <v>t</v>
          </cell>
          <cell r="D248">
            <v>1016.32</v>
          </cell>
        </row>
        <row r="249">
          <cell r="A249">
            <v>10020</v>
          </cell>
          <cell r="B249" t="str">
            <v>Emulsão RR-1C-E</v>
          </cell>
          <cell r="C249" t="str">
            <v>t</v>
          </cell>
          <cell r="D249">
            <v>1783.21</v>
          </cell>
        </row>
        <row r="250">
          <cell r="A250">
            <v>10010</v>
          </cell>
          <cell r="B250" t="str">
            <v>Emulsao RR-2C</v>
          </cell>
          <cell r="C250" t="str">
            <v>t</v>
          </cell>
          <cell r="D250">
            <v>1070.4100000000001</v>
          </cell>
        </row>
        <row r="251">
          <cell r="A251">
            <v>10021</v>
          </cell>
          <cell r="B251" t="str">
            <v>Emulsão RR-2C-FLEX (Emulflex RR-2C-E)</v>
          </cell>
          <cell r="C251" t="str">
            <v>t</v>
          </cell>
          <cell r="D251">
            <v>1508</v>
          </cell>
        </row>
        <row r="252">
          <cell r="A252">
            <v>10104</v>
          </cell>
          <cell r="B252" t="str">
            <v>Endurecedor químico de superfícies de concreto aplicado, referência -Sikafloor Cure Hard 24 da Sika</v>
          </cell>
          <cell r="C252" t="str">
            <v>l</v>
          </cell>
          <cell r="D252">
            <v>4.7</v>
          </cell>
        </row>
        <row r="253">
          <cell r="A253">
            <v>10427</v>
          </cell>
          <cell r="B253" t="str">
            <v>Equipamento completo de topografia</v>
          </cell>
          <cell r="C253" t="str">
            <v>mes</v>
          </cell>
          <cell r="D253">
            <v>3400</v>
          </cell>
        </row>
        <row r="254">
          <cell r="A254">
            <v>10073</v>
          </cell>
          <cell r="B254" t="str">
            <v>Escoras de eucalipto (4,00m - D=0,10m)</v>
          </cell>
          <cell r="C254" t="str">
            <v>dz</v>
          </cell>
          <cell r="D254">
            <v>57.95</v>
          </cell>
        </row>
        <row r="255">
          <cell r="A255">
            <v>10123</v>
          </cell>
          <cell r="B255" t="str">
            <v>Escória de aciaria, posto em Vitória</v>
          </cell>
          <cell r="C255" t="str">
            <v>t</v>
          </cell>
          <cell r="D255">
            <v>21.5</v>
          </cell>
        </row>
        <row r="256">
          <cell r="A256">
            <v>10207</v>
          </cell>
          <cell r="B256" t="str">
            <v>Escova de Aço 18 x 6 cm</v>
          </cell>
          <cell r="C256" t="str">
            <v>un</v>
          </cell>
          <cell r="D256">
            <v>5.36</v>
          </cell>
        </row>
        <row r="257">
          <cell r="A257">
            <v>10369</v>
          </cell>
          <cell r="B257" t="str">
            <v>Esmalte sintético brilhante secagem rápida</v>
          </cell>
          <cell r="C257" t="str">
            <v>Gl</v>
          </cell>
          <cell r="D257">
            <v>63.62</v>
          </cell>
        </row>
        <row r="258">
          <cell r="A258">
            <v>10370</v>
          </cell>
          <cell r="B258" t="str">
            <v>Esmalte sintético fosco secagem rápida</v>
          </cell>
          <cell r="C258" t="str">
            <v>Gl</v>
          </cell>
          <cell r="D258">
            <v>80.78</v>
          </cell>
        </row>
        <row r="259">
          <cell r="A259">
            <v>10044</v>
          </cell>
          <cell r="B259" t="str">
            <v>Espoleta elétrica nº 8 - 3 metros</v>
          </cell>
          <cell r="C259" t="str">
            <v>un</v>
          </cell>
          <cell r="D259">
            <v>42</v>
          </cell>
        </row>
        <row r="260">
          <cell r="A260">
            <v>10043</v>
          </cell>
          <cell r="B260" t="str">
            <v>Espoleta simples</v>
          </cell>
          <cell r="C260" t="str">
            <v>un</v>
          </cell>
          <cell r="D260">
            <v>1.53</v>
          </cell>
        </row>
        <row r="261">
          <cell r="A261">
            <v>11468</v>
          </cell>
          <cell r="B261" t="str">
            <v>Estaca de concreto pré-moldada, carga 40T</v>
          </cell>
          <cell r="C261" t="str">
            <v>m</v>
          </cell>
          <cell r="D261">
            <v>63</v>
          </cell>
        </row>
        <row r="262">
          <cell r="A262">
            <v>11469</v>
          </cell>
          <cell r="B262" t="str">
            <v>Estaca de concreto pré-moldada, carga 60T</v>
          </cell>
          <cell r="C262" t="str">
            <v>m</v>
          </cell>
          <cell r="D262">
            <v>72</v>
          </cell>
        </row>
        <row r="263">
          <cell r="A263">
            <v>11470</v>
          </cell>
          <cell r="B263" t="str">
            <v>Estaca de concreto pré-moldada, carga 90T</v>
          </cell>
          <cell r="C263" t="str">
            <v>m</v>
          </cell>
          <cell r="D263">
            <v>99</v>
          </cell>
        </row>
        <row r="264">
          <cell r="A264">
            <v>10720</v>
          </cell>
          <cell r="B264" t="str">
            <v>Estaca prancha de aço até 4000 mm</v>
          </cell>
          <cell r="C264" t="str">
            <v>kg</v>
          </cell>
          <cell r="D264">
            <v>7.8</v>
          </cell>
        </row>
        <row r="265">
          <cell r="A265">
            <v>10425</v>
          </cell>
          <cell r="B265" t="str">
            <v>Estaçao total LEICA TC-800</v>
          </cell>
          <cell r="C265" t="str">
            <v>mes</v>
          </cell>
          <cell r="D265">
            <v>1400</v>
          </cell>
        </row>
        <row r="266">
          <cell r="A266">
            <v>10426</v>
          </cell>
          <cell r="B266" t="str">
            <v>Estaçao total WILD TC-600</v>
          </cell>
          <cell r="C266" t="str">
            <v>mes</v>
          </cell>
          <cell r="D266">
            <v>1500</v>
          </cell>
        </row>
        <row r="267">
          <cell r="A267">
            <v>10078</v>
          </cell>
          <cell r="B267" t="str">
            <v>Esticador com catraca</v>
          </cell>
          <cell r="C267" t="str">
            <v>un</v>
          </cell>
          <cell r="D267">
            <v>4.8099999999999996</v>
          </cell>
        </row>
        <row r="268">
          <cell r="A268">
            <v>11531</v>
          </cell>
          <cell r="B268" t="str">
            <v>Estopa de 2ª</v>
          </cell>
          <cell r="C268" t="str">
            <v>kg</v>
          </cell>
          <cell r="D268">
            <v>33.450000000000003</v>
          </cell>
        </row>
        <row r="269">
          <cell r="A269">
            <v>10042</v>
          </cell>
          <cell r="B269" t="str">
            <v>Estopim simples</v>
          </cell>
          <cell r="C269" t="str">
            <v>m</v>
          </cell>
          <cell r="D269">
            <v>1.22</v>
          </cell>
        </row>
        <row r="270">
          <cell r="A270">
            <v>11533</v>
          </cell>
          <cell r="B270" t="str">
            <v>Fibromanta Projetada, aplicada</v>
          </cell>
          <cell r="C270" t="str">
            <v>m²</v>
          </cell>
          <cell r="D270">
            <v>7.2</v>
          </cell>
        </row>
        <row r="271">
          <cell r="A271">
            <v>10098</v>
          </cell>
          <cell r="B271" t="str">
            <v>Filler</v>
          </cell>
          <cell r="C271" t="str">
            <v>t</v>
          </cell>
          <cell r="D271">
            <v>100</v>
          </cell>
        </row>
        <row r="272">
          <cell r="A272">
            <v>11021</v>
          </cell>
          <cell r="B272" t="str">
            <v>Filmagem para Consulta / Audiência Publica</v>
          </cell>
          <cell r="C272" t="str">
            <v>un</v>
          </cell>
          <cell r="D272">
            <v>620</v>
          </cell>
        </row>
        <row r="273">
          <cell r="A273">
            <v>11516</v>
          </cell>
          <cell r="B273" t="str">
            <v>Fio diamantado</v>
          </cell>
          <cell r="C273" t="str">
            <v>m</v>
          </cell>
          <cell r="D273">
            <v>225.14</v>
          </cell>
        </row>
        <row r="274">
          <cell r="A274">
            <v>10773</v>
          </cell>
          <cell r="B274" t="str">
            <v>Fio isolado de PVC 705V -70°C - baixa tensão 6mm²</v>
          </cell>
          <cell r="C274" t="str">
            <v>m</v>
          </cell>
          <cell r="D274">
            <v>2.0099999999999998</v>
          </cell>
        </row>
        <row r="275">
          <cell r="A275">
            <v>11009</v>
          </cell>
          <cell r="B275" t="str">
            <v>Fio isolado em PVC 4,00 mm² - 750V</v>
          </cell>
          <cell r="C275" t="str">
            <v>m</v>
          </cell>
          <cell r="D275">
            <v>1.36</v>
          </cell>
        </row>
        <row r="276">
          <cell r="A276">
            <v>10744</v>
          </cell>
          <cell r="B276" t="str">
            <v>Fio paralelo de cobre (2,50mm²)</v>
          </cell>
          <cell r="C276" t="str">
            <v>m</v>
          </cell>
          <cell r="D276">
            <v>1.88</v>
          </cell>
        </row>
        <row r="277">
          <cell r="A277">
            <v>11472</v>
          </cell>
          <cell r="B277" t="str">
            <v>Fita isolante NR 33 19m x 20mm</v>
          </cell>
          <cell r="C277" t="str">
            <v>rl</v>
          </cell>
          <cell r="D277">
            <v>9.4499999999999993</v>
          </cell>
        </row>
        <row r="278">
          <cell r="A278">
            <v>11260</v>
          </cell>
          <cell r="B278" t="str">
            <v>Formicida - referência:macro e microgranulado tipo Mirex</v>
          </cell>
          <cell r="C278" t="str">
            <v>Kg</v>
          </cell>
          <cell r="D278">
            <v>10.1</v>
          </cell>
        </row>
        <row r="279">
          <cell r="A279">
            <v>11253</v>
          </cell>
          <cell r="B279" t="str">
            <v>Fosfato natural</v>
          </cell>
          <cell r="C279" t="str">
            <v>kg</v>
          </cell>
          <cell r="D279">
            <v>2.96</v>
          </cell>
        </row>
        <row r="280">
          <cell r="A280">
            <v>10780</v>
          </cell>
          <cell r="B280" t="str">
            <v>Fotocélula para acionamento automático de luminária</v>
          </cell>
          <cell r="C280" t="str">
            <v>un</v>
          </cell>
          <cell r="D280">
            <v>19.71</v>
          </cell>
        </row>
        <row r="281">
          <cell r="A281">
            <v>10786</v>
          </cell>
          <cell r="B281" t="str">
            <v>Fundo preparador de superfície</v>
          </cell>
          <cell r="C281" t="str">
            <v>um</v>
          </cell>
          <cell r="D281">
            <v>14.11</v>
          </cell>
        </row>
        <row r="282">
          <cell r="A282">
            <v>10158</v>
          </cell>
          <cell r="B282" t="str">
            <v>Gabião malha hex. 8X10mm PVC, e= 2,4mm, dimensões = 1,00 m</v>
          </cell>
          <cell r="C282" t="str">
            <v>m³</v>
          </cell>
          <cell r="D282">
            <v>163.34</v>
          </cell>
        </row>
        <row r="283">
          <cell r="A283">
            <v>10157</v>
          </cell>
          <cell r="B283" t="str">
            <v>Gabião malha hex. 8X10mm PVC, e-&gt; 2,7mm, h-&gt; 0,50m</v>
          </cell>
          <cell r="C283" t="str">
            <v>m³</v>
          </cell>
          <cell r="D283">
            <v>248.43</v>
          </cell>
        </row>
        <row r="284">
          <cell r="A284">
            <v>10155</v>
          </cell>
          <cell r="B284" t="str">
            <v>Gabião malha hex. 8X10mm ZN/AL, e-&gt; 2,7mm, h-&gt; 0,50m</v>
          </cell>
          <cell r="C284" t="str">
            <v>m³</v>
          </cell>
          <cell r="D284">
            <v>197.4</v>
          </cell>
        </row>
        <row r="285">
          <cell r="A285">
            <v>10156</v>
          </cell>
          <cell r="B285" t="str">
            <v>Gabião malha hex. 8X10mm ZN/AL, e= 2,7mm, h =1,00m</v>
          </cell>
          <cell r="C285" t="str">
            <v>m³</v>
          </cell>
          <cell r="D285">
            <v>144.27000000000001</v>
          </cell>
        </row>
        <row r="286">
          <cell r="A286">
            <v>10176</v>
          </cell>
          <cell r="B286" t="str">
            <v>Gabião manta hex. 6X8mm Zn-Al/PVC, e=2,8mm, h=0,23m, para revestimento de canal</v>
          </cell>
          <cell r="C286" t="str">
            <v>m²</v>
          </cell>
          <cell r="D286">
            <v>73.290000000000006</v>
          </cell>
        </row>
        <row r="287">
          <cell r="A287">
            <v>10853</v>
          </cell>
          <cell r="B287" t="str">
            <v>Gabião tipo saco malha hex. de dupla torção 8x10mm PVC e=2,7mm e diâmetro 0,65m</v>
          </cell>
          <cell r="C287" t="str">
            <v>m³</v>
          </cell>
          <cell r="D287">
            <v>175.14</v>
          </cell>
        </row>
        <row r="288">
          <cell r="A288">
            <v>10859</v>
          </cell>
          <cell r="B288" t="str">
            <v>Gasolina</v>
          </cell>
          <cell r="C288" t="str">
            <v>l</v>
          </cell>
          <cell r="D288">
            <v>3.21</v>
          </cell>
        </row>
        <row r="289">
          <cell r="A289">
            <v>10041</v>
          </cell>
          <cell r="B289" t="str">
            <v>Gelatina a 75%</v>
          </cell>
          <cell r="C289" t="str">
            <v>kg</v>
          </cell>
          <cell r="D289">
            <v>7.35</v>
          </cell>
        </row>
        <row r="290">
          <cell r="A290">
            <v>10852</v>
          </cell>
          <cell r="B290" t="str">
            <v>Geodreno vertical, em forma de fita</v>
          </cell>
          <cell r="C290" t="str">
            <v>m</v>
          </cell>
          <cell r="D290">
            <v>3.25</v>
          </cell>
        </row>
        <row r="291">
          <cell r="A291">
            <v>10334</v>
          </cell>
          <cell r="B291" t="str">
            <v>Geogrelha em  polipropileno (PP) módulo de rigidez nominal 400KN/m nas duas direções</v>
          </cell>
          <cell r="C291" t="str">
            <v>m²</v>
          </cell>
          <cell r="D291">
            <v>14.5</v>
          </cell>
        </row>
        <row r="292">
          <cell r="A292">
            <v>10848</v>
          </cell>
          <cell r="B292" t="str">
            <v>Geogrelha com resistência longit. a tração 300 kN, resist. transv. a tração 30 kN</v>
          </cell>
          <cell r="C292" t="str">
            <v>m²</v>
          </cell>
          <cell r="D292">
            <v>54</v>
          </cell>
        </row>
        <row r="293">
          <cell r="A293">
            <v>10851</v>
          </cell>
          <cell r="B293" t="str">
            <v>Geogrelha com resistência longit. tração 35 a 40 kN, resist. transv. a tração 30 kN</v>
          </cell>
          <cell r="C293" t="str">
            <v>m²</v>
          </cell>
          <cell r="D293">
            <v>16.72</v>
          </cell>
        </row>
        <row r="294">
          <cell r="A294">
            <v>10850</v>
          </cell>
          <cell r="B294" t="str">
            <v>Geogrelha com resistência longit. tração 55 a 60 kN, resist. transv. a tração 30 kN</v>
          </cell>
          <cell r="C294" t="str">
            <v>m²</v>
          </cell>
          <cell r="D294">
            <v>19.600000000000001</v>
          </cell>
        </row>
        <row r="295">
          <cell r="A295">
            <v>10849</v>
          </cell>
          <cell r="B295" t="str">
            <v>Geogrelha com resistência longit. tração 80 a 90 kN, resist. transv. a tração 30 kN</v>
          </cell>
          <cell r="C295" t="str">
            <v>m²</v>
          </cell>
          <cell r="D295">
            <v>24.59</v>
          </cell>
        </row>
        <row r="296">
          <cell r="A296">
            <v>10719</v>
          </cell>
          <cell r="B296" t="str">
            <v>Geogrelha de poliéster monodirecional 200KN</v>
          </cell>
          <cell r="C296" t="str">
            <v>m²</v>
          </cell>
          <cell r="D296">
            <v>37.479999999999997</v>
          </cell>
        </row>
        <row r="297">
          <cell r="A297">
            <v>10569</v>
          </cell>
          <cell r="B297" t="str">
            <v>Grama esmeralda em placas</v>
          </cell>
          <cell r="C297" t="str">
            <v>m²</v>
          </cell>
          <cell r="D297">
            <v>6.92</v>
          </cell>
        </row>
        <row r="298">
          <cell r="A298">
            <v>10137</v>
          </cell>
          <cell r="B298" t="str">
            <v>Grampo para cerca (galvanizado)</v>
          </cell>
          <cell r="C298" t="str">
            <v>kg</v>
          </cell>
          <cell r="D298">
            <v>7.9</v>
          </cell>
        </row>
        <row r="299">
          <cell r="A299">
            <v>10681</v>
          </cell>
          <cell r="B299" t="str">
            <v>Grampos de aço para fixação de biomanta em taludes</v>
          </cell>
          <cell r="C299" t="str">
            <v>un</v>
          </cell>
          <cell r="D299">
            <v>0.31</v>
          </cell>
        </row>
        <row r="300">
          <cell r="A300">
            <v>11251</v>
          </cell>
          <cell r="B300" t="str">
            <v>Grampos para fixação de manta de fibras vegetais</v>
          </cell>
          <cell r="C300" t="str">
            <v>pç</v>
          </cell>
          <cell r="D300">
            <v>0.39</v>
          </cell>
        </row>
        <row r="301">
          <cell r="A301">
            <v>10629</v>
          </cell>
          <cell r="B301" t="str">
            <v>Graxa comum (chassis 2), tambores com 170kg</v>
          </cell>
          <cell r="C301" t="str">
            <v>kg</v>
          </cell>
          <cell r="D301">
            <v>9.66</v>
          </cell>
        </row>
        <row r="302">
          <cell r="A302">
            <v>10782</v>
          </cell>
          <cell r="B302" t="str">
            <v>Grelha articulada, inclusive caixilho em FFA</v>
          </cell>
          <cell r="C302" t="str">
            <v>un</v>
          </cell>
          <cell r="D302">
            <v>275.73</v>
          </cell>
        </row>
        <row r="303">
          <cell r="A303">
            <v>10255</v>
          </cell>
          <cell r="B303" t="str">
            <v>Grelha e caixilho de concreto (cx. ralo)</v>
          </cell>
          <cell r="C303" t="str">
            <v>cj</v>
          </cell>
          <cell r="D303">
            <v>125</v>
          </cell>
        </row>
        <row r="304">
          <cell r="A304">
            <v>10183</v>
          </cell>
          <cell r="B304" t="str">
            <v>Grelha e caixilho F.F. cx. ralo articulada</v>
          </cell>
          <cell r="C304" t="str">
            <v>cj</v>
          </cell>
          <cell r="D304">
            <v>314.58</v>
          </cell>
        </row>
        <row r="305">
          <cell r="A305">
            <v>10707</v>
          </cell>
          <cell r="B305" t="str">
            <v>Grupo focal gradativo</v>
          </cell>
          <cell r="C305" t="str">
            <v>un</v>
          </cell>
          <cell r="D305">
            <v>4204.67</v>
          </cell>
        </row>
        <row r="306">
          <cell r="A306">
            <v>11478</v>
          </cell>
          <cell r="B306" t="str">
            <v>Grupo focal gradativo veicular 200 x 200 x 200mm, com lâmpada tipo LED</v>
          </cell>
          <cell r="C306" t="str">
            <v>un</v>
          </cell>
          <cell r="D306">
            <v>7140</v>
          </cell>
        </row>
        <row r="307">
          <cell r="A307">
            <v>11480</v>
          </cell>
          <cell r="B307" t="str">
            <v>Grupo focal repetidor 2 x 200mm, com lâmpada LED, pedestre, inclusive abraçadeira para fixação</v>
          </cell>
          <cell r="C307" t="str">
            <v>un</v>
          </cell>
          <cell r="D307">
            <v>1086.67</v>
          </cell>
        </row>
        <row r="308">
          <cell r="A308">
            <v>10706</v>
          </cell>
          <cell r="B308" t="str">
            <v>Grupo focal repetidor 2 x 200mm, pedestre</v>
          </cell>
          <cell r="C308" t="str">
            <v>un</v>
          </cell>
          <cell r="D308">
            <v>765</v>
          </cell>
        </row>
        <row r="309">
          <cell r="A309">
            <v>10705</v>
          </cell>
          <cell r="B309" t="str">
            <v>Grupo focal repetidor 3 x 200mm</v>
          </cell>
          <cell r="C309" t="str">
            <v>un</v>
          </cell>
          <cell r="D309">
            <v>1816</v>
          </cell>
        </row>
        <row r="310">
          <cell r="A310">
            <v>11475</v>
          </cell>
          <cell r="B310" t="str">
            <v>Grupo focal repetidor 3x200mm, com lâmpada tipo LED, inclusive suporte de fixação</v>
          </cell>
          <cell r="C310" t="str">
            <v>un</v>
          </cell>
          <cell r="D310">
            <v>1883.33</v>
          </cell>
        </row>
        <row r="311">
          <cell r="A311">
            <v>10704</v>
          </cell>
          <cell r="B311" t="str">
            <v>Grupo focal repetidor 3x300mm</v>
          </cell>
          <cell r="C311" t="str">
            <v>un</v>
          </cell>
          <cell r="D311">
            <v>2340</v>
          </cell>
        </row>
        <row r="312">
          <cell r="A312">
            <v>11474</v>
          </cell>
          <cell r="B312" t="str">
            <v>Grupo focal repetidor 3x300mm, com lâmpada tipo LED, inclusive suporte para fixação</v>
          </cell>
          <cell r="C312" t="str">
            <v>un</v>
          </cell>
          <cell r="D312">
            <v>2613.33</v>
          </cell>
        </row>
        <row r="313">
          <cell r="A313">
            <v>10663</v>
          </cell>
          <cell r="B313" t="str">
            <v>Guia pré-moldada para caixa boca de lobo</v>
          </cell>
          <cell r="C313" t="str">
            <v>un</v>
          </cell>
          <cell r="D313">
            <v>50.44</v>
          </cell>
        </row>
        <row r="314">
          <cell r="A314">
            <v>10699</v>
          </cell>
          <cell r="B314" t="str">
            <v>Haste cobreada para aterramento diam. 5/8" x 2,40m</v>
          </cell>
          <cell r="C314" t="str">
            <v>un</v>
          </cell>
          <cell r="D314">
            <v>45.9</v>
          </cell>
        </row>
        <row r="315">
          <cell r="A315">
            <v>11471</v>
          </cell>
          <cell r="B315" t="str">
            <v>Imposto sobre serviços (ISS)</v>
          </cell>
          <cell r="C315" t="str">
            <v>vb</v>
          </cell>
          <cell r="D315">
            <v>0</v>
          </cell>
        </row>
        <row r="316">
          <cell r="A316">
            <v>10747</v>
          </cell>
          <cell r="B316" t="str">
            <v>Interruptor</v>
          </cell>
          <cell r="C316" t="str">
            <v>un</v>
          </cell>
          <cell r="D316">
            <v>5.21</v>
          </cell>
        </row>
        <row r="317">
          <cell r="A317">
            <v>10697</v>
          </cell>
          <cell r="B317" t="str">
            <v>Isolador de porcelana tipo roldana</v>
          </cell>
          <cell r="C317" t="str">
            <v>un</v>
          </cell>
          <cell r="D317">
            <v>2.62</v>
          </cell>
        </row>
        <row r="318">
          <cell r="A318">
            <v>10056</v>
          </cell>
          <cell r="B318" t="str">
            <v>Jogo de brocas p/ perfuratriz (S-12)</v>
          </cell>
          <cell r="C318" t="str">
            <v>JG</v>
          </cell>
          <cell r="D318">
            <v>4795.18</v>
          </cell>
        </row>
        <row r="319">
          <cell r="A319">
            <v>10771</v>
          </cell>
          <cell r="B319" t="str">
            <v>Junta de dilatação elástica prémoldada tipo fungenband em perfil O-12, de PVC de alta densidade, Uniontech ou equivalente</v>
          </cell>
          <cell r="C319" t="str">
            <v>m</v>
          </cell>
          <cell r="D319">
            <v>25.99</v>
          </cell>
        </row>
        <row r="320">
          <cell r="A320">
            <v>10781</v>
          </cell>
          <cell r="B320" t="str">
            <v>Ladrilho hidráulico podotátil</v>
          </cell>
          <cell r="C320" t="str">
            <v>m²</v>
          </cell>
          <cell r="D320">
            <v>36.479999999999997</v>
          </cell>
        </row>
        <row r="321">
          <cell r="A321">
            <v>10274</v>
          </cell>
          <cell r="B321" t="str">
            <v>Ladrilho hidráulico 2 cores p/ calçada</v>
          </cell>
          <cell r="C321" t="str">
            <v>m²</v>
          </cell>
          <cell r="D321">
            <v>42.14</v>
          </cell>
        </row>
        <row r="322">
          <cell r="A322">
            <v>10319</v>
          </cell>
          <cell r="B322" t="str">
            <v>Lajota de 20 X 20 X 10 cm</v>
          </cell>
          <cell r="C322" t="str">
            <v>mIl</v>
          </cell>
          <cell r="D322">
            <v>489.18</v>
          </cell>
        </row>
        <row r="323">
          <cell r="A323">
            <v>10746</v>
          </cell>
          <cell r="B323" t="str">
            <v>Lâmpada incandescente para 120V (60Watts)</v>
          </cell>
          <cell r="C323" t="str">
            <v>un</v>
          </cell>
          <cell r="D323">
            <v>1.57</v>
          </cell>
        </row>
        <row r="324">
          <cell r="A324">
            <v>11022</v>
          </cell>
          <cell r="B324" t="str">
            <v>Lanche (cofee break) p/ pessoa</v>
          </cell>
          <cell r="C324" t="str">
            <v>un</v>
          </cell>
          <cell r="D324">
            <v>17.170000000000002</v>
          </cell>
        </row>
        <row r="325">
          <cell r="A325">
            <v>10318</v>
          </cell>
          <cell r="B325" t="str">
            <v>Lixa d'água</v>
          </cell>
          <cell r="C325" t="str">
            <v>un</v>
          </cell>
          <cell r="D325">
            <v>1.01</v>
          </cell>
        </row>
        <row r="326">
          <cell r="A326">
            <v>10373</v>
          </cell>
          <cell r="B326" t="str">
            <v>Lixa d'água nº 80</v>
          </cell>
          <cell r="C326" t="str">
            <v>un</v>
          </cell>
          <cell r="D326">
            <v>0.98</v>
          </cell>
        </row>
        <row r="327">
          <cell r="A327">
            <v>10784</v>
          </cell>
          <cell r="B327" t="str">
            <v>Lixa para madeira nº 100</v>
          </cell>
          <cell r="C327" t="str">
            <v>un</v>
          </cell>
          <cell r="D327">
            <v>0.53</v>
          </cell>
        </row>
        <row r="328">
          <cell r="A328">
            <v>10789</v>
          </cell>
          <cell r="B328" t="str">
            <v>Lixa para superfície metálica</v>
          </cell>
          <cell r="C328" t="str">
            <v>un</v>
          </cell>
          <cell r="D328">
            <v>1.68</v>
          </cell>
        </row>
        <row r="329">
          <cell r="A329">
            <v>10742</v>
          </cell>
          <cell r="B329" t="str">
            <v>Lona plástica preta para isolamento de concretagem sobre solo</v>
          </cell>
          <cell r="C329" t="str">
            <v>m²</v>
          </cell>
          <cell r="D329">
            <v>0.72</v>
          </cell>
        </row>
        <row r="330">
          <cell r="A330">
            <v>10779</v>
          </cell>
          <cell r="B330" t="str">
            <v>Luminária tipo chapéu chinês, marca de referência, SDB-207, padrão Vitória, inclusive lâmpada VM 150W, reator VS/metálico interno</v>
          </cell>
          <cell r="C330" t="str">
            <v>un</v>
          </cell>
          <cell r="D330">
            <v>527.1</v>
          </cell>
        </row>
        <row r="331">
          <cell r="A331">
            <v>10805</v>
          </cell>
          <cell r="B331" t="str">
            <v>Luva de correr PVC PBA 200mm</v>
          </cell>
          <cell r="C331" t="str">
            <v>un</v>
          </cell>
          <cell r="D331">
            <v>95.15</v>
          </cell>
        </row>
        <row r="332">
          <cell r="A332">
            <v>11008</v>
          </cell>
          <cell r="B332" t="str">
            <v>Luva de PVC rígido para eletroduto 3/4"</v>
          </cell>
          <cell r="C332" t="str">
            <v>un</v>
          </cell>
          <cell r="D332">
            <v>0.78</v>
          </cell>
        </row>
        <row r="333">
          <cell r="A333">
            <v>10630</v>
          </cell>
          <cell r="B333" t="str">
            <v>Luva de PVC rígido, roscável de 3/4"</v>
          </cell>
          <cell r="C333" t="str">
            <v>un</v>
          </cell>
          <cell r="D333">
            <v>0.82</v>
          </cell>
        </row>
        <row r="334">
          <cell r="A334">
            <v>10764</v>
          </cell>
          <cell r="B334" t="str">
            <v>Luva DN 4" ferro galvanizado</v>
          </cell>
          <cell r="C334" t="str">
            <v>un</v>
          </cell>
          <cell r="D334">
            <v>72.569999999999993</v>
          </cell>
        </row>
        <row r="335">
          <cell r="A335">
            <v>10652</v>
          </cell>
          <cell r="B335" t="str">
            <v>Luva metálica de 180mm com diâmetro de 2 1/2"</v>
          </cell>
          <cell r="C335" t="str">
            <v>un</v>
          </cell>
          <cell r="D335">
            <v>33.049999999999997</v>
          </cell>
        </row>
        <row r="336">
          <cell r="A336">
            <v>10653</v>
          </cell>
          <cell r="B336" t="str">
            <v>Luva para tirante referência Rocsolo d=50mm</v>
          </cell>
          <cell r="C336" t="str">
            <v>un</v>
          </cell>
          <cell r="D336">
            <v>43.6</v>
          </cell>
        </row>
        <row r="337">
          <cell r="A337">
            <v>10354</v>
          </cell>
          <cell r="B337" t="str">
            <v>Luva raspa crupon cano curto reforçado</v>
          </cell>
          <cell r="C337" t="str">
            <v>un</v>
          </cell>
          <cell r="D337">
            <v>7.41</v>
          </cell>
        </row>
        <row r="338">
          <cell r="A338">
            <v>10561</v>
          </cell>
          <cell r="B338" t="str">
            <v>Luvas de couro - cano curto reforçada</v>
          </cell>
          <cell r="C338" t="str">
            <v>un</v>
          </cell>
          <cell r="D338">
            <v>8.0500000000000007</v>
          </cell>
        </row>
        <row r="339">
          <cell r="A339">
            <v>10071</v>
          </cell>
          <cell r="B339" t="str">
            <v>Madeira roliça (aprox. 8,00m - D=0,15m)</v>
          </cell>
          <cell r="C339" t="str">
            <v>m</v>
          </cell>
          <cell r="D339">
            <v>19.09</v>
          </cell>
        </row>
        <row r="340">
          <cell r="A340">
            <v>10072</v>
          </cell>
          <cell r="B340" t="str">
            <v>Madeira roliça (aprox. 8,00m - D=0,20m)</v>
          </cell>
          <cell r="C340" t="str">
            <v>m</v>
          </cell>
          <cell r="D340">
            <v>40.020000000000003</v>
          </cell>
        </row>
        <row r="341">
          <cell r="A341">
            <v>10083</v>
          </cell>
          <cell r="B341" t="str">
            <v>Madeira serrada (guarda-roda 15 X 15 cm)</v>
          </cell>
          <cell r="C341" t="str">
            <v>m³</v>
          </cell>
          <cell r="D341">
            <v>3290.11</v>
          </cell>
        </row>
        <row r="342">
          <cell r="A342">
            <v>10082</v>
          </cell>
          <cell r="B342" t="str">
            <v>Madeira serrada (passadeira 30 X 8 cm)</v>
          </cell>
          <cell r="C342" t="str">
            <v>m³</v>
          </cell>
          <cell r="D342">
            <v>2232.21</v>
          </cell>
        </row>
        <row r="343">
          <cell r="A343">
            <v>10081</v>
          </cell>
          <cell r="B343" t="str">
            <v>Madeira serrada (pranchoes 20 X 8 cm)</v>
          </cell>
          <cell r="C343" t="str">
            <v>m³</v>
          </cell>
          <cell r="D343">
            <v>2543.66</v>
          </cell>
        </row>
        <row r="344">
          <cell r="A344">
            <v>10080</v>
          </cell>
          <cell r="B344" t="str">
            <v>Madeira tratada (aprox. 4,00m - D=0,15m)</v>
          </cell>
          <cell r="C344" t="str">
            <v>un</v>
          </cell>
          <cell r="D344">
            <v>35.799999999999997</v>
          </cell>
        </row>
        <row r="345">
          <cell r="A345">
            <v>10632</v>
          </cell>
          <cell r="B345" t="str">
            <v>Mangueira para bomba injetora manual Putzmeister de 10, diam. 35mm</v>
          </cell>
          <cell r="C345" t="str">
            <v>un</v>
          </cell>
          <cell r="D345">
            <v>2870.97</v>
          </cell>
        </row>
        <row r="346">
          <cell r="A346">
            <v>10633</v>
          </cell>
          <cell r="B346" t="str">
            <v>Mangueira para bomba injetora manual Putzmeister de 10, diam. 50mm</v>
          </cell>
          <cell r="C346" t="str">
            <v>un</v>
          </cell>
          <cell r="D346">
            <v>2979.5</v>
          </cell>
        </row>
        <row r="347">
          <cell r="A347">
            <v>11250</v>
          </cell>
          <cell r="B347" t="str">
            <v>Manta de fibras vegetais, aplicada (preço médio)</v>
          </cell>
          <cell r="C347" t="str">
            <v>m²</v>
          </cell>
          <cell r="D347">
            <v>10.39</v>
          </cell>
        </row>
        <row r="348">
          <cell r="A348">
            <v>10323</v>
          </cell>
          <cell r="B348" t="str">
            <v>Manta Geotêxtil não tecida RT- 07 (07 kN/m)</v>
          </cell>
          <cell r="C348" t="str">
            <v>m²</v>
          </cell>
          <cell r="D348">
            <v>2.94</v>
          </cell>
        </row>
        <row r="349">
          <cell r="A349">
            <v>10847</v>
          </cell>
          <cell r="B349" t="str">
            <v>Manta Geotêxtil não tecida RT-10 (10kN/m)</v>
          </cell>
          <cell r="C349" t="str">
            <v>m²</v>
          </cell>
          <cell r="D349">
            <v>4.07</v>
          </cell>
        </row>
        <row r="350">
          <cell r="A350">
            <v>10163</v>
          </cell>
          <cell r="B350" t="str">
            <v>Manta Geotêxtil não tecida RT-16 (16kN/m)</v>
          </cell>
          <cell r="C350" t="str">
            <v>m²</v>
          </cell>
          <cell r="D350">
            <v>5.8</v>
          </cell>
        </row>
        <row r="351">
          <cell r="A351">
            <v>10039</v>
          </cell>
          <cell r="B351" t="str">
            <v>Massa asfáltica CBUQ - usina comercial</v>
          </cell>
          <cell r="C351" t="str">
            <v>t</v>
          </cell>
          <cell r="D351">
            <v>316.35000000000002</v>
          </cell>
        </row>
        <row r="352">
          <cell r="A352">
            <v>10671</v>
          </cell>
          <cell r="B352" t="str">
            <v>Mata-burro 2,50 x3 ,00 m, CL45t</v>
          </cell>
          <cell r="C352" t="str">
            <v>un</v>
          </cell>
          <cell r="D352">
            <v>4612.3500000000004</v>
          </cell>
        </row>
        <row r="353">
          <cell r="A353">
            <v>11486</v>
          </cell>
          <cell r="B353" t="str">
            <v>Material termoplástico (extrusão)</v>
          </cell>
          <cell r="C353" t="str">
            <v>SC</v>
          </cell>
          <cell r="D353">
            <v>177.5</v>
          </cell>
        </row>
        <row r="354">
          <cell r="A354">
            <v>10352</v>
          </cell>
          <cell r="B354" t="str">
            <v>Material termoplástico (SPRAY) (25 kg)</v>
          </cell>
          <cell r="C354" t="str">
            <v>SC</v>
          </cell>
          <cell r="D354">
            <v>217.9</v>
          </cell>
        </row>
        <row r="355">
          <cell r="A355">
            <v>10299</v>
          </cell>
          <cell r="B355" t="str">
            <v>Meio fio de pedra (compr= 0,80 m)</v>
          </cell>
          <cell r="C355" t="str">
            <v>m</v>
          </cell>
          <cell r="D355">
            <v>12.5</v>
          </cell>
        </row>
        <row r="356">
          <cell r="A356">
            <v>10612</v>
          </cell>
          <cell r="B356" t="str">
            <v>Meio fio pré-moldado 1,20m x 0,12m x 0,15m x 0,30m</v>
          </cell>
          <cell r="C356" t="str">
            <v>m</v>
          </cell>
          <cell r="D356">
            <v>15.06</v>
          </cell>
        </row>
        <row r="357">
          <cell r="A357">
            <v>10262</v>
          </cell>
          <cell r="B357" t="str">
            <v>Meio fio 09 X 30 X 12 cm X 1 m</v>
          </cell>
          <cell r="C357" t="str">
            <v>pç</v>
          </cell>
          <cell r="D357">
            <v>11.95</v>
          </cell>
        </row>
        <row r="358">
          <cell r="A358">
            <v>10263</v>
          </cell>
          <cell r="B358" t="str">
            <v>Meio fio 12 X 30 X 15 cm X 1 m</v>
          </cell>
          <cell r="C358" t="str">
            <v>pç</v>
          </cell>
          <cell r="D358">
            <v>14.77</v>
          </cell>
        </row>
        <row r="359">
          <cell r="A359">
            <v>10344</v>
          </cell>
          <cell r="B359" t="str">
            <v>Micro esfera (DROP-ON) saco 25 kg</v>
          </cell>
          <cell r="C359" t="str">
            <v>SC</v>
          </cell>
          <cell r="D359">
            <v>134.75</v>
          </cell>
        </row>
        <row r="360">
          <cell r="A360">
            <v>10346</v>
          </cell>
          <cell r="B360" t="str">
            <v>Micro-esfera (preço médio)</v>
          </cell>
          <cell r="C360" t="str">
            <v>kg</v>
          </cell>
          <cell r="D360">
            <v>5.39</v>
          </cell>
        </row>
        <row r="361">
          <cell r="A361">
            <v>10345</v>
          </cell>
          <cell r="B361" t="str">
            <v>Micro-esfera (PRE-MIX) saco 25 kg</v>
          </cell>
          <cell r="C361" t="str">
            <v>SC</v>
          </cell>
          <cell r="D361">
            <v>134.75</v>
          </cell>
        </row>
        <row r="362">
          <cell r="A362">
            <v>10623</v>
          </cell>
          <cell r="B362" t="str">
            <v>Mourão de concreto 2,50m "T"</v>
          </cell>
          <cell r="C362" t="str">
            <v>un</v>
          </cell>
          <cell r="D362">
            <v>31.14</v>
          </cell>
        </row>
        <row r="363">
          <cell r="A363">
            <v>10074</v>
          </cell>
          <cell r="B363" t="str">
            <v>Mourao p/ cerca (2,20m - D=0,10m) m. branca</v>
          </cell>
          <cell r="C363" t="str">
            <v>dz</v>
          </cell>
          <cell r="D363">
            <v>107.03</v>
          </cell>
        </row>
        <row r="364">
          <cell r="A364">
            <v>10075</v>
          </cell>
          <cell r="B364" t="str">
            <v>Mourao p/ cerca (2,50m - D=0,20m) m. bran (estic.)</v>
          </cell>
          <cell r="C364" t="str">
            <v>dz</v>
          </cell>
          <cell r="D364">
            <v>545.74</v>
          </cell>
        </row>
        <row r="365">
          <cell r="A365">
            <v>10821</v>
          </cell>
          <cell r="B365" t="str">
            <v>Mourão para cerca (2,80 - D=0,20m) m. branca (esticador)</v>
          </cell>
          <cell r="C365" t="str">
            <v>dz</v>
          </cell>
          <cell r="D365">
            <v>902.5</v>
          </cell>
        </row>
        <row r="366">
          <cell r="A366">
            <v>10260</v>
          </cell>
          <cell r="B366" t="str">
            <v>Mourao quadrado (tipo DNIT) 10 X 10 cm X 2,20 m</v>
          </cell>
          <cell r="C366" t="str">
            <v>pç</v>
          </cell>
          <cell r="D366">
            <v>35</v>
          </cell>
        </row>
        <row r="367">
          <cell r="A367">
            <v>10261</v>
          </cell>
          <cell r="B367" t="str">
            <v>Mourao triangular (tipo DNIT) 10 cm X 2,00 m</v>
          </cell>
          <cell r="C367" t="str">
            <v>pç</v>
          </cell>
          <cell r="D367">
            <v>22.15</v>
          </cell>
        </row>
        <row r="368">
          <cell r="A368">
            <v>10570</v>
          </cell>
          <cell r="B368" t="str">
            <v>Muda de árvore (altura até 1,50m)</v>
          </cell>
          <cell r="C368" t="str">
            <v>un</v>
          </cell>
          <cell r="D368">
            <v>32.68</v>
          </cell>
        </row>
        <row r="369">
          <cell r="A369">
            <v>11262</v>
          </cell>
          <cell r="B369" t="str">
            <v>Muda de árvore grande (altura maior que 150cm)</v>
          </cell>
          <cell r="C369" t="str">
            <v>un</v>
          </cell>
          <cell r="D369">
            <v>44.98</v>
          </cell>
        </row>
        <row r="370">
          <cell r="A370">
            <v>11267</v>
          </cell>
          <cell r="B370" t="str">
            <v>Muda de árvore/arbusto espécies da Mata Atlântica (mudas em sacolas ou tubetes)</v>
          </cell>
          <cell r="C370" t="str">
            <v>un</v>
          </cell>
          <cell r="D370">
            <v>2.48</v>
          </cell>
        </row>
        <row r="371">
          <cell r="A371">
            <v>11252</v>
          </cell>
          <cell r="B371" t="str">
            <v>Mulching hidráulico</v>
          </cell>
          <cell r="C371" t="str">
            <v>kg</v>
          </cell>
          <cell r="D371">
            <v>1.5</v>
          </cell>
        </row>
        <row r="372">
          <cell r="A372">
            <v>10420</v>
          </cell>
          <cell r="B372" t="str">
            <v>Nível WILD N-1 - NA-20</v>
          </cell>
          <cell r="C372" t="str">
            <v>mes</v>
          </cell>
          <cell r="D372">
            <v>316.67</v>
          </cell>
        </row>
        <row r="373">
          <cell r="A373">
            <v>10036</v>
          </cell>
          <cell r="B373" t="str">
            <v>Oleo combustível BPF - baixo pto. fusao</v>
          </cell>
          <cell r="C373" t="str">
            <v>kg</v>
          </cell>
          <cell r="D373">
            <v>1.5</v>
          </cell>
        </row>
        <row r="374">
          <cell r="A374">
            <v>10309</v>
          </cell>
          <cell r="B374" t="str">
            <v>Oleo de linhaça</v>
          </cell>
          <cell r="C374" t="str">
            <v>l</v>
          </cell>
          <cell r="D374">
            <v>11.63</v>
          </cell>
        </row>
        <row r="375">
          <cell r="A375">
            <v>10034</v>
          </cell>
          <cell r="B375" t="str">
            <v>Oleo diesel</v>
          </cell>
          <cell r="C375" t="str">
            <v>l</v>
          </cell>
          <cell r="D375">
            <v>2.7</v>
          </cell>
        </row>
        <row r="376">
          <cell r="A376">
            <v>10187</v>
          </cell>
          <cell r="B376" t="str">
            <v>Oxigênio</v>
          </cell>
          <cell r="C376" t="str">
            <v>m³</v>
          </cell>
          <cell r="D376">
            <v>7.5</v>
          </cell>
        </row>
        <row r="377">
          <cell r="A377">
            <v>10382</v>
          </cell>
          <cell r="B377" t="str">
            <v>Painél de poliéster reforçado, em fibra de vidro, para sinalização viária vertical</v>
          </cell>
          <cell r="C377" t="str">
            <v>m²</v>
          </cell>
          <cell r="D377">
            <v>270</v>
          </cell>
        </row>
        <row r="378">
          <cell r="A378">
            <v>10375</v>
          </cell>
          <cell r="B378" t="str">
            <v>Parafuso c/ porca e arruela (3/16x1 1/2")</v>
          </cell>
          <cell r="C378" t="str">
            <v>un</v>
          </cell>
          <cell r="D378">
            <v>0.28000000000000003</v>
          </cell>
        </row>
        <row r="379">
          <cell r="A379">
            <v>10327</v>
          </cell>
          <cell r="B379" t="str">
            <v>Parafuso de 1/2 X 230 mm (galvanizado)</v>
          </cell>
          <cell r="C379" t="str">
            <v>un</v>
          </cell>
          <cell r="D379">
            <v>4.54</v>
          </cell>
        </row>
        <row r="380">
          <cell r="A380">
            <v>11565</v>
          </cell>
          <cell r="B380" t="str">
            <v>Parafuso sextavado, soberba 5/8 x 130</v>
          </cell>
          <cell r="C380" t="str">
            <v>un</v>
          </cell>
          <cell r="D380">
            <v>3.31</v>
          </cell>
        </row>
        <row r="381">
          <cell r="A381">
            <v>10326</v>
          </cell>
          <cell r="B381" t="str">
            <v>Parafusos completos 5/16 X 65 mm</v>
          </cell>
          <cell r="C381" t="str">
            <v>un</v>
          </cell>
          <cell r="D381">
            <v>0.63</v>
          </cell>
        </row>
        <row r="382">
          <cell r="A382">
            <v>10298</v>
          </cell>
          <cell r="B382" t="str">
            <v>Paralelepípedo de pedra (milheiro)</v>
          </cell>
          <cell r="C382" t="str">
            <v>mIl</v>
          </cell>
          <cell r="D382">
            <v>1000</v>
          </cell>
        </row>
        <row r="383">
          <cell r="A383">
            <v>10767</v>
          </cell>
          <cell r="B383" t="str">
            <v>Pasta lubrificante para tubos junta elástica</v>
          </cell>
          <cell r="C383" t="str">
            <v>kg</v>
          </cell>
          <cell r="D383">
            <v>30.7</v>
          </cell>
        </row>
        <row r="384">
          <cell r="A384">
            <v>11016</v>
          </cell>
          <cell r="B384" t="str">
            <v>Peça em madeira de 1ª qualidade 10,0 x 2,5 cm</v>
          </cell>
          <cell r="C384" t="str">
            <v>m</v>
          </cell>
          <cell r="D384">
            <v>4.59</v>
          </cell>
        </row>
        <row r="385">
          <cell r="A385">
            <v>11017</v>
          </cell>
          <cell r="B385" t="str">
            <v>Peça em madeira de 1ª qualidade 7,0 x 2,0 cm</v>
          </cell>
          <cell r="C385" t="str">
            <v>m</v>
          </cell>
          <cell r="D385">
            <v>3.36</v>
          </cell>
        </row>
        <row r="386">
          <cell r="A386">
            <v>11015</v>
          </cell>
          <cell r="B386" t="str">
            <v>Peça em madeira de 1ª qualidade 8,0 x 8,0 cm</v>
          </cell>
          <cell r="C386" t="str">
            <v>m</v>
          </cell>
          <cell r="D386">
            <v>11.7</v>
          </cell>
        </row>
        <row r="387">
          <cell r="A387">
            <v>11000</v>
          </cell>
          <cell r="B387" t="str">
            <v>Peça em madeira 7 x 12 cm</v>
          </cell>
          <cell r="C387" t="str">
            <v>m</v>
          </cell>
          <cell r="D387">
            <v>19.09</v>
          </cell>
        </row>
        <row r="388">
          <cell r="A388">
            <v>11001</v>
          </cell>
          <cell r="B388" t="str">
            <v>Peça em madeira 7 x 5 cm</v>
          </cell>
          <cell r="C388" t="str">
            <v>m</v>
          </cell>
          <cell r="D388">
            <v>6.88</v>
          </cell>
        </row>
        <row r="389">
          <cell r="A389">
            <v>10125</v>
          </cell>
          <cell r="B389" t="str">
            <v>Pedra britada p/ concreto, sem frete</v>
          </cell>
          <cell r="C389" t="str">
            <v>m³</v>
          </cell>
          <cell r="D389">
            <v>49.02</v>
          </cell>
        </row>
        <row r="390">
          <cell r="A390">
            <v>10121</v>
          </cell>
          <cell r="B390" t="str">
            <v>Pedra de mao (incl. 0% IUM) s/ frete</v>
          </cell>
          <cell r="C390" t="str">
            <v>m³</v>
          </cell>
          <cell r="D390">
            <v>46.15</v>
          </cell>
        </row>
        <row r="391">
          <cell r="A391">
            <v>10124</v>
          </cell>
          <cell r="B391" t="str">
            <v>Pedra p/ enrocamento</v>
          </cell>
          <cell r="C391" t="str">
            <v>m³</v>
          </cell>
          <cell r="D391">
            <v>34.64</v>
          </cell>
        </row>
        <row r="392">
          <cell r="A392">
            <v>10301</v>
          </cell>
          <cell r="B392" t="str">
            <v>Pedra portuguesa (só a pedra)</v>
          </cell>
          <cell r="C392" t="str">
            <v>m²</v>
          </cell>
          <cell r="D392">
            <v>38</v>
          </cell>
        </row>
        <row r="393">
          <cell r="A393">
            <v>10126</v>
          </cell>
          <cell r="B393" t="str">
            <v>Pedrisco</v>
          </cell>
          <cell r="C393" t="str">
            <v>m³</v>
          </cell>
          <cell r="D393">
            <v>56.83</v>
          </cell>
        </row>
        <row r="394">
          <cell r="A394">
            <v>10368</v>
          </cell>
          <cell r="B394" t="str">
            <v>Película preto legenda</v>
          </cell>
          <cell r="C394" t="str">
            <v>m²</v>
          </cell>
          <cell r="D394">
            <v>74.37</v>
          </cell>
        </row>
        <row r="395">
          <cell r="A395">
            <v>10380</v>
          </cell>
          <cell r="B395" t="str">
            <v>Película refletiva grau técnico todas as cores</v>
          </cell>
          <cell r="C395" t="str">
            <v>m²</v>
          </cell>
          <cell r="D395">
            <v>81.7</v>
          </cell>
        </row>
        <row r="396">
          <cell r="A396">
            <v>10363</v>
          </cell>
          <cell r="B396" t="str">
            <v>Película refletiva lentes inclusas</v>
          </cell>
          <cell r="C396" t="str">
            <v>m²</v>
          </cell>
          <cell r="D396">
            <v>83.29</v>
          </cell>
        </row>
        <row r="397">
          <cell r="A397">
            <v>11488</v>
          </cell>
          <cell r="B397" t="str">
            <v>Perfil elastomérico de vedação em juntas de pontes com abertura média de 25 mm ± 10 mm, inclusive lábios poliméricos e mão de obra para colocação (Ref. JEENE JJ2540 VV)</v>
          </cell>
          <cell r="C397" t="str">
            <v>m</v>
          </cell>
          <cell r="D397">
            <v>550.5</v>
          </cell>
        </row>
        <row r="398">
          <cell r="A398">
            <v>10200</v>
          </cell>
          <cell r="B398" t="str">
            <v>Perfil elastomérico de vedação em juntas de pontes com abertura média de 50 mm ± 25 mm, inclusive lábios poliméricos e mão de obra para colocação</v>
          </cell>
          <cell r="C398" t="str">
            <v>m</v>
          </cell>
          <cell r="D398">
            <v>986</v>
          </cell>
        </row>
        <row r="399">
          <cell r="A399">
            <v>11464</v>
          </cell>
          <cell r="B399" t="str">
            <v>Perfil laminado HP 250 x 62, perfil H</v>
          </cell>
          <cell r="C399" t="str">
            <v>kg</v>
          </cell>
          <cell r="D399">
            <v>4.0599999999999996</v>
          </cell>
        </row>
        <row r="400">
          <cell r="A400">
            <v>11465</v>
          </cell>
          <cell r="B400" t="str">
            <v>Perfil laminado W 250 x 44.80, Perfil I</v>
          </cell>
          <cell r="C400" t="str">
            <v>kg</v>
          </cell>
          <cell r="D400">
            <v>4.0999999999999996</v>
          </cell>
        </row>
        <row r="401">
          <cell r="A401">
            <v>11466</v>
          </cell>
          <cell r="B401" t="str">
            <v>Perfil laminado W 360 x 64, Perfil I</v>
          </cell>
          <cell r="C401" t="str">
            <v>kg</v>
          </cell>
          <cell r="D401">
            <v>4.33</v>
          </cell>
        </row>
        <row r="402">
          <cell r="A402">
            <v>11463</v>
          </cell>
          <cell r="B402" t="str">
            <v>Perfil laminado W200 x 15 - ASTM A572</v>
          </cell>
          <cell r="C402" t="str">
            <v>kg</v>
          </cell>
          <cell r="D402">
            <v>4.05</v>
          </cell>
        </row>
        <row r="403">
          <cell r="A403">
            <v>10179</v>
          </cell>
          <cell r="B403" t="str">
            <v>Perfil metálico seção I</v>
          </cell>
          <cell r="C403" t="str">
            <v>kg</v>
          </cell>
          <cell r="D403">
            <v>4.12</v>
          </cell>
        </row>
        <row r="404">
          <cell r="A404">
            <v>10257</v>
          </cell>
          <cell r="B404" t="str">
            <v>Pescoço p/ PV H= 0,30 m diam= 0,60 m (anel de concreto pré-moldado)</v>
          </cell>
          <cell r="C404" t="str">
            <v>un</v>
          </cell>
          <cell r="D404">
            <v>70.3</v>
          </cell>
        </row>
        <row r="405">
          <cell r="A405">
            <v>10347</v>
          </cell>
          <cell r="B405" t="str">
            <v>Pintura de faixa HOT-SPRAY</v>
          </cell>
          <cell r="C405" t="str">
            <v>m²</v>
          </cell>
          <cell r="D405">
            <v>43</v>
          </cell>
        </row>
        <row r="406">
          <cell r="A406">
            <v>11512</v>
          </cell>
          <cell r="B406" t="str">
            <v>PIS/COFINS</v>
          </cell>
          <cell r="C406" t="str">
            <v>vb</v>
          </cell>
          <cell r="D406">
            <v>0</v>
          </cell>
        </row>
        <row r="407">
          <cell r="A407">
            <v>10201</v>
          </cell>
          <cell r="B407" t="str">
            <v>Placa de neoprene fretado esp = 5 cm (18% I.P.I. e embalagem)</v>
          </cell>
          <cell r="C407" t="str">
            <v>dm³</v>
          </cell>
          <cell r="D407">
            <v>97.4</v>
          </cell>
        </row>
        <row r="408">
          <cell r="A408">
            <v>10378</v>
          </cell>
          <cell r="B408" t="str">
            <v>Placa em alumínio esp.15mm</v>
          </cell>
          <cell r="C408" t="str">
            <v>m²</v>
          </cell>
          <cell r="D408">
            <v>305</v>
          </cell>
        </row>
        <row r="409">
          <cell r="A409">
            <v>10615</v>
          </cell>
          <cell r="B409" t="str">
            <v>Placa metálica para ancoragem, sextavada, de (160x160x19)mm</v>
          </cell>
          <cell r="C409" t="str">
            <v>un</v>
          </cell>
          <cell r="D409">
            <v>63.32</v>
          </cell>
        </row>
        <row r="410">
          <cell r="A410">
            <v>10340</v>
          </cell>
          <cell r="B410" t="str">
            <v>Placa sinalizaçao pronta - chapa de ferro N. 20</v>
          </cell>
          <cell r="C410" t="str">
            <v>m²</v>
          </cell>
          <cell r="D410">
            <v>259.87</v>
          </cell>
        </row>
        <row r="411">
          <cell r="A411">
            <v>10654</v>
          </cell>
          <cell r="B411" t="str">
            <v>Placa 160 x 160 x 10mm</v>
          </cell>
          <cell r="C411" t="str">
            <v>un</v>
          </cell>
          <cell r="D411">
            <v>50.6</v>
          </cell>
        </row>
        <row r="412">
          <cell r="A412">
            <v>10798</v>
          </cell>
          <cell r="B412" t="str">
            <v>Placa 20 x 20 x 3/4" para tirante Rocsolo</v>
          </cell>
          <cell r="C412" t="str">
            <v>un</v>
          </cell>
          <cell r="D412">
            <v>50.6</v>
          </cell>
        </row>
        <row r="413">
          <cell r="A413">
            <v>10191</v>
          </cell>
          <cell r="B413" t="str">
            <v>Plastiment VZ (10% I.P.I. e 8% frete), marca de referência Sika</v>
          </cell>
          <cell r="C413" t="str">
            <v>kg</v>
          </cell>
          <cell r="D413">
            <v>2.02</v>
          </cell>
        </row>
        <row r="414">
          <cell r="A414">
            <v>11407</v>
          </cell>
          <cell r="B414" t="str">
            <v>Plotagem de desenho P/B em papel Sulfit</v>
          </cell>
          <cell r="C414" t="str">
            <v>m</v>
          </cell>
          <cell r="D414">
            <v>8.52</v>
          </cell>
        </row>
        <row r="415">
          <cell r="A415">
            <v>10573</v>
          </cell>
          <cell r="B415" t="str">
            <v>Pó calcáreo dolomítico</v>
          </cell>
          <cell r="C415" t="str">
            <v>kg</v>
          </cell>
          <cell r="D415">
            <v>1.01</v>
          </cell>
        </row>
        <row r="416">
          <cell r="A416">
            <v>10120</v>
          </cell>
          <cell r="B416" t="str">
            <v>Pó de pedra (incl. 0% IUM) s/ frete</v>
          </cell>
          <cell r="C416" t="str">
            <v>m³</v>
          </cell>
          <cell r="D416">
            <v>36</v>
          </cell>
        </row>
        <row r="417">
          <cell r="A417">
            <v>10621</v>
          </cell>
          <cell r="B417" t="str">
            <v>Pontalete de Pinho de 1ª de 3" x 3", sem aparelhamento</v>
          </cell>
          <cell r="C417" t="str">
            <v>m</v>
          </cell>
          <cell r="D417">
            <v>3.75</v>
          </cell>
        </row>
        <row r="418">
          <cell r="A418">
            <v>10624</v>
          </cell>
          <cell r="B418" t="str">
            <v>Pontalete de Pinho de 3ª ou similar de 3" x 3", sem aparelhamento</v>
          </cell>
          <cell r="C418" t="str">
            <v>m</v>
          </cell>
          <cell r="D418">
            <v>3.04</v>
          </cell>
        </row>
        <row r="419">
          <cell r="A419">
            <v>10616</v>
          </cell>
          <cell r="B419" t="str">
            <v>Porca de ancoragem de aço, sextavada, GEWI, para protensão, com altura de 50mm</v>
          </cell>
          <cell r="C419" t="str">
            <v>un</v>
          </cell>
          <cell r="D419">
            <v>28.93</v>
          </cell>
        </row>
        <row r="420">
          <cell r="A420">
            <v>10656</v>
          </cell>
          <cell r="B420" t="str">
            <v>Porca sextavada esférica H=70mm, chave 55mm</v>
          </cell>
          <cell r="C420" t="str">
            <v>un</v>
          </cell>
          <cell r="D420">
            <v>56.1</v>
          </cell>
        </row>
        <row r="421">
          <cell r="A421">
            <v>10004</v>
          </cell>
          <cell r="B421" t="str">
            <v>SBS 55 75 (CAP FLEX 55/75)</v>
          </cell>
          <cell r="C421" t="str">
            <v>t</v>
          </cell>
          <cell r="D421">
            <v>2046.72</v>
          </cell>
        </row>
        <row r="422">
          <cell r="A422">
            <v>10005</v>
          </cell>
          <cell r="B422" t="str">
            <v>SBS 60 85 (CAP FLEX 60/85)</v>
          </cell>
          <cell r="C422" t="str">
            <v>t</v>
          </cell>
          <cell r="D422">
            <v>1782.44</v>
          </cell>
        </row>
        <row r="423">
          <cell r="A423">
            <v>10776</v>
          </cell>
          <cell r="B423" t="str">
            <v>SBS 65 90 (CAP FLEX 65/90)</v>
          </cell>
          <cell r="C423" t="str">
            <v>t</v>
          </cell>
          <cell r="D423">
            <v>2029.55</v>
          </cell>
        </row>
        <row r="424">
          <cell r="A424">
            <v>10778</v>
          </cell>
          <cell r="B424" t="str">
            <v>Poste galvanizado reto com 4,0m e base</v>
          </cell>
          <cell r="C424" t="str">
            <v>un</v>
          </cell>
          <cell r="D424">
            <v>346.08</v>
          </cell>
        </row>
        <row r="425">
          <cell r="A425">
            <v>10703</v>
          </cell>
          <cell r="B425" t="str">
            <v>Poste galvanizado 101mm simples, h= 6,0 m para semáforo</v>
          </cell>
          <cell r="C425" t="str">
            <v>un</v>
          </cell>
          <cell r="D425">
            <v>718.47</v>
          </cell>
        </row>
        <row r="426">
          <cell r="A426">
            <v>10702</v>
          </cell>
          <cell r="B426" t="str">
            <v>Poste galvanizado 114mm - 1 boca, h = 6,00 m para semáforo</v>
          </cell>
          <cell r="C426" t="str">
            <v>un</v>
          </cell>
          <cell r="D426">
            <v>1111.33</v>
          </cell>
        </row>
        <row r="427">
          <cell r="A427">
            <v>10701</v>
          </cell>
          <cell r="B427" t="str">
            <v>Poste galvanizado 114mm - 2 bocas, h = 6,00 m para semáforo</v>
          </cell>
          <cell r="C427" t="str">
            <v>un</v>
          </cell>
          <cell r="D427">
            <v>1256.3699999999999</v>
          </cell>
        </row>
        <row r="428">
          <cell r="A428">
            <v>11519</v>
          </cell>
          <cell r="B428" t="str">
            <v>Poste Intermediário 40x60 mm, para Gradil Nylofor</v>
          </cell>
          <cell r="C428" t="str">
            <v>un</v>
          </cell>
          <cell r="D428">
            <v>99.11</v>
          </cell>
        </row>
        <row r="429">
          <cell r="A429">
            <v>10063</v>
          </cell>
          <cell r="B429" t="str">
            <v>Pranchoes 30 X 5 cm (p/ ensecadeira)</v>
          </cell>
          <cell r="C429" t="str">
            <v>m³</v>
          </cell>
          <cell r="D429">
            <v>2527.48</v>
          </cell>
        </row>
        <row r="430">
          <cell r="A430">
            <v>10135</v>
          </cell>
          <cell r="B430" t="str">
            <v>Prego 18 X 24</v>
          </cell>
          <cell r="C430" t="str">
            <v>kg</v>
          </cell>
          <cell r="D430">
            <v>8.32</v>
          </cell>
        </row>
        <row r="431">
          <cell r="A431">
            <v>10136</v>
          </cell>
          <cell r="B431" t="str">
            <v>Prego 25 X 72 (para pontes de madeira)</v>
          </cell>
          <cell r="C431" t="str">
            <v>kg</v>
          </cell>
          <cell r="D431">
            <v>10.78</v>
          </cell>
        </row>
        <row r="432">
          <cell r="A432">
            <v>10381</v>
          </cell>
          <cell r="B432" t="str">
            <v>Primer base cromato de zinco</v>
          </cell>
          <cell r="C432" t="str">
            <v>Gl</v>
          </cell>
          <cell r="D432">
            <v>41.44</v>
          </cell>
        </row>
        <row r="433">
          <cell r="A433">
            <v>10617</v>
          </cell>
          <cell r="B433" t="str">
            <v>Primer epoxi tipo Quinnducot 5800/14 na cor vermelha. Química União ou similar</v>
          </cell>
          <cell r="C433" t="str">
            <v>Gl</v>
          </cell>
          <cell r="D433">
            <v>87.78</v>
          </cell>
        </row>
        <row r="434">
          <cell r="A434">
            <v>10618</v>
          </cell>
          <cell r="B434" t="str">
            <v>Primer epoxi tipo Quinnducot 5806 na cor branca, Química União ou similar</v>
          </cell>
          <cell r="C434" t="str">
            <v>Gl</v>
          </cell>
          <cell r="D434">
            <v>105</v>
          </cell>
        </row>
        <row r="435">
          <cell r="A435">
            <v>10749</v>
          </cell>
          <cell r="B435" t="str">
            <v>Primer (PCF)</v>
          </cell>
          <cell r="C435" t="str">
            <v>kg</v>
          </cell>
          <cell r="D435">
            <v>54.51</v>
          </cell>
        </row>
        <row r="436">
          <cell r="A436">
            <v>10698</v>
          </cell>
          <cell r="B436" t="str">
            <v>Rack para isolador de porcelana 3 x 16</v>
          </cell>
          <cell r="C436" t="str">
            <v>un</v>
          </cell>
          <cell r="D436">
            <v>19.22</v>
          </cell>
        </row>
        <row r="437">
          <cell r="A437">
            <v>11487</v>
          </cell>
          <cell r="B437" t="str">
            <v>Redutor tipo 2002 primeira qualidade</v>
          </cell>
          <cell r="C437" t="str">
            <v>l</v>
          </cell>
          <cell r="D437">
            <v>10.46</v>
          </cell>
        </row>
        <row r="438">
          <cell r="A438">
            <v>11002</v>
          </cell>
          <cell r="B438" t="str">
            <v>Reservatório de polietileno 1000 litros tampa redonda</v>
          </cell>
          <cell r="C438" t="str">
            <v>un</v>
          </cell>
          <cell r="D438">
            <v>297.41000000000003</v>
          </cell>
        </row>
        <row r="439">
          <cell r="A439">
            <v>10046</v>
          </cell>
          <cell r="B439" t="str">
            <v>Retardo</v>
          </cell>
          <cell r="C439" t="str">
            <v>un</v>
          </cell>
          <cell r="D439">
            <v>11.58</v>
          </cell>
        </row>
        <row r="440">
          <cell r="A440">
            <v>10069</v>
          </cell>
          <cell r="B440" t="str">
            <v>Ripão de 2,5 X 7.0 cm</v>
          </cell>
          <cell r="C440" t="str">
            <v>m³</v>
          </cell>
          <cell r="D440">
            <v>1986.5</v>
          </cell>
        </row>
        <row r="441">
          <cell r="A441">
            <v>10377</v>
          </cell>
          <cell r="B441" t="str">
            <v>Ripão em madeira de 1ª qualidade (2,5x7,5x100cm)</v>
          </cell>
          <cell r="C441" t="str">
            <v>m³</v>
          </cell>
          <cell r="D441">
            <v>2141.33</v>
          </cell>
        </row>
        <row r="442">
          <cell r="A442">
            <v>11261</v>
          </cell>
          <cell r="B442" t="str">
            <v>Ripas de 2,5cm x 5,0cm</v>
          </cell>
          <cell r="C442" t="str">
            <v>m</v>
          </cell>
          <cell r="D442">
            <v>2.66</v>
          </cell>
        </row>
        <row r="443">
          <cell r="A443">
            <v>10320</v>
          </cell>
          <cell r="B443" t="str">
            <v>Saco de propileno (RIP RAP)</v>
          </cell>
          <cell r="C443" t="str">
            <v>un</v>
          </cell>
          <cell r="D443">
            <v>1.04</v>
          </cell>
        </row>
        <row r="444">
          <cell r="A444">
            <v>10164</v>
          </cell>
          <cell r="B444" t="str">
            <v>Sapata impregnada HW</v>
          </cell>
          <cell r="C444" t="str">
            <v>un</v>
          </cell>
          <cell r="D444">
            <v>1122</v>
          </cell>
        </row>
        <row r="445">
          <cell r="A445">
            <v>10165</v>
          </cell>
          <cell r="B445" t="str">
            <v>Sapata impregnada NW</v>
          </cell>
          <cell r="C445" t="str">
            <v>un</v>
          </cell>
          <cell r="D445">
            <v>790</v>
          </cell>
        </row>
        <row r="446">
          <cell r="A446">
            <v>10067</v>
          </cell>
          <cell r="B446" t="str">
            <v>Sarrafo 10 X 2,5 cm</v>
          </cell>
          <cell r="C446" t="str">
            <v>m³</v>
          </cell>
          <cell r="D446">
            <v>1373.8</v>
          </cell>
        </row>
        <row r="447">
          <cell r="A447">
            <v>10572</v>
          </cell>
          <cell r="B447" t="str">
            <v>Sementes</v>
          </cell>
          <cell r="C447" t="str">
            <v>kg</v>
          </cell>
          <cell r="D447">
            <v>11.5</v>
          </cell>
        </row>
        <row r="448">
          <cell r="A448">
            <v>10584</v>
          </cell>
          <cell r="B448" t="str">
            <v>Serviços gráficos e materiais de consumo</v>
          </cell>
          <cell r="C448" t="str">
            <v>mes</v>
          </cell>
          <cell r="D448">
            <v>2762.74</v>
          </cell>
        </row>
        <row r="449">
          <cell r="A449">
            <v>11504</v>
          </cell>
          <cell r="B449" t="str">
            <v>Sigunit STM-35 AF, Aditivo de pega, Sika ou similar</v>
          </cell>
          <cell r="C449" t="str">
            <v>Kg</v>
          </cell>
          <cell r="D449">
            <v>2.57</v>
          </cell>
        </row>
        <row r="450">
          <cell r="A450">
            <v>11558</v>
          </cell>
          <cell r="B450" t="str">
            <v>Sikacrete BR</v>
          </cell>
          <cell r="C450" t="str">
            <v>l</v>
          </cell>
          <cell r="D450">
            <v>8.42</v>
          </cell>
        </row>
        <row r="451">
          <cell r="A451">
            <v>10193</v>
          </cell>
          <cell r="B451" t="str">
            <v>Sikadur 32</v>
          </cell>
          <cell r="C451" t="str">
            <v>kg</v>
          </cell>
          <cell r="D451">
            <v>65.73</v>
          </cell>
        </row>
        <row r="452">
          <cell r="A452">
            <v>10198</v>
          </cell>
          <cell r="B452" t="str">
            <v>Sikadur 43 (argamassa epoxídica)</v>
          </cell>
          <cell r="C452" t="str">
            <v>kg</v>
          </cell>
          <cell r="D452">
            <v>87.75</v>
          </cell>
        </row>
        <row r="453">
          <cell r="A453">
            <v>10195</v>
          </cell>
          <cell r="B453" t="str">
            <v>Sikagrout</v>
          </cell>
          <cell r="C453" t="str">
            <v>kg</v>
          </cell>
          <cell r="D453">
            <v>1.17</v>
          </cell>
        </row>
        <row r="454">
          <cell r="A454">
            <v>10737</v>
          </cell>
          <cell r="B454" t="str">
            <v>Sikatop 122</v>
          </cell>
          <cell r="C454" t="str">
            <v>kg</v>
          </cell>
          <cell r="D454">
            <v>6.07</v>
          </cell>
        </row>
        <row r="455">
          <cell r="A455">
            <v>10099</v>
          </cell>
          <cell r="B455" t="str">
            <v>Silica ativa (micro-silica) saco 15 kg</v>
          </cell>
          <cell r="C455" t="str">
            <v>SC</v>
          </cell>
          <cell r="D455">
            <v>19.28</v>
          </cell>
        </row>
        <row r="456">
          <cell r="A456">
            <v>11513</v>
          </cell>
          <cell r="B456" t="str">
            <v>Sistema de cercamento tipo Gradil Nylofor Pintura Simples (preto, verde ou branco), #50x200mm, fio 5mm, L=2,50m, H=2,03m</v>
          </cell>
          <cell r="C456" t="str">
            <v>m</v>
          </cell>
          <cell r="D456">
            <v>163.01</v>
          </cell>
        </row>
        <row r="457">
          <cell r="A457">
            <v>10122</v>
          </cell>
          <cell r="B457" t="str">
            <v>Solo brita (incl. 0% IUM) sem frete</v>
          </cell>
          <cell r="C457" t="str">
            <v>m³</v>
          </cell>
          <cell r="D457">
            <v>39.65</v>
          </cell>
        </row>
        <row r="458">
          <cell r="A458">
            <v>10366</v>
          </cell>
          <cell r="B458" t="str">
            <v>Solvente epoxi</v>
          </cell>
          <cell r="C458" t="str">
            <v>Gl</v>
          </cell>
          <cell r="D458">
            <v>109.46</v>
          </cell>
        </row>
        <row r="459">
          <cell r="A459">
            <v>10374</v>
          </cell>
          <cell r="B459" t="str">
            <v>Suporte em madeira de 1ª qualidade (8x8x320cm)</v>
          </cell>
          <cell r="C459" t="str">
            <v>un</v>
          </cell>
          <cell r="D459">
            <v>36.270000000000003</v>
          </cell>
        </row>
        <row r="460">
          <cell r="A460">
            <v>10743</v>
          </cell>
          <cell r="B460" t="str">
            <v>Suporte para placa de sinalização vertical em madeira de 1ª qualidade, tratada e pintada (8x8) com 3,40m</v>
          </cell>
          <cell r="C460" t="str">
            <v>un</v>
          </cell>
          <cell r="D460">
            <v>38.799999999999997</v>
          </cell>
        </row>
        <row r="461">
          <cell r="A461">
            <v>10620</v>
          </cell>
          <cell r="B461" t="str">
            <v>Tábua de pinho de 1ª de 1" x 12"</v>
          </cell>
          <cell r="C461" t="str">
            <v>m</v>
          </cell>
          <cell r="D461">
            <v>5.0999999999999996</v>
          </cell>
        </row>
        <row r="462">
          <cell r="A462">
            <v>10065</v>
          </cell>
          <cell r="B462" t="str">
            <v>Tábuas de 2,5 cm</v>
          </cell>
          <cell r="C462" t="str">
            <v>m³</v>
          </cell>
          <cell r="D462">
            <v>1634.03</v>
          </cell>
        </row>
        <row r="463">
          <cell r="A463">
            <v>10061</v>
          </cell>
          <cell r="B463" t="str">
            <v>Tábuas de 30 X 2,5 cm (p/ ensecadeira)</v>
          </cell>
          <cell r="C463" t="str">
            <v>m³</v>
          </cell>
          <cell r="D463">
            <v>2484.04</v>
          </cell>
        </row>
        <row r="464">
          <cell r="A464">
            <v>10359</v>
          </cell>
          <cell r="B464" t="str">
            <v>Tacha bidirecional</v>
          </cell>
          <cell r="C464" t="str">
            <v>un</v>
          </cell>
          <cell r="D464">
            <v>11.82</v>
          </cell>
        </row>
        <row r="465">
          <cell r="A465">
            <v>10358</v>
          </cell>
          <cell r="B465" t="str">
            <v>Tacha monodirecional</v>
          </cell>
          <cell r="C465" t="str">
            <v>un</v>
          </cell>
          <cell r="D465">
            <v>10.4</v>
          </cell>
        </row>
        <row r="466">
          <cell r="A466">
            <v>10361</v>
          </cell>
          <cell r="B466" t="str">
            <v>Tachao bidirecional</v>
          </cell>
          <cell r="C466" t="str">
            <v>un</v>
          </cell>
          <cell r="D466">
            <v>30.15</v>
          </cell>
        </row>
        <row r="467">
          <cell r="A467">
            <v>10360</v>
          </cell>
          <cell r="B467" t="str">
            <v>Tachao monodirecional</v>
          </cell>
          <cell r="C467" t="str">
            <v>un</v>
          </cell>
          <cell r="D467">
            <v>26.77</v>
          </cell>
        </row>
        <row r="468">
          <cell r="A468">
            <v>10057</v>
          </cell>
          <cell r="B468" t="str">
            <v>Taipá de 1ª com 2,5 cm</v>
          </cell>
          <cell r="C468" t="str">
            <v>m³</v>
          </cell>
          <cell r="D468">
            <v>1178.2</v>
          </cell>
        </row>
        <row r="469">
          <cell r="A469">
            <v>10244</v>
          </cell>
          <cell r="B469" t="str">
            <v>Tampa pré-moldada em concreto para sumidouro d=2,00m</v>
          </cell>
          <cell r="C469" t="str">
            <v>un</v>
          </cell>
          <cell r="D469">
            <v>288.33</v>
          </cell>
        </row>
        <row r="470">
          <cell r="A470">
            <v>10161</v>
          </cell>
          <cell r="B470" t="str">
            <v>Tampao de aço galvanizado D=3"</v>
          </cell>
          <cell r="C470" t="str">
            <v>un</v>
          </cell>
          <cell r="D470">
            <v>42.9</v>
          </cell>
        </row>
        <row r="471">
          <cell r="A471">
            <v>10182</v>
          </cell>
          <cell r="B471" t="str">
            <v>Tampao F.F. articulado pesado - poço visita</v>
          </cell>
          <cell r="C471" t="str">
            <v>cj</v>
          </cell>
          <cell r="D471">
            <v>214.68</v>
          </cell>
        </row>
        <row r="472">
          <cell r="A472">
            <v>10642</v>
          </cell>
          <cell r="B472" t="str">
            <v>Tampão simples 1,07x0,62 Padrão R2 Telemar</v>
          </cell>
          <cell r="C472" t="str">
            <v>un</v>
          </cell>
          <cell r="D472">
            <v>341.96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11255</v>
          </cell>
          <cell r="B474" t="str">
            <v>Tela de aço galvanizada 8 x 10 cm , d=2,70mm, dupla torção</v>
          </cell>
          <cell r="C474" t="str">
            <v>m²</v>
          </cell>
          <cell r="D474">
            <v>27.89</v>
          </cell>
        </row>
        <row r="475">
          <cell r="A475">
            <v>10635</v>
          </cell>
          <cell r="B475" t="str">
            <v>Tela de aço soldada Telcon Q-138 ou similar</v>
          </cell>
          <cell r="C475" t="str">
            <v>kg</v>
          </cell>
          <cell r="D475">
            <v>4.74</v>
          </cell>
        </row>
        <row r="476">
          <cell r="A476">
            <v>11493</v>
          </cell>
          <cell r="B476" t="str">
            <v>Tela de aço soldada Telcon Q-196 ou similar</v>
          </cell>
          <cell r="C476" t="str">
            <v>Kg</v>
          </cell>
          <cell r="D476">
            <v>4.49</v>
          </cell>
        </row>
        <row r="477">
          <cell r="A477">
            <v>10649</v>
          </cell>
          <cell r="B477" t="str">
            <v>Tela de PVC na cor laranja, para proteção de segurança (tapume), rolo com 50,00 m</v>
          </cell>
          <cell r="C477" t="str">
            <v>rl</v>
          </cell>
          <cell r="D477">
            <v>63.08</v>
          </cell>
        </row>
        <row r="478">
          <cell r="A478">
            <v>10173</v>
          </cell>
          <cell r="B478" t="str">
            <v>Tela losangular fio 10 galvanizado, malha 3"</v>
          </cell>
          <cell r="C478" t="str">
            <v>m²</v>
          </cell>
          <cell r="D478">
            <v>17.32</v>
          </cell>
        </row>
        <row r="479">
          <cell r="A479">
            <v>10637</v>
          </cell>
          <cell r="B479" t="str">
            <v>Tela losangular fio 12 galvanizado, malha 3"</v>
          </cell>
          <cell r="C479" t="str">
            <v>m²</v>
          </cell>
          <cell r="D479">
            <v>10.81</v>
          </cell>
        </row>
        <row r="480">
          <cell r="A480">
            <v>10172</v>
          </cell>
          <cell r="B480" t="str">
            <v>Tela losangular fio 12, revestido em PVC, malha 3"</v>
          </cell>
          <cell r="C480" t="str">
            <v>m²</v>
          </cell>
          <cell r="D480">
            <v>17.690000000000001</v>
          </cell>
        </row>
        <row r="481">
          <cell r="A481">
            <v>10783</v>
          </cell>
          <cell r="B481" t="str">
            <v>Telha cerâmica tipo plana</v>
          </cell>
          <cell r="C481" t="str">
            <v>un</v>
          </cell>
          <cell r="D481">
            <v>0.96</v>
          </cell>
        </row>
        <row r="482">
          <cell r="A482">
            <v>11003</v>
          </cell>
          <cell r="B482" t="str">
            <v>Telha de fribrocimento ondulada de 6 mm</v>
          </cell>
          <cell r="C482" t="str">
            <v>m²</v>
          </cell>
          <cell r="D482">
            <v>18.260000000000002</v>
          </cell>
        </row>
        <row r="483">
          <cell r="A483">
            <v>10818</v>
          </cell>
          <cell r="B483" t="str">
            <v>Telha fibrocimento - Canalete normal 49 - Comp. = 2,50 m</v>
          </cell>
          <cell r="C483" t="str">
            <v>pç</v>
          </cell>
          <cell r="D483">
            <v>90.77</v>
          </cell>
        </row>
        <row r="484">
          <cell r="A484">
            <v>10324</v>
          </cell>
          <cell r="B484" t="str">
            <v>Telha fibrocimento - Canalete normal 49 - Comp. = 3,60 m</v>
          </cell>
          <cell r="C484" t="str">
            <v>pç</v>
          </cell>
          <cell r="D484">
            <v>135.82</v>
          </cell>
        </row>
        <row r="485">
          <cell r="A485">
            <v>10819</v>
          </cell>
          <cell r="B485" t="str">
            <v>Telha fibrocimento - Canalete terminal 49 - Comp. = 2,50 m</v>
          </cell>
          <cell r="C485" t="str">
            <v>pç</v>
          </cell>
          <cell r="D485">
            <v>99.76</v>
          </cell>
        </row>
        <row r="486">
          <cell r="A486">
            <v>10325</v>
          </cell>
          <cell r="B486" t="str">
            <v>Telha fibrocimento - Canalete terminal 49 - Comp. = 3,60 m</v>
          </cell>
          <cell r="C486" t="str">
            <v>pç</v>
          </cell>
          <cell r="D486">
            <v>138.56</v>
          </cell>
        </row>
        <row r="487">
          <cell r="A487">
            <v>10571</v>
          </cell>
          <cell r="B487" t="str">
            <v>Terra vegetal</v>
          </cell>
          <cell r="C487" t="str">
            <v>m³</v>
          </cell>
          <cell r="D487">
            <v>68.040000000000006</v>
          </cell>
        </row>
        <row r="488">
          <cell r="A488">
            <v>10845</v>
          </cell>
          <cell r="B488" t="str">
            <v>Terramesh System malha hexagonal 8x10mm, PVC, diâmetro 2,7 mm, 0,50x1,00x6,00m</v>
          </cell>
          <cell r="C488" t="str">
            <v>pç</v>
          </cell>
          <cell r="D488">
            <v>440.05</v>
          </cell>
        </row>
        <row r="489">
          <cell r="A489">
            <v>10844</v>
          </cell>
          <cell r="B489" t="str">
            <v>Terramesh System malha hexagonal 8x10mm, PVC, diâmetro 2,7mm, 0,50x1,00x4,00m</v>
          </cell>
          <cell r="C489" t="str">
            <v>pç</v>
          </cell>
          <cell r="D489">
            <v>356.37</v>
          </cell>
        </row>
        <row r="490">
          <cell r="A490">
            <v>10846</v>
          </cell>
          <cell r="B490" t="str">
            <v>Terramesh System malha hexagonal 8x10mm, PVC, diâmetro 2,7mm, 0,50x1,00x7,00m</v>
          </cell>
          <cell r="C490" t="str">
            <v>pç</v>
          </cell>
          <cell r="D490">
            <v>489.4</v>
          </cell>
        </row>
        <row r="491">
          <cell r="A491">
            <v>10842</v>
          </cell>
          <cell r="B491" t="str">
            <v>Terramesh System malha hexagonal, 8x10mm, PVC, diâmetro 2,7mm, 1,00x1,00x4,00m</v>
          </cell>
          <cell r="C491" t="str">
            <v>pç</v>
          </cell>
          <cell r="D491">
            <v>473.13</v>
          </cell>
        </row>
        <row r="492">
          <cell r="A492">
            <v>10843</v>
          </cell>
          <cell r="B492" t="str">
            <v>Terramesh System malha hexagonal 8x10mm, PVC, diâmetro 2,7mm, 1,00x1,00x5,00m</v>
          </cell>
          <cell r="C492" t="str">
            <v>pç</v>
          </cell>
          <cell r="D492">
            <v>484.26</v>
          </cell>
        </row>
        <row r="493">
          <cell r="A493">
            <v>10329</v>
          </cell>
          <cell r="B493" t="str">
            <v>Tijolinho a vista (placa de revestimento)</v>
          </cell>
          <cell r="C493" t="str">
            <v>m²</v>
          </cell>
          <cell r="D493">
            <v>18.96</v>
          </cell>
        </row>
        <row r="494">
          <cell r="A494">
            <v>11567</v>
          </cell>
          <cell r="B494" t="str">
            <v>Tijolo cerâmico maciço 5x10x20 cm</v>
          </cell>
          <cell r="C494" t="str">
            <v>un</v>
          </cell>
          <cell r="D494">
            <v>0.93</v>
          </cell>
        </row>
        <row r="495">
          <cell r="A495">
            <v>10372</v>
          </cell>
          <cell r="B495" t="str">
            <v>Tinner comum</v>
          </cell>
          <cell r="C495" t="str">
            <v>l</v>
          </cell>
          <cell r="D495">
            <v>8.58</v>
          </cell>
        </row>
        <row r="496">
          <cell r="A496">
            <v>10365</v>
          </cell>
          <cell r="B496" t="str">
            <v>Tinta a base de borracha clorada para acabamento a cores</v>
          </cell>
          <cell r="C496" t="str">
            <v>Gl</v>
          </cell>
          <cell r="D496">
            <v>134.43</v>
          </cell>
        </row>
        <row r="497">
          <cell r="A497">
            <v>11521</v>
          </cell>
          <cell r="B497" t="str">
            <v>Tinta à base de epóxi, Coral (Wandepóxi), Suvinil (Esmalte Epóxi) ou equivalente</v>
          </cell>
          <cell r="C497" t="str">
            <v>l</v>
          </cell>
          <cell r="D497">
            <v>54.93</v>
          </cell>
        </row>
        <row r="498">
          <cell r="A498">
            <v>10788</v>
          </cell>
          <cell r="B498" t="str">
            <v>Tinta a óleo</v>
          </cell>
          <cell r="C498" t="str">
            <v>l</v>
          </cell>
          <cell r="D498">
            <v>24.77</v>
          </cell>
        </row>
        <row r="499">
          <cell r="A499">
            <v>10371</v>
          </cell>
          <cell r="B499" t="str">
            <v>Tinta acrílica</v>
          </cell>
          <cell r="C499" t="str">
            <v>bd</v>
          </cell>
          <cell r="D499">
            <v>243.82</v>
          </cell>
        </row>
        <row r="500">
          <cell r="A500">
            <v>10316</v>
          </cell>
          <cell r="B500" t="str">
            <v>Tinta base água coralar (balde 18L)</v>
          </cell>
          <cell r="C500" t="str">
            <v>bd</v>
          </cell>
          <cell r="D500">
            <v>220.22</v>
          </cell>
        </row>
        <row r="501">
          <cell r="A501">
            <v>10317</v>
          </cell>
          <cell r="B501" t="str">
            <v>Tinta base água (preço médio)</v>
          </cell>
          <cell r="C501" t="str">
            <v>bd</v>
          </cell>
          <cell r="D501">
            <v>231.96</v>
          </cell>
        </row>
        <row r="502">
          <cell r="A502">
            <v>10315</v>
          </cell>
          <cell r="B502" t="str">
            <v>Tinta base água suvinil (balde 18L)</v>
          </cell>
          <cell r="C502" t="str">
            <v>bd</v>
          </cell>
          <cell r="D502">
            <v>232.3</v>
          </cell>
        </row>
        <row r="503">
          <cell r="A503">
            <v>10655</v>
          </cell>
          <cell r="B503" t="str">
            <v>Tinta epóxica isenta de solvente</v>
          </cell>
          <cell r="C503" t="str">
            <v>kg</v>
          </cell>
          <cell r="D503">
            <v>51.44</v>
          </cell>
        </row>
        <row r="504">
          <cell r="A504">
            <v>10787</v>
          </cell>
          <cell r="B504" t="str">
            <v>Tinta látex acrílica</v>
          </cell>
          <cell r="C504" t="str">
            <v>l</v>
          </cell>
          <cell r="D504">
            <v>15.25</v>
          </cell>
        </row>
        <row r="505">
          <cell r="A505">
            <v>10339</v>
          </cell>
          <cell r="B505" t="str">
            <v>Tinta para demarc.viária à base de resina acrílica emuls. água (Preço médio)</v>
          </cell>
          <cell r="C505" t="str">
            <v>bd</v>
          </cell>
          <cell r="D505">
            <v>260</v>
          </cell>
        </row>
        <row r="506">
          <cell r="A506">
            <v>10178</v>
          </cell>
          <cell r="B506" t="str">
            <v>Trilho usado</v>
          </cell>
          <cell r="C506" t="str">
            <v>kg</v>
          </cell>
          <cell r="D506">
            <v>2.48</v>
          </cell>
        </row>
        <row r="507">
          <cell r="A507">
            <v>10159</v>
          </cell>
          <cell r="B507" t="str">
            <v>Tubo de aço galvanizado D=1 1/2"</v>
          </cell>
          <cell r="C507" t="str">
            <v>m</v>
          </cell>
          <cell r="D507">
            <v>24.21</v>
          </cell>
        </row>
        <row r="508">
          <cell r="A508">
            <v>10160</v>
          </cell>
          <cell r="B508" t="str">
            <v>Tubo de aço galvanizado D=3"</v>
          </cell>
          <cell r="C508" t="str">
            <v>m</v>
          </cell>
          <cell r="D508">
            <v>60.21</v>
          </cell>
        </row>
        <row r="509">
          <cell r="A509">
            <v>11477</v>
          </cell>
          <cell r="B509" t="str">
            <v>Tubo de aço galvanizado, semi-pesado d=2"</v>
          </cell>
          <cell r="C509" t="str">
            <v>m</v>
          </cell>
          <cell r="D509">
            <v>31.73</v>
          </cell>
        </row>
        <row r="510">
          <cell r="A510">
            <v>10174</v>
          </cell>
          <cell r="B510" t="str">
            <v>Tubo de aço redondo preto DIN2440 diâm. 2"</v>
          </cell>
          <cell r="C510" t="str">
            <v>m</v>
          </cell>
          <cell r="D510">
            <v>4.76</v>
          </cell>
        </row>
        <row r="511">
          <cell r="A511">
            <v>10217</v>
          </cell>
          <cell r="B511" t="str">
            <v>Tubo de concreto armado D=0,30m CA-1 MF</v>
          </cell>
          <cell r="C511" t="str">
            <v>m</v>
          </cell>
          <cell r="D511">
            <v>31</v>
          </cell>
        </row>
        <row r="512">
          <cell r="A512">
            <v>10218</v>
          </cell>
          <cell r="B512" t="str">
            <v>Tubo de concreto armado D=0,40m CA-1 MF</v>
          </cell>
          <cell r="C512" t="str">
            <v>m</v>
          </cell>
          <cell r="D512">
            <v>41.5</v>
          </cell>
        </row>
        <row r="513">
          <cell r="A513">
            <v>10229</v>
          </cell>
          <cell r="B513" t="str">
            <v>Tubo de concreto armado D=0,40m CA-2 MF</v>
          </cell>
          <cell r="C513" t="str">
            <v>m</v>
          </cell>
          <cell r="D513">
            <v>45.5</v>
          </cell>
        </row>
        <row r="514">
          <cell r="A514">
            <v>10219</v>
          </cell>
          <cell r="B514" t="str">
            <v>Tubo de concreto armado D=0,60m CA-1 MF</v>
          </cell>
          <cell r="C514" t="str">
            <v>m</v>
          </cell>
          <cell r="D514">
            <v>65</v>
          </cell>
        </row>
        <row r="515">
          <cell r="A515">
            <v>10224</v>
          </cell>
          <cell r="B515" t="str">
            <v>Tubo de concreto armado D=0,60m CA-1 PB</v>
          </cell>
          <cell r="C515" t="str">
            <v>m</v>
          </cell>
          <cell r="D515">
            <v>69.03</v>
          </cell>
        </row>
        <row r="516">
          <cell r="A516">
            <v>10230</v>
          </cell>
          <cell r="B516" t="str">
            <v>Tubo de concreto armado D=0,60m CA-2 MF</v>
          </cell>
          <cell r="C516" t="str">
            <v>m</v>
          </cell>
          <cell r="D516">
            <v>66.5</v>
          </cell>
        </row>
        <row r="517">
          <cell r="A517">
            <v>10235</v>
          </cell>
          <cell r="B517" t="str">
            <v>Tubo de concreto armado D=0,60m CA-2 PB</v>
          </cell>
          <cell r="C517" t="str">
            <v>m</v>
          </cell>
          <cell r="D517">
            <v>69.08</v>
          </cell>
        </row>
        <row r="518">
          <cell r="A518">
            <v>10220</v>
          </cell>
          <cell r="B518" t="str">
            <v>Tubo de concreto armado D=0,80m CA-1 MF</v>
          </cell>
          <cell r="C518" t="str">
            <v>m</v>
          </cell>
          <cell r="D518">
            <v>120</v>
          </cell>
        </row>
        <row r="519">
          <cell r="A519">
            <v>10225</v>
          </cell>
          <cell r="B519" t="str">
            <v>Tubo de concreto armado D=0,80m CA-1 PB</v>
          </cell>
          <cell r="C519" t="str">
            <v>m</v>
          </cell>
          <cell r="D519">
            <v>125.23</v>
          </cell>
        </row>
        <row r="520">
          <cell r="A520">
            <v>10231</v>
          </cell>
          <cell r="B520" t="str">
            <v>Tubo de concreto armado D=0,80m CA-2 MF</v>
          </cell>
          <cell r="C520" t="str">
            <v>m</v>
          </cell>
          <cell r="D520">
            <v>127.5</v>
          </cell>
        </row>
        <row r="521">
          <cell r="A521">
            <v>10236</v>
          </cell>
          <cell r="B521" t="str">
            <v>Tubo de concreto armado D=0,80m CA-2 PB</v>
          </cell>
          <cell r="C521" t="str">
            <v>m</v>
          </cell>
          <cell r="D521">
            <v>138.28</v>
          </cell>
        </row>
        <row r="522">
          <cell r="A522">
            <v>10221</v>
          </cell>
          <cell r="B522" t="str">
            <v>Tubo de concreto armado D=1,00m CA-1 MF</v>
          </cell>
          <cell r="C522" t="str">
            <v>m</v>
          </cell>
          <cell r="D522">
            <v>167.5</v>
          </cell>
        </row>
        <row r="523">
          <cell r="A523">
            <v>10226</v>
          </cell>
          <cell r="B523" t="str">
            <v>Tubo de concreto armado D=1,00m CA-1 PB</v>
          </cell>
          <cell r="C523" t="str">
            <v>m</v>
          </cell>
          <cell r="D523">
            <v>174.02</v>
          </cell>
        </row>
        <row r="524">
          <cell r="A524">
            <v>10232</v>
          </cell>
          <cell r="B524" t="str">
            <v>Tubo de concreto armado D=1,00m CA-2 MF</v>
          </cell>
          <cell r="C524" t="str">
            <v>m</v>
          </cell>
          <cell r="D524">
            <v>177.5</v>
          </cell>
        </row>
        <row r="525">
          <cell r="A525">
            <v>10237</v>
          </cell>
          <cell r="B525" t="str">
            <v>Tubo de concreto armado D=1,00m CA-2 PB</v>
          </cell>
          <cell r="C525" t="str">
            <v>m</v>
          </cell>
          <cell r="D525">
            <v>189.5</v>
          </cell>
        </row>
        <row r="526">
          <cell r="A526">
            <v>10240</v>
          </cell>
          <cell r="B526" t="str">
            <v>Tubo de concreto armado D=1,00m CA-3 MF</v>
          </cell>
          <cell r="C526" t="str">
            <v>m</v>
          </cell>
          <cell r="D526">
            <v>205</v>
          </cell>
        </row>
        <row r="527">
          <cell r="A527">
            <v>10222</v>
          </cell>
          <cell r="B527" t="str">
            <v>Tubo de concreto armado D=1,20m CA-1 MF</v>
          </cell>
          <cell r="C527" t="str">
            <v>m</v>
          </cell>
          <cell r="D527">
            <v>275</v>
          </cell>
        </row>
        <row r="528">
          <cell r="A528">
            <v>10227</v>
          </cell>
          <cell r="B528" t="str">
            <v>Tubo de concreto armado D=1,20m CA-1 PB</v>
          </cell>
          <cell r="C528" t="str">
            <v>m</v>
          </cell>
          <cell r="D528">
            <v>287.33</v>
          </cell>
        </row>
        <row r="529">
          <cell r="A529">
            <v>10233</v>
          </cell>
          <cell r="B529" t="str">
            <v>Tubo de concreto armado D=1,20m CA-2 MF</v>
          </cell>
          <cell r="C529" t="str">
            <v>m</v>
          </cell>
          <cell r="D529">
            <v>290</v>
          </cell>
        </row>
        <row r="530">
          <cell r="A530">
            <v>10238</v>
          </cell>
          <cell r="B530" t="str">
            <v>Tubo de concreto armado D=1,20m CA-2 PB</v>
          </cell>
          <cell r="C530" t="str">
            <v>m</v>
          </cell>
          <cell r="D530">
            <v>315.5</v>
          </cell>
        </row>
        <row r="531">
          <cell r="A531">
            <v>10241</v>
          </cell>
          <cell r="B531" t="str">
            <v>Tubo de concreto armado D=1,20m CA-3 MF</v>
          </cell>
          <cell r="C531" t="str">
            <v>m</v>
          </cell>
          <cell r="D531">
            <v>302.5</v>
          </cell>
        </row>
        <row r="532">
          <cell r="A532">
            <v>10223</v>
          </cell>
          <cell r="B532" t="str">
            <v>Tubo de concreto armado D=1,50m CA-1 MF</v>
          </cell>
          <cell r="C532" t="str">
            <v>m</v>
          </cell>
          <cell r="D532">
            <v>520</v>
          </cell>
        </row>
        <row r="533">
          <cell r="A533">
            <v>10228</v>
          </cell>
          <cell r="B533" t="str">
            <v>Tubo de concreto armado D=1,50m CA-1 PB</v>
          </cell>
          <cell r="C533" t="str">
            <v>m</v>
          </cell>
          <cell r="D533">
            <v>432.32</v>
          </cell>
        </row>
        <row r="534">
          <cell r="A534">
            <v>10234</v>
          </cell>
          <cell r="B534" t="str">
            <v>Tubo de concreto armado D=1,50m CA-2 MF</v>
          </cell>
          <cell r="C534" t="str">
            <v>m</v>
          </cell>
          <cell r="D534">
            <v>550</v>
          </cell>
        </row>
        <row r="535">
          <cell r="A535">
            <v>10239</v>
          </cell>
          <cell r="B535" t="str">
            <v>Tubo de concreto armado D=1,50m CA-2 PB</v>
          </cell>
          <cell r="C535" t="str">
            <v>m</v>
          </cell>
          <cell r="D535">
            <v>470.58</v>
          </cell>
        </row>
        <row r="536">
          <cell r="A536">
            <v>10242</v>
          </cell>
          <cell r="B536" t="str">
            <v>Tubo de concreto armado D=1,50m CA-3 MF</v>
          </cell>
          <cell r="C536" t="str">
            <v>m</v>
          </cell>
          <cell r="D536">
            <v>380</v>
          </cell>
        </row>
        <row r="537">
          <cell r="A537">
            <v>10209</v>
          </cell>
          <cell r="B537" t="str">
            <v>Tubo de concreto s/ armaçao D=0,20m MF</v>
          </cell>
          <cell r="C537" t="str">
            <v>m</v>
          </cell>
          <cell r="D537">
            <v>22.5</v>
          </cell>
        </row>
        <row r="538">
          <cell r="A538">
            <v>10213</v>
          </cell>
          <cell r="B538" t="str">
            <v>Tubo de concreto s/ armaçao D=0,20m PB</v>
          </cell>
          <cell r="C538" t="str">
            <v>m</v>
          </cell>
          <cell r="D538">
            <v>22.5</v>
          </cell>
        </row>
        <row r="539">
          <cell r="A539">
            <v>10210</v>
          </cell>
          <cell r="B539" t="str">
            <v>Tubo de concreto s/ armaçao D=0,30m MF</v>
          </cell>
          <cell r="C539" t="str">
            <v>m</v>
          </cell>
          <cell r="D539">
            <v>29</v>
          </cell>
        </row>
        <row r="540">
          <cell r="A540">
            <v>10214</v>
          </cell>
          <cell r="B540" t="str">
            <v>Tubo de concreto s/ armaçao D=0,30m PB</v>
          </cell>
          <cell r="C540" t="str">
            <v>m</v>
          </cell>
          <cell r="D540">
            <v>31.6</v>
          </cell>
        </row>
        <row r="541">
          <cell r="A541">
            <v>10211</v>
          </cell>
          <cell r="B541" t="str">
            <v>Tubo de concreto s/ armaçao D=0,40m MF</v>
          </cell>
          <cell r="C541" t="str">
            <v>m</v>
          </cell>
          <cell r="D541">
            <v>34.5</v>
          </cell>
        </row>
        <row r="542">
          <cell r="A542">
            <v>10215</v>
          </cell>
          <cell r="B542" t="str">
            <v>Tubo de concreto s/ armaçao D=0,40m PB</v>
          </cell>
          <cell r="C542" t="str">
            <v>m</v>
          </cell>
          <cell r="D542">
            <v>36.93</v>
          </cell>
        </row>
        <row r="543">
          <cell r="A543">
            <v>10212</v>
          </cell>
          <cell r="B543" t="str">
            <v>Tubo de concreto s/ armaçao D=0,60m MF</v>
          </cell>
          <cell r="C543" t="str">
            <v>m</v>
          </cell>
          <cell r="D543">
            <v>61.5</v>
          </cell>
        </row>
        <row r="544">
          <cell r="A544">
            <v>10216</v>
          </cell>
          <cell r="B544" t="str">
            <v>Tubo de concreto s/ armaçao D=0,60m PB</v>
          </cell>
          <cell r="C544" t="str">
            <v>m</v>
          </cell>
          <cell r="D544">
            <v>65.36</v>
          </cell>
        </row>
        <row r="545">
          <cell r="A545">
            <v>10766</v>
          </cell>
          <cell r="B545" t="str">
            <v>Tubo de ferro fundido com pontas diâmetro 250mm e comprimento 1335mm - PN10</v>
          </cell>
          <cell r="C545" t="str">
            <v>un</v>
          </cell>
          <cell r="D545">
            <v>2400</v>
          </cell>
        </row>
        <row r="546">
          <cell r="A546">
            <v>10304</v>
          </cell>
          <cell r="B546" t="str">
            <v>Tubo de PVC D= 75 mm (esgoto) - vara 6 m</v>
          </cell>
          <cell r="C546" t="str">
            <v>vr</v>
          </cell>
          <cell r="D546">
            <v>48.32</v>
          </cell>
        </row>
        <row r="547">
          <cell r="A547">
            <v>10813</v>
          </cell>
          <cell r="B547" t="str">
            <v>Tubo de PVC de 100mm para esgoto</v>
          </cell>
          <cell r="C547" t="str">
            <v>m</v>
          </cell>
          <cell r="D547">
            <v>10.37</v>
          </cell>
        </row>
        <row r="548">
          <cell r="A548">
            <v>10755</v>
          </cell>
          <cell r="B548" t="str">
            <v>Tubo de PVC PBA CL 15 DN 50mm</v>
          </cell>
          <cell r="C548" t="str">
            <v>m</v>
          </cell>
          <cell r="D548">
            <v>10.96</v>
          </cell>
        </row>
        <row r="549">
          <cell r="A549">
            <v>10661</v>
          </cell>
          <cell r="B549" t="str">
            <v>Tubo de PVC PBA CL 15 DN 75mm</v>
          </cell>
          <cell r="C549" t="str">
            <v>m</v>
          </cell>
          <cell r="D549">
            <v>18.36</v>
          </cell>
        </row>
        <row r="550">
          <cell r="A550">
            <v>10658</v>
          </cell>
          <cell r="B550" t="str">
            <v>Tubo de PVC PBA CL 15 DN 100mm</v>
          </cell>
          <cell r="C550" t="str">
            <v>m</v>
          </cell>
          <cell r="D550">
            <v>35.479999999999997</v>
          </cell>
        </row>
        <row r="551">
          <cell r="A551">
            <v>10803</v>
          </cell>
          <cell r="B551" t="str">
            <v>Tubo de PVC PBA CL 15 DN 200mm</v>
          </cell>
          <cell r="C551" t="str">
            <v>m</v>
          </cell>
          <cell r="D551">
            <v>44.56</v>
          </cell>
        </row>
        <row r="552">
          <cell r="A552">
            <v>10692</v>
          </cell>
          <cell r="B552" t="str">
            <v>Tubo de PVC PBA, diâmetro 150 mm</v>
          </cell>
          <cell r="C552" t="str">
            <v>m</v>
          </cell>
          <cell r="D552">
            <v>22.94</v>
          </cell>
        </row>
        <row r="553">
          <cell r="A553">
            <v>10691</v>
          </cell>
          <cell r="B553" t="str">
            <v>Tubo de PVC PBA, diâmetro 300 mm</v>
          </cell>
          <cell r="C553" t="str">
            <v>m</v>
          </cell>
          <cell r="D553">
            <v>134.94999999999999</v>
          </cell>
        </row>
        <row r="554">
          <cell r="A554">
            <v>10688</v>
          </cell>
          <cell r="B554" t="str">
            <v>Tubo de PVC PBA junta elástica marron NBR 5648, diam. 75mm</v>
          </cell>
          <cell r="C554" t="str">
            <v>m</v>
          </cell>
          <cell r="D554">
            <v>15.02</v>
          </cell>
        </row>
        <row r="555">
          <cell r="A555">
            <v>10687</v>
          </cell>
          <cell r="B555" t="str">
            <v>Tubo de PVC PBA, junta elástica marron NBR5648 diâm. 50mm</v>
          </cell>
          <cell r="C555" t="str">
            <v>m</v>
          </cell>
          <cell r="D555">
            <v>9.5399999999999991</v>
          </cell>
        </row>
        <row r="556">
          <cell r="A556">
            <v>10332</v>
          </cell>
          <cell r="B556" t="str">
            <v>Tubo de PVC perfurado para dreno D=100 mm (tipo Kananet)</v>
          </cell>
          <cell r="C556" t="str">
            <v>m</v>
          </cell>
          <cell r="D556">
            <v>18.21</v>
          </cell>
        </row>
        <row r="557">
          <cell r="A557">
            <v>10306</v>
          </cell>
          <cell r="B557" t="str">
            <v>Tubo de PVC rígido D= 50mm (dreno) - vara 6m</v>
          </cell>
          <cell r="C557" t="str">
            <v>vr</v>
          </cell>
          <cell r="D557">
            <v>39.6</v>
          </cell>
        </row>
        <row r="558">
          <cell r="A558">
            <v>10307</v>
          </cell>
          <cell r="B558" t="str">
            <v>Tubo de PVC rígido D= 75mm (dreno) - vara 6m</v>
          </cell>
          <cell r="C558" t="str">
            <v>vr</v>
          </cell>
          <cell r="D558">
            <v>43.52</v>
          </cell>
        </row>
        <row r="559">
          <cell r="A559">
            <v>10308</v>
          </cell>
          <cell r="B559" t="str">
            <v>Tubo de PVC rígido D= 100mm (dreno) - vara 6m</v>
          </cell>
          <cell r="C559" t="str">
            <v>vr</v>
          </cell>
          <cell r="D559">
            <v>65.67</v>
          </cell>
        </row>
        <row r="560">
          <cell r="A560">
            <v>10648</v>
          </cell>
          <cell r="B560" t="str">
            <v>Tubo de PVC rígido, PBV, Série R, vara com 3m, diâmetro nominal de 50mm</v>
          </cell>
          <cell r="C560" t="str">
            <v>un</v>
          </cell>
          <cell r="D560">
            <v>34.200000000000003</v>
          </cell>
        </row>
        <row r="561">
          <cell r="A561">
            <v>10631</v>
          </cell>
          <cell r="B561" t="str">
            <v>Tubo de PVC rígido, roscável, vara com 6m de 3/4"</v>
          </cell>
          <cell r="C561" t="str">
            <v>un</v>
          </cell>
          <cell r="D561">
            <v>35.46</v>
          </cell>
        </row>
        <row r="562">
          <cell r="A562">
            <v>10690</v>
          </cell>
          <cell r="B562" t="str">
            <v>Tubo de PVC rígido, série R NBR5688, diam.100mm</v>
          </cell>
          <cell r="C562" t="str">
            <v>m</v>
          </cell>
          <cell r="D562">
            <v>13.68</v>
          </cell>
        </row>
        <row r="563">
          <cell r="A563">
            <v>10752</v>
          </cell>
          <cell r="B563" t="str">
            <v>Tubo de PVC soldável DN 20mm</v>
          </cell>
          <cell r="C563" t="str">
            <v>m</v>
          </cell>
          <cell r="D563">
            <v>1.94</v>
          </cell>
        </row>
        <row r="564">
          <cell r="A564">
            <v>10753</v>
          </cell>
          <cell r="B564" t="str">
            <v>Tubo de PVC soldável DN 25mm</v>
          </cell>
          <cell r="C564" t="str">
            <v>m</v>
          </cell>
          <cell r="D564">
            <v>2.78</v>
          </cell>
        </row>
        <row r="565">
          <cell r="A565">
            <v>10754</v>
          </cell>
          <cell r="B565" t="str">
            <v>Tubo de PVC soldável DN 32mm</v>
          </cell>
          <cell r="C565" t="str">
            <v>m</v>
          </cell>
          <cell r="D565">
            <v>5.12</v>
          </cell>
        </row>
        <row r="566">
          <cell r="A566">
            <v>10303</v>
          </cell>
          <cell r="B566" t="str">
            <v>Tubo de PVC soldável DN 50 mm (água)</v>
          </cell>
          <cell r="C566" t="str">
            <v>m</v>
          </cell>
          <cell r="D566">
            <v>10.57</v>
          </cell>
        </row>
        <row r="567">
          <cell r="A567">
            <v>10684</v>
          </cell>
          <cell r="B567" t="str">
            <v>Tubo IRRIFORT agropecuário diâmetro 32</v>
          </cell>
          <cell r="C567" t="str">
            <v>m</v>
          </cell>
          <cell r="D567">
            <v>2.13</v>
          </cell>
        </row>
        <row r="568">
          <cell r="A568">
            <v>10682</v>
          </cell>
          <cell r="B568" t="str">
            <v>Tubo para irrigação linha fixa PN40, diâm. 50mm</v>
          </cell>
          <cell r="C568" t="str">
            <v>m</v>
          </cell>
          <cell r="D568">
            <v>3.37</v>
          </cell>
        </row>
        <row r="569">
          <cell r="A569">
            <v>10683</v>
          </cell>
          <cell r="B569" t="str">
            <v>Tubo para irrigação linha fixa PN40, diam. 75mm</v>
          </cell>
          <cell r="C569" t="str">
            <v>m</v>
          </cell>
          <cell r="D569">
            <v>5.95</v>
          </cell>
        </row>
        <row r="570">
          <cell r="A570">
            <v>10246</v>
          </cell>
          <cell r="B570" t="str">
            <v>Tubo plástico ,corrugado,perfurado de PEAD (polietileno de alta densidade) diâmetro 200mm - comp= 1,00m</v>
          </cell>
          <cell r="C570" t="str">
            <v>m</v>
          </cell>
          <cell r="D570">
            <v>41.35</v>
          </cell>
        </row>
        <row r="571">
          <cell r="A571">
            <v>10249</v>
          </cell>
          <cell r="B571" t="str">
            <v>Tubo poroso D=0,20 m (preço médio)</v>
          </cell>
          <cell r="C571" t="str">
            <v>m</v>
          </cell>
          <cell r="D571">
            <v>22.35</v>
          </cell>
        </row>
        <row r="572">
          <cell r="A572">
            <v>10258</v>
          </cell>
          <cell r="B572" t="str">
            <v>Tubo poroso tipo PEAD, corrugado diâmetro 110mm</v>
          </cell>
          <cell r="C572" t="str">
            <v>m</v>
          </cell>
          <cell r="D572">
            <v>8.48</v>
          </cell>
        </row>
        <row r="573">
          <cell r="A573">
            <v>10800</v>
          </cell>
          <cell r="B573" t="str">
            <v>Tubo poroso tipo PEAD, corrugado diâmetro 65mm</v>
          </cell>
          <cell r="C573" t="str">
            <v>m</v>
          </cell>
          <cell r="D573">
            <v>4.17</v>
          </cell>
        </row>
        <row r="574">
          <cell r="A574">
            <v>10515</v>
          </cell>
          <cell r="B574" t="str">
            <v>TX 10,00% de custos diretos</v>
          </cell>
          <cell r="C574" t="str">
            <v>vb</v>
          </cell>
          <cell r="D574">
            <v>0</v>
          </cell>
        </row>
        <row r="575">
          <cell r="A575">
            <v>10516</v>
          </cell>
          <cell r="B575" t="str">
            <v>TX 2,00% de custos diretos + remuneraçao</v>
          </cell>
          <cell r="C575" t="str">
            <v>vb</v>
          </cell>
          <cell r="D575">
            <v>0</v>
          </cell>
        </row>
        <row r="576">
          <cell r="A576">
            <v>10514</v>
          </cell>
          <cell r="B576" t="str">
            <v>TX 25.00% s/ mao obra/equip. projeto</v>
          </cell>
          <cell r="C576" t="str">
            <v>vb</v>
          </cell>
          <cell r="D576">
            <v>0</v>
          </cell>
        </row>
        <row r="577">
          <cell r="A577">
            <v>10513</v>
          </cell>
          <cell r="B577" t="str">
            <v>TX 80,40 s/ mao obra/equip. projeto</v>
          </cell>
          <cell r="C577" t="str">
            <v>vb</v>
          </cell>
          <cell r="D577">
            <v>0</v>
          </cell>
        </row>
        <row r="578">
          <cell r="A578">
            <v>10330</v>
          </cell>
          <cell r="B578" t="str">
            <v>Vassoura tipo gari</v>
          </cell>
          <cell r="C578" t="str">
            <v>un</v>
          </cell>
          <cell r="D578">
            <v>14.12</v>
          </cell>
        </row>
        <row r="579">
          <cell r="A579">
            <v>10751</v>
          </cell>
          <cell r="B579" t="str">
            <v>Veda junta em bisnaga</v>
          </cell>
          <cell r="C579" t="str">
            <v>un</v>
          </cell>
          <cell r="D579">
            <v>5.49</v>
          </cell>
        </row>
        <row r="580">
          <cell r="A580">
            <v>10328</v>
          </cell>
          <cell r="B580" t="str">
            <v>Verniz (para tijolinho a vista)</v>
          </cell>
          <cell r="C580" t="str">
            <v>Gl</v>
          </cell>
          <cell r="D580">
            <v>52.72</v>
          </cell>
        </row>
        <row r="581">
          <cell r="A581">
            <v>10084</v>
          </cell>
          <cell r="B581" t="str">
            <v>Viga de madeira 40 X 40 cm</v>
          </cell>
          <cell r="C581" t="str">
            <v>m³</v>
          </cell>
          <cell r="D581">
            <v>3798.33</v>
          </cell>
        </row>
        <row r="582">
          <cell r="A582">
            <v>10463</v>
          </cell>
          <cell r="B582" t="str">
            <v>Viga pré-moldada concreto vão 4,00 m, classe 45 (preço médio)</v>
          </cell>
          <cell r="C582" t="str">
            <v>un</v>
          </cell>
          <cell r="D582">
            <v>7296</v>
          </cell>
        </row>
        <row r="583">
          <cell r="A583">
            <v>10464</v>
          </cell>
          <cell r="B583" t="str">
            <v>Viga pré-moldada concreto vão 5,00 m, classe 45 (preço médio)</v>
          </cell>
          <cell r="C583" t="str">
            <v>un</v>
          </cell>
          <cell r="D583">
            <v>9259.85</v>
          </cell>
        </row>
        <row r="584">
          <cell r="A584">
            <v>10465</v>
          </cell>
          <cell r="B584" t="str">
            <v>Viga pré-moldada concreto vão 6,00 m, classe 45 (preço médio)</v>
          </cell>
          <cell r="C584" t="str">
            <v>un</v>
          </cell>
          <cell r="D584">
            <v>11498.83</v>
          </cell>
        </row>
        <row r="585">
          <cell r="A585">
            <v>10466</v>
          </cell>
          <cell r="B585" t="str">
            <v>Viga pré-moldada concreto vão 7,00 m, classe 45 (preço médio)</v>
          </cell>
          <cell r="C585" t="str">
            <v>un</v>
          </cell>
          <cell r="D585">
            <v>14960.58</v>
          </cell>
        </row>
        <row r="586">
          <cell r="A586">
            <v>10467</v>
          </cell>
          <cell r="B586" t="str">
            <v>Viga pré-moldada concreto vão 8,00 m, classe 45 (preço médio)</v>
          </cell>
          <cell r="C586" t="str">
            <v>un</v>
          </cell>
          <cell r="D586">
            <v>18330.830000000002</v>
          </cell>
        </row>
        <row r="587">
          <cell r="A587">
            <v>10468</v>
          </cell>
          <cell r="B587" t="str">
            <v>Viga pré-moldada concreto vão 9,00 m, classe 45 (preço médio)</v>
          </cell>
          <cell r="C587" t="str">
            <v>un</v>
          </cell>
          <cell r="D587">
            <v>21314.29</v>
          </cell>
        </row>
        <row r="588">
          <cell r="A588">
            <v>10469</v>
          </cell>
          <cell r="B588" t="str">
            <v>Viga pré-moldada concreto vão 10,00 m, classe 45 (preço médio)</v>
          </cell>
          <cell r="C588" t="str">
            <v>un</v>
          </cell>
          <cell r="D588">
            <v>23696.93</v>
          </cell>
        </row>
        <row r="589">
          <cell r="A589">
            <v>10470</v>
          </cell>
          <cell r="B589" t="str">
            <v>Viga pré-moldada concreto vão 11,00 m, classe 45 (preço médio)</v>
          </cell>
          <cell r="C589" t="str">
            <v>un</v>
          </cell>
          <cell r="D589">
            <v>25698.25</v>
          </cell>
        </row>
        <row r="590">
          <cell r="A590">
            <v>10471</v>
          </cell>
          <cell r="B590" t="str">
            <v>Viga pré-moldada concreto vão 12,00 m, classe 45 (preço médio)</v>
          </cell>
          <cell r="C590" t="str">
            <v>un</v>
          </cell>
          <cell r="D590">
            <v>30747.9</v>
          </cell>
        </row>
        <row r="591">
          <cell r="A591">
            <v>10472</v>
          </cell>
          <cell r="B591" t="str">
            <v>Viga pré-moldada concreto vão 13,00 m, classe 45 (preço médio)</v>
          </cell>
          <cell r="C591" t="str">
            <v>un</v>
          </cell>
          <cell r="D591">
            <v>34787.42</v>
          </cell>
        </row>
        <row r="592">
          <cell r="A592">
            <v>10473</v>
          </cell>
          <cell r="B592" t="str">
            <v>Viga pré-moldada concreto vão 14,00 m, classe 45 (preço médio)</v>
          </cell>
          <cell r="C592" t="str">
            <v>un</v>
          </cell>
          <cell r="D592">
            <v>38495.61</v>
          </cell>
        </row>
        <row r="593">
          <cell r="A593">
            <v>10474</v>
          </cell>
          <cell r="B593" t="str">
            <v>Viga pré-moldada concreto vão 15,00 m, classe 45 (preço médio)</v>
          </cell>
          <cell r="C593" t="str">
            <v>un</v>
          </cell>
          <cell r="D593">
            <v>41723.08</v>
          </cell>
        </row>
        <row r="594">
          <cell r="A594">
            <v>10790</v>
          </cell>
          <cell r="B594" t="str">
            <v>Zarcão, Suvinil ou equivalente</v>
          </cell>
          <cell r="C594" t="str">
            <v>l</v>
          </cell>
          <cell r="D594">
            <v>22.27</v>
          </cell>
        </row>
        <row r="596">
          <cell r="A596">
            <v>0</v>
          </cell>
          <cell r="B596">
            <v>0</v>
          </cell>
        </row>
        <row r="597">
          <cell r="A597">
            <v>0</v>
          </cell>
          <cell r="B597">
            <v>0</v>
          </cell>
        </row>
        <row r="598">
          <cell r="A598">
            <v>0</v>
          </cell>
          <cell r="B598">
            <v>0</v>
          </cell>
        </row>
        <row r="599">
          <cell r="A599">
            <v>0</v>
          </cell>
          <cell r="B599">
            <v>0</v>
          </cell>
        </row>
        <row r="600">
          <cell r="A600">
            <v>0</v>
          </cell>
          <cell r="B600">
            <v>0</v>
          </cell>
        </row>
        <row r="601">
          <cell r="A601">
            <v>0</v>
          </cell>
          <cell r="B601">
            <v>0</v>
          </cell>
        </row>
        <row r="602">
          <cell r="A602">
            <v>0</v>
          </cell>
          <cell r="B602">
            <v>0</v>
          </cell>
        </row>
        <row r="603">
          <cell r="A603">
            <v>0</v>
          </cell>
          <cell r="B603">
            <v>0</v>
          </cell>
        </row>
        <row r="604">
          <cell r="A604">
            <v>0</v>
          </cell>
          <cell r="B604">
            <v>0</v>
          </cell>
        </row>
        <row r="605">
          <cell r="A605">
            <v>0</v>
          </cell>
          <cell r="B605">
            <v>0</v>
          </cell>
        </row>
        <row r="606">
          <cell r="A606">
            <v>0</v>
          </cell>
          <cell r="B606">
            <v>0</v>
          </cell>
        </row>
        <row r="607">
          <cell r="A607">
            <v>0</v>
          </cell>
          <cell r="B607">
            <v>0</v>
          </cell>
        </row>
        <row r="608">
          <cell r="A608">
            <v>0</v>
          </cell>
          <cell r="B608">
            <v>0</v>
          </cell>
        </row>
        <row r="609">
          <cell r="A609">
            <v>0</v>
          </cell>
          <cell r="B609">
            <v>0</v>
          </cell>
        </row>
        <row r="610">
          <cell r="A610">
            <v>0</v>
          </cell>
          <cell r="B610">
            <v>0</v>
          </cell>
        </row>
        <row r="611">
          <cell r="A611">
            <v>0</v>
          </cell>
          <cell r="B611">
            <v>0</v>
          </cell>
        </row>
        <row r="612">
          <cell r="A612">
            <v>0</v>
          </cell>
          <cell r="B612">
            <v>0</v>
          </cell>
        </row>
        <row r="613">
          <cell r="A613">
            <v>0</v>
          </cell>
          <cell r="B613">
            <v>0</v>
          </cell>
        </row>
        <row r="614">
          <cell r="A614">
            <v>0</v>
          </cell>
          <cell r="B614">
            <v>0</v>
          </cell>
        </row>
        <row r="615">
          <cell r="A615">
            <v>0</v>
          </cell>
          <cell r="B615">
            <v>0</v>
          </cell>
        </row>
        <row r="616">
          <cell r="A616">
            <v>0</v>
          </cell>
          <cell r="B616">
            <v>0</v>
          </cell>
        </row>
        <row r="617">
          <cell r="A617">
            <v>0</v>
          </cell>
          <cell r="B617">
            <v>0</v>
          </cell>
        </row>
        <row r="618">
          <cell r="A618">
            <v>0</v>
          </cell>
          <cell r="B618">
            <v>0</v>
          </cell>
        </row>
        <row r="619">
          <cell r="A619">
            <v>0</v>
          </cell>
          <cell r="B619">
            <v>0</v>
          </cell>
        </row>
        <row r="620">
          <cell r="A620">
            <v>0</v>
          </cell>
          <cell r="B620">
            <v>0</v>
          </cell>
        </row>
        <row r="621">
          <cell r="A621">
            <v>0</v>
          </cell>
          <cell r="B621">
            <v>0</v>
          </cell>
        </row>
        <row r="622">
          <cell r="A622">
            <v>0</v>
          </cell>
          <cell r="B622">
            <v>0</v>
          </cell>
        </row>
        <row r="623">
          <cell r="A623">
            <v>0</v>
          </cell>
          <cell r="B623">
            <v>0</v>
          </cell>
        </row>
        <row r="624">
          <cell r="A624">
            <v>0</v>
          </cell>
          <cell r="B624">
            <v>0</v>
          </cell>
        </row>
        <row r="625">
          <cell r="A625">
            <v>0</v>
          </cell>
          <cell r="B625">
            <v>0</v>
          </cell>
        </row>
        <row r="626">
          <cell r="A626">
            <v>0</v>
          </cell>
          <cell r="B626">
            <v>0</v>
          </cell>
        </row>
        <row r="627">
          <cell r="A627">
            <v>0</v>
          </cell>
          <cell r="B627">
            <v>0</v>
          </cell>
        </row>
        <row r="628">
          <cell r="A628">
            <v>0</v>
          </cell>
          <cell r="B628">
            <v>0</v>
          </cell>
        </row>
        <row r="629">
          <cell r="A629">
            <v>0</v>
          </cell>
          <cell r="B629">
            <v>0</v>
          </cell>
        </row>
        <row r="630">
          <cell r="A630">
            <v>0</v>
          </cell>
          <cell r="B630">
            <v>0</v>
          </cell>
        </row>
        <row r="631">
          <cell r="A631">
            <v>0</v>
          </cell>
          <cell r="B631">
            <v>0</v>
          </cell>
        </row>
        <row r="632">
          <cell r="A632">
            <v>0</v>
          </cell>
          <cell r="B632">
            <v>0</v>
          </cell>
        </row>
        <row r="633">
          <cell r="A633">
            <v>0</v>
          </cell>
          <cell r="B633">
            <v>0</v>
          </cell>
        </row>
        <row r="634">
          <cell r="A634">
            <v>0</v>
          </cell>
          <cell r="B634">
            <v>0</v>
          </cell>
        </row>
        <row r="635">
          <cell r="A635">
            <v>0</v>
          </cell>
          <cell r="B635">
            <v>0</v>
          </cell>
        </row>
        <row r="636">
          <cell r="A636">
            <v>0</v>
          </cell>
          <cell r="B636">
            <v>0</v>
          </cell>
        </row>
        <row r="637">
          <cell r="A637">
            <v>0</v>
          </cell>
          <cell r="B637">
            <v>0</v>
          </cell>
        </row>
        <row r="638">
          <cell r="A638">
            <v>0</v>
          </cell>
          <cell r="B638">
            <v>0</v>
          </cell>
        </row>
        <row r="639">
          <cell r="A639">
            <v>0</v>
          </cell>
          <cell r="B639">
            <v>0</v>
          </cell>
        </row>
        <row r="640">
          <cell r="A640">
            <v>0</v>
          </cell>
          <cell r="B640">
            <v>0</v>
          </cell>
        </row>
        <row r="641">
          <cell r="A641">
            <v>0</v>
          </cell>
          <cell r="B641">
            <v>0</v>
          </cell>
        </row>
        <row r="642">
          <cell r="A642">
            <v>0</v>
          </cell>
          <cell r="B642">
            <v>0</v>
          </cell>
        </row>
        <row r="643">
          <cell r="A643">
            <v>0</v>
          </cell>
          <cell r="B643">
            <v>0</v>
          </cell>
        </row>
      </sheetData>
      <sheetData sheetId="9">
        <row r="1">
          <cell r="A1" t="str">
            <v>Data Base: Junho/2015</v>
          </cell>
          <cell r="B1">
            <v>0</v>
          </cell>
          <cell r="C1" t="str">
            <v xml:space="preserve">x  = DMT em km </v>
          </cell>
          <cell r="D1">
            <v>0</v>
          </cell>
        </row>
        <row r="2">
          <cell r="A2" t="str">
            <v>Valores sem BDI</v>
          </cell>
          <cell r="B2">
            <v>0</v>
          </cell>
          <cell r="C2" t="str">
            <v xml:space="preserve">x1 = DMT em km (rodovia pavimentada) </v>
          </cell>
          <cell r="D2">
            <v>0</v>
          </cell>
        </row>
        <row r="3">
          <cell r="A3" t="str">
            <v>BDI (%)</v>
          </cell>
          <cell r="B3">
            <v>0.29630000000000001</v>
          </cell>
          <cell r="C3" t="str">
            <v xml:space="preserve">x2 = DMT em km (rodovia não pavimentada) </v>
          </cell>
          <cell r="D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 t="str">
            <v xml:space="preserve">Fórmula de Transporte (R$/t) </v>
          </cell>
          <cell r="F4">
            <v>0</v>
          </cell>
          <cell r="G4">
            <v>0</v>
          </cell>
          <cell r="H4" t="str">
            <v xml:space="preserve">Fórmula de Transporte c/ BDI (R$/t) </v>
          </cell>
          <cell r="I4">
            <v>0</v>
          </cell>
          <cell r="J4">
            <v>0</v>
          </cell>
        </row>
        <row r="5">
          <cell r="A5" t="str">
            <v xml:space="preserve">Código </v>
          </cell>
          <cell r="B5" t="str">
            <v>Serviço</v>
          </cell>
          <cell r="C5" t="str">
            <v>Unidade</v>
          </cell>
          <cell r="D5" t="str">
            <v>Fórmula de Transporte (R$/t)</v>
          </cell>
          <cell r="E5" t="str">
            <v>XP</v>
          </cell>
          <cell r="F5" t="str">
            <v>XR</v>
          </cell>
          <cell r="G5" t="str">
            <v>K</v>
          </cell>
          <cell r="H5" t="str">
            <v>XP</v>
          </cell>
          <cell r="I5" t="str">
            <v>XR</v>
          </cell>
          <cell r="J5" t="str">
            <v>K</v>
          </cell>
        </row>
        <row r="6">
          <cell r="A6">
            <v>60002</v>
          </cell>
          <cell r="B6" t="str">
            <v xml:space="preserve">TR-201-00 (Comercial - Caminhão basculante)  </v>
          </cell>
          <cell r="C6" t="str">
            <v xml:space="preserve"> t  </v>
          </cell>
          <cell r="D6" t="str">
            <v>0,513XP + 0,534XR + 2,138</v>
          </cell>
          <cell r="E6">
            <v>0.51300000000000001</v>
          </cell>
          <cell r="F6">
            <v>0.53400000000000003</v>
          </cell>
          <cell r="G6">
            <v>2.1379999999999999</v>
          </cell>
          <cell r="H6">
            <v>0.66500000000000004</v>
          </cell>
          <cell r="I6">
            <v>0.69199999999999995</v>
          </cell>
          <cell r="J6">
            <v>2.7709999999999999</v>
          </cell>
        </row>
        <row r="7">
          <cell r="A7">
            <v>60003</v>
          </cell>
          <cell r="B7" t="str">
            <v xml:space="preserve">TR-202-00 (Comercial - Caminhão basculante)  </v>
          </cell>
          <cell r="C7" t="str">
            <v xml:space="preserve"> t  </v>
          </cell>
          <cell r="D7" t="str">
            <v>0,513XP + 0,534XR</v>
          </cell>
          <cell r="E7">
            <v>0.51300000000000001</v>
          </cell>
          <cell r="F7">
            <v>0.53400000000000003</v>
          </cell>
          <cell r="G7">
            <v>0</v>
          </cell>
          <cell r="H7">
            <v>0.66500000000000004</v>
          </cell>
          <cell r="I7">
            <v>0.69199999999999995</v>
          </cell>
          <cell r="J7">
            <v>0</v>
          </cell>
        </row>
        <row r="8">
          <cell r="A8">
            <v>60004</v>
          </cell>
          <cell r="B8" t="str">
            <v xml:space="preserve">TR-203-00 (Comercial - Caminhão carroceria)  </v>
          </cell>
          <cell r="C8" t="str">
            <v xml:space="preserve"> t  </v>
          </cell>
          <cell r="D8" t="str">
            <v>0,499XP + 0,519XR</v>
          </cell>
          <cell r="E8">
            <v>0.499</v>
          </cell>
          <cell r="F8">
            <v>0.51900000000000002</v>
          </cell>
          <cell r="G8">
            <v>0</v>
          </cell>
          <cell r="H8">
            <v>0.64600000000000002</v>
          </cell>
          <cell r="I8">
            <v>0.67200000000000004</v>
          </cell>
          <cell r="J8">
            <v>0</v>
          </cell>
        </row>
        <row r="9">
          <cell r="A9">
            <v>60005</v>
          </cell>
          <cell r="B9" t="str">
            <v xml:space="preserve">TR-204-00 (Comercial - Carreta prancha)  </v>
          </cell>
          <cell r="C9" t="str">
            <v xml:space="preserve"> t  </v>
          </cell>
          <cell r="D9" t="str">
            <v>0,821XP + 0,855XR</v>
          </cell>
          <cell r="E9">
            <v>0.82099999999999995</v>
          </cell>
          <cell r="F9">
            <v>0.85499999999999998</v>
          </cell>
          <cell r="G9">
            <v>0</v>
          </cell>
          <cell r="H9">
            <v>1.0640000000000001</v>
          </cell>
          <cell r="I9">
            <v>1.1080000000000001</v>
          </cell>
          <cell r="J9">
            <v>0</v>
          </cell>
        </row>
        <row r="10">
          <cell r="A10">
            <v>60006</v>
          </cell>
          <cell r="B10" t="str">
            <v xml:space="preserve">TR-301-00 (Massa Asfáltica)  </v>
          </cell>
          <cell r="C10" t="str">
            <v xml:space="preserve"> t  </v>
          </cell>
          <cell r="D10" t="str">
            <v>0,772XP + 0,801XR + 5,940</v>
          </cell>
          <cell r="E10">
            <v>0.77200000000000002</v>
          </cell>
          <cell r="F10">
            <v>0.80100000000000005</v>
          </cell>
          <cell r="G10">
            <v>5.94</v>
          </cell>
          <cell r="H10">
            <v>1</v>
          </cell>
          <cell r="I10">
            <v>1.038</v>
          </cell>
          <cell r="J10">
            <v>7.7</v>
          </cell>
        </row>
        <row r="11">
          <cell r="A11">
            <v>60007</v>
          </cell>
          <cell r="B11" t="str">
            <v xml:space="preserve">TR-302-00 (Mat. Asf. Q. DNIT)  </v>
          </cell>
          <cell r="C11" t="str">
            <v xml:space="preserve"> t  </v>
          </cell>
          <cell r="D11" t="str">
            <v>0,383XP + 0,519XR + 38,343</v>
          </cell>
          <cell r="E11">
            <v>0.38300000000000001</v>
          </cell>
          <cell r="F11">
            <v>0.51900000000000002</v>
          </cell>
          <cell r="G11">
            <v>38.343000000000004</v>
          </cell>
          <cell r="H11">
            <v>0.496</v>
          </cell>
          <cell r="I11">
            <v>0.67200000000000004</v>
          </cell>
          <cell r="J11">
            <v>49.704000000000001</v>
          </cell>
        </row>
        <row r="12">
          <cell r="A12">
            <v>60008</v>
          </cell>
          <cell r="B12" t="str">
            <v xml:space="preserve">TR-303 (Mat. Asf. F. DNIT)  </v>
          </cell>
          <cell r="C12" t="str">
            <v xml:space="preserve"> t  </v>
          </cell>
          <cell r="D12" t="str">
            <v>0,345XP + 0,466XR + 34,510</v>
          </cell>
          <cell r="E12">
            <v>0.34499999999999997</v>
          </cell>
          <cell r="F12">
            <v>0.46600000000000003</v>
          </cell>
          <cell r="G12">
            <v>34.51</v>
          </cell>
          <cell r="H12">
            <v>0.44700000000000001</v>
          </cell>
          <cell r="I12">
            <v>0.60399999999999998</v>
          </cell>
          <cell r="J12">
            <v>44.734999999999999</v>
          </cell>
        </row>
        <row r="13">
          <cell r="A13">
            <v>60010</v>
          </cell>
          <cell r="B13" t="str">
            <v xml:space="preserve">Transporte Local de Materiais (TR-101-01) (Vias urbanas - Caminhão basculante)  </v>
          </cell>
          <cell r="C13" t="str">
            <v xml:space="preserve"> t  </v>
          </cell>
          <cell r="D13" t="str">
            <v>0,801XP + 1,068XR + 1,335</v>
          </cell>
          <cell r="E13">
            <v>0.80100000000000005</v>
          </cell>
          <cell r="F13">
            <v>1.0680000000000001</v>
          </cell>
          <cell r="G13">
            <v>1.335</v>
          </cell>
          <cell r="H13">
            <v>1.038</v>
          </cell>
          <cell r="I13">
            <v>1.3839999999999999</v>
          </cell>
          <cell r="J13">
            <v>1.73</v>
          </cell>
        </row>
        <row r="14">
          <cell r="A14">
            <v>60012</v>
          </cell>
          <cell r="B14" t="str">
            <v xml:space="preserve">TR-202-01 (Comercial - Caminhão basculante)  </v>
          </cell>
          <cell r="C14" t="str">
            <v xml:space="preserve"> t  </v>
          </cell>
          <cell r="D14" t="str">
            <v>0,513XP + 0,534XR</v>
          </cell>
          <cell r="E14">
            <v>0.51300000000000001</v>
          </cell>
          <cell r="F14">
            <v>0.53400000000000003</v>
          </cell>
          <cell r="G14">
            <v>0</v>
          </cell>
          <cell r="H14">
            <v>0.66500000000000004</v>
          </cell>
          <cell r="I14">
            <v>0.69199999999999995</v>
          </cell>
          <cell r="J14">
            <v>0</v>
          </cell>
        </row>
        <row r="15">
          <cell r="A15">
            <v>60013</v>
          </cell>
          <cell r="B15" t="str">
            <v xml:space="preserve">TR-203-01 (Comercial - Caminhão carroceria)  </v>
          </cell>
          <cell r="C15" t="str">
            <v xml:space="preserve"> t  </v>
          </cell>
          <cell r="D15" t="str">
            <v>0,499XP + 0,519XR</v>
          </cell>
          <cell r="E15">
            <v>0.499</v>
          </cell>
          <cell r="F15">
            <v>0.51900000000000002</v>
          </cell>
          <cell r="G15">
            <v>0</v>
          </cell>
          <cell r="H15">
            <v>0.64600000000000002</v>
          </cell>
          <cell r="I15">
            <v>0.67200000000000004</v>
          </cell>
          <cell r="J15">
            <v>0</v>
          </cell>
        </row>
        <row r="16">
          <cell r="A16">
            <v>60014</v>
          </cell>
          <cell r="B16" t="str">
            <v xml:space="preserve">TR-204-01 (Comercial - Carreta com Prancha)  </v>
          </cell>
          <cell r="C16" t="str">
            <v xml:space="preserve"> t  </v>
          </cell>
          <cell r="D16" t="str">
            <v>0,821XP + 0,855XR</v>
          </cell>
          <cell r="E16">
            <v>0.82099999999999995</v>
          </cell>
          <cell r="F16">
            <v>0.85499999999999998</v>
          </cell>
          <cell r="G16">
            <v>0</v>
          </cell>
          <cell r="H16">
            <v>1.0640000000000001</v>
          </cell>
          <cell r="I16">
            <v>1.1080000000000001</v>
          </cell>
          <cell r="J16">
            <v>0</v>
          </cell>
        </row>
        <row r="17">
          <cell r="A17">
            <v>60019</v>
          </cell>
          <cell r="B17" t="str">
            <v xml:space="preserve">LOCAL COM DMT ATÉ 3,0 KM (Caminhão basculante)  </v>
          </cell>
          <cell r="C17" t="str">
            <v xml:space="preserve"> t  </v>
          </cell>
          <cell r="D17" t="str">
            <v>0,662XP + 0,732XR + 1,162</v>
          </cell>
          <cell r="E17">
            <v>0.66200000000000003</v>
          </cell>
          <cell r="F17">
            <v>0.73199999999999998</v>
          </cell>
          <cell r="G17">
            <v>1.1619999999999999</v>
          </cell>
          <cell r="H17">
            <v>0.85799999999999998</v>
          </cell>
          <cell r="I17">
            <v>0.94799999999999995</v>
          </cell>
          <cell r="J17">
            <v>1.506</v>
          </cell>
        </row>
        <row r="18">
          <cell r="A18">
            <v>60020</v>
          </cell>
          <cell r="B18" t="str">
            <v xml:space="preserve">LOCAL COM DMT DE 3,1 A 5,0 KM (Caminhão basculante)  </v>
          </cell>
          <cell r="C18" t="str">
            <v xml:space="preserve"> t  </v>
          </cell>
          <cell r="D18" t="str">
            <v>0,594XP + 0,668XR + 1,113</v>
          </cell>
          <cell r="E18">
            <v>0.59399999999999997</v>
          </cell>
          <cell r="F18">
            <v>0.66800000000000004</v>
          </cell>
          <cell r="G18">
            <v>1.113</v>
          </cell>
          <cell r="H18">
            <v>0.77</v>
          </cell>
          <cell r="I18">
            <v>0.86499999999999999</v>
          </cell>
          <cell r="J18">
            <v>1.4419999999999999</v>
          </cell>
        </row>
        <row r="19">
          <cell r="A19">
            <v>60021</v>
          </cell>
          <cell r="B19" t="str">
            <v xml:space="preserve">LOCAL COM DMT DE 5,1 A 10,0 KM (Caminhão basculante)  </v>
          </cell>
          <cell r="C19" t="str">
            <v xml:space="preserve"> t  </v>
          </cell>
          <cell r="D19" t="str">
            <v>0,513XP + 0,570XR + 1,069</v>
          </cell>
          <cell r="E19">
            <v>0.51300000000000001</v>
          </cell>
          <cell r="F19">
            <v>0.56999999999999995</v>
          </cell>
          <cell r="G19">
            <v>1.069</v>
          </cell>
          <cell r="H19">
            <v>0.66500000000000004</v>
          </cell>
          <cell r="I19">
            <v>0.73799999999999999</v>
          </cell>
          <cell r="J19">
            <v>1.385</v>
          </cell>
        </row>
        <row r="20">
          <cell r="A20">
            <v>60022</v>
          </cell>
          <cell r="B20" t="str">
            <v xml:space="preserve">LOCAL COM DMT DE 10,1 A 15,0 KM (Caminhão basculante)  </v>
          </cell>
          <cell r="C20" t="str">
            <v xml:space="preserve"> t  </v>
          </cell>
          <cell r="D20" t="str">
            <v>0,456XP + 0,483XR + 1,028</v>
          </cell>
          <cell r="E20">
            <v>0.45600000000000002</v>
          </cell>
          <cell r="F20">
            <v>0.48299999999999998</v>
          </cell>
          <cell r="G20">
            <v>1.028</v>
          </cell>
          <cell r="H20">
            <v>0.59099999999999997</v>
          </cell>
          <cell r="I20">
            <v>0.626</v>
          </cell>
          <cell r="J20">
            <v>1.3320000000000001</v>
          </cell>
        </row>
        <row r="21">
          <cell r="A21">
            <v>60024</v>
          </cell>
          <cell r="B21" t="str">
            <v xml:space="preserve">Transporte de materiais para DMT acima de 15 KM (Caminhão  </v>
          </cell>
          <cell r="C21" t="str">
            <v xml:space="preserve"> t  </v>
          </cell>
          <cell r="D21" t="str">
            <v>0,160XP + 0,169XR + 6,134</v>
          </cell>
          <cell r="E21">
            <v>0.16</v>
          </cell>
          <cell r="F21">
            <v>0.16900000000000001</v>
          </cell>
          <cell r="G21">
            <v>6.1340000000000003</v>
          </cell>
          <cell r="H21">
            <v>0.20699999999999999</v>
          </cell>
          <cell r="I21">
            <v>0.219</v>
          </cell>
          <cell r="J21">
            <v>7.9509999999999996</v>
          </cell>
        </row>
        <row r="23">
          <cell r="A23">
            <v>1253</v>
          </cell>
          <cell r="B23" t="str">
            <v>Transp. de Tubo de concreto armado D=0,30m CA-1 MF</v>
          </cell>
          <cell r="C23" t="str">
            <v xml:space="preserve"> t  </v>
          </cell>
          <cell r="D23" t="str">
            <v>0,499XP + 0,519XR</v>
          </cell>
          <cell r="E23">
            <v>0.499</v>
          </cell>
          <cell r="F23">
            <v>0.51900000000000002</v>
          </cell>
          <cell r="G23">
            <v>0</v>
          </cell>
          <cell r="H23">
            <v>0.64600000000000002</v>
          </cell>
          <cell r="I23">
            <v>0.67200000000000004</v>
          </cell>
          <cell r="J23">
            <v>0</v>
          </cell>
        </row>
        <row r="24">
          <cell r="A24">
            <v>1261</v>
          </cell>
          <cell r="B24" t="str">
            <v>Transp. de Tubo de concreto armado D=0,60m CA-1 PB</v>
          </cell>
          <cell r="C24" t="str">
            <v xml:space="preserve"> t  </v>
          </cell>
          <cell r="D24" t="str">
            <v>0,499XP + 0,519XR</v>
          </cell>
          <cell r="E24">
            <v>0.499</v>
          </cell>
          <cell r="F24">
            <v>0.51900000000000002</v>
          </cell>
          <cell r="G24">
            <v>0</v>
          </cell>
          <cell r="H24">
            <v>0.64600000000000002</v>
          </cell>
          <cell r="I24">
            <v>0.67200000000000004</v>
          </cell>
          <cell r="J24">
            <v>0</v>
          </cell>
        </row>
        <row r="25">
          <cell r="A25">
            <v>1275</v>
          </cell>
          <cell r="B25" t="str">
            <v>Transp. de Tubo de concreto armado D=1,20m CA-2 PB</v>
          </cell>
          <cell r="C25" t="str">
            <v xml:space="preserve"> t  </v>
          </cell>
          <cell r="D25" t="str">
            <v>0,499XP + 0,519XR</v>
          </cell>
          <cell r="E25">
            <v>0.499</v>
          </cell>
          <cell r="F25">
            <v>0.51900000000000002</v>
          </cell>
          <cell r="G25">
            <v>0</v>
          </cell>
          <cell r="H25">
            <v>0.64600000000000002</v>
          </cell>
          <cell r="I25">
            <v>0.67200000000000004</v>
          </cell>
          <cell r="J25">
            <v>0</v>
          </cell>
        </row>
        <row r="26">
          <cell r="A26">
            <v>1345</v>
          </cell>
          <cell r="B26" t="str">
            <v>Transp. de Tampao F.F. articulado pesado - poço visita</v>
          </cell>
          <cell r="C26" t="str">
            <v xml:space="preserve"> t  </v>
          </cell>
          <cell r="D26" t="str">
            <v>0,499XP + 0,519XR</v>
          </cell>
          <cell r="E26">
            <v>0.499</v>
          </cell>
          <cell r="F26">
            <v>0.51900000000000002</v>
          </cell>
          <cell r="G26">
            <v>0</v>
          </cell>
          <cell r="H26">
            <v>0.64600000000000002</v>
          </cell>
          <cell r="I26">
            <v>0.67200000000000004</v>
          </cell>
          <cell r="J26">
            <v>0</v>
          </cell>
        </row>
        <row r="27">
          <cell r="A27">
            <v>1643</v>
          </cell>
          <cell r="B27" t="str">
            <v>Transp. de Ladrilho hidraúlico 2 cores p/ calçada</v>
          </cell>
          <cell r="C27" t="str">
            <v xml:space="preserve"> t  </v>
          </cell>
          <cell r="D27" t="str">
            <v>0,499XP + 0,519XR</v>
          </cell>
          <cell r="E27">
            <v>0.499</v>
          </cell>
          <cell r="F27">
            <v>0.51900000000000002</v>
          </cell>
          <cell r="G27">
            <v>0</v>
          </cell>
          <cell r="H27">
            <v>0.64600000000000002</v>
          </cell>
          <cell r="I27">
            <v>0.67200000000000004</v>
          </cell>
          <cell r="J27">
            <v>0</v>
          </cell>
        </row>
        <row r="28">
          <cell r="A28">
            <v>1091</v>
          </cell>
          <cell r="B28" t="str">
            <v>Transp. de Defensa (lâmina 4 m) - semi maleável</v>
          </cell>
          <cell r="C28" t="str">
            <v xml:space="preserve"> t  </v>
          </cell>
          <cell r="D28" t="str">
            <v>0,499XP + 0,519XR</v>
          </cell>
          <cell r="E28">
            <v>0.499</v>
          </cell>
          <cell r="F28">
            <v>0.51900000000000002</v>
          </cell>
          <cell r="G28">
            <v>0</v>
          </cell>
          <cell r="H28">
            <v>0.64600000000000002</v>
          </cell>
          <cell r="I28">
            <v>0.67200000000000004</v>
          </cell>
          <cell r="J28">
            <v>0</v>
          </cell>
        </row>
        <row r="29">
          <cell r="A29">
            <v>1144</v>
          </cell>
          <cell r="B29" t="str">
            <v>Transp. de Pranchoes 30 X 5 cm (p/ ensecadeira)</v>
          </cell>
          <cell r="C29" t="str">
            <v xml:space="preserve"> t  </v>
          </cell>
          <cell r="D29" t="str">
            <v>0,499XP + 0,519XR</v>
          </cell>
          <cell r="E29">
            <v>0.499</v>
          </cell>
          <cell r="F29">
            <v>0.51900000000000002</v>
          </cell>
          <cell r="G29">
            <v>0</v>
          </cell>
          <cell r="H29">
            <v>0.64600000000000002</v>
          </cell>
          <cell r="I29">
            <v>0.67200000000000004</v>
          </cell>
          <cell r="J29">
            <v>0</v>
          </cell>
        </row>
        <row r="30">
          <cell r="A30">
            <v>1116</v>
          </cell>
          <cell r="B30" t="str">
            <v>Transp. de Ripao de 2.5 X 7.0 cm</v>
          </cell>
          <cell r="C30" t="str">
            <v xml:space="preserve"> t  </v>
          </cell>
          <cell r="D30" t="str">
            <v>0,499XP + 0,519XR</v>
          </cell>
          <cell r="E30">
            <v>0.499</v>
          </cell>
          <cell r="F30">
            <v>0.51900000000000002</v>
          </cell>
          <cell r="G30">
            <v>0</v>
          </cell>
          <cell r="H30">
            <v>0.64600000000000002</v>
          </cell>
          <cell r="I30">
            <v>0.67200000000000004</v>
          </cell>
          <cell r="J30">
            <v>0</v>
          </cell>
        </row>
        <row r="31">
          <cell r="A31">
            <v>1436</v>
          </cell>
          <cell r="B31" t="str">
            <v>Transp. De Escoria de Aciaria</v>
          </cell>
          <cell r="C31" t="str">
            <v xml:space="preserve"> t  </v>
          </cell>
          <cell r="D31" t="str">
            <v>0,513XP + 0,534XR + 2,138</v>
          </cell>
          <cell r="E31">
            <v>0.51300000000000001</v>
          </cell>
          <cell r="F31">
            <v>0.53400000000000003</v>
          </cell>
          <cell r="G31">
            <v>2.1379999999999999</v>
          </cell>
          <cell r="H31">
            <v>0.66500000000000004</v>
          </cell>
          <cell r="I31">
            <v>0.69199999999999995</v>
          </cell>
          <cell r="J31">
            <v>2.7709999999999999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7">
          <cell r="A37">
            <v>1006</v>
          </cell>
          <cell r="B37" t="str">
            <v xml:space="preserve"> Transp. de Tubo de concreto armado D=0,80m CA-1 PB</v>
          </cell>
          <cell r="C37" t="str">
            <v xml:space="preserve"> t  </v>
          </cell>
          <cell r="D37" t="str">
            <v>0,499XP + 0,519XR</v>
          </cell>
          <cell r="E37">
            <v>0.499</v>
          </cell>
          <cell r="F37">
            <v>0.51900000000000002</v>
          </cell>
          <cell r="G37">
            <v>0</v>
          </cell>
          <cell r="H37">
            <v>0.64600000000000002</v>
          </cell>
          <cell r="I37">
            <v>0.67200000000000004</v>
          </cell>
          <cell r="J37">
            <v>0</v>
          </cell>
        </row>
        <row r="38">
          <cell r="A38">
            <v>1269</v>
          </cell>
          <cell r="B38" t="str">
            <v>Transp. de Tubo de concreto armado D=1,00m CA-1 PB</v>
          </cell>
          <cell r="C38" t="str">
            <v xml:space="preserve"> t  </v>
          </cell>
          <cell r="D38" t="str">
            <v>0,499XP + 0,519XR</v>
          </cell>
          <cell r="E38">
            <v>0.499</v>
          </cell>
          <cell r="F38">
            <v>0.51900000000000002</v>
          </cell>
          <cell r="G38">
            <v>0</v>
          </cell>
          <cell r="H38">
            <v>0.64600000000000002</v>
          </cell>
          <cell r="I38">
            <v>0.67200000000000004</v>
          </cell>
          <cell r="J38">
            <v>0</v>
          </cell>
        </row>
        <row r="39">
          <cell r="A39">
            <v>1026</v>
          </cell>
          <cell r="B39" t="str">
            <v>Transp. de Areia grossa jazida c/ carreg.mecânico</v>
          </cell>
          <cell r="C39" t="str">
            <v xml:space="preserve"> t  </v>
          </cell>
          <cell r="D39" t="str">
            <v>0,513XP + 0,534XR + 2,138</v>
          </cell>
          <cell r="E39">
            <v>0.51300000000000001</v>
          </cell>
          <cell r="F39">
            <v>0.53400000000000003</v>
          </cell>
          <cell r="G39">
            <v>2.1379999999999999</v>
          </cell>
          <cell r="H39">
            <v>0.66500000000000004</v>
          </cell>
          <cell r="I39">
            <v>0.69199999999999995</v>
          </cell>
          <cell r="J39">
            <v>2.7709999999999999</v>
          </cell>
        </row>
        <row r="40">
          <cell r="A40">
            <v>1083</v>
          </cell>
          <cell r="B40" t="str">
            <v>Transp. de Tubo poroso D=0,20 m (preço médio)</v>
          </cell>
          <cell r="C40" t="str">
            <v xml:space="preserve"> t  </v>
          </cell>
          <cell r="D40" t="str">
            <v>0,499XP + 0,519XR</v>
          </cell>
          <cell r="E40">
            <v>0.499</v>
          </cell>
          <cell r="F40">
            <v>0.51900000000000002</v>
          </cell>
          <cell r="G40">
            <v>0</v>
          </cell>
          <cell r="H40">
            <v>0.64600000000000002</v>
          </cell>
          <cell r="I40">
            <v>0.67200000000000004</v>
          </cell>
          <cell r="J40">
            <v>0</v>
          </cell>
        </row>
        <row r="41">
          <cell r="A41">
            <v>1250</v>
          </cell>
          <cell r="B41" t="str">
            <v>Transp. de Tubo de concreto s/ armaçao D=0,20m PB</v>
          </cell>
          <cell r="C41" t="str">
            <v xml:space="preserve"> t  </v>
          </cell>
          <cell r="D41" t="str">
            <v>0,499XP + 0,519XR</v>
          </cell>
          <cell r="E41">
            <v>0.499</v>
          </cell>
          <cell r="F41">
            <v>0.51900000000000002</v>
          </cell>
          <cell r="G41">
            <v>0</v>
          </cell>
          <cell r="H41">
            <v>0.64600000000000002</v>
          </cell>
          <cell r="I41">
            <v>0.67200000000000004</v>
          </cell>
          <cell r="J41">
            <v>0</v>
          </cell>
        </row>
        <row r="42">
          <cell r="A42">
            <v>1024</v>
          </cell>
          <cell r="B42" t="str">
            <v>Transp. de Brita 0 (incl. 0% IUM) s/ frete</v>
          </cell>
          <cell r="C42" t="str">
            <v xml:space="preserve"> t  </v>
          </cell>
          <cell r="D42" t="str">
            <v>0,513XP + 0,534XR + 2,138</v>
          </cell>
          <cell r="E42">
            <v>0.51300000000000001</v>
          </cell>
          <cell r="F42">
            <v>0.53400000000000003</v>
          </cell>
          <cell r="G42">
            <v>2.1379999999999999</v>
          </cell>
          <cell r="H42">
            <v>0.66500000000000004</v>
          </cell>
          <cell r="I42">
            <v>0.69199999999999995</v>
          </cell>
          <cell r="J42">
            <v>2.7709999999999999</v>
          </cell>
        </row>
        <row r="43">
          <cell r="A43">
            <v>1025</v>
          </cell>
          <cell r="B43" t="str">
            <v>Transp. de Brita 1 (incl. 0% IUM) s/ frete</v>
          </cell>
          <cell r="C43" t="str">
            <v xml:space="preserve"> t  </v>
          </cell>
          <cell r="D43" t="str">
            <v>0,513XP + 0,534XR + 2,138</v>
          </cell>
          <cell r="E43">
            <v>0.51300000000000001</v>
          </cell>
          <cell r="F43">
            <v>0.53400000000000003</v>
          </cell>
          <cell r="G43">
            <v>2.1379999999999999</v>
          </cell>
          <cell r="H43">
            <v>0.66500000000000004</v>
          </cell>
          <cell r="I43">
            <v>0.69199999999999995</v>
          </cell>
          <cell r="J43">
            <v>2.7709999999999999</v>
          </cell>
        </row>
        <row r="44">
          <cell r="A44">
            <v>1002</v>
          </cell>
          <cell r="B44" t="str">
            <v>Transp. de Arame farpado fio 16 rolo 500 m</v>
          </cell>
          <cell r="C44" t="str">
            <v xml:space="preserve"> t  </v>
          </cell>
          <cell r="D44" t="str">
            <v>0,499XP + 0,519XR</v>
          </cell>
          <cell r="E44">
            <v>0.499</v>
          </cell>
          <cell r="F44">
            <v>0.51900000000000002</v>
          </cell>
          <cell r="G44">
            <v>0</v>
          </cell>
          <cell r="H44">
            <v>0.64600000000000002</v>
          </cell>
          <cell r="I44">
            <v>0.67200000000000004</v>
          </cell>
          <cell r="J44">
            <v>0</v>
          </cell>
        </row>
        <row r="45">
          <cell r="A45">
            <v>1630</v>
          </cell>
          <cell r="B45" t="str">
            <v>Transp. de Mourao quadrado (tipo DNER) 10 X 10 cm X 2,20 m</v>
          </cell>
          <cell r="C45" t="str">
            <v xml:space="preserve"> t  </v>
          </cell>
          <cell r="D45" t="str">
            <v>0,499XP + 0,519XR</v>
          </cell>
          <cell r="E45">
            <v>0.499</v>
          </cell>
          <cell r="F45">
            <v>0.51900000000000002</v>
          </cell>
          <cell r="G45">
            <v>0</v>
          </cell>
          <cell r="H45">
            <v>0.64600000000000002</v>
          </cell>
          <cell r="I45">
            <v>0.67200000000000004</v>
          </cell>
          <cell r="J45">
            <v>0</v>
          </cell>
        </row>
        <row r="46">
          <cell r="A46">
            <v>1631</v>
          </cell>
          <cell r="B46" t="str">
            <v>Transp. de Mourao triangular (tipo DNER) 10 cm X 2,00 m</v>
          </cell>
          <cell r="C46" t="str">
            <v xml:space="preserve"> t  </v>
          </cell>
          <cell r="D46" t="str">
            <v>0,499XP + 0,519XR</v>
          </cell>
          <cell r="E46">
            <v>0.499</v>
          </cell>
          <cell r="F46">
            <v>0.51900000000000002</v>
          </cell>
          <cell r="G46">
            <v>0</v>
          </cell>
          <cell r="H46">
            <v>0.64600000000000002</v>
          </cell>
          <cell r="I46">
            <v>0.67200000000000004</v>
          </cell>
          <cell r="J46">
            <v>0</v>
          </cell>
        </row>
        <row r="47">
          <cell r="A47">
            <v>1090</v>
          </cell>
          <cell r="B47" t="str">
            <v>Transp. de Micro-esfera (preço médio)</v>
          </cell>
          <cell r="C47" t="str">
            <v xml:space="preserve"> t  </v>
          </cell>
          <cell r="D47" t="str">
            <v>0,499XP + 0,519XR</v>
          </cell>
          <cell r="E47">
            <v>0.499</v>
          </cell>
          <cell r="F47">
            <v>0.51900000000000002</v>
          </cell>
          <cell r="G47">
            <v>0</v>
          </cell>
          <cell r="H47">
            <v>0.64600000000000002</v>
          </cell>
          <cell r="I47">
            <v>0.67200000000000004</v>
          </cell>
          <cell r="J47">
            <v>0</v>
          </cell>
        </row>
        <row r="48">
          <cell r="A48">
            <v>1088</v>
          </cell>
          <cell r="B48" t="str">
            <v>Transp. de Tinta</v>
          </cell>
          <cell r="C48" t="str">
            <v xml:space="preserve"> t  </v>
          </cell>
          <cell r="D48" t="str">
            <v>0,499XP + 0,519XR</v>
          </cell>
          <cell r="E48">
            <v>0.499</v>
          </cell>
          <cell r="F48">
            <v>0.51900000000000002</v>
          </cell>
          <cell r="G48">
            <v>0</v>
          </cell>
          <cell r="H48">
            <v>0.64600000000000002</v>
          </cell>
          <cell r="I48">
            <v>0.67200000000000004</v>
          </cell>
          <cell r="J48">
            <v>0</v>
          </cell>
        </row>
        <row r="49">
          <cell r="A49">
            <v>1089</v>
          </cell>
          <cell r="B49" t="str">
            <v>Transp. de Tinta borracha clorada (preço médio)</v>
          </cell>
          <cell r="C49" t="str">
            <v xml:space="preserve"> t  </v>
          </cell>
          <cell r="D49" t="str">
            <v>0,499XP + 0,519XR</v>
          </cell>
          <cell r="E49">
            <v>0.499</v>
          </cell>
          <cell r="F49">
            <v>0.51900000000000002</v>
          </cell>
          <cell r="G49">
            <v>0</v>
          </cell>
          <cell r="H49">
            <v>0.64600000000000002</v>
          </cell>
          <cell r="I49">
            <v>0.67200000000000004</v>
          </cell>
          <cell r="J49">
            <v>0</v>
          </cell>
        </row>
        <row r="50">
          <cell r="A50">
            <v>1169</v>
          </cell>
          <cell r="B50" t="str">
            <v>Transp. de Geotêxtil</v>
          </cell>
          <cell r="C50" t="str">
            <v xml:space="preserve"> t  </v>
          </cell>
          <cell r="D50" t="str">
            <v>0,499XP + 0,519XR</v>
          </cell>
          <cell r="E50">
            <v>0.499</v>
          </cell>
          <cell r="F50">
            <v>0.51900000000000002</v>
          </cell>
          <cell r="G50">
            <v>0</v>
          </cell>
          <cell r="H50">
            <v>0.64600000000000002</v>
          </cell>
          <cell r="I50">
            <v>0.67200000000000004</v>
          </cell>
          <cell r="J50">
            <v>0</v>
          </cell>
        </row>
        <row r="51">
          <cell r="A51">
            <v>1168</v>
          </cell>
          <cell r="B51" t="str">
            <v>Transp. de Madeira roliça</v>
          </cell>
          <cell r="C51" t="str">
            <v xml:space="preserve"> t  </v>
          </cell>
          <cell r="D51" t="str">
            <v>0,499XP + 0,519XR</v>
          </cell>
          <cell r="E51">
            <v>0.499</v>
          </cell>
          <cell r="F51">
            <v>0.51900000000000002</v>
          </cell>
          <cell r="G51">
            <v>0</v>
          </cell>
          <cell r="H51">
            <v>0.64600000000000002</v>
          </cell>
          <cell r="I51">
            <v>0.67200000000000004</v>
          </cell>
          <cell r="J51">
            <v>0</v>
          </cell>
        </row>
        <row r="52">
          <cell r="A52">
            <v>1628</v>
          </cell>
          <cell r="B52" t="str">
            <v>Transp. de Arame ovalado liso (cerca) 45 kg - 1000 m</v>
          </cell>
          <cell r="C52" t="str">
            <v xml:space="preserve"> t  </v>
          </cell>
          <cell r="D52" t="str">
            <v>0,499XP + 0,519XR</v>
          </cell>
          <cell r="E52">
            <v>0.499</v>
          </cell>
          <cell r="F52">
            <v>0.51900000000000002</v>
          </cell>
          <cell r="G52">
            <v>0</v>
          </cell>
          <cell r="H52">
            <v>0.64600000000000002</v>
          </cell>
          <cell r="I52">
            <v>0.67200000000000004</v>
          </cell>
          <cell r="J52">
            <v>0</v>
          </cell>
        </row>
        <row r="53">
          <cell r="A53">
            <v>1015</v>
          </cell>
          <cell r="B53" t="str">
            <v>Transp. de Mourao p/ cerca (2,20m - D=0,10m) m. branca</v>
          </cell>
          <cell r="C53" t="str">
            <v xml:space="preserve"> t  </v>
          </cell>
          <cell r="D53" t="str">
            <v>0,499XP + 0,519XR</v>
          </cell>
          <cell r="E53">
            <v>0.499</v>
          </cell>
          <cell r="F53">
            <v>0.51900000000000002</v>
          </cell>
          <cell r="G53">
            <v>0</v>
          </cell>
          <cell r="H53">
            <v>0.64600000000000002</v>
          </cell>
          <cell r="I53">
            <v>0.67200000000000004</v>
          </cell>
          <cell r="J53">
            <v>0</v>
          </cell>
        </row>
        <row r="54">
          <cell r="A54">
            <v>1000</v>
          </cell>
          <cell r="B54" t="str">
            <v>Transp. de Mourao p/ cerca (2,50m - D=0,20m) m. bran (estic.)</v>
          </cell>
          <cell r="C54" t="str">
            <v xml:space="preserve"> t  </v>
          </cell>
          <cell r="D54" t="str">
            <v>0,499XP + 0,519XR</v>
          </cell>
          <cell r="E54">
            <v>0.499</v>
          </cell>
          <cell r="F54">
            <v>0.51900000000000002</v>
          </cell>
          <cell r="G54">
            <v>0</v>
          </cell>
          <cell r="H54">
            <v>0.64600000000000002</v>
          </cell>
          <cell r="I54">
            <v>0.67200000000000004</v>
          </cell>
          <cell r="J54">
            <v>0</v>
          </cell>
        </row>
        <row r="55">
          <cell r="A55">
            <v>1153</v>
          </cell>
          <cell r="B55" t="str">
            <v>Transp. de Cimento</v>
          </cell>
          <cell r="C55" t="str">
            <v xml:space="preserve"> t  </v>
          </cell>
          <cell r="D55" t="str">
            <v>0,499XP + 0,519XR</v>
          </cell>
          <cell r="E55">
            <v>0.499</v>
          </cell>
          <cell r="F55">
            <v>0.51900000000000002</v>
          </cell>
          <cell r="G55">
            <v>0</v>
          </cell>
          <cell r="H55">
            <v>0.64600000000000002</v>
          </cell>
          <cell r="I55">
            <v>0.67200000000000004</v>
          </cell>
          <cell r="J55">
            <v>0</v>
          </cell>
        </row>
        <row r="56">
          <cell r="A56">
            <v>1162</v>
          </cell>
          <cell r="B56" t="str">
            <v>Transp. de Pedra britada p/ concreto</v>
          </cell>
          <cell r="C56" t="str">
            <v xml:space="preserve"> t  </v>
          </cell>
          <cell r="D56" t="str">
            <v>0,513XP + 0,534XR + 2,138</v>
          </cell>
          <cell r="E56">
            <v>0.51300000000000001</v>
          </cell>
          <cell r="F56">
            <v>0.53400000000000003</v>
          </cell>
          <cell r="G56">
            <v>2.1379999999999999</v>
          </cell>
          <cell r="H56">
            <v>0.66500000000000004</v>
          </cell>
          <cell r="I56">
            <v>0.69199999999999995</v>
          </cell>
          <cell r="J56">
            <v>2.7709999999999999</v>
          </cell>
        </row>
        <row r="57">
          <cell r="A57">
            <v>1115</v>
          </cell>
          <cell r="B57" t="str">
            <v>Transp. de Taipá de 1ª com 2,5 cm</v>
          </cell>
          <cell r="C57" t="str">
            <v xml:space="preserve"> t  </v>
          </cell>
          <cell r="D57" t="str">
            <v>0,499XP + 0,519XR</v>
          </cell>
          <cell r="E57">
            <v>0.499</v>
          </cell>
          <cell r="F57">
            <v>0.51900000000000002</v>
          </cell>
          <cell r="G57">
            <v>0</v>
          </cell>
          <cell r="H57">
            <v>0.64600000000000002</v>
          </cell>
          <cell r="I57">
            <v>0.67200000000000004</v>
          </cell>
          <cell r="J57">
            <v>0</v>
          </cell>
        </row>
        <row r="58">
          <cell r="A58">
            <v>1124</v>
          </cell>
          <cell r="B58" t="str">
            <v>Transp. de Madeirit (ou similar) 2.20 X 1.10 - 17mm</v>
          </cell>
          <cell r="C58" t="str">
            <v xml:space="preserve"> t  </v>
          </cell>
          <cell r="D58" t="str">
            <v>0,499XP + 0,519XR</v>
          </cell>
          <cell r="E58">
            <v>0.499</v>
          </cell>
          <cell r="F58">
            <v>0.51900000000000002</v>
          </cell>
          <cell r="G58">
            <v>0</v>
          </cell>
          <cell r="H58">
            <v>0.64600000000000002</v>
          </cell>
          <cell r="I58">
            <v>0.67200000000000004</v>
          </cell>
          <cell r="J58">
            <v>0</v>
          </cell>
        </row>
        <row r="59">
          <cell r="A59">
            <v>1036</v>
          </cell>
          <cell r="B59" t="str">
            <v>Transp. de Oleo combustível BPF - baixo pto. fusao</v>
          </cell>
          <cell r="C59" t="str">
            <v xml:space="preserve"> t  </v>
          </cell>
          <cell r="D59" t="str">
            <v>0,345XP + 0,466XR + 34,51</v>
          </cell>
          <cell r="E59">
            <v>0.34499999999999997</v>
          </cell>
          <cell r="F59">
            <v>0.46600000000000003</v>
          </cell>
          <cell r="G59">
            <v>34.51</v>
          </cell>
          <cell r="H59">
            <v>0.44700000000000001</v>
          </cell>
          <cell r="I59">
            <v>0.60399999999999998</v>
          </cell>
          <cell r="J59">
            <v>44.734999999999999</v>
          </cell>
        </row>
        <row r="60">
          <cell r="A60">
            <v>1134</v>
          </cell>
          <cell r="B60" t="str">
            <v>Transp. de Madeira roliça (aprox. 8,00m - D=0,15m)</v>
          </cell>
          <cell r="C60" t="str">
            <v xml:space="preserve"> t  </v>
          </cell>
          <cell r="D60" t="str">
            <v>0,499XP + 0,519XR</v>
          </cell>
          <cell r="E60">
            <v>0.499</v>
          </cell>
          <cell r="F60">
            <v>0.51900000000000002</v>
          </cell>
          <cell r="G60">
            <v>0</v>
          </cell>
          <cell r="H60">
            <v>0.64600000000000002</v>
          </cell>
          <cell r="I60">
            <v>0.67200000000000004</v>
          </cell>
          <cell r="J60">
            <v>0</v>
          </cell>
        </row>
        <row r="61">
          <cell r="A61">
            <v>1661</v>
          </cell>
          <cell r="B61" t="str">
            <v>Transp. de Material termoplástico (SPRAY)</v>
          </cell>
          <cell r="C61" t="str">
            <v xml:space="preserve"> t  </v>
          </cell>
          <cell r="D61" t="str">
            <v>0,499XP + 0,519XR</v>
          </cell>
          <cell r="E61">
            <v>0.499</v>
          </cell>
          <cell r="F61">
            <v>0.51900000000000002</v>
          </cell>
          <cell r="G61">
            <v>0</v>
          </cell>
          <cell r="H61">
            <v>0.64600000000000002</v>
          </cell>
          <cell r="I61">
            <v>0.67200000000000004</v>
          </cell>
          <cell r="J61">
            <v>0</v>
          </cell>
        </row>
        <row r="62">
          <cell r="A62">
            <v>1155</v>
          </cell>
          <cell r="B62" t="str">
            <v>Transp. de Bloco p/ alvenaria 40 X 20 X 20 cm</v>
          </cell>
          <cell r="C62" t="str">
            <v xml:space="preserve"> t  </v>
          </cell>
          <cell r="D62" t="str">
            <v>0,499XP + 0,519XR</v>
          </cell>
          <cell r="E62">
            <v>0.499</v>
          </cell>
          <cell r="F62">
            <v>0.51900000000000002</v>
          </cell>
          <cell r="G62">
            <v>0</v>
          </cell>
          <cell r="H62">
            <v>0.64600000000000002</v>
          </cell>
          <cell r="I62">
            <v>0.67200000000000004</v>
          </cell>
          <cell r="J62">
            <v>0</v>
          </cell>
        </row>
        <row r="63">
          <cell r="A63">
            <v>1152</v>
          </cell>
          <cell r="B63" t="str">
            <v>Transp. de Lajota de 20 X 20 X 10 cm</v>
          </cell>
          <cell r="C63" t="str">
            <v xml:space="preserve"> t  </v>
          </cell>
          <cell r="D63" t="str">
            <v>0,499XP + 0,519XR</v>
          </cell>
          <cell r="E63">
            <v>0.499</v>
          </cell>
          <cell r="F63">
            <v>0.51900000000000002</v>
          </cell>
          <cell r="G63">
            <v>0</v>
          </cell>
          <cell r="H63">
            <v>0.64600000000000002</v>
          </cell>
          <cell r="I63">
            <v>0.67200000000000004</v>
          </cell>
          <cell r="J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A67">
            <v>1028</v>
          </cell>
          <cell r="B67" t="str">
            <v>Transporte de Brita Gadruada</v>
          </cell>
          <cell r="C67" t="str">
            <v xml:space="preserve"> t  </v>
          </cell>
          <cell r="D67" t="str">
            <v>0,513XP + 0,534XR + 2,138</v>
          </cell>
          <cell r="E67">
            <v>0.51300000000000001</v>
          </cell>
          <cell r="F67">
            <v>0.53400000000000003</v>
          </cell>
          <cell r="G67">
            <v>2.1379999999999999</v>
          </cell>
          <cell r="H67">
            <v>0.66500000000000004</v>
          </cell>
          <cell r="I67">
            <v>0.69199999999999995</v>
          </cell>
          <cell r="J67">
            <v>2.7709999999999999</v>
          </cell>
        </row>
        <row r="68">
          <cell r="A68">
            <v>1032</v>
          </cell>
          <cell r="B68" t="str">
            <v>Transporte de Filler</v>
          </cell>
          <cell r="C68" t="str">
            <v xml:space="preserve"> t  </v>
          </cell>
          <cell r="D68" t="str">
            <v>0,499XP + 0,519XR</v>
          </cell>
          <cell r="E68">
            <v>0.499</v>
          </cell>
          <cell r="F68">
            <v>0.51900000000000002</v>
          </cell>
          <cell r="G68">
            <v>0</v>
          </cell>
          <cell r="H68">
            <v>0.64600000000000002</v>
          </cell>
          <cell r="I68">
            <v>0.67200000000000004</v>
          </cell>
          <cell r="J68">
            <v>0</v>
          </cell>
        </row>
        <row r="69">
          <cell r="A69">
            <v>1029</v>
          </cell>
          <cell r="B69" t="str">
            <v>Transporte de pó de pedra (Incl. 0% IUM) s/ frete</v>
          </cell>
          <cell r="C69" t="str">
            <v xml:space="preserve"> t  </v>
          </cell>
          <cell r="D69" t="str">
            <v>0,513XP + 0,534XR + 2,138</v>
          </cell>
          <cell r="E69">
            <v>0.51300000000000001</v>
          </cell>
          <cell r="F69">
            <v>0.53400000000000003</v>
          </cell>
          <cell r="G69">
            <v>2.1379999999999999</v>
          </cell>
          <cell r="H69">
            <v>0.66500000000000004</v>
          </cell>
          <cell r="I69">
            <v>0.69199999999999995</v>
          </cell>
          <cell r="J69">
            <v>2.7709999999999999</v>
          </cell>
        </row>
        <row r="70">
          <cell r="A70">
            <v>1093</v>
          </cell>
          <cell r="B70" t="str">
            <v>Transporte de areia suja jazida c/ carregamento mecânico</v>
          </cell>
          <cell r="C70" t="str">
            <v xml:space="preserve"> t  </v>
          </cell>
          <cell r="D70" t="str">
            <v>0,513XP + 0,534XR + 2,138</v>
          </cell>
          <cell r="E70">
            <v>0.51300000000000001</v>
          </cell>
          <cell r="F70">
            <v>0.53400000000000003</v>
          </cell>
          <cell r="G70">
            <v>2.1379999999999999</v>
          </cell>
          <cell r="H70">
            <v>0.66500000000000004</v>
          </cell>
          <cell r="I70">
            <v>0.69199999999999995</v>
          </cell>
          <cell r="J70">
            <v>2.7709999999999999</v>
          </cell>
        </row>
        <row r="71">
          <cell r="A71">
            <v>1026</v>
          </cell>
          <cell r="B71" t="str">
            <v>Transporte de areia grossa jazida c/ carregamento mecânico</v>
          </cell>
          <cell r="C71" t="str">
            <v xml:space="preserve"> t  </v>
          </cell>
          <cell r="D71" t="str">
            <v>0,513XP + 0,534XR + 2,138</v>
          </cell>
          <cell r="E71">
            <v>0.51300000000000001</v>
          </cell>
          <cell r="F71">
            <v>0.53400000000000003</v>
          </cell>
          <cell r="G71">
            <v>2.1379999999999999</v>
          </cell>
          <cell r="H71">
            <v>0.66500000000000004</v>
          </cell>
          <cell r="I71">
            <v>0.69199999999999995</v>
          </cell>
          <cell r="J71">
            <v>2.7709999999999999</v>
          </cell>
        </row>
        <row r="72">
          <cell r="A72">
            <v>1605</v>
          </cell>
          <cell r="B72" t="str">
            <v>Transporte de bloco p/ pavimentação - esp= 8 cm</v>
          </cell>
          <cell r="C72" t="str">
            <v xml:space="preserve"> t  </v>
          </cell>
          <cell r="D72" t="str">
            <v>0,513XP + 0,534XR + 2,138</v>
          </cell>
          <cell r="E72">
            <v>0.51300000000000001</v>
          </cell>
          <cell r="F72">
            <v>0.53400000000000003</v>
          </cell>
          <cell r="G72">
            <v>2.1379999999999999</v>
          </cell>
          <cell r="H72">
            <v>0.66500000000000004</v>
          </cell>
          <cell r="I72">
            <v>0.69199999999999995</v>
          </cell>
          <cell r="J72">
            <v>2.7709999999999999</v>
          </cell>
        </row>
        <row r="73">
          <cell r="A73">
            <v>1014</v>
          </cell>
          <cell r="B73" t="str">
            <v>Transporte de Grama</v>
          </cell>
          <cell r="C73" t="str">
            <v xml:space="preserve"> t  </v>
          </cell>
          <cell r="D73" t="str">
            <v>0,499XP + 0,519XR</v>
          </cell>
          <cell r="E73">
            <v>0.499</v>
          </cell>
          <cell r="F73">
            <v>0.51900000000000002</v>
          </cell>
          <cell r="G73">
            <v>0</v>
          </cell>
          <cell r="H73">
            <v>0.64600000000000002</v>
          </cell>
          <cell r="I73">
            <v>0.67200000000000004</v>
          </cell>
          <cell r="J73">
            <v>0</v>
          </cell>
        </row>
        <row r="74">
          <cell r="A74">
            <v>1649</v>
          </cell>
          <cell r="B74" t="str">
            <v>Transporte de Muda de árvore</v>
          </cell>
          <cell r="C74" t="str">
            <v xml:space="preserve"> t  </v>
          </cell>
          <cell r="D74" t="str">
            <v>0,499XP + 0,519XR</v>
          </cell>
          <cell r="E74">
            <v>0.499</v>
          </cell>
          <cell r="F74">
            <v>0.51900000000000002</v>
          </cell>
          <cell r="G74">
            <v>0</v>
          </cell>
          <cell r="H74">
            <v>0.64600000000000002</v>
          </cell>
          <cell r="I74">
            <v>0.67200000000000004</v>
          </cell>
          <cell r="J74">
            <v>0</v>
          </cell>
        </row>
        <row r="75">
          <cell r="A75">
            <v>1087</v>
          </cell>
          <cell r="B75" t="str">
            <v>Transporte de Caibros 8 X 8 cm</v>
          </cell>
          <cell r="C75" t="str">
            <v xml:space="preserve"> t  </v>
          </cell>
          <cell r="D75" t="str">
            <v>0,499XP + 0,519XR</v>
          </cell>
          <cell r="E75">
            <v>0.499</v>
          </cell>
          <cell r="F75">
            <v>0.51900000000000002</v>
          </cell>
          <cell r="G75">
            <v>0</v>
          </cell>
          <cell r="H75">
            <v>0.64600000000000002</v>
          </cell>
          <cell r="I75">
            <v>0.67200000000000004</v>
          </cell>
          <cell r="J75">
            <v>0</v>
          </cell>
        </row>
        <row r="76">
          <cell r="A76">
            <v>1150</v>
          </cell>
          <cell r="B76" t="str">
            <v>Transporte de Pedra de mao (incl. 0% IUM) s/ frete</v>
          </cell>
          <cell r="C76" t="str">
            <v xml:space="preserve"> t  </v>
          </cell>
          <cell r="D76" t="str">
            <v>0,499XP + 0,519XR</v>
          </cell>
          <cell r="E76">
            <v>0.499</v>
          </cell>
          <cell r="F76">
            <v>0.51900000000000002</v>
          </cell>
          <cell r="G76">
            <v>0</v>
          </cell>
          <cell r="H76">
            <v>0.64600000000000002</v>
          </cell>
          <cell r="I76">
            <v>0.67200000000000004</v>
          </cell>
          <cell r="J76">
            <v>0</v>
          </cell>
        </row>
        <row r="77">
          <cell r="A77">
            <v>1095</v>
          </cell>
          <cell r="B77" t="str">
            <v>Transporte de Caibros 8 X 8 cm (pontalete)</v>
          </cell>
          <cell r="C77" t="str">
            <v xml:space="preserve"> t  </v>
          </cell>
          <cell r="D77" t="str">
            <v>0,499XP + 0,519XR</v>
          </cell>
          <cell r="E77">
            <v>0.499</v>
          </cell>
          <cell r="F77">
            <v>0.51900000000000002</v>
          </cell>
          <cell r="G77">
            <v>0</v>
          </cell>
          <cell r="H77">
            <v>0.64600000000000002</v>
          </cell>
          <cell r="I77">
            <v>0.67200000000000004</v>
          </cell>
          <cell r="J77">
            <v>0</v>
          </cell>
        </row>
        <row r="78">
          <cell r="A78">
            <v>1096</v>
          </cell>
          <cell r="B78" t="str">
            <v>Transporte de Sarrafo 10 X 2,5 cm</v>
          </cell>
          <cell r="C78" t="str">
            <v xml:space="preserve"> t  </v>
          </cell>
          <cell r="D78" t="str">
            <v>0,499XP + 0,519XR</v>
          </cell>
          <cell r="E78">
            <v>0.499</v>
          </cell>
          <cell r="F78">
            <v>0.51900000000000002</v>
          </cell>
          <cell r="G78">
            <v>0</v>
          </cell>
          <cell r="H78">
            <v>0.64600000000000002</v>
          </cell>
          <cell r="I78">
            <v>0.67200000000000004</v>
          </cell>
          <cell r="J78">
            <v>0</v>
          </cell>
        </row>
        <row r="79">
          <cell r="A79">
            <v>1094</v>
          </cell>
          <cell r="B79" t="str">
            <v>Transporte de Tábuas de 2,5 cm</v>
          </cell>
          <cell r="C79" t="str">
            <v xml:space="preserve"> t  </v>
          </cell>
          <cell r="D79" t="str">
            <v>0,499XP + 0,519XR</v>
          </cell>
          <cell r="E79">
            <v>0.499</v>
          </cell>
          <cell r="F79">
            <v>0.51900000000000002</v>
          </cell>
          <cell r="G79">
            <v>0</v>
          </cell>
          <cell r="H79">
            <v>0.64600000000000002</v>
          </cell>
          <cell r="I79">
            <v>0.67200000000000004</v>
          </cell>
          <cell r="J79">
            <v>0</v>
          </cell>
        </row>
      </sheetData>
      <sheetData sheetId="10">
        <row r="2">
          <cell r="B2" t="str">
            <v>Material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5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Compos DER"/>
      <sheetName val="Compos lug"/>
      <sheetName val="Plan1"/>
      <sheetName val="P - COMPARATIVO"/>
      <sheetName val="Quantidades a3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199 - Tabela Referencial Junho 2015 com desoneração</v>
          </cell>
        </row>
      </sheetData>
      <sheetData sheetId="6"/>
      <sheetData sheetId="7">
        <row r="1">
          <cell r="A1" t="str">
            <v>199 - Tabela Referencial Junho 2015 com desoneração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6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199 - Tabela Referencial Junho 2016 com desoneração</v>
          </cell>
          <cell r="B1">
            <v>0</v>
          </cell>
          <cell r="C1">
            <v>0</v>
          </cell>
          <cell r="D1">
            <v>0</v>
          </cell>
          <cell r="E1" t="str">
            <v>DataBase:Junho/2016</v>
          </cell>
          <cell r="F1" t="str">
            <v>Preço com transporte</v>
          </cell>
        </row>
        <row r="2">
          <cell r="A2" t="str">
            <v>Valores com BDI de 29.63%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Serviço</v>
          </cell>
          <cell r="C3" t="str">
            <v>Unidade</v>
          </cell>
          <cell r="D3" t="str">
            <v>Preço Unitário</v>
          </cell>
          <cell r="E3" t="str">
            <v>Transporte</v>
          </cell>
          <cell r="F3" t="str">
            <v>Preço Unitário</v>
          </cell>
        </row>
        <row r="4">
          <cell r="A4" t="str">
            <v>Grupo de Serviço: 1 - TERRAPLENAGEM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43339</v>
          </cell>
          <cell r="B5" t="str">
            <v>Capina manual inclusive limpeza</v>
          </cell>
          <cell r="C5" t="str">
            <v>m²</v>
          </cell>
          <cell r="D5">
            <v>0.57999999999999996</v>
          </cell>
          <cell r="E5">
            <v>0</v>
          </cell>
          <cell r="F5" t="e">
            <v>#N/A</v>
          </cell>
          <cell r="G5" t="e">
            <v>#N/A</v>
          </cell>
        </row>
        <row r="6">
          <cell r="A6">
            <v>41099</v>
          </cell>
          <cell r="B6" t="str">
            <v>Carga de escoria de aciaria de vagão ferroviário supervisionado</v>
          </cell>
          <cell r="C6" t="str">
            <v>m³</v>
          </cell>
          <cell r="D6">
            <v>4.7699999999999996</v>
          </cell>
          <cell r="E6">
            <v>0</v>
          </cell>
          <cell r="F6" t="e">
            <v>#N/A</v>
          </cell>
          <cell r="G6" t="e">
            <v>#N/A</v>
          </cell>
        </row>
        <row r="7">
          <cell r="A7">
            <v>40224</v>
          </cell>
          <cell r="B7" t="str">
            <v>Carga de material de 1ª categoria</v>
          </cell>
          <cell r="C7" t="str">
            <v>m³</v>
          </cell>
          <cell r="D7">
            <v>2.4700000000000002</v>
          </cell>
          <cell r="E7">
            <v>0</v>
          </cell>
          <cell r="F7" t="e">
            <v>#N/A</v>
          </cell>
          <cell r="G7" t="e">
            <v>#N/A</v>
          </cell>
        </row>
        <row r="8">
          <cell r="A8">
            <v>40225</v>
          </cell>
          <cell r="B8" t="str">
            <v>Carga de material de 2ª categoria (solo, areia, brita, excl. rocha escavada)</v>
          </cell>
          <cell r="C8" t="str">
            <v>m³</v>
          </cell>
          <cell r="D8">
            <v>3.2</v>
          </cell>
          <cell r="E8">
            <v>0</v>
          </cell>
          <cell r="F8" t="e">
            <v>#N/A</v>
          </cell>
          <cell r="G8" t="e">
            <v>#N/A</v>
          </cell>
        </row>
        <row r="9">
          <cell r="A9">
            <v>40226</v>
          </cell>
          <cell r="B9" t="str">
            <v>Carga de material de 3ª categoria (rocha)</v>
          </cell>
          <cell r="C9" t="str">
            <v>m³</v>
          </cell>
          <cell r="D9">
            <v>4.7699999999999996</v>
          </cell>
          <cell r="E9">
            <v>0</v>
          </cell>
          <cell r="F9" t="e">
            <v>#N/A</v>
          </cell>
          <cell r="G9" t="e">
            <v>#N/A</v>
          </cell>
        </row>
        <row r="10">
          <cell r="A10">
            <v>40996</v>
          </cell>
          <cell r="B10" t="str">
            <v>Carga, transporte e espalhamento de material decapado para ser usado como manutenção do Caminho de Serviço(DMT-&gt;0,500KM)</v>
          </cell>
          <cell r="C10" t="str">
            <v>m³</v>
          </cell>
          <cell r="D10">
            <v>4.53</v>
          </cell>
          <cell r="E10">
            <v>0</v>
          </cell>
          <cell r="F10" t="e">
            <v>#N/A</v>
          </cell>
          <cell r="G10" t="e">
            <v>#N/A</v>
          </cell>
        </row>
        <row r="11">
          <cell r="A11">
            <v>40229</v>
          </cell>
          <cell r="B11" t="str">
            <v>Compactação de aterros em rocha</v>
          </cell>
          <cell r="C11" t="str">
            <v>m³</v>
          </cell>
          <cell r="D11">
            <v>5.13</v>
          </cell>
          <cell r="E11">
            <v>0</v>
          </cell>
          <cell r="F11" t="e">
            <v>#N/A</v>
          </cell>
          <cell r="G11" t="e">
            <v>#N/A</v>
          </cell>
        </row>
        <row r="12">
          <cell r="A12">
            <v>43340</v>
          </cell>
          <cell r="B12" t="str">
            <v>Compactação de aterros 100% P.I.</v>
          </cell>
          <cell r="C12" t="str">
            <v>m³</v>
          </cell>
          <cell r="D12">
            <v>5.08</v>
          </cell>
          <cell r="E12">
            <v>0</v>
          </cell>
          <cell r="F12">
            <v>5.08</v>
          </cell>
          <cell r="G12">
            <v>1</v>
          </cell>
        </row>
        <row r="13">
          <cell r="A13">
            <v>40228</v>
          </cell>
          <cell r="B13" t="str">
            <v>Compactação de aterros 100% PN</v>
          </cell>
          <cell r="C13" t="str">
            <v>m³</v>
          </cell>
          <cell r="D13">
            <v>3.94</v>
          </cell>
          <cell r="E13">
            <v>0</v>
          </cell>
          <cell r="F13">
            <v>3.94</v>
          </cell>
          <cell r="G13">
            <v>1</v>
          </cell>
        </row>
        <row r="14">
          <cell r="A14">
            <v>42227</v>
          </cell>
          <cell r="B14" t="str">
            <v>Decapagem de pedreira, 1ª categoria, com escavadeira</v>
          </cell>
          <cell r="C14" t="str">
            <v>m³</v>
          </cell>
          <cell r="D14">
            <v>3.79</v>
          </cell>
          <cell r="E14">
            <v>0</v>
          </cell>
          <cell r="F14" t="e">
            <v>#N/A</v>
          </cell>
          <cell r="G14" t="e">
            <v>#N/A</v>
          </cell>
        </row>
        <row r="15">
          <cell r="A15">
            <v>40994</v>
          </cell>
          <cell r="B15" t="str">
            <v>Decapagem de pedreira, 1ª categoria, com trator de esteiras</v>
          </cell>
          <cell r="C15" t="str">
            <v>m³</v>
          </cell>
          <cell r="D15">
            <v>4.45</v>
          </cell>
          <cell r="E15">
            <v>0</v>
          </cell>
          <cell r="F15" t="e">
            <v>#N/A</v>
          </cell>
          <cell r="G15" t="e">
            <v>#N/A</v>
          </cell>
        </row>
        <row r="16">
          <cell r="A16">
            <v>42940</v>
          </cell>
          <cell r="B16" t="str">
            <v>Demolição de material de 3ª categoria com fio diamantado</v>
          </cell>
          <cell r="C16" t="str">
            <v>m³</v>
          </cell>
          <cell r="D16">
            <v>196.49</v>
          </cell>
          <cell r="E16">
            <v>0</v>
          </cell>
          <cell r="F16" t="e">
            <v>#N/A</v>
          </cell>
          <cell r="G16" t="e">
            <v>#N/A</v>
          </cell>
        </row>
        <row r="17">
          <cell r="A17">
            <v>41047</v>
          </cell>
          <cell r="B17" t="str">
            <v>Demolição de rocha a frio, até altura de 3,0m, com argamassa expansiva, inclusive remoção com escavadeira</v>
          </cell>
          <cell r="C17" t="str">
            <v>m³</v>
          </cell>
          <cell r="D17">
            <v>368.21</v>
          </cell>
          <cell r="E17">
            <v>0</v>
          </cell>
          <cell r="F17" t="e">
            <v>#N/A</v>
          </cell>
          <cell r="G17" t="e">
            <v>#N/A</v>
          </cell>
        </row>
        <row r="18">
          <cell r="A18">
            <v>41048</v>
          </cell>
          <cell r="B18" t="str">
            <v>Demolição de rocha a frio até 3 metros com utilização de argamassa expansiva, inclusive remoção com trator de esteiras</v>
          </cell>
          <cell r="C18" t="str">
            <v>m³</v>
          </cell>
          <cell r="D18">
            <v>331.17</v>
          </cell>
          <cell r="E18">
            <v>0</v>
          </cell>
          <cell r="F18" t="e">
            <v>#N/A</v>
          </cell>
          <cell r="G18" t="e">
            <v>#N/A</v>
          </cell>
        </row>
        <row r="19">
          <cell r="A19">
            <v>40217</v>
          </cell>
          <cell r="B19" t="str">
            <v>Desmonte de rocha</v>
          </cell>
          <cell r="C19" t="str">
            <v>m³</v>
          </cell>
          <cell r="D19">
            <v>35.86</v>
          </cell>
          <cell r="E19">
            <v>0</v>
          </cell>
          <cell r="F19" t="e">
            <v>#N/A</v>
          </cell>
          <cell r="G19" t="e">
            <v>#N/A</v>
          </cell>
        </row>
        <row r="20">
          <cell r="A20">
            <v>40172</v>
          </cell>
          <cell r="B20" t="str">
            <v>Destocamento de árvores com diâmetro &gt; 30 cm, com trator de esteira</v>
          </cell>
          <cell r="C20" t="str">
            <v>un</v>
          </cell>
          <cell r="D20">
            <v>20.65</v>
          </cell>
          <cell r="E20">
            <v>0</v>
          </cell>
          <cell r="F20" t="e">
            <v>#N/A</v>
          </cell>
          <cell r="G20" t="e">
            <v>#N/A</v>
          </cell>
        </row>
        <row r="21">
          <cell r="A21">
            <v>40171</v>
          </cell>
          <cell r="B21" t="str">
            <v>Destocamento de árvores com diâmetro de 15 a 30 cm, com trator de esteira</v>
          </cell>
          <cell r="C21" t="str">
            <v>un</v>
          </cell>
          <cell r="D21">
            <v>10.31</v>
          </cell>
          <cell r="E21">
            <v>0</v>
          </cell>
          <cell r="F21">
            <v>10.32</v>
          </cell>
          <cell r="G21">
            <v>1.00096993210475</v>
          </cell>
        </row>
        <row r="22">
          <cell r="A22">
            <v>42225</v>
          </cell>
          <cell r="B22" t="str">
            <v>Escalonamento de taludes com escavadeira</v>
          </cell>
          <cell r="C22" t="str">
            <v>m³</v>
          </cell>
          <cell r="D22">
            <v>6.35</v>
          </cell>
          <cell r="E22">
            <v>0</v>
          </cell>
          <cell r="F22" t="e">
            <v>#N/A</v>
          </cell>
          <cell r="G22" t="e">
            <v>#N/A</v>
          </cell>
        </row>
        <row r="23">
          <cell r="A23">
            <v>40178</v>
          </cell>
          <cell r="B23" t="str">
            <v>Escalonamento de taludes, com trator de esteiras</v>
          </cell>
          <cell r="C23" t="str">
            <v>m³</v>
          </cell>
          <cell r="D23">
            <v>6.9</v>
          </cell>
          <cell r="E23">
            <v>0</v>
          </cell>
          <cell r="F23" t="e">
            <v>#N/A</v>
          </cell>
          <cell r="G23" t="e">
            <v>#N/A</v>
          </cell>
        </row>
        <row r="24">
          <cell r="A24">
            <v>40179</v>
          </cell>
          <cell r="B24" t="str">
            <v>Escavação, carga e transporte de material de 1ª cat. até 200 m com moto-escavo-transportador</v>
          </cell>
          <cell r="C24" t="str">
            <v>m³</v>
          </cell>
          <cell r="D24">
            <v>10.17</v>
          </cell>
          <cell r="E24">
            <v>0</v>
          </cell>
          <cell r="F24" t="e">
            <v>#N/A</v>
          </cell>
          <cell r="G24" t="e">
            <v>#N/A</v>
          </cell>
        </row>
        <row r="25">
          <cell r="A25">
            <v>40184</v>
          </cell>
          <cell r="B25" t="str">
            <v>Escavação, carga e transporte de material de 1ª cat. 1000 a 1200 m com moto-escavo-transportador</v>
          </cell>
          <cell r="C25" t="str">
            <v>m³</v>
          </cell>
          <cell r="D25">
            <v>17.62</v>
          </cell>
          <cell r="E25">
            <v>0</v>
          </cell>
          <cell r="F25" t="e">
            <v>#N/A</v>
          </cell>
          <cell r="G25" t="e">
            <v>#N/A</v>
          </cell>
        </row>
        <row r="26">
          <cell r="A26">
            <v>40180</v>
          </cell>
          <cell r="B26" t="str">
            <v>Escavação, carga e transporte de material de 1ª cat. 200 a 400 m com moto-escavo-transportador</v>
          </cell>
          <cell r="C26" t="str">
            <v>m³</v>
          </cell>
          <cell r="D26">
            <v>11.69</v>
          </cell>
          <cell r="E26">
            <v>0</v>
          </cell>
          <cell r="F26" t="e">
            <v>#N/A</v>
          </cell>
          <cell r="G26" t="e">
            <v>#N/A</v>
          </cell>
        </row>
        <row r="27">
          <cell r="A27">
            <v>40181</v>
          </cell>
          <cell r="B27" t="str">
            <v>Escavação, carga e transporte de material de 1ª cat. 400 a 600 m com moto-escavo-transportador</v>
          </cell>
          <cell r="C27" t="str">
            <v>m³</v>
          </cell>
          <cell r="D27">
            <v>13.11</v>
          </cell>
          <cell r="E27">
            <v>0</v>
          </cell>
          <cell r="F27" t="e">
            <v>#N/A</v>
          </cell>
          <cell r="G27" t="e">
            <v>#N/A</v>
          </cell>
        </row>
        <row r="28">
          <cell r="A28">
            <v>40182</v>
          </cell>
          <cell r="B28" t="str">
            <v>Escavação, carga e transporte de material de 1ª cat. 600 a 800 m com moto-escavo-transportador</v>
          </cell>
          <cell r="C28" t="str">
            <v>m³</v>
          </cell>
          <cell r="D28">
            <v>15.02</v>
          </cell>
          <cell r="E28">
            <v>0</v>
          </cell>
          <cell r="F28" t="e">
            <v>#N/A</v>
          </cell>
          <cell r="G28" t="e">
            <v>#N/A</v>
          </cell>
        </row>
        <row r="29">
          <cell r="A29">
            <v>40183</v>
          </cell>
          <cell r="B29" t="str">
            <v>Escavação, carga e transporte de material de 1ª cat. 800 a 1000 m com moto-escavo-transportador</v>
          </cell>
          <cell r="C29" t="str">
            <v>m³</v>
          </cell>
          <cell r="D29">
            <v>15.85</v>
          </cell>
          <cell r="E29">
            <v>0</v>
          </cell>
          <cell r="F29" t="e">
            <v>#N/A</v>
          </cell>
          <cell r="G29" t="e">
            <v>#N/A</v>
          </cell>
        </row>
        <row r="30">
          <cell r="A30">
            <v>40191</v>
          </cell>
          <cell r="B30" t="str">
            <v>Escavação, carga e transporte de material de 2ª cat. até 200 m com moto-escavo-transportador</v>
          </cell>
          <cell r="C30" t="str">
            <v>m³</v>
          </cell>
          <cell r="D30">
            <v>15.55</v>
          </cell>
          <cell r="E30">
            <v>0</v>
          </cell>
          <cell r="F30" t="e">
            <v>#N/A</v>
          </cell>
          <cell r="G30" t="e">
            <v>#N/A</v>
          </cell>
        </row>
        <row r="31">
          <cell r="A31">
            <v>40196</v>
          </cell>
          <cell r="B31" t="str">
            <v>Escavação, carga e transporte de material de 2ª cat. 1000 a 1200 m com moto-escavo-transportador</v>
          </cell>
          <cell r="C31" t="str">
            <v>m³</v>
          </cell>
          <cell r="D31">
            <v>24.39</v>
          </cell>
          <cell r="E31">
            <v>0</v>
          </cell>
          <cell r="F31" t="e">
            <v>#N/A</v>
          </cell>
          <cell r="G31" t="e">
            <v>#N/A</v>
          </cell>
        </row>
        <row r="32">
          <cell r="A32">
            <v>40192</v>
          </cell>
          <cell r="B32" t="str">
            <v>Escavação, carga e transporte de material de 2ª cat. 200 a 400 m com moto-escavo-transportador</v>
          </cell>
          <cell r="C32" t="str">
            <v>m³</v>
          </cell>
          <cell r="D32">
            <v>16.809999999999999</v>
          </cell>
          <cell r="E32">
            <v>0</v>
          </cell>
          <cell r="F32" t="e">
            <v>#N/A</v>
          </cell>
          <cell r="G32" t="e">
            <v>#N/A</v>
          </cell>
        </row>
        <row r="33">
          <cell r="A33">
            <v>40193</v>
          </cell>
          <cell r="B33" t="str">
            <v>Escavação, carga e transporte de material de 2ª cat. 400 a 600 m com moto-escavo-transportador</v>
          </cell>
          <cell r="C33" t="str">
            <v>m³</v>
          </cell>
          <cell r="D33">
            <v>18.34</v>
          </cell>
          <cell r="E33">
            <v>0</v>
          </cell>
          <cell r="F33" t="e">
            <v>#N/A</v>
          </cell>
          <cell r="G33" t="e">
            <v>#N/A</v>
          </cell>
        </row>
        <row r="34">
          <cell r="A34">
            <v>40194</v>
          </cell>
          <cell r="B34" t="str">
            <v>Escavação, carga e transporte de material de 2ª cat. 600 a 800 m com moto-escavo-transportador</v>
          </cell>
          <cell r="C34" t="str">
            <v>m³</v>
          </cell>
          <cell r="D34">
            <v>20.97</v>
          </cell>
          <cell r="E34">
            <v>0</v>
          </cell>
          <cell r="F34" t="e">
            <v>#N/A</v>
          </cell>
          <cell r="G34" t="e">
            <v>#N/A</v>
          </cell>
        </row>
        <row r="35">
          <cell r="A35">
            <v>40195</v>
          </cell>
          <cell r="B35" t="str">
            <v>Escavação, carga e transporte de material de 2ª cat. 800 a 1000 m com moto-escavo-transportador</v>
          </cell>
          <cell r="C35" t="str">
            <v>m³</v>
          </cell>
          <cell r="D35">
            <v>22.36</v>
          </cell>
          <cell r="E35">
            <v>0</v>
          </cell>
          <cell r="F35" t="e">
            <v>#N/A</v>
          </cell>
          <cell r="G35" t="e">
            <v>#N/A</v>
          </cell>
        </row>
        <row r="36">
          <cell r="A36">
            <v>40220</v>
          </cell>
          <cell r="B36" t="str">
            <v>Escavação e carga de material de barreira (remoção)</v>
          </cell>
          <cell r="C36" t="str">
            <v>m³</v>
          </cell>
          <cell r="D36">
            <v>7.99</v>
          </cell>
          <cell r="E36">
            <v>0</v>
          </cell>
          <cell r="F36" t="e">
            <v>#N/A</v>
          </cell>
          <cell r="G36" t="e">
            <v>#N/A</v>
          </cell>
        </row>
        <row r="37">
          <cell r="A37">
            <v>40230</v>
          </cell>
          <cell r="B37" t="str">
            <v>Escavação e carga de material de 1ª categoria com escavadeira</v>
          </cell>
          <cell r="C37" t="str">
            <v>m³</v>
          </cell>
          <cell r="D37">
            <v>2.69</v>
          </cell>
          <cell r="E37">
            <v>0</v>
          </cell>
          <cell r="F37">
            <v>2.7</v>
          </cell>
          <cell r="G37">
            <v>1.0037174721189599</v>
          </cell>
        </row>
        <row r="38">
          <cell r="A38">
            <v>40221</v>
          </cell>
          <cell r="B38" t="str">
            <v>Escavação e carga de material de 1ª categoria, com trator de esteira e pá carregadeira</v>
          </cell>
          <cell r="C38" t="str">
            <v>m³</v>
          </cell>
          <cell r="D38">
            <v>6.41</v>
          </cell>
          <cell r="E38">
            <v>0</v>
          </cell>
          <cell r="F38">
            <v>6.42</v>
          </cell>
          <cell r="G38">
            <v>1.0015600624025001</v>
          </cell>
        </row>
        <row r="39">
          <cell r="A39">
            <v>40231</v>
          </cell>
          <cell r="B39" t="str">
            <v>Escavação e carga de material de 2ª categoria com escavadeira</v>
          </cell>
          <cell r="C39" t="str">
            <v>m³</v>
          </cell>
          <cell r="D39">
            <v>3.97</v>
          </cell>
          <cell r="E39">
            <v>0</v>
          </cell>
          <cell r="F39" t="e">
            <v>#N/A</v>
          </cell>
          <cell r="G39" t="e">
            <v>#N/A</v>
          </cell>
        </row>
        <row r="40">
          <cell r="A40">
            <v>40222</v>
          </cell>
          <cell r="B40" t="str">
            <v>Escavação e carga de material de 2ª categoria, com trator de esteira e pá carregadeira</v>
          </cell>
          <cell r="C40" t="str">
            <v>m³</v>
          </cell>
          <cell r="D40">
            <v>9.57</v>
          </cell>
          <cell r="E40">
            <v>0</v>
          </cell>
          <cell r="F40" t="e">
            <v>#N/A</v>
          </cell>
          <cell r="G40" t="e">
            <v>#N/A</v>
          </cell>
        </row>
        <row r="41">
          <cell r="A41">
            <v>40216</v>
          </cell>
          <cell r="B41" t="str">
            <v>Escavação e carga de material de 3ª categoria (fogo controlado)</v>
          </cell>
          <cell r="C41" t="str">
            <v>m³</v>
          </cell>
          <cell r="D41">
            <v>85.85</v>
          </cell>
          <cell r="E41">
            <v>0</v>
          </cell>
          <cell r="F41" t="e">
            <v>#N/A</v>
          </cell>
          <cell r="G41" t="e">
            <v>#N/A</v>
          </cell>
        </row>
        <row r="42">
          <cell r="A42">
            <v>40223</v>
          </cell>
          <cell r="B42" t="str">
            <v>Escavação e carga de material de 3ª categoria (H bancada &gt;1,0 m)</v>
          </cell>
          <cell r="C42" t="str">
            <v>m³</v>
          </cell>
          <cell r="D42">
            <v>35.200000000000003</v>
          </cell>
          <cell r="E42">
            <v>0</v>
          </cell>
          <cell r="F42" t="e">
            <v>#N/A</v>
          </cell>
          <cell r="G42" t="e">
            <v>#N/A</v>
          </cell>
        </row>
        <row r="43">
          <cell r="A43">
            <v>43335</v>
          </cell>
          <cell r="B43" t="str">
            <v>Espalhamento / regularização / compactação de material em bota-fora</v>
          </cell>
          <cell r="C43" t="str">
            <v>m³</v>
          </cell>
          <cell r="D43">
            <v>2.16</v>
          </cell>
          <cell r="E43">
            <v>0</v>
          </cell>
          <cell r="F43" t="e">
            <v>#N/A</v>
          </cell>
          <cell r="G43" t="e">
            <v>#N/A</v>
          </cell>
        </row>
        <row r="44">
          <cell r="A44">
            <v>42547</v>
          </cell>
          <cell r="B44" t="str">
            <v>Espalhamento de material de 1ª categoria com motoniveladora</v>
          </cell>
          <cell r="C44" t="str">
            <v>m³</v>
          </cell>
          <cell r="D44">
            <v>1.38</v>
          </cell>
          <cell r="E44">
            <v>0</v>
          </cell>
          <cell r="F44" t="e">
            <v>#N/A</v>
          </cell>
          <cell r="G44" t="e">
            <v>#N/A</v>
          </cell>
        </row>
        <row r="45">
          <cell r="A45">
            <v>40177</v>
          </cell>
          <cell r="B45" t="str">
            <v>Espalhamento de material de 1ª categoria com trator de esteiras</v>
          </cell>
          <cell r="C45" t="str">
            <v>m³</v>
          </cell>
          <cell r="D45">
            <v>3.69</v>
          </cell>
          <cell r="E45">
            <v>0</v>
          </cell>
          <cell r="F45">
            <v>3.69</v>
          </cell>
          <cell r="G45">
            <v>1</v>
          </cell>
        </row>
        <row r="46">
          <cell r="A46">
            <v>41056</v>
          </cell>
          <cell r="B46" t="str">
            <v>Forro de regularização sobre plataforma de enrocamento para tráfego de caminhões, inclusive fornecimento do pó de pedra e da pedra demão</v>
          </cell>
          <cell r="C46" t="str">
            <v>m³</v>
          </cell>
          <cell r="D46">
            <v>78.62</v>
          </cell>
          <cell r="E46">
            <v>0</v>
          </cell>
          <cell r="F46" t="e">
            <v>#N/A</v>
          </cell>
          <cell r="G46" t="e">
            <v>#N/A</v>
          </cell>
        </row>
        <row r="47">
          <cell r="A47">
            <v>40218</v>
          </cell>
          <cell r="B47" t="str">
            <v>Fragmentação de rocha (fogacheamento)</v>
          </cell>
          <cell r="C47" t="str">
            <v>m³</v>
          </cell>
          <cell r="D47">
            <v>56.46</v>
          </cell>
          <cell r="E47">
            <v>0</v>
          </cell>
          <cell r="F47" t="e">
            <v>#N/A</v>
          </cell>
          <cell r="G47" t="e">
            <v>#N/A</v>
          </cell>
        </row>
        <row r="48">
          <cell r="A48">
            <v>40170</v>
          </cell>
          <cell r="B48" t="str">
            <v>Limpeza de acostamento</v>
          </cell>
          <cell r="C48" t="str">
            <v>m²</v>
          </cell>
          <cell r="D48">
            <v>0.54</v>
          </cell>
          <cell r="E48">
            <v>0</v>
          </cell>
          <cell r="F48" t="e">
            <v>#N/A</v>
          </cell>
          <cell r="G48" t="e">
            <v>#N/A</v>
          </cell>
        </row>
        <row r="49">
          <cell r="A49">
            <v>40167</v>
          </cell>
          <cell r="B49" t="str">
            <v>Limpeza, desmatamento e destocamento de árvores com diâmetro até 15 cm, com trator de esteira</v>
          </cell>
          <cell r="C49" t="str">
            <v>m²</v>
          </cell>
          <cell r="D49">
            <v>0.38</v>
          </cell>
          <cell r="E49">
            <v>0</v>
          </cell>
          <cell r="F49">
            <v>0.39</v>
          </cell>
          <cell r="G49">
            <v>1.0263157894736801</v>
          </cell>
        </row>
        <row r="50">
          <cell r="A50">
            <v>40168</v>
          </cell>
          <cell r="B50" t="str">
            <v>Limpeza, desmatamento e destocamento de jazida com remoçao 15 cm solo orgânico</v>
          </cell>
          <cell r="C50" t="str">
            <v>m²</v>
          </cell>
          <cell r="D50">
            <v>1.9</v>
          </cell>
          <cell r="E50">
            <v>0</v>
          </cell>
          <cell r="F50" t="e">
            <v>#N/A</v>
          </cell>
          <cell r="G50" t="e">
            <v>#N/A</v>
          </cell>
        </row>
        <row r="51">
          <cell r="A51">
            <v>40169</v>
          </cell>
          <cell r="B51" t="str">
            <v>Limpeza e desmatamento em área alagada (pântano) com ferramentas manuais, inclusive moto serra</v>
          </cell>
          <cell r="C51" t="str">
            <v>m²</v>
          </cell>
          <cell r="D51">
            <v>7.31</v>
          </cell>
          <cell r="E51">
            <v>0</v>
          </cell>
          <cell r="F51" t="e">
            <v>#N/A</v>
          </cell>
          <cell r="G51" t="e">
            <v>#N/A</v>
          </cell>
        </row>
        <row r="52">
          <cell r="A52">
            <v>40219</v>
          </cell>
          <cell r="B52" t="str">
            <v>Pré-fissuramento de taludes de rocha</v>
          </cell>
          <cell r="C52" t="str">
            <v>m²</v>
          </cell>
          <cell r="D52">
            <v>28.7</v>
          </cell>
          <cell r="E52">
            <v>0</v>
          </cell>
          <cell r="F52" t="e">
            <v>#N/A</v>
          </cell>
          <cell r="G52" t="e">
            <v>#N/A</v>
          </cell>
        </row>
        <row r="53">
          <cell r="A53">
            <v>41095</v>
          </cell>
          <cell r="B53" t="str">
            <v>Remoção de solos moles, incluindo carregamento mecânico com escavadeira hidráulica</v>
          </cell>
          <cell r="C53" t="str">
            <v>m³</v>
          </cell>
          <cell r="D53">
            <v>19.8</v>
          </cell>
          <cell r="E53">
            <v>0</v>
          </cell>
          <cell r="F53" t="e">
            <v>#N/A</v>
          </cell>
          <cell r="G53" t="e">
            <v>#N/A</v>
          </cell>
        </row>
        <row r="54">
          <cell r="A54">
            <v>43352</v>
          </cell>
          <cell r="B54" t="str">
            <v>Roçada manual com roçadeira costal, ferramentas manuais, inclusive limpeza e remoção com retroescavadeira</v>
          </cell>
          <cell r="C54" t="str">
            <v>m²</v>
          </cell>
          <cell r="D54">
            <v>0.47</v>
          </cell>
          <cell r="E54">
            <v>0</v>
          </cell>
          <cell r="F54" t="e">
            <v>#N/A</v>
          </cell>
          <cell r="G54" t="e">
            <v>#N/A</v>
          </cell>
        </row>
        <row r="55">
          <cell r="A55">
            <v>43338</v>
          </cell>
          <cell r="B55" t="str">
            <v>Roçada manual com roçadeira costal, ferramentas manuais, inclusive limpeza manual</v>
          </cell>
          <cell r="C55" t="str">
            <v>m²</v>
          </cell>
          <cell r="D55">
            <v>0.4</v>
          </cell>
          <cell r="E55">
            <v>0</v>
          </cell>
          <cell r="F55" t="e">
            <v>#N/A</v>
          </cell>
          <cell r="G55" t="e">
            <v>#N/A</v>
          </cell>
        </row>
        <row r="56">
          <cell r="A56">
            <v>40166</v>
          </cell>
          <cell r="B56" t="str">
            <v>Roçada mecânica</v>
          </cell>
          <cell r="C56" t="str">
            <v>m²</v>
          </cell>
          <cell r="D56">
            <v>0.14000000000000001</v>
          </cell>
          <cell r="E56">
            <v>0</v>
          </cell>
          <cell r="F56" t="e">
            <v>#N/A</v>
          </cell>
          <cell r="G56" t="e">
            <v>#N/A</v>
          </cell>
        </row>
        <row r="57">
          <cell r="A57">
            <v>41326</v>
          </cell>
          <cell r="B57" t="str">
            <v>Transporte horizontal com trator de lâmina de material de 1ª cat. DMTaté 50m</v>
          </cell>
          <cell r="C57" t="str">
            <v>m³</v>
          </cell>
          <cell r="D57">
            <v>4.42</v>
          </cell>
          <cell r="E57">
            <v>0</v>
          </cell>
          <cell r="F57" t="e">
            <v>#N/A</v>
          </cell>
          <cell r="G57" t="e">
            <v>#N/A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e">
            <v>#N/A</v>
          </cell>
          <cell r="F58" t="e">
            <v>#N/A</v>
          </cell>
          <cell r="G58" t="e">
            <v>#N/A</v>
          </cell>
        </row>
        <row r="59">
          <cell r="A59" t="str">
            <v>Grupo de Serviço: 2 - PAVIMENTAÇÃO</v>
          </cell>
          <cell r="B59">
            <v>0</v>
          </cell>
          <cell r="C59">
            <v>0</v>
          </cell>
          <cell r="E59" t="e">
            <v>#N/A</v>
          </cell>
          <cell r="F59" t="e">
            <v>#N/A</v>
          </cell>
          <cell r="G59" t="e">
            <v>#N/A</v>
          </cell>
        </row>
        <row r="60">
          <cell r="A60">
            <v>40801</v>
          </cell>
          <cell r="B60" t="str">
            <v>Base com mistura de argila, areia e escória de aciaria, 30%,30%,40%, inclusive fornecim. transp.areia e escória, exclusive fornecim. transp. da argila</v>
          </cell>
          <cell r="C60" t="str">
            <v>m³</v>
          </cell>
          <cell r="D60">
            <v>89.32</v>
          </cell>
          <cell r="E60" t="str">
            <v>A incluir</v>
          </cell>
          <cell r="F60" t="e">
            <v>#N/A</v>
          </cell>
          <cell r="G60" t="e">
            <v>#N/A</v>
          </cell>
        </row>
        <row r="61">
          <cell r="A61">
            <v>40799</v>
          </cell>
          <cell r="B61" t="str">
            <v>Base com mistura de argila, areia e escória de aciaria, 50%,20%,30%, inclusive fornecim.e transp. areia e escória, exclusive fornecim. e transp.argila</v>
          </cell>
          <cell r="C61" t="str">
            <v>m³</v>
          </cell>
          <cell r="D61">
            <v>69.14</v>
          </cell>
          <cell r="E61" t="str">
            <v>A incluir</v>
          </cell>
          <cell r="F61" t="e">
            <v>#N/A</v>
          </cell>
          <cell r="G61" t="e">
            <v>#N/A</v>
          </cell>
        </row>
        <row r="62">
          <cell r="A62">
            <v>40793</v>
          </cell>
          <cell r="B62" t="str">
            <v>Base com mistura de argila 30%, pó de pedra 30% e brita 40%, inclusive fornecimento e transporte do pó de pedra e da brita</v>
          </cell>
          <cell r="C62" t="str">
            <v>m³</v>
          </cell>
          <cell r="D62">
            <v>80.3</v>
          </cell>
          <cell r="E62" t="str">
            <v>A incluir</v>
          </cell>
          <cell r="F62" t="e">
            <v>#N/A</v>
          </cell>
          <cell r="G62" t="e">
            <v>#N/A</v>
          </cell>
        </row>
        <row r="63">
          <cell r="A63">
            <v>40797</v>
          </cell>
          <cell r="B63" t="str">
            <v>Base com mistura de argila 70% e escória de aciaria 30%, inclusive fornecim. e transporte da escória, exclusive fornecimento e transporte da argila</v>
          </cell>
          <cell r="C63" t="str">
            <v>m³</v>
          </cell>
          <cell r="D63">
            <v>40.369999999999997</v>
          </cell>
          <cell r="E63" t="str">
            <v>A incluir</v>
          </cell>
          <cell r="F63" t="e">
            <v>#N/A</v>
          </cell>
          <cell r="G63" t="e">
            <v>#N/A</v>
          </cell>
        </row>
        <row r="64">
          <cell r="A64">
            <v>41157</v>
          </cell>
          <cell r="B64" t="str">
            <v>Base com mistura de Saibro, Argila e Brita, 45%, 15% e 40%, exclusive transporte</v>
          </cell>
          <cell r="C64" t="str">
            <v>m³</v>
          </cell>
          <cell r="D64">
            <v>49</v>
          </cell>
          <cell r="E64">
            <v>0</v>
          </cell>
          <cell r="F64" t="e">
            <v>#N/A</v>
          </cell>
          <cell r="G64" t="e">
            <v>#N/A</v>
          </cell>
        </row>
        <row r="65">
          <cell r="A65">
            <v>40795</v>
          </cell>
          <cell r="B65" t="str">
            <v>Base com mistura de solo 80% e areia 20%, inclusive transporte da areia</v>
          </cell>
          <cell r="C65" t="str">
            <v>m³</v>
          </cell>
          <cell r="D65">
            <v>40.49</v>
          </cell>
          <cell r="E65" t="str">
            <v>A incluir</v>
          </cell>
          <cell r="F65" t="e">
            <v>#N/A</v>
          </cell>
          <cell r="G65" t="e">
            <v>#N/A</v>
          </cell>
        </row>
        <row r="66">
          <cell r="A66">
            <v>40787</v>
          </cell>
          <cell r="B66" t="str">
            <v>Base de brita graduada, inclusive fornecimento e transporte da brita</v>
          </cell>
          <cell r="C66" t="str">
            <v>m³</v>
          </cell>
          <cell r="D66">
            <v>111.02</v>
          </cell>
          <cell r="E66" t="str">
            <v>A incluir</v>
          </cell>
          <cell r="F66" t="e">
            <v>#N/A</v>
          </cell>
          <cell r="G66" t="e">
            <v>#N/A</v>
          </cell>
        </row>
        <row r="67">
          <cell r="A67">
            <v>40812</v>
          </cell>
          <cell r="B67" t="str">
            <v>Base de brita graduada, inclusive fornecimento, exclusive transporte da brita</v>
          </cell>
          <cell r="C67" t="str">
            <v>m³</v>
          </cell>
          <cell r="D67">
            <v>111.02</v>
          </cell>
          <cell r="E67">
            <v>0</v>
          </cell>
          <cell r="F67" t="e">
            <v>#N/A</v>
          </cell>
          <cell r="G67" t="e">
            <v>#N/A</v>
          </cell>
        </row>
        <row r="68">
          <cell r="A68">
            <v>42673</v>
          </cell>
          <cell r="B68" t="str">
            <v>Base de brita 1, inclusive fornecimento, exclusive transporte da brita</v>
          </cell>
          <cell r="C68" t="str">
            <v>m³</v>
          </cell>
          <cell r="D68">
            <v>106.12</v>
          </cell>
          <cell r="E68">
            <v>0</v>
          </cell>
          <cell r="F68" t="e">
            <v>#N/A</v>
          </cell>
          <cell r="G68" t="e">
            <v>#N/A</v>
          </cell>
        </row>
        <row r="69">
          <cell r="A69">
            <v>40803</v>
          </cell>
          <cell r="B69" t="str">
            <v>Base de escória de aciaria, inclusive fornecimento e transporte da escória</v>
          </cell>
          <cell r="C69" t="str">
            <v>m³</v>
          </cell>
          <cell r="D69">
            <v>85.34</v>
          </cell>
          <cell r="E69" t="str">
            <v>A incluir</v>
          </cell>
          <cell r="F69" t="e">
            <v>#N/A</v>
          </cell>
          <cell r="G69" t="e">
            <v>#N/A</v>
          </cell>
        </row>
        <row r="70">
          <cell r="A70">
            <v>41406</v>
          </cell>
          <cell r="B70" t="str">
            <v>Base de escória/argila na proporção 80:20, inclusive aquisição e transporte da escória, exclusive argila</v>
          </cell>
          <cell r="C70" t="str">
            <v>m³</v>
          </cell>
          <cell r="D70">
            <v>72.98</v>
          </cell>
          <cell r="E70" t="str">
            <v>A incluir</v>
          </cell>
          <cell r="F70" t="e">
            <v>#N/A</v>
          </cell>
          <cell r="G70" t="e">
            <v>#N/A</v>
          </cell>
        </row>
        <row r="71">
          <cell r="A71">
            <v>41100</v>
          </cell>
          <cell r="B71" t="str">
            <v>Base de escória/solo na proporção 75:25, inclusive fornecimento da escória, exceto fornecimento do solo e transporte do solo e escória</v>
          </cell>
          <cell r="C71" t="str">
            <v>m³</v>
          </cell>
          <cell r="D71">
            <v>69.72</v>
          </cell>
          <cell r="E71">
            <v>0</v>
          </cell>
          <cell r="F71" t="e">
            <v>#N/A</v>
          </cell>
          <cell r="G71" t="e">
            <v>#N/A</v>
          </cell>
        </row>
        <row r="72">
          <cell r="A72">
            <v>40979</v>
          </cell>
          <cell r="B72" t="str">
            <v>Base de solo brita, 20% em peso, inclusive fornecim. da brita, exclusive transporte da brita e do solo (100% P.IM)</v>
          </cell>
          <cell r="C72" t="str">
            <v>m³</v>
          </cell>
          <cell r="D72">
            <v>43.37</v>
          </cell>
          <cell r="E72">
            <v>0</v>
          </cell>
          <cell r="F72" t="e">
            <v>#N/A</v>
          </cell>
          <cell r="G72" t="e">
            <v>#N/A</v>
          </cell>
        </row>
        <row r="73">
          <cell r="A73">
            <v>40815</v>
          </cell>
          <cell r="B73" t="str">
            <v>Base de solo brita, 40% em peso, inclusive fornecimento, exclusive transporte da brita</v>
          </cell>
          <cell r="C73" t="str">
            <v>m³</v>
          </cell>
          <cell r="D73">
            <v>58.59</v>
          </cell>
          <cell r="E73">
            <v>0</v>
          </cell>
          <cell r="F73" t="e">
            <v>#N/A</v>
          </cell>
          <cell r="G73" t="e">
            <v>#N/A</v>
          </cell>
        </row>
        <row r="74">
          <cell r="A74">
            <v>40809</v>
          </cell>
          <cell r="B74" t="str">
            <v>Base de solo brita, 50% em peso, inclusive fornecimento, exclusive transporte da brita</v>
          </cell>
          <cell r="C74" t="str">
            <v>m³</v>
          </cell>
          <cell r="D74">
            <v>68.58</v>
          </cell>
          <cell r="E74">
            <v>0</v>
          </cell>
          <cell r="F74" t="e">
            <v>#N/A</v>
          </cell>
          <cell r="G74" t="e">
            <v>#N/A</v>
          </cell>
        </row>
        <row r="75">
          <cell r="A75">
            <v>40810</v>
          </cell>
          <cell r="B75" t="str">
            <v>Base de solo brita, 70% em peso, inclusive fornecimento, exclusive transporte da brita</v>
          </cell>
          <cell r="C75" t="str">
            <v>m³</v>
          </cell>
          <cell r="D75">
            <v>88.67</v>
          </cell>
          <cell r="E75">
            <v>0</v>
          </cell>
          <cell r="F75" t="e">
            <v>#N/A</v>
          </cell>
          <cell r="G75" t="e">
            <v>#N/A</v>
          </cell>
        </row>
        <row r="76">
          <cell r="A76">
            <v>41097</v>
          </cell>
          <cell r="B76" t="str">
            <v>Base de solo brita, 80% em peso, inclusive fornecimento e transporte da brita</v>
          </cell>
          <cell r="C76" t="str">
            <v>m³</v>
          </cell>
          <cell r="D76">
            <v>100.82</v>
          </cell>
          <cell r="E76" t="str">
            <v>A incluir</v>
          </cell>
          <cell r="F76" t="e">
            <v>#N/A</v>
          </cell>
          <cell r="G76" t="e">
            <v>#N/A</v>
          </cell>
        </row>
        <row r="77">
          <cell r="A77">
            <v>41364</v>
          </cell>
          <cell r="B77" t="str">
            <v>Base estabilizada granulométricamente. com mistura de escória de aciaria 80% e argila exceto fornecimento da argila e transporte da argila e escória</v>
          </cell>
          <cell r="C77" t="str">
            <v>m³</v>
          </cell>
          <cell r="D77">
            <v>72.98</v>
          </cell>
          <cell r="E77">
            <v>0</v>
          </cell>
          <cell r="F77" t="e">
            <v>#N/A</v>
          </cell>
          <cell r="G77" t="e">
            <v>#N/A</v>
          </cell>
        </row>
        <row r="78">
          <cell r="A78">
            <v>40777</v>
          </cell>
          <cell r="B78" t="str">
            <v>Base solo brita, 20% em peso, inclusive fornecimento e transporte da brita</v>
          </cell>
          <cell r="C78" t="str">
            <v>m³</v>
          </cell>
          <cell r="D78">
            <v>38.69</v>
          </cell>
          <cell r="E78" t="str">
            <v>A incluir</v>
          </cell>
          <cell r="F78" t="e">
            <v>#N/A</v>
          </cell>
          <cell r="G78" t="e">
            <v>#N/A</v>
          </cell>
        </row>
        <row r="79">
          <cell r="A79">
            <v>40779</v>
          </cell>
          <cell r="B79" t="str">
            <v>Base solo brita, 30% em peso, inclusive fornecimento e transporte da brita</v>
          </cell>
          <cell r="C79" t="str">
            <v>m³</v>
          </cell>
          <cell r="D79">
            <v>46.62</v>
          </cell>
          <cell r="E79" t="str">
            <v>A incluir</v>
          </cell>
          <cell r="F79" t="e">
            <v>#N/A</v>
          </cell>
          <cell r="G79" t="e">
            <v>#N/A</v>
          </cell>
        </row>
        <row r="80">
          <cell r="A80">
            <v>40781</v>
          </cell>
          <cell r="B80" t="str">
            <v>Base solo brita, 50% em peso, inclusive fornecimento e transporte da brita</v>
          </cell>
          <cell r="C80" t="str">
            <v>m³</v>
          </cell>
          <cell r="D80">
            <v>68.58</v>
          </cell>
          <cell r="E80" t="str">
            <v>A incluir</v>
          </cell>
          <cell r="F80" t="e">
            <v>#N/A</v>
          </cell>
          <cell r="G80" t="e">
            <v>#N/A</v>
          </cell>
        </row>
        <row r="81">
          <cell r="A81">
            <v>40783</v>
          </cell>
          <cell r="B81" t="str">
            <v>Base solo brita, 70% em peso, inclusive fornecimento e transporte da brita</v>
          </cell>
          <cell r="C81" t="str">
            <v>m³</v>
          </cell>
          <cell r="D81">
            <v>88.67</v>
          </cell>
          <cell r="E81" t="str">
            <v>A incluir</v>
          </cell>
          <cell r="F81" t="e">
            <v>#N/A</v>
          </cell>
          <cell r="G81" t="e">
            <v>#N/A</v>
          </cell>
        </row>
        <row r="82">
          <cell r="A82">
            <v>41366</v>
          </cell>
          <cell r="B82" t="str">
            <v>Base solo brita, 80% em peso, inclusive fornecimento, exclusive transporte da brita</v>
          </cell>
          <cell r="C82" t="str">
            <v>m³</v>
          </cell>
          <cell r="D82">
            <v>100.82</v>
          </cell>
          <cell r="E82">
            <v>0</v>
          </cell>
          <cell r="F82" t="e">
            <v>#N/A</v>
          </cell>
          <cell r="G82" t="e">
            <v>#N/A</v>
          </cell>
        </row>
        <row r="83">
          <cell r="A83">
            <v>40834</v>
          </cell>
          <cell r="B83" t="str">
            <v>Capa selante (emulsão e areia) exclusive fornecimento e transporte comercial da emulsão, inclusive transporte da areia</v>
          </cell>
          <cell r="C83" t="str">
            <v>m²</v>
          </cell>
          <cell r="D83">
            <v>1.58</v>
          </cell>
          <cell r="E83" t="str">
            <v>A incluir</v>
          </cell>
          <cell r="F83" t="e">
            <v>#N/A</v>
          </cell>
          <cell r="G83" t="e">
            <v>#N/A</v>
          </cell>
        </row>
        <row r="84">
          <cell r="A84">
            <v>40835</v>
          </cell>
          <cell r="B84" t="str">
            <v>Capa selante (emulsão e areia) inclusive fornecimento e transporte comercial da emulsão</v>
          </cell>
          <cell r="C84" t="str">
            <v>m²</v>
          </cell>
          <cell r="D84">
            <v>2.57</v>
          </cell>
          <cell r="E84" t="str">
            <v>A incluir</v>
          </cell>
          <cell r="F84" t="e">
            <v>#N/A</v>
          </cell>
          <cell r="G84" t="e">
            <v>#N/A</v>
          </cell>
        </row>
        <row r="85">
          <cell r="A85">
            <v>40841</v>
          </cell>
          <cell r="B85" t="str">
            <v>CBUQ (camada pronta - binder) exclusive fornecimento e transportes do CAP e massa, inclusive fornecimento e transporte da brita e pó de pedra</v>
          </cell>
          <cell r="C85" t="str">
            <v>t</v>
          </cell>
          <cell r="D85">
            <v>100.47</v>
          </cell>
          <cell r="E85" t="str">
            <v>A incluir</v>
          </cell>
          <cell r="F85" t="e">
            <v>#N/A</v>
          </cell>
          <cell r="G85" t="e">
            <v>#N/A</v>
          </cell>
        </row>
        <row r="86">
          <cell r="A86">
            <v>40842</v>
          </cell>
          <cell r="B86" t="str">
            <v>CBUQ (camada pronta - binder) inclusive fornecimento e transporte comercial do CAP, exclusive transporte da massa</v>
          </cell>
          <cell r="C86" t="str">
            <v>t</v>
          </cell>
          <cell r="D86">
            <v>260.24</v>
          </cell>
          <cell r="E86" t="str">
            <v>A incluir</v>
          </cell>
          <cell r="F86" t="e">
            <v>#N/A</v>
          </cell>
          <cell r="G86" t="e">
            <v>#N/A</v>
          </cell>
        </row>
        <row r="87">
          <cell r="A87">
            <v>40843</v>
          </cell>
          <cell r="B87" t="str">
            <v>CBUQ (camada pronta - capa) exclusive fornecimento e transportes do CAP e massa</v>
          </cell>
          <cell r="C87" t="str">
            <v>t</v>
          </cell>
          <cell r="D87">
            <v>103.7</v>
          </cell>
          <cell r="E87" t="str">
            <v>A incluir</v>
          </cell>
          <cell r="F87">
            <v>130.63999999999999</v>
          </cell>
          <cell r="G87">
            <v>1.2597878495660599</v>
          </cell>
        </row>
        <row r="88">
          <cell r="A88">
            <v>40844</v>
          </cell>
          <cell r="B88" t="str">
            <v>CBUQ (camada pronta - capa) inclusive fornecimento e transporte comercial do CAP, exclusive transporte da massa</v>
          </cell>
          <cell r="C88" t="str">
            <v>t</v>
          </cell>
          <cell r="D88">
            <v>276.77999999999997</v>
          </cell>
          <cell r="E88" t="str">
            <v>A incluir</v>
          </cell>
          <cell r="F88" t="e">
            <v>#N/A</v>
          </cell>
          <cell r="G88" t="e">
            <v>#N/A</v>
          </cell>
        </row>
        <row r="89">
          <cell r="A89">
            <v>41112</v>
          </cell>
          <cell r="B89" t="str">
            <v>CBUQ (camada pronta Faixa "B" para revestimento) exclusive fornecimento do CAP e transp. de todos os materiais</v>
          </cell>
          <cell r="C89" t="str">
            <v>t</v>
          </cell>
          <cell r="D89">
            <v>98.57</v>
          </cell>
          <cell r="E89" t="str">
            <v>A incluir</v>
          </cell>
          <cell r="F89" t="e">
            <v>#N/A</v>
          </cell>
          <cell r="G89" t="e">
            <v>#N/A</v>
          </cell>
        </row>
        <row r="90">
          <cell r="A90">
            <v>43342</v>
          </cell>
          <cell r="B90" t="str">
            <v>CBUQ (camada pronta-faixa "C") , exclusive fornecimento do CAP e transporte de todos os materiais (traço padrão areia e brita)</v>
          </cell>
          <cell r="C90" t="str">
            <v>t</v>
          </cell>
          <cell r="D90">
            <v>106.01</v>
          </cell>
          <cell r="E90" t="str">
            <v>A incluir</v>
          </cell>
          <cell r="F90" t="e">
            <v>#N/A</v>
          </cell>
          <cell r="G90" t="e">
            <v>#N/A</v>
          </cell>
        </row>
        <row r="91">
          <cell r="A91">
            <v>40878</v>
          </cell>
          <cell r="B91" t="str">
            <v>CBUQ (camada pronta-faixa"C") exclusive fornecimento.do CAP e transporte de todos os materiais</v>
          </cell>
          <cell r="C91" t="str">
            <v>t</v>
          </cell>
          <cell r="D91">
            <v>104.3</v>
          </cell>
          <cell r="E91" t="str">
            <v>A incluir</v>
          </cell>
          <cell r="F91" t="e">
            <v>#N/A</v>
          </cell>
          <cell r="G91" t="e">
            <v>#N/A</v>
          </cell>
        </row>
        <row r="92">
          <cell r="A92">
            <v>40845</v>
          </cell>
          <cell r="B92" t="str">
            <v>CBUQ (massa asfáltica) exclusive fornecimento e transporte comercial do CAP</v>
          </cell>
          <cell r="C92" t="str">
            <v>t</v>
          </cell>
          <cell r="D92">
            <v>83.35</v>
          </cell>
          <cell r="E92" t="str">
            <v>A incluir</v>
          </cell>
          <cell r="F92" t="e">
            <v>#N/A</v>
          </cell>
          <cell r="G92" t="e">
            <v>#N/A</v>
          </cell>
        </row>
        <row r="93">
          <cell r="A93">
            <v>40846</v>
          </cell>
          <cell r="B93" t="str">
            <v>CBUQ (massa asfáltica) inclusive fornecimento e transporte comercial do CAP</v>
          </cell>
          <cell r="C93" t="str">
            <v>t</v>
          </cell>
          <cell r="D93">
            <v>256.43</v>
          </cell>
          <cell r="E93" t="str">
            <v>A incluir</v>
          </cell>
          <cell r="F93" t="e">
            <v>#N/A</v>
          </cell>
          <cell r="G93" t="e">
            <v>#N/A</v>
          </cell>
        </row>
        <row r="94">
          <cell r="A94">
            <v>40879</v>
          </cell>
          <cell r="B94" t="str">
            <v>CBUQ (massa asfáltica-faixa"C") exclusive fornecimento CAP e transporte de todos os materiais</v>
          </cell>
          <cell r="C94" t="str">
            <v>t</v>
          </cell>
          <cell r="D94">
            <v>83.94</v>
          </cell>
          <cell r="E94">
            <v>0</v>
          </cell>
          <cell r="F94" t="e">
            <v>#N/A</v>
          </cell>
          <cell r="G94" t="e">
            <v>#N/A</v>
          </cell>
        </row>
        <row r="95">
          <cell r="A95">
            <v>40877</v>
          </cell>
          <cell r="B95" t="str">
            <v>CBUQ (massa fina - faixa"D") exclusive fornecimento do CAP e transp.de todos os materiais</v>
          </cell>
          <cell r="C95" t="str">
            <v>t</v>
          </cell>
          <cell r="D95">
            <v>102.4</v>
          </cell>
          <cell r="E95" t="str">
            <v>A incluir</v>
          </cell>
          <cell r="F95" t="e">
            <v>#N/A</v>
          </cell>
          <cell r="G95" t="e">
            <v>#N/A</v>
          </cell>
        </row>
        <row r="96">
          <cell r="A96">
            <v>43341</v>
          </cell>
          <cell r="B96" t="str">
            <v>CBUQ (massa fina-faixa"D"), exclusive fornecimento do CAP e transporte de todos os materiais (traço padrão areia e brita)</v>
          </cell>
          <cell r="C96" t="str">
            <v>t</v>
          </cell>
          <cell r="D96">
            <v>104.22</v>
          </cell>
          <cell r="E96" t="str">
            <v>A incluir</v>
          </cell>
          <cell r="F96" t="e">
            <v>#N/A</v>
          </cell>
          <cell r="G96" t="e">
            <v>#N/A</v>
          </cell>
        </row>
        <row r="97">
          <cell r="A97">
            <v>40867</v>
          </cell>
          <cell r="B97" t="str">
            <v>Demolição e remoção de pavimento asfáltico</v>
          </cell>
          <cell r="C97" t="str">
            <v>m²</v>
          </cell>
          <cell r="D97">
            <v>2.21</v>
          </cell>
          <cell r="E97">
            <v>0</v>
          </cell>
          <cell r="F97" t="e">
            <v>#N/A</v>
          </cell>
          <cell r="G97" t="e">
            <v>#N/A</v>
          </cell>
        </row>
        <row r="98">
          <cell r="A98">
            <v>40763</v>
          </cell>
          <cell r="B98" t="str">
            <v>Escarificação de base H -&gt; 0,10m e capa asfáltica</v>
          </cell>
          <cell r="C98" t="str">
            <v>m²</v>
          </cell>
          <cell r="D98">
            <v>0.7</v>
          </cell>
          <cell r="E98">
            <v>0</v>
          </cell>
          <cell r="F98" t="e">
            <v>#N/A</v>
          </cell>
          <cell r="G98" t="e">
            <v>#N/A</v>
          </cell>
        </row>
        <row r="99">
          <cell r="A99">
            <v>40765</v>
          </cell>
          <cell r="B99" t="str">
            <v>Escarificação e compactação de base (100% P.I.) H-&gt;0,20m</v>
          </cell>
          <cell r="C99" t="str">
            <v>m²</v>
          </cell>
          <cell r="D99">
            <v>4.96</v>
          </cell>
          <cell r="E99">
            <v>0</v>
          </cell>
          <cell r="F99" t="e">
            <v>#N/A</v>
          </cell>
          <cell r="G99" t="e">
            <v>#N/A</v>
          </cell>
        </row>
        <row r="100">
          <cell r="A100">
            <v>40757</v>
          </cell>
          <cell r="B100" t="str">
            <v>Estabilização granulométrica de solo s/ mistura 100% P.I.</v>
          </cell>
          <cell r="C100" t="str">
            <v>m³</v>
          </cell>
          <cell r="D100">
            <v>15.14</v>
          </cell>
          <cell r="E100">
            <v>0</v>
          </cell>
          <cell r="F100">
            <v>15.14</v>
          </cell>
          <cell r="G100">
            <v>1</v>
          </cell>
        </row>
        <row r="101">
          <cell r="A101">
            <v>40758</v>
          </cell>
          <cell r="B101" t="str">
            <v>Estabilização granulométrica de solo s/ mistura 100% P.M.</v>
          </cell>
          <cell r="C101" t="str">
            <v>m³</v>
          </cell>
          <cell r="D101">
            <v>16.29</v>
          </cell>
          <cell r="E101">
            <v>0</v>
          </cell>
          <cell r="F101" t="e">
            <v>#N/A</v>
          </cell>
          <cell r="G101" t="e">
            <v>#N/A</v>
          </cell>
        </row>
        <row r="102">
          <cell r="A102">
            <v>40761</v>
          </cell>
          <cell r="B102" t="str">
            <v>Estabilização granulométrica de solos c/ mistura de areia na pista 100% P.M. (80%, 20%) exclusive transporte</v>
          </cell>
          <cell r="C102" t="str">
            <v>m³</v>
          </cell>
          <cell r="D102">
            <v>40.869999999999997</v>
          </cell>
          <cell r="E102">
            <v>0</v>
          </cell>
          <cell r="F102" t="e">
            <v>#N/A</v>
          </cell>
          <cell r="G102" t="e">
            <v>#N/A</v>
          </cell>
        </row>
        <row r="103">
          <cell r="A103">
            <v>40759</v>
          </cell>
          <cell r="B103" t="str">
            <v>Estabilização granulométrica de solos c/ mistura na pista 100 % P.I.</v>
          </cell>
          <cell r="C103" t="str">
            <v>m³</v>
          </cell>
          <cell r="D103">
            <v>16.61</v>
          </cell>
          <cell r="E103">
            <v>0</v>
          </cell>
          <cell r="F103" t="e">
            <v>#N/A</v>
          </cell>
          <cell r="G103" t="e">
            <v>#N/A</v>
          </cell>
        </row>
        <row r="104">
          <cell r="A104">
            <v>40760</v>
          </cell>
          <cell r="B104" t="str">
            <v>Estabilização granulométrica de solos c/ mistura na pista 100% P.M.</v>
          </cell>
          <cell r="C104" t="str">
            <v>m³</v>
          </cell>
          <cell r="D104">
            <v>17.079999999999998</v>
          </cell>
          <cell r="E104">
            <v>0</v>
          </cell>
          <cell r="F104" t="e">
            <v>#N/A</v>
          </cell>
          <cell r="G104" t="e">
            <v>#N/A</v>
          </cell>
        </row>
        <row r="105">
          <cell r="A105">
            <v>41069</v>
          </cell>
          <cell r="B105" t="str">
            <v>Fresagem de pavimento asfáltico a frio, esp. até 15cm, exclusive transporte de materiais</v>
          </cell>
          <cell r="C105" t="str">
            <v>m²</v>
          </cell>
          <cell r="D105">
            <v>7.95</v>
          </cell>
          <cell r="E105">
            <v>0</v>
          </cell>
          <cell r="F105" t="e">
            <v>#N/A</v>
          </cell>
          <cell r="G105" t="e">
            <v>#N/A</v>
          </cell>
        </row>
        <row r="106">
          <cell r="A106">
            <v>40985</v>
          </cell>
          <cell r="B106" t="str">
            <v>Fresagem de pavimento asfáltico a frio, esp-&gt;5cm, exclusive transporte de materiais</v>
          </cell>
          <cell r="C106" t="str">
            <v>m²</v>
          </cell>
          <cell r="D106">
            <v>6.89</v>
          </cell>
          <cell r="E106">
            <v>0</v>
          </cell>
          <cell r="F106" t="e">
            <v>#N/A</v>
          </cell>
          <cell r="G106" t="e">
            <v>#N/A</v>
          </cell>
        </row>
        <row r="107">
          <cell r="A107">
            <v>40868</v>
          </cell>
          <cell r="B107" t="str">
            <v>Fresagem de pavimento asfáltico a frio, esp.-&gt;5cm inclusive transporte do material</v>
          </cell>
          <cell r="C107" t="str">
            <v>m²</v>
          </cell>
          <cell r="D107">
            <v>10.78</v>
          </cell>
          <cell r="E107">
            <v>0</v>
          </cell>
          <cell r="F107" t="e">
            <v>#N/A</v>
          </cell>
          <cell r="G107" t="e">
            <v>#N/A</v>
          </cell>
        </row>
        <row r="108">
          <cell r="A108">
            <v>40816</v>
          </cell>
          <cell r="B108" t="str">
            <v>Imprimação exclusive fornecimento e transporte comercial do material betuminoso</v>
          </cell>
          <cell r="C108" t="str">
            <v>m²</v>
          </cell>
          <cell r="D108">
            <v>0.71</v>
          </cell>
          <cell r="E108">
            <v>0</v>
          </cell>
          <cell r="F108">
            <v>0.71</v>
          </cell>
          <cell r="G108">
            <v>1</v>
          </cell>
        </row>
        <row r="109">
          <cell r="A109">
            <v>40817</v>
          </cell>
          <cell r="B109" t="str">
            <v>Imprimação inclusive fornecimento e transporte comercial do material betuminoso</v>
          </cell>
          <cell r="C109" t="str">
            <v>m²</v>
          </cell>
          <cell r="D109">
            <v>5.66</v>
          </cell>
          <cell r="E109" t="str">
            <v>A incluir</v>
          </cell>
          <cell r="F109" t="e">
            <v>#N/A</v>
          </cell>
          <cell r="G109" t="e">
            <v>#N/A</v>
          </cell>
        </row>
        <row r="110">
          <cell r="A110">
            <v>40850</v>
          </cell>
          <cell r="B110" t="str">
            <v>Lama asfáltica (faixa I - ISSA) exclusive fornecimento e transporte comercial da emulsão</v>
          </cell>
          <cell r="C110" t="str">
            <v>m²</v>
          </cell>
          <cell r="D110">
            <v>1.43</v>
          </cell>
          <cell r="E110" t="str">
            <v>A incluir</v>
          </cell>
          <cell r="F110" t="e">
            <v>#N/A</v>
          </cell>
          <cell r="G110" t="e">
            <v>#N/A</v>
          </cell>
        </row>
        <row r="111">
          <cell r="A111">
            <v>40851</v>
          </cell>
          <cell r="B111" t="str">
            <v>Lama asfáltica (faixa I - ISSA) inclusive fornecimento e transporte comercial da emulsão</v>
          </cell>
          <cell r="C111" t="str">
            <v>m²</v>
          </cell>
          <cell r="D111">
            <v>3.05</v>
          </cell>
          <cell r="E111" t="str">
            <v>A incluir</v>
          </cell>
          <cell r="F111" t="e">
            <v>#N/A</v>
          </cell>
          <cell r="G111" t="e">
            <v>#N/A</v>
          </cell>
        </row>
        <row r="112">
          <cell r="A112">
            <v>40852</v>
          </cell>
          <cell r="B112" t="str">
            <v>Lama asfáltica (faixa II - ISSA) exclusive fornecimento e transporte comercial da emulsão</v>
          </cell>
          <cell r="C112" t="str">
            <v>m²</v>
          </cell>
          <cell r="D112">
            <v>1.58</v>
          </cell>
          <cell r="E112" t="str">
            <v>A incluir</v>
          </cell>
          <cell r="F112" t="e">
            <v>#N/A</v>
          </cell>
          <cell r="G112" t="e">
            <v>#N/A</v>
          </cell>
        </row>
        <row r="113">
          <cell r="A113">
            <v>40853</v>
          </cell>
          <cell r="B113" t="str">
            <v>Lama asfáltica (faixa II - ISSA) inclusive fornecimento e transporte comercial da emulsão</v>
          </cell>
          <cell r="C113" t="str">
            <v>m²</v>
          </cell>
          <cell r="D113">
            <v>4.13</v>
          </cell>
          <cell r="E113" t="str">
            <v>A incluir</v>
          </cell>
          <cell r="F113" t="e">
            <v>#N/A</v>
          </cell>
          <cell r="G113" t="e">
            <v>#N/A</v>
          </cell>
        </row>
        <row r="114">
          <cell r="A114">
            <v>40854</v>
          </cell>
          <cell r="B114" t="str">
            <v>Lama asfáltica (faixa III - ISSA) exclusive fornecimento e transporte comercial da emulsão</v>
          </cell>
          <cell r="C114" t="str">
            <v>m²</v>
          </cell>
          <cell r="D114">
            <v>1.67</v>
          </cell>
          <cell r="E114" t="str">
            <v>A incluir</v>
          </cell>
          <cell r="F114" t="e">
            <v>#N/A</v>
          </cell>
          <cell r="G114" t="e">
            <v>#N/A</v>
          </cell>
        </row>
        <row r="115">
          <cell r="A115">
            <v>40855</v>
          </cell>
          <cell r="B115" t="str">
            <v>Lama asfáltica (faixa III - ISSA) inclusive fornecimento e transporte comercial da emulsão</v>
          </cell>
          <cell r="C115" t="str">
            <v>m²</v>
          </cell>
          <cell r="D115">
            <v>5.37</v>
          </cell>
          <cell r="E115" t="str">
            <v>A incluir</v>
          </cell>
          <cell r="F115" t="e">
            <v>#N/A</v>
          </cell>
          <cell r="G115" t="e">
            <v>#N/A</v>
          </cell>
        </row>
        <row r="116">
          <cell r="A116">
            <v>40856</v>
          </cell>
          <cell r="B116" t="str">
            <v>Lama asfáltica (faixa IV - ISSA) exclusive fornecimento e transporte comercial da emulsão</v>
          </cell>
          <cell r="C116" t="str">
            <v>m²</v>
          </cell>
          <cell r="D116">
            <v>2.0299999999999998</v>
          </cell>
          <cell r="E116" t="str">
            <v>A incluir</v>
          </cell>
          <cell r="F116" t="e">
            <v>#N/A</v>
          </cell>
          <cell r="G116" t="e">
            <v>#N/A</v>
          </cell>
        </row>
        <row r="117">
          <cell r="A117">
            <v>40857</v>
          </cell>
          <cell r="B117" t="str">
            <v>Lama asfáltica (faixa IV - ISSA) inclusive fornecimento e transporte comercial da emulsão</v>
          </cell>
          <cell r="C117" t="str">
            <v>m²</v>
          </cell>
          <cell r="D117">
            <v>7.14</v>
          </cell>
          <cell r="E117" t="str">
            <v>A incluir</v>
          </cell>
          <cell r="F117" t="e">
            <v>#N/A</v>
          </cell>
          <cell r="G117" t="e">
            <v>#N/A</v>
          </cell>
        </row>
        <row r="118">
          <cell r="A118">
            <v>40894</v>
          </cell>
          <cell r="B118" t="str">
            <v>Meio fio (assentamento), inclusive caiação</v>
          </cell>
          <cell r="C118" t="str">
            <v>m</v>
          </cell>
          <cell r="D118">
            <v>26.4</v>
          </cell>
          <cell r="E118">
            <v>0</v>
          </cell>
          <cell r="F118" t="e">
            <v>#N/A</v>
          </cell>
          <cell r="G118" t="e">
            <v>#N/A</v>
          </cell>
        </row>
        <row r="119">
          <cell r="A119">
            <v>40895</v>
          </cell>
          <cell r="B119" t="str">
            <v>Meio fio (remoção e reassentamento), inclusive caiação</v>
          </cell>
          <cell r="C119" t="str">
            <v>m</v>
          </cell>
          <cell r="D119">
            <v>46.66</v>
          </cell>
          <cell r="E119">
            <v>0</v>
          </cell>
          <cell r="F119" t="e">
            <v>#N/A</v>
          </cell>
          <cell r="G119" t="e">
            <v>#N/A</v>
          </cell>
        </row>
        <row r="120">
          <cell r="A120">
            <v>40869</v>
          </cell>
          <cell r="B120" t="str">
            <v>Micro revestimento asfáltico à frio exclusive fornecimento e transporte comercial do material betuminoso</v>
          </cell>
          <cell r="C120" t="str">
            <v>m²</v>
          </cell>
          <cell r="D120">
            <v>4.92</v>
          </cell>
          <cell r="E120" t="str">
            <v>A incluir</v>
          </cell>
          <cell r="F120" t="e">
            <v>#N/A</v>
          </cell>
          <cell r="G120" t="e">
            <v>#N/A</v>
          </cell>
        </row>
        <row r="121">
          <cell r="A121">
            <v>40881</v>
          </cell>
          <cell r="B121" t="str">
            <v>Micro revestimento asfáltico à frio exclusive fornecimento emulsão e transp. de todos os materiais</v>
          </cell>
          <cell r="C121" t="str">
            <v>m²</v>
          </cell>
          <cell r="D121">
            <v>4.92</v>
          </cell>
          <cell r="E121">
            <v>0</v>
          </cell>
          <cell r="F121" t="e">
            <v>#N/A</v>
          </cell>
          <cell r="G121" t="e">
            <v>#N/A</v>
          </cell>
        </row>
        <row r="122">
          <cell r="A122">
            <v>40870</v>
          </cell>
          <cell r="B122" t="str">
            <v>Micro revestimento asfáltico à frio inclusive fornecimento e transporte comercial do material betuminoso</v>
          </cell>
          <cell r="C122" t="str">
            <v>m²</v>
          </cell>
          <cell r="D122">
            <v>11.92</v>
          </cell>
          <cell r="E122" t="str">
            <v>A incluir</v>
          </cell>
          <cell r="F122" t="e">
            <v>#N/A</v>
          </cell>
          <cell r="G122" t="e">
            <v>#N/A</v>
          </cell>
        </row>
        <row r="123">
          <cell r="A123">
            <v>40860</v>
          </cell>
          <cell r="B123" t="str">
            <v>Obturação de buracos c/ CBUQ exclusive fornecimento e transporte comercial dos materiais betuminosos</v>
          </cell>
          <cell r="C123" t="str">
            <v>m²</v>
          </cell>
          <cell r="D123">
            <v>38.92</v>
          </cell>
          <cell r="E123" t="str">
            <v>A incluir</v>
          </cell>
          <cell r="F123" t="e">
            <v>#N/A</v>
          </cell>
          <cell r="G123" t="e">
            <v>#N/A</v>
          </cell>
        </row>
        <row r="124">
          <cell r="A124">
            <v>40864</v>
          </cell>
          <cell r="B124" t="str">
            <v>Obturação de buracos c/ CBUQ exclusive fornecimento e transporte dos materiais betuminosos</v>
          </cell>
          <cell r="C124" t="str">
            <v>t</v>
          </cell>
          <cell r="D124">
            <v>399.8</v>
          </cell>
          <cell r="E124" t="str">
            <v>A incluir</v>
          </cell>
          <cell r="F124" t="e">
            <v>#N/A</v>
          </cell>
          <cell r="G124" t="e">
            <v>#N/A</v>
          </cell>
        </row>
        <row r="125">
          <cell r="A125">
            <v>40861</v>
          </cell>
          <cell r="B125" t="str">
            <v>Obturação de buracos c/ CBUQ inclusive fornecimento e transporte comercial dos materiais betuminosos</v>
          </cell>
          <cell r="C125" t="str">
            <v>m²</v>
          </cell>
          <cell r="D125">
            <v>60.07</v>
          </cell>
          <cell r="E125" t="str">
            <v>A incluir</v>
          </cell>
          <cell r="F125" t="e">
            <v>#N/A</v>
          </cell>
          <cell r="G125" t="e">
            <v>#N/A</v>
          </cell>
        </row>
        <row r="126">
          <cell r="A126">
            <v>40865</v>
          </cell>
          <cell r="B126" t="str">
            <v>Obturação de buracos c/ CBUQ inclusive fornecimento e transporte dos materiais betuminosos</v>
          </cell>
          <cell r="C126" t="str">
            <v>t</v>
          </cell>
          <cell r="D126">
            <v>597.92999999999995</v>
          </cell>
          <cell r="E126" t="str">
            <v>A incluir</v>
          </cell>
          <cell r="F126" t="e">
            <v>#N/A</v>
          </cell>
          <cell r="G126" t="e">
            <v>#N/A</v>
          </cell>
        </row>
        <row r="127">
          <cell r="A127">
            <v>40880</v>
          </cell>
          <cell r="B127" t="str">
            <v>Obturação de buracos c/ CBUQ-faixa "C", exclusive forn.do CAP e transporte de todos os materiais</v>
          </cell>
          <cell r="C127" t="str">
            <v>m²</v>
          </cell>
          <cell r="D127">
            <v>42.88</v>
          </cell>
          <cell r="E127">
            <v>0</v>
          </cell>
          <cell r="F127" t="e">
            <v>#N/A</v>
          </cell>
          <cell r="G127" t="e">
            <v>#N/A</v>
          </cell>
        </row>
        <row r="128">
          <cell r="A128">
            <v>40858</v>
          </cell>
          <cell r="B128" t="str">
            <v>Obturação de buracos c/ PMF exclusive fornecimento e transporte comercial da emulsão</v>
          </cell>
          <cell r="C128" t="str">
            <v>m²</v>
          </cell>
          <cell r="D128">
            <v>35.590000000000003</v>
          </cell>
          <cell r="E128" t="str">
            <v>A incluir</v>
          </cell>
          <cell r="F128" t="e">
            <v>#N/A</v>
          </cell>
          <cell r="G128" t="e">
            <v>#N/A</v>
          </cell>
        </row>
        <row r="129">
          <cell r="A129">
            <v>40862</v>
          </cell>
          <cell r="B129" t="str">
            <v>Obturação de buracos c/ PMF exclusive fornecimento e transporte dos materiais betuminosos</v>
          </cell>
          <cell r="C129" t="str">
            <v>t</v>
          </cell>
          <cell r="D129">
            <v>365.08</v>
          </cell>
          <cell r="E129" t="str">
            <v>A incluir</v>
          </cell>
          <cell r="F129" t="e">
            <v>#N/A</v>
          </cell>
          <cell r="G129" t="e">
            <v>#N/A</v>
          </cell>
        </row>
        <row r="130">
          <cell r="A130">
            <v>40859</v>
          </cell>
          <cell r="B130" t="str">
            <v>Obturação de buracos c/ PMF inclusive fornecimento e transporte comercial da emulsão</v>
          </cell>
          <cell r="C130" t="str">
            <v>m²</v>
          </cell>
          <cell r="D130">
            <v>53.67</v>
          </cell>
          <cell r="E130" t="str">
            <v>A incluir</v>
          </cell>
          <cell r="F130" t="e">
            <v>#N/A</v>
          </cell>
          <cell r="G130" t="e">
            <v>#N/A</v>
          </cell>
        </row>
        <row r="131">
          <cell r="A131">
            <v>40863</v>
          </cell>
          <cell r="B131" t="str">
            <v>Obturação de buracos c/ PMF inclusive fornecimento e transporte dos materiais betuminosos</v>
          </cell>
          <cell r="C131" t="str">
            <v>t</v>
          </cell>
          <cell r="D131">
            <v>556.5</v>
          </cell>
          <cell r="E131" t="str">
            <v>A incluir</v>
          </cell>
          <cell r="F131" t="e">
            <v>#N/A</v>
          </cell>
          <cell r="G131" t="e">
            <v>#N/A</v>
          </cell>
        </row>
        <row r="132">
          <cell r="A132">
            <v>40883</v>
          </cell>
          <cell r="B132" t="str">
            <v>Pavimentação com blocos de concreto (35 MPa), esp.-&gt; 06 cm, sobre colchão areia esp.-&gt; 5 cm, inclusive fornecimento e transporte dos blocos e areia</v>
          </cell>
          <cell r="C132" t="str">
            <v>m²</v>
          </cell>
          <cell r="D132">
            <v>69.39</v>
          </cell>
          <cell r="E132" t="str">
            <v>A incluir</v>
          </cell>
          <cell r="F132" t="e">
            <v>#N/A</v>
          </cell>
          <cell r="G132" t="e">
            <v>#N/A</v>
          </cell>
        </row>
        <row r="133">
          <cell r="A133">
            <v>40885</v>
          </cell>
          <cell r="B133" t="str">
            <v>Pavimentação com blocos de concreto (35 MPa), esp. -&gt; 10 cm, sobre colchão areia esp.-&gt; 5cm, inclusive fornecimento e transporte dos blocos e areia</v>
          </cell>
          <cell r="C133" t="str">
            <v>m²</v>
          </cell>
          <cell r="D133">
            <v>91.99</v>
          </cell>
          <cell r="E133" t="str">
            <v>A incluir</v>
          </cell>
          <cell r="F133" t="e">
            <v>#N/A</v>
          </cell>
          <cell r="G133" t="e">
            <v>#N/A</v>
          </cell>
        </row>
        <row r="134">
          <cell r="A134">
            <v>40897</v>
          </cell>
          <cell r="B134" t="str">
            <v>Pavimentação com blocos de concreto (35 MPa), esp.-&gt; 06cm, sobre colchão areia esp.-&gt;5cm, inclusive fornecim. do bloco e areia, exclus. transp.materiais</v>
          </cell>
          <cell r="C134" t="str">
            <v>m²</v>
          </cell>
          <cell r="D134">
            <v>69.39</v>
          </cell>
          <cell r="E134">
            <v>0</v>
          </cell>
          <cell r="F134" t="e">
            <v>#N/A</v>
          </cell>
          <cell r="G134" t="e">
            <v>#N/A</v>
          </cell>
        </row>
        <row r="135">
          <cell r="A135">
            <v>40884</v>
          </cell>
          <cell r="B135" t="str">
            <v>Pavimentação com blocos de concreto (35 MPa), esp.-&gt; 08 cm, colchão areia esp.-&gt; 5cm, inclusive fornecimento e transporte dos blocos e areia</v>
          </cell>
          <cell r="C135" t="str">
            <v>m²</v>
          </cell>
          <cell r="D135">
            <v>76.23</v>
          </cell>
          <cell r="E135" t="str">
            <v>A incluir</v>
          </cell>
          <cell r="F135" t="e">
            <v>#N/A</v>
          </cell>
          <cell r="G135" t="e">
            <v>#N/A</v>
          </cell>
        </row>
        <row r="136">
          <cell r="A136">
            <v>40898</v>
          </cell>
          <cell r="B136" t="str">
            <v>Pavimentação com blocos de concreto (35 MPa) esp.-&gt;08 cm,colchão areia esp.-&gt;5cm, inclusive fornecim. do bloco e areia, exclusive transp. blocos e areia</v>
          </cell>
          <cell r="C136" t="str">
            <v>m²</v>
          </cell>
          <cell r="D136">
            <v>76.23</v>
          </cell>
          <cell r="E136">
            <v>0</v>
          </cell>
          <cell r="F136" t="e">
            <v>#N/A</v>
          </cell>
          <cell r="G136" t="e">
            <v>#N/A</v>
          </cell>
        </row>
        <row r="137">
          <cell r="A137">
            <v>40896</v>
          </cell>
          <cell r="B137" t="str">
            <v>Pavimentação com blocos de concreto (35MPa), esp.-&gt;10 cm, sobre colchão de areia esp.-&gt;5cm, inclusive fornecim. do bloco e areia , exclusive transportes</v>
          </cell>
          <cell r="C137" t="str">
            <v>m²</v>
          </cell>
          <cell r="D137">
            <v>91.99</v>
          </cell>
          <cell r="E137">
            <v>0</v>
          </cell>
          <cell r="F137" t="e">
            <v>#N/A</v>
          </cell>
          <cell r="G137" t="e">
            <v>#N/A</v>
          </cell>
        </row>
        <row r="138">
          <cell r="A138">
            <v>40886</v>
          </cell>
          <cell r="B138" t="str">
            <v>Pavimentação com paralelepípedo, sobre colchão areia esp.-&gt; 5cm, inclus. fornecimento e transport. da areia, exclus. fornecim. e transp. paralelepípedo</v>
          </cell>
          <cell r="C138" t="str">
            <v>m²</v>
          </cell>
          <cell r="D138">
            <v>30.61</v>
          </cell>
          <cell r="E138" t="str">
            <v>A incluir</v>
          </cell>
          <cell r="F138" t="e">
            <v>#N/A</v>
          </cell>
          <cell r="G138" t="e">
            <v>#N/A</v>
          </cell>
        </row>
        <row r="139">
          <cell r="A139">
            <v>40887</v>
          </cell>
          <cell r="B139" t="str">
            <v>Pavimentação com paralelepípedo, sobre colchão areia esp.-&gt; 5cm, inclusive fornecimento e transporte do paralelepípedo e areia</v>
          </cell>
          <cell r="C139" t="str">
            <v>m²</v>
          </cell>
          <cell r="D139">
            <v>88.95</v>
          </cell>
          <cell r="E139" t="str">
            <v>A incluir</v>
          </cell>
          <cell r="F139" t="e">
            <v>#N/A</v>
          </cell>
          <cell r="G139" t="e">
            <v>#N/A</v>
          </cell>
        </row>
        <row r="140">
          <cell r="A140">
            <v>40888</v>
          </cell>
          <cell r="B140" t="str">
            <v>Pavimentação com paralelepípedo, sobre colchão pó de pedra esp.-&gt; 5cm, inclusive fornecimento e transporte do paralelepípedo e pó de pedra</v>
          </cell>
          <cell r="C140" t="str">
            <v>m²</v>
          </cell>
          <cell r="D140">
            <v>87.05</v>
          </cell>
          <cell r="E140" t="str">
            <v>A incluir</v>
          </cell>
          <cell r="F140" t="e">
            <v>#N/A</v>
          </cell>
          <cell r="G140" t="e">
            <v>#N/A</v>
          </cell>
        </row>
        <row r="141">
          <cell r="A141">
            <v>40889</v>
          </cell>
          <cell r="B141" t="str">
            <v>Pavimentação com pedra portuguesa, inclusive fornecimento e transporte da pedra portuguesa, cimento e areia</v>
          </cell>
          <cell r="C141" t="str">
            <v>m²</v>
          </cell>
          <cell r="D141">
            <v>114.67</v>
          </cell>
          <cell r="E141" t="str">
            <v>A incluir</v>
          </cell>
          <cell r="F141">
            <v>120.48</v>
          </cell>
          <cell r="G141">
            <v>1.0506671317694301</v>
          </cell>
        </row>
        <row r="142">
          <cell r="A142">
            <v>40818</v>
          </cell>
          <cell r="B142" t="str">
            <v>Pintura de ligação exclusive fornecimento e transporte comercial do material betuminoso</v>
          </cell>
          <cell r="C142" t="str">
            <v>m²</v>
          </cell>
          <cell r="D142">
            <v>0.57999999999999996</v>
          </cell>
          <cell r="E142">
            <v>0</v>
          </cell>
          <cell r="F142" t="e">
            <v>#N/A</v>
          </cell>
          <cell r="G142" t="e">
            <v>#N/A</v>
          </cell>
        </row>
        <row r="143">
          <cell r="A143">
            <v>40819</v>
          </cell>
          <cell r="B143" t="str">
            <v>Pintura de ligação inclusive fornecimento e transporte comercial do material betuminoso</v>
          </cell>
          <cell r="C143" t="str">
            <v>m²</v>
          </cell>
          <cell r="D143">
            <v>1.82</v>
          </cell>
          <cell r="E143" t="str">
            <v>A incluir</v>
          </cell>
          <cell r="F143" t="e">
            <v>#N/A</v>
          </cell>
          <cell r="G143" t="e">
            <v>#N/A</v>
          </cell>
        </row>
        <row r="144">
          <cell r="A144">
            <v>40872</v>
          </cell>
          <cell r="B144" t="str">
            <v>PMF camada pronta exclusive fornecimento e transporte comercial da emulsão</v>
          </cell>
          <cell r="C144" t="str">
            <v>t</v>
          </cell>
          <cell r="D144">
            <v>66.790000000000006</v>
          </cell>
          <cell r="E144" t="str">
            <v>A incluir</v>
          </cell>
          <cell r="F144" t="e">
            <v>#N/A</v>
          </cell>
          <cell r="G144" t="e">
            <v>#N/A</v>
          </cell>
        </row>
        <row r="145">
          <cell r="A145">
            <v>40836</v>
          </cell>
          <cell r="B145" t="str">
            <v>PMF (massa asfáltica) exclusive fornecimento e transporte comercial da emulsão</v>
          </cell>
          <cell r="C145" t="str">
            <v>t</v>
          </cell>
          <cell r="D145">
            <v>48.63</v>
          </cell>
          <cell r="E145" t="str">
            <v>A incluir</v>
          </cell>
          <cell r="F145" t="e">
            <v>#N/A</v>
          </cell>
          <cell r="G145" t="e">
            <v>#N/A</v>
          </cell>
        </row>
        <row r="146">
          <cell r="A146">
            <v>40837</v>
          </cell>
          <cell r="B146" t="str">
            <v>PMF (massa asfáltica) inclusive fornecimento e transporte comercial da emulsão</v>
          </cell>
          <cell r="C146" t="str">
            <v>t</v>
          </cell>
          <cell r="D146">
            <v>215</v>
          </cell>
          <cell r="E146" t="str">
            <v>A incluir</v>
          </cell>
          <cell r="F146" t="e">
            <v>#N/A</v>
          </cell>
          <cell r="G146" t="e">
            <v>#N/A</v>
          </cell>
        </row>
        <row r="147">
          <cell r="A147">
            <v>41076</v>
          </cell>
          <cell r="B147" t="str">
            <v>Pó de pedra, fornecimento</v>
          </cell>
          <cell r="C147" t="str">
            <v>m³</v>
          </cell>
          <cell r="D147">
            <v>51.08</v>
          </cell>
          <cell r="E147">
            <v>0</v>
          </cell>
          <cell r="F147" t="e">
            <v>#N/A</v>
          </cell>
          <cell r="G147" t="e">
            <v>#N/A</v>
          </cell>
        </row>
        <row r="148">
          <cell r="A148">
            <v>41556</v>
          </cell>
          <cell r="B148" t="str">
            <v>Pó de pedra, fornecimento e espalhamento</v>
          </cell>
          <cell r="C148" t="str">
            <v>m³</v>
          </cell>
          <cell r="D148">
            <v>54.78</v>
          </cell>
          <cell r="E148" t="str">
            <v>A incluir</v>
          </cell>
          <cell r="F148">
            <v>117.67</v>
          </cell>
          <cell r="G148">
            <v>2.1480467323840799</v>
          </cell>
        </row>
        <row r="149">
          <cell r="A149">
            <v>43345</v>
          </cell>
          <cell r="B149" t="str">
            <v>Produção de brita no canteiro, exclusive o desmonte e fragmentação de rocha</v>
          </cell>
          <cell r="C149" t="str">
            <v>m³</v>
          </cell>
          <cell r="D149">
            <v>24.9</v>
          </cell>
          <cell r="E149">
            <v>0</v>
          </cell>
          <cell r="F149" t="e">
            <v>#N/A</v>
          </cell>
          <cell r="G149" t="e">
            <v>#N/A</v>
          </cell>
        </row>
        <row r="150">
          <cell r="A150">
            <v>40720</v>
          </cell>
          <cell r="B150" t="str">
            <v>Produção de brita no canteiro, inclusive o desmonte e fragmentação de rocha</v>
          </cell>
          <cell r="C150" t="str">
            <v>m³</v>
          </cell>
          <cell r="D150">
            <v>63.35</v>
          </cell>
          <cell r="E150">
            <v>0</v>
          </cell>
          <cell r="F150" t="e">
            <v>#N/A</v>
          </cell>
          <cell r="G150" t="e">
            <v>#N/A</v>
          </cell>
        </row>
        <row r="151">
          <cell r="A151">
            <v>41070</v>
          </cell>
          <cell r="B151" t="str">
            <v>Reciclagem de pavimento (base) c/ adição de 20% de brita1, 10% de brita 0 e 2% de cimento, inclusive fornecimento e transportes dos materiais</v>
          </cell>
          <cell r="C151" t="str">
            <v>m³</v>
          </cell>
          <cell r="D151">
            <v>89.89</v>
          </cell>
          <cell r="E151" t="str">
            <v>A incluir</v>
          </cell>
          <cell r="F151" t="e">
            <v>#N/A</v>
          </cell>
          <cell r="G151" t="e">
            <v>#N/A</v>
          </cell>
        </row>
        <row r="152">
          <cell r="A152">
            <v>41134</v>
          </cell>
          <cell r="B152" t="str">
            <v>Reciclagem de pavimento (base) c/ adição de 20% de brita1, 10% de brita0 e 2% de cimento, inclusive fornecimento e transportes dos materiais</v>
          </cell>
          <cell r="C152" t="str">
            <v>m³</v>
          </cell>
          <cell r="D152">
            <v>91.51</v>
          </cell>
          <cell r="E152" t="str">
            <v>A incluir</v>
          </cell>
          <cell r="F152" t="e">
            <v>#N/A</v>
          </cell>
          <cell r="G152" t="e">
            <v>#N/A</v>
          </cell>
        </row>
        <row r="153">
          <cell r="A153">
            <v>40984</v>
          </cell>
          <cell r="B153" t="str">
            <v>Reciclagem de pavimento (Base existente + CBUQ) sem adição de materiais</v>
          </cell>
          <cell r="C153" t="str">
            <v>m³</v>
          </cell>
          <cell r="D153">
            <v>40.299999999999997</v>
          </cell>
          <cell r="E153">
            <v>0</v>
          </cell>
          <cell r="F153" t="e">
            <v>#N/A</v>
          </cell>
          <cell r="G153" t="e">
            <v>#N/A</v>
          </cell>
        </row>
        <row r="154">
          <cell r="A154">
            <v>41330</v>
          </cell>
          <cell r="B154" t="str">
            <v>Reciclagem de pavimento (base existente + T.S.D.) c/ adição de 3% de cimento e 15% de brita, inclusive fornecimento e transporte dos materiais</v>
          </cell>
          <cell r="C154" t="str">
            <v>m³</v>
          </cell>
          <cell r="D154">
            <v>76.3</v>
          </cell>
          <cell r="E154" t="str">
            <v>A incluir</v>
          </cell>
          <cell r="F154" t="e">
            <v>#N/A</v>
          </cell>
          <cell r="G154" t="e">
            <v>#N/A</v>
          </cell>
        </row>
        <row r="155">
          <cell r="A155">
            <v>41356</v>
          </cell>
          <cell r="B155" t="str">
            <v>Reciclagem de pavimento (Base existente + T.S.D.) c/ adição de 30% de brita, inclusive fornecimento e transporte da brita</v>
          </cell>
          <cell r="C155" t="str">
            <v>m³</v>
          </cell>
          <cell r="D155">
            <v>88.97</v>
          </cell>
          <cell r="E155" t="str">
            <v>A incluir</v>
          </cell>
          <cell r="F155" t="e">
            <v>#N/A</v>
          </cell>
          <cell r="G155" t="e">
            <v>#N/A</v>
          </cell>
        </row>
        <row r="156">
          <cell r="A156">
            <v>40774</v>
          </cell>
          <cell r="B156" t="str">
            <v>Reciclagem de pavimento (Base existente + T.S.D.) c/ adição de 30% de brita, inclusive fornecimento, exclusive transporte da brita</v>
          </cell>
          <cell r="C156" t="str">
            <v>m³</v>
          </cell>
          <cell r="D156">
            <v>88.97</v>
          </cell>
          <cell r="E156">
            <v>0</v>
          </cell>
          <cell r="F156" t="e">
            <v>#N/A</v>
          </cell>
          <cell r="G156" t="e">
            <v>#N/A</v>
          </cell>
        </row>
        <row r="157">
          <cell r="A157">
            <v>40768</v>
          </cell>
          <cell r="B157" t="str">
            <v>Reciclagem de pavimento (Base existente + T.S.D.) com adição de 20% de brita, inclusive fornecimento e transporte da brita.</v>
          </cell>
          <cell r="C157" t="str">
            <v>m³</v>
          </cell>
          <cell r="D157">
            <v>78.98</v>
          </cell>
          <cell r="E157" t="str">
            <v>A incluir</v>
          </cell>
          <cell r="F157" t="e">
            <v>#N/A</v>
          </cell>
          <cell r="G157" t="e">
            <v>#N/A</v>
          </cell>
        </row>
        <row r="158">
          <cell r="A158">
            <v>40767</v>
          </cell>
          <cell r="B158" t="str">
            <v>Reciclagem de pavimento (Base existente + T.S.D.) com adição de 3% de cimento, inclusive fornecimento e tarnsporte do cimento</v>
          </cell>
          <cell r="C158" t="str">
            <v>m³</v>
          </cell>
          <cell r="D158">
            <v>80.83</v>
          </cell>
          <cell r="E158" t="str">
            <v>A incluir</v>
          </cell>
          <cell r="F158" t="e">
            <v>#N/A</v>
          </cell>
          <cell r="G158" t="e">
            <v>#N/A</v>
          </cell>
        </row>
        <row r="159">
          <cell r="A159">
            <v>40769</v>
          </cell>
          <cell r="B159" t="str">
            <v>Reciclagem de pavimento (Base existente + T.S.D.) com adição de 40% de brita, inclusive fornecimento e transporte da brita.</v>
          </cell>
          <cell r="C159" t="str">
            <v>m³</v>
          </cell>
          <cell r="D159">
            <v>98.98</v>
          </cell>
          <cell r="E159" t="str">
            <v>A incluir</v>
          </cell>
          <cell r="F159" t="e">
            <v>#N/A</v>
          </cell>
          <cell r="G159" t="e">
            <v>#N/A</v>
          </cell>
        </row>
        <row r="160">
          <cell r="A160">
            <v>40766</v>
          </cell>
          <cell r="B160" t="str">
            <v>Reciclagem de pavimento (Base existente + T.S.D.) sem adição de materiais</v>
          </cell>
          <cell r="C160" t="str">
            <v>m³</v>
          </cell>
          <cell r="D160">
            <v>43.97</v>
          </cell>
          <cell r="E160">
            <v>0</v>
          </cell>
          <cell r="F160" t="e">
            <v>#N/A</v>
          </cell>
          <cell r="G160" t="e">
            <v>#N/A</v>
          </cell>
        </row>
        <row r="161">
          <cell r="A161">
            <v>40771</v>
          </cell>
          <cell r="B161" t="str">
            <v>Reciclagem de pavimento (Base existente+TSD) com adição de Ligante Betuminoso, inclusive fornecimento e transporte da emulsão</v>
          </cell>
          <cell r="C161" t="str">
            <v>m³</v>
          </cell>
          <cell r="D161">
            <v>180.91</v>
          </cell>
          <cell r="E161" t="str">
            <v>A incluir</v>
          </cell>
          <cell r="F161" t="e">
            <v>#N/A</v>
          </cell>
          <cell r="G161" t="e">
            <v>#N/A</v>
          </cell>
        </row>
        <row r="162">
          <cell r="A162">
            <v>40773</v>
          </cell>
          <cell r="B162" t="str">
            <v>Reciclagem de pavimento com adição de 2% de cimento, inclusive fornecimento e transporte do cimento</v>
          </cell>
          <cell r="C162" t="str">
            <v>m³</v>
          </cell>
          <cell r="D162">
            <v>68.39</v>
          </cell>
          <cell r="E162" t="str">
            <v>A incluir</v>
          </cell>
          <cell r="F162" t="e">
            <v>#N/A</v>
          </cell>
          <cell r="G162" t="e">
            <v>#N/A</v>
          </cell>
        </row>
        <row r="163">
          <cell r="A163">
            <v>40775</v>
          </cell>
          <cell r="B163" t="str">
            <v>Reciclagem de pavimento(Base existente + T.S.D.) com adição de 40% de brita, inclusive fornecimento, exclusive transporte da brita</v>
          </cell>
          <cell r="C163" t="str">
            <v>m³</v>
          </cell>
          <cell r="D163">
            <v>98.98</v>
          </cell>
          <cell r="E163">
            <v>0</v>
          </cell>
          <cell r="F163" t="e">
            <v>#N/A</v>
          </cell>
          <cell r="G163" t="e">
            <v>#N/A</v>
          </cell>
        </row>
        <row r="164">
          <cell r="A164">
            <v>40762</v>
          </cell>
          <cell r="B164" t="str">
            <v>Recuperação de base de acostamento exclusive transporte do material (solo)</v>
          </cell>
          <cell r="C164" t="str">
            <v>m²</v>
          </cell>
          <cell r="D164">
            <v>5.0999999999999996</v>
          </cell>
          <cell r="E164">
            <v>0</v>
          </cell>
          <cell r="F164" t="e">
            <v>#N/A</v>
          </cell>
          <cell r="G164" t="e">
            <v>#N/A</v>
          </cell>
        </row>
        <row r="165">
          <cell r="A165">
            <v>40804</v>
          </cell>
          <cell r="B165" t="str">
            <v>Recuperação de base de acostamentos, inclusive fornecimento e transporte da brita</v>
          </cell>
          <cell r="C165" t="str">
            <v>m²</v>
          </cell>
          <cell r="D165">
            <v>9.0399999999999991</v>
          </cell>
          <cell r="E165" t="str">
            <v>A incluir</v>
          </cell>
          <cell r="F165" t="e">
            <v>#N/A</v>
          </cell>
          <cell r="G165" t="e">
            <v>#N/A</v>
          </cell>
        </row>
        <row r="166">
          <cell r="A166">
            <v>40811</v>
          </cell>
          <cell r="B166" t="str">
            <v>Reestabilização da base com adição de 50% de brita, inclusive fonecimento, exclusive transporte da brita</v>
          </cell>
          <cell r="C166" t="str">
            <v>m³</v>
          </cell>
          <cell r="D166">
            <v>65.39</v>
          </cell>
          <cell r="E166">
            <v>0</v>
          </cell>
          <cell r="F166" t="e">
            <v>#N/A</v>
          </cell>
          <cell r="G166" t="e">
            <v>#N/A</v>
          </cell>
        </row>
        <row r="167">
          <cell r="A167">
            <v>42211</v>
          </cell>
          <cell r="B167" t="str">
            <v>Reestabilização de base com adição de 50% de brita, inclusive fornecimento e transporte da brita</v>
          </cell>
          <cell r="C167" t="str">
            <v>m³</v>
          </cell>
          <cell r="D167">
            <v>65.39</v>
          </cell>
          <cell r="E167" t="str">
            <v>A incluir</v>
          </cell>
          <cell r="F167" t="e">
            <v>#N/A</v>
          </cell>
          <cell r="G167" t="e">
            <v>#N/A</v>
          </cell>
        </row>
        <row r="168">
          <cell r="A168">
            <v>40756</v>
          </cell>
          <cell r="B168" t="str">
            <v>Reforço do sub leito 100% P.I.</v>
          </cell>
          <cell r="C168" t="str">
            <v>m³</v>
          </cell>
          <cell r="D168">
            <v>13.53</v>
          </cell>
          <cell r="E168">
            <v>0</v>
          </cell>
          <cell r="F168" t="e">
            <v>#N/A</v>
          </cell>
          <cell r="G168" t="e">
            <v>#N/A</v>
          </cell>
        </row>
        <row r="169">
          <cell r="A169">
            <v>40753</v>
          </cell>
          <cell r="B169" t="str">
            <v>Regularização e compactação do sub-leito (100% P.I.) H -&gt; 0,15 m</v>
          </cell>
          <cell r="C169" t="str">
            <v>m²</v>
          </cell>
          <cell r="D169">
            <v>3.03</v>
          </cell>
          <cell r="E169">
            <v>0</v>
          </cell>
          <cell r="F169">
            <v>3.03</v>
          </cell>
          <cell r="G169">
            <v>1</v>
          </cell>
        </row>
        <row r="170">
          <cell r="A170">
            <v>40754</v>
          </cell>
          <cell r="B170" t="str">
            <v>Regularização e compactação do sub-leito (100% P.I.) H -&gt; 0,20 m</v>
          </cell>
          <cell r="C170" t="str">
            <v>m²</v>
          </cell>
          <cell r="D170">
            <v>4.04</v>
          </cell>
          <cell r="E170">
            <v>0</v>
          </cell>
          <cell r="F170" t="e">
            <v>#N/A</v>
          </cell>
          <cell r="G170" t="e">
            <v>#N/A</v>
          </cell>
        </row>
        <row r="171">
          <cell r="A171">
            <v>40751</v>
          </cell>
          <cell r="B171" t="str">
            <v>Regularização e compactação do sub-leito (100% P.N.) H -&gt; 0,15m</v>
          </cell>
          <cell r="C171" t="str">
            <v>m²</v>
          </cell>
          <cell r="D171">
            <v>2.72</v>
          </cell>
          <cell r="E171">
            <v>0</v>
          </cell>
          <cell r="F171" t="e">
            <v>#N/A</v>
          </cell>
          <cell r="G171" t="e">
            <v>#N/A</v>
          </cell>
        </row>
        <row r="172">
          <cell r="A172">
            <v>40752</v>
          </cell>
          <cell r="B172" t="str">
            <v>Regularização e compactação do sub-leito (100% P.N.) H -&gt; 0,20 m</v>
          </cell>
          <cell r="C172" t="str">
            <v>m²</v>
          </cell>
          <cell r="D172">
            <v>3.64</v>
          </cell>
          <cell r="E172">
            <v>0</v>
          </cell>
          <cell r="F172" t="e">
            <v>#N/A</v>
          </cell>
          <cell r="G172" t="e">
            <v>#N/A</v>
          </cell>
        </row>
        <row r="173">
          <cell r="A173">
            <v>40866</v>
          </cell>
          <cell r="B173" t="str">
            <v>Remoção de capa asfáltica em TSS, TSD, ou TST exclusive transporte</v>
          </cell>
          <cell r="C173" t="str">
            <v>m²</v>
          </cell>
          <cell r="D173">
            <v>0.7</v>
          </cell>
          <cell r="E173">
            <v>0</v>
          </cell>
          <cell r="F173" t="e">
            <v>#N/A</v>
          </cell>
          <cell r="G173" t="e">
            <v>#N/A</v>
          </cell>
        </row>
        <row r="174">
          <cell r="A174">
            <v>40893</v>
          </cell>
          <cell r="B174" t="str">
            <v>Remoção de meio fio</v>
          </cell>
          <cell r="C174" t="str">
            <v>m</v>
          </cell>
          <cell r="D174">
            <v>20.260000000000002</v>
          </cell>
          <cell r="E174">
            <v>0</v>
          </cell>
          <cell r="F174" t="e">
            <v>#N/A</v>
          </cell>
          <cell r="G174" t="e">
            <v>#N/A</v>
          </cell>
        </row>
        <row r="175">
          <cell r="A175">
            <v>40891</v>
          </cell>
          <cell r="B175" t="str">
            <v>Remoção de pavimentação poliédrica</v>
          </cell>
          <cell r="C175" t="str">
            <v>m²</v>
          </cell>
          <cell r="D175">
            <v>16.420000000000002</v>
          </cell>
          <cell r="E175">
            <v>0</v>
          </cell>
          <cell r="F175" t="e">
            <v>#N/A</v>
          </cell>
          <cell r="G175" t="e">
            <v>#N/A</v>
          </cell>
        </row>
        <row r="176">
          <cell r="A176">
            <v>40890</v>
          </cell>
          <cell r="B176" t="str">
            <v>Remoção e reassentamento de blocos de concreto, inclusive perdas</v>
          </cell>
          <cell r="C176" t="str">
            <v>m²</v>
          </cell>
          <cell r="D176">
            <v>58.41</v>
          </cell>
          <cell r="E176" t="str">
            <v>A incluir</v>
          </cell>
          <cell r="F176" t="e">
            <v>#N/A</v>
          </cell>
          <cell r="G176" t="e">
            <v>#N/A</v>
          </cell>
        </row>
        <row r="177">
          <cell r="A177">
            <v>40892</v>
          </cell>
          <cell r="B177" t="str">
            <v>Remoção e reassentamento de paralelepípedos, inclusive perdas, colchão de areia e transportes de areia e paralelepípedo</v>
          </cell>
          <cell r="C177" t="str">
            <v>m²</v>
          </cell>
          <cell r="D177">
            <v>58.11</v>
          </cell>
          <cell r="E177" t="str">
            <v>A incluir</v>
          </cell>
          <cell r="F177" t="e">
            <v>#N/A</v>
          </cell>
          <cell r="G177" t="e">
            <v>#N/A</v>
          </cell>
        </row>
        <row r="178">
          <cell r="A178">
            <v>40749</v>
          </cell>
          <cell r="B178" t="str">
            <v>Revestimento em estradas vicinais (saibro)</v>
          </cell>
          <cell r="C178" t="str">
            <v>m²</v>
          </cell>
          <cell r="D178">
            <v>0.14000000000000001</v>
          </cell>
          <cell r="E178">
            <v>0</v>
          </cell>
          <cell r="F178" t="e">
            <v>#N/A</v>
          </cell>
          <cell r="G178" t="e">
            <v>#N/A</v>
          </cell>
        </row>
        <row r="179">
          <cell r="A179">
            <v>40750</v>
          </cell>
          <cell r="B179" t="str">
            <v>Revestimento primário, espalhamento e compactação (espessura até 0,15m)</v>
          </cell>
          <cell r="C179" t="str">
            <v>m²</v>
          </cell>
          <cell r="D179">
            <v>0.66</v>
          </cell>
          <cell r="E179">
            <v>0</v>
          </cell>
          <cell r="F179" t="e">
            <v>#N/A</v>
          </cell>
          <cell r="G179" t="e">
            <v>#N/A</v>
          </cell>
        </row>
        <row r="180">
          <cell r="A180">
            <v>40792</v>
          </cell>
          <cell r="B180" t="str">
            <v>Sub-base c/ mistura de argila 30%, pó de pedra 30% e brita 40%, inclusive fornecimento e transporte do pó de pedra e da brita</v>
          </cell>
          <cell r="C180" t="str">
            <v>m³</v>
          </cell>
          <cell r="D180">
            <v>80.3</v>
          </cell>
          <cell r="E180" t="str">
            <v>A incluir</v>
          </cell>
          <cell r="F180" t="e">
            <v>#N/A</v>
          </cell>
          <cell r="G180" t="e">
            <v>#N/A</v>
          </cell>
        </row>
        <row r="181">
          <cell r="A181">
            <v>40794</v>
          </cell>
          <cell r="B181" t="str">
            <v>Sub-base c/ mistura de solo 80% e areia 20%, inclusive transporte da areia</v>
          </cell>
          <cell r="C181" t="str">
            <v>m³</v>
          </cell>
          <cell r="D181">
            <v>40.49</v>
          </cell>
          <cell r="E181" t="str">
            <v>A incluir</v>
          </cell>
          <cell r="F181" t="e">
            <v>#N/A</v>
          </cell>
          <cell r="G181" t="e">
            <v>#N/A</v>
          </cell>
        </row>
        <row r="182">
          <cell r="A182">
            <v>40796</v>
          </cell>
          <cell r="B182" t="str">
            <v>Sub-base com mistura de argila 70% e escória de aciaria 30%, inclusive fornecim. e transporte da escória, exceto fornecimento e transporte da argila</v>
          </cell>
          <cell r="C182" t="str">
            <v>m³</v>
          </cell>
          <cell r="D182">
            <v>40.369999999999997</v>
          </cell>
          <cell r="E182" t="str">
            <v>A incluir</v>
          </cell>
          <cell r="F182" t="e">
            <v>#N/A</v>
          </cell>
          <cell r="G182" t="e">
            <v>#N/A</v>
          </cell>
        </row>
        <row r="183">
          <cell r="A183">
            <v>41098</v>
          </cell>
          <cell r="B183" t="str">
            <v>Sub-base com solo/escória na proporção 70:30, inclusive fornecimento da escória, exceto fornecimento do solo e transporte do solo e escória</v>
          </cell>
          <cell r="C183" t="str">
            <v>m³</v>
          </cell>
          <cell r="D183">
            <v>40.369999999999997</v>
          </cell>
          <cell r="E183">
            <v>0</v>
          </cell>
          <cell r="F183" t="e">
            <v>#N/A</v>
          </cell>
          <cell r="G183" t="e">
            <v>#N/A</v>
          </cell>
        </row>
        <row r="184">
          <cell r="A184">
            <v>40786</v>
          </cell>
          <cell r="B184" t="str">
            <v>Sub-base de brita graduada, inclusive fornecimento e transporte da brita</v>
          </cell>
          <cell r="C184" t="str">
            <v>m³</v>
          </cell>
          <cell r="D184">
            <v>111.02</v>
          </cell>
          <cell r="E184" t="str">
            <v>A incluir</v>
          </cell>
          <cell r="F184" t="e">
            <v>#N/A</v>
          </cell>
          <cell r="G184" t="e">
            <v>#N/A</v>
          </cell>
        </row>
        <row r="185">
          <cell r="A185">
            <v>43327</v>
          </cell>
          <cell r="B185" t="str">
            <v>Sub-base de brita graduada, inclusive fornecimento, exclusive transporte da brita</v>
          </cell>
          <cell r="C185" t="str">
            <v>m³</v>
          </cell>
          <cell r="D185">
            <v>111.02</v>
          </cell>
          <cell r="E185">
            <v>0</v>
          </cell>
          <cell r="F185" t="e">
            <v>#N/A</v>
          </cell>
          <cell r="G185" t="e">
            <v>#N/A</v>
          </cell>
        </row>
        <row r="186">
          <cell r="A186">
            <v>42675</v>
          </cell>
          <cell r="B186" t="str">
            <v>Sub-base de brita 1, inclusive fornecimento, exclusive transporte da brita</v>
          </cell>
          <cell r="C186" t="str">
            <v>m³</v>
          </cell>
          <cell r="D186">
            <v>106.12</v>
          </cell>
          <cell r="E186">
            <v>0</v>
          </cell>
          <cell r="F186" t="e">
            <v>#N/A</v>
          </cell>
          <cell r="G186" t="e">
            <v>#N/A</v>
          </cell>
        </row>
        <row r="187">
          <cell r="A187">
            <v>40802</v>
          </cell>
          <cell r="B187" t="str">
            <v>Sub-base de escória de aciaria, inclusive fornecimento e transporte da escória</v>
          </cell>
          <cell r="C187" t="str">
            <v>m³</v>
          </cell>
          <cell r="D187">
            <v>85.34</v>
          </cell>
          <cell r="E187" t="str">
            <v>A incluir</v>
          </cell>
          <cell r="F187" t="e">
            <v>#N/A</v>
          </cell>
          <cell r="G187" t="e">
            <v>#N/A</v>
          </cell>
        </row>
        <row r="188">
          <cell r="A188">
            <v>41074</v>
          </cell>
          <cell r="B188" t="str">
            <v>Sub-base de solo brita, 50% em peso, inclusive fornecimento, exclusive transporte da brita</v>
          </cell>
          <cell r="C188" t="str">
            <v>m³</v>
          </cell>
          <cell r="D188">
            <v>66.31</v>
          </cell>
          <cell r="E188">
            <v>0</v>
          </cell>
          <cell r="F188" t="e">
            <v>#N/A</v>
          </cell>
          <cell r="G188" t="e">
            <v>#N/A</v>
          </cell>
        </row>
        <row r="189">
          <cell r="A189">
            <v>40776</v>
          </cell>
          <cell r="B189" t="str">
            <v>Sub-base solo brita, 20% em peso, inclusive fornecimento e transporte da brita.</v>
          </cell>
          <cell r="C189" t="str">
            <v>m³</v>
          </cell>
          <cell r="D189">
            <v>38.69</v>
          </cell>
          <cell r="E189" t="str">
            <v>A incluir</v>
          </cell>
          <cell r="F189" t="e">
            <v>#N/A</v>
          </cell>
          <cell r="G189" t="e">
            <v>#N/A</v>
          </cell>
        </row>
        <row r="190">
          <cell r="A190">
            <v>40778</v>
          </cell>
          <cell r="B190" t="str">
            <v>Sub-base solo brita, 30% em peso, inclusive fornecimento e transporte da brita</v>
          </cell>
          <cell r="C190" t="str">
            <v>m³</v>
          </cell>
          <cell r="D190">
            <v>46.62</v>
          </cell>
          <cell r="E190" t="str">
            <v>A incluir</v>
          </cell>
          <cell r="F190" t="e">
            <v>#N/A</v>
          </cell>
          <cell r="G190" t="e">
            <v>#N/A</v>
          </cell>
        </row>
        <row r="191">
          <cell r="A191">
            <v>40780</v>
          </cell>
          <cell r="B191" t="str">
            <v>Sub-base solo brita, 50% em peso, inclusive fornecimento e transporte da brita</v>
          </cell>
          <cell r="C191" t="str">
            <v>m³</v>
          </cell>
          <cell r="D191">
            <v>68.58</v>
          </cell>
          <cell r="E191" t="str">
            <v>A incluir</v>
          </cell>
          <cell r="F191" t="e">
            <v>#N/A</v>
          </cell>
          <cell r="G191" t="e">
            <v>#N/A</v>
          </cell>
        </row>
        <row r="192">
          <cell r="A192">
            <v>40782</v>
          </cell>
          <cell r="B192" t="str">
            <v>Sub-base solo brita, 70% em peso, inclusive fornecimento e transporte da brita</v>
          </cell>
          <cell r="C192" t="str">
            <v>m³</v>
          </cell>
          <cell r="D192">
            <v>88.67</v>
          </cell>
          <cell r="E192" t="str">
            <v>A incluir</v>
          </cell>
          <cell r="F192" t="e">
            <v>#N/A</v>
          </cell>
          <cell r="G192" t="e">
            <v>#N/A</v>
          </cell>
        </row>
        <row r="193">
          <cell r="A193">
            <v>40830</v>
          </cell>
          <cell r="B193" t="str">
            <v>T.S.B.D. com capa selante exclusive fornecimento e transporte comercial da emulsão, inclusive lavagem da brita e transporte da areia e brita</v>
          </cell>
          <cell r="C193" t="str">
            <v>m²</v>
          </cell>
          <cell r="D193">
            <v>6.76</v>
          </cell>
          <cell r="E193" t="str">
            <v>A incluir</v>
          </cell>
          <cell r="F193" t="e">
            <v>#N/A</v>
          </cell>
          <cell r="G193" t="e">
            <v>#N/A</v>
          </cell>
        </row>
        <row r="194">
          <cell r="A194">
            <v>40873</v>
          </cell>
          <cell r="B194" t="str">
            <v>T.S.B.D. com capa selante, executado c/ Multidistribuidor exclus. forn. e transp. com. da emulsão, inclus. lavagem brita e transp. comerc.areia, brita</v>
          </cell>
          <cell r="C194" t="str">
            <v>m²</v>
          </cell>
          <cell r="D194">
            <v>5.53</v>
          </cell>
          <cell r="E194" t="str">
            <v>A incluir</v>
          </cell>
          <cell r="F194" t="e">
            <v>#N/A</v>
          </cell>
          <cell r="G194" t="e">
            <v>#N/A</v>
          </cell>
        </row>
        <row r="195">
          <cell r="A195">
            <v>40876</v>
          </cell>
          <cell r="B195" t="str">
            <v>T.S.B.D. com capa selante executado c/ Multidistribuidor,inclus.fornec.areia/brita e lavagem brita, excl.fornec.da emulsão e trnasp.todos os materiais</v>
          </cell>
          <cell r="C195" t="str">
            <v>m²</v>
          </cell>
          <cell r="D195">
            <v>5.96</v>
          </cell>
          <cell r="E195">
            <v>0</v>
          </cell>
          <cell r="F195" t="e">
            <v>#N/A</v>
          </cell>
          <cell r="G195" t="e">
            <v>#N/A</v>
          </cell>
        </row>
        <row r="196">
          <cell r="A196">
            <v>41363</v>
          </cell>
          <cell r="B196" t="str">
            <v>T.S.B.D. com capa selante, executado com Multidistribuidor inclusive fornecimento, transporte comercial dos materiais e lavagem da brita</v>
          </cell>
          <cell r="C196" t="str">
            <v>m²</v>
          </cell>
          <cell r="D196">
            <v>9.5</v>
          </cell>
          <cell r="E196" t="str">
            <v>A incluir</v>
          </cell>
          <cell r="F196" t="e">
            <v>#N/A</v>
          </cell>
          <cell r="G196" t="e">
            <v>#N/A</v>
          </cell>
        </row>
        <row r="197">
          <cell r="A197">
            <v>40831</v>
          </cell>
          <cell r="B197" t="str">
            <v>T.S.B.D. com capa selante inclusive fornecimento e transporte comercial dos materiais e lavagem da brita</v>
          </cell>
          <cell r="C197" t="str">
            <v>m²</v>
          </cell>
          <cell r="D197">
            <v>14.36</v>
          </cell>
          <cell r="E197" t="str">
            <v>A incluir</v>
          </cell>
          <cell r="F197" t="e">
            <v>#N/A</v>
          </cell>
          <cell r="G197" t="e">
            <v>#N/A</v>
          </cell>
        </row>
        <row r="198">
          <cell r="A198">
            <v>40827</v>
          </cell>
          <cell r="B198" t="str">
            <v>T.S.B.D. sem capa selante, inclusive fornecimento e transporte comercial dos materiais e lavagem de brita</v>
          </cell>
          <cell r="C198" t="str">
            <v>m²</v>
          </cell>
          <cell r="D198">
            <v>8.81</v>
          </cell>
          <cell r="E198" t="str">
            <v>A incluir</v>
          </cell>
          <cell r="F198" t="e">
            <v>#N/A</v>
          </cell>
          <cell r="G198" t="e">
            <v>#N/A</v>
          </cell>
        </row>
        <row r="199">
          <cell r="A199">
            <v>40828</v>
          </cell>
          <cell r="B199" t="str">
            <v>T.S.B.D. sem capa selante exclusive fornecimento e transporte comercial da emulsão, inclusive lavagem e transporte comercial da brita</v>
          </cell>
          <cell r="C199" t="str">
            <v>m²</v>
          </cell>
          <cell r="D199">
            <v>6.11</v>
          </cell>
          <cell r="E199" t="str">
            <v>A incluir</v>
          </cell>
          <cell r="F199" t="e">
            <v>#N/A</v>
          </cell>
          <cell r="G199" t="e">
            <v>#N/A</v>
          </cell>
        </row>
        <row r="200">
          <cell r="A200">
            <v>40874</v>
          </cell>
          <cell r="B200" t="str">
            <v>T.S.B.D. sem capa selante, executado c/ Multidistribuidor exclusive fornec.e transp. comercial da emulsão, inclusive lavagem e transp. comerc.da brita</v>
          </cell>
          <cell r="C200" t="str">
            <v>m²</v>
          </cell>
          <cell r="D200">
            <v>6.04</v>
          </cell>
          <cell r="E200" t="str">
            <v>A incluir</v>
          </cell>
          <cell r="F200" t="e">
            <v>#N/A</v>
          </cell>
          <cell r="G200" t="e">
            <v>#N/A</v>
          </cell>
        </row>
        <row r="201">
          <cell r="A201">
            <v>40875</v>
          </cell>
          <cell r="B201" t="str">
            <v>T.S.B.D. sem capa selante executado com Multidistribuidor excl. forn. da emulsão e transp. comerciais da emulsão e da brita, inclus. lavagem da brita</v>
          </cell>
          <cell r="C201" t="str">
            <v>m²</v>
          </cell>
          <cell r="D201">
            <v>5.78</v>
          </cell>
          <cell r="E201">
            <v>0</v>
          </cell>
          <cell r="F201" t="e">
            <v>#N/A</v>
          </cell>
          <cell r="G201" t="e">
            <v>#N/A</v>
          </cell>
        </row>
        <row r="202">
          <cell r="A202">
            <v>40829</v>
          </cell>
          <cell r="B202" t="str">
            <v>T.S.B.D. sem capa selante inclusive fornecimento e transporte comercial dos materiais e lavagem da brita</v>
          </cell>
          <cell r="C202" t="str">
            <v>m²</v>
          </cell>
          <cell r="D202">
            <v>13.11</v>
          </cell>
          <cell r="E202" t="str">
            <v>A incluir</v>
          </cell>
          <cell r="F202" t="e">
            <v>#N/A</v>
          </cell>
          <cell r="G202" t="e">
            <v>#N/A</v>
          </cell>
        </row>
        <row r="203">
          <cell r="A203">
            <v>40824</v>
          </cell>
          <cell r="B203" t="str">
            <v>T.S.B.S. com capa selante exclusive fornecimento e transporte comercial da emulsão, inclusive lavagem e transporte comercial da brita</v>
          </cell>
          <cell r="C203" t="str">
            <v>m²</v>
          </cell>
          <cell r="D203">
            <v>3.9</v>
          </cell>
          <cell r="E203" t="str">
            <v>A incluir</v>
          </cell>
          <cell r="F203" t="e">
            <v>#N/A</v>
          </cell>
          <cell r="G203" t="e">
            <v>#N/A</v>
          </cell>
        </row>
        <row r="204">
          <cell r="A204">
            <v>40825</v>
          </cell>
          <cell r="B204" t="str">
            <v>T.S.B.S. com capa selante inclusive fornecimento e transporte comercial dos materiais e lavagem da brita</v>
          </cell>
          <cell r="C204" t="str">
            <v>m²</v>
          </cell>
          <cell r="D204">
            <v>6.59</v>
          </cell>
          <cell r="E204" t="str">
            <v>A incluir</v>
          </cell>
          <cell r="F204" t="e">
            <v>#N/A</v>
          </cell>
          <cell r="G204" t="e">
            <v>#N/A</v>
          </cell>
        </row>
        <row r="205">
          <cell r="A205">
            <v>40820</v>
          </cell>
          <cell r="B205" t="str">
            <v>T.S.B.S. exclusive fornecimento e transporte comercial do material betuminoso, inclusive fornecimento, transporte e lavagem da brita</v>
          </cell>
          <cell r="C205" t="str">
            <v>m²</v>
          </cell>
          <cell r="D205">
            <v>3.51</v>
          </cell>
          <cell r="E205" t="str">
            <v>A incluir</v>
          </cell>
          <cell r="F205" t="e">
            <v>#N/A</v>
          </cell>
          <cell r="G205" t="e">
            <v>#N/A</v>
          </cell>
        </row>
        <row r="206">
          <cell r="A206">
            <v>40821</v>
          </cell>
          <cell r="B206" t="str">
            <v>T.S.B.S. inclusive fornecimento e transporte comercial dos materiais e lavagem da brita</v>
          </cell>
          <cell r="C206" t="str">
            <v>m²</v>
          </cell>
          <cell r="D206">
            <v>6.2</v>
          </cell>
          <cell r="E206" t="str">
            <v>A incluir</v>
          </cell>
          <cell r="F206" t="e">
            <v>#N/A</v>
          </cell>
          <cell r="G206" t="e">
            <v>#N/A</v>
          </cell>
        </row>
        <row r="207">
          <cell r="A207">
            <v>40840</v>
          </cell>
          <cell r="B207" t="str">
            <v>Usinagem de concreto betuminoso usinado a quente (CBUQ), inclusive transporte comercial do oleo combustível</v>
          </cell>
          <cell r="C207" t="str">
            <v>t</v>
          </cell>
          <cell r="D207">
            <v>39.39</v>
          </cell>
          <cell r="E207" t="str">
            <v>A incluir</v>
          </cell>
          <cell r="F207">
            <v>41.21</v>
          </cell>
          <cell r="G207">
            <v>1.0462046204620501</v>
          </cell>
        </row>
        <row r="208">
          <cell r="A208">
            <v>43331</v>
          </cell>
          <cell r="B208" t="str">
            <v>Usinagem de mistura de solo brita</v>
          </cell>
          <cell r="C208" t="str">
            <v>m³</v>
          </cell>
          <cell r="D208">
            <v>5.45</v>
          </cell>
          <cell r="E208">
            <v>0</v>
          </cell>
          <cell r="F208" t="e">
            <v>#N/A</v>
          </cell>
          <cell r="G208" t="e">
            <v>#N/A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A210" t="str">
            <v>Grupo de Serviço: 3 - OBRAS DE ARTE CORRENTES E DRENAGEM</v>
          </cell>
          <cell r="B210">
            <v>0</v>
          </cell>
          <cell r="C210">
            <v>0</v>
          </cell>
          <cell r="D210">
            <v>0</v>
          </cell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A211">
            <v>100394</v>
          </cell>
          <cell r="B211" t="str">
            <v>Aço CA-25, fornecimento, dobragem e colocação nas formas</v>
          </cell>
          <cell r="C211" t="str">
            <v>kg</v>
          </cell>
          <cell r="D211">
            <v>8.49</v>
          </cell>
          <cell r="E211">
            <v>0</v>
          </cell>
          <cell r="F211" t="e">
            <v>#N/A</v>
          </cell>
          <cell r="G211" t="e">
            <v>#N/A</v>
          </cell>
        </row>
        <row r="212">
          <cell r="A212">
            <v>40376</v>
          </cell>
          <cell r="B212" t="str">
            <v>Aço CA-50, fornecimento, dobragem e colocação nas formas (preço médio das bitolas)</v>
          </cell>
          <cell r="C212" t="str">
            <v>kg</v>
          </cell>
          <cell r="D212">
            <v>8.5</v>
          </cell>
          <cell r="E212">
            <v>0</v>
          </cell>
          <cell r="F212">
            <v>8.5</v>
          </cell>
          <cell r="G212">
            <v>1</v>
          </cell>
        </row>
        <row r="213">
          <cell r="A213">
            <v>43351</v>
          </cell>
          <cell r="B213" t="str">
            <v>Aço CA-50 grossa, diâmetro de 12.5 a 25 mm, fornecimento, dobragem e colocação nas formas</v>
          </cell>
          <cell r="C213" t="str">
            <v>kg</v>
          </cell>
          <cell r="D213">
            <v>8.7200000000000006</v>
          </cell>
          <cell r="E213">
            <v>0</v>
          </cell>
          <cell r="F213" t="e">
            <v>#N/A</v>
          </cell>
          <cell r="G213" t="e">
            <v>#N/A</v>
          </cell>
        </row>
        <row r="214">
          <cell r="A214">
            <v>43350</v>
          </cell>
          <cell r="B214" t="str">
            <v>Aço CA-50 média, diâmetro de 6.3 a 10 mm, fornecimento, dobragem e colocação nas formas</v>
          </cell>
          <cell r="C214" t="str">
            <v>kg</v>
          </cell>
          <cell r="D214">
            <v>8.23</v>
          </cell>
          <cell r="E214">
            <v>0</v>
          </cell>
          <cell r="F214" t="e">
            <v>#N/A</v>
          </cell>
          <cell r="G214" t="e">
            <v>#N/A</v>
          </cell>
        </row>
        <row r="215">
          <cell r="A215">
            <v>41261</v>
          </cell>
          <cell r="B215" t="str">
            <v>Aço CA-60 fina, diâmetro de 4.2 a 5.0 mm, fornecimento, dobragem e colocação nas formas</v>
          </cell>
          <cell r="C215" t="str">
            <v>kg</v>
          </cell>
          <cell r="D215">
            <v>8.2799999999999994</v>
          </cell>
          <cell r="E215">
            <v>0</v>
          </cell>
          <cell r="F215" t="e">
            <v>#N/A</v>
          </cell>
          <cell r="G215" t="e">
            <v>#N/A</v>
          </cell>
        </row>
        <row r="216">
          <cell r="A216">
            <v>41023</v>
          </cell>
          <cell r="B216" t="str">
            <v>Aluguel mensal de escoramento tubular com tubos metálicos com até 10 metros de altura</v>
          </cell>
          <cell r="C216" t="str">
            <v>m</v>
          </cell>
          <cell r="D216">
            <v>127.33</v>
          </cell>
          <cell r="E216">
            <v>0</v>
          </cell>
          <cell r="F216" t="e">
            <v>#N/A</v>
          </cell>
          <cell r="G216" t="e">
            <v>#N/A</v>
          </cell>
        </row>
        <row r="217">
          <cell r="A217">
            <v>41575</v>
          </cell>
          <cell r="B217" t="str">
            <v>Alvenaria de bloco (39 x 19 x 09) cm espessura 09 cm, inclusive transporte da areia, cimento e bloco</v>
          </cell>
          <cell r="C217" t="str">
            <v>m²</v>
          </cell>
          <cell r="D217">
            <v>47.75</v>
          </cell>
          <cell r="E217" t="str">
            <v>A incluir</v>
          </cell>
          <cell r="F217" t="e">
            <v>#N/A</v>
          </cell>
          <cell r="G217" t="e">
            <v>#N/A</v>
          </cell>
        </row>
        <row r="218">
          <cell r="A218">
            <v>40346</v>
          </cell>
          <cell r="B218" t="str">
            <v>Alvenaria de bloco (39 x 19 x 19) cm espessura 19 cm, inclusive fornecimento e transporte do bloco, areia e cimento</v>
          </cell>
          <cell r="C218" t="str">
            <v>m²</v>
          </cell>
          <cell r="D218">
            <v>80.150000000000006</v>
          </cell>
          <cell r="E218" t="str">
            <v>A incluir</v>
          </cell>
          <cell r="F218">
            <v>88.21</v>
          </cell>
          <cell r="G218">
            <v>1.1005614472863401</v>
          </cell>
        </row>
        <row r="219">
          <cell r="A219">
            <v>40345</v>
          </cell>
          <cell r="B219" t="str">
            <v>Alvenaria de lajota (20 x 20 x 10) cm espessura 10 cm, inclusive transporte de areia, lajota e cimento</v>
          </cell>
          <cell r="C219" t="str">
            <v>m²</v>
          </cell>
          <cell r="D219">
            <v>55.85</v>
          </cell>
          <cell r="E219" t="str">
            <v>A incluir</v>
          </cell>
          <cell r="F219" t="e">
            <v>#N/A</v>
          </cell>
          <cell r="G219" t="e">
            <v>#N/A</v>
          </cell>
        </row>
        <row r="220">
          <cell r="A220">
            <v>40343</v>
          </cell>
          <cell r="B220" t="str">
            <v>Alvenaria de pedra de mão argamassada (argamassa cimento areia 1:4), inclusive transporte da pedra</v>
          </cell>
          <cell r="C220" t="str">
            <v>m³</v>
          </cell>
          <cell r="D220">
            <v>330.72</v>
          </cell>
          <cell r="E220" t="str">
            <v>A incluir</v>
          </cell>
          <cell r="F220" t="e">
            <v>#N/A</v>
          </cell>
          <cell r="G220" t="e">
            <v>#N/A</v>
          </cell>
        </row>
        <row r="221">
          <cell r="A221">
            <v>40344</v>
          </cell>
          <cell r="B221" t="str">
            <v>Alvenaria de pedra de mão (junta seca), inclusive transporte da pedra</v>
          </cell>
          <cell r="C221" t="str">
            <v>m³</v>
          </cell>
          <cell r="D221">
            <v>224.31</v>
          </cell>
          <cell r="E221" t="str">
            <v>A incluir</v>
          </cell>
          <cell r="F221" t="e">
            <v>#N/A</v>
          </cell>
          <cell r="G221" t="e">
            <v>#N/A</v>
          </cell>
        </row>
        <row r="222">
          <cell r="A222">
            <v>41027</v>
          </cell>
          <cell r="B222" t="str">
            <v>Andaime de madeira para altura até 7 m, compreendendo montagem e desmontagem</v>
          </cell>
          <cell r="C222" t="str">
            <v>m³</v>
          </cell>
          <cell r="D222">
            <v>19.059999999999999</v>
          </cell>
          <cell r="E222">
            <v>0</v>
          </cell>
          <cell r="F222" t="e">
            <v>#N/A</v>
          </cell>
          <cell r="G222" t="e">
            <v>#N/A</v>
          </cell>
        </row>
        <row r="223">
          <cell r="A223">
            <v>40337</v>
          </cell>
          <cell r="B223" t="str">
            <v>Andaime suspenso em madeira, inclusive montagem e desmontagem</v>
          </cell>
          <cell r="C223" t="str">
            <v>m²</v>
          </cell>
          <cell r="D223">
            <v>110.96</v>
          </cell>
          <cell r="E223">
            <v>0</v>
          </cell>
          <cell r="F223" t="e">
            <v>#N/A</v>
          </cell>
          <cell r="G223" t="e">
            <v>#N/A</v>
          </cell>
        </row>
        <row r="224">
          <cell r="A224">
            <v>40395</v>
          </cell>
          <cell r="B224" t="str">
            <v>Apicoamento manual de superfície de concreto</v>
          </cell>
          <cell r="C224" t="str">
            <v>m²</v>
          </cell>
          <cell r="D224">
            <v>20.3</v>
          </cell>
          <cell r="E224">
            <v>0</v>
          </cell>
          <cell r="F224" t="e">
            <v>#N/A</v>
          </cell>
          <cell r="G224" t="e">
            <v>#N/A</v>
          </cell>
        </row>
        <row r="225">
          <cell r="A225">
            <v>40300</v>
          </cell>
          <cell r="B225" t="str">
            <v>Apiloamento manual</v>
          </cell>
          <cell r="C225" t="str">
            <v>m³</v>
          </cell>
          <cell r="D225">
            <v>43.38</v>
          </cell>
          <cell r="E225">
            <v>0</v>
          </cell>
          <cell r="F225" t="e">
            <v>#N/A</v>
          </cell>
          <cell r="G225" t="e">
            <v>#N/A</v>
          </cell>
        </row>
        <row r="226">
          <cell r="A226">
            <v>40348</v>
          </cell>
          <cell r="B226" t="str">
            <v>Argamassa cimento e areia traço 1:4, tudo incluído</v>
          </cell>
          <cell r="C226" t="str">
            <v>m³</v>
          </cell>
          <cell r="D226">
            <v>490.54</v>
          </cell>
          <cell r="E226" t="str">
            <v>A incluir</v>
          </cell>
          <cell r="F226">
            <v>550.67999999999995</v>
          </cell>
          <cell r="G226">
            <v>1.12259958413177</v>
          </cell>
        </row>
        <row r="227">
          <cell r="A227">
            <v>40347</v>
          </cell>
          <cell r="B227" t="str">
            <v>Argamassa cimento (nata), inclusive transporte de cimento</v>
          </cell>
          <cell r="C227" t="str">
            <v>m³</v>
          </cell>
          <cell r="D227">
            <v>963.2</v>
          </cell>
          <cell r="E227" t="str">
            <v>A incluir</v>
          </cell>
          <cell r="F227" t="e">
            <v>#N/A</v>
          </cell>
          <cell r="G227" t="e">
            <v>#N/A</v>
          </cell>
        </row>
        <row r="228">
          <cell r="A228">
            <v>41415</v>
          </cell>
          <cell r="B228" t="str">
            <v>Argamassa de cimento e areia, traço 1:4, consumo de cimento 400 kg/m³</v>
          </cell>
          <cell r="C228" t="str">
            <v>m³</v>
          </cell>
          <cell r="D228">
            <v>510.76</v>
          </cell>
          <cell r="E228" t="str">
            <v>A incluir</v>
          </cell>
          <cell r="F228" t="e">
            <v>#N/A</v>
          </cell>
          <cell r="G228" t="e">
            <v>#N/A</v>
          </cell>
        </row>
        <row r="229">
          <cell r="A229">
            <v>42257</v>
          </cell>
          <cell r="B229" t="str">
            <v>Aterro com areia, exceto fornecimento da areia</v>
          </cell>
          <cell r="C229" t="str">
            <v>m³</v>
          </cell>
          <cell r="D229">
            <v>5.87</v>
          </cell>
          <cell r="E229">
            <v>0</v>
          </cell>
          <cell r="F229" t="e">
            <v>#N/A</v>
          </cell>
          <cell r="G229" t="e">
            <v>#N/A</v>
          </cell>
        </row>
        <row r="230">
          <cell r="A230">
            <v>40519</v>
          </cell>
          <cell r="B230" t="str">
            <v>Berço de concreto ciclópico para BDTC diâmetro 0,60 m</v>
          </cell>
          <cell r="C230" t="str">
            <v>m</v>
          </cell>
          <cell r="D230">
            <v>253.93</v>
          </cell>
          <cell r="E230" t="str">
            <v>A incluir</v>
          </cell>
          <cell r="F230" t="e">
            <v>#N/A</v>
          </cell>
          <cell r="G230" t="e">
            <v>#N/A</v>
          </cell>
        </row>
        <row r="231">
          <cell r="A231">
            <v>40520</v>
          </cell>
          <cell r="B231" t="str">
            <v>Berço de concreto ciclópico para BDTC diâmetro 0,80 m</v>
          </cell>
          <cell r="C231" t="str">
            <v>m</v>
          </cell>
          <cell r="D231">
            <v>397.88</v>
          </cell>
          <cell r="E231" t="str">
            <v>A incluir</v>
          </cell>
          <cell r="F231" t="e">
            <v>#N/A</v>
          </cell>
          <cell r="G231" t="e">
            <v>#N/A</v>
          </cell>
        </row>
        <row r="232">
          <cell r="A232">
            <v>40521</v>
          </cell>
          <cell r="B232" t="str">
            <v>Berço de concreto ciclópico para BDTC diâmetro 1,00 m</v>
          </cell>
          <cell r="C232" t="str">
            <v>m</v>
          </cell>
          <cell r="D232">
            <v>573.58000000000004</v>
          </cell>
          <cell r="E232" t="str">
            <v>A incluir</v>
          </cell>
          <cell r="F232" t="e">
            <v>#N/A</v>
          </cell>
          <cell r="G232" t="e">
            <v>#N/A</v>
          </cell>
        </row>
        <row r="233">
          <cell r="A233">
            <v>40522</v>
          </cell>
          <cell r="B233" t="str">
            <v>Berço de concreto ciclópico para BDTC diâmetro 1,20 m</v>
          </cell>
          <cell r="C233" t="str">
            <v>m</v>
          </cell>
          <cell r="D233">
            <v>775.4</v>
          </cell>
          <cell r="E233" t="str">
            <v>A incluir</v>
          </cell>
          <cell r="F233" t="e">
            <v>#N/A</v>
          </cell>
          <cell r="G233" t="e">
            <v>#N/A</v>
          </cell>
        </row>
        <row r="234">
          <cell r="A234">
            <v>40523</v>
          </cell>
          <cell r="B234" t="str">
            <v>Berço de concreto ciclópico para BDTC diâmetro 1,50 m</v>
          </cell>
          <cell r="C234" t="str">
            <v>m</v>
          </cell>
          <cell r="D234">
            <v>1121.1600000000001</v>
          </cell>
          <cell r="E234" t="str">
            <v>A incluir</v>
          </cell>
          <cell r="F234" t="e">
            <v>#N/A</v>
          </cell>
          <cell r="G234" t="e">
            <v>#N/A</v>
          </cell>
        </row>
        <row r="235">
          <cell r="A235">
            <v>40513</v>
          </cell>
          <cell r="B235" t="str">
            <v>Berço de concreto ciclópico para BSTC diâmetro 0,40 m</v>
          </cell>
          <cell r="C235" t="str">
            <v>m</v>
          </cell>
          <cell r="D235">
            <v>89.21</v>
          </cell>
          <cell r="E235" t="str">
            <v>A incluir</v>
          </cell>
          <cell r="F235" t="e">
            <v>#N/A</v>
          </cell>
          <cell r="G235" t="e">
            <v>#N/A</v>
          </cell>
        </row>
        <row r="236">
          <cell r="A236">
            <v>40514</v>
          </cell>
          <cell r="B236" t="str">
            <v>Berço de concreto ciclópico para BSTC diâmetro 0,60 m</v>
          </cell>
          <cell r="C236" t="str">
            <v>m</v>
          </cell>
          <cell r="D236">
            <v>150.38</v>
          </cell>
          <cell r="E236" t="str">
            <v>A incluir</v>
          </cell>
          <cell r="F236" t="e">
            <v>#N/A</v>
          </cell>
          <cell r="G236" t="e">
            <v>#N/A</v>
          </cell>
        </row>
        <row r="237">
          <cell r="A237">
            <v>40515</v>
          </cell>
          <cell r="B237" t="str">
            <v>Berço de concreto ciclópico para BSTC diâmetro 0,80 m</v>
          </cell>
          <cell r="C237" t="str">
            <v>m</v>
          </cell>
          <cell r="D237">
            <v>229.93</v>
          </cell>
          <cell r="E237" t="str">
            <v>A incluir</v>
          </cell>
          <cell r="F237" t="e">
            <v>#N/A</v>
          </cell>
          <cell r="G237" t="e">
            <v>#N/A</v>
          </cell>
        </row>
        <row r="238">
          <cell r="A238">
            <v>40516</v>
          </cell>
          <cell r="B238" t="str">
            <v>Berço de concreto ciclópico para BSTC diâmetro 1,00 m</v>
          </cell>
          <cell r="C238" t="str">
            <v>m</v>
          </cell>
          <cell r="D238">
            <v>325.14999999999998</v>
          </cell>
          <cell r="E238" t="str">
            <v>A incluir</v>
          </cell>
          <cell r="F238">
            <v>370.34</v>
          </cell>
          <cell r="G238">
            <v>1.13898200830386</v>
          </cell>
        </row>
        <row r="239">
          <cell r="A239">
            <v>40517</v>
          </cell>
          <cell r="B239" t="str">
            <v>Berço de concreto ciclópico para BSTC diâmetro 1,20 m</v>
          </cell>
          <cell r="C239" t="str">
            <v>m</v>
          </cell>
          <cell r="D239">
            <v>433.84</v>
          </cell>
          <cell r="E239" t="str">
            <v>A incluir</v>
          </cell>
          <cell r="F239" t="e">
            <v>#N/A</v>
          </cell>
          <cell r="G239" t="e">
            <v>#N/A</v>
          </cell>
        </row>
        <row r="240">
          <cell r="A240">
            <v>40518</v>
          </cell>
          <cell r="B240" t="str">
            <v>Berço de concreto ciclópico para BSTC diâmetro 1,50 m</v>
          </cell>
          <cell r="C240" t="str">
            <v>m</v>
          </cell>
          <cell r="D240">
            <v>617.75</v>
          </cell>
          <cell r="E240" t="str">
            <v>A incluir</v>
          </cell>
          <cell r="F240" t="e">
            <v>#N/A</v>
          </cell>
          <cell r="G240" t="e">
            <v>#N/A</v>
          </cell>
        </row>
        <row r="241">
          <cell r="A241">
            <v>40524</v>
          </cell>
          <cell r="B241" t="str">
            <v>Berço de concreto ciclópico para BTTC diâmetro 0,60 m</v>
          </cell>
          <cell r="C241" t="str">
            <v>m</v>
          </cell>
          <cell r="D241">
            <v>355.75</v>
          </cell>
          <cell r="E241" t="str">
            <v>A incluir</v>
          </cell>
          <cell r="F241" t="e">
            <v>#N/A</v>
          </cell>
          <cell r="G241" t="e">
            <v>#N/A</v>
          </cell>
        </row>
        <row r="242">
          <cell r="A242">
            <v>40525</v>
          </cell>
          <cell r="B242" t="str">
            <v>Berço de concreto ciclópico para BTTC diâmetro 0,80 m</v>
          </cell>
          <cell r="C242" t="str">
            <v>m</v>
          </cell>
          <cell r="D242">
            <v>566.70000000000005</v>
          </cell>
          <cell r="E242" t="str">
            <v>A incluir</v>
          </cell>
          <cell r="F242" t="e">
            <v>#N/A</v>
          </cell>
          <cell r="G242" t="e">
            <v>#N/A</v>
          </cell>
        </row>
        <row r="243">
          <cell r="A243">
            <v>40526</v>
          </cell>
          <cell r="B243" t="str">
            <v>Berço de concreto ciclópico para BTTC diâmetro 1,00 m</v>
          </cell>
          <cell r="C243" t="str">
            <v>m</v>
          </cell>
          <cell r="D243">
            <v>821.59</v>
          </cell>
          <cell r="E243" t="str">
            <v>A incluir</v>
          </cell>
          <cell r="F243" t="e">
            <v>#N/A</v>
          </cell>
          <cell r="G243" t="e">
            <v>#N/A</v>
          </cell>
        </row>
        <row r="244">
          <cell r="A244">
            <v>40527</v>
          </cell>
          <cell r="B244" t="str">
            <v>Berço de concreto ciclópico para BTTC diâmetro 1,20 m</v>
          </cell>
          <cell r="C244" t="str">
            <v>m</v>
          </cell>
          <cell r="D244">
            <v>1116.95</v>
          </cell>
          <cell r="E244" t="str">
            <v>A incluir</v>
          </cell>
          <cell r="F244" t="e">
            <v>#N/A</v>
          </cell>
          <cell r="G244" t="e">
            <v>#N/A</v>
          </cell>
        </row>
        <row r="245">
          <cell r="A245">
            <v>40528</v>
          </cell>
          <cell r="B245" t="str">
            <v>Berço de concreto ciclópico para BTTC diâmetro 1,50 m</v>
          </cell>
          <cell r="C245" t="str">
            <v>m</v>
          </cell>
          <cell r="D245">
            <v>1624.58</v>
          </cell>
          <cell r="E245" t="str">
            <v>A incluir</v>
          </cell>
          <cell r="F245" t="e">
            <v>#N/A</v>
          </cell>
          <cell r="G245" t="e">
            <v>#N/A</v>
          </cell>
        </row>
        <row r="246">
          <cell r="A246">
            <v>41177</v>
          </cell>
          <cell r="B246" t="str">
            <v>Berço em brita para BSTC diâm. -&gt; 1,00 m</v>
          </cell>
          <cell r="C246" t="str">
            <v>m</v>
          </cell>
          <cell r="D246">
            <v>36.729999999999997</v>
          </cell>
          <cell r="E246" t="str">
            <v>A incluir</v>
          </cell>
          <cell r="F246" t="e">
            <v>#N/A</v>
          </cell>
          <cell r="G246" t="e">
            <v>#N/A</v>
          </cell>
        </row>
        <row r="247">
          <cell r="A247">
            <v>100391</v>
          </cell>
          <cell r="B247" t="str">
            <v>Berço em brita para BSTC diâm. -&gt; 1,20 m</v>
          </cell>
          <cell r="C247" t="str">
            <v>m</v>
          </cell>
          <cell r="D247">
            <v>40.89</v>
          </cell>
          <cell r="E247" t="str">
            <v>A incluir</v>
          </cell>
          <cell r="F247" t="e">
            <v>#N/A</v>
          </cell>
          <cell r="G247" t="e">
            <v>#N/A</v>
          </cell>
        </row>
        <row r="248">
          <cell r="A248">
            <v>41172</v>
          </cell>
          <cell r="B248" t="str">
            <v>Berço em concreto ciclópico para BSTC diâm. -&gt; 0,30m</v>
          </cell>
          <cell r="C248" t="str">
            <v>m</v>
          </cell>
          <cell r="D248">
            <v>77.75</v>
          </cell>
          <cell r="E248" t="str">
            <v>A incluir</v>
          </cell>
          <cell r="F248" t="e">
            <v>#N/A</v>
          </cell>
          <cell r="G248" t="e">
            <v>#N/A</v>
          </cell>
        </row>
        <row r="249">
          <cell r="A249">
            <v>40620</v>
          </cell>
          <cell r="B249" t="str">
            <v>Boca de BDCC 1,50 x 1,50 m projeto DNIT</v>
          </cell>
          <cell r="C249" t="str">
            <v>un</v>
          </cell>
          <cell r="D249">
            <v>13328.98</v>
          </cell>
          <cell r="E249">
            <v>0</v>
          </cell>
          <cell r="F249" t="e">
            <v>#N/A</v>
          </cell>
          <cell r="G249" t="e">
            <v>#N/A</v>
          </cell>
        </row>
        <row r="250">
          <cell r="A250">
            <v>40626</v>
          </cell>
          <cell r="B250" t="str">
            <v>Boca de BDCC 2,00 x 1,20 m conforme projeto</v>
          </cell>
          <cell r="C250" t="str">
            <v>un</v>
          </cell>
          <cell r="D250">
            <v>12919.79</v>
          </cell>
          <cell r="E250">
            <v>0</v>
          </cell>
          <cell r="F250" t="e">
            <v>#N/A</v>
          </cell>
          <cell r="G250" t="e">
            <v>#N/A</v>
          </cell>
        </row>
        <row r="251">
          <cell r="A251">
            <v>40621</v>
          </cell>
          <cell r="B251" t="str">
            <v>Boca de BDCC 2,00 x 2,00 m projeto DNIT</v>
          </cell>
          <cell r="C251" t="str">
            <v>un</v>
          </cell>
          <cell r="D251">
            <v>20349.009999999998</v>
          </cell>
          <cell r="E251">
            <v>0</v>
          </cell>
          <cell r="F251" t="e">
            <v>#N/A</v>
          </cell>
          <cell r="G251" t="e">
            <v>#N/A</v>
          </cell>
        </row>
        <row r="252">
          <cell r="A252">
            <v>40622</v>
          </cell>
          <cell r="B252" t="str">
            <v>Boca de BDCC 2,00 x 3,00 m projeto DNIT</v>
          </cell>
          <cell r="C252" t="str">
            <v>un</v>
          </cell>
          <cell r="D252">
            <v>31473.13</v>
          </cell>
          <cell r="E252">
            <v>0</v>
          </cell>
          <cell r="F252" t="e">
            <v>#N/A</v>
          </cell>
          <cell r="G252" t="e">
            <v>#N/A</v>
          </cell>
        </row>
        <row r="253">
          <cell r="A253">
            <v>40627</v>
          </cell>
          <cell r="B253" t="str">
            <v>Boca de BDCC 2,50 x 2,00 m conforme projeto</v>
          </cell>
          <cell r="C253" t="str">
            <v>un</v>
          </cell>
          <cell r="D253">
            <v>23811.82</v>
          </cell>
          <cell r="E253">
            <v>0</v>
          </cell>
          <cell r="F253" t="e">
            <v>#N/A</v>
          </cell>
          <cell r="G253" t="e">
            <v>#N/A</v>
          </cell>
        </row>
        <row r="254">
          <cell r="A254">
            <v>40623</v>
          </cell>
          <cell r="B254" t="str">
            <v>Boca de BDCC 2,50 x 2,50 m projeto DNIT</v>
          </cell>
          <cell r="C254" t="str">
            <v>un</v>
          </cell>
          <cell r="D254">
            <v>28265.08</v>
          </cell>
          <cell r="E254">
            <v>0</v>
          </cell>
          <cell r="F254" t="e">
            <v>#N/A</v>
          </cell>
          <cell r="G254" t="e">
            <v>#N/A</v>
          </cell>
        </row>
        <row r="255">
          <cell r="A255">
            <v>40624</v>
          </cell>
          <cell r="B255" t="str">
            <v>Boca de BDCC 2,50 x 3,00 m projeto DNIT</v>
          </cell>
          <cell r="C255" t="str">
            <v>un</v>
          </cell>
          <cell r="D255">
            <v>35666.199999999997</v>
          </cell>
          <cell r="E255">
            <v>0</v>
          </cell>
          <cell r="F255" t="e">
            <v>#N/A</v>
          </cell>
          <cell r="G255" t="e">
            <v>#N/A</v>
          </cell>
        </row>
        <row r="256">
          <cell r="A256">
            <v>40625</v>
          </cell>
          <cell r="B256" t="str">
            <v>Boca de BDCC 3,00 x 3,00 m projeto DNIT</v>
          </cell>
          <cell r="C256" t="str">
            <v>un</v>
          </cell>
          <cell r="D256">
            <v>40152.33</v>
          </cell>
          <cell r="E256">
            <v>0</v>
          </cell>
          <cell r="F256" t="e">
            <v>#N/A</v>
          </cell>
          <cell r="G256" t="e">
            <v>#N/A</v>
          </cell>
        </row>
        <row r="257">
          <cell r="A257">
            <v>40613</v>
          </cell>
          <cell r="B257" t="str">
            <v>Boca de BSCC 1,50 x 1,50 m projeto DNIT</v>
          </cell>
          <cell r="C257" t="str">
            <v>un</v>
          </cell>
          <cell r="D257">
            <v>11674.02</v>
          </cell>
          <cell r="E257">
            <v>0</v>
          </cell>
          <cell r="F257" t="e">
            <v>#N/A</v>
          </cell>
          <cell r="G257" t="e">
            <v>#N/A</v>
          </cell>
        </row>
        <row r="258">
          <cell r="A258">
            <v>40614</v>
          </cell>
          <cell r="B258" t="str">
            <v>Boca de BSCC 2,00 x 2,00 m projeto DNIT</v>
          </cell>
          <cell r="C258" t="str">
            <v>un</v>
          </cell>
          <cell r="D258">
            <v>17882.78</v>
          </cell>
          <cell r="E258">
            <v>0</v>
          </cell>
          <cell r="F258" t="e">
            <v>#N/A</v>
          </cell>
          <cell r="G258" t="e">
            <v>#N/A</v>
          </cell>
        </row>
        <row r="259">
          <cell r="A259">
            <v>40615</v>
          </cell>
          <cell r="B259" t="str">
            <v>Boca de BSCC 2,00 x 3,00 m projeto DNIT</v>
          </cell>
          <cell r="C259" t="str">
            <v>un</v>
          </cell>
          <cell r="D259">
            <v>26728.43</v>
          </cell>
          <cell r="E259">
            <v>0</v>
          </cell>
          <cell r="F259" t="e">
            <v>#N/A</v>
          </cell>
          <cell r="G259" t="e">
            <v>#N/A</v>
          </cell>
        </row>
        <row r="260">
          <cell r="A260">
            <v>40616</v>
          </cell>
          <cell r="B260" t="str">
            <v>Boca de BSCC 2,50 x 2,50 m projeto DNIT</v>
          </cell>
          <cell r="C260" t="str">
            <v>un</v>
          </cell>
          <cell r="D260">
            <v>23557.81</v>
          </cell>
          <cell r="E260">
            <v>0</v>
          </cell>
          <cell r="F260" t="e">
            <v>#N/A</v>
          </cell>
          <cell r="G260" t="e">
            <v>#N/A</v>
          </cell>
        </row>
        <row r="261">
          <cell r="A261">
            <v>40617</v>
          </cell>
          <cell r="B261" t="str">
            <v>Boca de BSCC 2,50 x 3,00 m projeto DNIT</v>
          </cell>
          <cell r="C261" t="str">
            <v>un</v>
          </cell>
          <cell r="D261">
            <v>29866.71</v>
          </cell>
          <cell r="E261">
            <v>0</v>
          </cell>
          <cell r="F261" t="e">
            <v>#N/A</v>
          </cell>
          <cell r="G261" t="e">
            <v>#N/A</v>
          </cell>
        </row>
        <row r="262">
          <cell r="A262">
            <v>40618</v>
          </cell>
          <cell r="B262" t="str">
            <v>Boca de BSCC 3,00 x 3,00 m projeto DNIT</v>
          </cell>
          <cell r="C262" t="str">
            <v>un</v>
          </cell>
          <cell r="D262">
            <v>33560</v>
          </cell>
          <cell r="E262">
            <v>0</v>
          </cell>
          <cell r="F262" t="e">
            <v>#N/A</v>
          </cell>
          <cell r="G262" t="e">
            <v>#N/A</v>
          </cell>
        </row>
        <row r="263">
          <cell r="A263">
            <v>40629</v>
          </cell>
          <cell r="B263" t="str">
            <v>Boca de BTCC 1,50 x 1,50 m projeto DNIT</v>
          </cell>
          <cell r="C263" t="str">
            <v>un</v>
          </cell>
          <cell r="D263">
            <v>16493.169999999998</v>
          </cell>
          <cell r="E263">
            <v>0</v>
          </cell>
          <cell r="F263" t="e">
            <v>#N/A</v>
          </cell>
          <cell r="G263" t="e">
            <v>#N/A</v>
          </cell>
        </row>
        <row r="264">
          <cell r="A264">
            <v>40630</v>
          </cell>
          <cell r="B264" t="str">
            <v>Boca de BTCC 2,00 x 2,00 m projeto DNIT</v>
          </cell>
          <cell r="C264" t="str">
            <v>un</v>
          </cell>
          <cell r="D264">
            <v>24856.34</v>
          </cell>
          <cell r="E264">
            <v>0</v>
          </cell>
          <cell r="F264" t="e">
            <v>#N/A</v>
          </cell>
          <cell r="G264" t="e">
            <v>#N/A</v>
          </cell>
        </row>
        <row r="265">
          <cell r="A265">
            <v>40631</v>
          </cell>
          <cell r="B265" t="str">
            <v>Boca de BTCC 2,00 x 3,00 m projeto DNIT</v>
          </cell>
          <cell r="C265" t="str">
            <v>un</v>
          </cell>
          <cell r="D265">
            <v>37375.18</v>
          </cell>
          <cell r="E265">
            <v>0</v>
          </cell>
          <cell r="F265" t="e">
            <v>#N/A</v>
          </cell>
          <cell r="G265" t="e">
            <v>#N/A</v>
          </cell>
        </row>
        <row r="266">
          <cell r="A266">
            <v>40632</v>
          </cell>
          <cell r="B266" t="str">
            <v>Boca de BTCC 2,50 x 2,50 m projeto DNIT</v>
          </cell>
          <cell r="C266" t="str">
            <v>un</v>
          </cell>
          <cell r="D266">
            <v>34511.800000000003</v>
          </cell>
          <cell r="E266">
            <v>0</v>
          </cell>
          <cell r="F266" t="e">
            <v>#N/A</v>
          </cell>
          <cell r="G266" t="e">
            <v>#N/A</v>
          </cell>
        </row>
        <row r="267">
          <cell r="A267">
            <v>40633</v>
          </cell>
          <cell r="B267" t="str">
            <v>Boca de BTCC 2,50 x 3,00 m projeto DNIT</v>
          </cell>
          <cell r="C267" t="str">
            <v>un</v>
          </cell>
          <cell r="D267">
            <v>42483.74</v>
          </cell>
          <cell r="E267">
            <v>0</v>
          </cell>
          <cell r="F267" t="e">
            <v>#N/A</v>
          </cell>
          <cell r="G267" t="e">
            <v>#N/A</v>
          </cell>
        </row>
        <row r="268">
          <cell r="A268">
            <v>40634</v>
          </cell>
          <cell r="B268" t="str">
            <v>Boca de BTCC 3,00 x 3,00 m projeto DNIT</v>
          </cell>
          <cell r="C268" t="str">
            <v>un</v>
          </cell>
          <cell r="D268">
            <v>48208.87</v>
          </cell>
          <cell r="E268">
            <v>0</v>
          </cell>
          <cell r="F268" t="e">
            <v>#N/A</v>
          </cell>
          <cell r="G268" t="e">
            <v>#N/A</v>
          </cell>
        </row>
        <row r="269">
          <cell r="A269">
            <v>40535</v>
          </cell>
          <cell r="B269" t="str">
            <v>Boca de concreto ciclópico para BDTC diâmetro 0,60 m</v>
          </cell>
          <cell r="C269" t="str">
            <v>un</v>
          </cell>
          <cell r="D269">
            <v>1289.01</v>
          </cell>
          <cell r="E269" t="str">
            <v>A incluir</v>
          </cell>
          <cell r="F269" t="e">
            <v>#N/A</v>
          </cell>
          <cell r="G269" t="e">
            <v>#N/A</v>
          </cell>
        </row>
        <row r="270">
          <cell r="A270">
            <v>40536</v>
          </cell>
          <cell r="B270" t="str">
            <v>Boca de concreto ciclópico para BDTC diâmetro 0,80 m</v>
          </cell>
          <cell r="C270" t="str">
            <v>un</v>
          </cell>
          <cell r="D270">
            <v>2137.7800000000002</v>
          </cell>
          <cell r="E270" t="str">
            <v>A incluir</v>
          </cell>
          <cell r="F270" t="e">
            <v>#N/A</v>
          </cell>
          <cell r="G270" t="e">
            <v>#N/A</v>
          </cell>
        </row>
        <row r="271">
          <cell r="A271">
            <v>40537</v>
          </cell>
          <cell r="B271" t="str">
            <v>Boca de concreto ciclópico para BDTC diâmetro 1,00 m</v>
          </cell>
          <cell r="C271" t="str">
            <v>un</v>
          </cell>
          <cell r="D271">
            <v>3943.97</v>
          </cell>
          <cell r="E271" t="str">
            <v>A incluir</v>
          </cell>
          <cell r="F271" t="e">
            <v>#N/A</v>
          </cell>
          <cell r="G271" t="e">
            <v>#N/A</v>
          </cell>
        </row>
        <row r="272">
          <cell r="A272">
            <v>40538</v>
          </cell>
          <cell r="B272" t="str">
            <v>Boca de concreto ciclópico para BDTC diâmetro 1,20 m</v>
          </cell>
          <cell r="C272" t="str">
            <v>un</v>
          </cell>
          <cell r="D272">
            <v>5699.85</v>
          </cell>
          <cell r="E272" t="str">
            <v>A incluir</v>
          </cell>
          <cell r="F272" t="e">
            <v>#N/A</v>
          </cell>
          <cell r="G272" t="e">
            <v>#N/A</v>
          </cell>
        </row>
        <row r="273">
          <cell r="A273">
            <v>40539</v>
          </cell>
          <cell r="B273" t="str">
            <v>Boca de concreto ciclópico para BDTC diâmetro 1,50 m</v>
          </cell>
          <cell r="C273" t="str">
            <v>un</v>
          </cell>
          <cell r="D273">
            <v>10029.65</v>
          </cell>
          <cell r="E273" t="str">
            <v>A incluir</v>
          </cell>
          <cell r="F273" t="e">
            <v>#N/A</v>
          </cell>
          <cell r="G273" t="e">
            <v>#N/A</v>
          </cell>
        </row>
        <row r="274">
          <cell r="A274">
            <v>40529</v>
          </cell>
          <cell r="B274" t="str">
            <v>Boca de concreto ciclópico para BSTC diâmetro 0,40 m</v>
          </cell>
          <cell r="C274" t="str">
            <v>un</v>
          </cell>
          <cell r="D274">
            <v>368.74</v>
          </cell>
          <cell r="E274" t="str">
            <v>A incluir</v>
          </cell>
          <cell r="F274" t="e">
            <v>#N/A</v>
          </cell>
          <cell r="G274" t="e">
            <v>#N/A</v>
          </cell>
        </row>
        <row r="275">
          <cell r="A275">
            <v>40530</v>
          </cell>
          <cell r="B275" t="str">
            <v>Boca de concreto ciclópico para BSTC diâmetro 0,60 m</v>
          </cell>
          <cell r="C275" t="str">
            <v>un</v>
          </cell>
          <cell r="D275">
            <v>1110.3699999999999</v>
          </cell>
          <cell r="E275" t="str">
            <v>A incluir</v>
          </cell>
          <cell r="F275" t="e">
            <v>#N/A</v>
          </cell>
          <cell r="G275" t="e">
            <v>#N/A</v>
          </cell>
        </row>
        <row r="276">
          <cell r="A276">
            <v>40531</v>
          </cell>
          <cell r="B276" t="str">
            <v>Boca de concreto ciclópico para BSTC diâmetro 0,80 m</v>
          </cell>
          <cell r="C276" t="str">
            <v>un</v>
          </cell>
          <cell r="D276">
            <v>1843.76</v>
          </cell>
          <cell r="E276" t="str">
            <v>A incluir</v>
          </cell>
          <cell r="F276" t="e">
            <v>#N/A</v>
          </cell>
          <cell r="G276" t="e">
            <v>#N/A</v>
          </cell>
        </row>
        <row r="277">
          <cell r="A277">
            <v>40532</v>
          </cell>
          <cell r="B277" t="str">
            <v>Boca de concreto ciclópico para BSTC diâmetro 1,00 m</v>
          </cell>
          <cell r="C277" t="str">
            <v>un</v>
          </cell>
          <cell r="D277">
            <v>2833.15</v>
          </cell>
          <cell r="E277" t="str">
            <v>A incluir</v>
          </cell>
          <cell r="F277" t="e">
            <v>#N/A</v>
          </cell>
          <cell r="G277" t="e">
            <v>#N/A</v>
          </cell>
        </row>
        <row r="278">
          <cell r="A278">
            <v>40533</v>
          </cell>
          <cell r="B278" t="str">
            <v>Boca de concreto ciclópico para BSTC diâmetro 1,20 m</v>
          </cell>
          <cell r="C278" t="str">
            <v>un</v>
          </cell>
          <cell r="D278">
            <v>4082.87</v>
          </cell>
          <cell r="E278" t="str">
            <v>A incluir</v>
          </cell>
          <cell r="F278" t="e">
            <v>#N/A</v>
          </cell>
          <cell r="G278" t="e">
            <v>#N/A</v>
          </cell>
        </row>
        <row r="279">
          <cell r="A279">
            <v>40534</v>
          </cell>
          <cell r="B279" t="str">
            <v>Boca de concreto ciclópico para BSTC diâmetro 1,50 m</v>
          </cell>
          <cell r="C279" t="str">
            <v>un</v>
          </cell>
          <cell r="D279">
            <v>7362.15</v>
          </cell>
          <cell r="E279" t="str">
            <v>A incluir</v>
          </cell>
          <cell r="F279" t="e">
            <v>#N/A</v>
          </cell>
          <cell r="G279" t="e">
            <v>#N/A</v>
          </cell>
        </row>
        <row r="280">
          <cell r="A280">
            <v>40540</v>
          </cell>
          <cell r="B280" t="str">
            <v>Boca de concreto ciclópico para BTTC diâmetro 0,60 m</v>
          </cell>
          <cell r="C280" t="str">
            <v>un</v>
          </cell>
          <cell r="D280">
            <v>1609.79</v>
          </cell>
          <cell r="E280" t="str">
            <v>A incluir</v>
          </cell>
          <cell r="F280" t="e">
            <v>#N/A</v>
          </cell>
          <cell r="G280" t="e">
            <v>#N/A</v>
          </cell>
        </row>
        <row r="281">
          <cell r="A281">
            <v>40541</v>
          </cell>
          <cell r="B281" t="str">
            <v>Boca de concreto ciclópico para BTTC diâmetro 0,80 m</v>
          </cell>
          <cell r="C281" t="str">
            <v>un</v>
          </cell>
          <cell r="D281">
            <v>2626.03</v>
          </cell>
          <cell r="E281" t="str">
            <v>A incluir</v>
          </cell>
          <cell r="F281" t="e">
            <v>#N/A</v>
          </cell>
          <cell r="G281" t="e">
            <v>#N/A</v>
          </cell>
        </row>
        <row r="282">
          <cell r="A282">
            <v>40542</v>
          </cell>
          <cell r="B282" t="str">
            <v>Boca de concreto ciclópico para BTTC diâmetro 1,00 m</v>
          </cell>
          <cell r="C282" t="str">
            <v>un</v>
          </cell>
          <cell r="D282">
            <v>5054.8100000000004</v>
          </cell>
          <cell r="E282" t="str">
            <v>A incluir</v>
          </cell>
          <cell r="F282" t="e">
            <v>#N/A</v>
          </cell>
          <cell r="G282" t="e">
            <v>#N/A</v>
          </cell>
        </row>
        <row r="283">
          <cell r="A283">
            <v>40543</v>
          </cell>
          <cell r="B283" t="str">
            <v>Boca de concreto ciclópico para BTTC diâmetro 1,20 m</v>
          </cell>
          <cell r="C283" t="str">
            <v>un</v>
          </cell>
          <cell r="D283">
            <v>7315.99</v>
          </cell>
          <cell r="E283" t="str">
            <v>A incluir</v>
          </cell>
          <cell r="F283" t="e">
            <v>#N/A</v>
          </cell>
          <cell r="G283" t="e">
            <v>#N/A</v>
          </cell>
        </row>
        <row r="284">
          <cell r="A284">
            <v>40544</v>
          </cell>
          <cell r="B284" t="str">
            <v>Boca de concreto ciclópico para BTTC diâmetro 1,50 m</v>
          </cell>
          <cell r="C284" t="str">
            <v>un</v>
          </cell>
          <cell r="D284">
            <v>12745.88</v>
          </cell>
          <cell r="E284" t="str">
            <v>A incluir</v>
          </cell>
          <cell r="F284" t="e">
            <v>#N/A</v>
          </cell>
          <cell r="G284" t="e">
            <v>#N/A</v>
          </cell>
        </row>
        <row r="285">
          <cell r="A285">
            <v>40565</v>
          </cell>
          <cell r="B285" t="str">
            <v>Boca de lobo simples</v>
          </cell>
          <cell r="C285" t="str">
            <v>un</v>
          </cell>
          <cell r="D285">
            <v>2914.91</v>
          </cell>
          <cell r="E285">
            <v>0</v>
          </cell>
          <cell r="F285" t="e">
            <v>#N/A</v>
          </cell>
          <cell r="G285" t="e">
            <v>#N/A</v>
          </cell>
        </row>
        <row r="286">
          <cell r="A286">
            <v>40656</v>
          </cell>
          <cell r="B286" t="str">
            <v>Boca de saída de dreno profundo BSD-01</v>
          </cell>
          <cell r="C286" t="str">
            <v>un</v>
          </cell>
          <cell r="D286">
            <v>233.73</v>
          </cell>
          <cell r="E286" t="str">
            <v>A incluir</v>
          </cell>
          <cell r="F286" t="e">
            <v>#N/A</v>
          </cell>
          <cell r="G286" t="e">
            <v>#N/A</v>
          </cell>
        </row>
        <row r="287">
          <cell r="A287">
            <v>41102</v>
          </cell>
          <cell r="B287" t="str">
            <v>BSCC (pré-moldado) 1,50 x 1,50 x 1,00m CL 45t, inclusive transporte do Anel de Bueiro Celular Pré-moldado</v>
          </cell>
          <cell r="C287" t="str">
            <v>m</v>
          </cell>
          <cell r="D287">
            <v>4107.72</v>
          </cell>
          <cell r="E287" t="str">
            <v>A incluir</v>
          </cell>
          <cell r="F287" t="e">
            <v>#N/A</v>
          </cell>
          <cell r="G287" t="e">
            <v>#N/A</v>
          </cell>
        </row>
        <row r="288">
          <cell r="A288">
            <v>41103</v>
          </cell>
          <cell r="B288" t="str">
            <v>BSCC (pré-moldado) 2,00 x 2,00 x 1,00m CL 45t, inclusive transporte de Anel de Bueiro Celular Pré-moldado</v>
          </cell>
          <cell r="C288" t="str">
            <v>m</v>
          </cell>
          <cell r="D288">
            <v>5289.85</v>
          </cell>
          <cell r="E288" t="str">
            <v>A incluir</v>
          </cell>
          <cell r="F288" t="e">
            <v>#N/A</v>
          </cell>
          <cell r="G288" t="e">
            <v>#N/A</v>
          </cell>
        </row>
        <row r="289">
          <cell r="A289">
            <v>41104</v>
          </cell>
          <cell r="B289" t="str">
            <v>BSCC (pré-moldado) 2,50 x 2,50 x 1,00m CL 45t, inclusive transporte de Anel de Bueiro Celular Pré-moldado</v>
          </cell>
          <cell r="C289" t="str">
            <v>m</v>
          </cell>
          <cell r="D289">
            <v>6116</v>
          </cell>
          <cell r="E289" t="str">
            <v>A incluir</v>
          </cell>
          <cell r="F289" t="e">
            <v>#N/A</v>
          </cell>
          <cell r="G289" t="e">
            <v>#N/A</v>
          </cell>
        </row>
        <row r="290">
          <cell r="A290">
            <v>41155</v>
          </cell>
          <cell r="B290" t="str">
            <v>BSCC (pré-moldado) 3,00 x 3,00 x 1,00m CL 45t, inclusive transporte de Anel de Bueiro Celular Pré-moldado</v>
          </cell>
          <cell r="C290" t="str">
            <v>m</v>
          </cell>
          <cell r="D290">
            <v>8411.57</v>
          </cell>
          <cell r="E290" t="str">
            <v>A incluir</v>
          </cell>
          <cell r="F290" t="e">
            <v>#N/A</v>
          </cell>
          <cell r="G290" t="e">
            <v>#N/A</v>
          </cell>
        </row>
        <row r="291">
          <cell r="A291">
            <v>40635</v>
          </cell>
          <cell r="B291" t="str">
            <v>Bueiro Metálico BSTM - D -&gt; 3,00 m - T.L. com tratamento epóxi e -&gt; 2,7 mm - método não destrutivo</v>
          </cell>
          <cell r="C291" t="str">
            <v>m</v>
          </cell>
          <cell r="D291">
            <v>9718.08</v>
          </cell>
          <cell r="E291" t="str">
            <v>A incluir</v>
          </cell>
          <cell r="F291" t="e">
            <v>#N/A</v>
          </cell>
          <cell r="G291" t="e">
            <v>#N/A</v>
          </cell>
        </row>
        <row r="292">
          <cell r="A292">
            <v>42230</v>
          </cell>
          <cell r="B292" t="str">
            <v>Bueiro Metálico BSTM - D-&gt;3,05m - MP-152 com tratamento epóxi e-&gt;2,7mm - método destrutivo, inclusive lastro de brita</v>
          </cell>
          <cell r="C292" t="str">
            <v>m</v>
          </cell>
          <cell r="D292">
            <v>7254.39</v>
          </cell>
          <cell r="E292" t="str">
            <v>A incluir</v>
          </cell>
          <cell r="F292" t="e">
            <v>#N/A</v>
          </cell>
          <cell r="G292" t="e">
            <v>#N/A</v>
          </cell>
        </row>
        <row r="293">
          <cell r="A293">
            <v>40658</v>
          </cell>
          <cell r="B293" t="str">
            <v>Caiação de meio fios, sarjetas, etc</v>
          </cell>
          <cell r="C293" t="str">
            <v>m²</v>
          </cell>
          <cell r="D293">
            <v>4.7300000000000004</v>
          </cell>
          <cell r="E293">
            <v>0</v>
          </cell>
          <cell r="F293">
            <v>4.7300000000000004</v>
          </cell>
          <cell r="G293">
            <v>1</v>
          </cell>
        </row>
        <row r="294">
          <cell r="A294">
            <v>41161</v>
          </cell>
          <cell r="B294" t="str">
            <v>Caixa Boca de Lobo em bloco pré-moldado 1,20 x 1,20m</v>
          </cell>
          <cell r="C294" t="str">
            <v>un</v>
          </cell>
          <cell r="D294">
            <v>4078.21</v>
          </cell>
          <cell r="E294">
            <v>0</v>
          </cell>
          <cell r="F294" t="e">
            <v>#N/A</v>
          </cell>
          <cell r="G294" t="e">
            <v>#N/A</v>
          </cell>
        </row>
        <row r="295">
          <cell r="A295">
            <v>40563</v>
          </cell>
          <cell r="B295" t="str">
            <v>Caixa coletora concreto armado H-&gt; 2,00 m, inclusive escavação</v>
          </cell>
          <cell r="C295" t="str">
            <v>un</v>
          </cell>
          <cell r="D295">
            <v>4257.54</v>
          </cell>
          <cell r="E295">
            <v>0</v>
          </cell>
          <cell r="F295" t="e">
            <v>#N/A</v>
          </cell>
          <cell r="G295" t="e">
            <v>#N/A</v>
          </cell>
        </row>
        <row r="296">
          <cell r="A296">
            <v>40564</v>
          </cell>
          <cell r="B296" t="str">
            <v>Caixa coletora concreto armado H-&gt; 2,50 m, inclusive escavação</v>
          </cell>
          <cell r="C296" t="str">
            <v>un</v>
          </cell>
          <cell r="D296">
            <v>5229.68</v>
          </cell>
          <cell r="E296">
            <v>0</v>
          </cell>
          <cell r="F296" t="e">
            <v>#N/A</v>
          </cell>
          <cell r="G296" t="e">
            <v>#N/A</v>
          </cell>
        </row>
        <row r="297">
          <cell r="A297">
            <v>41333</v>
          </cell>
          <cell r="B297" t="str">
            <v>Caixa coletora em bloco pré-moldado para d-&gt;0,60m (1,00 x 1,00m)</v>
          </cell>
          <cell r="C297" t="str">
            <v>un</v>
          </cell>
          <cell r="D297">
            <v>2058.9299999999998</v>
          </cell>
          <cell r="E297" t="str">
            <v>A incluir</v>
          </cell>
          <cell r="F297" t="e">
            <v>#N/A</v>
          </cell>
          <cell r="G297" t="e">
            <v>#N/A</v>
          </cell>
        </row>
        <row r="298">
          <cell r="A298">
            <v>40545</v>
          </cell>
          <cell r="B298" t="str">
            <v>Caixa de concreto para BSTC diâmetro 0,40 m H-&gt;1,60 m</v>
          </cell>
          <cell r="C298" t="str">
            <v>un</v>
          </cell>
          <cell r="D298">
            <v>1973.7</v>
          </cell>
          <cell r="E298" t="str">
            <v>A incluir</v>
          </cell>
          <cell r="F298" t="e">
            <v>#N/A</v>
          </cell>
          <cell r="G298" t="e">
            <v>#N/A</v>
          </cell>
        </row>
        <row r="299">
          <cell r="A299">
            <v>40546</v>
          </cell>
          <cell r="B299" t="str">
            <v>Caixa de concreto para BSTC diâmetro 0,60 m H-&gt;2,00 m</v>
          </cell>
          <cell r="C299" t="str">
            <v>un</v>
          </cell>
          <cell r="D299">
            <v>3063.81</v>
          </cell>
          <cell r="E299" t="str">
            <v>A incluir</v>
          </cell>
          <cell r="F299" t="e">
            <v>#N/A</v>
          </cell>
          <cell r="G299" t="e">
            <v>#N/A</v>
          </cell>
        </row>
        <row r="300">
          <cell r="A300">
            <v>40547</v>
          </cell>
          <cell r="B300" t="str">
            <v>Caixa de concreto para BSTC diâmetro 0,80 m H-&gt;2,50 m</v>
          </cell>
          <cell r="C300" t="str">
            <v>un</v>
          </cell>
          <cell r="D300">
            <v>3800.67</v>
          </cell>
          <cell r="E300" t="str">
            <v>A incluir</v>
          </cell>
          <cell r="F300" t="e">
            <v>#N/A</v>
          </cell>
          <cell r="G300" t="e">
            <v>#N/A</v>
          </cell>
        </row>
        <row r="301">
          <cell r="A301">
            <v>40548</v>
          </cell>
          <cell r="B301" t="str">
            <v>Caixa de concreto para BSTC diâmetro 1,00 m H-&gt;3,00 m</v>
          </cell>
          <cell r="C301" t="str">
            <v>un</v>
          </cell>
          <cell r="D301">
            <v>4513.26</v>
          </cell>
          <cell r="E301" t="str">
            <v>A incluir</v>
          </cell>
          <cell r="F301" t="e">
            <v>#N/A</v>
          </cell>
          <cell r="G301" t="e">
            <v>#N/A</v>
          </cell>
        </row>
        <row r="302">
          <cell r="A302">
            <v>40549</v>
          </cell>
          <cell r="B302" t="str">
            <v>Caixa de passagem para tubos de D-&gt;0,40 m H-&gt;1,10 m</v>
          </cell>
          <cell r="C302" t="str">
            <v>un</v>
          </cell>
          <cell r="D302">
            <v>1314.79</v>
          </cell>
          <cell r="E302">
            <v>0</v>
          </cell>
          <cell r="F302" t="e">
            <v>#N/A</v>
          </cell>
          <cell r="G302" t="e">
            <v>#N/A</v>
          </cell>
        </row>
        <row r="303">
          <cell r="A303">
            <v>40550</v>
          </cell>
          <cell r="B303" t="str">
            <v>Caixa de passagem para tubos de D-&gt;0,60 m H-&gt;1,30 m</v>
          </cell>
          <cell r="C303" t="str">
            <v>un</v>
          </cell>
          <cell r="D303">
            <v>1658.31</v>
          </cell>
          <cell r="E303">
            <v>0</v>
          </cell>
          <cell r="F303" t="e">
            <v>#N/A</v>
          </cell>
          <cell r="G303" t="e">
            <v>#N/A</v>
          </cell>
        </row>
        <row r="304">
          <cell r="A304">
            <v>40551</v>
          </cell>
          <cell r="B304" t="str">
            <v>Caixa de passagem para tubos de D-&gt;0,80 m H-&gt;1,50 m</v>
          </cell>
          <cell r="C304" t="str">
            <v>un</v>
          </cell>
          <cell r="D304">
            <v>2084.98</v>
          </cell>
          <cell r="E304">
            <v>0</v>
          </cell>
          <cell r="F304" t="e">
            <v>#N/A</v>
          </cell>
          <cell r="G304" t="e">
            <v>#N/A</v>
          </cell>
        </row>
        <row r="305">
          <cell r="A305">
            <v>40552</v>
          </cell>
          <cell r="B305" t="str">
            <v>Caixa de passagem para tubos de D-&gt;1,00 m H-&gt;1,80 m</v>
          </cell>
          <cell r="C305" t="str">
            <v>un</v>
          </cell>
          <cell r="D305">
            <v>3311.22</v>
          </cell>
          <cell r="E305">
            <v>0</v>
          </cell>
          <cell r="F305" t="e">
            <v>#N/A</v>
          </cell>
          <cell r="G305" t="e">
            <v>#N/A</v>
          </cell>
        </row>
        <row r="306">
          <cell r="A306">
            <v>41320</v>
          </cell>
          <cell r="B306" t="str">
            <v>Caixa de passagem (2,50 x 2,50m)</v>
          </cell>
          <cell r="C306" t="str">
            <v>un</v>
          </cell>
          <cell r="D306">
            <v>7325.62</v>
          </cell>
          <cell r="E306" t="str">
            <v>A incluir</v>
          </cell>
          <cell r="F306" t="e">
            <v>#N/A</v>
          </cell>
          <cell r="G306" t="e">
            <v>#N/A</v>
          </cell>
        </row>
        <row r="307">
          <cell r="A307">
            <v>41184</v>
          </cell>
          <cell r="B307" t="str">
            <v>Caixa para rede de dutos, dimensões 100 x 100 x 100 cm</v>
          </cell>
          <cell r="C307" t="str">
            <v>m</v>
          </cell>
          <cell r="D307">
            <v>1203.3900000000001</v>
          </cell>
          <cell r="E307">
            <v>0</v>
          </cell>
          <cell r="F307" t="e">
            <v>#N/A</v>
          </cell>
          <cell r="G307" t="e">
            <v>#N/A</v>
          </cell>
        </row>
        <row r="308">
          <cell r="A308">
            <v>41338</v>
          </cell>
          <cell r="B308" t="str">
            <v>Caixa para rede de dutos, dimensões 60 x 60 x 60 cm</v>
          </cell>
          <cell r="C308" t="str">
            <v>un</v>
          </cell>
          <cell r="D308">
            <v>551.83000000000004</v>
          </cell>
          <cell r="E308">
            <v>0</v>
          </cell>
          <cell r="F308" t="e">
            <v>#N/A</v>
          </cell>
          <cell r="G308" t="e">
            <v>#N/A</v>
          </cell>
        </row>
        <row r="309">
          <cell r="A309">
            <v>40561</v>
          </cell>
          <cell r="B309" t="str">
            <v>Caixa ralo de elementos pré-moldados em concreto (tudo incluído)</v>
          </cell>
          <cell r="C309" t="str">
            <v>un</v>
          </cell>
          <cell r="D309">
            <v>743.2</v>
          </cell>
          <cell r="E309" t="str">
            <v>A incluir</v>
          </cell>
          <cell r="F309" t="e">
            <v>#N/A</v>
          </cell>
          <cell r="G309" t="e">
            <v>#N/A</v>
          </cell>
        </row>
        <row r="310">
          <cell r="A310">
            <v>40672</v>
          </cell>
          <cell r="B310" t="str">
            <v>Canaleta com grelha DP-1, inclusive transporte da grelha</v>
          </cell>
          <cell r="C310" t="str">
            <v>m</v>
          </cell>
          <cell r="D310">
            <v>632.91</v>
          </cell>
          <cell r="E310" t="str">
            <v>A incluir</v>
          </cell>
          <cell r="F310" t="e">
            <v>#N/A</v>
          </cell>
          <cell r="G310" t="e">
            <v>#N/A</v>
          </cell>
        </row>
        <row r="311">
          <cell r="A311">
            <v>40703</v>
          </cell>
          <cell r="B311" t="str">
            <v>Canaleta de concreto, com forma retangular inclusive caiação - parede 12 cm</v>
          </cell>
          <cell r="C311" t="str">
            <v>m</v>
          </cell>
          <cell r="D311">
            <v>196.95</v>
          </cell>
          <cell r="E311">
            <v>0</v>
          </cell>
          <cell r="F311" t="e">
            <v>#N/A</v>
          </cell>
          <cell r="G311" t="e">
            <v>#N/A</v>
          </cell>
        </row>
        <row r="312">
          <cell r="A312">
            <v>40671</v>
          </cell>
          <cell r="B312" t="str">
            <v>Canaleta de concreto retangular (0,130m³/m) inclusive caiação</v>
          </cell>
          <cell r="C312" t="str">
            <v>m</v>
          </cell>
          <cell r="D312">
            <v>242.88</v>
          </cell>
          <cell r="E312">
            <v>0</v>
          </cell>
          <cell r="F312" t="e">
            <v>#N/A</v>
          </cell>
          <cell r="G312" t="e">
            <v>#N/A</v>
          </cell>
        </row>
        <row r="313">
          <cell r="A313">
            <v>41016</v>
          </cell>
          <cell r="B313" t="str">
            <v>Canaleta de concreto (0,130m³/m) forma trapezoidal inclusive caiação</v>
          </cell>
          <cell r="C313" t="str">
            <v>m</v>
          </cell>
          <cell r="D313">
            <v>178.26</v>
          </cell>
          <cell r="E313" t="str">
            <v>A incluir</v>
          </cell>
          <cell r="F313" t="e">
            <v>#N/A</v>
          </cell>
          <cell r="G313" t="e">
            <v>#N/A</v>
          </cell>
        </row>
        <row r="314">
          <cell r="A314">
            <v>40952</v>
          </cell>
          <cell r="B314" t="str">
            <v>Cerca de tela de arame galvanizado h -&gt; 1,20 m</v>
          </cell>
          <cell r="C314" t="str">
            <v>m²</v>
          </cell>
          <cell r="D314">
            <v>29.32</v>
          </cell>
          <cell r="E314">
            <v>0</v>
          </cell>
          <cell r="F314" t="e">
            <v>#N/A</v>
          </cell>
          <cell r="G314" t="e">
            <v>#N/A</v>
          </cell>
        </row>
        <row r="315">
          <cell r="A315">
            <v>40953</v>
          </cell>
          <cell r="B315" t="str">
            <v>Cerca de tela galvanizada fio 12 malha 3"x3", com altura de 1,80 m</v>
          </cell>
          <cell r="C315" t="str">
            <v>m</v>
          </cell>
          <cell r="D315">
            <v>70.760000000000005</v>
          </cell>
          <cell r="E315" t="str">
            <v>A incluir</v>
          </cell>
          <cell r="F315" t="e">
            <v>#N/A</v>
          </cell>
          <cell r="G315" t="e">
            <v>#N/A</v>
          </cell>
        </row>
        <row r="316">
          <cell r="A316">
            <v>40708</v>
          </cell>
          <cell r="B316" t="str">
            <v>Cerca em tela revestida em PVC com mourões de concreto, 10 x 10 x 2,40 m, fornecimento e execução</v>
          </cell>
          <cell r="C316" t="str">
            <v>m²</v>
          </cell>
          <cell r="D316">
            <v>73.37</v>
          </cell>
          <cell r="E316">
            <v>0</v>
          </cell>
          <cell r="F316" t="e">
            <v>#N/A</v>
          </cell>
          <cell r="G316" t="e">
            <v>#N/A</v>
          </cell>
        </row>
        <row r="317">
          <cell r="A317">
            <v>40377</v>
          </cell>
          <cell r="B317" t="str">
            <v>Chapisco com argamassa de cimento e areia no traço 1:3</v>
          </cell>
          <cell r="C317" t="str">
            <v>m²</v>
          </cell>
          <cell r="D317">
            <v>5.43</v>
          </cell>
          <cell r="E317">
            <v>0</v>
          </cell>
          <cell r="F317">
            <v>5.43</v>
          </cell>
          <cell r="G317">
            <v>1</v>
          </cell>
        </row>
        <row r="318">
          <cell r="A318">
            <v>40378</v>
          </cell>
          <cell r="B318" t="str">
            <v>Chapisco com argamassa de cimento e pedrisco no traço 1:4</v>
          </cell>
          <cell r="C318" t="str">
            <v>m²</v>
          </cell>
          <cell r="D318">
            <v>8.34</v>
          </cell>
          <cell r="E318">
            <v>0</v>
          </cell>
          <cell r="F318" t="e">
            <v>#N/A</v>
          </cell>
          <cell r="G318" t="e">
            <v>#N/A</v>
          </cell>
        </row>
        <row r="319">
          <cell r="A319">
            <v>41389</v>
          </cell>
          <cell r="B319" t="str">
            <v>Colchão drenante de areia para fundação de aterros, exclusive o fornecimento de areia</v>
          </cell>
          <cell r="C319" t="str">
            <v>m³</v>
          </cell>
          <cell r="D319">
            <v>4.16</v>
          </cell>
          <cell r="E319">
            <v>0</v>
          </cell>
          <cell r="F319" t="e">
            <v>#N/A</v>
          </cell>
          <cell r="G319" t="e">
            <v>#N/A</v>
          </cell>
        </row>
        <row r="320">
          <cell r="A320">
            <v>40715</v>
          </cell>
          <cell r="B320" t="str">
            <v>Colchão drenante de areia para fundação de aterros, inclusive fornecimento e transporte da areia</v>
          </cell>
          <cell r="C320" t="str">
            <v>m³</v>
          </cell>
          <cell r="D320">
            <v>93.28</v>
          </cell>
          <cell r="E320" t="str">
            <v>A incluir</v>
          </cell>
          <cell r="F320" t="e">
            <v>#N/A</v>
          </cell>
          <cell r="G320" t="e">
            <v>#N/A</v>
          </cell>
        </row>
        <row r="321">
          <cell r="A321">
            <v>40716</v>
          </cell>
          <cell r="B321" t="str">
            <v>Colchão drenante de brita 1 inclusive fornecimento, espalhamento, compactação e transporte da brita</v>
          </cell>
          <cell r="C321" t="str">
            <v>m³</v>
          </cell>
          <cell r="D321">
            <v>99.89</v>
          </cell>
          <cell r="E321" t="str">
            <v>A incluir</v>
          </cell>
          <cell r="F321" t="e">
            <v>#N/A</v>
          </cell>
          <cell r="G321" t="e">
            <v>#N/A</v>
          </cell>
        </row>
        <row r="322">
          <cell r="A322">
            <v>40717</v>
          </cell>
          <cell r="B322" t="str">
            <v>Colchão drenante de brita 2 inclusive fornecimento, espalhamento, compactação e transporte da brita</v>
          </cell>
          <cell r="C322" t="str">
            <v>m³</v>
          </cell>
          <cell r="D322">
            <v>97.71</v>
          </cell>
          <cell r="E322" t="str">
            <v>A incluir</v>
          </cell>
          <cell r="F322" t="e">
            <v>#N/A</v>
          </cell>
          <cell r="G322" t="e">
            <v>#N/A</v>
          </cell>
        </row>
        <row r="323">
          <cell r="A323">
            <v>40718</v>
          </cell>
          <cell r="B323" t="str">
            <v>Colchão drenante de brita 3 inclusive fornecimento, espalhamento, compactação e transporte da brita</v>
          </cell>
          <cell r="C323" t="str">
            <v>m³</v>
          </cell>
          <cell r="D323">
            <v>105.19</v>
          </cell>
          <cell r="E323" t="str">
            <v>A incluir</v>
          </cell>
          <cell r="F323" t="e">
            <v>#N/A</v>
          </cell>
          <cell r="G323" t="e">
            <v>#N/A</v>
          </cell>
        </row>
        <row r="324">
          <cell r="A324">
            <v>40652</v>
          </cell>
          <cell r="B324" t="str">
            <v>Coleta drenante (1,00x1,00) m c/ geotêxtil não tecido RT 16kn/m, inclusive transporte da brita</v>
          </cell>
          <cell r="C324" t="str">
            <v>m</v>
          </cell>
          <cell r="D324">
            <v>311.81</v>
          </cell>
          <cell r="E324" t="str">
            <v>A incluir</v>
          </cell>
          <cell r="F324" t="e">
            <v>#N/A</v>
          </cell>
          <cell r="G324" t="e">
            <v>#N/A</v>
          </cell>
        </row>
        <row r="325">
          <cell r="A325">
            <v>41090</v>
          </cell>
          <cell r="B325" t="str">
            <v>Concreto armado, dosado para resist. 20 Mpa, incluindo 60kg aço CA-50A, mão de obra p/ corte, dobragem e montagem, exclusive forma</v>
          </cell>
          <cell r="C325" t="str">
            <v>m³</v>
          </cell>
          <cell r="D325">
            <v>816.99</v>
          </cell>
          <cell r="E325">
            <v>0</v>
          </cell>
          <cell r="F325" t="e">
            <v>#N/A</v>
          </cell>
          <cell r="G325" t="e">
            <v>#N/A</v>
          </cell>
        </row>
        <row r="326">
          <cell r="A326">
            <v>40350</v>
          </cell>
          <cell r="B326" t="str">
            <v>Concreto ciclópico com 70% concreto 10,0 MPa e 30% de pedra de mão, tudo incluído</v>
          </cell>
          <cell r="C326" t="str">
            <v>m³</v>
          </cell>
          <cell r="D326">
            <v>397.06</v>
          </cell>
          <cell r="E326" t="str">
            <v>A incluir</v>
          </cell>
          <cell r="F326" t="e">
            <v>#N/A</v>
          </cell>
          <cell r="G326" t="e">
            <v>#N/A</v>
          </cell>
        </row>
        <row r="327">
          <cell r="A327">
            <v>40351</v>
          </cell>
          <cell r="B327" t="str">
            <v>Concreto ciclópico com 70% concreto 15,0 MPa e 30% de pedra de mão, tudo incluído</v>
          </cell>
          <cell r="C327" t="str">
            <v>m³</v>
          </cell>
          <cell r="D327">
            <v>435.1</v>
          </cell>
          <cell r="E327" t="str">
            <v>A incluir</v>
          </cell>
          <cell r="F327">
            <v>513.61</v>
          </cell>
          <cell r="G327">
            <v>1.18044127786716</v>
          </cell>
        </row>
        <row r="328">
          <cell r="A328">
            <v>40353</v>
          </cell>
          <cell r="B328" t="str">
            <v>Concreto ciclópico com 70% concreto 20,0 MPa e 30% de pedra de mão, tudo incluído</v>
          </cell>
          <cell r="C328" t="str">
            <v>m³</v>
          </cell>
          <cell r="D328">
            <v>454.04</v>
          </cell>
          <cell r="E328" t="str">
            <v>A incluir</v>
          </cell>
          <cell r="F328" t="e">
            <v>#N/A</v>
          </cell>
          <cell r="G328" t="e">
            <v>#N/A</v>
          </cell>
        </row>
        <row r="329">
          <cell r="A329">
            <v>40383</v>
          </cell>
          <cell r="B329" t="str">
            <v>Concreto de Cim.Port. com equip peq.porte (custo SICRO/DNIT)</v>
          </cell>
          <cell r="C329" t="str">
            <v>m³</v>
          </cell>
          <cell r="D329">
            <v>486.69</v>
          </cell>
          <cell r="E329">
            <v>0</v>
          </cell>
          <cell r="F329" t="e">
            <v>#N/A</v>
          </cell>
          <cell r="G329" t="e">
            <v>#N/A</v>
          </cell>
        </row>
        <row r="330">
          <cell r="A330">
            <v>40349</v>
          </cell>
          <cell r="B330" t="str">
            <v>Concreto de regularização, tudo incluído</v>
          </cell>
          <cell r="C330" t="str">
            <v>m³</v>
          </cell>
          <cell r="D330">
            <v>428.12</v>
          </cell>
          <cell r="E330" t="str">
            <v>A incluir</v>
          </cell>
          <cell r="F330">
            <v>488.34</v>
          </cell>
          <cell r="G330">
            <v>1.1406614967766</v>
          </cell>
        </row>
        <row r="331">
          <cell r="A331">
            <v>40358</v>
          </cell>
          <cell r="B331" t="str">
            <v>Concreto estrutural fck -&gt; 15,0 MPa, tudo incluído</v>
          </cell>
          <cell r="C331" t="str">
            <v>m³</v>
          </cell>
          <cell r="D331">
            <v>576.55999999999995</v>
          </cell>
          <cell r="E331" t="str">
            <v>A incluir</v>
          </cell>
          <cell r="F331">
            <v>663.64</v>
          </cell>
          <cell r="G331">
            <v>1.1510337172193701</v>
          </cell>
        </row>
        <row r="332">
          <cell r="A332">
            <v>40361</v>
          </cell>
          <cell r="B332" t="str">
            <v>Concreto estrutural fck -&gt; 20,0 MPa com plastificante, tudo incluído</v>
          </cell>
          <cell r="C332" t="str">
            <v>m³</v>
          </cell>
          <cell r="D332">
            <v>606.70000000000005</v>
          </cell>
          <cell r="E332" t="str">
            <v>A incluir</v>
          </cell>
          <cell r="F332" t="e">
            <v>#N/A</v>
          </cell>
          <cell r="G332" t="e">
            <v>#N/A</v>
          </cell>
        </row>
        <row r="333">
          <cell r="A333">
            <v>40360</v>
          </cell>
          <cell r="B333" t="str">
            <v>Concreto estrutural fck -&gt; 20,0 MPa, tudo incluído</v>
          </cell>
          <cell r="C333" t="str">
            <v>m³</v>
          </cell>
          <cell r="D333">
            <v>603.62</v>
          </cell>
          <cell r="E333" t="str">
            <v>A incluir</v>
          </cell>
          <cell r="F333">
            <v>691.23</v>
          </cell>
          <cell r="G333">
            <v>1.1451409827374801</v>
          </cell>
        </row>
        <row r="334">
          <cell r="A334">
            <v>40363</v>
          </cell>
          <cell r="B334" t="str">
            <v>Concreto estrutural fck -&gt; 25,0 MPa com plastificante, tudo incluído</v>
          </cell>
          <cell r="C334" t="str">
            <v>m³</v>
          </cell>
          <cell r="D334">
            <v>635.83000000000004</v>
          </cell>
          <cell r="E334" t="str">
            <v>A incluir</v>
          </cell>
          <cell r="F334" t="e">
            <v>#N/A</v>
          </cell>
          <cell r="G334" t="e">
            <v>#N/A</v>
          </cell>
        </row>
        <row r="335">
          <cell r="A335">
            <v>40362</v>
          </cell>
          <cell r="B335" t="str">
            <v>Concreto estrutural fck -&gt; 25,0 MPa, inclusive fornecimento e transporte do cimento, areia e pedra britada</v>
          </cell>
          <cell r="C335" t="str">
            <v>m³</v>
          </cell>
          <cell r="D335">
            <v>632.37</v>
          </cell>
          <cell r="E335" t="str">
            <v>A incluir</v>
          </cell>
          <cell r="F335">
            <v>720.52</v>
          </cell>
          <cell r="G335">
            <v>1.1393962395433099</v>
          </cell>
        </row>
        <row r="336">
          <cell r="A336">
            <v>40368</v>
          </cell>
          <cell r="B336" t="str">
            <v>Concreto estrutural fck -&gt; 30,0 MPa com micro-silica e Sikacrete BR ou equivalente</v>
          </cell>
          <cell r="C336" t="str">
            <v>m³</v>
          </cell>
          <cell r="D336">
            <v>815.99</v>
          </cell>
          <cell r="E336" t="str">
            <v>A incluir</v>
          </cell>
          <cell r="F336" t="e">
            <v>#N/A</v>
          </cell>
          <cell r="G336" t="e">
            <v>#N/A</v>
          </cell>
        </row>
        <row r="337">
          <cell r="A337">
            <v>40365</v>
          </cell>
          <cell r="B337" t="str">
            <v>Concreto estrutural fck -&gt; 30,0 MPa com plastificante</v>
          </cell>
          <cell r="C337" t="str">
            <v>m³</v>
          </cell>
          <cell r="D337">
            <v>662.66</v>
          </cell>
          <cell r="E337" t="str">
            <v>A incluir</v>
          </cell>
          <cell r="F337" t="e">
            <v>#N/A</v>
          </cell>
          <cell r="G337" t="e">
            <v>#N/A</v>
          </cell>
        </row>
        <row r="338">
          <cell r="A338">
            <v>40364</v>
          </cell>
          <cell r="B338" t="str">
            <v>Concreto estrutural fck -&gt; 30,0 MPa, tudo incluído</v>
          </cell>
          <cell r="C338" t="str">
            <v>m³</v>
          </cell>
          <cell r="D338">
            <v>658.85</v>
          </cell>
          <cell r="E338" t="str">
            <v>A incluir</v>
          </cell>
          <cell r="F338" t="e">
            <v>#N/A</v>
          </cell>
          <cell r="G338" t="e">
            <v>#N/A</v>
          </cell>
        </row>
        <row r="339">
          <cell r="A339">
            <v>40369</v>
          </cell>
          <cell r="B339" t="str">
            <v>Concreto estrutural fck -&gt; 35,0 MPa com micro-silica e Sikacrete BR ou equivalente</v>
          </cell>
          <cell r="C339" t="str">
            <v>m³</v>
          </cell>
          <cell r="D339">
            <v>857.73</v>
          </cell>
          <cell r="E339" t="str">
            <v>A incluir</v>
          </cell>
          <cell r="F339" t="e">
            <v>#N/A</v>
          </cell>
          <cell r="G339" t="e">
            <v>#N/A</v>
          </cell>
        </row>
        <row r="340">
          <cell r="A340">
            <v>40371</v>
          </cell>
          <cell r="B340" t="str">
            <v>Concreto submerso fck -&gt; 20,0 MPa, tudo incluído</v>
          </cell>
          <cell r="C340" t="str">
            <v>m³</v>
          </cell>
          <cell r="D340">
            <v>1159.4100000000001</v>
          </cell>
          <cell r="E340" t="str">
            <v>A incluir</v>
          </cell>
          <cell r="F340" t="e">
            <v>#N/A</v>
          </cell>
          <cell r="G340" t="e">
            <v>#N/A</v>
          </cell>
        </row>
        <row r="341">
          <cell r="A341">
            <v>41205</v>
          </cell>
          <cell r="B341" t="str">
            <v>Conjunto Moto-bomba submersível de 15CV, fornecimento e assentamento</v>
          </cell>
          <cell r="C341" t="str">
            <v>un</v>
          </cell>
          <cell r="D341">
            <v>34189.56</v>
          </cell>
          <cell r="E341">
            <v>0</v>
          </cell>
          <cell r="F341" t="e">
            <v>#N/A</v>
          </cell>
          <cell r="G341" t="e">
            <v>#N/A</v>
          </cell>
        </row>
        <row r="342">
          <cell r="A342">
            <v>40467</v>
          </cell>
          <cell r="B342" t="str">
            <v>Corpo BDTC (grota) diâmetro 0,60 m CA-1 MF exclusive escavação e reaterro, inclusive transporte do tubo</v>
          </cell>
          <cell r="C342" t="str">
            <v>m</v>
          </cell>
          <cell r="D342">
            <v>303.82</v>
          </cell>
          <cell r="E342" t="str">
            <v>A incluir</v>
          </cell>
          <cell r="F342" t="e">
            <v>#N/A</v>
          </cell>
          <cell r="G342" t="e">
            <v>#N/A</v>
          </cell>
        </row>
        <row r="343">
          <cell r="A343">
            <v>40468</v>
          </cell>
          <cell r="B343" t="str">
            <v>Corpo BDTC (grota) diâmetro 0,60 m CA-1 PB exclusive escavação e reaterro, inclusive transporte do tubo</v>
          </cell>
          <cell r="C343" t="str">
            <v>m</v>
          </cell>
          <cell r="D343">
            <v>307.76</v>
          </cell>
          <cell r="E343" t="str">
            <v>A incluir</v>
          </cell>
          <cell r="F343" t="e">
            <v>#N/A</v>
          </cell>
          <cell r="G343" t="e">
            <v>#N/A</v>
          </cell>
        </row>
        <row r="344">
          <cell r="A344">
            <v>40469</v>
          </cell>
          <cell r="B344" t="str">
            <v>Corpo BDTC (grota) diâmetro 0,60 m CA-2 MF exclusive escavação e reaterro, inclusive transporte do tubo</v>
          </cell>
          <cell r="C344" t="str">
            <v>m</v>
          </cell>
          <cell r="D344">
            <v>290.77999999999997</v>
          </cell>
          <cell r="E344" t="str">
            <v>A incluir</v>
          </cell>
          <cell r="F344" t="e">
            <v>#N/A</v>
          </cell>
          <cell r="G344" t="e">
            <v>#N/A</v>
          </cell>
        </row>
        <row r="345">
          <cell r="A345">
            <v>40470</v>
          </cell>
          <cell r="B345" t="str">
            <v>Corpo BDTC (grota) diâmetro 0,60 m CA-2 PB exclusive escavação e reaterro, inclusive transporte do tubo</v>
          </cell>
          <cell r="C345" t="str">
            <v>m</v>
          </cell>
          <cell r="D345">
            <v>297.77999999999997</v>
          </cell>
          <cell r="E345" t="str">
            <v>A incluir</v>
          </cell>
          <cell r="F345" t="e">
            <v>#N/A</v>
          </cell>
          <cell r="G345" t="e">
            <v>#N/A</v>
          </cell>
        </row>
        <row r="346">
          <cell r="A346">
            <v>40471</v>
          </cell>
          <cell r="B346" t="str">
            <v>Corpo BDTC (grota) diâmetro 0,80 m CA-1 MF exclusive escavação e reaterro, inclusive transporte do tubo</v>
          </cell>
          <cell r="C346" t="str">
            <v>m</v>
          </cell>
          <cell r="D346">
            <v>620.86</v>
          </cell>
          <cell r="E346" t="str">
            <v>A incluir</v>
          </cell>
          <cell r="F346" t="e">
            <v>#N/A</v>
          </cell>
          <cell r="G346" t="e">
            <v>#N/A</v>
          </cell>
        </row>
        <row r="347">
          <cell r="A347">
            <v>40472</v>
          </cell>
          <cell r="B347" t="str">
            <v>Corpo BDTC (grota) diâmetro 0,80 m CA-1 PB exclusive escavação e reaterro, inclusive transporte do tubo</v>
          </cell>
          <cell r="C347" t="str">
            <v>m</v>
          </cell>
          <cell r="D347">
            <v>625.6</v>
          </cell>
          <cell r="E347" t="str">
            <v>A incluir</v>
          </cell>
          <cell r="F347" t="e">
            <v>#N/A</v>
          </cell>
          <cell r="G347" t="e">
            <v>#N/A</v>
          </cell>
        </row>
        <row r="348">
          <cell r="A348">
            <v>40473</v>
          </cell>
          <cell r="B348" t="str">
            <v>Corpo BDTC (grota) diâmetro 0,80 m CA-2 MF exclusive escavação e reaterro, inclusive transporte do tubo</v>
          </cell>
          <cell r="C348" t="str">
            <v>m</v>
          </cell>
          <cell r="D348">
            <v>607.64</v>
          </cell>
          <cell r="E348" t="str">
            <v>A incluir</v>
          </cell>
          <cell r="F348" t="e">
            <v>#N/A</v>
          </cell>
          <cell r="G348" t="e">
            <v>#N/A</v>
          </cell>
        </row>
        <row r="349">
          <cell r="A349">
            <v>40474</v>
          </cell>
          <cell r="B349" t="str">
            <v>Corpo BDTC (grota) diâmetro 0,80 m CA-2 PB exclusive escavação e reaterro, inclusive transporte do tubo</v>
          </cell>
          <cell r="C349" t="str">
            <v>m</v>
          </cell>
          <cell r="D349">
            <v>649.79</v>
          </cell>
          <cell r="E349" t="str">
            <v>A incluir</v>
          </cell>
          <cell r="F349" t="e">
            <v>#N/A</v>
          </cell>
          <cell r="G349" t="e">
            <v>#N/A</v>
          </cell>
        </row>
        <row r="350">
          <cell r="A350">
            <v>40475</v>
          </cell>
          <cell r="B350" t="str">
            <v>Corpo BDTC (grota) diâmetro 1,00 m CA-1 MF exclusive escavação e reaterro, inclusive transporte do tubo</v>
          </cell>
          <cell r="C350" t="str">
            <v>m</v>
          </cell>
          <cell r="D350">
            <v>783.74</v>
          </cell>
          <cell r="E350" t="str">
            <v>A incluir</v>
          </cell>
          <cell r="F350" t="e">
            <v>#N/A</v>
          </cell>
          <cell r="G350" t="e">
            <v>#N/A</v>
          </cell>
        </row>
        <row r="351">
          <cell r="A351">
            <v>40476</v>
          </cell>
          <cell r="B351" t="str">
            <v>Corpo BDTC (grota) diâmetro 1,00 m CA-1 PB exclusive escavação e reaterro, inclusive transporte do tubo</v>
          </cell>
          <cell r="C351" t="str">
            <v>m</v>
          </cell>
          <cell r="D351">
            <v>781.22</v>
          </cell>
          <cell r="E351" t="str">
            <v>A incluir</v>
          </cell>
          <cell r="F351" t="e">
            <v>#N/A</v>
          </cell>
          <cell r="G351" t="e">
            <v>#N/A</v>
          </cell>
        </row>
        <row r="352">
          <cell r="A352">
            <v>40477</v>
          </cell>
          <cell r="B352" t="str">
            <v>Corpo BDTC (grota) diâmetro 1,00 m CA-2 MF exclusive escavação e reaterro, inclusive transporte do tubo</v>
          </cell>
          <cell r="C352" t="str">
            <v>m</v>
          </cell>
          <cell r="D352">
            <v>861.52</v>
          </cell>
          <cell r="E352" t="str">
            <v>A incluir</v>
          </cell>
          <cell r="F352" t="e">
            <v>#N/A</v>
          </cell>
          <cell r="G352" t="e">
            <v>#N/A</v>
          </cell>
        </row>
        <row r="353">
          <cell r="A353">
            <v>40478</v>
          </cell>
          <cell r="B353" t="str">
            <v>Corpo BDTC (grota) diâmetro 1,00 m CA-2 PB exclusive escavação e reaterro, inclusive transporte do tubo</v>
          </cell>
          <cell r="C353" t="str">
            <v>m</v>
          </cell>
          <cell r="D353">
            <v>827.4</v>
          </cell>
          <cell r="E353" t="str">
            <v>A incluir</v>
          </cell>
          <cell r="F353" t="e">
            <v>#N/A</v>
          </cell>
          <cell r="G353" t="e">
            <v>#N/A</v>
          </cell>
        </row>
        <row r="354">
          <cell r="A354">
            <v>40479</v>
          </cell>
          <cell r="B354" t="str">
            <v>Corpo BDTC (grota) diâmetro 1,00 m CA-3 MF exclusive escavação e reaterro, inclusive transporte do tubo</v>
          </cell>
          <cell r="C354" t="str">
            <v>m</v>
          </cell>
          <cell r="D354">
            <v>861.26</v>
          </cell>
          <cell r="E354" t="str">
            <v>A incluir</v>
          </cell>
          <cell r="F354" t="e">
            <v>#N/A</v>
          </cell>
          <cell r="G354" t="e">
            <v>#N/A</v>
          </cell>
        </row>
        <row r="355">
          <cell r="A355">
            <v>40480</v>
          </cell>
          <cell r="B355" t="str">
            <v>Corpo BDTC (grota) diâmetro 1,20 m CA-1 MF exclusive escavação e reaterro, inclusive transporte do tubo</v>
          </cell>
          <cell r="C355" t="str">
            <v>m</v>
          </cell>
          <cell r="D355">
            <v>1137.6400000000001</v>
          </cell>
          <cell r="E355" t="str">
            <v>A incluir</v>
          </cell>
          <cell r="F355" t="e">
            <v>#N/A</v>
          </cell>
          <cell r="G355" t="e">
            <v>#N/A</v>
          </cell>
        </row>
        <row r="356">
          <cell r="A356">
            <v>40481</v>
          </cell>
          <cell r="B356" t="str">
            <v>Corpo BDTC (grota) diâmetro 1,20 m CA-1 PB exclusive escavação e reaterro, inclusive transporte do tubo</v>
          </cell>
          <cell r="C356" t="str">
            <v>m</v>
          </cell>
          <cell r="D356">
            <v>1170.9000000000001</v>
          </cell>
          <cell r="E356" t="str">
            <v>A incluir</v>
          </cell>
          <cell r="F356" t="e">
            <v>#N/A</v>
          </cell>
          <cell r="G356" t="e">
            <v>#N/A</v>
          </cell>
        </row>
        <row r="357">
          <cell r="A357">
            <v>40482</v>
          </cell>
          <cell r="B357" t="str">
            <v>Corpo BDTC (grota) diâmetro 1,20 m CA-2 MF exclusive escavação e reaterro, inclusive transporte do tubo</v>
          </cell>
          <cell r="C357" t="str">
            <v>m</v>
          </cell>
          <cell r="D357">
            <v>1150.27</v>
          </cell>
          <cell r="E357" t="str">
            <v>A incluir</v>
          </cell>
          <cell r="F357" t="e">
            <v>#N/A</v>
          </cell>
          <cell r="G357" t="e">
            <v>#N/A</v>
          </cell>
        </row>
        <row r="358">
          <cell r="A358">
            <v>40483</v>
          </cell>
          <cell r="B358" t="str">
            <v>Corpo BDTC (grota) diâmetro 1,20 m CA-2 PB exclusive escavação e reaterro, inclusive transporte do tubo</v>
          </cell>
          <cell r="C358" t="str">
            <v>m</v>
          </cell>
          <cell r="D358">
            <v>1234.68</v>
          </cell>
          <cell r="E358" t="str">
            <v>A incluir</v>
          </cell>
          <cell r="F358" t="e">
            <v>#N/A</v>
          </cell>
          <cell r="G358" t="e">
            <v>#N/A</v>
          </cell>
        </row>
        <row r="359">
          <cell r="A359">
            <v>40484</v>
          </cell>
          <cell r="B359" t="str">
            <v>Corpo BDTC (grota) diâmetro 1,20 m CA-3 MF exclusive escavação e reaterro, inclusive transporte do tubo</v>
          </cell>
          <cell r="C359" t="str">
            <v>m</v>
          </cell>
          <cell r="D359">
            <v>1202.46</v>
          </cell>
          <cell r="E359" t="str">
            <v>A incluir</v>
          </cell>
          <cell r="F359" t="e">
            <v>#N/A</v>
          </cell>
          <cell r="G359" t="e">
            <v>#N/A</v>
          </cell>
        </row>
        <row r="360">
          <cell r="A360">
            <v>40485</v>
          </cell>
          <cell r="B360" t="str">
            <v>Corpo BDTC (grota) diâmetro 1,50 m CA-1 MF exclusive escavação e reaterro, inclusive transporte do tubo</v>
          </cell>
          <cell r="C360" t="str">
            <v>m</v>
          </cell>
          <cell r="D360">
            <v>1924.42</v>
          </cell>
          <cell r="E360" t="str">
            <v>A incluir</v>
          </cell>
          <cell r="F360" t="e">
            <v>#N/A</v>
          </cell>
          <cell r="G360" t="e">
            <v>#N/A</v>
          </cell>
        </row>
        <row r="361">
          <cell r="A361">
            <v>40486</v>
          </cell>
          <cell r="B361" t="str">
            <v>Corpo BDTC (grota) diâmetro 1,50 m CA-1 PB exclusive escavação e reaterro, inclusive transporte do tubo</v>
          </cell>
          <cell r="C361" t="str">
            <v>m</v>
          </cell>
          <cell r="D361">
            <v>1655.59</v>
          </cell>
          <cell r="E361" t="str">
            <v>A incluir</v>
          </cell>
          <cell r="F361" t="e">
            <v>#N/A</v>
          </cell>
          <cell r="G361" t="e">
            <v>#N/A</v>
          </cell>
        </row>
        <row r="362">
          <cell r="A362">
            <v>40487</v>
          </cell>
          <cell r="B362" t="str">
            <v>Corpo BDTC (grota) diâmetro 1,50 m CA-2 MF exclusive escavação e reaterro, inclusive transporte do tubo</v>
          </cell>
          <cell r="C362" t="str">
            <v>m</v>
          </cell>
          <cell r="D362">
            <v>1925.07</v>
          </cell>
          <cell r="E362" t="str">
            <v>A incluir</v>
          </cell>
          <cell r="F362" t="e">
            <v>#N/A</v>
          </cell>
          <cell r="G362" t="e">
            <v>#N/A</v>
          </cell>
        </row>
        <row r="363">
          <cell r="A363">
            <v>40488</v>
          </cell>
          <cell r="B363" t="str">
            <v>Corpo BDTC (grota) diâmetro 1,50 m CA-2 PB exclusive escavação e reaterro, inclusive transporte do tubo</v>
          </cell>
          <cell r="C363" t="str">
            <v>m</v>
          </cell>
          <cell r="D363">
            <v>1742.44</v>
          </cell>
          <cell r="E363" t="str">
            <v>A incluir</v>
          </cell>
          <cell r="F363" t="e">
            <v>#N/A</v>
          </cell>
          <cell r="G363" t="e">
            <v>#N/A</v>
          </cell>
        </row>
        <row r="364">
          <cell r="A364">
            <v>40489</v>
          </cell>
          <cell r="B364" t="str">
            <v>Corpo BDTC (grota) diâmetro 1,50 m CA-3 MF exclusive escavação e reaterro, inclusive transporte do tubo</v>
          </cell>
          <cell r="C364" t="str">
            <v>m</v>
          </cell>
          <cell r="D364">
            <v>1483.57</v>
          </cell>
          <cell r="E364" t="str">
            <v>A incluir</v>
          </cell>
          <cell r="F364" t="e">
            <v>#N/A</v>
          </cell>
          <cell r="G364" t="e">
            <v>#N/A</v>
          </cell>
        </row>
        <row r="365">
          <cell r="A365">
            <v>40417</v>
          </cell>
          <cell r="B365" t="str">
            <v>Corpo BSTC diâmetro 0,20 m C.S. MF inclusive escavação, reaterro e transporte do tubo</v>
          </cell>
          <cell r="C365" t="str">
            <v>m</v>
          </cell>
          <cell r="D365">
            <v>83.72</v>
          </cell>
          <cell r="E365" t="str">
            <v>A incluir</v>
          </cell>
          <cell r="F365" t="e">
            <v>#N/A</v>
          </cell>
          <cell r="G365" t="e">
            <v>#N/A</v>
          </cell>
        </row>
        <row r="366">
          <cell r="A366">
            <v>40418</v>
          </cell>
          <cell r="B366" t="str">
            <v>Corpo BSTC diâmetro 0,20 m C.S. PB inclusive escavação, reaterro e transporte do tubo</v>
          </cell>
          <cell r="C366" t="str">
            <v>m</v>
          </cell>
          <cell r="D366">
            <v>83.72</v>
          </cell>
          <cell r="E366" t="str">
            <v>A incluir</v>
          </cell>
          <cell r="F366" t="e">
            <v>#N/A</v>
          </cell>
          <cell r="G366" t="e">
            <v>#N/A</v>
          </cell>
        </row>
        <row r="367">
          <cell r="A367">
            <v>40419</v>
          </cell>
          <cell r="B367" t="str">
            <v>Corpo BSTC diâmetro 0,30 m C.S. MF inclusive escavação, reaterro e transporte do tubo</v>
          </cell>
          <cell r="C367" t="str">
            <v>m</v>
          </cell>
          <cell r="D367">
            <v>106.75</v>
          </cell>
          <cell r="E367" t="str">
            <v>A incluir</v>
          </cell>
          <cell r="F367" t="e">
            <v>#N/A</v>
          </cell>
          <cell r="G367" t="e">
            <v>#N/A</v>
          </cell>
        </row>
        <row r="368">
          <cell r="A368">
            <v>40420</v>
          </cell>
          <cell r="B368" t="str">
            <v>Corpo BSTC diâmetro 0,30 m C.S. PB inclusive escavação, reaterro e transporte do tubo</v>
          </cell>
          <cell r="C368" t="str">
            <v>m</v>
          </cell>
          <cell r="D368">
            <v>106.14</v>
          </cell>
          <cell r="E368" t="str">
            <v>A incluir</v>
          </cell>
          <cell r="F368" t="e">
            <v>#N/A</v>
          </cell>
          <cell r="G368" t="e">
            <v>#N/A</v>
          </cell>
        </row>
        <row r="369">
          <cell r="A369">
            <v>40422</v>
          </cell>
          <cell r="B369" t="str">
            <v>Corpo BSTC diâmetro 0,40 m C.S. MF inclusive escavação, reaterro e transporte do tubo</v>
          </cell>
          <cell r="C369" t="str">
            <v>m</v>
          </cell>
          <cell r="D369">
            <v>142.07</v>
          </cell>
          <cell r="E369" t="str">
            <v>A incluir</v>
          </cell>
          <cell r="F369" t="e">
            <v>#N/A</v>
          </cell>
          <cell r="G369" t="e">
            <v>#N/A</v>
          </cell>
        </row>
        <row r="370">
          <cell r="A370">
            <v>40423</v>
          </cell>
          <cell r="B370" t="str">
            <v>Corpo BSTC diâmetro 0,40 m C.S. PB inclusive escavação, reaterro e transporte do tubo</v>
          </cell>
          <cell r="C370" t="str">
            <v>m</v>
          </cell>
          <cell r="D370">
            <v>136.69</v>
          </cell>
          <cell r="E370" t="str">
            <v>A incluir</v>
          </cell>
          <cell r="F370" t="e">
            <v>#N/A</v>
          </cell>
          <cell r="G370" t="e">
            <v>#N/A</v>
          </cell>
        </row>
        <row r="371">
          <cell r="A371">
            <v>40426</v>
          </cell>
          <cell r="B371" t="str">
            <v>Corpo BSTC diâmetro 0,60 m C.S. MF inclusive escavação, reaterro e transporte do tubo</v>
          </cell>
          <cell r="C371" t="str">
            <v>m</v>
          </cell>
          <cell r="D371">
            <v>232.23</v>
          </cell>
          <cell r="E371" t="str">
            <v>A incluir</v>
          </cell>
          <cell r="F371" t="e">
            <v>#N/A</v>
          </cell>
          <cell r="G371" t="e">
            <v>#N/A</v>
          </cell>
        </row>
        <row r="372">
          <cell r="A372">
            <v>40427</v>
          </cell>
          <cell r="B372" t="str">
            <v>Corpo BSTC diâmetro 0,60 m C.S. PB inclusive escavação, reaterro e transporte do tubo</v>
          </cell>
          <cell r="C372" t="str">
            <v>m</v>
          </cell>
          <cell r="D372">
            <v>224.13</v>
          </cell>
          <cell r="E372" t="str">
            <v>A incluir</v>
          </cell>
          <cell r="F372" t="e">
            <v>#N/A</v>
          </cell>
          <cell r="G372" t="e">
            <v>#N/A</v>
          </cell>
        </row>
        <row r="373">
          <cell r="A373">
            <v>40421</v>
          </cell>
          <cell r="B373" t="str">
            <v>Corpo BSTC (greide) diâmetro 0,30 m CA-1 MF inclusive escavação, reaterro e transporte do tubo</v>
          </cell>
          <cell r="C373" t="str">
            <v>m</v>
          </cell>
          <cell r="D373">
            <v>109.34</v>
          </cell>
          <cell r="E373" t="str">
            <v>A incluir</v>
          </cell>
          <cell r="F373" t="e">
            <v>#N/A</v>
          </cell>
          <cell r="G373" t="e">
            <v>#N/A</v>
          </cell>
        </row>
        <row r="374">
          <cell r="A374">
            <v>40424</v>
          </cell>
          <cell r="B374" t="str">
            <v>Corpo BSTC (greide) diâmetro 0,40 m CA-1 MF inclusive escavação, reaterro e transporte do tubo</v>
          </cell>
          <cell r="C374" t="str">
            <v>m</v>
          </cell>
          <cell r="D374">
            <v>152.44</v>
          </cell>
          <cell r="E374" t="str">
            <v>A incluir</v>
          </cell>
          <cell r="F374" t="e">
            <v>#N/A</v>
          </cell>
          <cell r="G374" t="e">
            <v>#N/A</v>
          </cell>
        </row>
        <row r="375">
          <cell r="A375">
            <v>40425</v>
          </cell>
          <cell r="B375" t="str">
            <v>Corpo BSTC (greide) diâmetro 0,40 m CA-2 MF inclusive escavação, reaterro e transporte do tubo</v>
          </cell>
          <cell r="C375" t="str">
            <v>m</v>
          </cell>
          <cell r="D375">
            <v>159.57</v>
          </cell>
          <cell r="E375" t="str">
            <v>A incluir</v>
          </cell>
          <cell r="F375" t="e">
            <v>#N/A</v>
          </cell>
          <cell r="G375" t="e">
            <v>#N/A</v>
          </cell>
        </row>
        <row r="376">
          <cell r="A376">
            <v>40428</v>
          </cell>
          <cell r="B376" t="str">
            <v>Corpo BSTC (greide) diâmetro 0,60 m CA-1 MF inclusive escavação, reaterro e transporte do tubo</v>
          </cell>
          <cell r="C376" t="str">
            <v>m</v>
          </cell>
          <cell r="D376">
            <v>245.23</v>
          </cell>
          <cell r="E376" t="str">
            <v>A incluir</v>
          </cell>
          <cell r="F376" t="e">
            <v>#N/A</v>
          </cell>
          <cell r="G376" t="e">
            <v>#N/A</v>
          </cell>
        </row>
        <row r="377">
          <cell r="A377">
            <v>40429</v>
          </cell>
          <cell r="B377" t="str">
            <v>Corpo BSTC (greide) diâmetro 0,60 m CA-1 PB inclusive escavação, reaterro e transporte do tubo</v>
          </cell>
          <cell r="C377" t="str">
            <v>m</v>
          </cell>
          <cell r="D377">
            <v>247.2</v>
          </cell>
          <cell r="E377" t="str">
            <v>A incluir</v>
          </cell>
          <cell r="F377" t="e">
            <v>#N/A</v>
          </cell>
          <cell r="G377" t="e">
            <v>#N/A</v>
          </cell>
        </row>
        <row r="378">
          <cell r="A378">
            <v>40430</v>
          </cell>
          <cell r="B378" t="str">
            <v>Corpo BSTC (greide) diâmetro 0,60 m CA-2 MF inclusive escavação, reaterro e transporte do tubo</v>
          </cell>
          <cell r="C378" t="str">
            <v>m</v>
          </cell>
          <cell r="D378">
            <v>238.71</v>
          </cell>
          <cell r="E378" t="str">
            <v>A incluir</v>
          </cell>
          <cell r="F378" t="e">
            <v>#N/A</v>
          </cell>
          <cell r="G378" t="e">
            <v>#N/A</v>
          </cell>
        </row>
        <row r="379">
          <cell r="A379">
            <v>40431</v>
          </cell>
          <cell r="B379" t="str">
            <v>Corpo BSTC (greide) diâmetro 0,60 m CA-2 PB inclusive escavação, reaterro e transporte do tubo</v>
          </cell>
          <cell r="C379" t="str">
            <v>m</v>
          </cell>
          <cell r="D379">
            <v>242.21</v>
          </cell>
          <cell r="E379" t="str">
            <v>A incluir</v>
          </cell>
          <cell r="F379" t="e">
            <v>#N/A</v>
          </cell>
          <cell r="G379" t="e">
            <v>#N/A</v>
          </cell>
        </row>
        <row r="380">
          <cell r="A380">
            <v>40432</v>
          </cell>
          <cell r="B380" t="str">
            <v>Corpo BSTC (greide) diâmetro 0,80 m CA-1 MF inclusive escavação, reaterro e transporte do tubo</v>
          </cell>
          <cell r="C380" t="str">
            <v>m</v>
          </cell>
          <cell r="D380">
            <v>475.63</v>
          </cell>
          <cell r="E380" t="str">
            <v>A incluir</v>
          </cell>
          <cell r="F380" t="e">
            <v>#N/A</v>
          </cell>
          <cell r="G380" t="e">
            <v>#N/A</v>
          </cell>
        </row>
        <row r="381">
          <cell r="A381">
            <v>40433</v>
          </cell>
          <cell r="B381" t="str">
            <v>Corpo BSTC (greide) diâmetro 0,80 m CA-1 PB inclusive escavação, reaterro e transporte do tubo</v>
          </cell>
          <cell r="C381" t="str">
            <v>m</v>
          </cell>
          <cell r="D381">
            <v>478.01</v>
          </cell>
          <cell r="E381" t="str">
            <v>A incluir</v>
          </cell>
          <cell r="F381" t="e">
            <v>#N/A</v>
          </cell>
          <cell r="G381" t="e">
            <v>#N/A</v>
          </cell>
        </row>
        <row r="382">
          <cell r="A382">
            <v>40434</v>
          </cell>
          <cell r="B382" t="str">
            <v>Corpo BSTC (greide) diâmetro 0,80 m CA-2 MF inclusive escavação, reaterro e transporte do tubo</v>
          </cell>
          <cell r="C382" t="str">
            <v>m</v>
          </cell>
          <cell r="D382">
            <v>469.02</v>
          </cell>
          <cell r="E382" t="str">
            <v>A incluir</v>
          </cell>
          <cell r="F382" t="e">
            <v>#N/A</v>
          </cell>
          <cell r="G382" t="e">
            <v>#N/A</v>
          </cell>
        </row>
        <row r="383">
          <cell r="A383">
            <v>40435</v>
          </cell>
          <cell r="B383" t="str">
            <v>Corpo BSTC (greide) diâmetro 0,80 m CA-2 PB inclusive escavação, reaterro e transporte do tubo</v>
          </cell>
          <cell r="C383" t="str">
            <v>m</v>
          </cell>
          <cell r="D383">
            <v>490.1</v>
          </cell>
          <cell r="E383" t="str">
            <v>A incluir</v>
          </cell>
          <cell r="F383" t="e">
            <v>#N/A</v>
          </cell>
          <cell r="G383" t="e">
            <v>#N/A</v>
          </cell>
        </row>
        <row r="384">
          <cell r="A384">
            <v>40436</v>
          </cell>
          <cell r="B384" t="str">
            <v>Corpo BSTC (greide) diâmetro 1,00 m CA-1 MF inclusive escavação, reaterro e transporte do tubo</v>
          </cell>
          <cell r="C384" t="str">
            <v>m</v>
          </cell>
          <cell r="D384">
            <v>635.6</v>
          </cell>
          <cell r="E384" t="str">
            <v>A incluir</v>
          </cell>
          <cell r="F384" t="e">
            <v>#N/A</v>
          </cell>
          <cell r="G384" t="e">
            <v>#N/A</v>
          </cell>
        </row>
        <row r="385">
          <cell r="A385">
            <v>40437</v>
          </cell>
          <cell r="B385" t="str">
            <v>Corpo BSTC (greide) diâmetro 1,00 m CA-1 PB inclusive escavação, reaterro e transporte do tubo</v>
          </cell>
          <cell r="C385" t="str">
            <v>m</v>
          </cell>
          <cell r="D385">
            <v>634.34</v>
          </cell>
          <cell r="E385" t="str">
            <v>A incluir</v>
          </cell>
          <cell r="F385" t="e">
            <v>#N/A</v>
          </cell>
          <cell r="G385" t="e">
            <v>#N/A</v>
          </cell>
        </row>
        <row r="386">
          <cell r="A386">
            <v>40438</v>
          </cell>
          <cell r="B386" t="str">
            <v>Corpo BSTC (greide) diâmetro 1,00 m CA-2 MF inclusive escavação, reaterro e transporte do tubo</v>
          </cell>
          <cell r="C386" t="str">
            <v>m</v>
          </cell>
          <cell r="D386">
            <v>674.49</v>
          </cell>
          <cell r="E386" t="str">
            <v>A incluir</v>
          </cell>
          <cell r="F386" t="e">
            <v>#N/A</v>
          </cell>
          <cell r="G386" t="e">
            <v>#N/A</v>
          </cell>
        </row>
        <row r="387">
          <cell r="A387">
            <v>40439</v>
          </cell>
          <cell r="B387" t="str">
            <v>Corpo BSTC (greide) diâmetro 1,00 m CA-2 PB inclusive escavação, reaterro e transporte do tubo</v>
          </cell>
          <cell r="C387" t="str">
            <v>m</v>
          </cell>
          <cell r="D387">
            <v>657.43</v>
          </cell>
          <cell r="E387" t="str">
            <v>A incluir</v>
          </cell>
          <cell r="F387" t="e">
            <v>#N/A</v>
          </cell>
          <cell r="G387" t="e">
            <v>#N/A</v>
          </cell>
        </row>
        <row r="388">
          <cell r="A388">
            <v>40440</v>
          </cell>
          <cell r="B388" t="str">
            <v>Corpo BSTC (greide) diâmetro 1,20 m CA-1 MF inclusive escavação, reaterro e transporte do tubo</v>
          </cell>
          <cell r="C388" t="str">
            <v>m</v>
          </cell>
          <cell r="D388">
            <v>889.11</v>
          </cell>
          <cell r="E388" t="str">
            <v>A incluir</v>
          </cell>
          <cell r="F388" t="e">
            <v>#N/A</v>
          </cell>
          <cell r="G388" t="e">
            <v>#N/A</v>
          </cell>
        </row>
        <row r="389">
          <cell r="A389">
            <v>40441</v>
          </cell>
          <cell r="B389" t="str">
            <v>Corpo BSTC (greide) diâmetro 1,20 m CA-1 PB inclusive escavação, reaterro e transporte do tubo</v>
          </cell>
          <cell r="C389" t="str">
            <v>m</v>
          </cell>
          <cell r="D389">
            <v>905.75</v>
          </cell>
          <cell r="E389" t="str">
            <v>A incluir</v>
          </cell>
          <cell r="F389" t="e">
            <v>#N/A</v>
          </cell>
          <cell r="G389" t="e">
            <v>#N/A</v>
          </cell>
        </row>
        <row r="390">
          <cell r="A390">
            <v>40442</v>
          </cell>
          <cell r="B390" t="str">
            <v>Corpo BSTC (greide) diâmetro 1,20 m CA-2 MF inclusive escavação, reaterro e transporte do tubo</v>
          </cell>
          <cell r="C390" t="str">
            <v>m</v>
          </cell>
          <cell r="D390">
            <v>895.43</v>
          </cell>
          <cell r="E390" t="str">
            <v>A incluir</v>
          </cell>
          <cell r="F390" t="e">
            <v>#N/A</v>
          </cell>
          <cell r="G390" t="e">
            <v>#N/A</v>
          </cell>
        </row>
        <row r="391">
          <cell r="A391">
            <v>40443</v>
          </cell>
          <cell r="B391" t="str">
            <v>Corpo BSTC (greide) diâmetro 1,20 m CA-2 PB inclusive escavação, reaterro e transporte do tubo</v>
          </cell>
          <cell r="C391" t="str">
            <v>m</v>
          </cell>
          <cell r="D391">
            <v>937.63</v>
          </cell>
          <cell r="E391" t="str">
            <v>A incluir</v>
          </cell>
          <cell r="F391" t="e">
            <v>#N/A</v>
          </cell>
          <cell r="G391" t="e">
            <v>#N/A</v>
          </cell>
        </row>
        <row r="392">
          <cell r="A392">
            <v>40444</v>
          </cell>
          <cell r="B392" t="str">
            <v>Corpo BSTC (grota) diâmetro 0,60 m CA-1 MF exclusive escavação e reaterro, inclusive transporte do tubo</v>
          </cell>
          <cell r="C392" t="str">
            <v>m</v>
          </cell>
          <cell r="D392">
            <v>153.28</v>
          </cell>
          <cell r="E392" t="str">
            <v>A incluir</v>
          </cell>
          <cell r="F392" t="e">
            <v>#N/A</v>
          </cell>
          <cell r="G392" t="e">
            <v>#N/A</v>
          </cell>
        </row>
        <row r="393">
          <cell r="A393">
            <v>40445</v>
          </cell>
          <cell r="B393" t="str">
            <v>Corpo BSTC (grota) diâmetro 0,60 m CA-1 PB exclusive escavação e reaterro, inclusive transporte do tubo</v>
          </cell>
          <cell r="C393" t="str">
            <v>m</v>
          </cell>
          <cell r="D393">
            <v>155.25</v>
          </cell>
          <cell r="E393" t="str">
            <v>A incluir</v>
          </cell>
          <cell r="F393" t="e">
            <v>#N/A</v>
          </cell>
          <cell r="G393" t="e">
            <v>#N/A</v>
          </cell>
        </row>
        <row r="394">
          <cell r="A394">
            <v>40446</v>
          </cell>
          <cell r="B394" t="str">
            <v>Corpo BSTC (grota) diâmetro 0,60 m CA-2 MF exclusive escavação e reaterro, inclusive transporte do tubo</v>
          </cell>
          <cell r="C394" t="str">
            <v>m</v>
          </cell>
          <cell r="D394">
            <v>146.76</v>
          </cell>
          <cell r="E394" t="str">
            <v>A incluir</v>
          </cell>
          <cell r="F394" t="e">
            <v>#N/A</v>
          </cell>
          <cell r="G394" t="e">
            <v>#N/A</v>
          </cell>
        </row>
        <row r="395">
          <cell r="A395">
            <v>40447</v>
          </cell>
          <cell r="B395" t="str">
            <v>Corpo BSTC (grota) diâmetro 0,60 m CA-2 PB exclusive escavação e reaterro, inclusive transporte do tubo</v>
          </cell>
          <cell r="C395" t="str">
            <v>m</v>
          </cell>
          <cell r="D395">
            <v>150.26</v>
          </cell>
          <cell r="E395" t="str">
            <v>A incluir</v>
          </cell>
          <cell r="F395" t="e">
            <v>#N/A</v>
          </cell>
          <cell r="G395" t="e">
            <v>#N/A</v>
          </cell>
        </row>
        <row r="396">
          <cell r="A396">
            <v>40448</v>
          </cell>
          <cell r="B396" t="str">
            <v>Corpo BSTC (grota) diâmetro 0,80 m CA-1 MF exclusive escavação e reaterro, inclusive transporte do tubo</v>
          </cell>
          <cell r="C396" t="str">
            <v>m</v>
          </cell>
          <cell r="D396">
            <v>345.93</v>
          </cell>
          <cell r="E396" t="str">
            <v>A incluir</v>
          </cell>
          <cell r="F396" t="e">
            <v>#N/A</v>
          </cell>
          <cell r="G396" t="e">
            <v>#N/A</v>
          </cell>
        </row>
        <row r="397">
          <cell r="A397">
            <v>40449</v>
          </cell>
          <cell r="B397" t="str">
            <v>Corpo BSTC (grota) diâmetro 0,80 m CA-1 PB exclusive escavação e reaterro, inclusive transporte do tubo</v>
          </cell>
          <cell r="C397" t="str">
            <v>m</v>
          </cell>
          <cell r="D397">
            <v>348.3</v>
          </cell>
          <cell r="E397" t="str">
            <v>A incluir</v>
          </cell>
          <cell r="F397" t="e">
            <v>#N/A</v>
          </cell>
          <cell r="G397" t="e">
            <v>#N/A</v>
          </cell>
        </row>
        <row r="398">
          <cell r="A398">
            <v>40450</v>
          </cell>
          <cell r="B398" t="str">
            <v>Corpo BSTC (grota) diâmetro 0,80 m CA-2 MF exclusive escavação e reaterro, inclusive transporte do tubo</v>
          </cell>
          <cell r="C398" t="str">
            <v>m</v>
          </cell>
          <cell r="D398">
            <v>339.31</v>
          </cell>
          <cell r="E398" t="str">
            <v>A incluir</v>
          </cell>
          <cell r="F398" t="e">
            <v>#N/A</v>
          </cell>
          <cell r="G398" t="e">
            <v>#N/A</v>
          </cell>
        </row>
        <row r="399">
          <cell r="A399">
            <v>40451</v>
          </cell>
          <cell r="B399" t="str">
            <v>Corpo BSTC (grota) diâmetro 0,80 m CA-2 PB exclusive escavação e reaterro, inclusive transporte do tubo</v>
          </cell>
          <cell r="C399" t="str">
            <v>m</v>
          </cell>
          <cell r="D399">
            <v>360.39</v>
          </cell>
          <cell r="E399" t="str">
            <v>A incluir</v>
          </cell>
          <cell r="F399" t="e">
            <v>#N/A</v>
          </cell>
          <cell r="G399" t="e">
            <v>#N/A</v>
          </cell>
        </row>
        <row r="400">
          <cell r="A400">
            <v>40452</v>
          </cell>
          <cell r="B400" t="str">
            <v>Corpo BSTC (grota) diâmetro 1,00 m CA-1 MF exclusive escavação e reaterro, inclusive transporte do tubo</v>
          </cell>
          <cell r="C400" t="str">
            <v>m</v>
          </cell>
          <cell r="D400">
            <v>426.61</v>
          </cell>
          <cell r="E400" t="str">
            <v>A incluir</v>
          </cell>
          <cell r="F400" t="e">
            <v>#N/A</v>
          </cell>
          <cell r="G400" t="e">
            <v>#N/A</v>
          </cell>
        </row>
        <row r="401">
          <cell r="A401">
            <v>40453</v>
          </cell>
          <cell r="B401" t="str">
            <v>Corpo BSTC (grota) diâmetro 1,00 m CA-1 PB exclusive escavação e reaterro, inclusive transporte do tubo</v>
          </cell>
          <cell r="C401" t="str">
            <v>m</v>
          </cell>
          <cell r="D401">
            <v>425.35</v>
          </cell>
          <cell r="E401" t="str">
            <v>A incluir</v>
          </cell>
          <cell r="F401" t="e">
            <v>#N/A</v>
          </cell>
          <cell r="G401" t="e">
            <v>#N/A</v>
          </cell>
        </row>
        <row r="402">
          <cell r="A402">
            <v>40454</v>
          </cell>
          <cell r="B402" t="str">
            <v>Corpo BSTC (grota) diâmetro 1,00 m CA-2 MF exclusive escavação e reaterro, inclusive transporte do tubo</v>
          </cell>
          <cell r="C402" t="str">
            <v>m</v>
          </cell>
          <cell r="D402">
            <v>465.5</v>
          </cell>
          <cell r="E402" t="str">
            <v>A incluir</v>
          </cell>
          <cell r="F402" t="e">
            <v>#N/A</v>
          </cell>
          <cell r="G402" t="e">
            <v>#N/A</v>
          </cell>
        </row>
        <row r="403">
          <cell r="A403">
            <v>40455</v>
          </cell>
          <cell r="B403" t="str">
            <v>Corpo BSTC (grota) diâmetro 1,00 m CA-2 PB exclusive escavação e reaterro, inclusive transporte do tubo</v>
          </cell>
          <cell r="C403" t="str">
            <v>m</v>
          </cell>
          <cell r="D403">
            <v>448.44</v>
          </cell>
          <cell r="E403" t="str">
            <v>A incluir</v>
          </cell>
          <cell r="F403" t="e">
            <v>#N/A</v>
          </cell>
          <cell r="G403" t="e">
            <v>#N/A</v>
          </cell>
        </row>
        <row r="404">
          <cell r="A404">
            <v>40456</v>
          </cell>
          <cell r="B404" t="str">
            <v>Corpo BSTC (grota) diâmetro 1,00 m CA-3 MF exclusive escavação e reaterro, inclusive transporte do tubo</v>
          </cell>
          <cell r="C404" t="str">
            <v>m</v>
          </cell>
          <cell r="D404">
            <v>465.37</v>
          </cell>
          <cell r="E404" t="str">
            <v>A incluir</v>
          </cell>
          <cell r="F404" t="e">
            <v>#N/A</v>
          </cell>
          <cell r="G404" t="e">
            <v>#N/A</v>
          </cell>
        </row>
        <row r="405">
          <cell r="A405">
            <v>40457</v>
          </cell>
          <cell r="B405" t="str">
            <v>Corpo BSTC (grota) diâmetro 1,20 m CA-1 MF exclusive escavação e reaterro, inclusive transporte do tubo</v>
          </cell>
          <cell r="C405" t="str">
            <v>m</v>
          </cell>
          <cell r="D405">
            <v>606.34</v>
          </cell>
          <cell r="E405" t="str">
            <v>A incluir</v>
          </cell>
          <cell r="F405" t="e">
            <v>#N/A</v>
          </cell>
          <cell r="G405" t="e">
            <v>#N/A</v>
          </cell>
        </row>
        <row r="406">
          <cell r="A406">
            <v>40458</v>
          </cell>
          <cell r="B406" t="str">
            <v>Corpo BSTC (grota) diâmetro 1,20 m CA-1 PB exclusive escavação e reaterro, inclusive transporte do tubo</v>
          </cell>
          <cell r="C406" t="str">
            <v>m</v>
          </cell>
          <cell r="D406">
            <v>622.97</v>
          </cell>
          <cell r="E406" t="str">
            <v>A incluir</v>
          </cell>
          <cell r="F406" t="e">
            <v>#N/A</v>
          </cell>
          <cell r="G406" t="e">
            <v>#N/A</v>
          </cell>
        </row>
        <row r="407">
          <cell r="A407">
            <v>40459</v>
          </cell>
          <cell r="B407" t="str">
            <v>Corpo BSTC (grota) diâmetro 1,20 m CA-2 MF exclusive escavação e reaterro, inclusive transporte do tubo</v>
          </cell>
          <cell r="C407" t="str">
            <v>m</v>
          </cell>
          <cell r="D407">
            <v>612.65</v>
          </cell>
          <cell r="E407" t="str">
            <v>A incluir</v>
          </cell>
          <cell r="F407" t="e">
            <v>#N/A</v>
          </cell>
          <cell r="G407" t="e">
            <v>#N/A</v>
          </cell>
        </row>
        <row r="408">
          <cell r="A408">
            <v>40460</v>
          </cell>
          <cell r="B408" t="str">
            <v>Corpo BSTC (grota) diâmetro 1,20 m CA-2 PB exclusive escavação e reaterro, inclusive transporte do tubo</v>
          </cell>
          <cell r="C408" t="str">
            <v>m</v>
          </cell>
          <cell r="D408">
            <v>654.86</v>
          </cell>
          <cell r="E408" t="str">
            <v>A incluir</v>
          </cell>
          <cell r="F408" t="e">
            <v>#N/A</v>
          </cell>
          <cell r="G408" t="e">
            <v>#N/A</v>
          </cell>
        </row>
        <row r="409">
          <cell r="A409">
            <v>40461</v>
          </cell>
          <cell r="B409" t="str">
            <v>Corpo BSTC (grota) diâmetro 1,20 m CA-3 MF exclusive escavação e reaterro, inclusive transporte do tubo</v>
          </cell>
          <cell r="C409" t="str">
            <v>m</v>
          </cell>
          <cell r="D409">
            <v>638.75</v>
          </cell>
          <cell r="E409" t="str">
            <v>A incluir</v>
          </cell>
          <cell r="F409" t="e">
            <v>#N/A</v>
          </cell>
          <cell r="G409" t="e">
            <v>#N/A</v>
          </cell>
        </row>
        <row r="410">
          <cell r="A410">
            <v>40462</v>
          </cell>
          <cell r="B410" t="str">
            <v>Corpo BSTC (grota) diâmetro 1,50 m CA-1 MF exclusive escavação e reaterro, inclusive transporte do tubo</v>
          </cell>
          <cell r="C410" t="str">
            <v>m</v>
          </cell>
          <cell r="D410">
            <v>996.95</v>
          </cell>
          <cell r="E410" t="str">
            <v>A incluir</v>
          </cell>
          <cell r="F410" t="e">
            <v>#N/A</v>
          </cell>
          <cell r="G410" t="e">
            <v>#N/A</v>
          </cell>
        </row>
        <row r="411">
          <cell r="A411">
            <v>40463</v>
          </cell>
          <cell r="B411" t="str">
            <v>Corpo BSTC (grota) diâmetro 1,50 m CA-1 PB exclusive escavação e reaterro, inclusive transporte do tubo</v>
          </cell>
          <cell r="C411" t="str">
            <v>m</v>
          </cell>
          <cell r="D411">
            <v>862.54</v>
          </cell>
          <cell r="E411" t="str">
            <v>A incluir</v>
          </cell>
          <cell r="F411" t="e">
            <v>#N/A</v>
          </cell>
          <cell r="G411" t="e">
            <v>#N/A</v>
          </cell>
        </row>
        <row r="412">
          <cell r="A412">
            <v>40464</v>
          </cell>
          <cell r="B412" t="str">
            <v>Corpo BSTC (grota) diâmetro 1,50 m CA-2 MF exclusive escavação e reaterro, inclusive transporte do tubo</v>
          </cell>
          <cell r="C412" t="str">
            <v>m</v>
          </cell>
          <cell r="D412">
            <v>997.28</v>
          </cell>
          <cell r="E412" t="str">
            <v>A incluir</v>
          </cell>
          <cell r="F412" t="e">
            <v>#N/A</v>
          </cell>
          <cell r="G412" t="e">
            <v>#N/A</v>
          </cell>
        </row>
        <row r="413">
          <cell r="A413">
            <v>40465</v>
          </cell>
          <cell r="B413" t="str">
            <v>Corpo BSTC (grota) diâmetro 1,50 m CA-2 PB exclusive escavação e reaterro, inclusive transporte do tubo</v>
          </cell>
          <cell r="C413" t="str">
            <v>m</v>
          </cell>
          <cell r="D413">
            <v>905.97</v>
          </cell>
          <cell r="E413" t="str">
            <v>A incluir</v>
          </cell>
          <cell r="F413" t="e">
            <v>#N/A</v>
          </cell>
          <cell r="G413" t="e">
            <v>#N/A</v>
          </cell>
        </row>
        <row r="414">
          <cell r="A414">
            <v>40466</v>
          </cell>
          <cell r="B414" t="str">
            <v>Corpo BSTC (grota) diâmetro 1,50 m CA-3 MF exclusive escavação e reaterro, inclusive transporte do tubo</v>
          </cell>
          <cell r="C414" t="str">
            <v>m</v>
          </cell>
          <cell r="D414">
            <v>776.53</v>
          </cell>
          <cell r="E414" t="str">
            <v>A incluir</v>
          </cell>
          <cell r="F414" t="e">
            <v>#N/A</v>
          </cell>
          <cell r="G414" t="e">
            <v>#N/A</v>
          </cell>
        </row>
        <row r="415">
          <cell r="A415">
            <v>40490</v>
          </cell>
          <cell r="B415" t="str">
            <v>Corpo BTTC (grota) diâmetro 0,60 m CA-1 MF exclusive escavação e reaterro, inclusive transporte do tubo</v>
          </cell>
          <cell r="C415" t="str">
            <v>m</v>
          </cell>
          <cell r="D415">
            <v>457.14</v>
          </cell>
          <cell r="E415" t="str">
            <v>A incluir</v>
          </cell>
          <cell r="F415" t="e">
            <v>#N/A</v>
          </cell>
          <cell r="G415" t="e">
            <v>#N/A</v>
          </cell>
        </row>
        <row r="416">
          <cell r="A416">
            <v>40491</v>
          </cell>
          <cell r="B416" t="str">
            <v>Corpo BTTC (grota) diâmetro 0,60 m CA-1 PB exclusive escavação e reaterro, inclusive transporte do tubo</v>
          </cell>
          <cell r="C416" t="str">
            <v>m</v>
          </cell>
          <cell r="D416">
            <v>463.05</v>
          </cell>
          <cell r="E416" t="str">
            <v>A incluir</v>
          </cell>
          <cell r="F416" t="e">
            <v>#N/A</v>
          </cell>
          <cell r="G416" t="e">
            <v>#N/A</v>
          </cell>
        </row>
        <row r="417">
          <cell r="A417">
            <v>40492</v>
          </cell>
          <cell r="B417" t="str">
            <v>Corpo BTTC (grota) diâmetro 0,60 m CA-2 MF exclusive escavação e reaterro, inclusive transporte do tubo</v>
          </cell>
          <cell r="C417" t="str">
            <v>m</v>
          </cell>
          <cell r="D417">
            <v>437.57</v>
          </cell>
          <cell r="E417" t="str">
            <v>A incluir</v>
          </cell>
          <cell r="F417" t="e">
            <v>#N/A</v>
          </cell>
          <cell r="G417" t="e">
            <v>#N/A</v>
          </cell>
        </row>
        <row r="418">
          <cell r="A418">
            <v>40493</v>
          </cell>
          <cell r="B418" t="str">
            <v>Corpo BTTC (grota) diâmetro 0,60 m CA-2 PB exclusive escavação e reaterro, inclusive transporte do tubo</v>
          </cell>
          <cell r="C418" t="str">
            <v>m</v>
          </cell>
          <cell r="D418">
            <v>448.07</v>
          </cell>
          <cell r="E418" t="str">
            <v>A incluir</v>
          </cell>
          <cell r="F418" t="e">
            <v>#N/A</v>
          </cell>
          <cell r="G418" t="e">
            <v>#N/A</v>
          </cell>
        </row>
        <row r="419">
          <cell r="A419">
            <v>40494</v>
          </cell>
          <cell r="B419" t="str">
            <v>Corpo BTTC (grota) diâmetro 0,80 m CA-1 MF exclusive escavação e reaterro, inclusive transporte do tubo</v>
          </cell>
          <cell r="C419" t="str">
            <v>m</v>
          </cell>
          <cell r="D419">
            <v>898.84</v>
          </cell>
          <cell r="E419" t="str">
            <v>A incluir</v>
          </cell>
          <cell r="F419" t="e">
            <v>#N/A</v>
          </cell>
          <cell r="G419" t="e">
            <v>#N/A</v>
          </cell>
        </row>
        <row r="420">
          <cell r="A420">
            <v>40495</v>
          </cell>
          <cell r="B420" t="str">
            <v>Corpo BTTC (grota) diâmetro 0,80 m CA-1 PB exclusive escavação e reaterro, inclusive transporte do tubo</v>
          </cell>
          <cell r="C420" t="str">
            <v>m</v>
          </cell>
          <cell r="D420">
            <v>905.95</v>
          </cell>
          <cell r="E420" t="str">
            <v>A incluir</v>
          </cell>
          <cell r="F420" t="e">
            <v>#N/A</v>
          </cell>
          <cell r="G420" t="e">
            <v>#N/A</v>
          </cell>
        </row>
        <row r="421">
          <cell r="A421">
            <v>40496</v>
          </cell>
          <cell r="B421" t="str">
            <v>Corpo BTTC (grota) diâmetro 0,80 m CA-2 MF exclusive escavação e reaterro, inclusive transporte do tubo</v>
          </cell>
          <cell r="C421" t="str">
            <v>m</v>
          </cell>
          <cell r="D421">
            <v>879</v>
          </cell>
          <cell r="E421" t="str">
            <v>A incluir</v>
          </cell>
          <cell r="F421" t="e">
            <v>#N/A</v>
          </cell>
          <cell r="G421" t="e">
            <v>#N/A</v>
          </cell>
        </row>
        <row r="422">
          <cell r="A422">
            <v>40497</v>
          </cell>
          <cell r="B422" t="str">
            <v>Corpo BTTC (grota) diâmetro 0,80 m CA-2 PB exclusive escavação e reaterro, inclusive transporte do tubo</v>
          </cell>
          <cell r="C422" t="str">
            <v>m</v>
          </cell>
          <cell r="D422">
            <v>942.24</v>
          </cell>
          <cell r="E422" t="str">
            <v>A incluir</v>
          </cell>
          <cell r="F422" t="e">
            <v>#N/A</v>
          </cell>
          <cell r="G422" t="e">
            <v>#N/A</v>
          </cell>
        </row>
        <row r="423">
          <cell r="A423">
            <v>40498</v>
          </cell>
          <cell r="B423" t="str">
            <v>Corpo BTTC (grota) diâmetro 1,00 m CA-1 MF exclusive escavação e reaterro, inclusive transporte do tubo</v>
          </cell>
          <cell r="C423" t="str">
            <v>m</v>
          </cell>
          <cell r="D423">
            <v>1140.8699999999999</v>
          </cell>
          <cell r="E423" t="str">
            <v>A incluir</v>
          </cell>
          <cell r="F423" t="e">
            <v>#N/A</v>
          </cell>
          <cell r="G423" t="e">
            <v>#N/A</v>
          </cell>
        </row>
        <row r="424">
          <cell r="A424">
            <v>40499</v>
          </cell>
          <cell r="B424" t="str">
            <v>Corpo BTTC (grota) diâmetro 1,00 m CA-1 PB exclusive escavação e reaterro, inclusive transporte do tubo</v>
          </cell>
          <cell r="C424" t="str">
            <v>m</v>
          </cell>
          <cell r="D424">
            <v>1137.0999999999999</v>
          </cell>
          <cell r="E424" t="str">
            <v>A incluir</v>
          </cell>
          <cell r="F424" t="e">
            <v>#N/A</v>
          </cell>
          <cell r="G424" t="e">
            <v>#N/A</v>
          </cell>
        </row>
        <row r="425">
          <cell r="A425">
            <v>40500</v>
          </cell>
          <cell r="B425" t="str">
            <v>Corpo BTTC (grota) diâmetro 1,00 m CA-2 MF exclusive escavação e reaterro, inclusive transporte do tubo</v>
          </cell>
          <cell r="C425" t="str">
            <v>m</v>
          </cell>
          <cell r="D425">
            <v>1257.54</v>
          </cell>
          <cell r="E425" t="str">
            <v>A incluir</v>
          </cell>
          <cell r="F425" t="e">
            <v>#N/A</v>
          </cell>
          <cell r="G425" t="e">
            <v>#N/A</v>
          </cell>
        </row>
        <row r="426">
          <cell r="A426">
            <v>40501</v>
          </cell>
          <cell r="B426" t="str">
            <v>Corpo BTTC (grota) diâmetro 1,00 m CA-2 PB exclusive escavação e reaterro, inclusive transporte do tubo</v>
          </cell>
          <cell r="C426" t="str">
            <v>m</v>
          </cell>
          <cell r="D426">
            <v>1206.3599999999999</v>
          </cell>
          <cell r="E426" t="str">
            <v>A incluir</v>
          </cell>
          <cell r="F426" t="e">
            <v>#N/A</v>
          </cell>
          <cell r="G426" t="e">
            <v>#N/A</v>
          </cell>
        </row>
        <row r="427">
          <cell r="A427">
            <v>40502</v>
          </cell>
          <cell r="B427" t="str">
            <v>Corpo BTTC (grota) diâmetro 1,00 m CA-3 MF exclusive escavação e reaterro, inclusive transporte do tubo</v>
          </cell>
          <cell r="C427" t="str">
            <v>m</v>
          </cell>
          <cell r="D427">
            <v>1257.1500000000001</v>
          </cell>
          <cell r="E427" t="str">
            <v>A incluir</v>
          </cell>
          <cell r="F427" t="e">
            <v>#N/A</v>
          </cell>
          <cell r="G427" t="e">
            <v>#N/A</v>
          </cell>
        </row>
        <row r="428">
          <cell r="A428">
            <v>40503</v>
          </cell>
          <cell r="B428" t="str">
            <v>Corpo BTTC (grota) diâmetro 1,20 m CA-1 MF exclusive escavação e reaterro, inclusive transporte do tubo</v>
          </cell>
          <cell r="C428" t="str">
            <v>m</v>
          </cell>
          <cell r="D428">
            <v>1680.08</v>
          </cell>
          <cell r="E428" t="str">
            <v>A incluir</v>
          </cell>
          <cell r="F428" t="e">
            <v>#N/A</v>
          </cell>
          <cell r="G428" t="e">
            <v>#N/A</v>
          </cell>
        </row>
        <row r="429">
          <cell r="A429">
            <v>40504</v>
          </cell>
          <cell r="B429" t="str">
            <v>Corpo BTTC (grota) diâmetro 1,20 m CA-1 PB exclusive escavação e reaterro, inclusive transporte do tubo</v>
          </cell>
          <cell r="C429" t="str">
            <v>m</v>
          </cell>
          <cell r="D429">
            <v>1729.97</v>
          </cell>
          <cell r="E429" t="str">
            <v>A incluir</v>
          </cell>
          <cell r="F429" t="e">
            <v>#N/A</v>
          </cell>
          <cell r="G429" t="e">
            <v>#N/A</v>
          </cell>
        </row>
        <row r="430">
          <cell r="A430">
            <v>40505</v>
          </cell>
          <cell r="B430" t="str">
            <v>Corpo BTTC (grota) diâmetro 1,20 m CA-2 MF exclusive escavação e reaterro, inclusive transporte do tubo</v>
          </cell>
          <cell r="C430" t="str">
            <v>m</v>
          </cell>
          <cell r="D430">
            <v>1699.02</v>
          </cell>
          <cell r="E430" t="str">
            <v>A incluir</v>
          </cell>
          <cell r="F430" t="e">
            <v>#N/A</v>
          </cell>
          <cell r="G430" t="e">
            <v>#N/A</v>
          </cell>
        </row>
        <row r="431">
          <cell r="A431">
            <v>40506</v>
          </cell>
          <cell r="B431" t="str">
            <v>Corpo BTTC (grota) diâmetro 1,20 m CA-2 PB exclusive escavação e reaterro, inclusive transporte do tubo</v>
          </cell>
          <cell r="C431" t="str">
            <v>m</v>
          </cell>
          <cell r="D431">
            <v>1825.64</v>
          </cell>
          <cell r="E431" t="str">
            <v>A incluir</v>
          </cell>
          <cell r="F431" t="e">
            <v>#N/A</v>
          </cell>
          <cell r="G431" t="e">
            <v>#N/A</v>
          </cell>
        </row>
        <row r="432">
          <cell r="A432">
            <v>40507</v>
          </cell>
          <cell r="B432" t="str">
            <v>Corpo BTTC (grota) diâmetro 1,20 m CA-3 MF exclusive escavação e reaterro, inclusive transporte do tubo</v>
          </cell>
          <cell r="C432" t="str">
            <v>m</v>
          </cell>
          <cell r="D432">
            <v>1777.3</v>
          </cell>
          <cell r="E432" t="str">
            <v>A incluir</v>
          </cell>
          <cell r="F432" t="e">
            <v>#N/A</v>
          </cell>
          <cell r="G432" t="e">
            <v>#N/A</v>
          </cell>
        </row>
        <row r="433">
          <cell r="A433">
            <v>40508</v>
          </cell>
          <cell r="B433" t="str">
            <v>Corpo BTTC (grota) diâmetro 1,50 m CA-1 MF exclusive escavação e reaterro, inclusive transporte do tubo</v>
          </cell>
          <cell r="C433" t="str">
            <v>m</v>
          </cell>
          <cell r="D433">
            <v>2851.89</v>
          </cell>
          <cell r="E433" t="str">
            <v>A incluir</v>
          </cell>
          <cell r="F433" t="e">
            <v>#N/A</v>
          </cell>
          <cell r="G433" t="e">
            <v>#N/A</v>
          </cell>
        </row>
        <row r="434">
          <cell r="A434">
            <v>40509</v>
          </cell>
          <cell r="B434" t="str">
            <v>Corpo BTTC (grota) diâmetro 1,50 m CA-1 PB exclusive escavação e reaterro, inclusive transporte do tubo</v>
          </cell>
          <cell r="C434" t="str">
            <v>m</v>
          </cell>
          <cell r="D434">
            <v>2448.65</v>
          </cell>
          <cell r="E434" t="str">
            <v>A incluir</v>
          </cell>
          <cell r="F434" t="e">
            <v>#N/A</v>
          </cell>
          <cell r="G434" t="e">
            <v>#N/A</v>
          </cell>
        </row>
        <row r="435">
          <cell r="A435">
            <v>40510</v>
          </cell>
          <cell r="B435" t="str">
            <v>Corpo BTTC (grota) diâmetro 1,50 m CA-2 MF exclusive escavação e reaterro, inclusive transporte do tubo</v>
          </cell>
          <cell r="C435" t="str">
            <v>m</v>
          </cell>
          <cell r="D435">
            <v>2852.87</v>
          </cell>
          <cell r="E435" t="str">
            <v>A incluir</v>
          </cell>
          <cell r="F435" t="e">
            <v>#N/A</v>
          </cell>
          <cell r="G435" t="e">
            <v>#N/A</v>
          </cell>
        </row>
        <row r="436">
          <cell r="A436">
            <v>40511</v>
          </cell>
          <cell r="B436" t="str">
            <v>Corpo BTTC (grota) diâmetro 1,50 m CA-2 PB exclusive escavação e reaterro, inclusive transporte do tubo</v>
          </cell>
          <cell r="C436" t="str">
            <v>m</v>
          </cell>
          <cell r="D436">
            <v>2578.9299999999998</v>
          </cell>
          <cell r="E436" t="str">
            <v>A incluir</v>
          </cell>
          <cell r="F436" t="e">
            <v>#N/A</v>
          </cell>
          <cell r="G436" t="e">
            <v>#N/A</v>
          </cell>
        </row>
        <row r="437">
          <cell r="A437">
            <v>40512</v>
          </cell>
          <cell r="B437" t="str">
            <v>Corpo BTTC (grota) diâmetro 1,50 m CA-3 MF exclusive escavação e reaterro, inclusive transporte do tubo</v>
          </cell>
          <cell r="C437" t="str">
            <v>m</v>
          </cell>
          <cell r="D437">
            <v>2190.63</v>
          </cell>
          <cell r="E437" t="str">
            <v>A incluir</v>
          </cell>
          <cell r="F437" t="e">
            <v>#N/A</v>
          </cell>
          <cell r="G437" t="e">
            <v>#N/A</v>
          </cell>
        </row>
        <row r="438">
          <cell r="A438">
            <v>40586</v>
          </cell>
          <cell r="B438" t="str">
            <v>Corpo de BDCC 1,50 x 1,50 m projeto DNIT para H &lt; -&gt; 2,50 m</v>
          </cell>
          <cell r="C438" t="str">
            <v>m</v>
          </cell>
          <cell r="D438">
            <v>3869.84</v>
          </cell>
          <cell r="E438">
            <v>0</v>
          </cell>
          <cell r="F438" t="e">
            <v>#N/A</v>
          </cell>
          <cell r="G438" t="e">
            <v>#N/A</v>
          </cell>
        </row>
        <row r="439">
          <cell r="A439">
            <v>40592</v>
          </cell>
          <cell r="B439" t="str">
            <v>Corpo de BDCC 1,50 x 1,50 m projeto DNIT para 2,50 &lt; H &lt; 5,00 m</v>
          </cell>
          <cell r="C439" t="str">
            <v>m</v>
          </cell>
          <cell r="D439">
            <v>4039.91</v>
          </cell>
          <cell r="E439">
            <v>0</v>
          </cell>
          <cell r="F439" t="e">
            <v>#N/A</v>
          </cell>
          <cell r="G439" t="e">
            <v>#N/A</v>
          </cell>
        </row>
        <row r="440">
          <cell r="A440">
            <v>40598</v>
          </cell>
          <cell r="B440" t="str">
            <v>Corpo de BDCC 2,00 x 1,20 m -tudo incluido conforme projeto</v>
          </cell>
          <cell r="C440" t="str">
            <v>m</v>
          </cell>
          <cell r="D440">
            <v>5643.36</v>
          </cell>
          <cell r="E440">
            <v>0</v>
          </cell>
          <cell r="F440" t="e">
            <v>#N/A</v>
          </cell>
          <cell r="G440" t="e">
            <v>#N/A</v>
          </cell>
        </row>
        <row r="441">
          <cell r="A441">
            <v>40587</v>
          </cell>
          <cell r="B441" t="str">
            <v>Corpo de BDCC 2,00 x 2,00 m projeto DNIT para H &lt; -&gt; 2,50 m</v>
          </cell>
          <cell r="C441" t="str">
            <v>m</v>
          </cell>
          <cell r="D441">
            <v>5563.81</v>
          </cell>
          <cell r="E441">
            <v>0</v>
          </cell>
          <cell r="F441" t="e">
            <v>#N/A</v>
          </cell>
          <cell r="G441" t="e">
            <v>#N/A</v>
          </cell>
        </row>
        <row r="442">
          <cell r="A442">
            <v>40593</v>
          </cell>
          <cell r="B442" t="str">
            <v>Corpo de BDCC 2,00 x 2,00 m projeto DNIT para 2,50 &lt; H &lt;5,00 m</v>
          </cell>
          <cell r="C442" t="str">
            <v>m</v>
          </cell>
          <cell r="D442">
            <v>6144.52</v>
          </cell>
          <cell r="E442">
            <v>0</v>
          </cell>
          <cell r="F442" t="e">
            <v>#N/A</v>
          </cell>
          <cell r="G442" t="e">
            <v>#N/A</v>
          </cell>
        </row>
        <row r="443">
          <cell r="A443">
            <v>40588</v>
          </cell>
          <cell r="B443" t="str">
            <v>Corpo de BDCC 2,00 x 3,00 m projeto DNIT para H &lt; -&gt; 2,50 m</v>
          </cell>
          <cell r="C443" t="str">
            <v>m</v>
          </cell>
          <cell r="D443">
            <v>7922.75</v>
          </cell>
          <cell r="E443">
            <v>0</v>
          </cell>
          <cell r="F443" t="e">
            <v>#N/A</v>
          </cell>
          <cell r="G443" t="e">
            <v>#N/A</v>
          </cell>
        </row>
        <row r="444">
          <cell r="A444">
            <v>40594</v>
          </cell>
          <cell r="B444" t="str">
            <v>Corpo de BDCC 2,00 x 3,00 m projeto DNIT para 2,50 &lt; H &lt; 5,00 m</v>
          </cell>
          <cell r="C444" t="str">
            <v>m</v>
          </cell>
          <cell r="D444">
            <v>9247.27</v>
          </cell>
          <cell r="E444">
            <v>0</v>
          </cell>
          <cell r="F444" t="e">
            <v>#N/A</v>
          </cell>
          <cell r="G444" t="e">
            <v>#N/A</v>
          </cell>
        </row>
        <row r="445">
          <cell r="A445">
            <v>40599</v>
          </cell>
          <cell r="B445" t="str">
            <v>Corpo de BDCC 2,50 x 2,00 m - tudo incluído conforme projeto</v>
          </cell>
          <cell r="C445" t="str">
            <v>m</v>
          </cell>
          <cell r="D445">
            <v>8143.6</v>
          </cell>
          <cell r="E445">
            <v>0</v>
          </cell>
          <cell r="F445" t="e">
            <v>#N/A</v>
          </cell>
          <cell r="G445" t="e">
            <v>#N/A</v>
          </cell>
        </row>
        <row r="446">
          <cell r="A446">
            <v>40589</v>
          </cell>
          <cell r="B446" t="str">
            <v>Corpo de BDCC 2,50 x 2,50 m projeto DNIT para H &lt; -&gt; 2,50 m</v>
          </cell>
          <cell r="C446" t="str">
            <v>m</v>
          </cell>
          <cell r="D446">
            <v>7468.86</v>
          </cell>
          <cell r="E446">
            <v>0</v>
          </cell>
          <cell r="F446" t="e">
            <v>#N/A</v>
          </cell>
          <cell r="G446" t="e">
            <v>#N/A</v>
          </cell>
        </row>
        <row r="447">
          <cell r="A447">
            <v>40595</v>
          </cell>
          <cell r="B447" t="str">
            <v>Corpo de BDCC 2,50 x 2,50 m projeto DNIT para 2,50 &lt; H &lt; 5,00 m</v>
          </cell>
          <cell r="C447" t="str">
            <v>m</v>
          </cell>
          <cell r="D447">
            <v>8355.44</v>
          </cell>
          <cell r="E447">
            <v>0</v>
          </cell>
          <cell r="F447" t="e">
            <v>#N/A</v>
          </cell>
          <cell r="G447" t="e">
            <v>#N/A</v>
          </cell>
        </row>
        <row r="448">
          <cell r="A448">
            <v>40590</v>
          </cell>
          <cell r="B448" t="str">
            <v>Corpo de BDCC 2,50 x 3,00 m projeto DNIT para H &lt; -&gt; 2,50 m</v>
          </cell>
          <cell r="C448" t="str">
            <v>m</v>
          </cell>
          <cell r="D448">
            <v>9059.16</v>
          </cell>
          <cell r="E448">
            <v>0</v>
          </cell>
          <cell r="F448" t="e">
            <v>#N/A</v>
          </cell>
          <cell r="G448" t="e">
            <v>#N/A</v>
          </cell>
        </row>
        <row r="449">
          <cell r="A449">
            <v>40596</v>
          </cell>
          <cell r="B449" t="str">
            <v>Corpo de BDCC 2,50 x 3,00 m projeto DNIT para 2,50 &lt; H &lt; 5,00 m</v>
          </cell>
          <cell r="C449" t="str">
            <v>m</v>
          </cell>
          <cell r="D449">
            <v>10040.31</v>
          </cell>
          <cell r="E449">
            <v>0</v>
          </cell>
          <cell r="F449" t="e">
            <v>#N/A</v>
          </cell>
          <cell r="G449" t="e">
            <v>#N/A</v>
          </cell>
        </row>
        <row r="450">
          <cell r="A450">
            <v>40591</v>
          </cell>
          <cell r="B450" t="str">
            <v>Corpo de BDCC 3,00 x 3,00 m projeto DNIT para H &lt; -&gt; 2,50 m</v>
          </cell>
          <cell r="C450" t="str">
            <v>m</v>
          </cell>
          <cell r="D450">
            <v>9946.2099999999991</v>
          </cell>
          <cell r="E450">
            <v>0</v>
          </cell>
          <cell r="F450" t="e">
            <v>#N/A</v>
          </cell>
          <cell r="G450" t="e">
            <v>#N/A</v>
          </cell>
        </row>
        <row r="451">
          <cell r="A451">
            <v>40597</v>
          </cell>
          <cell r="B451" t="str">
            <v>Corpo de BDCC 3,00 x 3,00 m projeto DNIT para 2,50 &lt; H &lt; 5,00 m</v>
          </cell>
          <cell r="C451" t="str">
            <v>m</v>
          </cell>
          <cell r="D451">
            <v>10745.57</v>
          </cell>
          <cell r="E451">
            <v>0</v>
          </cell>
          <cell r="F451" t="e">
            <v>#N/A</v>
          </cell>
          <cell r="G451" t="e">
            <v>#N/A</v>
          </cell>
        </row>
        <row r="452">
          <cell r="A452">
            <v>40573</v>
          </cell>
          <cell r="B452" t="str">
            <v>Corpo de BSCC 1,50 x 1,50 m projeto DNIT para H &lt; -&gt; 2,50 m</v>
          </cell>
          <cell r="C452" t="str">
            <v>m</v>
          </cell>
          <cell r="D452">
            <v>2349.9499999999998</v>
          </cell>
          <cell r="E452">
            <v>0</v>
          </cell>
          <cell r="F452" t="e">
            <v>#N/A</v>
          </cell>
          <cell r="G452" t="e">
            <v>#N/A</v>
          </cell>
        </row>
        <row r="453">
          <cell r="A453">
            <v>40579</v>
          </cell>
          <cell r="B453" t="str">
            <v>Corpo de BSCC 1,50 x 1,50 m projeto DNIT para 2,50 &lt; H &lt; 5,00 m</v>
          </cell>
          <cell r="C453" t="str">
            <v>m</v>
          </cell>
          <cell r="D453">
            <v>2477.5100000000002</v>
          </cell>
          <cell r="E453">
            <v>0</v>
          </cell>
          <cell r="F453" t="e">
            <v>#N/A</v>
          </cell>
          <cell r="G453" t="e">
            <v>#N/A</v>
          </cell>
        </row>
        <row r="454">
          <cell r="A454">
            <v>41113</v>
          </cell>
          <cell r="B454" t="str">
            <v>Corpo de BSCC 2,00 x 2,00 m projeto DNIT para 5,00 &lt; H &lt; 7,50 m</v>
          </cell>
          <cell r="C454" t="str">
            <v>m</v>
          </cell>
          <cell r="D454">
            <v>4041.29</v>
          </cell>
          <cell r="E454">
            <v>0</v>
          </cell>
          <cell r="F454" t="e">
            <v>#N/A</v>
          </cell>
          <cell r="G454" t="e">
            <v>#N/A</v>
          </cell>
        </row>
        <row r="455">
          <cell r="A455">
            <v>40574</v>
          </cell>
          <cell r="B455" t="str">
            <v>Corpo de BSCC 2,00 x 2,00 m projeto DNIT para H &lt; -&gt; 2,50 m</v>
          </cell>
          <cell r="C455" t="str">
            <v>m</v>
          </cell>
          <cell r="D455">
            <v>3320.91</v>
          </cell>
          <cell r="E455">
            <v>0</v>
          </cell>
          <cell r="F455" t="e">
            <v>#N/A</v>
          </cell>
          <cell r="G455" t="e">
            <v>#N/A</v>
          </cell>
        </row>
        <row r="456">
          <cell r="A456">
            <v>40580</v>
          </cell>
          <cell r="B456" t="str">
            <v>Corpo de BSCC 2,00 x 2,00 m projeto DNIT para 2,50 &lt; H &lt; 5,00 m</v>
          </cell>
          <cell r="C456" t="str">
            <v>m</v>
          </cell>
          <cell r="D456">
            <v>3743.66</v>
          </cell>
          <cell r="E456">
            <v>0</v>
          </cell>
          <cell r="F456" t="e">
            <v>#N/A</v>
          </cell>
          <cell r="G456" t="e">
            <v>#N/A</v>
          </cell>
        </row>
        <row r="457">
          <cell r="A457">
            <v>40575</v>
          </cell>
          <cell r="B457" t="str">
            <v>Corpo de BSCC 2,00 x 3,00 m projeto DNIT para H &lt; -&gt; 2,50 m</v>
          </cell>
          <cell r="C457" t="str">
            <v>m</v>
          </cell>
          <cell r="D457">
            <v>4822.01</v>
          </cell>
          <cell r="E457">
            <v>0</v>
          </cell>
          <cell r="F457" t="e">
            <v>#N/A</v>
          </cell>
          <cell r="G457" t="e">
            <v>#N/A</v>
          </cell>
        </row>
        <row r="458">
          <cell r="A458">
            <v>40581</v>
          </cell>
          <cell r="B458" t="str">
            <v>Corpo de BSCC 2,00 x 3,00 m projeto DNIT para 2,50 &lt; H &lt; 5,00 m</v>
          </cell>
          <cell r="C458" t="str">
            <v>m</v>
          </cell>
          <cell r="D458">
            <v>6083.27</v>
          </cell>
          <cell r="E458">
            <v>0</v>
          </cell>
          <cell r="F458" t="e">
            <v>#N/A</v>
          </cell>
          <cell r="G458" t="e">
            <v>#N/A</v>
          </cell>
        </row>
        <row r="459">
          <cell r="A459">
            <v>40576</v>
          </cell>
          <cell r="B459" t="str">
            <v>Corpo de BSCC 2,50 x 2,50 m projeto DNIT para H &lt; -&gt; 2,50 m</v>
          </cell>
          <cell r="C459" t="str">
            <v>m</v>
          </cell>
          <cell r="D459">
            <v>4726.29</v>
          </cell>
          <cell r="E459">
            <v>0</v>
          </cell>
          <cell r="F459" t="e">
            <v>#N/A</v>
          </cell>
          <cell r="G459" t="e">
            <v>#N/A</v>
          </cell>
        </row>
        <row r="460">
          <cell r="A460">
            <v>40582</v>
          </cell>
          <cell r="B460" t="str">
            <v>Corpo de BSCC 2,50 x 2,50 m projeto DNIT para 2,50 &lt; H &lt; 5,00 m</v>
          </cell>
          <cell r="C460" t="str">
            <v>m</v>
          </cell>
          <cell r="D460">
            <v>5176.99</v>
          </cell>
          <cell r="E460">
            <v>0</v>
          </cell>
          <cell r="F460" t="e">
            <v>#N/A</v>
          </cell>
          <cell r="G460" t="e">
            <v>#N/A</v>
          </cell>
        </row>
        <row r="461">
          <cell r="A461">
            <v>40577</v>
          </cell>
          <cell r="B461" t="str">
            <v>Corpo de BSCC 2,50 x 3,00 m projeto DNIT para H &lt; -&gt; 2,50 m</v>
          </cell>
          <cell r="C461" t="str">
            <v>m</v>
          </cell>
          <cell r="D461">
            <v>5936.72</v>
          </cell>
          <cell r="E461">
            <v>0</v>
          </cell>
          <cell r="F461" t="e">
            <v>#N/A</v>
          </cell>
          <cell r="G461" t="e">
            <v>#N/A</v>
          </cell>
        </row>
        <row r="462">
          <cell r="A462">
            <v>40583</v>
          </cell>
          <cell r="B462" t="str">
            <v>Corpo de BSCC 2,50 x 3,00 m projeto DNIT para 2,50 &lt; H &lt; 5,00 m</v>
          </cell>
          <cell r="C462" t="str">
            <v>m</v>
          </cell>
          <cell r="D462">
            <v>7081.49</v>
          </cell>
          <cell r="E462">
            <v>0</v>
          </cell>
          <cell r="F462" t="e">
            <v>#N/A</v>
          </cell>
          <cell r="G462" t="e">
            <v>#N/A</v>
          </cell>
        </row>
        <row r="463">
          <cell r="A463">
            <v>40578</v>
          </cell>
          <cell r="B463" t="str">
            <v>Corpo de BSCC 3,00 x 3,00 m projeto DNIT para H &lt; -&gt; 2,50 m</v>
          </cell>
          <cell r="C463" t="str">
            <v>m</v>
          </cell>
          <cell r="D463">
            <v>6467.39</v>
          </cell>
          <cell r="E463">
            <v>0</v>
          </cell>
          <cell r="F463" t="e">
            <v>#N/A</v>
          </cell>
          <cell r="G463" t="e">
            <v>#N/A</v>
          </cell>
        </row>
        <row r="464">
          <cell r="A464">
            <v>40584</v>
          </cell>
          <cell r="B464" t="str">
            <v>Corpo de BSCC 3,00 x 3,00 m projeto DNIT para 2,50 &lt; H &lt; 5,00 m</v>
          </cell>
          <cell r="C464" t="str">
            <v>m</v>
          </cell>
          <cell r="D464">
            <v>7400.38</v>
          </cell>
          <cell r="E464">
            <v>0</v>
          </cell>
          <cell r="F464" t="e">
            <v>#N/A</v>
          </cell>
          <cell r="G464" t="e">
            <v>#N/A</v>
          </cell>
        </row>
        <row r="465">
          <cell r="A465">
            <v>40601</v>
          </cell>
          <cell r="B465" t="str">
            <v>Corpo de BTCC 1,50 x 1,50 m projeto DNIT para H &lt; -&gt; 2,50 m</v>
          </cell>
          <cell r="C465" t="str">
            <v>m</v>
          </cell>
          <cell r="D465">
            <v>5432.81</v>
          </cell>
          <cell r="E465">
            <v>0</v>
          </cell>
          <cell r="F465" t="e">
            <v>#N/A</v>
          </cell>
          <cell r="G465" t="e">
            <v>#N/A</v>
          </cell>
        </row>
        <row r="466">
          <cell r="A466">
            <v>40607</v>
          </cell>
          <cell r="B466" t="str">
            <v>Corpo de BTCC 1,50 x 1,50 m projeto DNIT para 2,50 &lt; H &lt; 5,00 m</v>
          </cell>
          <cell r="C466" t="str">
            <v>m</v>
          </cell>
          <cell r="D466">
            <v>5747.45</v>
          </cell>
          <cell r="E466">
            <v>0</v>
          </cell>
          <cell r="F466" t="e">
            <v>#N/A</v>
          </cell>
          <cell r="G466" t="e">
            <v>#N/A</v>
          </cell>
        </row>
        <row r="467">
          <cell r="A467">
            <v>40602</v>
          </cell>
          <cell r="B467" t="str">
            <v>Corpo de BTCC 2,00 x 2,00 m projeto DNIT para H &lt; -&gt; 2,50 m</v>
          </cell>
          <cell r="C467" t="str">
            <v>m</v>
          </cell>
          <cell r="D467">
            <v>7901.8</v>
          </cell>
          <cell r="E467">
            <v>0</v>
          </cell>
          <cell r="F467" t="e">
            <v>#N/A</v>
          </cell>
          <cell r="G467" t="e">
            <v>#N/A</v>
          </cell>
        </row>
        <row r="468">
          <cell r="A468">
            <v>40608</v>
          </cell>
          <cell r="B468" t="str">
            <v>Corpo de BTCC 2,00 x 2,00 m projeto DNIT para 2,50 &lt; H &lt; 5,00 m</v>
          </cell>
          <cell r="C468" t="str">
            <v>m</v>
          </cell>
          <cell r="D468">
            <v>8443.57</v>
          </cell>
          <cell r="E468">
            <v>0</v>
          </cell>
          <cell r="F468" t="e">
            <v>#N/A</v>
          </cell>
          <cell r="G468" t="e">
            <v>#N/A</v>
          </cell>
        </row>
        <row r="469">
          <cell r="A469">
            <v>40603</v>
          </cell>
          <cell r="B469" t="str">
            <v>Corpo de BTCC 2,00 x 3,00 m projeto DNIT para H &lt; -&gt; 2,50 m</v>
          </cell>
          <cell r="C469" t="str">
            <v>m</v>
          </cell>
          <cell r="D469">
            <v>11497.53</v>
          </cell>
          <cell r="E469">
            <v>0</v>
          </cell>
          <cell r="F469" t="e">
            <v>#N/A</v>
          </cell>
          <cell r="G469" t="e">
            <v>#N/A</v>
          </cell>
        </row>
        <row r="470">
          <cell r="A470">
            <v>40609</v>
          </cell>
          <cell r="B470" t="str">
            <v>Corpo de BTCC 2,00 x 3,00 m projeto DNIT para 2,50 &lt; H &lt; 5,00 m</v>
          </cell>
          <cell r="C470" t="str">
            <v>m</v>
          </cell>
          <cell r="D470">
            <v>13027.16</v>
          </cell>
          <cell r="E470">
            <v>0</v>
          </cell>
          <cell r="F470" t="e">
            <v>#N/A</v>
          </cell>
          <cell r="G470" t="e">
            <v>#N/A</v>
          </cell>
        </row>
        <row r="471">
          <cell r="A471">
            <v>40604</v>
          </cell>
          <cell r="B471" t="str">
            <v>Corpo de BTCC 2,50 x 2,50 m projeto DNIT para H &lt; -&gt; 2,50 m</v>
          </cell>
          <cell r="C471" t="str">
            <v>m</v>
          </cell>
          <cell r="D471">
            <v>10353.049999999999</v>
          </cell>
          <cell r="E471">
            <v>0</v>
          </cell>
          <cell r="F471" t="e">
            <v>#N/A</v>
          </cell>
          <cell r="G471" t="e">
            <v>#N/A</v>
          </cell>
        </row>
        <row r="472">
          <cell r="A472">
            <v>40610</v>
          </cell>
          <cell r="B472" t="str">
            <v>Corpo de BTCC 2,50 x 2,50 m projeto DNIT para 2,50 &lt; H &lt; 5,00 m</v>
          </cell>
          <cell r="C472" t="str">
            <v>m</v>
          </cell>
          <cell r="D472">
            <v>11616.37</v>
          </cell>
          <cell r="E472">
            <v>0</v>
          </cell>
          <cell r="F472" t="e">
            <v>#N/A</v>
          </cell>
          <cell r="G472" t="e">
            <v>#N/A</v>
          </cell>
        </row>
        <row r="473">
          <cell r="A473">
            <v>40605</v>
          </cell>
          <cell r="B473" t="str">
            <v>Corpo de BTCC 2,50 x 3,00 m projeto DNIT para H &lt; -&gt; 2,50 m</v>
          </cell>
          <cell r="C473" t="str">
            <v>m</v>
          </cell>
          <cell r="D473">
            <v>12866.23</v>
          </cell>
          <cell r="E473">
            <v>0</v>
          </cell>
          <cell r="F473" t="e">
            <v>#N/A</v>
          </cell>
          <cell r="G473" t="e">
            <v>#N/A</v>
          </cell>
        </row>
        <row r="474">
          <cell r="A474">
            <v>40611</v>
          </cell>
          <cell r="B474" t="str">
            <v>Corpo de BTCC 2,50 x 3,00 m projeto DNIT para 2,50 &lt; H &lt; 5,00 m</v>
          </cell>
          <cell r="C474" t="str">
            <v>m</v>
          </cell>
          <cell r="D474">
            <v>14575.94</v>
          </cell>
          <cell r="E474">
            <v>0</v>
          </cell>
          <cell r="F474" t="e">
            <v>#N/A</v>
          </cell>
          <cell r="G474" t="e">
            <v>#N/A</v>
          </cell>
        </row>
        <row r="475">
          <cell r="A475">
            <v>40606</v>
          </cell>
          <cell r="B475" t="str">
            <v>Corpo de BTCC 3,00 x 3,00 m projeto DNIT para H &lt; -&gt; 2,50 m</v>
          </cell>
          <cell r="C475" t="str">
            <v>m</v>
          </cell>
          <cell r="D475">
            <v>13843.79</v>
          </cell>
          <cell r="E475">
            <v>0</v>
          </cell>
          <cell r="F475" t="e">
            <v>#N/A</v>
          </cell>
          <cell r="G475" t="e">
            <v>#N/A</v>
          </cell>
        </row>
        <row r="476">
          <cell r="A476">
            <v>40612</v>
          </cell>
          <cell r="B476" t="str">
            <v>Corpo de BTCC 3,00 x 3,00 m projeto DNIT para 2,50 &lt; H &lt; 5,00 m</v>
          </cell>
          <cell r="C476" t="str">
            <v>m</v>
          </cell>
          <cell r="D476">
            <v>15512.42</v>
          </cell>
          <cell r="E476">
            <v>0</v>
          </cell>
          <cell r="F476" t="e">
            <v>#N/A</v>
          </cell>
          <cell r="G476" t="e">
            <v>#N/A</v>
          </cell>
        </row>
        <row r="477">
          <cell r="A477">
            <v>40305</v>
          </cell>
          <cell r="B477" t="str">
            <v>Corta-rio (escavação mecânica em material de 1ª cat.) H -&gt; 1,50 a 3,00 m</v>
          </cell>
          <cell r="C477" t="str">
            <v>m³</v>
          </cell>
          <cell r="D477">
            <v>11.61</v>
          </cell>
          <cell r="E477">
            <v>0</v>
          </cell>
          <cell r="F477" t="e">
            <v>#N/A</v>
          </cell>
          <cell r="G477" t="e">
            <v>#N/A</v>
          </cell>
        </row>
        <row r="478">
          <cell r="A478">
            <v>40306</v>
          </cell>
          <cell r="B478" t="str">
            <v>Corta-rio (escavação mecânica em material de 2ª cat.) H -&gt; 1,50 a 3,00 m</v>
          </cell>
          <cell r="C478" t="str">
            <v>m³</v>
          </cell>
          <cell r="D478">
            <v>23.24</v>
          </cell>
          <cell r="E478">
            <v>0</v>
          </cell>
          <cell r="F478" t="e">
            <v>#N/A</v>
          </cell>
          <cell r="G478" t="e">
            <v>#N/A</v>
          </cell>
        </row>
        <row r="479">
          <cell r="A479">
            <v>40307</v>
          </cell>
          <cell r="B479" t="str">
            <v>Corta-rio (escavação mecânica em material de 3º cat.) H -&gt; 0,00 a 1,50 m</v>
          </cell>
          <cell r="C479" t="str">
            <v>m³</v>
          </cell>
          <cell r="D479">
            <v>102.58</v>
          </cell>
          <cell r="E479">
            <v>0</v>
          </cell>
          <cell r="F479" t="e">
            <v>#N/A</v>
          </cell>
          <cell r="G479" t="e">
            <v>#N/A</v>
          </cell>
        </row>
        <row r="480">
          <cell r="A480">
            <v>41049</v>
          </cell>
          <cell r="B480" t="str">
            <v>Corte e esmerilhamento de pontas de tubo de ferro fundido DN 500 a 200mm</v>
          </cell>
          <cell r="C480" t="str">
            <v>m</v>
          </cell>
          <cell r="D480">
            <v>16.87</v>
          </cell>
          <cell r="E480">
            <v>0</v>
          </cell>
          <cell r="F480" t="e">
            <v>#N/A</v>
          </cell>
          <cell r="G480" t="e">
            <v>#N/A</v>
          </cell>
        </row>
        <row r="481">
          <cell r="A481">
            <v>41124</v>
          </cell>
          <cell r="B481" t="str">
            <v>Curva 90° de PVC, junta elástica PBA, D-&gt;75mm, fornecimento e assentamento</v>
          </cell>
          <cell r="C481" t="str">
            <v>un</v>
          </cell>
          <cell r="D481">
            <v>59.87</v>
          </cell>
          <cell r="E481">
            <v>0</v>
          </cell>
          <cell r="F481" t="e">
            <v>#N/A</v>
          </cell>
          <cell r="G481" t="e">
            <v>#N/A</v>
          </cell>
        </row>
        <row r="482">
          <cell r="A482">
            <v>40372</v>
          </cell>
          <cell r="B482" t="str">
            <v>Demolição manual alvenaria tijolo furado assentado com argamassa</v>
          </cell>
          <cell r="C482" t="str">
            <v>m³</v>
          </cell>
          <cell r="D482">
            <v>167.28</v>
          </cell>
          <cell r="E482">
            <v>0</v>
          </cell>
          <cell r="F482" t="e">
            <v>#N/A</v>
          </cell>
          <cell r="G482" t="e">
            <v>#N/A</v>
          </cell>
        </row>
        <row r="483">
          <cell r="A483">
            <v>40374</v>
          </cell>
          <cell r="B483" t="str">
            <v>Demolição manual de concreto armado</v>
          </cell>
          <cell r="C483" t="str">
            <v>m³</v>
          </cell>
          <cell r="D483">
            <v>246.85</v>
          </cell>
          <cell r="E483">
            <v>0</v>
          </cell>
          <cell r="F483" t="e">
            <v>#N/A</v>
          </cell>
          <cell r="G483" t="e">
            <v>#N/A</v>
          </cell>
        </row>
        <row r="484">
          <cell r="A484">
            <v>40373</v>
          </cell>
          <cell r="B484" t="str">
            <v>Demolição manual de concreto simples ou ciclópico</v>
          </cell>
          <cell r="C484" t="str">
            <v>m³</v>
          </cell>
          <cell r="D484">
            <v>217.81</v>
          </cell>
          <cell r="E484">
            <v>0</v>
          </cell>
          <cell r="F484" t="e">
            <v>#N/A</v>
          </cell>
          <cell r="G484" t="e">
            <v>#N/A</v>
          </cell>
        </row>
        <row r="485">
          <cell r="A485">
            <v>40375</v>
          </cell>
          <cell r="B485" t="str">
            <v>Demolição mecânica de concreto</v>
          </cell>
          <cell r="C485" t="str">
            <v>m³</v>
          </cell>
          <cell r="D485">
            <v>135.52000000000001</v>
          </cell>
          <cell r="E485">
            <v>0</v>
          </cell>
          <cell r="F485" t="e">
            <v>#N/A</v>
          </cell>
          <cell r="G485" t="e">
            <v>#N/A</v>
          </cell>
        </row>
        <row r="486">
          <cell r="A486">
            <v>40678</v>
          </cell>
          <cell r="B486" t="str">
            <v>Descida d'água concreto armado (calha) c/ caiação (DSA-01A) canal</v>
          </cell>
          <cell r="C486" t="str">
            <v>m</v>
          </cell>
          <cell r="D486">
            <v>342.13</v>
          </cell>
          <cell r="E486">
            <v>0</v>
          </cell>
          <cell r="F486">
            <v>362.42</v>
          </cell>
          <cell r="G486">
            <v>1.05930494256569</v>
          </cell>
        </row>
        <row r="487">
          <cell r="A487">
            <v>40679</v>
          </cell>
          <cell r="B487" t="str">
            <v>Descida d'água concreto armado (calha) c/ caiação (DSA-01A) dispersor</v>
          </cell>
          <cell r="C487" t="str">
            <v>un</v>
          </cell>
          <cell r="D487">
            <v>682.59</v>
          </cell>
          <cell r="E487">
            <v>0</v>
          </cell>
          <cell r="F487">
            <v>741</v>
          </cell>
          <cell r="G487">
            <v>1.0855711334769</v>
          </cell>
        </row>
        <row r="488">
          <cell r="A488">
            <v>40684</v>
          </cell>
          <cell r="B488" t="str">
            <v>Descida d'água concreto armado (degraus) c/ caiação (DSA-03A) apoio</v>
          </cell>
          <cell r="C488" t="str">
            <v>un</v>
          </cell>
          <cell r="D488">
            <v>751.3</v>
          </cell>
          <cell r="E488">
            <v>0</v>
          </cell>
          <cell r="F488" t="e">
            <v>#N/A</v>
          </cell>
          <cell r="G488" t="e">
            <v>#N/A</v>
          </cell>
        </row>
        <row r="489">
          <cell r="A489">
            <v>40683</v>
          </cell>
          <cell r="B489" t="str">
            <v>Descida d'água concreto armado (degraus) c/ caiação (DSA-03A) degrau</v>
          </cell>
          <cell r="C489" t="str">
            <v>m</v>
          </cell>
          <cell r="D489">
            <v>360.81</v>
          </cell>
          <cell r="E489">
            <v>0</v>
          </cell>
          <cell r="F489" t="e">
            <v>#N/A</v>
          </cell>
          <cell r="G489" t="e">
            <v>#N/A</v>
          </cell>
        </row>
        <row r="490">
          <cell r="A490">
            <v>40685</v>
          </cell>
          <cell r="B490" t="str">
            <v>Descida d'água concreto armado (degraus) c/ caiação (DSA-03A) dispersor</v>
          </cell>
          <cell r="C490" t="str">
            <v>un</v>
          </cell>
          <cell r="D490">
            <v>652.79999999999995</v>
          </cell>
          <cell r="E490">
            <v>0</v>
          </cell>
          <cell r="F490" t="e">
            <v>#N/A</v>
          </cell>
          <cell r="G490" t="e">
            <v>#N/A</v>
          </cell>
        </row>
        <row r="491">
          <cell r="A491">
            <v>40686</v>
          </cell>
          <cell r="B491" t="str">
            <v>Descida d'água concreto armado DP-1 (calha) c/ caiação</v>
          </cell>
          <cell r="C491" t="str">
            <v>m</v>
          </cell>
          <cell r="D491">
            <v>465.81</v>
          </cell>
          <cell r="E491">
            <v>0</v>
          </cell>
          <cell r="F491" t="e">
            <v>#N/A</v>
          </cell>
          <cell r="G491" t="e">
            <v>#N/A</v>
          </cell>
        </row>
        <row r="492">
          <cell r="A492">
            <v>40687</v>
          </cell>
          <cell r="B492" t="str">
            <v>Descida d'água concreto armado DP-1 (degraus) c/ caiação</v>
          </cell>
          <cell r="C492" t="str">
            <v>m</v>
          </cell>
          <cell r="D492">
            <v>446.34</v>
          </cell>
          <cell r="E492">
            <v>0</v>
          </cell>
          <cell r="F492" t="e">
            <v>#N/A</v>
          </cell>
          <cell r="G492" t="e">
            <v>#N/A</v>
          </cell>
        </row>
        <row r="493">
          <cell r="A493">
            <v>40676</v>
          </cell>
          <cell r="B493" t="str">
            <v>Descida d'água concreto simples (calha) c/ caiação (DSA-01) canal</v>
          </cell>
          <cell r="C493" t="str">
            <v>m</v>
          </cell>
          <cell r="D493">
            <v>282.60000000000002</v>
          </cell>
          <cell r="E493">
            <v>0</v>
          </cell>
          <cell r="F493" t="e">
            <v>#N/A</v>
          </cell>
          <cell r="G493" t="e">
            <v>#N/A</v>
          </cell>
        </row>
        <row r="494">
          <cell r="A494">
            <v>40677</v>
          </cell>
          <cell r="B494" t="str">
            <v>Descida d'água concreto simples (calha) c/ caiação (DSA-01) dispersor</v>
          </cell>
          <cell r="C494" t="str">
            <v>un</v>
          </cell>
          <cell r="D494">
            <v>614.55999999999995</v>
          </cell>
          <cell r="E494">
            <v>0</v>
          </cell>
          <cell r="F494" t="e">
            <v>#N/A</v>
          </cell>
          <cell r="G494" t="e">
            <v>#N/A</v>
          </cell>
        </row>
        <row r="495">
          <cell r="A495">
            <v>40681</v>
          </cell>
          <cell r="B495" t="str">
            <v>Descida d'água concreto simples (degraus) c/ caiação (DSA-03) apoio</v>
          </cell>
          <cell r="C495" t="str">
            <v>un</v>
          </cell>
          <cell r="D495">
            <v>701.57</v>
          </cell>
          <cell r="E495">
            <v>0</v>
          </cell>
          <cell r="F495" t="e">
            <v>#N/A</v>
          </cell>
          <cell r="G495" t="e">
            <v>#N/A</v>
          </cell>
        </row>
        <row r="496">
          <cell r="A496">
            <v>40680</v>
          </cell>
          <cell r="B496" t="str">
            <v>Descida d'água concreto simples (degraus) c/ caiação (DSA-03) degrau</v>
          </cell>
          <cell r="C496" t="str">
            <v>m</v>
          </cell>
          <cell r="D496">
            <v>343.8</v>
          </cell>
          <cell r="E496">
            <v>0</v>
          </cell>
          <cell r="F496" t="e">
            <v>#N/A</v>
          </cell>
          <cell r="G496" t="e">
            <v>#N/A</v>
          </cell>
        </row>
        <row r="497">
          <cell r="A497">
            <v>40682</v>
          </cell>
          <cell r="B497" t="str">
            <v>Descida d'água concreto simples (degraus) c/ caiação (DSA-03) dispersor</v>
          </cell>
          <cell r="C497" t="str">
            <v>un</v>
          </cell>
          <cell r="D497">
            <v>610.28</v>
          </cell>
          <cell r="E497">
            <v>0</v>
          </cell>
          <cell r="F497" t="e">
            <v>#N/A</v>
          </cell>
          <cell r="G497" t="e">
            <v>#N/A</v>
          </cell>
        </row>
        <row r="498">
          <cell r="A498">
            <v>41189</v>
          </cell>
          <cell r="B498" t="str">
            <v>Deslocamento de cerca de tela galvanizada fio 12 malha 3" x 3"</v>
          </cell>
          <cell r="C498" t="str">
            <v>m</v>
          </cell>
          <cell r="D498">
            <v>35.200000000000003</v>
          </cell>
          <cell r="E498" t="str">
            <v>A incluir</v>
          </cell>
          <cell r="F498" t="e">
            <v>#N/A</v>
          </cell>
          <cell r="G498" t="e">
            <v>#N/A</v>
          </cell>
        </row>
        <row r="499">
          <cell r="A499">
            <v>40728</v>
          </cell>
          <cell r="B499" t="str">
            <v>Dissipador de energia aplicado a saída d'água tipo DP-1</v>
          </cell>
          <cell r="C499" t="str">
            <v>un</v>
          </cell>
          <cell r="D499">
            <v>331.61</v>
          </cell>
          <cell r="E499" t="str">
            <v>A incluir</v>
          </cell>
          <cell r="F499" t="e">
            <v>#N/A</v>
          </cell>
          <cell r="G499" t="e">
            <v>#N/A</v>
          </cell>
        </row>
        <row r="500">
          <cell r="A500">
            <v>40732</v>
          </cell>
          <cell r="B500" t="str">
            <v>Dissipador de energia aplicado a saída de bueiro/descida d'agua de aterro (DEB-01)</v>
          </cell>
          <cell r="C500" t="str">
            <v>un</v>
          </cell>
          <cell r="D500">
            <v>577.9</v>
          </cell>
          <cell r="E500" t="str">
            <v>A incluir</v>
          </cell>
          <cell r="F500" t="e">
            <v>#N/A</v>
          </cell>
          <cell r="G500" t="e">
            <v>#N/A</v>
          </cell>
        </row>
        <row r="501">
          <cell r="A501">
            <v>40733</v>
          </cell>
          <cell r="B501" t="str">
            <v>Dissipador de energia aplicado a saída de bueiro/descida d'água de aterro (DEB-02)</v>
          </cell>
          <cell r="C501" t="str">
            <v>un</v>
          </cell>
          <cell r="D501">
            <v>1439.23</v>
          </cell>
          <cell r="E501" t="str">
            <v>A incluir</v>
          </cell>
          <cell r="F501" t="e">
            <v>#N/A</v>
          </cell>
          <cell r="G501" t="e">
            <v>#N/A</v>
          </cell>
        </row>
        <row r="502">
          <cell r="A502">
            <v>40734</v>
          </cell>
          <cell r="B502" t="str">
            <v>Dissipador de energia aplicado a saída de bueiro/descida d'água de aterro (DEB-03)</v>
          </cell>
          <cell r="C502" t="str">
            <v>un</v>
          </cell>
          <cell r="D502">
            <v>2254.88</v>
          </cell>
          <cell r="E502" t="str">
            <v>A incluir</v>
          </cell>
          <cell r="F502" t="e">
            <v>#N/A</v>
          </cell>
          <cell r="G502" t="e">
            <v>#N/A</v>
          </cell>
        </row>
        <row r="503">
          <cell r="A503">
            <v>40735</v>
          </cell>
          <cell r="B503" t="str">
            <v>Dissipador de energia aplicado a saída de bueiro/descida d'água de aterro (DEB-04)</v>
          </cell>
          <cell r="C503" t="str">
            <v>un</v>
          </cell>
          <cell r="D503">
            <v>3258.92</v>
          </cell>
          <cell r="E503" t="str">
            <v>A incluir</v>
          </cell>
          <cell r="F503" t="e">
            <v>#N/A</v>
          </cell>
          <cell r="G503" t="e">
            <v>#N/A</v>
          </cell>
        </row>
        <row r="504">
          <cell r="A504">
            <v>40736</v>
          </cell>
          <cell r="B504" t="str">
            <v>Dissipador de energia aplicado a saída de bueiro/descida d'água de aterro (DEB-05)</v>
          </cell>
          <cell r="C504" t="str">
            <v>un</v>
          </cell>
          <cell r="D504">
            <v>4384.3</v>
          </cell>
          <cell r="E504" t="str">
            <v>A incluir</v>
          </cell>
          <cell r="F504" t="e">
            <v>#N/A</v>
          </cell>
          <cell r="G504" t="e">
            <v>#N/A</v>
          </cell>
        </row>
        <row r="505">
          <cell r="A505">
            <v>40737</v>
          </cell>
          <cell r="B505" t="str">
            <v>Dissipador de energia aplicado a saída de bueiro/descida d'água de aterro (DEB-06)</v>
          </cell>
          <cell r="C505" t="str">
            <v>un</v>
          </cell>
          <cell r="D505">
            <v>6972.81</v>
          </cell>
          <cell r="E505" t="str">
            <v>A incluir</v>
          </cell>
          <cell r="F505" t="e">
            <v>#N/A</v>
          </cell>
          <cell r="G505" t="e">
            <v>#N/A</v>
          </cell>
        </row>
        <row r="506">
          <cell r="A506">
            <v>40738</v>
          </cell>
          <cell r="B506" t="str">
            <v>Dissipador de energia aplicado a saída de bueiro/descida d'água de aterro (DEB-07)</v>
          </cell>
          <cell r="C506" t="str">
            <v>un</v>
          </cell>
          <cell r="D506">
            <v>4465.3100000000004</v>
          </cell>
          <cell r="E506" t="str">
            <v>A incluir</v>
          </cell>
          <cell r="F506" t="e">
            <v>#N/A</v>
          </cell>
          <cell r="G506" t="e">
            <v>#N/A</v>
          </cell>
        </row>
        <row r="507">
          <cell r="A507">
            <v>40739</v>
          </cell>
          <cell r="B507" t="str">
            <v>Dissipador de energia aplicado a saída de bueiro/descida d'água de aterro (DEB-08)</v>
          </cell>
          <cell r="C507" t="str">
            <v>un</v>
          </cell>
          <cell r="D507">
            <v>6011.81</v>
          </cell>
          <cell r="E507" t="str">
            <v>A incluir</v>
          </cell>
          <cell r="F507" t="e">
            <v>#N/A</v>
          </cell>
          <cell r="G507" t="e">
            <v>#N/A</v>
          </cell>
        </row>
        <row r="508">
          <cell r="A508">
            <v>40740</v>
          </cell>
          <cell r="B508" t="str">
            <v>Dissipador de energia aplicado a saída de bueiro/descida d'água de aterro (DEB-09)</v>
          </cell>
          <cell r="C508" t="str">
            <v>un</v>
          </cell>
          <cell r="D508">
            <v>9327.65</v>
          </cell>
          <cell r="E508" t="str">
            <v>A incluir</v>
          </cell>
          <cell r="F508" t="e">
            <v>#N/A</v>
          </cell>
          <cell r="G508" t="e">
            <v>#N/A</v>
          </cell>
        </row>
        <row r="509">
          <cell r="A509">
            <v>40741</v>
          </cell>
          <cell r="B509" t="str">
            <v>Dissipador de energia aplicado a saída de bueiro/descida d'água de aterro (DEB-10)</v>
          </cell>
          <cell r="C509" t="str">
            <v>un</v>
          </cell>
          <cell r="D509">
            <v>5678.09</v>
          </cell>
          <cell r="E509" t="str">
            <v>A incluir</v>
          </cell>
          <cell r="F509" t="e">
            <v>#N/A</v>
          </cell>
          <cell r="G509" t="e">
            <v>#N/A</v>
          </cell>
        </row>
        <row r="510">
          <cell r="A510">
            <v>40742</v>
          </cell>
          <cell r="B510" t="str">
            <v>Dissipador de energia aplicado a saída de bueiro/descida d'água de aterro (DEB-12)</v>
          </cell>
          <cell r="C510" t="str">
            <v>un</v>
          </cell>
          <cell r="D510">
            <v>11680.67</v>
          </cell>
          <cell r="E510" t="str">
            <v>A incluir</v>
          </cell>
          <cell r="F510" t="e">
            <v>#N/A</v>
          </cell>
          <cell r="G510" t="e">
            <v>#N/A</v>
          </cell>
        </row>
        <row r="511">
          <cell r="A511">
            <v>40729</v>
          </cell>
          <cell r="B511" t="str">
            <v>Dissipador de energia aplicado a saída de sarjeta/valeta (DES-01)</v>
          </cell>
          <cell r="C511" t="str">
            <v>un</v>
          </cell>
          <cell r="D511">
            <v>278.82</v>
          </cell>
          <cell r="E511" t="str">
            <v>A incluir</v>
          </cell>
          <cell r="F511" t="e">
            <v>#N/A</v>
          </cell>
          <cell r="G511" t="e">
            <v>#N/A</v>
          </cell>
        </row>
        <row r="512">
          <cell r="A512">
            <v>40730</v>
          </cell>
          <cell r="B512" t="str">
            <v>Dissipador de energia aplicado a saída de sarjeta/valeta (DES-02)</v>
          </cell>
          <cell r="C512" t="str">
            <v>un</v>
          </cell>
          <cell r="D512">
            <v>331.61</v>
          </cell>
          <cell r="E512" t="str">
            <v>A incluir</v>
          </cell>
          <cell r="F512" t="e">
            <v>#N/A</v>
          </cell>
          <cell r="G512" t="e">
            <v>#N/A</v>
          </cell>
        </row>
        <row r="513">
          <cell r="A513">
            <v>40731</v>
          </cell>
          <cell r="B513" t="str">
            <v>Dissipador de energia aplicado a saída de sarjeta/valeta (DES-03)</v>
          </cell>
          <cell r="C513" t="str">
            <v>un</v>
          </cell>
          <cell r="D513">
            <v>395.39</v>
          </cell>
          <cell r="E513" t="str">
            <v>A incluir</v>
          </cell>
          <cell r="F513" t="e">
            <v>#N/A</v>
          </cell>
          <cell r="G513" t="e">
            <v>#N/A</v>
          </cell>
        </row>
        <row r="514">
          <cell r="A514">
            <v>40650</v>
          </cell>
          <cell r="B514" t="str">
            <v>Dreno de alívio de pavimento (DP - DAP - 01), com utilização de geotêxtil não tecido RT 07 kn/m, inclusive transporte da brita</v>
          </cell>
          <cell r="C514" t="str">
            <v>m</v>
          </cell>
          <cell r="D514">
            <v>49.33</v>
          </cell>
          <cell r="E514" t="str">
            <v>A incluir</v>
          </cell>
          <cell r="F514" t="e">
            <v>#N/A</v>
          </cell>
          <cell r="G514" t="e">
            <v>#N/A</v>
          </cell>
        </row>
        <row r="515">
          <cell r="A515">
            <v>40637</v>
          </cell>
          <cell r="B515" t="str">
            <v>Dreno de PVC D -&gt; 100 mm</v>
          </cell>
          <cell r="C515" t="str">
            <v>m</v>
          </cell>
          <cell r="D515">
            <v>28.8</v>
          </cell>
          <cell r="E515">
            <v>0</v>
          </cell>
          <cell r="F515" t="e">
            <v>#N/A</v>
          </cell>
          <cell r="G515" t="e">
            <v>#N/A</v>
          </cell>
        </row>
        <row r="516">
          <cell r="A516">
            <v>40636</v>
          </cell>
          <cell r="B516" t="str">
            <v>Dreno de PVC D -&gt; 50 mm</v>
          </cell>
          <cell r="C516" t="str">
            <v>m</v>
          </cell>
          <cell r="D516">
            <v>17.5</v>
          </cell>
          <cell r="E516">
            <v>0</v>
          </cell>
          <cell r="F516" t="e">
            <v>#N/A</v>
          </cell>
          <cell r="G516" t="e">
            <v>#N/A</v>
          </cell>
        </row>
        <row r="517">
          <cell r="A517">
            <v>40712</v>
          </cell>
          <cell r="B517" t="str">
            <v>Dreno Longitudinal tipo Trincheira Drenante, H -&gt; 0,90 m com tubo poroso tipo PEAD de diâm -&gt; 110 mm, incluindo esc. em mat. 1ª cat.</v>
          </cell>
          <cell r="C517" t="str">
            <v>m</v>
          </cell>
          <cell r="D517">
            <v>85.68</v>
          </cell>
          <cell r="E517" t="str">
            <v>A incluir</v>
          </cell>
          <cell r="F517" t="e">
            <v>#N/A</v>
          </cell>
          <cell r="G517" t="e">
            <v>#N/A</v>
          </cell>
        </row>
        <row r="518">
          <cell r="A518">
            <v>40713</v>
          </cell>
          <cell r="B518" t="str">
            <v>Dreno Longitudinal tipo Trincheira Drenante, H -&gt; 0,90 m com tubo poroso tipo PEAD de diâm -&gt; 110 mm, incluindo esc. mat. 3ª cat.</v>
          </cell>
          <cell r="C518" t="str">
            <v>m</v>
          </cell>
          <cell r="D518">
            <v>105.95</v>
          </cell>
          <cell r="E518" t="str">
            <v>A incluir</v>
          </cell>
          <cell r="F518" t="e">
            <v>#N/A</v>
          </cell>
          <cell r="G518" t="e">
            <v>#N/A</v>
          </cell>
        </row>
        <row r="519">
          <cell r="A519">
            <v>41262</v>
          </cell>
          <cell r="B519" t="str">
            <v>Dreno Longitudinal tipo Trincheira Drenante, H-&gt;0,40m c/ tubo poroso tipo PEAD d-&gt;65mm, inclus. esc. em mat. 1ª cat.e geotêxtil não tecido RT 07 kN/m</v>
          </cell>
          <cell r="C519" t="str">
            <v>m</v>
          </cell>
          <cell r="D519">
            <v>82.4</v>
          </cell>
          <cell r="E519">
            <v>0</v>
          </cell>
          <cell r="F519" t="e">
            <v>#N/A</v>
          </cell>
          <cell r="G519" t="e">
            <v>#N/A</v>
          </cell>
        </row>
        <row r="520">
          <cell r="A520">
            <v>41259</v>
          </cell>
          <cell r="B520" t="str">
            <v>Dreno ou Barbacã em tubo PVC, diâmetro de 2"</v>
          </cell>
          <cell r="C520" t="str">
            <v>m</v>
          </cell>
          <cell r="D520">
            <v>15.71</v>
          </cell>
          <cell r="E520">
            <v>0</v>
          </cell>
          <cell r="F520" t="e">
            <v>#N/A</v>
          </cell>
          <cell r="G520" t="e">
            <v>#N/A</v>
          </cell>
        </row>
        <row r="521">
          <cell r="A521">
            <v>40640</v>
          </cell>
          <cell r="B521" t="str">
            <v>Dreno profundo com enchimento de areia, escavação em material 1ª categoria, inclusive transporte da areia</v>
          </cell>
          <cell r="C521" t="str">
            <v>m</v>
          </cell>
          <cell r="D521">
            <v>100.2</v>
          </cell>
          <cell r="E521" t="str">
            <v>A incluir</v>
          </cell>
          <cell r="F521" t="e">
            <v>#N/A</v>
          </cell>
          <cell r="G521" t="e">
            <v>#N/A</v>
          </cell>
        </row>
        <row r="522">
          <cell r="A522">
            <v>40642</v>
          </cell>
          <cell r="B522" t="str">
            <v>Dreno profundo com enchimento de brita e areia (1:1) escavação em material 1ª categoria, inclusive transporte da areia e da brita</v>
          </cell>
          <cell r="C522" t="str">
            <v>m</v>
          </cell>
          <cell r="D522">
            <v>100.83</v>
          </cell>
          <cell r="E522" t="str">
            <v>A incluir</v>
          </cell>
          <cell r="F522" t="e">
            <v>#N/A</v>
          </cell>
          <cell r="G522" t="e">
            <v>#N/A</v>
          </cell>
        </row>
        <row r="523">
          <cell r="A523">
            <v>40643</v>
          </cell>
          <cell r="B523" t="str">
            <v>Dreno profundo com enchimento de brita e areia (1:1) escavação em material 2ª categoria, inclusive transporte da areia e da brita</v>
          </cell>
          <cell r="C523" t="str">
            <v>m</v>
          </cell>
          <cell r="D523">
            <v>107.43</v>
          </cell>
          <cell r="E523" t="str">
            <v>A incluir</v>
          </cell>
          <cell r="F523" t="e">
            <v>#N/A</v>
          </cell>
          <cell r="G523" t="e">
            <v>#N/A</v>
          </cell>
        </row>
        <row r="524">
          <cell r="A524">
            <v>40641</v>
          </cell>
          <cell r="B524" t="str">
            <v>Dreno profundo com enchimento de brita, escavação em material 1ª categoria, inclusive transporte da brita</v>
          </cell>
          <cell r="C524" t="str">
            <v>m</v>
          </cell>
          <cell r="D524">
            <v>95.01</v>
          </cell>
          <cell r="E524" t="str">
            <v>A incluir</v>
          </cell>
          <cell r="F524" t="e">
            <v>#N/A</v>
          </cell>
          <cell r="G524" t="e">
            <v>#N/A</v>
          </cell>
        </row>
        <row r="525">
          <cell r="A525">
            <v>40648</v>
          </cell>
          <cell r="B525" t="str">
            <v>Dreno profundo com tubo poroso, D -&gt; 0,20 m com enchimento de brita e areia, escavação em material 2ª categoria, inclusive transp.da areia, brita, tubo</v>
          </cell>
          <cell r="C525" t="str">
            <v>m</v>
          </cell>
          <cell r="D525">
            <v>122.18</v>
          </cell>
          <cell r="E525" t="str">
            <v>A incluir</v>
          </cell>
          <cell r="F525" t="e">
            <v>#N/A</v>
          </cell>
          <cell r="G525" t="e">
            <v>#N/A</v>
          </cell>
        </row>
        <row r="526">
          <cell r="A526">
            <v>40649</v>
          </cell>
          <cell r="B526" t="str">
            <v>Dreno profundo com tubo poroso, D -&gt; 0,20 m com enchimento de brita, escavação em material 3ª categoria (DPR-01), inclusive transporte da brita, tubo</v>
          </cell>
          <cell r="C526" t="str">
            <v>m</v>
          </cell>
          <cell r="D526">
            <v>87.9</v>
          </cell>
          <cell r="E526" t="str">
            <v>A incluir</v>
          </cell>
          <cell r="F526" t="e">
            <v>#N/A</v>
          </cell>
          <cell r="G526" t="e">
            <v>#N/A</v>
          </cell>
        </row>
        <row r="527">
          <cell r="A527">
            <v>40645</v>
          </cell>
          <cell r="B527" t="str">
            <v>Dreno profundo D -&gt; 0,10 m c/ enchim. brita, areia (1:1) escav. mat. 3º categ.incl. transp. areia, brita c/ geotêxtil não tecido res.long. mín 16kn/m</v>
          </cell>
          <cell r="C527" t="str">
            <v>m</v>
          </cell>
          <cell r="D527">
            <v>198.02</v>
          </cell>
          <cell r="E527" t="str">
            <v>A incluir</v>
          </cell>
          <cell r="F527" t="e">
            <v>#N/A</v>
          </cell>
          <cell r="G527" t="e">
            <v>#N/A</v>
          </cell>
        </row>
        <row r="528">
          <cell r="A528">
            <v>40644</v>
          </cell>
          <cell r="B528" t="str">
            <v>Dreno profundo D -&gt; 0,10 m c/enchim. brita e areia (1:1) escav.mat. 1º categ., inclus.transp.areia, brita,c/ geotêxtil não tecido res.long. mín 16 kn/m</v>
          </cell>
          <cell r="C528" t="str">
            <v>m</v>
          </cell>
          <cell r="D528">
            <v>129</v>
          </cell>
          <cell r="E528" t="str">
            <v>A incluir</v>
          </cell>
          <cell r="F528" t="e">
            <v>#N/A</v>
          </cell>
          <cell r="G528" t="e">
            <v>#N/A</v>
          </cell>
        </row>
        <row r="529">
          <cell r="A529">
            <v>40646</v>
          </cell>
          <cell r="B529" t="str">
            <v>Dreno profundo D -&gt; 0,20 m com enchimento de areia, escavação em material 1ª categoria (DPS-01), inclusive transporte da areia e do tubo</v>
          </cell>
          <cell r="C529" t="str">
            <v>m</v>
          </cell>
          <cell r="D529">
            <v>120.37</v>
          </cell>
          <cell r="E529" t="str">
            <v>A incluir</v>
          </cell>
          <cell r="F529" t="e">
            <v>#N/A</v>
          </cell>
          <cell r="G529" t="e">
            <v>#N/A</v>
          </cell>
        </row>
        <row r="530">
          <cell r="A530">
            <v>40647</v>
          </cell>
          <cell r="B530" t="str">
            <v>Dreno profundo D -&gt; 0,20 m com enchimento de brita e areia, escavação em material 1ª categoria, inclusive transporte da brita e da areia</v>
          </cell>
          <cell r="C530" t="str">
            <v>m</v>
          </cell>
          <cell r="D530">
            <v>115.59</v>
          </cell>
          <cell r="E530" t="str">
            <v>A incluir</v>
          </cell>
          <cell r="F530" t="e">
            <v>#N/A</v>
          </cell>
          <cell r="G530" t="e">
            <v>#N/A</v>
          </cell>
        </row>
        <row r="531">
          <cell r="A531">
            <v>40704</v>
          </cell>
          <cell r="B531" t="str">
            <v>Dreno profundo em solo com tubo PVC perfur. D-&gt;0,10 m, envolto por geotêxtil não tecido RT16 kn/m, preenchim. c/ brita, incl. transporte</v>
          </cell>
          <cell r="C531" t="str">
            <v>m</v>
          </cell>
          <cell r="D531">
            <v>84.33</v>
          </cell>
          <cell r="E531" t="str">
            <v>A incluir</v>
          </cell>
          <cell r="F531" t="e">
            <v>#N/A</v>
          </cell>
          <cell r="G531" t="e">
            <v>#N/A</v>
          </cell>
        </row>
        <row r="532">
          <cell r="A532">
            <v>41107</v>
          </cell>
          <cell r="B532" t="str">
            <v>Dreno profundo para corte em solo, com enchimento em brita revestido com geotextil não tecido RT 16 kn/m, inclusive transporte da brita</v>
          </cell>
          <cell r="C532" t="str">
            <v>m</v>
          </cell>
          <cell r="D532">
            <v>118.11</v>
          </cell>
          <cell r="E532" t="str">
            <v>A incluir</v>
          </cell>
          <cell r="F532" t="e">
            <v>#N/A</v>
          </cell>
          <cell r="G532" t="e">
            <v>#N/A</v>
          </cell>
        </row>
        <row r="533">
          <cell r="A533">
            <v>40638</v>
          </cell>
          <cell r="B533" t="str">
            <v>Dreno sub-horizontal D -&gt; 50 mm em PVC, com geotêxtil não tecido RT 16 kn/m, exclusive transportes</v>
          </cell>
          <cell r="C533" t="str">
            <v>m</v>
          </cell>
          <cell r="D533">
            <v>390.44</v>
          </cell>
          <cell r="E533">
            <v>0</v>
          </cell>
          <cell r="F533" t="e">
            <v>#N/A</v>
          </cell>
          <cell r="G533" t="e">
            <v>#N/A</v>
          </cell>
        </row>
        <row r="534">
          <cell r="A534">
            <v>41188</v>
          </cell>
          <cell r="B534" t="str">
            <v>Dreno sub-horizontal D-&gt;50mm em PVC (escavação em alteração de rocha), inclusive geotêxtil não tecido RT 16 kn/m, exclusive transportes</v>
          </cell>
          <cell r="C534" t="str">
            <v>m</v>
          </cell>
          <cell r="D534">
            <v>621.29</v>
          </cell>
          <cell r="E534">
            <v>0</v>
          </cell>
          <cell r="F534" t="e">
            <v>#N/A</v>
          </cell>
          <cell r="G534" t="e">
            <v>#N/A</v>
          </cell>
        </row>
        <row r="535">
          <cell r="A535">
            <v>41187</v>
          </cell>
          <cell r="B535" t="str">
            <v>Dreno sub-horizontal D-&gt;50mm em PVC (escavação em rocha sã), inlusive geotêxtil não tecido RT 16 kn/m, exclusive transportes</v>
          </cell>
          <cell r="C535" t="str">
            <v>m</v>
          </cell>
          <cell r="D535">
            <v>817.43</v>
          </cell>
          <cell r="E535">
            <v>0</v>
          </cell>
          <cell r="F535" t="e">
            <v>#N/A</v>
          </cell>
          <cell r="G535" t="e">
            <v>#N/A</v>
          </cell>
        </row>
        <row r="536">
          <cell r="A536">
            <v>40705</v>
          </cell>
          <cell r="B536" t="str">
            <v>Dreno sub-superficial rocha (h-&gt;0,55m) c/ tubo PVC perfur. d-&gt;0,10m, env. por geotêxtil16kn/m,preenc.c/ brita,inclus.transp. dreno, exclus transp.brita</v>
          </cell>
          <cell r="C536" t="str">
            <v>m</v>
          </cell>
          <cell r="D536">
            <v>67.75</v>
          </cell>
          <cell r="E536" t="str">
            <v>A incluir</v>
          </cell>
          <cell r="F536" t="e">
            <v>#N/A</v>
          </cell>
          <cell r="G536" t="e">
            <v>#N/A</v>
          </cell>
        </row>
        <row r="537">
          <cell r="A537">
            <v>40639</v>
          </cell>
          <cell r="B537" t="str">
            <v>Dreno vertical D -&gt; 75 mm em PVC, com geotêxtil não tecido resistência longitudinal 16 kn/m</v>
          </cell>
          <cell r="C537" t="str">
            <v>m</v>
          </cell>
          <cell r="D537">
            <v>395.28</v>
          </cell>
          <cell r="E537">
            <v>0</v>
          </cell>
          <cell r="F537" t="e">
            <v>#N/A</v>
          </cell>
          <cell r="G537" t="e">
            <v>#N/A</v>
          </cell>
        </row>
        <row r="538">
          <cell r="A538">
            <v>41227</v>
          </cell>
          <cell r="B538" t="str">
            <v>Eletroduto de ferro galvanizado DN 4", inclusive conexões, exclusive escavação e reaterro, fornecimento e assentamento</v>
          </cell>
          <cell r="C538" t="str">
            <v>m</v>
          </cell>
          <cell r="D538">
            <v>98.54</v>
          </cell>
          <cell r="E538">
            <v>0</v>
          </cell>
          <cell r="F538" t="e">
            <v>#N/A</v>
          </cell>
          <cell r="G538" t="e">
            <v>#N/A</v>
          </cell>
        </row>
        <row r="539">
          <cell r="A539">
            <v>40951</v>
          </cell>
          <cell r="B539" t="str">
            <v>Eletroduto para rede de lógica, inclusive conexões</v>
          </cell>
          <cell r="C539" t="str">
            <v>m</v>
          </cell>
          <cell r="D539">
            <v>18.79</v>
          </cell>
          <cell r="E539">
            <v>0</v>
          </cell>
          <cell r="F539" t="e">
            <v>#N/A</v>
          </cell>
          <cell r="G539" t="e">
            <v>#N/A</v>
          </cell>
        </row>
        <row r="540">
          <cell r="A540">
            <v>41121</v>
          </cell>
          <cell r="B540" t="str">
            <v>Eletroduto PVC diâmetro 75mm, fornecimento e assentamento</v>
          </cell>
          <cell r="C540" t="str">
            <v>m</v>
          </cell>
          <cell r="D540">
            <v>25.66</v>
          </cell>
          <cell r="E540">
            <v>0</v>
          </cell>
          <cell r="F540" t="e">
            <v>#N/A</v>
          </cell>
          <cell r="G540" t="e">
            <v>#N/A</v>
          </cell>
        </row>
        <row r="541">
          <cell r="A541">
            <v>41120</v>
          </cell>
          <cell r="B541" t="str">
            <v>Eletroduto PVC rígido roscável diâm. 50mm, fornecimento e assentamento</v>
          </cell>
          <cell r="C541" t="str">
            <v>m</v>
          </cell>
          <cell r="D541">
            <v>11.99</v>
          </cell>
          <cell r="E541">
            <v>0</v>
          </cell>
          <cell r="F541" t="e">
            <v>#N/A</v>
          </cell>
          <cell r="G541" t="e">
            <v>#N/A</v>
          </cell>
        </row>
        <row r="542">
          <cell r="A542">
            <v>41128</v>
          </cell>
          <cell r="B542" t="str">
            <v>Eletroduto tipo Kanaflex diâmetro 1 1/4", fornecimento e assentamento</v>
          </cell>
          <cell r="C542" t="str">
            <v>m</v>
          </cell>
          <cell r="D542">
            <v>11.58</v>
          </cell>
          <cell r="E542">
            <v>0</v>
          </cell>
          <cell r="F542">
            <v>11.59</v>
          </cell>
          <cell r="G542">
            <v>1.00086355785838</v>
          </cell>
        </row>
        <row r="543">
          <cell r="A543">
            <v>41129</v>
          </cell>
          <cell r="B543" t="str">
            <v>Eletroduto tipo Kanaflex diâmetro 1 1/2", fornecimento e assentamento</v>
          </cell>
          <cell r="C543" t="str">
            <v>m</v>
          </cell>
          <cell r="D543">
            <v>14.47</v>
          </cell>
          <cell r="E543">
            <v>0</v>
          </cell>
          <cell r="F543" t="e">
            <v>#N/A</v>
          </cell>
          <cell r="G543" t="e">
            <v>#N/A</v>
          </cell>
        </row>
        <row r="544">
          <cell r="A544">
            <v>41131</v>
          </cell>
          <cell r="B544" t="str">
            <v>Eletroduto tipo Kanaflex diâmetro 2", fornecimento e assentamento</v>
          </cell>
          <cell r="C544" t="str">
            <v>m</v>
          </cell>
          <cell r="D544">
            <v>20.149999999999999</v>
          </cell>
          <cell r="E544">
            <v>0</v>
          </cell>
          <cell r="F544">
            <v>20.16</v>
          </cell>
          <cell r="G544">
            <v>1.0004962779156299</v>
          </cell>
        </row>
        <row r="545">
          <cell r="A545">
            <v>41130</v>
          </cell>
          <cell r="B545" t="str">
            <v>Eletroduto tipo Kanaflex diâmetro 4", fornecimento e assentamento</v>
          </cell>
          <cell r="C545" t="str">
            <v>m</v>
          </cell>
          <cell r="D545">
            <v>33.78</v>
          </cell>
          <cell r="E545">
            <v>0</v>
          </cell>
          <cell r="F545" t="e">
            <v>#N/A</v>
          </cell>
          <cell r="G545" t="e">
            <v>#N/A</v>
          </cell>
        </row>
        <row r="546">
          <cell r="A546">
            <v>40997</v>
          </cell>
          <cell r="B546" t="str">
            <v>Enrocamento de pedra arrumada com pá carregadeira e escavadeira, inclusive fornecimento, exclusive transporte da pedra</v>
          </cell>
          <cell r="C546" t="str">
            <v>m³</v>
          </cell>
          <cell r="D546">
            <v>86.85</v>
          </cell>
          <cell r="E546">
            <v>0</v>
          </cell>
          <cell r="F546" t="e">
            <v>#N/A</v>
          </cell>
          <cell r="G546" t="e">
            <v>#N/A</v>
          </cell>
        </row>
        <row r="547">
          <cell r="A547">
            <v>40724</v>
          </cell>
          <cell r="B547" t="str">
            <v>Enrocamento de pedra de mão arrumada exclusive transporte</v>
          </cell>
          <cell r="C547" t="str">
            <v>m³</v>
          </cell>
          <cell r="D547">
            <v>141.82</v>
          </cell>
          <cell r="E547">
            <v>0</v>
          </cell>
          <cell r="F547" t="e">
            <v>#N/A</v>
          </cell>
          <cell r="G547" t="e">
            <v>#N/A</v>
          </cell>
        </row>
        <row r="548">
          <cell r="A548">
            <v>40722</v>
          </cell>
          <cell r="B548" t="str">
            <v>Enrocamento de pedra jogada exclusive fornecimento e transporte (utilização de material considerado em medição)</v>
          </cell>
          <cell r="C548" t="str">
            <v>m³</v>
          </cell>
          <cell r="D548">
            <v>7.99</v>
          </cell>
          <cell r="E548">
            <v>0</v>
          </cell>
          <cell r="F548" t="e">
            <v>#N/A</v>
          </cell>
          <cell r="G548" t="e">
            <v>#N/A</v>
          </cell>
        </row>
        <row r="549">
          <cell r="A549">
            <v>40998</v>
          </cell>
          <cell r="B549" t="str">
            <v>Enrocamento de pedra jogada exclusive o fornecimento e transporte da pedra</v>
          </cell>
          <cell r="C549" t="str">
            <v>m³</v>
          </cell>
          <cell r="D549">
            <v>8.99</v>
          </cell>
          <cell r="E549">
            <v>0</v>
          </cell>
          <cell r="F549" t="e">
            <v>#N/A</v>
          </cell>
          <cell r="G549" t="e">
            <v>#N/A</v>
          </cell>
        </row>
        <row r="550">
          <cell r="A550">
            <v>40723</v>
          </cell>
          <cell r="B550" t="str">
            <v>Enrocamento de pedra jogada inclusive fornecimento, exclusive transporte da pedra</v>
          </cell>
          <cell r="C550" t="str">
            <v>m³</v>
          </cell>
          <cell r="D550">
            <v>64.03</v>
          </cell>
          <cell r="E550">
            <v>0</v>
          </cell>
          <cell r="F550" t="e">
            <v>#N/A</v>
          </cell>
          <cell r="G550" t="e">
            <v>#N/A</v>
          </cell>
        </row>
        <row r="551">
          <cell r="A551">
            <v>40335</v>
          </cell>
          <cell r="B551" t="str">
            <v>Ensecadeira dupla de madeira esp.-&gt; 5 cm com 1 reaproveitamento</v>
          </cell>
          <cell r="C551" t="str">
            <v>m²</v>
          </cell>
          <cell r="D551">
            <v>517.37</v>
          </cell>
          <cell r="E551" t="str">
            <v>A incluir</v>
          </cell>
          <cell r="F551" t="e">
            <v>#N/A</v>
          </cell>
          <cell r="G551" t="e">
            <v>#N/A</v>
          </cell>
        </row>
        <row r="552">
          <cell r="A552">
            <v>40334</v>
          </cell>
          <cell r="B552" t="str">
            <v>Ensecadeira dupla de madeira esp.-&gt; 5 cm sem reaproveitamento, tudo incluído</v>
          </cell>
          <cell r="C552" t="str">
            <v>m²</v>
          </cell>
          <cell r="D552">
            <v>735.02</v>
          </cell>
          <cell r="E552" t="str">
            <v>A incluir</v>
          </cell>
          <cell r="F552" t="e">
            <v>#N/A</v>
          </cell>
          <cell r="G552" t="e">
            <v>#N/A</v>
          </cell>
        </row>
        <row r="553">
          <cell r="A553">
            <v>40333</v>
          </cell>
          <cell r="B553" t="str">
            <v>Ensecadeira simples de madeira esp.-&gt; 5 cm com 1 reaproveitamento, inclusive transporte das madeiras</v>
          </cell>
          <cell r="C553" t="str">
            <v>m²</v>
          </cell>
          <cell r="D553">
            <v>258.68</v>
          </cell>
          <cell r="E553" t="str">
            <v>A incluir</v>
          </cell>
          <cell r="F553" t="e">
            <v>#N/A</v>
          </cell>
          <cell r="G553" t="e">
            <v>#N/A</v>
          </cell>
        </row>
        <row r="554">
          <cell r="A554">
            <v>40332</v>
          </cell>
          <cell r="B554" t="str">
            <v>Ensecadeira simples de madeira esp.-&gt; 5 cm sem reaproveitamento, inclusive transporte das madeiras</v>
          </cell>
          <cell r="C554" t="str">
            <v>m²</v>
          </cell>
          <cell r="D554">
            <v>367.51</v>
          </cell>
          <cell r="E554" t="str">
            <v>A incluir</v>
          </cell>
          <cell r="F554" t="e">
            <v>#N/A</v>
          </cell>
          <cell r="G554" t="e">
            <v>#N/A</v>
          </cell>
        </row>
        <row r="555">
          <cell r="A555">
            <v>40675</v>
          </cell>
          <cell r="B555" t="str">
            <v>Entrada para descida d'agua DP-1 (calha/degraus) inclusive caiação</v>
          </cell>
          <cell r="C555" t="str">
            <v>un</v>
          </cell>
          <cell r="D555">
            <v>198.52</v>
          </cell>
          <cell r="E555">
            <v>0</v>
          </cell>
          <cell r="F555" t="e">
            <v>#N/A</v>
          </cell>
          <cell r="G555" t="e">
            <v>#N/A</v>
          </cell>
        </row>
        <row r="556">
          <cell r="A556">
            <v>40673</v>
          </cell>
          <cell r="B556" t="str">
            <v>Entrada para descida d'água EDA-01</v>
          </cell>
          <cell r="C556" t="str">
            <v>un</v>
          </cell>
          <cell r="D556">
            <v>72.34</v>
          </cell>
          <cell r="E556">
            <v>0</v>
          </cell>
          <cell r="F556" t="e">
            <v>#N/A</v>
          </cell>
          <cell r="G556" t="e">
            <v>#N/A</v>
          </cell>
        </row>
        <row r="557">
          <cell r="A557">
            <v>40674</v>
          </cell>
          <cell r="B557" t="str">
            <v>Entrada para descida d'água EDA-02</v>
          </cell>
          <cell r="C557" t="str">
            <v>un</v>
          </cell>
          <cell r="D557">
            <v>77.16</v>
          </cell>
          <cell r="E557">
            <v>0</v>
          </cell>
          <cell r="F557" t="e">
            <v>#N/A</v>
          </cell>
          <cell r="G557" t="e">
            <v>#N/A</v>
          </cell>
        </row>
        <row r="558">
          <cell r="A558">
            <v>41037</v>
          </cell>
          <cell r="B558" t="str">
            <v>Escada de madeira executada sobre terreno inclinado, com 80 cm de largura mínima</v>
          </cell>
          <cell r="C558" t="str">
            <v>m</v>
          </cell>
          <cell r="D558">
            <v>57.59</v>
          </cell>
          <cell r="E558">
            <v>0</v>
          </cell>
          <cell r="F558" t="e">
            <v>#N/A</v>
          </cell>
          <cell r="G558" t="e">
            <v>#N/A</v>
          </cell>
        </row>
        <row r="559">
          <cell r="A559">
            <v>40258</v>
          </cell>
          <cell r="B559" t="str">
            <v>Escavação manual em mat. 1ª cat. H-&gt; 0,00 a 1,50 m</v>
          </cell>
          <cell r="C559" t="str">
            <v>m³</v>
          </cell>
          <cell r="D559">
            <v>53.2</v>
          </cell>
          <cell r="E559">
            <v>0</v>
          </cell>
          <cell r="F559">
            <v>53.2</v>
          </cell>
          <cell r="G559">
            <v>1</v>
          </cell>
        </row>
        <row r="560">
          <cell r="A560">
            <v>40261</v>
          </cell>
          <cell r="B560" t="str">
            <v>Escavação manual em mat. 1ª cat. H-&gt; 0,00 a 1,50 m com esgotamento</v>
          </cell>
          <cell r="C560" t="str">
            <v>m³</v>
          </cell>
          <cell r="D560">
            <v>60.31</v>
          </cell>
          <cell r="E560">
            <v>0</v>
          </cell>
          <cell r="F560" t="e">
            <v>#N/A</v>
          </cell>
          <cell r="G560" t="e">
            <v>#N/A</v>
          </cell>
        </row>
        <row r="561">
          <cell r="A561">
            <v>40259</v>
          </cell>
          <cell r="B561" t="str">
            <v>Escavação manual em mat. 1ª cat. H-&gt; 1,50 a 3,00 m</v>
          </cell>
          <cell r="C561" t="str">
            <v>m³</v>
          </cell>
          <cell r="D561">
            <v>78.41</v>
          </cell>
          <cell r="E561">
            <v>0</v>
          </cell>
          <cell r="F561" t="e">
            <v>#N/A</v>
          </cell>
          <cell r="G561" t="e">
            <v>#N/A</v>
          </cell>
        </row>
        <row r="562">
          <cell r="A562">
            <v>40262</v>
          </cell>
          <cell r="B562" t="str">
            <v>Escavação manual em mat. 1ª cat. H-&gt; 1,50 a 3,00 m com esgotamento</v>
          </cell>
          <cell r="C562" t="str">
            <v>m³</v>
          </cell>
          <cell r="D562">
            <v>85.52</v>
          </cell>
          <cell r="E562">
            <v>0</v>
          </cell>
          <cell r="F562" t="e">
            <v>#N/A</v>
          </cell>
          <cell r="G562" t="e">
            <v>#N/A</v>
          </cell>
        </row>
        <row r="563">
          <cell r="A563">
            <v>40260</v>
          </cell>
          <cell r="B563" t="str">
            <v>Escavação manual em mat. 1ª cat. H-&gt; 3,00 a 4,50 m</v>
          </cell>
          <cell r="C563" t="str">
            <v>m³</v>
          </cell>
          <cell r="D563">
            <v>116.21</v>
          </cell>
          <cell r="E563">
            <v>0</v>
          </cell>
          <cell r="F563" t="e">
            <v>#N/A</v>
          </cell>
          <cell r="G563" t="e">
            <v>#N/A</v>
          </cell>
        </row>
        <row r="564">
          <cell r="A564">
            <v>40263</v>
          </cell>
          <cell r="B564" t="str">
            <v>Escavação manual em mat. 1ª cat. H-&gt; 3,00 a 4,50 m com esgotamento</v>
          </cell>
          <cell r="C564" t="str">
            <v>m³</v>
          </cell>
          <cell r="D564">
            <v>123.32</v>
          </cell>
          <cell r="E564">
            <v>0</v>
          </cell>
          <cell r="F564" t="e">
            <v>#N/A</v>
          </cell>
          <cell r="G564" t="e">
            <v>#N/A</v>
          </cell>
        </row>
        <row r="565">
          <cell r="A565">
            <v>40267</v>
          </cell>
          <cell r="B565" t="str">
            <v>Escavação manual em mat. 2ª cat. H-&gt; 0,00 a 1,50 m com esgotamento</v>
          </cell>
          <cell r="C565" t="str">
            <v>m³</v>
          </cell>
          <cell r="D565">
            <v>127.06</v>
          </cell>
          <cell r="E565">
            <v>0</v>
          </cell>
          <cell r="F565" t="e">
            <v>#N/A</v>
          </cell>
          <cell r="G565" t="e">
            <v>#N/A</v>
          </cell>
        </row>
        <row r="566">
          <cell r="A566">
            <v>40264</v>
          </cell>
          <cell r="B566" t="str">
            <v>Escavação manual em mat. 2ª cat. H-&gt; 0,00 a 1,50 m sem detonação</v>
          </cell>
          <cell r="C566" t="str">
            <v>m³</v>
          </cell>
          <cell r="D566">
            <v>119.94</v>
          </cell>
          <cell r="E566">
            <v>0</v>
          </cell>
          <cell r="F566" t="e">
            <v>#N/A</v>
          </cell>
          <cell r="G566" t="e">
            <v>#N/A</v>
          </cell>
        </row>
        <row r="567">
          <cell r="A567">
            <v>40268</v>
          </cell>
          <cell r="B567" t="str">
            <v>Escavação manual em mat. 2ª cat. H-&gt; 1,50 a 3,00 m com esgotamento</v>
          </cell>
          <cell r="C567" t="str">
            <v>m³</v>
          </cell>
          <cell r="D567">
            <v>156.38</v>
          </cell>
          <cell r="E567">
            <v>0</v>
          </cell>
          <cell r="F567" t="e">
            <v>#N/A</v>
          </cell>
          <cell r="G567" t="e">
            <v>#N/A</v>
          </cell>
        </row>
        <row r="568">
          <cell r="A568">
            <v>40265</v>
          </cell>
          <cell r="B568" t="str">
            <v>Escavação manual em mat. 2ª cat. H-&gt; 1,50 a 3,00 m sem detonação</v>
          </cell>
          <cell r="C568" t="str">
            <v>m³</v>
          </cell>
          <cell r="D568">
            <v>149.26</v>
          </cell>
          <cell r="E568">
            <v>0</v>
          </cell>
          <cell r="F568" t="e">
            <v>#N/A</v>
          </cell>
          <cell r="G568" t="e">
            <v>#N/A</v>
          </cell>
        </row>
        <row r="569">
          <cell r="A569">
            <v>40269</v>
          </cell>
          <cell r="B569" t="str">
            <v>Escavação manual em mat. 2ª cat. H-&gt; 3,00 a 4,50 m com esgotamento</v>
          </cell>
          <cell r="C569" t="str">
            <v>m³</v>
          </cell>
          <cell r="D569">
            <v>272.22000000000003</v>
          </cell>
          <cell r="E569">
            <v>0</v>
          </cell>
          <cell r="F569" t="e">
            <v>#N/A</v>
          </cell>
          <cell r="G569" t="e">
            <v>#N/A</v>
          </cell>
        </row>
        <row r="570">
          <cell r="A570">
            <v>40266</v>
          </cell>
          <cell r="B570" t="str">
            <v>Escavação manual em mat. 2ª cat. H-&gt; 3,00 a 4,50 m sem detonação</v>
          </cell>
          <cell r="C570" t="str">
            <v>m³</v>
          </cell>
          <cell r="D570">
            <v>265.10000000000002</v>
          </cell>
          <cell r="E570">
            <v>0</v>
          </cell>
          <cell r="F570" t="e">
            <v>#N/A</v>
          </cell>
          <cell r="G570" t="e">
            <v>#N/A</v>
          </cell>
        </row>
        <row r="571">
          <cell r="A571">
            <v>40276</v>
          </cell>
          <cell r="B571" t="str">
            <v>Escavação manual em mat. 3ª cat. H-&gt; 0,00 a 1,50 m, a fogo</v>
          </cell>
          <cell r="C571" t="str">
            <v>m³</v>
          </cell>
          <cell r="D571">
            <v>353.16</v>
          </cell>
          <cell r="E571">
            <v>0</v>
          </cell>
          <cell r="F571" t="e">
            <v>#N/A</v>
          </cell>
          <cell r="G571" t="e">
            <v>#N/A</v>
          </cell>
        </row>
        <row r="572">
          <cell r="A572">
            <v>40256</v>
          </cell>
          <cell r="B572" t="str">
            <v>Escavação manual furos, valetas mat. 1ª cat. H-&gt; 0,00 a 1,50 m (dim. reduz.)</v>
          </cell>
          <cell r="C572" t="str">
            <v>m³</v>
          </cell>
          <cell r="D572">
            <v>78.41</v>
          </cell>
          <cell r="E572">
            <v>0</v>
          </cell>
          <cell r="F572">
            <v>78.41</v>
          </cell>
          <cell r="G572">
            <v>1</v>
          </cell>
        </row>
        <row r="573">
          <cell r="A573">
            <v>40257</v>
          </cell>
          <cell r="B573" t="str">
            <v>Escavação manual furos, valetas mat. 2ª cat. H-&gt; 0,00 a 1,50 m sem detonação (dim. reduz.)</v>
          </cell>
          <cell r="C573" t="str">
            <v>m³</v>
          </cell>
          <cell r="D573">
            <v>178.52</v>
          </cell>
          <cell r="E573">
            <v>0</v>
          </cell>
          <cell r="F573" t="e">
            <v>#N/A</v>
          </cell>
          <cell r="G573" t="e">
            <v>#N/A</v>
          </cell>
        </row>
        <row r="574">
          <cell r="A574">
            <v>41192</v>
          </cell>
          <cell r="B574" t="str">
            <v>Escavação mecânica de valas em material de 1ª categoria, 3,00 a 4,50m, com esgotamento, carga do material, transporte do material para bota-fora</v>
          </cell>
          <cell r="C574" t="str">
            <v>m³</v>
          </cell>
          <cell r="D574">
            <v>190.77</v>
          </cell>
          <cell r="E574" t="str">
            <v>A incluir</v>
          </cell>
          <cell r="F574" t="e">
            <v>#N/A</v>
          </cell>
          <cell r="G574" t="e">
            <v>#N/A</v>
          </cell>
        </row>
        <row r="575">
          <cell r="A575">
            <v>41198</v>
          </cell>
          <cell r="B575" t="str">
            <v>Escavação mecânica de valas em 1ª categoria, profundidade de 4,50 a 6,00m com esgotamento, transp. DMT-&gt;20km, descarga e espalhamento</v>
          </cell>
          <cell r="C575" t="str">
            <v>m³</v>
          </cell>
          <cell r="D575">
            <v>192.55</v>
          </cell>
          <cell r="E575" t="str">
            <v>A incluir</v>
          </cell>
          <cell r="F575" t="e">
            <v>#N/A</v>
          </cell>
          <cell r="G575" t="e">
            <v>#N/A</v>
          </cell>
        </row>
        <row r="576">
          <cell r="A576">
            <v>40282</v>
          </cell>
          <cell r="B576" t="str">
            <v>Escavação mecânica em material de 1ª cat. H-&gt; 0,00 a 1,50 m</v>
          </cell>
          <cell r="C576" t="str">
            <v>m³</v>
          </cell>
          <cell r="D576">
            <v>10.56</v>
          </cell>
          <cell r="E576">
            <v>0</v>
          </cell>
          <cell r="F576">
            <v>10.56</v>
          </cell>
          <cell r="G576">
            <v>1</v>
          </cell>
        </row>
        <row r="577">
          <cell r="A577">
            <v>40285</v>
          </cell>
          <cell r="B577" t="str">
            <v>Escavação mecânica em material de 1ª cat. H-&gt; 0,00 a 1,50 m com esgotamento</v>
          </cell>
          <cell r="C577" t="str">
            <v>m³</v>
          </cell>
          <cell r="D577">
            <v>17.68</v>
          </cell>
          <cell r="E577">
            <v>0</v>
          </cell>
          <cell r="F577" t="e">
            <v>#N/A</v>
          </cell>
          <cell r="G577" t="e">
            <v>#N/A</v>
          </cell>
        </row>
        <row r="578">
          <cell r="A578">
            <v>40283</v>
          </cell>
          <cell r="B578" t="str">
            <v>Escavação mecânica em material de 1ª cat. H-&gt; 1,50 a 3,00 m</v>
          </cell>
          <cell r="C578" t="str">
            <v>m³</v>
          </cell>
          <cell r="D578">
            <v>11.61</v>
          </cell>
          <cell r="E578">
            <v>0</v>
          </cell>
          <cell r="F578">
            <v>11.61</v>
          </cell>
          <cell r="G578">
            <v>1</v>
          </cell>
        </row>
        <row r="579">
          <cell r="A579">
            <v>40286</v>
          </cell>
          <cell r="B579" t="str">
            <v>Escavação mecânica em material de 1ª cat. H-&gt; 1,50 a 3,00 m com esgotamento</v>
          </cell>
          <cell r="C579" t="str">
            <v>m³</v>
          </cell>
          <cell r="D579">
            <v>18.73</v>
          </cell>
          <cell r="E579">
            <v>0</v>
          </cell>
          <cell r="F579" t="e">
            <v>#N/A</v>
          </cell>
          <cell r="G579" t="e">
            <v>#N/A</v>
          </cell>
        </row>
        <row r="580">
          <cell r="A580">
            <v>40284</v>
          </cell>
          <cell r="B580" t="str">
            <v>Escavação mecânica em material de 1ª cat. H-&gt; 3,00 a 4,50 m</v>
          </cell>
          <cell r="C580" t="str">
            <v>m³</v>
          </cell>
          <cell r="D580">
            <v>13.66</v>
          </cell>
          <cell r="E580">
            <v>0</v>
          </cell>
          <cell r="F580" t="e">
            <v>#N/A</v>
          </cell>
          <cell r="G580" t="e">
            <v>#N/A</v>
          </cell>
        </row>
        <row r="581">
          <cell r="A581">
            <v>40287</v>
          </cell>
          <cell r="B581" t="str">
            <v>Escavação mecânica em material de 1º cat. H-&gt; 3,00 a 4,50 m com esgotamento</v>
          </cell>
          <cell r="C581" t="str">
            <v>m³</v>
          </cell>
          <cell r="D581">
            <v>20.77</v>
          </cell>
          <cell r="E581">
            <v>0</v>
          </cell>
          <cell r="F581" t="e">
            <v>#N/A</v>
          </cell>
          <cell r="G581" t="e">
            <v>#N/A</v>
          </cell>
        </row>
        <row r="582">
          <cell r="A582">
            <v>40288</v>
          </cell>
          <cell r="B582" t="str">
            <v>Escavação mecânica em material de 2ª cat. H-&gt; 0,00 a 1,50 m</v>
          </cell>
          <cell r="C582" t="str">
            <v>m³</v>
          </cell>
          <cell r="D582">
            <v>19.36</v>
          </cell>
          <cell r="E582">
            <v>0</v>
          </cell>
          <cell r="F582" t="e">
            <v>#N/A</v>
          </cell>
          <cell r="G582" t="e">
            <v>#N/A</v>
          </cell>
        </row>
        <row r="583">
          <cell r="A583">
            <v>40291</v>
          </cell>
          <cell r="B583" t="str">
            <v>Escavação mecânica em material de 2ª cat. H-&gt; 0,00 a 1,50 m com esgotamento</v>
          </cell>
          <cell r="C583" t="str">
            <v>m³</v>
          </cell>
          <cell r="D583">
            <v>26.48</v>
          </cell>
          <cell r="E583">
            <v>0</v>
          </cell>
          <cell r="F583" t="e">
            <v>#N/A</v>
          </cell>
          <cell r="G583" t="e">
            <v>#N/A</v>
          </cell>
        </row>
        <row r="584">
          <cell r="A584">
            <v>40289</v>
          </cell>
          <cell r="B584" t="str">
            <v>Escavação mecânica em material de 2ª cat. H-&gt; 1,50 a 3,00 m</v>
          </cell>
          <cell r="C584" t="str">
            <v>m³</v>
          </cell>
          <cell r="D584">
            <v>23.24</v>
          </cell>
          <cell r="E584">
            <v>0</v>
          </cell>
          <cell r="F584" t="e">
            <v>#N/A</v>
          </cell>
          <cell r="G584" t="e">
            <v>#N/A</v>
          </cell>
        </row>
        <row r="585">
          <cell r="A585">
            <v>40292</v>
          </cell>
          <cell r="B585" t="str">
            <v>Escavação mecânica em material de 2ª cat. H-&gt; 1,50 a 3,00 m com esgotamento</v>
          </cell>
          <cell r="C585" t="str">
            <v>m³</v>
          </cell>
          <cell r="D585">
            <v>30.35</v>
          </cell>
          <cell r="E585">
            <v>0</v>
          </cell>
          <cell r="F585" t="e">
            <v>#N/A</v>
          </cell>
          <cell r="G585" t="e">
            <v>#N/A</v>
          </cell>
        </row>
        <row r="586">
          <cell r="A586">
            <v>40290</v>
          </cell>
          <cell r="B586" t="str">
            <v>Escavação mecânica em material de 2ª cat. H-&gt; 3,00 a 4,50 m</v>
          </cell>
          <cell r="C586" t="str">
            <v>m³</v>
          </cell>
          <cell r="D586">
            <v>29.05</v>
          </cell>
          <cell r="E586">
            <v>0</v>
          </cell>
          <cell r="F586" t="e">
            <v>#N/A</v>
          </cell>
          <cell r="G586" t="e">
            <v>#N/A</v>
          </cell>
        </row>
        <row r="587">
          <cell r="A587">
            <v>40293</v>
          </cell>
          <cell r="B587" t="str">
            <v>Escavação mecânica em material de 2º cat. H-&gt; 3,00 a 4,50 m com esgotamento</v>
          </cell>
          <cell r="C587" t="str">
            <v>m³</v>
          </cell>
          <cell r="D587">
            <v>36.159999999999997</v>
          </cell>
          <cell r="E587">
            <v>0</v>
          </cell>
          <cell r="F587" t="e">
            <v>#N/A</v>
          </cell>
          <cell r="G587" t="e">
            <v>#N/A</v>
          </cell>
        </row>
        <row r="588">
          <cell r="A588">
            <v>40294</v>
          </cell>
          <cell r="B588" t="str">
            <v>Escavação mecânica em material de 3ª cat. H-&gt; 0,00 a 1,50 m</v>
          </cell>
          <cell r="C588" t="str">
            <v>m³</v>
          </cell>
          <cell r="D588">
            <v>102.58</v>
          </cell>
          <cell r="E588">
            <v>0</v>
          </cell>
          <cell r="F588" t="e">
            <v>#N/A</v>
          </cell>
          <cell r="G588" t="e">
            <v>#N/A</v>
          </cell>
        </row>
        <row r="589">
          <cell r="A589">
            <v>40297</v>
          </cell>
          <cell r="B589" t="str">
            <v>Escavação mecânica em material de 3ª cat. H-&gt; 0,00 a 1,50 m com esgotamento</v>
          </cell>
          <cell r="C589" t="str">
            <v>m³</v>
          </cell>
          <cell r="D589">
            <v>109.7</v>
          </cell>
          <cell r="E589">
            <v>0</v>
          </cell>
          <cell r="F589" t="e">
            <v>#N/A</v>
          </cell>
          <cell r="G589" t="e">
            <v>#N/A</v>
          </cell>
        </row>
        <row r="590">
          <cell r="A590">
            <v>40295</v>
          </cell>
          <cell r="B590" t="str">
            <v>Escavação mecânica em material de 3ª cat. H-&gt; 1,50 a 3,00 m</v>
          </cell>
          <cell r="C590" t="str">
            <v>m³</v>
          </cell>
          <cell r="D590">
            <v>115.46</v>
          </cell>
          <cell r="E590">
            <v>0</v>
          </cell>
          <cell r="F590" t="e">
            <v>#N/A</v>
          </cell>
          <cell r="G590" t="e">
            <v>#N/A</v>
          </cell>
        </row>
        <row r="591">
          <cell r="A591">
            <v>40298</v>
          </cell>
          <cell r="B591" t="str">
            <v>Escavação mecânica em material de 3ª cat. H-&gt; 1,50 a 3,00 m com esgotamento</v>
          </cell>
          <cell r="C591" t="str">
            <v>m³</v>
          </cell>
          <cell r="D591">
            <v>122.57</v>
          </cell>
          <cell r="E591">
            <v>0</v>
          </cell>
          <cell r="F591" t="e">
            <v>#N/A</v>
          </cell>
          <cell r="G591" t="e">
            <v>#N/A</v>
          </cell>
        </row>
        <row r="592">
          <cell r="A592">
            <v>40296</v>
          </cell>
          <cell r="B592" t="str">
            <v>Escavação mecânica em material de 3ª cat. H-&gt; 3,00 a 4,50 m</v>
          </cell>
          <cell r="C592" t="str">
            <v>m³</v>
          </cell>
          <cell r="D592">
            <v>139</v>
          </cell>
          <cell r="E592">
            <v>0</v>
          </cell>
          <cell r="F592" t="e">
            <v>#N/A</v>
          </cell>
          <cell r="G592" t="e">
            <v>#N/A</v>
          </cell>
        </row>
        <row r="593">
          <cell r="A593">
            <v>40299</v>
          </cell>
          <cell r="B593" t="str">
            <v>Escavação mecânica em material de 3ª cat. H-&gt; 3,00 a 4,50 m com esgotamento</v>
          </cell>
          <cell r="C593" t="str">
            <v>m³</v>
          </cell>
          <cell r="D593">
            <v>146.11000000000001</v>
          </cell>
          <cell r="E593">
            <v>0</v>
          </cell>
          <cell r="F593" t="e">
            <v>#N/A</v>
          </cell>
          <cell r="G593" t="e">
            <v>#N/A</v>
          </cell>
        </row>
        <row r="594">
          <cell r="A594">
            <v>40327</v>
          </cell>
          <cell r="B594" t="str">
            <v>Escoramento de cavas e valas, inclusive fornecimento e transportes das madeiras</v>
          </cell>
          <cell r="C594" t="str">
            <v>m²</v>
          </cell>
          <cell r="D594">
            <v>178.39</v>
          </cell>
          <cell r="E594" t="str">
            <v>A incluir</v>
          </cell>
          <cell r="F594" t="e">
            <v>#N/A</v>
          </cell>
          <cell r="G594" t="e">
            <v>#N/A</v>
          </cell>
        </row>
        <row r="595">
          <cell r="A595">
            <v>40328</v>
          </cell>
          <cell r="B595" t="str">
            <v>Escoramento e cimbramento (bueiro celular), inclusive fornecimento e transportes das madeiras</v>
          </cell>
          <cell r="C595" t="str">
            <v>m³</v>
          </cell>
          <cell r="D595">
            <v>110.35</v>
          </cell>
          <cell r="E595" t="str">
            <v>A incluir</v>
          </cell>
          <cell r="F595" t="e">
            <v>#N/A</v>
          </cell>
          <cell r="G595" t="e">
            <v>#N/A</v>
          </cell>
        </row>
        <row r="596">
          <cell r="A596">
            <v>43332</v>
          </cell>
          <cell r="B596" t="str">
            <v>Esgotamento de escavações para rebaixamento do nível dágua nos serviços de bueiros,galerias e outros, com conj. moto bomba</v>
          </cell>
          <cell r="C596" t="str">
            <v>mês</v>
          </cell>
          <cell r="D596">
            <v>5288.9</v>
          </cell>
          <cell r="E596">
            <v>0</v>
          </cell>
          <cell r="F596" t="e">
            <v>#N/A</v>
          </cell>
          <cell r="G596" t="e">
            <v>#N/A</v>
          </cell>
        </row>
        <row r="597">
          <cell r="A597">
            <v>40316</v>
          </cell>
          <cell r="B597" t="str">
            <v>Forma especial de madeira para meio fio, inclusive fornecimento e transporte das madeiras</v>
          </cell>
          <cell r="C597" t="str">
            <v>m²</v>
          </cell>
          <cell r="D597">
            <v>69.040000000000006</v>
          </cell>
          <cell r="E597" t="str">
            <v>A incluir</v>
          </cell>
          <cell r="F597">
            <v>69.900000000000006</v>
          </cell>
          <cell r="G597">
            <v>1.0124565469293201</v>
          </cell>
        </row>
        <row r="598">
          <cell r="A598">
            <v>40317</v>
          </cell>
          <cell r="B598" t="str">
            <v>Forma especial de madeira para sarjeta (gabarito), inclusive fornecimento e transporte da madeira</v>
          </cell>
          <cell r="C598" t="str">
            <v>m²</v>
          </cell>
          <cell r="D598">
            <v>59.42</v>
          </cell>
          <cell r="E598" t="str">
            <v>A incluir</v>
          </cell>
          <cell r="F598" t="e">
            <v>#N/A</v>
          </cell>
          <cell r="G598" t="e">
            <v>#N/A</v>
          </cell>
        </row>
        <row r="599">
          <cell r="A599">
            <v>40318</v>
          </cell>
          <cell r="B599" t="str">
            <v>Forma metálica para meio fio</v>
          </cell>
          <cell r="C599" t="str">
            <v>m²</v>
          </cell>
          <cell r="D599">
            <v>6.42</v>
          </cell>
          <cell r="E599">
            <v>0</v>
          </cell>
          <cell r="F599" t="e">
            <v>#N/A</v>
          </cell>
          <cell r="G599" t="e">
            <v>#N/A</v>
          </cell>
        </row>
        <row r="600">
          <cell r="A600">
            <v>40311</v>
          </cell>
          <cell r="B600" t="str">
            <v>Formas planas de madeira com 01 (um) reaproveitamento, inclusive fornecimento e transporte das madeiras</v>
          </cell>
          <cell r="C600" t="str">
            <v>m²</v>
          </cell>
          <cell r="D600">
            <v>98.2</v>
          </cell>
          <cell r="E600" t="str">
            <v>A incluir</v>
          </cell>
          <cell r="F600" t="e">
            <v>#N/A</v>
          </cell>
          <cell r="G600" t="e">
            <v>#N/A</v>
          </cell>
        </row>
        <row r="601">
          <cell r="A601">
            <v>40312</v>
          </cell>
          <cell r="B601" t="str">
            <v>Formas planas de madeira com 02 (dois) reaproveitamentos, inclusive fornecimento e transporte das madeiras</v>
          </cell>
          <cell r="C601" t="str">
            <v>m²</v>
          </cell>
          <cell r="D601">
            <v>81.7</v>
          </cell>
          <cell r="E601" t="str">
            <v>A incluir</v>
          </cell>
          <cell r="F601">
            <v>82.24</v>
          </cell>
          <cell r="G601">
            <v>1.0066095471236201</v>
          </cell>
        </row>
        <row r="602">
          <cell r="A602">
            <v>40313</v>
          </cell>
          <cell r="B602" t="str">
            <v>Formas planas de madeira com 04 (quatro) reaproveitamentos, inclusive fornecimento e transporte das madeiras</v>
          </cell>
          <cell r="C602" t="str">
            <v>m²</v>
          </cell>
          <cell r="D602">
            <v>68.88</v>
          </cell>
          <cell r="E602" t="str">
            <v>A incluir</v>
          </cell>
          <cell r="F602">
            <v>69.290000000000006</v>
          </cell>
          <cell r="G602">
            <v>1.00595238095238</v>
          </cell>
        </row>
        <row r="603">
          <cell r="A603">
            <v>40310</v>
          </cell>
          <cell r="B603" t="str">
            <v>Formas planas de madeira sem reaproveitamento (forma perdida), inclusive fornecimento e transporte das madeiras</v>
          </cell>
          <cell r="C603" t="str">
            <v>m²</v>
          </cell>
          <cell r="D603">
            <v>145.36000000000001</v>
          </cell>
          <cell r="E603" t="str">
            <v>A incluir</v>
          </cell>
          <cell r="F603" t="e">
            <v>#N/A</v>
          </cell>
          <cell r="G603" t="e">
            <v>#N/A</v>
          </cell>
        </row>
        <row r="604">
          <cell r="A604">
            <v>40748</v>
          </cell>
          <cell r="B604" t="str">
            <v>Gabião manta/colchão, malha hex 6x8mm Zn-Al/PVC, e-&gt;2,8mm,h-&gt;0,23m, inclus.aquis./assentam. pedra mão, exclus. transp. p/ revestim. canal</v>
          </cell>
          <cell r="C604" t="str">
            <v>m²</v>
          </cell>
          <cell r="D604">
            <v>205.41</v>
          </cell>
          <cell r="E604">
            <v>0</v>
          </cell>
          <cell r="F604" t="e">
            <v>#N/A</v>
          </cell>
          <cell r="G604" t="e">
            <v>#N/A</v>
          </cell>
        </row>
        <row r="605">
          <cell r="A605">
            <v>41400</v>
          </cell>
          <cell r="B605" t="str">
            <v>Gabiões com caixas e sacos galvanizados, com geotêxtil não tecido RT 07 kN/m, incluisve transp. de madeira e pedra de mão</v>
          </cell>
          <cell r="C605" t="str">
            <v>m³</v>
          </cell>
          <cell r="D605">
            <v>408.19</v>
          </cell>
          <cell r="E605" t="str">
            <v>A incluir</v>
          </cell>
          <cell r="F605" t="e">
            <v>#N/A</v>
          </cell>
          <cell r="G605" t="e">
            <v>#N/A</v>
          </cell>
        </row>
        <row r="606">
          <cell r="A606">
            <v>40726</v>
          </cell>
          <cell r="B606" t="str">
            <v>Gabiões com caixas galvanizadas com utilização de geotêxtil não tecido RT 07 kN/m, inclus. transp. madeira e pedra mão</v>
          </cell>
          <cell r="C606" t="str">
            <v>m³</v>
          </cell>
          <cell r="D606">
            <v>359.34</v>
          </cell>
          <cell r="E606" t="str">
            <v>A incluir</v>
          </cell>
          <cell r="F606" t="e">
            <v>#N/A</v>
          </cell>
          <cell r="G606" t="e">
            <v>#N/A</v>
          </cell>
        </row>
        <row r="607">
          <cell r="A607">
            <v>40725</v>
          </cell>
          <cell r="B607" t="str">
            <v>Gabiões com caixas galvanizadas, sem manta</v>
          </cell>
          <cell r="C607" t="str">
            <v>m³</v>
          </cell>
          <cell r="D607">
            <v>355.75</v>
          </cell>
          <cell r="E607" t="str">
            <v>A incluir</v>
          </cell>
          <cell r="F607" t="e">
            <v>#N/A</v>
          </cell>
          <cell r="G607" t="e">
            <v>#N/A</v>
          </cell>
        </row>
        <row r="608">
          <cell r="A608">
            <v>41394</v>
          </cell>
          <cell r="B608" t="str">
            <v>Geogrelha com resistência londitudinal a tração 35 a 40 kN, resist. transversal a tração 30 kN, fornecimento e aplicação</v>
          </cell>
          <cell r="C608" t="str">
            <v>m²</v>
          </cell>
          <cell r="D608">
            <v>24.08</v>
          </cell>
          <cell r="E608">
            <v>0</v>
          </cell>
          <cell r="F608" t="e">
            <v>#N/A</v>
          </cell>
          <cell r="G608" t="e">
            <v>#N/A</v>
          </cell>
        </row>
        <row r="609">
          <cell r="A609">
            <v>41393</v>
          </cell>
          <cell r="B609" t="str">
            <v>Geogrelha com resistência londitudinal a tração 55 a 60 kN, resist. transversal a tração 30 kN, fornecimento e aplicação</v>
          </cell>
          <cell r="C609" t="str">
            <v>m²</v>
          </cell>
          <cell r="D609">
            <v>22.27</v>
          </cell>
          <cell r="E609">
            <v>0</v>
          </cell>
          <cell r="F609" t="e">
            <v>#N/A</v>
          </cell>
          <cell r="G609" t="e">
            <v>#N/A</v>
          </cell>
        </row>
        <row r="610">
          <cell r="A610">
            <v>41391</v>
          </cell>
          <cell r="B610" t="str">
            <v>Geogrelha com resistência longitudinal a tração 300 kN, resist. transversal a tração 30 kN, fornecimento e aplicação</v>
          </cell>
          <cell r="C610" t="str">
            <v>m²</v>
          </cell>
          <cell r="D610">
            <v>70.73</v>
          </cell>
          <cell r="E610">
            <v>0</v>
          </cell>
          <cell r="F610" t="e">
            <v>#N/A</v>
          </cell>
          <cell r="G610" t="e">
            <v>#N/A</v>
          </cell>
        </row>
        <row r="611">
          <cell r="A611">
            <v>41392</v>
          </cell>
          <cell r="B611" t="str">
            <v>Geogrelha com resistência longitudinal a tração 80 a 90 kN, resist. transversal a tração 30 kN, fornecimento e aplicação</v>
          </cell>
          <cell r="C611" t="str">
            <v>m²</v>
          </cell>
          <cell r="D611">
            <v>34.72</v>
          </cell>
          <cell r="E611">
            <v>0</v>
          </cell>
          <cell r="F611" t="e">
            <v>#N/A</v>
          </cell>
          <cell r="G611" t="e">
            <v>#N/A</v>
          </cell>
        </row>
        <row r="612">
          <cell r="A612">
            <v>41197</v>
          </cell>
          <cell r="B612" t="str">
            <v>Geogrelha monodirecional 200KN, fornecimento e assentamento</v>
          </cell>
          <cell r="C612" t="str">
            <v>m²</v>
          </cell>
          <cell r="D612">
            <v>61.41</v>
          </cell>
          <cell r="E612">
            <v>0</v>
          </cell>
          <cell r="F612" t="e">
            <v>#N/A</v>
          </cell>
          <cell r="G612" t="e">
            <v>#N/A</v>
          </cell>
        </row>
        <row r="613">
          <cell r="A613">
            <v>40709</v>
          </cell>
          <cell r="B613" t="str">
            <v>Geogrelha tecida bidirecional de polipropileno de alto módulo inicial c/ módulo de rigidez nominal -&gt; 400KN/m nas duas direções, fornecimento/aplicação</v>
          </cell>
          <cell r="C613" t="str">
            <v>m²</v>
          </cell>
          <cell r="D613">
            <v>21.42</v>
          </cell>
          <cell r="E613">
            <v>0</v>
          </cell>
          <cell r="F613" t="e">
            <v>#N/A</v>
          </cell>
          <cell r="G613" t="e">
            <v>#N/A</v>
          </cell>
        </row>
        <row r="614">
          <cell r="A614">
            <v>40721</v>
          </cell>
          <cell r="B614" t="str">
            <v>Lastro de brita, inclusive transporte da brita</v>
          </cell>
          <cell r="C614" t="str">
            <v>m³</v>
          </cell>
          <cell r="D614">
            <v>104.18</v>
          </cell>
          <cell r="E614" t="str">
            <v>A incluir</v>
          </cell>
          <cell r="F614">
            <v>167.07</v>
          </cell>
          <cell r="G614">
            <v>1.60366673065848</v>
          </cell>
        </row>
        <row r="615">
          <cell r="A615">
            <v>40396</v>
          </cell>
          <cell r="B615" t="str">
            <v>Limpeza e apicoamento manual de superfície de rocha</v>
          </cell>
          <cell r="C615" t="str">
            <v>m²</v>
          </cell>
          <cell r="D615">
            <v>29.12</v>
          </cell>
          <cell r="E615">
            <v>0</v>
          </cell>
          <cell r="F615" t="e">
            <v>#N/A</v>
          </cell>
          <cell r="G615" t="e">
            <v>#N/A</v>
          </cell>
        </row>
        <row r="616">
          <cell r="A616">
            <v>40744</v>
          </cell>
          <cell r="B616" t="str">
            <v>Limpeza e desobstrução de BDTC e BDCC</v>
          </cell>
          <cell r="C616" t="str">
            <v>m</v>
          </cell>
          <cell r="D616">
            <v>26.58</v>
          </cell>
          <cell r="E616">
            <v>0</v>
          </cell>
          <cell r="F616" t="e">
            <v>#N/A</v>
          </cell>
          <cell r="G616" t="e">
            <v>#N/A</v>
          </cell>
        </row>
        <row r="617">
          <cell r="A617">
            <v>40746</v>
          </cell>
          <cell r="B617" t="str">
            <v>Limpeza e desobstrução de BQTC</v>
          </cell>
          <cell r="C617" t="str">
            <v>m</v>
          </cell>
          <cell r="D617">
            <v>51.8</v>
          </cell>
          <cell r="E617">
            <v>0</v>
          </cell>
          <cell r="F617" t="e">
            <v>#N/A</v>
          </cell>
          <cell r="G617" t="e">
            <v>#N/A</v>
          </cell>
        </row>
        <row r="618">
          <cell r="A618">
            <v>40743</v>
          </cell>
          <cell r="B618" t="str">
            <v>Limpeza e desobstrução de BSTC e BSCC</v>
          </cell>
          <cell r="C618" t="str">
            <v>m</v>
          </cell>
          <cell r="D618">
            <v>13.98</v>
          </cell>
          <cell r="E618">
            <v>0</v>
          </cell>
          <cell r="F618" t="e">
            <v>#N/A</v>
          </cell>
          <cell r="G618" t="e">
            <v>#N/A</v>
          </cell>
        </row>
        <row r="619">
          <cell r="A619">
            <v>40745</v>
          </cell>
          <cell r="B619" t="str">
            <v>Limpeza e desobstrução de BTTC e BTCC</v>
          </cell>
          <cell r="C619" t="str">
            <v>m</v>
          </cell>
          <cell r="D619">
            <v>39.200000000000003</v>
          </cell>
          <cell r="E619">
            <v>0</v>
          </cell>
          <cell r="F619" t="e">
            <v>#N/A</v>
          </cell>
          <cell r="G619" t="e">
            <v>#N/A</v>
          </cell>
        </row>
        <row r="620">
          <cell r="A620">
            <v>40397</v>
          </cell>
          <cell r="B620" t="str">
            <v>Limpeza e preparo de superfície de aço</v>
          </cell>
          <cell r="C620" t="str">
            <v>m²</v>
          </cell>
          <cell r="D620">
            <v>74.16</v>
          </cell>
          <cell r="E620">
            <v>0</v>
          </cell>
          <cell r="F620" t="e">
            <v>#N/A</v>
          </cell>
          <cell r="G620" t="e">
            <v>#N/A</v>
          </cell>
        </row>
        <row r="621">
          <cell r="A621">
            <v>41221</v>
          </cell>
          <cell r="B621" t="str">
            <v>Lona plástica preta para isolamento de concretagem sobre solo, fornecimento e colocação</v>
          </cell>
          <cell r="C621" t="str">
            <v>m²</v>
          </cell>
          <cell r="D621">
            <v>3.53</v>
          </cell>
          <cell r="E621">
            <v>0</v>
          </cell>
          <cell r="F621" t="e">
            <v>#N/A</v>
          </cell>
          <cell r="G621" t="e">
            <v>#N/A</v>
          </cell>
        </row>
        <row r="622">
          <cell r="A622">
            <v>41401</v>
          </cell>
          <cell r="B622" t="str">
            <v>Manta Geotêxtil não tecida com resistência longitudinal a tração 10kN/m, fornecimento e aplicação</v>
          </cell>
          <cell r="C622" t="str">
            <v>m²</v>
          </cell>
          <cell r="D622">
            <v>6.39</v>
          </cell>
          <cell r="E622">
            <v>0</v>
          </cell>
          <cell r="F622" t="e">
            <v>#N/A</v>
          </cell>
          <cell r="G622" t="e">
            <v>#N/A</v>
          </cell>
        </row>
        <row r="623">
          <cell r="A623">
            <v>40714</v>
          </cell>
          <cell r="B623" t="str">
            <v>Manta Geotêxtil não tecida RT - 16 kn/m, fornecimento e aplicação</v>
          </cell>
          <cell r="C623" t="str">
            <v>m²</v>
          </cell>
          <cell r="D623">
            <v>8.73</v>
          </cell>
          <cell r="E623">
            <v>0</v>
          </cell>
          <cell r="F623" t="e">
            <v>#N/A</v>
          </cell>
          <cell r="G623" t="e">
            <v>#N/A</v>
          </cell>
        </row>
        <row r="624">
          <cell r="A624">
            <v>40660</v>
          </cell>
          <cell r="B624" t="str">
            <v>Meio fio de concreto DP-1, inclusive caiação</v>
          </cell>
          <cell r="C624" t="str">
            <v>m</v>
          </cell>
          <cell r="D624">
            <v>52.91</v>
          </cell>
          <cell r="E624">
            <v>0</v>
          </cell>
          <cell r="F624" t="e">
            <v>#N/A</v>
          </cell>
          <cell r="G624" t="e">
            <v>#N/A</v>
          </cell>
        </row>
        <row r="625">
          <cell r="A625">
            <v>40661</v>
          </cell>
          <cell r="B625" t="str">
            <v>Meio fio de concreto MFC 01, inclusive caiação</v>
          </cell>
          <cell r="C625" t="str">
            <v>m</v>
          </cell>
          <cell r="D625">
            <v>106.38</v>
          </cell>
          <cell r="E625">
            <v>0</v>
          </cell>
          <cell r="F625" t="e">
            <v>#N/A</v>
          </cell>
          <cell r="G625" t="e">
            <v>#N/A</v>
          </cell>
        </row>
        <row r="626">
          <cell r="A626">
            <v>40662</v>
          </cell>
          <cell r="B626" t="str">
            <v>Meio fio de concreto MFC 05, inclusive caiação</v>
          </cell>
          <cell r="C626" t="str">
            <v>m</v>
          </cell>
          <cell r="D626">
            <v>56.12</v>
          </cell>
          <cell r="E626">
            <v>0</v>
          </cell>
          <cell r="F626">
            <v>59.49</v>
          </cell>
          <cell r="G626">
            <v>1.0600498930862401</v>
          </cell>
        </row>
        <row r="627">
          <cell r="A627">
            <v>40663</v>
          </cell>
          <cell r="B627" t="str">
            <v>Meio fio de concreto pré-moldado (12 x 30 x 15) cm, inclusive caiação e transporte do meio fio</v>
          </cell>
          <cell r="C627" t="str">
            <v>m</v>
          </cell>
          <cell r="D627">
            <v>48.02</v>
          </cell>
          <cell r="E627" t="str">
            <v>A incluir</v>
          </cell>
          <cell r="F627" t="e">
            <v>#N/A</v>
          </cell>
          <cell r="G627" t="e">
            <v>#N/A</v>
          </cell>
        </row>
        <row r="628">
          <cell r="A628">
            <v>41018</v>
          </cell>
          <cell r="B628" t="str">
            <v>Meio fio de concreto pré-moldado (1,20m x 0,12m x 0,15m x 0,30m), exclusive transporte</v>
          </cell>
          <cell r="C628" t="str">
            <v>m</v>
          </cell>
          <cell r="D628">
            <v>47.28</v>
          </cell>
          <cell r="E628">
            <v>0</v>
          </cell>
          <cell r="F628" t="e">
            <v>#N/A</v>
          </cell>
          <cell r="G628" t="e">
            <v>#N/A</v>
          </cell>
        </row>
        <row r="629">
          <cell r="A629">
            <v>40665</v>
          </cell>
          <cell r="B629" t="str">
            <v>Meio fio de pedra (fornecimento e assentamento), inclusive caiação e transporte do meio fio</v>
          </cell>
          <cell r="C629" t="str">
            <v>m</v>
          </cell>
          <cell r="D629">
            <v>52.62</v>
          </cell>
          <cell r="E629" t="str">
            <v>A incluir</v>
          </cell>
          <cell r="F629" t="e">
            <v>#N/A</v>
          </cell>
          <cell r="G629" t="e">
            <v>#N/A</v>
          </cell>
        </row>
        <row r="630">
          <cell r="A630">
            <v>40659</v>
          </cell>
          <cell r="B630" t="str">
            <v>Meio fio sarjeta de concreto tipo DP-1 (0,035 m³/m) inclusive caiação</v>
          </cell>
          <cell r="C630" t="str">
            <v>m</v>
          </cell>
          <cell r="D630">
            <v>48.27</v>
          </cell>
          <cell r="E630">
            <v>0</v>
          </cell>
          <cell r="F630" t="e">
            <v>#N/A</v>
          </cell>
          <cell r="G630" t="e">
            <v>#N/A</v>
          </cell>
        </row>
        <row r="631">
          <cell r="A631">
            <v>41024</v>
          </cell>
          <cell r="B631" t="str">
            <v>Montagem e desmontagem de escoramento tubular normal, em obras de arte na densidade de 5m de tubo por m³ de escoramento</v>
          </cell>
          <cell r="C631" t="str">
            <v>m</v>
          </cell>
          <cell r="D631">
            <v>16.899999999999999</v>
          </cell>
          <cell r="E631">
            <v>0</v>
          </cell>
          <cell r="F631" t="e">
            <v>#N/A</v>
          </cell>
          <cell r="G631" t="e">
            <v>#N/A</v>
          </cell>
        </row>
        <row r="632">
          <cell r="A632">
            <v>40657</v>
          </cell>
          <cell r="B632" t="str">
            <v>Mureta de corte em rocha</v>
          </cell>
          <cell r="C632" t="str">
            <v>m</v>
          </cell>
          <cell r="D632">
            <v>177.91</v>
          </cell>
          <cell r="E632">
            <v>0</v>
          </cell>
          <cell r="F632" t="e">
            <v>#N/A</v>
          </cell>
          <cell r="G632" t="e">
            <v>#N/A</v>
          </cell>
        </row>
        <row r="633">
          <cell r="A633">
            <v>41395</v>
          </cell>
          <cell r="B633" t="str">
            <v>Muro com Terramesh System ou similar, altura H&lt;-&gt; 4,00 metros (4 cx 1x1x4m), tudo incluído</v>
          </cell>
          <cell r="C633" t="str">
            <v>m²</v>
          </cell>
          <cell r="D633">
            <v>653.49</v>
          </cell>
          <cell r="E633" t="str">
            <v>A incluir</v>
          </cell>
          <cell r="F633" t="e">
            <v>#N/A</v>
          </cell>
          <cell r="G633" t="e">
            <v>#N/A</v>
          </cell>
        </row>
        <row r="634">
          <cell r="A634">
            <v>41396</v>
          </cell>
          <cell r="B634" t="str">
            <v>Muro com Terramesh System ou similar, altura 4,00 &lt; H &lt;-&gt; 5,00 metros (3 cx 1x1x4m e 4 cx 0,5x1x4m) , execução, tudo incluído</v>
          </cell>
          <cell r="C634" t="str">
            <v>m²</v>
          </cell>
          <cell r="D634">
            <v>744.27</v>
          </cell>
          <cell r="E634" t="str">
            <v>A incluir</v>
          </cell>
          <cell r="F634" t="e">
            <v>#N/A</v>
          </cell>
          <cell r="G634" t="e">
            <v>#N/A</v>
          </cell>
        </row>
        <row r="635">
          <cell r="A635">
            <v>41397</v>
          </cell>
          <cell r="B635" t="str">
            <v>Muro com Terramesh System ou similar, altura 5,00 &lt; H &lt;-&gt; 6,00 metros (4 cx 1x1x4m e 4 cx 0,5x1x4m) , tudo incluído</v>
          </cell>
          <cell r="C635" t="str">
            <v>m²</v>
          </cell>
          <cell r="D635">
            <v>730.2</v>
          </cell>
          <cell r="E635" t="str">
            <v>A incluir</v>
          </cell>
          <cell r="F635" t="e">
            <v>#N/A</v>
          </cell>
          <cell r="G635" t="e">
            <v>#N/A</v>
          </cell>
        </row>
        <row r="636">
          <cell r="A636">
            <v>41398</v>
          </cell>
          <cell r="B636" t="str">
            <v>Muro com Terramesh System ou similar, altura 6,00 &lt; H &lt;-&gt; 7,50 metros (3cx 1x1x4m, 2cx 1x1x5 e 5cx 0,5x1x6m), tudo incluído</v>
          </cell>
          <cell r="C636" t="str">
            <v>m²</v>
          </cell>
          <cell r="D636">
            <v>828.84</v>
          </cell>
          <cell r="E636" t="str">
            <v>A incluir</v>
          </cell>
          <cell r="F636" t="e">
            <v>#N/A</v>
          </cell>
          <cell r="G636" t="e">
            <v>#N/A</v>
          </cell>
        </row>
        <row r="637">
          <cell r="A637">
            <v>41399</v>
          </cell>
          <cell r="B637" t="str">
            <v>Muro com Terramesh System ou similar, altura 7,50 &lt; H &lt;-&gt; 9,00 metros (4 cx 1x1x4m, 2 cx 1x1x5, 3 cx 0,5x1x6m e 3cx 0,5x1x7), tudo incluído</v>
          </cell>
          <cell r="C637" t="str">
            <v>m²</v>
          </cell>
          <cell r="D637">
            <v>840.59</v>
          </cell>
          <cell r="E637" t="str">
            <v>A incluir</v>
          </cell>
          <cell r="F637" t="e">
            <v>#N/A</v>
          </cell>
          <cell r="G637" t="e">
            <v>#N/A</v>
          </cell>
        </row>
        <row r="638">
          <cell r="A638">
            <v>40654</v>
          </cell>
          <cell r="B638" t="str">
            <v>Muro de testa em concreto para saída de dreno profundo em rocha, inclusive transporte do tubo</v>
          </cell>
          <cell r="C638" t="str">
            <v>un</v>
          </cell>
          <cell r="D638">
            <v>559.84</v>
          </cell>
          <cell r="E638" t="str">
            <v>A incluir</v>
          </cell>
          <cell r="F638" t="e">
            <v>#N/A</v>
          </cell>
          <cell r="G638" t="e">
            <v>#N/A</v>
          </cell>
        </row>
        <row r="639">
          <cell r="A639">
            <v>40653</v>
          </cell>
          <cell r="B639" t="str">
            <v>Muro de testa em concreto para saída de dreno profundo em solo, inclusive transporte do tubo</v>
          </cell>
          <cell r="C639" t="str">
            <v>un</v>
          </cell>
          <cell r="D639">
            <v>618.54</v>
          </cell>
          <cell r="E639" t="str">
            <v>A incluir</v>
          </cell>
          <cell r="F639" t="e">
            <v>#N/A</v>
          </cell>
          <cell r="G639" t="e">
            <v>#N/A</v>
          </cell>
        </row>
        <row r="640">
          <cell r="A640">
            <v>41337</v>
          </cell>
          <cell r="B640" t="str">
            <v>Passagem d'água 1,10 x 1,00 - Canteiro</v>
          </cell>
          <cell r="C640" t="str">
            <v>un</v>
          </cell>
          <cell r="D640">
            <v>279.27999999999997</v>
          </cell>
          <cell r="E640" t="str">
            <v>A incluir</v>
          </cell>
          <cell r="F640" t="e">
            <v>#N/A</v>
          </cell>
          <cell r="G640" t="e">
            <v>#N/A</v>
          </cell>
        </row>
        <row r="641">
          <cell r="A641">
            <v>40719</v>
          </cell>
          <cell r="B641" t="str">
            <v>Pedra de mão para (concreto ciclópico ou alvenaria) rocha paga em medição</v>
          </cell>
          <cell r="C641" t="str">
            <v>m³</v>
          </cell>
          <cell r="D641">
            <v>45.4</v>
          </cell>
          <cell r="E641">
            <v>0</v>
          </cell>
          <cell r="F641" t="e">
            <v>#N/A</v>
          </cell>
          <cell r="G641" t="e">
            <v>#N/A</v>
          </cell>
        </row>
        <row r="642">
          <cell r="A642">
            <v>41019</v>
          </cell>
          <cell r="B642" t="str">
            <v>Perfuração rotativa inclinada, em rocha sã, com coroa de diamante, diâmetro N (75mm), inclusive deslocamento e posicionamento em cada furo.</v>
          </cell>
          <cell r="C642" t="str">
            <v>m</v>
          </cell>
          <cell r="D642">
            <v>596.38</v>
          </cell>
          <cell r="E642">
            <v>0</v>
          </cell>
          <cell r="F642" t="e">
            <v>#N/A</v>
          </cell>
          <cell r="G642" t="e">
            <v>#N/A</v>
          </cell>
        </row>
        <row r="643">
          <cell r="A643">
            <v>40557</v>
          </cell>
          <cell r="B643" t="str">
            <v>Pescoço de poço de visita H-&gt;0,30 m, diâm. -&gt; 0,60 m, fornecimento, assentamento e transporte</v>
          </cell>
          <cell r="C643" t="str">
            <v>un</v>
          </cell>
          <cell r="D643">
            <v>128.81</v>
          </cell>
          <cell r="E643" t="str">
            <v>A incluir</v>
          </cell>
          <cell r="F643" t="e">
            <v>#N/A</v>
          </cell>
          <cell r="G643" t="e">
            <v>#N/A</v>
          </cell>
        </row>
        <row r="644">
          <cell r="A644">
            <v>40391</v>
          </cell>
          <cell r="B644" t="str">
            <v>Pintura com nata de cimento</v>
          </cell>
          <cell r="C644" t="str">
            <v>m²</v>
          </cell>
          <cell r="D644">
            <v>4.3</v>
          </cell>
          <cell r="E644">
            <v>0</v>
          </cell>
          <cell r="F644" t="e">
            <v>#N/A</v>
          </cell>
          <cell r="G644" t="e">
            <v>#N/A</v>
          </cell>
        </row>
        <row r="645">
          <cell r="A645">
            <v>40380</v>
          </cell>
          <cell r="B645" t="str">
            <v>Pintura interna ou externa sobre ferro, com tinta a base de resina de borracha clorada</v>
          </cell>
          <cell r="C645" t="str">
            <v>m²</v>
          </cell>
          <cell r="D645">
            <v>42.49</v>
          </cell>
          <cell r="E645">
            <v>0</v>
          </cell>
          <cell r="F645" t="e">
            <v>#N/A</v>
          </cell>
          <cell r="G645" t="e">
            <v>#N/A</v>
          </cell>
        </row>
        <row r="646">
          <cell r="A646">
            <v>40399</v>
          </cell>
          <cell r="B646" t="str">
            <v>Placas pré-moldadas para passeio</v>
          </cell>
          <cell r="C646" t="str">
            <v>m²</v>
          </cell>
          <cell r="D646">
            <v>169.07</v>
          </cell>
          <cell r="E646">
            <v>0</v>
          </cell>
          <cell r="F646" t="e">
            <v>#N/A</v>
          </cell>
          <cell r="G646" t="e">
            <v>#N/A</v>
          </cell>
        </row>
        <row r="647">
          <cell r="A647">
            <v>41028</v>
          </cell>
          <cell r="B647" t="str">
            <v>Plataforma ou passarela de pinho de 1ª ou similar, 1" x 12"</v>
          </cell>
          <cell r="C647" t="str">
            <v>m²</v>
          </cell>
          <cell r="D647">
            <v>2.46</v>
          </cell>
          <cell r="E647">
            <v>0</v>
          </cell>
          <cell r="F647" t="e">
            <v>#N/A</v>
          </cell>
          <cell r="G647" t="e">
            <v>#N/A</v>
          </cell>
        </row>
        <row r="648">
          <cell r="A648">
            <v>41167</v>
          </cell>
          <cell r="B648" t="str">
            <v>Poço de visita em bloco pré-moldado para d-&gt;0,30 e 0,40m (0,80x0,80m)</v>
          </cell>
          <cell r="C648" t="str">
            <v>un</v>
          </cell>
          <cell r="D648">
            <v>2236.8000000000002</v>
          </cell>
          <cell r="E648">
            <v>0</v>
          </cell>
          <cell r="F648" t="e">
            <v>#N/A</v>
          </cell>
          <cell r="G648" t="e">
            <v>#N/A</v>
          </cell>
        </row>
        <row r="649">
          <cell r="A649">
            <v>41168</v>
          </cell>
          <cell r="B649" t="str">
            <v>Poço de visita em bloco pré-moldado para d-&gt;0,60m (1,00x1,00m)</v>
          </cell>
          <cell r="C649" t="str">
            <v>un</v>
          </cell>
          <cell r="D649">
            <v>2617.94</v>
          </cell>
          <cell r="E649">
            <v>0</v>
          </cell>
          <cell r="F649" t="e">
            <v>#N/A</v>
          </cell>
          <cell r="G649" t="e">
            <v>#N/A</v>
          </cell>
        </row>
        <row r="650">
          <cell r="A650">
            <v>40570</v>
          </cell>
          <cell r="B650" t="str">
            <v>Poço de visita para BDTC diam. 1,00 m - tudo incluido</v>
          </cell>
          <cell r="C650" t="str">
            <v>un</v>
          </cell>
          <cell r="D650">
            <v>9631.5400000000009</v>
          </cell>
          <cell r="E650" t="str">
            <v>A incluir</v>
          </cell>
          <cell r="F650" t="e">
            <v>#N/A</v>
          </cell>
          <cell r="G650" t="e">
            <v>#N/A</v>
          </cell>
        </row>
        <row r="651">
          <cell r="A651">
            <v>41115</v>
          </cell>
          <cell r="B651" t="str">
            <v>Poço de Visita para BSTC diâm. 0,40m em blocos de concreto</v>
          </cell>
          <cell r="C651" t="str">
            <v>un</v>
          </cell>
          <cell r="D651">
            <v>1226.99</v>
          </cell>
          <cell r="E651">
            <v>0</v>
          </cell>
          <cell r="F651" t="e">
            <v>#N/A</v>
          </cell>
          <cell r="G651" t="e">
            <v>#N/A</v>
          </cell>
        </row>
        <row r="652">
          <cell r="A652">
            <v>41116</v>
          </cell>
          <cell r="B652" t="str">
            <v>Poço de visita para BSTC diâm. 0,60m em blocos de concreto</v>
          </cell>
          <cell r="C652" t="str">
            <v>un</v>
          </cell>
          <cell r="D652">
            <v>1634.43</v>
          </cell>
          <cell r="E652">
            <v>0</v>
          </cell>
          <cell r="F652" t="e">
            <v>#N/A</v>
          </cell>
          <cell r="G652" t="e">
            <v>#N/A</v>
          </cell>
        </row>
        <row r="653">
          <cell r="A653">
            <v>41117</v>
          </cell>
          <cell r="B653" t="str">
            <v>Poço de visita para BSTC diâm. 0,80m em blocos de concreto</v>
          </cell>
          <cell r="C653" t="str">
            <v>un</v>
          </cell>
          <cell r="D653">
            <v>2030.87</v>
          </cell>
          <cell r="E653">
            <v>0</v>
          </cell>
          <cell r="F653" t="e">
            <v>#N/A</v>
          </cell>
          <cell r="G653" t="e">
            <v>#N/A</v>
          </cell>
        </row>
        <row r="654">
          <cell r="A654">
            <v>40572</v>
          </cell>
          <cell r="B654" t="str">
            <v>Poço de visita para BTTC diam. 1,20 m - tudo incluído</v>
          </cell>
          <cell r="C654" t="str">
            <v>un</v>
          </cell>
          <cell r="D654">
            <v>15831.86</v>
          </cell>
          <cell r="E654" t="str">
            <v>A incluir</v>
          </cell>
          <cell r="F654" t="e">
            <v>#N/A</v>
          </cell>
          <cell r="G654" t="e">
            <v>#N/A</v>
          </cell>
        </row>
        <row r="655">
          <cell r="A655">
            <v>40553</v>
          </cell>
          <cell r="B655" t="str">
            <v>Poço de visita (tubo D-&gt;0,40 m) H-&gt;1,50 m com tampão F.F.A.P., inclusive escavação e transporte do tampão</v>
          </cell>
          <cell r="C655" t="str">
            <v>un</v>
          </cell>
          <cell r="D655">
            <v>3483.62</v>
          </cell>
          <cell r="E655" t="str">
            <v>A incluir</v>
          </cell>
          <cell r="F655" t="e">
            <v>#N/A</v>
          </cell>
          <cell r="G655" t="e">
            <v>#N/A</v>
          </cell>
        </row>
        <row r="656">
          <cell r="A656">
            <v>40554</v>
          </cell>
          <cell r="B656" t="str">
            <v>Poço de visita (tubo D-&gt;0,60 m) H-&gt;1,70 m com tampão F.F.A.P., inclusive escavação e transporte do tampão</v>
          </cell>
          <cell r="C656" t="str">
            <v>un</v>
          </cell>
          <cell r="D656">
            <v>3872.3</v>
          </cell>
          <cell r="E656" t="str">
            <v>A incluir</v>
          </cell>
          <cell r="F656" t="e">
            <v>#N/A</v>
          </cell>
          <cell r="G656" t="e">
            <v>#N/A</v>
          </cell>
        </row>
        <row r="657">
          <cell r="A657">
            <v>40555</v>
          </cell>
          <cell r="B657" t="str">
            <v>Poço de visita (tubo D-&gt;0,80 m) H-&gt;1,90 m com tampão F.F.A.P., inclusive escavação e transporte do tampão</v>
          </cell>
          <cell r="C657" t="str">
            <v>un</v>
          </cell>
          <cell r="D657">
            <v>4261</v>
          </cell>
          <cell r="E657" t="str">
            <v>A incluir</v>
          </cell>
          <cell r="F657" t="e">
            <v>#N/A</v>
          </cell>
          <cell r="G657" t="e">
            <v>#N/A</v>
          </cell>
        </row>
        <row r="658">
          <cell r="A658">
            <v>40556</v>
          </cell>
          <cell r="B658" t="str">
            <v>Poço de visita (tubo D-&gt;1,00 m) H-&gt;2,10 m com tampão F.F.A.P., inclusive escavação e transporte do tampão</v>
          </cell>
          <cell r="C658" t="str">
            <v>un</v>
          </cell>
          <cell r="D658">
            <v>4649.68</v>
          </cell>
          <cell r="E658" t="str">
            <v>A incluir</v>
          </cell>
          <cell r="F658" t="e">
            <v>#N/A</v>
          </cell>
          <cell r="G658" t="e">
            <v>#N/A</v>
          </cell>
        </row>
        <row r="659">
          <cell r="A659">
            <v>41086</v>
          </cell>
          <cell r="B659" t="str">
            <v>Preparo manual de talude, compreendendo acerto, raspagem eventual de até 0,30m de prof. e afastamento lateral</v>
          </cell>
          <cell r="C659" t="str">
            <v>m²</v>
          </cell>
          <cell r="D659">
            <v>8.93</v>
          </cell>
          <cell r="E659">
            <v>0</v>
          </cell>
          <cell r="F659" t="e">
            <v>#N/A</v>
          </cell>
          <cell r="G659" t="e">
            <v>#N/A</v>
          </cell>
        </row>
        <row r="660">
          <cell r="A660">
            <v>41021</v>
          </cell>
          <cell r="B660" t="str">
            <v>Preparo manual de terreno, compreendendo acerto raspagem até 25cm de profundidade e afastamento lateral do material excedente</v>
          </cell>
          <cell r="C660" t="str">
            <v>m²</v>
          </cell>
          <cell r="D660">
            <v>7.19</v>
          </cell>
          <cell r="E660">
            <v>0</v>
          </cell>
          <cell r="F660" t="e">
            <v>#N/A</v>
          </cell>
          <cell r="G660" t="e">
            <v>#N/A</v>
          </cell>
        </row>
        <row r="661">
          <cell r="A661">
            <v>40304</v>
          </cell>
          <cell r="B661" t="str">
            <v>Reaterro com areia, tudo incluído</v>
          </cell>
          <cell r="C661" t="str">
            <v>m³</v>
          </cell>
          <cell r="D661">
            <v>71.930000000000007</v>
          </cell>
          <cell r="E661" t="str">
            <v>A incluir</v>
          </cell>
          <cell r="F661" t="e">
            <v>#N/A</v>
          </cell>
          <cell r="G661" t="e">
            <v>#N/A</v>
          </cell>
        </row>
        <row r="662">
          <cell r="A662">
            <v>40302</v>
          </cell>
          <cell r="B662" t="str">
            <v>Reaterro de cavas c/ compactação manual (apiloamento)</v>
          </cell>
          <cell r="C662" t="str">
            <v>m³</v>
          </cell>
          <cell r="D662">
            <v>55.98</v>
          </cell>
          <cell r="E662">
            <v>0</v>
          </cell>
          <cell r="F662">
            <v>55.99</v>
          </cell>
          <cell r="G662">
            <v>1.00017863522687</v>
          </cell>
        </row>
        <row r="663">
          <cell r="A663">
            <v>40301</v>
          </cell>
          <cell r="B663" t="str">
            <v>Reaterro de cavas c/ compactação manual (apiloamento) (dim. reduz.)</v>
          </cell>
          <cell r="C663" t="str">
            <v>m³</v>
          </cell>
          <cell r="D663">
            <v>81.2</v>
          </cell>
          <cell r="E663">
            <v>0</v>
          </cell>
          <cell r="F663" t="e">
            <v>#N/A</v>
          </cell>
          <cell r="G663" t="e">
            <v>#N/A</v>
          </cell>
        </row>
        <row r="664">
          <cell r="A664">
            <v>40303</v>
          </cell>
          <cell r="B664" t="str">
            <v>Reaterro de cavas c/ compactação mecânica (compactador manual)</v>
          </cell>
          <cell r="C664" t="str">
            <v>m³</v>
          </cell>
          <cell r="D664">
            <v>35.799999999999997</v>
          </cell>
          <cell r="E664">
            <v>0</v>
          </cell>
          <cell r="F664">
            <v>35.799999999999997</v>
          </cell>
          <cell r="G664">
            <v>1</v>
          </cell>
        </row>
        <row r="665">
          <cell r="A665">
            <v>40559</v>
          </cell>
          <cell r="B665" t="str">
            <v>Recuperação de poço de visita inclusive fornecimento tampão F.F.A.P.</v>
          </cell>
          <cell r="C665" t="str">
            <v>un</v>
          </cell>
          <cell r="D665">
            <v>571.21</v>
          </cell>
          <cell r="E665" t="str">
            <v>A incluir</v>
          </cell>
          <cell r="F665" t="e">
            <v>#N/A</v>
          </cell>
          <cell r="G665" t="e">
            <v>#N/A</v>
          </cell>
        </row>
        <row r="666">
          <cell r="A666">
            <v>41339</v>
          </cell>
          <cell r="B666" t="str">
            <v>Rede de dutos 65mm (duplo), envelopada com brita 3</v>
          </cell>
          <cell r="C666" t="str">
            <v>m</v>
          </cell>
          <cell r="D666">
            <v>81.91</v>
          </cell>
          <cell r="E666">
            <v>0</v>
          </cell>
          <cell r="F666" t="e">
            <v>#N/A</v>
          </cell>
          <cell r="G666" t="e">
            <v>#N/A</v>
          </cell>
        </row>
        <row r="667">
          <cell r="A667">
            <v>41332</v>
          </cell>
          <cell r="B667" t="str">
            <v>Rede em PVC Vinilfort ou similar DN -&gt; 200mm</v>
          </cell>
          <cell r="C667" t="str">
            <v>m</v>
          </cell>
          <cell r="D667">
            <v>244.54</v>
          </cell>
          <cell r="E667">
            <v>0</v>
          </cell>
          <cell r="F667" t="e">
            <v>#N/A</v>
          </cell>
          <cell r="G667" t="e">
            <v>#N/A</v>
          </cell>
        </row>
        <row r="668">
          <cell r="A668">
            <v>41224</v>
          </cell>
          <cell r="B668" t="str">
            <v>Religação de rede de água em PVC DN 20mm, inclusive conexões</v>
          </cell>
          <cell r="C668" t="str">
            <v>m</v>
          </cell>
          <cell r="D668">
            <v>15.07</v>
          </cell>
          <cell r="E668">
            <v>0</v>
          </cell>
          <cell r="F668" t="e">
            <v>#N/A</v>
          </cell>
          <cell r="G668" t="e">
            <v>#N/A</v>
          </cell>
        </row>
        <row r="669">
          <cell r="A669">
            <v>41225</v>
          </cell>
          <cell r="B669" t="str">
            <v>Religação de rede de água em PVC DN 25mm, incluisve conexões</v>
          </cell>
          <cell r="C669" t="str">
            <v>m</v>
          </cell>
          <cell r="D669">
            <v>18.48</v>
          </cell>
          <cell r="E669">
            <v>0</v>
          </cell>
          <cell r="F669" t="e">
            <v>#N/A</v>
          </cell>
          <cell r="G669" t="e">
            <v>#N/A</v>
          </cell>
        </row>
        <row r="670">
          <cell r="A670">
            <v>41226</v>
          </cell>
          <cell r="B670" t="str">
            <v>Religação de rede de água em PVC DN 32mm, incluisve conexões</v>
          </cell>
          <cell r="C670" t="str">
            <v>m</v>
          </cell>
          <cell r="D670">
            <v>22.25</v>
          </cell>
          <cell r="E670">
            <v>0</v>
          </cell>
          <cell r="F670" t="e">
            <v>#N/A</v>
          </cell>
          <cell r="G670" t="e">
            <v>#N/A</v>
          </cell>
        </row>
        <row r="671">
          <cell r="A671">
            <v>41060</v>
          </cell>
          <cell r="B671" t="str">
            <v>Religação de rede de água em PVC DN 75mm, inclusive conexões</v>
          </cell>
          <cell r="C671" t="str">
            <v>m</v>
          </cell>
          <cell r="D671">
            <v>52.31</v>
          </cell>
          <cell r="E671">
            <v>0</v>
          </cell>
          <cell r="F671" t="e">
            <v>#N/A</v>
          </cell>
          <cell r="G671" t="e">
            <v>#N/A</v>
          </cell>
        </row>
        <row r="672">
          <cell r="A672">
            <v>41059</v>
          </cell>
          <cell r="B672" t="str">
            <v>Religação de rede de água em PVC PBA CL 15 DN 100mm, inclusive conexões</v>
          </cell>
          <cell r="C672" t="str">
            <v>m</v>
          </cell>
          <cell r="D672">
            <v>87.94</v>
          </cell>
          <cell r="E672">
            <v>0</v>
          </cell>
          <cell r="F672" t="e">
            <v>#N/A</v>
          </cell>
          <cell r="G672" t="e">
            <v>#N/A</v>
          </cell>
        </row>
        <row r="673">
          <cell r="A673">
            <v>40567</v>
          </cell>
          <cell r="B673" t="str">
            <v>Remanejamento de ligação e religação de redes de esgoto</v>
          </cell>
          <cell r="C673" t="str">
            <v>m</v>
          </cell>
          <cell r="D673">
            <v>67.58</v>
          </cell>
          <cell r="E673">
            <v>0</v>
          </cell>
          <cell r="F673" t="e">
            <v>#N/A</v>
          </cell>
          <cell r="G673" t="e">
            <v>#N/A</v>
          </cell>
        </row>
        <row r="674">
          <cell r="A674">
            <v>40747</v>
          </cell>
          <cell r="B674" t="str">
            <v>Remoção de bueiros existentes</v>
          </cell>
          <cell r="C674" t="str">
            <v>m</v>
          </cell>
          <cell r="D674">
            <v>105.95</v>
          </cell>
          <cell r="E674">
            <v>0</v>
          </cell>
          <cell r="F674" t="e">
            <v>#N/A</v>
          </cell>
          <cell r="G674" t="e">
            <v>#N/A</v>
          </cell>
        </row>
        <row r="675">
          <cell r="A675">
            <v>40727</v>
          </cell>
          <cell r="B675" t="str">
            <v>Rip-rap c/ argamassa cimento areia 1:6, inclusive aquisição e transporte dos materiais</v>
          </cell>
          <cell r="C675" t="str">
            <v>m³</v>
          </cell>
          <cell r="D675">
            <v>333.92</v>
          </cell>
          <cell r="E675" t="str">
            <v>A incluir</v>
          </cell>
          <cell r="F675" t="e">
            <v>#N/A</v>
          </cell>
          <cell r="G675" t="e">
            <v>#N/A</v>
          </cell>
        </row>
        <row r="676">
          <cell r="A676">
            <v>41264</v>
          </cell>
          <cell r="B676" t="str">
            <v>Rip-rap de areia inclusive escavação, transporte e fornecimento de materiais</v>
          </cell>
          <cell r="C676" t="str">
            <v>m³</v>
          </cell>
          <cell r="D676">
            <v>365.63</v>
          </cell>
          <cell r="E676" t="str">
            <v>A incluir</v>
          </cell>
          <cell r="F676" t="e">
            <v>#N/A</v>
          </cell>
          <cell r="G676" t="e">
            <v>#N/A</v>
          </cell>
        </row>
        <row r="677">
          <cell r="A677">
            <v>41239</v>
          </cell>
          <cell r="B677" t="str">
            <v>Rip-rap de solo e cimento (Traço 1:15)</v>
          </cell>
          <cell r="C677" t="str">
            <v>m³</v>
          </cell>
          <cell r="D677">
            <v>90.37</v>
          </cell>
          <cell r="E677">
            <v>0</v>
          </cell>
          <cell r="F677" t="e">
            <v>#N/A</v>
          </cell>
          <cell r="G677" t="e">
            <v>#N/A</v>
          </cell>
        </row>
        <row r="678">
          <cell r="A678">
            <v>40688</v>
          </cell>
          <cell r="B678" t="str">
            <v>Saída d'água concreto armado DP-1 c/ caiação</v>
          </cell>
          <cell r="C678" t="str">
            <v>un</v>
          </cell>
          <cell r="D678">
            <v>274.93</v>
          </cell>
          <cell r="E678">
            <v>0</v>
          </cell>
          <cell r="F678" t="e">
            <v>#N/A</v>
          </cell>
          <cell r="G678" t="e">
            <v>#N/A</v>
          </cell>
        </row>
        <row r="679">
          <cell r="A679">
            <v>40690</v>
          </cell>
          <cell r="B679" t="str">
            <v>Saída d'água concreto p/ aterro c/ caiação (SDA-01)</v>
          </cell>
          <cell r="C679" t="str">
            <v>un</v>
          </cell>
          <cell r="D679">
            <v>1362.7</v>
          </cell>
          <cell r="E679">
            <v>0</v>
          </cell>
          <cell r="F679" t="e">
            <v>#N/A</v>
          </cell>
          <cell r="G679" t="e">
            <v>#N/A</v>
          </cell>
        </row>
        <row r="680">
          <cell r="A680">
            <v>40691</v>
          </cell>
          <cell r="B680" t="str">
            <v>Saída d'água concreto p/ aterro c/ caiação (SDA-02)</v>
          </cell>
          <cell r="C680" t="str">
            <v>un</v>
          </cell>
          <cell r="D680">
            <v>1620.38</v>
          </cell>
          <cell r="E680">
            <v>0</v>
          </cell>
          <cell r="F680" t="e">
            <v>#N/A</v>
          </cell>
          <cell r="G680" t="e">
            <v>#N/A</v>
          </cell>
        </row>
        <row r="681">
          <cell r="A681">
            <v>40689</v>
          </cell>
          <cell r="B681" t="str">
            <v>Saída d'água concreto p/ corte c/ caiação (SDC-01)</v>
          </cell>
          <cell r="C681" t="str">
            <v>un</v>
          </cell>
          <cell r="D681">
            <v>698.09</v>
          </cell>
          <cell r="E681">
            <v>0</v>
          </cell>
          <cell r="F681" t="e">
            <v>#N/A</v>
          </cell>
          <cell r="G681" t="e">
            <v>#N/A</v>
          </cell>
        </row>
        <row r="682">
          <cell r="A682">
            <v>40666</v>
          </cell>
          <cell r="B682" t="str">
            <v>Sarjeta de concreto DP-1 (0,081 m³/m) calha triangular, inclusive caiação</v>
          </cell>
          <cell r="C682" t="str">
            <v>m</v>
          </cell>
          <cell r="D682">
            <v>81.47</v>
          </cell>
          <cell r="E682">
            <v>0</v>
          </cell>
          <cell r="F682" t="e">
            <v>#N/A</v>
          </cell>
          <cell r="G682" t="e">
            <v>#N/A</v>
          </cell>
        </row>
        <row r="683">
          <cell r="A683">
            <v>40667</v>
          </cell>
          <cell r="B683" t="str">
            <v>Sarjeta de concreto DP-2 (0,085 m³/m) calha triangular, inclusive caiação</v>
          </cell>
          <cell r="C683" t="str">
            <v>m</v>
          </cell>
          <cell r="D683">
            <v>85.15</v>
          </cell>
          <cell r="E683">
            <v>0</v>
          </cell>
          <cell r="F683" t="e">
            <v>#N/A</v>
          </cell>
          <cell r="G683" t="e">
            <v>#N/A</v>
          </cell>
        </row>
        <row r="684">
          <cell r="A684">
            <v>41180</v>
          </cell>
          <cell r="B684" t="str">
            <v>Sarjeta de concreto SCA 40/10</v>
          </cell>
          <cell r="C684" t="str">
            <v>m</v>
          </cell>
          <cell r="D684">
            <v>71.239999999999995</v>
          </cell>
          <cell r="E684" t="str">
            <v>A incluir</v>
          </cell>
          <cell r="F684" t="e">
            <v>#N/A</v>
          </cell>
          <cell r="G684" t="e">
            <v>#N/A</v>
          </cell>
        </row>
        <row r="685">
          <cell r="A685">
            <v>40668</v>
          </cell>
          <cell r="B685" t="str">
            <v>Sarjeta de concreto (SCA 70/15) calha triangular, inclusive caiação</v>
          </cell>
          <cell r="C685" t="str">
            <v>m</v>
          </cell>
          <cell r="D685">
            <v>94.85</v>
          </cell>
          <cell r="E685">
            <v>0</v>
          </cell>
          <cell r="F685" t="e">
            <v>#N/A</v>
          </cell>
          <cell r="G685" t="e">
            <v>#N/A</v>
          </cell>
        </row>
        <row r="686">
          <cell r="A686">
            <v>40982</v>
          </cell>
          <cell r="B686" t="str">
            <v>Sarjeta de concreto (SCA 90/10) calha triangular, inclusive caiação</v>
          </cell>
          <cell r="C686" t="str">
            <v>m</v>
          </cell>
          <cell r="D686">
            <v>168.4</v>
          </cell>
          <cell r="E686">
            <v>0</v>
          </cell>
          <cell r="F686" t="e">
            <v>#N/A</v>
          </cell>
          <cell r="G686" t="e">
            <v>#N/A</v>
          </cell>
        </row>
        <row r="687">
          <cell r="A687">
            <v>41336</v>
          </cell>
          <cell r="B687" t="str">
            <v>Sarjeta de concreto SCC 40/15</v>
          </cell>
          <cell r="C687" t="str">
            <v>m</v>
          </cell>
          <cell r="D687">
            <v>88.08</v>
          </cell>
          <cell r="E687" t="str">
            <v>A incluir</v>
          </cell>
          <cell r="F687" t="e">
            <v>#N/A</v>
          </cell>
          <cell r="G687" t="e">
            <v>#N/A</v>
          </cell>
        </row>
        <row r="688">
          <cell r="A688">
            <v>40669</v>
          </cell>
          <cell r="B688" t="str">
            <v>Sarjeta de concreto (STC - 02) calha triangular em corte/aterro, inclusive caiação</v>
          </cell>
          <cell r="C688" t="str">
            <v>m</v>
          </cell>
          <cell r="D688">
            <v>79.5</v>
          </cell>
          <cell r="E688">
            <v>0</v>
          </cell>
          <cell r="F688" t="e">
            <v>#N/A</v>
          </cell>
          <cell r="G688" t="e">
            <v>#N/A</v>
          </cell>
        </row>
        <row r="689">
          <cell r="A689">
            <v>40670</v>
          </cell>
          <cell r="B689" t="str">
            <v>Sarjeta de concreto (STC - 04) calha triangular de bancada em corte, inclusive caiação</v>
          </cell>
          <cell r="C689" t="str">
            <v>m</v>
          </cell>
          <cell r="D689">
            <v>58.8</v>
          </cell>
          <cell r="E689">
            <v>0</v>
          </cell>
          <cell r="F689" t="e">
            <v>#N/A</v>
          </cell>
          <cell r="G689" t="e">
            <v>#N/A</v>
          </cell>
        </row>
        <row r="690">
          <cell r="A690">
            <v>40560</v>
          </cell>
          <cell r="B690" t="str">
            <v>Tampa de concreto em grelha, fornecimento, assentamento e transporte</v>
          </cell>
          <cell r="C690" t="str">
            <v>un</v>
          </cell>
          <cell r="D690">
            <v>231.99</v>
          </cell>
          <cell r="E690" t="str">
            <v>A incluir</v>
          </cell>
          <cell r="F690" t="e">
            <v>#N/A</v>
          </cell>
          <cell r="G690" t="e">
            <v>#N/A</v>
          </cell>
        </row>
        <row r="691">
          <cell r="A691">
            <v>40558</v>
          </cell>
          <cell r="B691" t="str">
            <v>Tampão F.F.A.P. com 100 kg, fornecimento, assentamento e transporte</v>
          </cell>
          <cell r="C691" t="str">
            <v>un</v>
          </cell>
          <cell r="D691">
            <v>321.88</v>
          </cell>
          <cell r="E691" t="str">
            <v>A incluir</v>
          </cell>
          <cell r="F691" t="e">
            <v>#N/A</v>
          </cell>
          <cell r="G691" t="e">
            <v>#N/A</v>
          </cell>
        </row>
        <row r="692">
          <cell r="A692">
            <v>41029</v>
          </cell>
          <cell r="B692" t="str">
            <v>Tapume de vedação e proteção, executado com chapas de compensado resinado com 6mm de espessura, exclusive pintura</v>
          </cell>
          <cell r="C692" t="str">
            <v>m²</v>
          </cell>
          <cell r="D692">
            <v>34.18</v>
          </cell>
          <cell r="E692">
            <v>0</v>
          </cell>
          <cell r="F692" t="e">
            <v>#N/A</v>
          </cell>
          <cell r="G692" t="e">
            <v>#N/A</v>
          </cell>
        </row>
        <row r="693">
          <cell r="A693">
            <v>41040</v>
          </cell>
          <cell r="B693" t="str">
            <v>Tela de aço soldada Telcon Q-138 ou similar, fornecimento e assentamento.</v>
          </cell>
          <cell r="C693" t="str">
            <v>m²</v>
          </cell>
          <cell r="D693">
            <v>28.09</v>
          </cell>
          <cell r="E693">
            <v>0</v>
          </cell>
          <cell r="F693" t="e">
            <v>#N/A</v>
          </cell>
          <cell r="G693" t="e">
            <v>#N/A</v>
          </cell>
        </row>
        <row r="694">
          <cell r="A694">
            <v>42658</v>
          </cell>
          <cell r="B694" t="str">
            <v>Tela de aço soldada Telcon Q-196 ou similar, fornecimento e assentamento.</v>
          </cell>
          <cell r="C694" t="str">
            <v>m²</v>
          </cell>
          <cell r="D694">
            <v>32.74</v>
          </cell>
          <cell r="E694">
            <v>0</v>
          </cell>
          <cell r="F694" t="e">
            <v>#N/A</v>
          </cell>
          <cell r="G694" t="e">
            <v>#N/A</v>
          </cell>
        </row>
        <row r="695">
          <cell r="A695">
            <v>40655</v>
          </cell>
          <cell r="B695" t="str">
            <v>Terminal de dreno de alívio de pavimento (DP - TDA - 01)</v>
          </cell>
          <cell r="C695" t="str">
            <v>un</v>
          </cell>
          <cell r="D695">
            <v>314.3</v>
          </cell>
          <cell r="E695" t="str">
            <v>A incluir</v>
          </cell>
          <cell r="F695" t="e">
            <v>#N/A</v>
          </cell>
          <cell r="G695" t="e">
            <v>#N/A</v>
          </cell>
        </row>
        <row r="696">
          <cell r="A696">
            <v>41092</v>
          </cell>
          <cell r="B696" t="str">
            <v>Transporte de materiais encosta abaixo, serviço manual, inclusive carga e descarga</v>
          </cell>
          <cell r="C696" t="str">
            <v>t dam</v>
          </cell>
          <cell r="D696">
            <v>20.399999999999999</v>
          </cell>
          <cell r="E696">
            <v>0</v>
          </cell>
          <cell r="F696" t="e">
            <v>#N/A</v>
          </cell>
          <cell r="G696" t="e">
            <v>#N/A</v>
          </cell>
        </row>
        <row r="697">
          <cell r="A697">
            <v>41091</v>
          </cell>
          <cell r="B697" t="str">
            <v>Transporte de materiais encosta acima, serviço manual, inclusive carga e descarga</v>
          </cell>
          <cell r="C697" t="str">
            <v>t dam</v>
          </cell>
          <cell r="D697">
            <v>27.59</v>
          </cell>
          <cell r="E697">
            <v>0</v>
          </cell>
          <cell r="F697" t="e">
            <v>#N/A</v>
          </cell>
          <cell r="G697" t="e">
            <v>#N/A</v>
          </cell>
        </row>
        <row r="698">
          <cell r="A698">
            <v>40706</v>
          </cell>
          <cell r="B698" t="str">
            <v>Transposição de segmento de sarjeta - TSS 01, inclusive transporte do tubo de concreto</v>
          </cell>
          <cell r="C698" t="str">
            <v>m</v>
          </cell>
          <cell r="D698">
            <v>280.02</v>
          </cell>
          <cell r="E698" t="str">
            <v>A incluir</v>
          </cell>
          <cell r="F698" t="e">
            <v>#N/A</v>
          </cell>
          <cell r="G698" t="e">
            <v>#N/A</v>
          </cell>
        </row>
        <row r="699">
          <cell r="A699">
            <v>40651</v>
          </cell>
          <cell r="B699" t="str">
            <v>Trincheira drenante cega (0,50 x 1,70) m, inclusive transporte da brita c/ geotêxtil não tecido res.long. mín 16 kn/m</v>
          </cell>
          <cell r="C699" t="str">
            <v>m</v>
          </cell>
          <cell r="D699">
            <v>333.57</v>
          </cell>
          <cell r="E699" t="str">
            <v>A incluir</v>
          </cell>
          <cell r="F699" t="e">
            <v>#N/A</v>
          </cell>
          <cell r="G699" t="e">
            <v>#N/A</v>
          </cell>
        </row>
        <row r="700">
          <cell r="A700">
            <v>41122</v>
          </cell>
          <cell r="B700" t="str">
            <v>Tubo de PVC NBR 5648 diâmetro 50 mm, fornecimento e assentamento</v>
          </cell>
          <cell r="C700" t="str">
            <v>m</v>
          </cell>
          <cell r="D700">
            <v>16.38</v>
          </cell>
          <cell r="E700">
            <v>0</v>
          </cell>
          <cell r="F700" t="e">
            <v>#N/A</v>
          </cell>
          <cell r="G700" t="e">
            <v>#N/A</v>
          </cell>
        </row>
        <row r="701">
          <cell r="A701">
            <v>41123</v>
          </cell>
          <cell r="B701" t="str">
            <v>Tubo de PVC NBR 5648 diâmetro 75 mm, fornecimento e assentamento</v>
          </cell>
          <cell r="C701" t="str">
            <v>m</v>
          </cell>
          <cell r="D701">
            <v>24.92</v>
          </cell>
          <cell r="E701">
            <v>0</v>
          </cell>
          <cell r="F701" t="e">
            <v>#N/A</v>
          </cell>
          <cell r="G701" t="e">
            <v>#N/A</v>
          </cell>
        </row>
        <row r="702">
          <cell r="A702">
            <v>41126</v>
          </cell>
          <cell r="B702" t="str">
            <v>Tubo de PVC PBA diâmetro 300 mm, fornecimento e assentamento</v>
          </cell>
          <cell r="C702" t="str">
            <v>m</v>
          </cell>
          <cell r="D702">
            <v>201.52</v>
          </cell>
          <cell r="E702">
            <v>0</v>
          </cell>
          <cell r="F702" t="e">
            <v>#N/A</v>
          </cell>
          <cell r="G702" t="e">
            <v>#N/A</v>
          </cell>
        </row>
        <row r="703">
          <cell r="A703">
            <v>41125</v>
          </cell>
          <cell r="B703" t="str">
            <v>Tubo de PVC rígido série R diâmetro 100 mm, fornecimento e assentamento</v>
          </cell>
          <cell r="C703" t="str">
            <v>m</v>
          </cell>
          <cell r="D703">
            <v>27.09</v>
          </cell>
          <cell r="E703">
            <v>0</v>
          </cell>
          <cell r="F703" t="e">
            <v>#N/A</v>
          </cell>
          <cell r="G703" t="e">
            <v>#N/A</v>
          </cell>
        </row>
        <row r="704">
          <cell r="A704">
            <v>41119</v>
          </cell>
          <cell r="B704" t="str">
            <v>Tubo irrifort agropecuário diâmetro 32 mm, fornecimento e assentamento</v>
          </cell>
          <cell r="C704" t="str">
            <v>m</v>
          </cell>
          <cell r="D704">
            <v>6.11</v>
          </cell>
          <cell r="E704">
            <v>0</v>
          </cell>
          <cell r="F704" t="e">
            <v>#N/A</v>
          </cell>
          <cell r="G704" t="e">
            <v>#N/A</v>
          </cell>
        </row>
        <row r="705">
          <cell r="A705">
            <v>41114</v>
          </cell>
          <cell r="B705" t="str">
            <v>Tubo para irrigação linha fixa PN40 50 mm, fornecimento e assentamento</v>
          </cell>
          <cell r="C705" t="str">
            <v>m</v>
          </cell>
          <cell r="D705">
            <v>7.9</v>
          </cell>
          <cell r="E705">
            <v>0</v>
          </cell>
          <cell r="F705" t="e">
            <v>#N/A</v>
          </cell>
          <cell r="G705" t="e">
            <v>#N/A</v>
          </cell>
        </row>
        <row r="706">
          <cell r="A706">
            <v>41127</v>
          </cell>
          <cell r="B706" t="str">
            <v>Tubo PVC PBA diâmetro 150 mm, fornecimento e assentamento</v>
          </cell>
          <cell r="C706" t="str">
            <v>m</v>
          </cell>
          <cell r="D706">
            <v>35.99</v>
          </cell>
          <cell r="E706">
            <v>0</v>
          </cell>
          <cell r="F706" t="e">
            <v>#N/A</v>
          </cell>
          <cell r="G706" t="e">
            <v>#N/A</v>
          </cell>
        </row>
        <row r="707">
          <cell r="A707">
            <v>40707</v>
          </cell>
          <cell r="B707" t="str">
            <v>Tubos de ferro fundido diâmetro 0,90 m, assentamento</v>
          </cell>
          <cell r="C707" t="str">
            <v>m</v>
          </cell>
          <cell r="D707">
            <v>234.43</v>
          </cell>
          <cell r="E707" t="str">
            <v>A incluir</v>
          </cell>
          <cell r="F707" t="e">
            <v>#N/A</v>
          </cell>
          <cell r="G707" t="e">
            <v>#N/A</v>
          </cell>
        </row>
        <row r="708">
          <cell r="A708">
            <v>41118</v>
          </cell>
          <cell r="B708" t="str">
            <v>Tubos para irrigação Linha fixa PN40, diâmetro 75 mm, fornecimento e assentamento</v>
          </cell>
          <cell r="C708" t="str">
            <v>m</v>
          </cell>
          <cell r="D708">
            <v>11.36</v>
          </cell>
          <cell r="E708">
            <v>0</v>
          </cell>
          <cell r="F708" t="e">
            <v>#N/A</v>
          </cell>
          <cell r="G708" t="e">
            <v>#N/A</v>
          </cell>
        </row>
        <row r="709">
          <cell r="A709">
            <v>40702</v>
          </cell>
          <cell r="B709" t="str">
            <v>Valeta de pedra argamassada VPAR</v>
          </cell>
          <cell r="C709" t="str">
            <v>m³</v>
          </cell>
          <cell r="D709">
            <v>330.72</v>
          </cell>
          <cell r="E709" t="str">
            <v>A incluir</v>
          </cell>
          <cell r="F709" t="e">
            <v>#N/A</v>
          </cell>
          <cell r="G709" t="e">
            <v>#N/A</v>
          </cell>
        </row>
        <row r="710">
          <cell r="A710">
            <v>40701</v>
          </cell>
          <cell r="B710" t="str">
            <v>Valeta de pedra jogada VPJ, inclusive transporte da pedra</v>
          </cell>
          <cell r="C710" t="str">
            <v>m³</v>
          </cell>
          <cell r="D710">
            <v>141.81</v>
          </cell>
          <cell r="E710" t="str">
            <v>A incluir</v>
          </cell>
          <cell r="F710" t="e">
            <v>#N/A</v>
          </cell>
          <cell r="G710" t="e">
            <v>#N/A</v>
          </cell>
        </row>
        <row r="711">
          <cell r="A711">
            <v>40698</v>
          </cell>
          <cell r="B711" t="str">
            <v>Valeta de proteção de aterro enleivada (VPA-01 DNIT)</v>
          </cell>
          <cell r="C711" t="str">
            <v>m</v>
          </cell>
          <cell r="D711">
            <v>71.5</v>
          </cell>
          <cell r="E711" t="str">
            <v>A incluir</v>
          </cell>
          <cell r="F711" t="e">
            <v>#N/A</v>
          </cell>
          <cell r="G711" t="e">
            <v>#N/A</v>
          </cell>
        </row>
        <row r="712">
          <cell r="A712">
            <v>40700</v>
          </cell>
          <cell r="B712" t="str">
            <v>Valeta de proteção de aterro revestida em concreto (VPA-03 DNIT)</v>
          </cell>
          <cell r="C712" t="str">
            <v>m</v>
          </cell>
          <cell r="D712">
            <v>88.36</v>
          </cell>
          <cell r="E712" t="str">
            <v>A incluir</v>
          </cell>
          <cell r="F712" t="e">
            <v>#N/A</v>
          </cell>
          <cell r="G712" t="e">
            <v>#N/A</v>
          </cell>
        </row>
        <row r="713">
          <cell r="A713">
            <v>40696</v>
          </cell>
          <cell r="B713" t="str">
            <v>Valeta de proteção de aterro VPA 02 (revestida em concreto)</v>
          </cell>
          <cell r="C713" t="str">
            <v>m</v>
          </cell>
          <cell r="D713">
            <v>170.48</v>
          </cell>
          <cell r="E713" t="str">
            <v>A incluir</v>
          </cell>
          <cell r="F713" t="e">
            <v>#N/A</v>
          </cell>
          <cell r="G713" t="e">
            <v>#N/A</v>
          </cell>
        </row>
        <row r="714">
          <cell r="A714">
            <v>40695</v>
          </cell>
          <cell r="B714" t="str">
            <v>Valeta de proteção de aterro VPA-01 (escavação)</v>
          </cell>
          <cell r="C714" t="str">
            <v>m</v>
          </cell>
          <cell r="D714">
            <v>55.2</v>
          </cell>
          <cell r="E714">
            <v>0</v>
          </cell>
          <cell r="F714" t="e">
            <v>#N/A</v>
          </cell>
          <cell r="G714" t="e">
            <v>#N/A</v>
          </cell>
        </row>
        <row r="715">
          <cell r="A715">
            <v>40692</v>
          </cell>
          <cell r="B715" t="str">
            <v>Valeta de proteção de corte - desobstrução e limpeza</v>
          </cell>
          <cell r="C715" t="str">
            <v>m</v>
          </cell>
          <cell r="D715">
            <v>3.07</v>
          </cell>
          <cell r="E715">
            <v>0</v>
          </cell>
          <cell r="F715" t="e">
            <v>#N/A</v>
          </cell>
          <cell r="G715" t="e">
            <v>#N/A</v>
          </cell>
        </row>
        <row r="716">
          <cell r="A716">
            <v>40697</v>
          </cell>
          <cell r="B716" t="str">
            <v>Valeta de proteção de corte enleivada (VPC-01 DNIT)</v>
          </cell>
          <cell r="C716" t="str">
            <v>m</v>
          </cell>
          <cell r="D716">
            <v>70.05</v>
          </cell>
          <cell r="E716" t="str">
            <v>A incluir</v>
          </cell>
          <cell r="F716" t="e">
            <v>#N/A</v>
          </cell>
          <cell r="G716" t="e">
            <v>#N/A</v>
          </cell>
        </row>
        <row r="717">
          <cell r="A717">
            <v>40699</v>
          </cell>
          <cell r="B717" t="str">
            <v>Valeta de proteção de corte revestida em concreto VPC-03</v>
          </cell>
          <cell r="C717" t="str">
            <v>m</v>
          </cell>
          <cell r="D717">
            <v>196.05</v>
          </cell>
          <cell r="E717" t="str">
            <v>A incluir</v>
          </cell>
          <cell r="F717" t="e">
            <v>#N/A</v>
          </cell>
          <cell r="G717" t="e">
            <v>#N/A</v>
          </cell>
        </row>
        <row r="718">
          <cell r="A718">
            <v>40693</v>
          </cell>
          <cell r="B718" t="str">
            <v>Valeta de proteção de corte VPC-01 (escavação)</v>
          </cell>
          <cell r="C718" t="str">
            <v>m</v>
          </cell>
          <cell r="D718">
            <v>29.89</v>
          </cell>
          <cell r="E718">
            <v>0</v>
          </cell>
          <cell r="F718" t="e">
            <v>#N/A</v>
          </cell>
          <cell r="G718" t="e">
            <v>#N/A</v>
          </cell>
        </row>
        <row r="719">
          <cell r="A719">
            <v>40694</v>
          </cell>
          <cell r="B719" t="str">
            <v>Valeta de proteção de corte VPC-02 (revestida em grama)</v>
          </cell>
          <cell r="C719" t="str">
            <v>m</v>
          </cell>
          <cell r="D719">
            <v>59.34</v>
          </cell>
          <cell r="E719" t="str">
            <v>A incluir</v>
          </cell>
          <cell r="F719" t="e">
            <v>#N/A</v>
          </cell>
          <cell r="G719" t="e">
            <v>#N/A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e">
            <v>#N/A</v>
          </cell>
          <cell r="F720" t="e">
            <v>#N/A</v>
          </cell>
          <cell r="G720" t="e">
            <v>#N/A</v>
          </cell>
        </row>
        <row r="721">
          <cell r="A721" t="str">
            <v>Grupo de Serviço: 4 - MATERIAL BETUMINOSO</v>
          </cell>
          <cell r="B721">
            <v>0</v>
          </cell>
          <cell r="C721">
            <v>0</v>
          </cell>
          <cell r="E721" t="e">
            <v>#N/A</v>
          </cell>
          <cell r="F721" t="e">
            <v>#N/A</v>
          </cell>
          <cell r="G721" t="e">
            <v>#N/A</v>
          </cell>
        </row>
        <row r="722">
          <cell r="A722">
            <v>40972</v>
          </cell>
          <cell r="B722" t="str">
            <v>Bonificação de 20,93% sobre Materiais Betuminosos</v>
          </cell>
          <cell r="C722" t="str">
            <v>%</v>
          </cell>
          <cell r="D722">
            <v>0</v>
          </cell>
          <cell r="E722">
            <v>0</v>
          </cell>
          <cell r="F722">
            <v>0</v>
          </cell>
          <cell r="G722" t="e">
            <v>#DIV/0!</v>
          </cell>
        </row>
        <row r="723">
          <cell r="A723">
            <v>41405</v>
          </cell>
          <cell r="B723" t="str">
            <v>CAP FLEX 60/85, fornecimento</v>
          </cell>
          <cell r="C723" t="str">
            <v>t</v>
          </cell>
          <cell r="D723">
            <v>2544.63</v>
          </cell>
          <cell r="E723">
            <v>0</v>
          </cell>
          <cell r="F723" t="e">
            <v>#N/A</v>
          </cell>
          <cell r="G723" t="e">
            <v>#N/A</v>
          </cell>
        </row>
        <row r="724">
          <cell r="A724">
            <v>41360</v>
          </cell>
          <cell r="B724" t="str">
            <v>CAP-50/70, fornecimento</v>
          </cell>
          <cell r="C724" t="str">
            <v>t</v>
          </cell>
          <cell r="D724">
            <v>1888.14</v>
          </cell>
          <cell r="E724">
            <v>0</v>
          </cell>
          <cell r="F724">
            <v>1888.14</v>
          </cell>
          <cell r="G724">
            <v>1</v>
          </cell>
        </row>
        <row r="725">
          <cell r="A725">
            <v>40968</v>
          </cell>
          <cell r="B725" t="str">
            <v>CM-30, fornecimento</v>
          </cell>
          <cell r="C725" t="str">
            <v>t</v>
          </cell>
          <cell r="D725">
            <v>3191.47</v>
          </cell>
          <cell r="E725">
            <v>0</v>
          </cell>
          <cell r="F725">
            <v>3191.47</v>
          </cell>
          <cell r="G725">
            <v>1</v>
          </cell>
        </row>
        <row r="726">
          <cell r="A726">
            <v>40976</v>
          </cell>
          <cell r="B726" t="str">
            <v>Dope, fornecimento</v>
          </cell>
          <cell r="C726" t="str">
            <v>t</v>
          </cell>
          <cell r="D726">
            <v>33260</v>
          </cell>
          <cell r="E726">
            <v>0</v>
          </cell>
          <cell r="F726">
            <v>33260</v>
          </cell>
          <cell r="G726">
            <v>1</v>
          </cell>
        </row>
        <row r="727">
          <cell r="A727">
            <v>42545</v>
          </cell>
          <cell r="B727" t="str">
            <v>Emulsão RL-1C- FLEX (Emulflex RL-1C-E), fornecimento</v>
          </cell>
          <cell r="C727" t="str">
            <v>t</v>
          </cell>
          <cell r="D727">
            <v>1792.18</v>
          </cell>
          <cell r="E727">
            <v>0</v>
          </cell>
          <cell r="F727" t="e">
            <v>#N/A</v>
          </cell>
          <cell r="G727" t="e">
            <v>#N/A</v>
          </cell>
        </row>
        <row r="728">
          <cell r="A728">
            <v>40974</v>
          </cell>
          <cell r="B728" t="str">
            <v>Emulsão RM-1C, fornecimento</v>
          </cell>
          <cell r="C728" t="str">
            <v>t</v>
          </cell>
          <cell r="D728">
            <v>1604.26</v>
          </cell>
          <cell r="E728">
            <v>0</v>
          </cell>
          <cell r="F728" t="e">
            <v>#N/A</v>
          </cell>
          <cell r="G728" t="e">
            <v>#N/A</v>
          </cell>
        </row>
        <row r="729">
          <cell r="A729">
            <v>40978</v>
          </cell>
          <cell r="B729" t="str">
            <v>Emulsão RR-1C FLEX (Emulflex RR-1C-E,) fornecimento</v>
          </cell>
          <cell r="C729" t="str">
            <v>t</v>
          </cell>
          <cell r="D729">
            <v>1905</v>
          </cell>
          <cell r="E729">
            <v>0</v>
          </cell>
          <cell r="F729" t="e">
            <v>#N/A</v>
          </cell>
          <cell r="G729" t="e">
            <v>#N/A</v>
          </cell>
        </row>
        <row r="730">
          <cell r="A730">
            <v>40975</v>
          </cell>
          <cell r="B730" t="str">
            <v>Emulsão RR-1C, fornecimento</v>
          </cell>
          <cell r="C730" t="str">
            <v>t</v>
          </cell>
          <cell r="D730">
            <v>1390.33</v>
          </cell>
          <cell r="E730">
            <v>0</v>
          </cell>
          <cell r="F730" t="e">
            <v>#N/A</v>
          </cell>
          <cell r="G730" t="e">
            <v>#N/A</v>
          </cell>
        </row>
        <row r="731">
          <cell r="A731">
            <v>40969</v>
          </cell>
          <cell r="B731" t="str">
            <v>Emulsão RR-2C, fornecimento</v>
          </cell>
          <cell r="C731" t="str">
            <v>t</v>
          </cell>
          <cell r="D731">
            <v>1543.73</v>
          </cell>
          <cell r="E731">
            <v>0</v>
          </cell>
          <cell r="F731" t="e">
            <v>#N/A</v>
          </cell>
          <cell r="G731" t="e">
            <v>#N/A</v>
          </cell>
        </row>
        <row r="732">
          <cell r="A732">
            <v>40971</v>
          </cell>
          <cell r="B732" t="str">
            <v>Emulsão RR-2C-FLEX (Emulflex RR-2C-E), fornecimento</v>
          </cell>
          <cell r="C732" t="str">
            <v>t</v>
          </cell>
          <cell r="D732">
            <v>1858.79</v>
          </cell>
          <cell r="E732">
            <v>0</v>
          </cell>
          <cell r="F732" t="e">
            <v>#N/A</v>
          </cell>
          <cell r="G732" t="e">
            <v>#N/A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e">
            <v>#N/A</v>
          </cell>
          <cell r="F733" t="e">
            <v>#N/A</v>
          </cell>
          <cell r="G733" t="e">
            <v>#N/A</v>
          </cell>
        </row>
        <row r="734">
          <cell r="A734" t="str">
            <v>Grupo de Serviço: 5 - OBRAS COMPLEMENTARES</v>
          </cell>
          <cell r="B734">
            <v>0</v>
          </cell>
          <cell r="C734">
            <v>0</v>
          </cell>
          <cell r="E734" t="e">
            <v>#N/A</v>
          </cell>
          <cell r="F734" t="e">
            <v>#N/A</v>
          </cell>
          <cell r="G734" t="e">
            <v>#N/A</v>
          </cell>
        </row>
        <row r="735">
          <cell r="A735">
            <v>40910</v>
          </cell>
          <cell r="B735" t="str">
            <v>Abrigo de Ônibus - Rodovia Rural - 3,40 m x 6,00 m</v>
          </cell>
          <cell r="C735" t="str">
            <v>un</v>
          </cell>
          <cell r="D735">
            <v>11685.72</v>
          </cell>
          <cell r="E735" t="str">
            <v>A incluir</v>
          </cell>
          <cell r="F735" t="e">
            <v>#N/A</v>
          </cell>
          <cell r="G735" t="e">
            <v>#N/A</v>
          </cell>
        </row>
        <row r="736">
          <cell r="A736">
            <v>41362</v>
          </cell>
          <cell r="B736" t="str">
            <v>Abrigo de Ônibus Urbano - Padrão reduzido - 2,40 x 6,00 m</v>
          </cell>
          <cell r="C736" t="str">
            <v>un</v>
          </cell>
          <cell r="D736">
            <v>11457.64</v>
          </cell>
          <cell r="E736">
            <v>0</v>
          </cell>
          <cell r="F736" t="e">
            <v>#N/A</v>
          </cell>
          <cell r="G736" t="e">
            <v>#N/A</v>
          </cell>
        </row>
        <row r="737">
          <cell r="A737">
            <v>43343</v>
          </cell>
          <cell r="B737" t="str">
            <v>Alvenaria de tijolos cerâmicos maciços aparentes 5x10x20cm,assent.c/argam.de cimento,cal hidratada CH1 e areia no traço 1:0,5:8,juntas de 10mm e esp.</v>
          </cell>
          <cell r="C737" t="str">
            <v>m²</v>
          </cell>
          <cell r="D737">
            <v>165.7</v>
          </cell>
          <cell r="E737">
            <v>0</v>
          </cell>
          <cell r="F737" t="e">
            <v>#N/A</v>
          </cell>
          <cell r="G737" t="e">
            <v>#N/A</v>
          </cell>
        </row>
        <row r="738">
          <cell r="A738">
            <v>41151</v>
          </cell>
          <cell r="B738" t="str">
            <v>Braço galvanizado 101mm - projeção 4,70m, fornecimento e instalação</v>
          </cell>
          <cell r="C738" t="str">
            <v>un</v>
          </cell>
          <cell r="D738">
            <v>1767.1</v>
          </cell>
          <cell r="E738">
            <v>0</v>
          </cell>
          <cell r="F738" t="e">
            <v>#N/A</v>
          </cell>
          <cell r="G738" t="e">
            <v>#N/A</v>
          </cell>
        </row>
        <row r="739">
          <cell r="A739">
            <v>41346</v>
          </cell>
          <cell r="B739" t="str">
            <v>Cabo de cobre nú, seção 35 mm², fornecimento e colocação</v>
          </cell>
          <cell r="C739" t="str">
            <v>m</v>
          </cell>
          <cell r="D739">
            <v>25.04</v>
          </cell>
          <cell r="E739">
            <v>0</v>
          </cell>
          <cell r="F739" t="e">
            <v>#N/A</v>
          </cell>
          <cell r="G739" t="e">
            <v>#N/A</v>
          </cell>
        </row>
        <row r="740">
          <cell r="A740">
            <v>41150</v>
          </cell>
          <cell r="B740" t="str">
            <v>Cabo flexível 2 x 1,5 mm², fornecimento e instalação</v>
          </cell>
          <cell r="C740" t="str">
            <v>m</v>
          </cell>
          <cell r="D740">
            <v>5.58</v>
          </cell>
          <cell r="E740">
            <v>0</v>
          </cell>
          <cell r="F740" t="e">
            <v>#N/A</v>
          </cell>
          <cell r="G740" t="e">
            <v>#N/A</v>
          </cell>
        </row>
        <row r="741">
          <cell r="A741">
            <v>41149</v>
          </cell>
          <cell r="B741" t="str">
            <v>Cabo flexível 2 x 2,5 mm², fornecimento e instalação</v>
          </cell>
          <cell r="C741" t="str">
            <v>m</v>
          </cell>
          <cell r="D741">
            <v>6.59</v>
          </cell>
          <cell r="E741">
            <v>0</v>
          </cell>
          <cell r="F741" t="e">
            <v>#N/A</v>
          </cell>
          <cell r="G741" t="e">
            <v>#N/A</v>
          </cell>
        </row>
        <row r="742">
          <cell r="A742">
            <v>41410</v>
          </cell>
          <cell r="B742" t="str">
            <v>Cabo flexível 3 x 1,5 mm², fornecimento e instalação</v>
          </cell>
          <cell r="C742" t="str">
            <v>m</v>
          </cell>
          <cell r="D742">
            <v>6.3</v>
          </cell>
          <cell r="E742">
            <v>0</v>
          </cell>
          <cell r="F742" t="e">
            <v>#N/A</v>
          </cell>
          <cell r="G742" t="e">
            <v>#N/A</v>
          </cell>
        </row>
        <row r="743">
          <cell r="A743">
            <v>41148</v>
          </cell>
          <cell r="B743" t="str">
            <v>Cabo flexível 4 x 1,5 mm², fornecimento e instalação</v>
          </cell>
          <cell r="C743" t="str">
            <v>m</v>
          </cell>
          <cell r="D743">
            <v>7.16</v>
          </cell>
          <cell r="E743">
            <v>0</v>
          </cell>
          <cell r="F743" t="e">
            <v>#N/A</v>
          </cell>
          <cell r="G743" t="e">
            <v>#N/A</v>
          </cell>
        </row>
        <row r="744">
          <cell r="A744">
            <v>41152</v>
          </cell>
          <cell r="B744" t="str">
            <v>Caixa de passagem de concreto armado de 0,40 x 0,40 x 0,40m</v>
          </cell>
          <cell r="C744" t="str">
            <v>un</v>
          </cell>
          <cell r="D744">
            <v>421.15</v>
          </cell>
          <cell r="E744">
            <v>0</v>
          </cell>
          <cell r="F744" t="e">
            <v>#N/A</v>
          </cell>
          <cell r="G744" t="e">
            <v>#N/A</v>
          </cell>
        </row>
        <row r="745">
          <cell r="A745">
            <v>41004</v>
          </cell>
          <cell r="B745" t="str">
            <v>Caixa de passagem de eletroduto de lógica</v>
          </cell>
          <cell r="C745" t="str">
            <v>un</v>
          </cell>
          <cell r="D745">
            <v>925.66</v>
          </cell>
          <cell r="E745">
            <v>0</v>
          </cell>
          <cell r="F745" t="e">
            <v>#N/A</v>
          </cell>
          <cell r="G745" t="e">
            <v>#N/A</v>
          </cell>
        </row>
        <row r="746">
          <cell r="A746">
            <v>40911</v>
          </cell>
          <cell r="B746" t="str">
            <v>Calçada de concreto</v>
          </cell>
          <cell r="C746" t="str">
            <v>m²</v>
          </cell>
          <cell r="D746">
            <v>42.95</v>
          </cell>
          <cell r="E746" t="str">
            <v>A incluir</v>
          </cell>
          <cell r="F746" t="e">
            <v>#N/A</v>
          </cell>
          <cell r="G746" t="e">
            <v>#N/A</v>
          </cell>
        </row>
        <row r="747">
          <cell r="A747">
            <v>40915</v>
          </cell>
          <cell r="B747" t="str">
            <v>Calçada de concreto fck-&gt;15 MP, camurçado c/ argam. cimento e areia 1:4, lastro de brita e 8 cm de concreto, incl. preparo da caixa e transp. da brita</v>
          </cell>
          <cell r="C747" t="str">
            <v>m²</v>
          </cell>
          <cell r="D747">
            <v>95.64</v>
          </cell>
          <cell r="E747" t="str">
            <v>A incluir</v>
          </cell>
          <cell r="F747">
            <v>106.32</v>
          </cell>
          <cell r="G747">
            <v>1.11166875784191</v>
          </cell>
        </row>
        <row r="748">
          <cell r="A748">
            <v>40899</v>
          </cell>
          <cell r="B748" t="str">
            <v>Cerca de arame farpado 4 fios com mourões a cada 2,0 m, esticadores de madeira, a cada 20,0 m, inclusive transporte de mourão e arame farpado)</v>
          </cell>
          <cell r="C748" t="str">
            <v>m</v>
          </cell>
          <cell r="D748">
            <v>16.28</v>
          </cell>
          <cell r="E748" t="str">
            <v>A incluir</v>
          </cell>
          <cell r="F748" t="e">
            <v>#N/A</v>
          </cell>
          <cell r="G748" t="e">
            <v>#N/A</v>
          </cell>
        </row>
        <row r="749">
          <cell r="A749">
            <v>40900</v>
          </cell>
          <cell r="B749" t="str">
            <v>Cerca de arame farpado 4 fios com mourões a cada 1,0 m, esticadores de madeira, a cada 20,0 m, inclusive transporte de mourão e arame farpado</v>
          </cell>
          <cell r="C749" t="str">
            <v>m</v>
          </cell>
          <cell r="D749">
            <v>22.27</v>
          </cell>
          <cell r="E749" t="str">
            <v>A incluir</v>
          </cell>
          <cell r="F749" t="e">
            <v>#N/A</v>
          </cell>
          <cell r="G749" t="e">
            <v>#N/A</v>
          </cell>
        </row>
        <row r="750">
          <cell r="A750">
            <v>41365</v>
          </cell>
          <cell r="B750" t="str">
            <v>Cerca de arame farpado 4 fios com mourões, a cada 2,5 m, esticadores de madeira a cada 60,0m, inclusive transporte de arame farpado e mourão</v>
          </cell>
          <cell r="C750" t="str">
            <v>m</v>
          </cell>
          <cell r="D750">
            <v>16.39</v>
          </cell>
          <cell r="E750" t="str">
            <v>A incluir</v>
          </cell>
          <cell r="F750" t="e">
            <v>#N/A</v>
          </cell>
          <cell r="G750" t="e">
            <v>#N/A</v>
          </cell>
        </row>
        <row r="751">
          <cell r="A751">
            <v>41110</v>
          </cell>
          <cell r="B751" t="str">
            <v>Cerca de arame farpado 4 fios com mourões a cada 3,0 metros e sem esticadores, inclusive transporte de arame e mourão</v>
          </cell>
          <cell r="C751" t="str">
            <v>m</v>
          </cell>
          <cell r="D751">
            <v>14.81</v>
          </cell>
          <cell r="E751" t="str">
            <v>A incluir</v>
          </cell>
          <cell r="F751" t="e">
            <v>#N/A</v>
          </cell>
          <cell r="G751" t="e">
            <v>#N/A</v>
          </cell>
        </row>
        <row r="752">
          <cell r="A752">
            <v>40903</v>
          </cell>
          <cell r="B752" t="str">
            <v>Cerca de arame farpado 4 fios com postes cada 2,5 m, esticadores de concreto a cada 25,0 m</v>
          </cell>
          <cell r="C752" t="str">
            <v>m</v>
          </cell>
          <cell r="D752">
            <v>22.06</v>
          </cell>
          <cell r="E752" t="str">
            <v>A incluir</v>
          </cell>
          <cell r="F752" t="e">
            <v>#N/A</v>
          </cell>
          <cell r="G752" t="e">
            <v>#N/A</v>
          </cell>
        </row>
        <row r="753">
          <cell r="A753">
            <v>40904</v>
          </cell>
          <cell r="B753" t="str">
            <v>Cerca de arame farpado 8 fios com postes concreto 10 x 10 x 220 cm, a cada 1,5 m</v>
          </cell>
          <cell r="C753" t="str">
            <v>m</v>
          </cell>
          <cell r="D753">
            <v>43.16</v>
          </cell>
          <cell r="E753" t="str">
            <v>A incluir</v>
          </cell>
          <cell r="F753" t="e">
            <v>#N/A</v>
          </cell>
          <cell r="G753" t="e">
            <v>#N/A</v>
          </cell>
        </row>
        <row r="754">
          <cell r="A754">
            <v>40905</v>
          </cell>
          <cell r="B754" t="str">
            <v>Cerca de arame farpado 8 fios com postes triangulares 10 x 200 cm, a cada 2,5 m, mourão de concreto 10 x 10 x 220 cm, a cada 50,0 m</v>
          </cell>
          <cell r="C754" t="str">
            <v>m</v>
          </cell>
          <cell r="D754">
            <v>23.96</v>
          </cell>
          <cell r="E754" t="str">
            <v>A incluir</v>
          </cell>
          <cell r="F754" t="e">
            <v>#N/A</v>
          </cell>
          <cell r="G754" t="e">
            <v>#N/A</v>
          </cell>
        </row>
        <row r="755">
          <cell r="A755">
            <v>43330</v>
          </cell>
          <cell r="B755" t="str">
            <v>Cerca de arame farpado,4 fios ,mourões de madeira a cada 2,5 m e esticadores de concreto/madeira a cada 40m</v>
          </cell>
          <cell r="C755" t="str">
            <v>m</v>
          </cell>
          <cell r="D755">
            <v>26.12</v>
          </cell>
          <cell r="E755" t="str">
            <v>A incluir</v>
          </cell>
          <cell r="F755" t="e">
            <v>#N/A</v>
          </cell>
          <cell r="G755" t="e">
            <v>#N/A</v>
          </cell>
        </row>
        <row r="756">
          <cell r="A756">
            <v>40901</v>
          </cell>
          <cell r="B756" t="str">
            <v>Cerca de arame liso 4 fios com mourões cada 2,0 m, esticadores de madeira, a cada 20,0 m, inclusive transporte de mourão e arame liso</v>
          </cell>
          <cell r="C756" t="str">
            <v>m</v>
          </cell>
          <cell r="D756">
            <v>15.6</v>
          </cell>
          <cell r="E756" t="str">
            <v>A incluir</v>
          </cell>
          <cell r="F756">
            <v>16.22</v>
          </cell>
          <cell r="G756">
            <v>1.03974358974359</v>
          </cell>
        </row>
        <row r="757">
          <cell r="A757">
            <v>42475</v>
          </cell>
          <cell r="B757" t="str">
            <v>Concreto estrutural fck -&gt; 10,0 MPa, inclusive transportes areia, cimento e pedra britada</v>
          </cell>
          <cell r="C757" t="str">
            <v>m³</v>
          </cell>
          <cell r="D757">
            <v>522.22</v>
          </cell>
          <cell r="E757" t="str">
            <v>A incluir</v>
          </cell>
          <cell r="F757" t="e">
            <v>#N/A</v>
          </cell>
          <cell r="G757" t="e">
            <v>#N/A</v>
          </cell>
        </row>
        <row r="758">
          <cell r="A758">
            <v>40945</v>
          </cell>
          <cell r="B758" t="str">
            <v>Corrimão em eucalipto tratado</v>
          </cell>
          <cell r="C758" t="str">
            <v>m</v>
          </cell>
          <cell r="D758">
            <v>53.48</v>
          </cell>
          <cell r="E758" t="str">
            <v>A incluir</v>
          </cell>
          <cell r="F758" t="e">
            <v>#N/A</v>
          </cell>
          <cell r="G758" t="e">
            <v>#N/A</v>
          </cell>
        </row>
        <row r="759">
          <cell r="A759">
            <v>41109</v>
          </cell>
          <cell r="B759" t="str">
            <v>Demolição de cerca de madeira com 4 fios</v>
          </cell>
          <cell r="C759" t="str">
            <v>m</v>
          </cell>
          <cell r="D759">
            <v>2.34</v>
          </cell>
          <cell r="E759">
            <v>0</v>
          </cell>
          <cell r="F759" t="e">
            <v>#N/A</v>
          </cell>
          <cell r="G759" t="e">
            <v>#N/A</v>
          </cell>
        </row>
        <row r="760">
          <cell r="A760">
            <v>40164</v>
          </cell>
          <cell r="B760" t="str">
            <v>Demolição de edificações</v>
          </cell>
          <cell r="C760" t="str">
            <v>m²</v>
          </cell>
          <cell r="D760">
            <v>36.619999999999997</v>
          </cell>
          <cell r="E760">
            <v>0</v>
          </cell>
          <cell r="F760" t="e">
            <v>#N/A</v>
          </cell>
          <cell r="G760" t="e">
            <v>#N/A</v>
          </cell>
        </row>
        <row r="761">
          <cell r="A761">
            <v>40944</v>
          </cell>
          <cell r="B761" t="str">
            <v>Descida d'água em madeira e pedra de mão, tudo incluído</v>
          </cell>
          <cell r="C761" t="str">
            <v>m</v>
          </cell>
          <cell r="D761">
            <v>483.77</v>
          </cell>
          <cell r="E761" t="str">
            <v>A incluir</v>
          </cell>
          <cell r="F761" t="e">
            <v>#N/A</v>
          </cell>
          <cell r="G761" t="e">
            <v>#N/A</v>
          </cell>
        </row>
        <row r="762">
          <cell r="A762">
            <v>40902</v>
          </cell>
          <cell r="B762" t="str">
            <v>Deslocamento de cerca de madeira com 4 fios de arame</v>
          </cell>
          <cell r="C762" t="str">
            <v>m</v>
          </cell>
          <cell r="D762">
            <v>4.22</v>
          </cell>
          <cell r="E762">
            <v>0</v>
          </cell>
          <cell r="F762">
            <v>4.2300000000000004</v>
          </cell>
          <cell r="G762">
            <v>1.00236966824645</v>
          </cell>
        </row>
        <row r="763">
          <cell r="A763">
            <v>41344</v>
          </cell>
          <cell r="B763" t="str">
            <v>Eletroduto de aço galv. 1 1/4" inclusive abertura e fechamento de rasgos em alvenaria, e luvas</v>
          </cell>
          <cell r="C763" t="str">
            <v>m</v>
          </cell>
          <cell r="D763">
            <v>65.900000000000006</v>
          </cell>
          <cell r="E763">
            <v>0</v>
          </cell>
          <cell r="F763" t="e">
            <v>#N/A</v>
          </cell>
          <cell r="G763" t="e">
            <v>#N/A</v>
          </cell>
        </row>
        <row r="764">
          <cell r="A764">
            <v>41345</v>
          </cell>
          <cell r="B764" t="str">
            <v>Eletroduto de PVC diâmetro de 4", fornecimento e instalação</v>
          </cell>
          <cell r="C764" t="str">
            <v>m</v>
          </cell>
          <cell r="D764">
            <v>97.7</v>
          </cell>
          <cell r="E764">
            <v>0</v>
          </cell>
          <cell r="F764" t="e">
            <v>#N/A</v>
          </cell>
          <cell r="G764" t="e">
            <v>#N/A</v>
          </cell>
        </row>
        <row r="765">
          <cell r="A765">
            <v>41242</v>
          </cell>
          <cell r="B765" t="str">
            <v>Estrutura de madeira para telha cerâmica ancorada em laje ou alvenaria</v>
          </cell>
          <cell r="C765" t="str">
            <v>m²</v>
          </cell>
          <cell r="D765">
            <v>71.94</v>
          </cell>
          <cell r="E765">
            <v>0</v>
          </cell>
          <cell r="F765" t="e">
            <v>#N/A</v>
          </cell>
          <cell r="G765" t="e">
            <v>#N/A</v>
          </cell>
        </row>
        <row r="766">
          <cell r="A766">
            <v>42476</v>
          </cell>
          <cell r="B766" t="str">
            <v>Fita isolante em rolo de 19 mm x 20 m, número 33 Scoth ou equivalente</v>
          </cell>
          <cell r="C766" t="str">
            <v>un</v>
          </cell>
          <cell r="D766">
            <v>37.21</v>
          </cell>
          <cell r="E766">
            <v>0</v>
          </cell>
          <cell r="F766">
            <v>37.22</v>
          </cell>
          <cell r="G766">
            <v>1.0002687449610299</v>
          </cell>
        </row>
        <row r="767">
          <cell r="A767">
            <v>41136</v>
          </cell>
          <cell r="B767" t="str">
            <v>Haste cobreada para aterramento diâmetro 5/8" x 2,4m ( fornecimento e instalação)</v>
          </cell>
          <cell r="C767" t="str">
            <v>un</v>
          </cell>
          <cell r="D767">
            <v>115.97</v>
          </cell>
          <cell r="E767">
            <v>0</v>
          </cell>
          <cell r="F767">
            <v>115.98</v>
          </cell>
          <cell r="G767">
            <v>1.0000862291972099</v>
          </cell>
        </row>
        <row r="768">
          <cell r="A768">
            <v>41135</v>
          </cell>
          <cell r="B768" t="str">
            <v>Isolador de Porcelana tipo roldana com rack 3 x 16, instalação</v>
          </cell>
          <cell r="C768" t="str">
            <v>un</v>
          </cell>
          <cell r="D768">
            <v>84.22</v>
          </cell>
          <cell r="E768">
            <v>0</v>
          </cell>
          <cell r="F768" t="e">
            <v>#N/A</v>
          </cell>
          <cell r="G768" t="e">
            <v>#N/A</v>
          </cell>
        </row>
        <row r="769">
          <cell r="A769">
            <v>40912</v>
          </cell>
          <cell r="B769" t="str">
            <v>Ladrilho hidráulico (argamassa cimento e areia 1:4), fornecimento e assentamento</v>
          </cell>
          <cell r="C769" t="str">
            <v>m²</v>
          </cell>
          <cell r="D769">
            <v>87.75</v>
          </cell>
          <cell r="E769" t="str">
            <v>A incluir</v>
          </cell>
          <cell r="F769">
            <v>95.04</v>
          </cell>
          <cell r="G769">
            <v>1.0830769230769199</v>
          </cell>
        </row>
        <row r="770">
          <cell r="A770">
            <v>40908</v>
          </cell>
          <cell r="B770" t="str">
            <v>Mata-burro</v>
          </cell>
          <cell r="C770" t="str">
            <v>un</v>
          </cell>
          <cell r="D770">
            <v>7628.62</v>
          </cell>
          <cell r="E770" t="str">
            <v>A incluir</v>
          </cell>
          <cell r="F770" t="e">
            <v>#N/A</v>
          </cell>
          <cell r="G770" t="e">
            <v>#N/A</v>
          </cell>
        </row>
        <row r="771">
          <cell r="A771">
            <v>40907</v>
          </cell>
          <cell r="B771" t="str">
            <v>Passagem de gado (boca)</v>
          </cell>
          <cell r="C771" t="str">
            <v>un</v>
          </cell>
          <cell r="D771">
            <v>13042.54</v>
          </cell>
          <cell r="E771" t="str">
            <v>A incluir</v>
          </cell>
          <cell r="F771" t="e">
            <v>#N/A</v>
          </cell>
          <cell r="G771" t="e">
            <v>#N/A</v>
          </cell>
        </row>
        <row r="772">
          <cell r="A772">
            <v>40906</v>
          </cell>
          <cell r="B772" t="str">
            <v>Passagem de gado (sem guarda corpo)</v>
          </cell>
          <cell r="C772" t="str">
            <v>m</v>
          </cell>
          <cell r="D772">
            <v>3770.5</v>
          </cell>
          <cell r="E772">
            <v>0</v>
          </cell>
          <cell r="F772" t="e">
            <v>#N/A</v>
          </cell>
          <cell r="G772" t="e">
            <v>#N/A</v>
          </cell>
        </row>
        <row r="773">
          <cell r="A773">
            <v>41240</v>
          </cell>
          <cell r="B773" t="str">
            <v>Passeio em concreto, largura 2,00m, acabamento em ladrilho hidráulico podotátil (L-&gt;0,40m)</v>
          </cell>
          <cell r="C773" t="str">
            <v>m²</v>
          </cell>
          <cell r="D773">
            <v>76.84</v>
          </cell>
          <cell r="E773" t="str">
            <v>A incluir</v>
          </cell>
          <cell r="F773" t="e">
            <v>#N/A</v>
          </cell>
          <cell r="G773" t="e">
            <v>#N/A</v>
          </cell>
        </row>
        <row r="774">
          <cell r="A774">
            <v>40946</v>
          </cell>
          <cell r="B774" t="str">
            <v>Passeio pavimentado em blocos de concreto esp.-&gt;6cm, colorido, resistência 35 MPa, colchão de areia 5cm, inclusive transporte dos blocos e da areia</v>
          </cell>
          <cell r="C774" t="str">
            <v>m²</v>
          </cell>
          <cell r="D774">
            <v>89.82</v>
          </cell>
          <cell r="E774" t="str">
            <v>A incluir</v>
          </cell>
          <cell r="F774" t="e">
            <v>#N/A</v>
          </cell>
          <cell r="G774" t="e">
            <v>#N/A</v>
          </cell>
        </row>
        <row r="775">
          <cell r="A775">
            <v>40942</v>
          </cell>
          <cell r="B775" t="str">
            <v>Pavimentação com pedra de mão (pé de moleque) argamassada</v>
          </cell>
          <cell r="C775" t="str">
            <v>m²</v>
          </cell>
          <cell r="D775">
            <v>35.9</v>
          </cell>
          <cell r="E775" t="str">
            <v>A incluir</v>
          </cell>
          <cell r="F775" t="e">
            <v>#N/A</v>
          </cell>
          <cell r="G775" t="e">
            <v>#N/A</v>
          </cell>
        </row>
        <row r="776">
          <cell r="A776">
            <v>41245</v>
          </cell>
          <cell r="B776" t="str">
            <v>Pintura com tinta a óleo em esquadria de ferros duas demãos</v>
          </cell>
          <cell r="C776" t="str">
            <v>m²</v>
          </cell>
          <cell r="D776">
            <v>35.18</v>
          </cell>
          <cell r="E776">
            <v>0</v>
          </cell>
          <cell r="F776" t="e">
            <v>#N/A</v>
          </cell>
          <cell r="G776" t="e">
            <v>#N/A</v>
          </cell>
        </row>
        <row r="777">
          <cell r="A777">
            <v>41404</v>
          </cell>
          <cell r="B777" t="str">
            <v>Pintura em estrutura metálica com tinta epoxídica inclusive primer</v>
          </cell>
          <cell r="C777" t="str">
            <v>m²</v>
          </cell>
          <cell r="D777">
            <v>33.450000000000003</v>
          </cell>
          <cell r="E777">
            <v>0</v>
          </cell>
          <cell r="F777" t="e">
            <v>#N/A</v>
          </cell>
          <cell r="G777" t="e">
            <v>#N/A</v>
          </cell>
        </row>
        <row r="778">
          <cell r="A778">
            <v>41244</v>
          </cell>
          <cell r="B778" t="str">
            <v>Pintura em látex acrílica em parede externa, sem massa corrida, três demãos</v>
          </cell>
          <cell r="C778" t="str">
            <v>m²</v>
          </cell>
          <cell r="D778">
            <v>21.01</v>
          </cell>
          <cell r="E778">
            <v>0</v>
          </cell>
          <cell r="F778" t="e">
            <v>#N/A</v>
          </cell>
          <cell r="G778" t="e">
            <v>#N/A</v>
          </cell>
        </row>
        <row r="779">
          <cell r="A779">
            <v>43328</v>
          </cell>
          <cell r="B779" t="str">
            <v>Pintura logomarca DER-ES em mourões de concreto ( baixo relevo )</v>
          </cell>
          <cell r="C779" t="str">
            <v>un</v>
          </cell>
          <cell r="D779">
            <v>10</v>
          </cell>
          <cell r="E779">
            <v>0</v>
          </cell>
          <cell r="F779" t="e">
            <v>#N/A</v>
          </cell>
          <cell r="G779" t="e">
            <v>#N/A</v>
          </cell>
        </row>
        <row r="780">
          <cell r="A780">
            <v>40909</v>
          </cell>
          <cell r="B780" t="str">
            <v>Porteira, confecção e colocação, inclusive fornecimento e transporte da madeira e chapa de aço</v>
          </cell>
          <cell r="C780" t="str">
            <v>un</v>
          </cell>
          <cell r="D780">
            <v>2510.59</v>
          </cell>
          <cell r="E780" t="str">
            <v>A incluir</v>
          </cell>
          <cell r="F780" t="e">
            <v>#N/A</v>
          </cell>
          <cell r="G780" t="e">
            <v>#N/A</v>
          </cell>
        </row>
        <row r="781">
          <cell r="A781">
            <v>41237</v>
          </cell>
          <cell r="B781" t="str">
            <v>Poste de iluminação urbana com luminária tipo chapeú chinês</v>
          </cell>
          <cell r="C781" t="str">
            <v>un</v>
          </cell>
          <cell r="D781">
            <v>1992.72</v>
          </cell>
          <cell r="E781" t="str">
            <v>A incluir</v>
          </cell>
          <cell r="F781" t="e">
            <v>#N/A</v>
          </cell>
          <cell r="G781" t="e">
            <v>#N/A</v>
          </cell>
        </row>
        <row r="782">
          <cell r="A782">
            <v>41140</v>
          </cell>
          <cell r="B782" t="str">
            <v>Poste galvanizado 101mm simples, fornecimento e instalação</v>
          </cell>
          <cell r="C782" t="str">
            <v>un</v>
          </cell>
          <cell r="D782">
            <v>1246.04</v>
          </cell>
          <cell r="E782">
            <v>0</v>
          </cell>
          <cell r="F782" t="e">
            <v>#N/A</v>
          </cell>
          <cell r="G782" t="e">
            <v>#N/A</v>
          </cell>
        </row>
        <row r="783">
          <cell r="A783">
            <v>41139</v>
          </cell>
          <cell r="B783" t="str">
            <v>Poste galvanizado 114 mm - 1boca, fornecimento e instalação</v>
          </cell>
          <cell r="C783" t="str">
            <v>un</v>
          </cell>
          <cell r="D783">
            <v>1818.03</v>
          </cell>
          <cell r="E783">
            <v>0</v>
          </cell>
          <cell r="F783" t="e">
            <v>#N/A</v>
          </cell>
          <cell r="G783" t="e">
            <v>#N/A</v>
          </cell>
        </row>
        <row r="784">
          <cell r="A784">
            <v>41138</v>
          </cell>
          <cell r="B784" t="str">
            <v>Poste galvanizado 114mm - 2 bocas, fornecimento e instalação</v>
          </cell>
          <cell r="C784" t="str">
            <v>un</v>
          </cell>
          <cell r="D784">
            <v>2029.2</v>
          </cell>
          <cell r="E784">
            <v>0</v>
          </cell>
          <cell r="F784" t="e">
            <v>#N/A</v>
          </cell>
          <cell r="G784" t="e">
            <v>#N/A</v>
          </cell>
        </row>
        <row r="785">
          <cell r="A785">
            <v>41246</v>
          </cell>
          <cell r="B785" t="str">
            <v>Rampa de pedestres, com piso em ladrilho hidráulico podotátil</v>
          </cell>
          <cell r="C785" t="str">
            <v>m</v>
          </cell>
          <cell r="D785">
            <v>46.86</v>
          </cell>
          <cell r="E785" t="str">
            <v>A incluir</v>
          </cell>
          <cell r="F785" t="e">
            <v>#N/A</v>
          </cell>
          <cell r="G785" t="e">
            <v>#N/A</v>
          </cell>
        </row>
        <row r="786">
          <cell r="A786">
            <v>40943</v>
          </cell>
          <cell r="B786" t="str">
            <v>Rampa em pedra de mão (pé de moleque) argamassada e travada</v>
          </cell>
          <cell r="C786" t="str">
            <v>m</v>
          </cell>
          <cell r="D786">
            <v>43.73</v>
          </cell>
          <cell r="E786" t="str">
            <v>A incluir</v>
          </cell>
          <cell r="F786" t="e">
            <v>#N/A</v>
          </cell>
          <cell r="G786" t="e">
            <v>#N/A</v>
          </cell>
        </row>
        <row r="787">
          <cell r="A787">
            <v>40922</v>
          </cell>
          <cell r="B787" t="str">
            <v>Remoção de camada vegetal</v>
          </cell>
          <cell r="C787" t="str">
            <v>m³</v>
          </cell>
          <cell r="D787">
            <v>4.38</v>
          </cell>
          <cell r="E787">
            <v>0</v>
          </cell>
          <cell r="F787" t="e">
            <v>#N/A</v>
          </cell>
          <cell r="G787" t="e">
            <v>#N/A</v>
          </cell>
        </row>
        <row r="788">
          <cell r="A788">
            <v>40914</v>
          </cell>
          <cell r="B788" t="str">
            <v>Retirada de Defensa Metálica</v>
          </cell>
          <cell r="C788" t="str">
            <v>m</v>
          </cell>
          <cell r="D788">
            <v>14.18</v>
          </cell>
          <cell r="E788" t="str">
            <v>A incluir</v>
          </cell>
          <cell r="F788" t="e">
            <v>#N/A</v>
          </cell>
          <cell r="G788" t="e">
            <v>#N/A</v>
          </cell>
        </row>
        <row r="789">
          <cell r="A789">
            <v>40913</v>
          </cell>
          <cell r="B789" t="str">
            <v>Retirada e recolocação de alambrado</v>
          </cell>
          <cell r="C789" t="str">
            <v>m</v>
          </cell>
          <cell r="D789">
            <v>98.03</v>
          </cell>
          <cell r="E789">
            <v>0</v>
          </cell>
          <cell r="F789" t="e">
            <v>#N/A</v>
          </cell>
          <cell r="G789" t="e">
            <v>#N/A</v>
          </cell>
        </row>
        <row r="790">
          <cell r="A790">
            <v>41191</v>
          </cell>
          <cell r="B790" t="str">
            <v>Sistema cercamento tipo Gradil Nylofor 3DPintura Simples (preto, verde ou branco), # 50x200m, fio 5,0mm, L-&gt;2,50m, H-&gt;2,03m, incl. forn./chumb. postes</v>
          </cell>
          <cell r="C790" t="str">
            <v>m</v>
          </cell>
          <cell r="D790">
            <v>314.39</v>
          </cell>
          <cell r="E790" t="str">
            <v>A incluir</v>
          </cell>
          <cell r="F790" t="e">
            <v>#N/A</v>
          </cell>
          <cell r="G790" t="e">
            <v>#N/A</v>
          </cell>
        </row>
        <row r="791">
          <cell r="A791">
            <v>40947</v>
          </cell>
          <cell r="B791" t="str">
            <v>Sumidouro cilíndrico pré-moldado diam. 2,00m com 5 anéis inclusive escavação</v>
          </cell>
          <cell r="C791" t="str">
            <v>un</v>
          </cell>
          <cell r="D791">
            <v>3110.73</v>
          </cell>
          <cell r="E791" t="str">
            <v>A incluir</v>
          </cell>
          <cell r="F791" t="e">
            <v>#N/A</v>
          </cell>
          <cell r="G791" t="e">
            <v>#N/A</v>
          </cell>
        </row>
        <row r="792">
          <cell r="A792">
            <v>43329</v>
          </cell>
          <cell r="B792" t="str">
            <v>Suporte de concreto armado ( 15x15x280 ) com logomarca pintada em baixo relevo</v>
          </cell>
          <cell r="C792" t="str">
            <v>un</v>
          </cell>
          <cell r="D792">
            <v>179.33</v>
          </cell>
          <cell r="E792" t="str">
            <v>A incluir</v>
          </cell>
          <cell r="F792" t="e">
            <v>#N/A</v>
          </cell>
          <cell r="G792" t="e">
            <v>#N/A</v>
          </cell>
        </row>
        <row r="793">
          <cell r="A793">
            <v>42050</v>
          </cell>
          <cell r="B793" t="str">
            <v>Tela de aço galvanizado ,em malha hexagonal de dupla torção, tipo 8,0cm x 10,0cm, com fios de diâmetro 2,7mm, tudo incluído, fornecimento e execução</v>
          </cell>
          <cell r="C793" t="str">
            <v>m²</v>
          </cell>
          <cell r="D793">
            <v>95.25</v>
          </cell>
          <cell r="E793" t="str">
            <v>A incluir</v>
          </cell>
          <cell r="F793" t="e">
            <v>#N/A</v>
          </cell>
          <cell r="G793" t="e">
            <v>#N/A</v>
          </cell>
        </row>
        <row r="794">
          <cell r="A794">
            <v>0</v>
          </cell>
          <cell r="B794">
            <v>0</v>
          </cell>
          <cell r="C794">
            <v>0</v>
          </cell>
          <cell r="E794" t="e">
            <v>#N/A</v>
          </cell>
          <cell r="F794" t="e">
            <v>#N/A</v>
          </cell>
        </row>
        <row r="795">
          <cell r="A795" t="str">
            <v>Grupo de Serviço: 8 - SERVIÇOS AMBIENTAIS</v>
          </cell>
          <cell r="B795">
            <v>0</v>
          </cell>
          <cell r="C795">
            <v>0</v>
          </cell>
          <cell r="E795" t="e">
            <v>#N/A</v>
          </cell>
          <cell r="F795" t="e">
            <v>#N/A</v>
          </cell>
        </row>
        <row r="796">
          <cell r="A796">
            <v>42203</v>
          </cell>
          <cell r="B796" t="str">
            <v>Arborização para paisagismo ( mudas viveiro de espera) com altura maior que 150 cm</v>
          </cell>
          <cell r="C796" t="str">
            <v>un</v>
          </cell>
          <cell r="D796">
            <v>108.46</v>
          </cell>
          <cell r="E796" t="str">
            <v>A incluir</v>
          </cell>
          <cell r="F796" t="e">
            <v>#N/A</v>
          </cell>
          <cell r="G796" t="e">
            <v>#N/A</v>
          </cell>
        </row>
        <row r="797">
          <cell r="A797">
            <v>42202</v>
          </cell>
          <cell r="B797" t="str">
            <v>Arborização para paisagismo (mudas viveiro de espera) com altura até 150 cm</v>
          </cell>
          <cell r="C797" t="str">
            <v>un</v>
          </cell>
          <cell r="D797">
            <v>85.78</v>
          </cell>
          <cell r="E797" t="str">
            <v>A incluir</v>
          </cell>
          <cell r="F797" t="e">
            <v>#N/A</v>
          </cell>
          <cell r="G797" t="e">
            <v>#N/A</v>
          </cell>
        </row>
        <row r="798">
          <cell r="A798">
            <v>42041</v>
          </cell>
          <cell r="B798" t="str">
            <v>Barreira de Siltagem com escoras de eucalipto, diâm. 0,10m e a altura 1,60m, espaçadas a cada 2,0 m, 1 reaproveitamento</v>
          </cell>
          <cell r="C798" t="str">
            <v>m</v>
          </cell>
          <cell r="D798">
            <v>21.99</v>
          </cell>
          <cell r="E798" t="str">
            <v>A incluir</v>
          </cell>
          <cell r="F798">
            <v>22.13</v>
          </cell>
          <cell r="G798">
            <v>1.0063665302410201</v>
          </cell>
        </row>
        <row r="799">
          <cell r="A799">
            <v>42199</v>
          </cell>
          <cell r="B799" t="str">
            <v>Conformação manual de taludes</v>
          </cell>
          <cell r="C799" t="str">
            <v>m²</v>
          </cell>
          <cell r="D799">
            <v>1.38</v>
          </cell>
          <cell r="E799">
            <v>0</v>
          </cell>
          <cell r="F799">
            <v>1.39</v>
          </cell>
          <cell r="G799">
            <v>1.00724637681159</v>
          </cell>
        </row>
        <row r="800">
          <cell r="A800">
            <v>42210</v>
          </cell>
          <cell r="B800" t="str">
            <v>Grama em placas em taludes com estacas de madeira, fornecimento e plantio</v>
          </cell>
          <cell r="C800" t="str">
            <v>m²</v>
          </cell>
          <cell r="D800">
            <v>18.82</v>
          </cell>
          <cell r="E800" t="str">
            <v>A incluir</v>
          </cell>
          <cell r="F800" t="e">
            <v>#N/A</v>
          </cell>
          <cell r="G800" t="e">
            <v>#N/A</v>
          </cell>
        </row>
        <row r="801">
          <cell r="A801">
            <v>42206</v>
          </cell>
          <cell r="B801" t="str">
            <v>Grama em placas, fornecimento e plantio (sem fixação com estacas)</v>
          </cell>
          <cell r="C801" t="str">
            <v>m²</v>
          </cell>
          <cell r="D801">
            <v>14.5</v>
          </cell>
          <cell r="E801" t="str">
            <v>A incluir</v>
          </cell>
          <cell r="F801">
            <v>15.26</v>
          </cell>
          <cell r="G801">
            <v>1.0524137931034501</v>
          </cell>
        </row>
        <row r="802">
          <cell r="A802">
            <v>42208</v>
          </cell>
          <cell r="B802" t="str">
            <v>Gramínea em leiva, extração</v>
          </cell>
          <cell r="C802" t="str">
            <v>m²</v>
          </cell>
          <cell r="D802">
            <v>1.58</v>
          </cell>
          <cell r="E802">
            <v>0</v>
          </cell>
          <cell r="F802" t="e">
            <v>#N/A</v>
          </cell>
          <cell r="G802" t="e">
            <v>#N/A</v>
          </cell>
        </row>
        <row r="803">
          <cell r="A803">
            <v>42209</v>
          </cell>
          <cell r="B803" t="str">
            <v>Gramínea em leiva, extração, plantio e transporte</v>
          </cell>
          <cell r="C803" t="str">
            <v>m²</v>
          </cell>
          <cell r="D803">
            <v>7</v>
          </cell>
          <cell r="E803" t="str">
            <v>A incluir</v>
          </cell>
          <cell r="F803" t="e">
            <v>#N/A</v>
          </cell>
          <cell r="G803" t="e">
            <v>#N/A</v>
          </cell>
        </row>
        <row r="804">
          <cell r="A804">
            <v>42207</v>
          </cell>
          <cell r="B804" t="str">
            <v>Gramíneas em sementes, fornecimento e plantio a lanço</v>
          </cell>
          <cell r="C804" t="str">
            <v>m²</v>
          </cell>
          <cell r="D804">
            <v>3.07</v>
          </cell>
          <cell r="E804">
            <v>0</v>
          </cell>
          <cell r="F804" t="e">
            <v>#N/A</v>
          </cell>
          <cell r="G804" t="e">
            <v>#N/A</v>
          </cell>
        </row>
        <row r="805">
          <cell r="A805">
            <v>42200</v>
          </cell>
          <cell r="B805" t="str">
            <v>Hidrossemeadura simples em taludes</v>
          </cell>
          <cell r="C805" t="str">
            <v>m²</v>
          </cell>
          <cell r="D805">
            <v>6.84</v>
          </cell>
          <cell r="E805">
            <v>0</v>
          </cell>
          <cell r="F805">
            <v>6.84</v>
          </cell>
          <cell r="G805">
            <v>1</v>
          </cell>
        </row>
        <row r="806">
          <cell r="A806">
            <v>42201</v>
          </cell>
          <cell r="B806" t="str">
            <v>Hidrossemeadura simples em terrenos planos</v>
          </cell>
          <cell r="C806" t="str">
            <v>m²</v>
          </cell>
          <cell r="D806">
            <v>5.39</v>
          </cell>
          <cell r="E806">
            <v>0</v>
          </cell>
          <cell r="F806">
            <v>5.39</v>
          </cell>
          <cell r="G806">
            <v>1</v>
          </cell>
        </row>
        <row r="807">
          <cell r="A807">
            <v>41247</v>
          </cell>
          <cell r="B807" t="str">
            <v>Recomposição de talude de corte com aterro de solo argiloso compactado, exclusive material de aterro</v>
          </cell>
          <cell r="C807" t="str">
            <v>m³</v>
          </cell>
          <cell r="D807">
            <v>54.32</v>
          </cell>
          <cell r="E807">
            <v>0</v>
          </cell>
          <cell r="F807" t="e">
            <v>#N/A</v>
          </cell>
          <cell r="G807" t="e">
            <v>#N/A</v>
          </cell>
        </row>
        <row r="808">
          <cell r="A808">
            <v>42204</v>
          </cell>
          <cell r="B808" t="str">
            <v>Reflorestamento com espécies nativas da mata atlântica, mudas em sacolas ou tubetes</v>
          </cell>
          <cell r="C808" t="str">
            <v>un</v>
          </cell>
          <cell r="D808">
            <v>32.71</v>
          </cell>
          <cell r="E808" t="str">
            <v>A incluir</v>
          </cell>
          <cell r="F808" t="e">
            <v>#N/A</v>
          </cell>
          <cell r="G808" t="e">
            <v>#N/A</v>
          </cell>
        </row>
        <row r="809">
          <cell r="A809">
            <v>42044</v>
          </cell>
          <cell r="B809" t="str">
            <v>Reunião de Comunicação Social inclusive material de consumo</v>
          </cell>
          <cell r="C809" t="str">
            <v>un</v>
          </cell>
          <cell r="D809">
            <v>4648.01</v>
          </cell>
          <cell r="E809">
            <v>0</v>
          </cell>
          <cell r="F809">
            <v>4648.01</v>
          </cell>
          <cell r="G809">
            <v>1</v>
          </cell>
        </row>
        <row r="810">
          <cell r="A810">
            <v>40102</v>
          </cell>
          <cell r="B810" t="str">
            <v>Revestimento vegetal com grama em placas, inclusive transporte de grama</v>
          </cell>
          <cell r="C810" t="str">
            <v>m²</v>
          </cell>
          <cell r="D810">
            <v>13.92</v>
          </cell>
          <cell r="E810" t="str">
            <v>A incluir</v>
          </cell>
          <cell r="F810" t="e">
            <v>#N/A</v>
          </cell>
          <cell r="G810" t="e">
            <v>#N/A</v>
          </cell>
        </row>
        <row r="811">
          <cell r="A811">
            <v>42039</v>
          </cell>
          <cell r="B811" t="str">
            <v>Revestimento vegetal por hidrossemeadura com manta de fibras vegetais</v>
          </cell>
          <cell r="C811" t="str">
            <v>m²</v>
          </cell>
          <cell r="D811">
            <v>16.739999999999998</v>
          </cell>
          <cell r="E811" t="str">
            <v>A incluir</v>
          </cell>
          <cell r="F811" t="e">
            <v>#N/A</v>
          </cell>
          <cell r="G811" t="e">
            <v>#N/A</v>
          </cell>
        </row>
        <row r="812">
          <cell r="A812">
            <v>42205</v>
          </cell>
          <cell r="B812" t="str">
            <v>Roçada para manutenção de mudas</v>
          </cell>
          <cell r="C812" t="str">
            <v>m²</v>
          </cell>
          <cell r="D812">
            <v>1.3</v>
          </cell>
          <cell r="E812">
            <v>0</v>
          </cell>
          <cell r="F812" t="e">
            <v>#N/A</v>
          </cell>
          <cell r="G812" t="e">
            <v>#N/A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e">
            <v>#N/A</v>
          </cell>
          <cell r="F813" t="e">
            <v>#N/A</v>
          </cell>
          <cell r="G813" t="e">
            <v>#N/A</v>
          </cell>
        </row>
        <row r="814">
          <cell r="A814" t="str">
            <v>Grupo de Serviço: 10 - SINALIZAÇÃO</v>
          </cell>
          <cell r="B814">
            <v>0</v>
          </cell>
          <cell r="C814">
            <v>0</v>
          </cell>
          <cell r="E814" t="e">
            <v>#N/A</v>
          </cell>
          <cell r="F814" t="e">
            <v>#N/A</v>
          </cell>
          <cell r="G814" t="e">
            <v>#N/A</v>
          </cell>
        </row>
        <row r="815">
          <cell r="A815">
            <v>41153</v>
          </cell>
          <cell r="B815" t="str">
            <v>Abraçadeira para fixação de semáforo em braço/coluna de diâmetro 101 ou 114 mm</v>
          </cell>
          <cell r="C815" t="str">
            <v>un</v>
          </cell>
          <cell r="D815">
            <v>64.45</v>
          </cell>
          <cell r="E815">
            <v>0</v>
          </cell>
          <cell r="F815" t="e">
            <v>#N/A</v>
          </cell>
          <cell r="G815" t="e">
            <v>#N/A</v>
          </cell>
        </row>
        <row r="816">
          <cell r="A816">
            <v>41409</v>
          </cell>
          <cell r="B816" t="str">
            <v>Anteparo 3 x 300 mm, fornecimento e instalação</v>
          </cell>
          <cell r="C816" t="str">
            <v>un</v>
          </cell>
          <cell r="D816">
            <v>363</v>
          </cell>
          <cell r="E816">
            <v>0</v>
          </cell>
          <cell r="F816" t="e">
            <v>#N/A</v>
          </cell>
          <cell r="G816" t="e">
            <v>#N/A</v>
          </cell>
        </row>
        <row r="817">
          <cell r="A817">
            <v>40928</v>
          </cell>
          <cell r="B817" t="str">
            <v>Balizador de concreto ( fornecimento e assentamento )</v>
          </cell>
          <cell r="C817" t="str">
            <v>un</v>
          </cell>
          <cell r="D817">
            <v>39.58</v>
          </cell>
          <cell r="E817" t="str">
            <v>A incluir</v>
          </cell>
          <cell r="F817" t="e">
            <v>#N/A</v>
          </cell>
          <cell r="G817" t="e">
            <v>#N/A</v>
          </cell>
        </row>
        <row r="818">
          <cell r="A818">
            <v>41408</v>
          </cell>
          <cell r="B818" t="str">
            <v>Botoeira com sinal sonoro, fornecimento e instalação</v>
          </cell>
          <cell r="C818" t="str">
            <v>un</v>
          </cell>
          <cell r="D818">
            <v>2785.98</v>
          </cell>
          <cell r="E818">
            <v>0</v>
          </cell>
          <cell r="F818" t="e">
            <v>#N/A</v>
          </cell>
          <cell r="G818" t="e">
            <v>#N/A</v>
          </cell>
        </row>
        <row r="819">
          <cell r="A819">
            <v>41147</v>
          </cell>
          <cell r="B819" t="str">
            <v>Cabos para rede de dados (sincronismo) blindado 2 x 20 awg, fornecimento e instalação</v>
          </cell>
          <cell r="C819" t="str">
            <v>m</v>
          </cell>
          <cell r="D819">
            <v>7.14</v>
          </cell>
          <cell r="E819">
            <v>0</v>
          </cell>
          <cell r="F819" t="e">
            <v>#N/A</v>
          </cell>
          <cell r="G819" t="e">
            <v>#N/A</v>
          </cell>
        </row>
        <row r="820">
          <cell r="A820">
            <v>42046</v>
          </cell>
          <cell r="B820" t="str">
            <v>Cones para sinalização, fornecimento e colocação</v>
          </cell>
          <cell r="C820" t="str">
            <v>un</v>
          </cell>
          <cell r="D820">
            <v>17.52</v>
          </cell>
          <cell r="E820">
            <v>0</v>
          </cell>
          <cell r="F820">
            <v>17.53</v>
          </cell>
          <cell r="G820">
            <v>1.0005707762557099</v>
          </cell>
        </row>
        <row r="821">
          <cell r="A821">
            <v>41407</v>
          </cell>
          <cell r="B821" t="str">
            <v>Controlador Eletrônico Microprocessado 4 fases, fornecimento e instalação</v>
          </cell>
          <cell r="C821" t="str">
            <v>un</v>
          </cell>
          <cell r="D821">
            <v>14891.97</v>
          </cell>
          <cell r="E821">
            <v>0</v>
          </cell>
          <cell r="F821" t="e">
            <v>#N/A</v>
          </cell>
          <cell r="G821" t="e">
            <v>#N/A</v>
          </cell>
        </row>
        <row r="822">
          <cell r="A822">
            <v>41146</v>
          </cell>
          <cell r="B822" t="str">
            <v>Controlador Eletrônico Microprocessado 6/6 fases, fornecimento e instalação</v>
          </cell>
          <cell r="C822" t="str">
            <v>un</v>
          </cell>
          <cell r="D822">
            <v>16149.24</v>
          </cell>
          <cell r="E822">
            <v>0</v>
          </cell>
          <cell r="F822" t="e">
            <v>#N/A</v>
          </cell>
          <cell r="G822" t="e">
            <v>#N/A</v>
          </cell>
        </row>
        <row r="823">
          <cell r="A823">
            <v>41017</v>
          </cell>
          <cell r="B823" t="str">
            <v>Defensa de concreto tipo New Jersey, fornecimento e colocação</v>
          </cell>
          <cell r="C823" t="str">
            <v>m</v>
          </cell>
          <cell r="D823">
            <v>449.27</v>
          </cell>
          <cell r="E823">
            <v>0</v>
          </cell>
          <cell r="F823" t="e">
            <v>#N/A</v>
          </cell>
          <cell r="G823" t="e">
            <v>#N/A</v>
          </cell>
        </row>
        <row r="824">
          <cell r="A824">
            <v>40929</v>
          </cell>
          <cell r="B824" t="str">
            <v>Defensa metálica (1 lâmina com espessura -&gt; 3 mm), fornecimento e colocação</v>
          </cell>
          <cell r="C824" t="str">
            <v>m</v>
          </cell>
          <cell r="D824">
            <v>247.69</v>
          </cell>
          <cell r="E824" t="str">
            <v>A incluir</v>
          </cell>
          <cell r="F824" t="e">
            <v>#N/A</v>
          </cell>
          <cell r="G824" t="e">
            <v>#N/A</v>
          </cell>
        </row>
        <row r="825">
          <cell r="A825">
            <v>41203</v>
          </cell>
          <cell r="B825" t="str">
            <v>Defensa metálica (2 lâminas com espessuras -&gt; 3mm) inclusive acessórios, fornecimento e colocação</v>
          </cell>
          <cell r="C825" t="str">
            <v>m</v>
          </cell>
          <cell r="D825">
            <v>489.3</v>
          </cell>
          <cell r="E825" t="str">
            <v>A incluir</v>
          </cell>
          <cell r="F825" t="e">
            <v>#N/A</v>
          </cell>
          <cell r="G825" t="e">
            <v>#N/A</v>
          </cell>
        </row>
        <row r="826">
          <cell r="A826">
            <v>42047</v>
          </cell>
          <cell r="B826" t="str">
            <v>Elementos de madeira para sinalização - cavaletes</v>
          </cell>
          <cell r="C826" t="str">
            <v>un</v>
          </cell>
          <cell r="D826">
            <v>44.25</v>
          </cell>
          <cell r="E826">
            <v>0</v>
          </cell>
          <cell r="F826">
            <v>44.26</v>
          </cell>
          <cell r="G826">
            <v>1.00022598870056</v>
          </cell>
        </row>
        <row r="827">
          <cell r="A827">
            <v>41145</v>
          </cell>
          <cell r="B827" t="str">
            <v>Grupo focal gradativo (semáforo com informação de tempo), fornecimento e instalação</v>
          </cell>
          <cell r="C827" t="str">
            <v>un</v>
          </cell>
          <cell r="D827">
            <v>9507.77</v>
          </cell>
          <cell r="E827">
            <v>0</v>
          </cell>
          <cell r="F827" t="e">
            <v>#N/A</v>
          </cell>
          <cell r="G827" t="e">
            <v>#N/A</v>
          </cell>
        </row>
        <row r="828">
          <cell r="A828">
            <v>41141</v>
          </cell>
          <cell r="B828" t="str">
            <v>Grupo focal repetidor 2x200 mm, fornecimento e instalação</v>
          </cell>
          <cell r="C828" t="str">
            <v>un</v>
          </cell>
          <cell r="D828">
            <v>1872.93</v>
          </cell>
          <cell r="E828">
            <v>0</v>
          </cell>
          <cell r="F828" t="e">
            <v>#N/A</v>
          </cell>
          <cell r="G828" t="e">
            <v>#N/A</v>
          </cell>
        </row>
        <row r="829">
          <cell r="A829">
            <v>41142</v>
          </cell>
          <cell r="B829" t="str">
            <v>Grupo focal repetidor 3x200 mm, fornecimento e instalação</v>
          </cell>
          <cell r="C829" t="str">
            <v>un</v>
          </cell>
          <cell r="D829">
            <v>2631.55</v>
          </cell>
          <cell r="E829">
            <v>0</v>
          </cell>
          <cell r="F829" t="e">
            <v>#N/A</v>
          </cell>
          <cell r="G829" t="e">
            <v>#N/A</v>
          </cell>
        </row>
        <row r="830">
          <cell r="A830">
            <v>41143</v>
          </cell>
          <cell r="B830" t="str">
            <v>Grupo focal repetidor 3x300 mm, fornecimento e instalação</v>
          </cell>
          <cell r="C830" t="str">
            <v>un</v>
          </cell>
          <cell r="D830">
            <v>4120.03</v>
          </cell>
          <cell r="E830">
            <v>0</v>
          </cell>
          <cell r="F830" t="e">
            <v>#N/A</v>
          </cell>
          <cell r="G830" t="e">
            <v>#N/A</v>
          </cell>
        </row>
        <row r="831">
          <cell r="A831">
            <v>43162</v>
          </cell>
          <cell r="B831" t="str">
            <v>Ondulação transversal em CBUQ</v>
          </cell>
          <cell r="C831" t="str">
            <v>m</v>
          </cell>
          <cell r="D831">
            <v>280.24</v>
          </cell>
          <cell r="E831" t="str">
            <v>A incluir</v>
          </cell>
          <cell r="F831" t="e">
            <v>#N/A</v>
          </cell>
          <cell r="G831" t="e">
            <v>#N/A</v>
          </cell>
        </row>
        <row r="832">
          <cell r="A832">
            <v>40931</v>
          </cell>
          <cell r="B832" t="str">
            <v>Ondulação transversal em concreto</v>
          </cell>
          <cell r="C832" t="str">
            <v>m²</v>
          </cell>
          <cell r="D832">
            <v>205.87</v>
          </cell>
          <cell r="E832" t="str">
            <v>A incluir</v>
          </cell>
          <cell r="F832" t="e">
            <v>#N/A</v>
          </cell>
          <cell r="G832" t="e">
            <v>#N/A</v>
          </cell>
        </row>
        <row r="833">
          <cell r="A833">
            <v>41526</v>
          </cell>
          <cell r="B833" t="str">
            <v>Pintura acrílica sobre capa asfáltica</v>
          </cell>
          <cell r="C833" t="str">
            <v>m²</v>
          </cell>
          <cell r="D833">
            <v>9.24</v>
          </cell>
          <cell r="E833" t="str">
            <v>A incluir</v>
          </cell>
          <cell r="F833" t="e">
            <v>#N/A</v>
          </cell>
          <cell r="G833" t="e">
            <v>#N/A</v>
          </cell>
        </row>
        <row r="834">
          <cell r="A834">
            <v>42524</v>
          </cell>
          <cell r="B834" t="str">
            <v>Pintura de setas e zebrados em material termoplástico - 5 anos ( por extrusão)</v>
          </cell>
          <cell r="C834" t="str">
            <v>m²</v>
          </cell>
          <cell r="D834">
            <v>74.77</v>
          </cell>
          <cell r="E834">
            <v>0</v>
          </cell>
          <cell r="F834">
            <v>74.77</v>
          </cell>
          <cell r="G834">
            <v>1</v>
          </cell>
        </row>
        <row r="835">
          <cell r="A835">
            <v>40938</v>
          </cell>
          <cell r="B835" t="str">
            <v>Sinalização com chapa em alumínio revestida em película</v>
          </cell>
          <cell r="C835" t="str">
            <v>m²</v>
          </cell>
          <cell r="D835">
            <v>901</v>
          </cell>
          <cell r="E835">
            <v>0</v>
          </cell>
          <cell r="F835" t="e">
            <v>#N/A</v>
          </cell>
          <cell r="G835" t="e">
            <v>#N/A</v>
          </cell>
        </row>
        <row r="836">
          <cell r="A836">
            <v>40924</v>
          </cell>
          <cell r="B836" t="str">
            <v>Sinalização horizontal TMD-&gt;200, vida útil 2 a 3 anos, taxa-&gt;0,40 L/m²</v>
          </cell>
          <cell r="C836" t="str">
            <v>m²</v>
          </cell>
          <cell r="D836">
            <v>12.91</v>
          </cell>
          <cell r="E836" t="str">
            <v>A incluir</v>
          </cell>
          <cell r="F836" t="e">
            <v>#N/A</v>
          </cell>
          <cell r="G836" t="e">
            <v>#N/A</v>
          </cell>
        </row>
        <row r="837">
          <cell r="A837">
            <v>40925</v>
          </cell>
          <cell r="B837" t="str">
            <v>Sinalização horizontal TMD-&gt;400, vida útil 2 a 3 anos, taxa-&gt;0,60 L/m²</v>
          </cell>
          <cell r="C837" t="str">
            <v>m²</v>
          </cell>
          <cell r="D837">
            <v>16.64</v>
          </cell>
          <cell r="E837" t="str">
            <v>A incluir</v>
          </cell>
          <cell r="F837">
            <v>16.739999999999998</v>
          </cell>
          <cell r="G837">
            <v>1.0060096153846201</v>
          </cell>
        </row>
        <row r="838">
          <cell r="A838">
            <v>40926</v>
          </cell>
          <cell r="B838" t="str">
            <v>Sinalização horizontal TMD-&gt;600, vida útil 2 a 3 anos, taxa-&gt;0,80 L/m²</v>
          </cell>
          <cell r="C838" t="str">
            <v>m²</v>
          </cell>
          <cell r="D838">
            <v>20.39</v>
          </cell>
          <cell r="E838" t="str">
            <v>A incluir</v>
          </cell>
          <cell r="F838" t="e">
            <v>#N/A</v>
          </cell>
          <cell r="G838" t="e">
            <v>#N/A</v>
          </cell>
        </row>
        <row r="839">
          <cell r="A839">
            <v>40927</v>
          </cell>
          <cell r="B839" t="str">
            <v>Sinalização horizontal TMD-&gt;600, vida útil 3 anos, taxa-&gt;3,0 kg/m² material termoplástico )</v>
          </cell>
          <cell r="C839" t="str">
            <v>m²</v>
          </cell>
          <cell r="D839">
            <v>39.17</v>
          </cell>
          <cell r="E839" t="str">
            <v>A incluir</v>
          </cell>
          <cell r="F839" t="e">
            <v>#N/A</v>
          </cell>
          <cell r="G839" t="e">
            <v>#N/A</v>
          </cell>
        </row>
        <row r="840">
          <cell r="A840">
            <v>41202</v>
          </cell>
          <cell r="B840" t="str">
            <v>Sinalização noturna ( fio com lâmpada e balde ), fornecimento e instalação</v>
          </cell>
          <cell r="C840" t="str">
            <v>m</v>
          </cell>
          <cell r="D840">
            <v>23.08</v>
          </cell>
          <cell r="E840">
            <v>0</v>
          </cell>
          <cell r="F840" t="e">
            <v>#N/A</v>
          </cell>
          <cell r="G840" t="e">
            <v>#N/A</v>
          </cell>
        </row>
        <row r="841">
          <cell r="A841">
            <v>40937</v>
          </cell>
          <cell r="B841" t="str">
            <v>Sinalização vertical com chapa em esmalte sintético</v>
          </cell>
          <cell r="C841" t="str">
            <v>m²</v>
          </cell>
          <cell r="D841">
            <v>386.97</v>
          </cell>
          <cell r="E841">
            <v>0</v>
          </cell>
          <cell r="F841">
            <v>387.01</v>
          </cell>
          <cell r="G841">
            <v>1.0001033671860899</v>
          </cell>
        </row>
        <row r="842">
          <cell r="A842">
            <v>40939</v>
          </cell>
          <cell r="B842" t="str">
            <v>Sinalização vertical com chapa em poliéster (e-&gt;2,3mm) reforçada com fibra de vidro, inclusive suporte de madeira</v>
          </cell>
          <cell r="C842" t="str">
            <v>m²</v>
          </cell>
          <cell r="D842">
            <v>754.73</v>
          </cell>
          <cell r="E842">
            <v>0</v>
          </cell>
          <cell r="F842" t="e">
            <v>#N/A</v>
          </cell>
          <cell r="G842" t="e">
            <v>#N/A</v>
          </cell>
        </row>
        <row r="843">
          <cell r="A843">
            <v>40936</v>
          </cell>
          <cell r="B843" t="str">
            <v>Sinalização vertical com chapa revestida em película, inclusive suporte em madeira</v>
          </cell>
          <cell r="C843" t="str">
            <v>m²</v>
          </cell>
          <cell r="D843">
            <v>470.77</v>
          </cell>
          <cell r="E843">
            <v>0</v>
          </cell>
          <cell r="F843">
            <v>470.83</v>
          </cell>
          <cell r="G843">
            <v>1.00012745077214</v>
          </cell>
        </row>
        <row r="844">
          <cell r="A844">
            <v>40930</v>
          </cell>
          <cell r="B844" t="str">
            <v>Sonorizador</v>
          </cell>
          <cell r="C844" t="str">
            <v>m²</v>
          </cell>
          <cell r="D844">
            <v>203.75</v>
          </cell>
          <cell r="E844" t="str">
            <v>A incluir</v>
          </cell>
          <cell r="F844" t="e">
            <v>#N/A</v>
          </cell>
          <cell r="G844" t="e">
            <v>#N/A</v>
          </cell>
        </row>
        <row r="845">
          <cell r="A845">
            <v>41222</v>
          </cell>
          <cell r="B845" t="str">
            <v>Suporte de placa de sinalização vertical em madeira de 1ª qualidade, pintada, fornecimento e instalação</v>
          </cell>
          <cell r="C845" t="str">
            <v>un</v>
          </cell>
          <cell r="D845">
            <v>78.73</v>
          </cell>
          <cell r="E845">
            <v>0</v>
          </cell>
          <cell r="F845" t="e">
            <v>#N/A</v>
          </cell>
          <cell r="G845" t="e">
            <v>#N/A</v>
          </cell>
        </row>
        <row r="846">
          <cell r="A846">
            <v>40932</v>
          </cell>
          <cell r="B846" t="str">
            <v>Tacha refletiva monodirecional, fornecimento e aplicação</v>
          </cell>
          <cell r="C846" t="str">
            <v>un</v>
          </cell>
          <cell r="D846">
            <v>19.93</v>
          </cell>
          <cell r="E846">
            <v>0</v>
          </cell>
          <cell r="F846">
            <v>19.940000000000001</v>
          </cell>
          <cell r="G846">
            <v>1.0005017561465099</v>
          </cell>
        </row>
        <row r="847">
          <cell r="A847">
            <v>40934</v>
          </cell>
          <cell r="B847" t="str">
            <v>Tacha refletiva birrefletorizada, fornecimento e aplicação</v>
          </cell>
          <cell r="C847" t="str">
            <v>un</v>
          </cell>
          <cell r="D847">
            <v>21.89</v>
          </cell>
          <cell r="E847">
            <v>0</v>
          </cell>
          <cell r="F847">
            <v>21.89</v>
          </cell>
          <cell r="G847">
            <v>1</v>
          </cell>
        </row>
        <row r="848">
          <cell r="A848">
            <v>40933</v>
          </cell>
          <cell r="B848" t="str">
            <v>Tachão refletivo monodirecional, fornecimento e aplicação</v>
          </cell>
          <cell r="C848" t="str">
            <v>un</v>
          </cell>
          <cell r="D848">
            <v>51.48</v>
          </cell>
          <cell r="E848">
            <v>0</v>
          </cell>
          <cell r="F848" t="e">
            <v>#N/A</v>
          </cell>
          <cell r="G848" t="e">
            <v>#N/A</v>
          </cell>
        </row>
        <row r="849">
          <cell r="A849">
            <v>40935</v>
          </cell>
          <cell r="B849" t="str">
            <v>Tachão refletivo birrefletorizado, fornecimento e aplicação</v>
          </cell>
          <cell r="C849" t="str">
            <v>un</v>
          </cell>
          <cell r="D849">
            <v>56.99</v>
          </cell>
          <cell r="E849">
            <v>0</v>
          </cell>
          <cell r="F849" t="e">
            <v>#N/A</v>
          </cell>
          <cell r="G849" t="e">
            <v>#N/A</v>
          </cell>
        </row>
        <row r="850">
          <cell r="A850">
            <v>41359</v>
          </cell>
          <cell r="B850" t="str">
            <v>Tela de proteção de segurança de PVC cor laranja com suporte para sinalização de obras</v>
          </cell>
          <cell r="C850" t="str">
            <v>m</v>
          </cell>
          <cell r="D850">
            <v>22.8</v>
          </cell>
          <cell r="E850" t="str">
            <v>A incluir</v>
          </cell>
          <cell r="F850" t="e">
            <v>#N/A</v>
          </cell>
          <cell r="G850" t="e">
            <v>#N/A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e">
            <v>#N/A</v>
          </cell>
          <cell r="F851" t="e">
            <v>#N/A</v>
          </cell>
          <cell r="G851" t="e">
            <v>#N/A</v>
          </cell>
        </row>
        <row r="852">
          <cell r="A852" t="str">
            <v>Grupo de Serviço: 12 - SERVIÇOS DIVERSOS</v>
          </cell>
          <cell r="B852">
            <v>0</v>
          </cell>
          <cell r="C852">
            <v>0</v>
          </cell>
          <cell r="E852" t="e">
            <v>#N/A</v>
          </cell>
          <cell r="F852" t="e">
            <v>#N/A</v>
          </cell>
          <cell r="G852" t="e">
            <v>#N/A</v>
          </cell>
        </row>
        <row r="853">
          <cell r="A853">
            <v>42878</v>
          </cell>
          <cell r="B853" t="str">
            <v>Aluguel de automóvel VW/ Gol (flex) 1,0 ou equivalente, inclusive combustível, sem motorista</v>
          </cell>
          <cell r="C853" t="str">
            <v>mês</v>
          </cell>
          <cell r="D853">
            <v>4514.1000000000004</v>
          </cell>
          <cell r="E853">
            <v>0</v>
          </cell>
          <cell r="F853">
            <v>4514.1099999999997</v>
          </cell>
          <cell r="G853">
            <v>1.00000221528101</v>
          </cell>
        </row>
        <row r="854">
          <cell r="A854">
            <v>42888</v>
          </cell>
          <cell r="B854" t="str">
            <v>Aluguel mensal de automóvel utilitário inclusive combustível, exclusive motorista</v>
          </cell>
          <cell r="C854" t="str">
            <v>mês</v>
          </cell>
          <cell r="D854">
            <v>7025.94</v>
          </cell>
          <cell r="E854">
            <v>0</v>
          </cell>
          <cell r="F854" t="e">
            <v>#N/A</v>
          </cell>
          <cell r="G854" t="e">
            <v>#N/A</v>
          </cell>
        </row>
        <row r="855">
          <cell r="A855">
            <v>0</v>
          </cell>
          <cell r="B855">
            <v>0</v>
          </cell>
          <cell r="C855">
            <v>0</v>
          </cell>
          <cell r="E855" t="e">
            <v>#N/A</v>
          </cell>
          <cell r="F855" t="e">
            <v>#N/A</v>
          </cell>
          <cell r="G855" t="e">
            <v>#N/A</v>
          </cell>
        </row>
        <row r="856">
          <cell r="A856" t="str">
            <v>Grupo de Serviço: 15 - CONSERVAÇÃO CORRETIVA ROTINEIRA</v>
          </cell>
          <cell r="B856">
            <v>0</v>
          </cell>
          <cell r="C856">
            <v>0</v>
          </cell>
          <cell r="E856" t="e">
            <v>#N/A</v>
          </cell>
          <cell r="F856" t="e">
            <v>#N/A</v>
          </cell>
          <cell r="G856" t="e">
            <v>#N/A</v>
          </cell>
        </row>
        <row r="857">
          <cell r="A857">
            <v>40981</v>
          </cell>
          <cell r="B857" t="str">
            <v>Aplicação de jato de ar comprimido para limpeza de trincas</v>
          </cell>
          <cell r="C857" t="str">
            <v>m²</v>
          </cell>
          <cell r="D857">
            <v>1.49</v>
          </cell>
          <cell r="E857">
            <v>0</v>
          </cell>
          <cell r="F857" t="e">
            <v>#N/A</v>
          </cell>
          <cell r="G857" t="e">
            <v>#N/A</v>
          </cell>
        </row>
        <row r="858">
          <cell r="A858">
            <v>40101</v>
          </cell>
          <cell r="B858" t="str">
            <v>Arborização (mudas de árvores com altura até 1,50 m)</v>
          </cell>
          <cell r="C858" t="str">
            <v>un</v>
          </cell>
          <cell r="D858">
            <v>136.81</v>
          </cell>
          <cell r="E858">
            <v>0</v>
          </cell>
          <cell r="F858">
            <v>136.81</v>
          </cell>
          <cell r="G858">
            <v>1</v>
          </cell>
        </row>
        <row r="859">
          <cell r="A859">
            <v>40110</v>
          </cell>
          <cell r="B859" t="str">
            <v>Base de solo estabilizada granulométricamente sem mistura inclusive escavação e carga</v>
          </cell>
          <cell r="C859" t="str">
            <v>m³</v>
          </cell>
          <cell r="D859">
            <v>29.02</v>
          </cell>
          <cell r="E859">
            <v>0</v>
          </cell>
          <cell r="F859" t="e">
            <v>#N/A</v>
          </cell>
          <cell r="G859" t="e">
            <v>#N/A</v>
          </cell>
        </row>
        <row r="860">
          <cell r="A860">
            <v>40137</v>
          </cell>
          <cell r="B860" t="str">
            <v>Boca de bueiro tubular em concreto ciclópico inclusive escavação, tudo incluído</v>
          </cell>
          <cell r="C860" t="str">
            <v>un</v>
          </cell>
          <cell r="D860">
            <v>1531.2</v>
          </cell>
          <cell r="E860" t="str">
            <v>A incluir</v>
          </cell>
          <cell r="F860" t="e">
            <v>#N/A</v>
          </cell>
          <cell r="G860" t="e">
            <v>#N/A</v>
          </cell>
        </row>
        <row r="861">
          <cell r="A861">
            <v>40138</v>
          </cell>
          <cell r="B861" t="str">
            <v>Caixa coletora em concreto fck-&gt;10,0 MPa inclusive escavação, tudo incluído</v>
          </cell>
          <cell r="C861" t="str">
            <v>un</v>
          </cell>
          <cell r="D861">
            <v>2580.5</v>
          </cell>
          <cell r="E861" t="str">
            <v>A incluir</v>
          </cell>
          <cell r="F861" t="e">
            <v>#N/A</v>
          </cell>
          <cell r="G861" t="e">
            <v>#N/A</v>
          </cell>
        </row>
        <row r="862">
          <cell r="A862">
            <v>43336</v>
          </cell>
          <cell r="B862" t="str">
            <v>Capina manual inclusive, limpeza</v>
          </cell>
          <cell r="C862" t="str">
            <v>m²</v>
          </cell>
          <cell r="D862">
            <v>1.1499999999999999</v>
          </cell>
          <cell r="E862">
            <v>0</v>
          </cell>
          <cell r="F862" t="e">
            <v>#N/A</v>
          </cell>
          <cell r="G862" t="e">
            <v>#N/A</v>
          </cell>
        </row>
        <row r="863">
          <cell r="A863">
            <v>40980</v>
          </cell>
          <cell r="B863" t="str">
            <v>Carga manual de material de limpeza de galerias urbanas</v>
          </cell>
          <cell r="C863" t="str">
            <v>m³</v>
          </cell>
          <cell r="D863">
            <v>12.6</v>
          </cell>
          <cell r="E863">
            <v>0</v>
          </cell>
          <cell r="F863" t="e">
            <v>#N/A</v>
          </cell>
          <cell r="G863" t="e">
            <v>#N/A</v>
          </cell>
        </row>
        <row r="864">
          <cell r="A864">
            <v>40115</v>
          </cell>
          <cell r="B864" t="str">
            <v>CBUQ - Usinagem, aquisição e transporte dos materiais</v>
          </cell>
          <cell r="C864" t="str">
            <v>t</v>
          </cell>
          <cell r="D864">
            <v>256.43</v>
          </cell>
          <cell r="E864" t="str">
            <v>A incluir</v>
          </cell>
          <cell r="F864" t="e">
            <v>#N/A</v>
          </cell>
          <cell r="G864" t="e">
            <v>#N/A</v>
          </cell>
        </row>
        <row r="865">
          <cell r="A865">
            <v>40104</v>
          </cell>
          <cell r="B865" t="str">
            <v>Cerca com mourões de madeira, inclusive escavação e transporte de mourão e arame farpado</v>
          </cell>
          <cell r="C865" t="str">
            <v>m</v>
          </cell>
          <cell r="D865">
            <v>15.94</v>
          </cell>
          <cell r="E865" t="str">
            <v>A incluir</v>
          </cell>
          <cell r="F865" t="e">
            <v>#N/A</v>
          </cell>
          <cell r="G865" t="e">
            <v>#N/A</v>
          </cell>
        </row>
        <row r="866">
          <cell r="A866">
            <v>40143</v>
          </cell>
          <cell r="B866" t="str">
            <v>Colchão drenante de brita 1, inclusive fornecimento, espalhamento, compactação e transporte da brita</v>
          </cell>
          <cell r="C866" t="str">
            <v>m³</v>
          </cell>
          <cell r="D866">
            <v>101.29</v>
          </cell>
          <cell r="E866" t="str">
            <v>A incluir</v>
          </cell>
          <cell r="F866" t="e">
            <v>#N/A</v>
          </cell>
          <cell r="G866" t="e">
            <v>#N/A</v>
          </cell>
        </row>
        <row r="867">
          <cell r="A867">
            <v>40107</v>
          </cell>
          <cell r="B867" t="str">
            <v>Compactação de aterros 100% PN</v>
          </cell>
          <cell r="C867" t="str">
            <v>m³</v>
          </cell>
          <cell r="D867">
            <v>4.88</v>
          </cell>
          <cell r="E867">
            <v>0</v>
          </cell>
          <cell r="F867" t="e">
            <v>#N/A</v>
          </cell>
          <cell r="G867" t="e">
            <v>#N/A</v>
          </cell>
        </row>
        <row r="868">
          <cell r="A868">
            <v>40108</v>
          </cell>
          <cell r="B868" t="str">
            <v>Compactação de subleito</v>
          </cell>
          <cell r="C868" t="str">
            <v>m²</v>
          </cell>
          <cell r="D868">
            <v>2.37</v>
          </cell>
          <cell r="E868">
            <v>0</v>
          </cell>
          <cell r="F868" t="e">
            <v>#N/A</v>
          </cell>
          <cell r="G868" t="e">
            <v>#N/A</v>
          </cell>
        </row>
        <row r="869">
          <cell r="A869">
            <v>40081</v>
          </cell>
          <cell r="B869" t="str">
            <v>Conformação de taludes de corte</v>
          </cell>
          <cell r="C869" t="str">
            <v>m³</v>
          </cell>
          <cell r="D869">
            <v>8.16</v>
          </cell>
          <cell r="E869">
            <v>0</v>
          </cell>
          <cell r="F869" t="e">
            <v>#N/A</v>
          </cell>
          <cell r="G869" t="e">
            <v>#N/A</v>
          </cell>
        </row>
        <row r="870">
          <cell r="A870">
            <v>40136</v>
          </cell>
          <cell r="B870" t="str">
            <v>Corpo e berço de bueiro tubular, inclusive transporte do tubo</v>
          </cell>
          <cell r="C870" t="str">
            <v>m</v>
          </cell>
          <cell r="D870">
            <v>469.42</v>
          </cell>
          <cell r="E870" t="str">
            <v>A incluir</v>
          </cell>
          <cell r="F870" t="e">
            <v>#N/A</v>
          </cell>
          <cell r="G870" t="e">
            <v>#N/A</v>
          </cell>
        </row>
        <row r="871">
          <cell r="A871">
            <v>40096</v>
          </cell>
          <cell r="B871" t="str">
            <v>Defensas metálicas (espessura lâminas -&gt; 3 mm), inclusive fornecimento de materiais, substituição</v>
          </cell>
          <cell r="C871" t="str">
            <v>m</v>
          </cell>
          <cell r="D871">
            <v>320.83999999999997</v>
          </cell>
          <cell r="E871">
            <v>0</v>
          </cell>
          <cell r="F871" t="e">
            <v>#N/A</v>
          </cell>
          <cell r="G871" t="e">
            <v>#N/A</v>
          </cell>
        </row>
        <row r="872">
          <cell r="A872">
            <v>40134</v>
          </cell>
          <cell r="B872" t="str">
            <v>Demolição e remoção de estrutura de pavimento inclusive capa asfáltica</v>
          </cell>
          <cell r="C872" t="str">
            <v>m²</v>
          </cell>
          <cell r="D872">
            <v>4.3600000000000003</v>
          </cell>
          <cell r="E872">
            <v>0</v>
          </cell>
          <cell r="F872" t="e">
            <v>#N/A</v>
          </cell>
          <cell r="G872" t="e">
            <v>#N/A</v>
          </cell>
        </row>
        <row r="873">
          <cell r="A873">
            <v>40105</v>
          </cell>
          <cell r="B873" t="str">
            <v>Desmatamento, destocamento e limpeza</v>
          </cell>
          <cell r="C873" t="str">
            <v>m²</v>
          </cell>
          <cell r="D873">
            <v>0.56999999999999995</v>
          </cell>
          <cell r="E873">
            <v>0</v>
          </cell>
          <cell r="F873" t="e">
            <v>#N/A</v>
          </cell>
          <cell r="G873" t="e">
            <v>#N/A</v>
          </cell>
        </row>
        <row r="874">
          <cell r="A874">
            <v>40084</v>
          </cell>
          <cell r="B874" t="str">
            <v>Desobstrução manual de valetas</v>
          </cell>
          <cell r="C874" t="str">
            <v>m</v>
          </cell>
          <cell r="D874">
            <v>1.42</v>
          </cell>
          <cell r="E874">
            <v>0</v>
          </cell>
          <cell r="F874" t="e">
            <v>#N/A</v>
          </cell>
          <cell r="G874" t="e">
            <v>#N/A</v>
          </cell>
        </row>
        <row r="875">
          <cell r="A875">
            <v>40144</v>
          </cell>
          <cell r="B875" t="str">
            <v>Dreno profundo D-&gt;0,20 m com enchimento brita e areia, tudo incluído</v>
          </cell>
          <cell r="C875" t="str">
            <v>m</v>
          </cell>
          <cell r="D875">
            <v>134.11000000000001</v>
          </cell>
          <cell r="E875" t="str">
            <v>A incluir</v>
          </cell>
          <cell r="F875" t="e">
            <v>#N/A</v>
          </cell>
          <cell r="G875" t="e">
            <v>#N/A</v>
          </cell>
        </row>
        <row r="876">
          <cell r="A876">
            <v>40106</v>
          </cell>
          <cell r="B876" t="str">
            <v>Escavação, carga e transporte de material de 1º categoria</v>
          </cell>
          <cell r="C876" t="str">
            <v>m³</v>
          </cell>
          <cell r="D876">
            <v>9.33</v>
          </cell>
          <cell r="E876" t="str">
            <v>A incluir</v>
          </cell>
          <cell r="F876" t="e">
            <v>#N/A</v>
          </cell>
          <cell r="G876" t="e">
            <v>#N/A</v>
          </cell>
        </row>
        <row r="877">
          <cell r="A877">
            <v>40135</v>
          </cell>
          <cell r="B877" t="str">
            <v>Fresagem de pavimento asfáltico à frio, inclusive transporte do material</v>
          </cell>
          <cell r="C877" t="str">
            <v>m²</v>
          </cell>
          <cell r="D877">
            <v>10.78</v>
          </cell>
          <cell r="E877">
            <v>0</v>
          </cell>
          <cell r="F877" t="e">
            <v>#N/A</v>
          </cell>
          <cell r="G877" t="e">
            <v>#N/A</v>
          </cell>
        </row>
        <row r="878">
          <cell r="A878">
            <v>40111</v>
          </cell>
          <cell r="B878" t="str">
            <v>Imprimação inclusive fornecimento e transporte do CM-30</v>
          </cell>
          <cell r="C878" t="str">
            <v>m²</v>
          </cell>
          <cell r="D878">
            <v>5.83</v>
          </cell>
          <cell r="E878" t="str">
            <v>A incluir</v>
          </cell>
          <cell r="F878" t="e">
            <v>#N/A</v>
          </cell>
          <cell r="G878" t="e">
            <v>#N/A</v>
          </cell>
        </row>
        <row r="879">
          <cell r="A879">
            <v>40126</v>
          </cell>
          <cell r="B879" t="str">
            <v>Lama asfáltica (faixa I - ISSA) (tudo incluído)</v>
          </cell>
          <cell r="C879" t="str">
            <v>m²</v>
          </cell>
          <cell r="D879">
            <v>3.05</v>
          </cell>
          <cell r="E879" t="str">
            <v>A incluir</v>
          </cell>
          <cell r="F879" t="e">
            <v>#N/A</v>
          </cell>
          <cell r="G879" t="e">
            <v>#N/A</v>
          </cell>
        </row>
        <row r="880">
          <cell r="A880">
            <v>40127</v>
          </cell>
          <cell r="B880" t="str">
            <v>Lama asfáltica (faixa II - ISSA) (tudo incluído)</v>
          </cell>
          <cell r="C880" t="str">
            <v>m²</v>
          </cell>
          <cell r="D880">
            <v>4.13</v>
          </cell>
          <cell r="E880" t="str">
            <v>A incluir</v>
          </cell>
          <cell r="F880" t="e">
            <v>#N/A</v>
          </cell>
          <cell r="G880" t="e">
            <v>#N/A</v>
          </cell>
        </row>
        <row r="881">
          <cell r="A881">
            <v>40128</v>
          </cell>
          <cell r="B881" t="str">
            <v>Lama asfáltica (faixa III - ISSA) (tudo incluído)</v>
          </cell>
          <cell r="C881" t="str">
            <v>m²</v>
          </cell>
          <cell r="D881">
            <v>5.37</v>
          </cell>
          <cell r="E881" t="str">
            <v>A incluir</v>
          </cell>
          <cell r="F881" t="e">
            <v>#N/A</v>
          </cell>
          <cell r="G881" t="e">
            <v>#N/A</v>
          </cell>
        </row>
        <row r="882">
          <cell r="A882">
            <v>40129</v>
          </cell>
          <cell r="B882" t="str">
            <v>Lama asfáltica (faixa IV - ISSA) (tudo incluído)</v>
          </cell>
          <cell r="C882" t="str">
            <v>m²</v>
          </cell>
          <cell r="D882">
            <v>7.14</v>
          </cell>
          <cell r="E882" t="str">
            <v>A incluir</v>
          </cell>
          <cell r="F882" t="e">
            <v>#N/A</v>
          </cell>
          <cell r="G882" t="e">
            <v>#N/A</v>
          </cell>
        </row>
        <row r="883">
          <cell r="A883">
            <v>40085</v>
          </cell>
          <cell r="B883" t="str">
            <v>Limpeza de sarjeta e meio-fio</v>
          </cell>
          <cell r="C883" t="str">
            <v>m</v>
          </cell>
          <cell r="D883">
            <v>1.06</v>
          </cell>
          <cell r="E883">
            <v>0</v>
          </cell>
          <cell r="F883" t="e">
            <v>#N/A</v>
          </cell>
          <cell r="G883" t="e">
            <v>#N/A</v>
          </cell>
        </row>
        <row r="884">
          <cell r="A884">
            <v>40086</v>
          </cell>
          <cell r="B884" t="str">
            <v>Limpeza e desobstrução de bueiros</v>
          </cell>
          <cell r="C884" t="str">
            <v>m</v>
          </cell>
          <cell r="D884">
            <v>24.4</v>
          </cell>
          <cell r="E884">
            <v>0</v>
          </cell>
          <cell r="F884" t="e">
            <v>#N/A</v>
          </cell>
          <cell r="G884" t="e">
            <v>#N/A</v>
          </cell>
        </row>
        <row r="885">
          <cell r="A885">
            <v>40087</v>
          </cell>
          <cell r="B885" t="str">
            <v>Limpeza e desobstrução de caixa coletora</v>
          </cell>
          <cell r="C885" t="str">
            <v>un</v>
          </cell>
          <cell r="D885">
            <v>91.24</v>
          </cell>
          <cell r="E885">
            <v>0</v>
          </cell>
          <cell r="F885" t="e">
            <v>#N/A</v>
          </cell>
          <cell r="G885" t="e">
            <v>#N/A</v>
          </cell>
        </row>
        <row r="886">
          <cell r="A886">
            <v>40983</v>
          </cell>
          <cell r="B886" t="str">
            <v>Limpeza e desobstrução de rede de drenagem, utilizando caminhão equipado com conjunto de alta pressão e sucção</v>
          </cell>
          <cell r="C886" t="str">
            <v>m</v>
          </cell>
          <cell r="D886">
            <v>7.77</v>
          </cell>
          <cell r="E886">
            <v>0</v>
          </cell>
          <cell r="F886" t="e">
            <v>#N/A</v>
          </cell>
          <cell r="G886" t="e">
            <v>#N/A</v>
          </cell>
        </row>
        <row r="887">
          <cell r="A887">
            <v>40100</v>
          </cell>
          <cell r="B887" t="str">
            <v>Limpeza e pintura de guarda-corpo</v>
          </cell>
          <cell r="C887" t="str">
            <v>m</v>
          </cell>
          <cell r="D887">
            <v>74.430000000000007</v>
          </cell>
          <cell r="E887">
            <v>0</v>
          </cell>
          <cell r="F887" t="e">
            <v>#N/A</v>
          </cell>
          <cell r="G887" t="e">
            <v>#N/A</v>
          </cell>
        </row>
        <row r="888">
          <cell r="A888">
            <v>40141</v>
          </cell>
          <cell r="B888" t="str">
            <v>Meio-fio pré-moldado em concreto, inclusive caiação e transporte do meio-fio</v>
          </cell>
          <cell r="C888" t="str">
            <v>m</v>
          </cell>
          <cell r="D888">
            <v>48.02</v>
          </cell>
          <cell r="E888" t="str">
            <v>A incluir</v>
          </cell>
          <cell r="F888" t="e">
            <v>#N/A</v>
          </cell>
          <cell r="G888" t="e">
            <v>#N/A</v>
          </cell>
        </row>
        <row r="889">
          <cell r="A889">
            <v>40118</v>
          </cell>
          <cell r="B889" t="str">
            <v>Obturação de buracos com CBUQ (tudo incluído)</v>
          </cell>
          <cell r="C889" t="str">
            <v>m²</v>
          </cell>
          <cell r="D889">
            <v>60.07</v>
          </cell>
          <cell r="E889" t="str">
            <v>A incluir</v>
          </cell>
          <cell r="F889" t="e">
            <v>#N/A</v>
          </cell>
          <cell r="G889" t="e">
            <v>#N/A</v>
          </cell>
        </row>
        <row r="890">
          <cell r="A890">
            <v>40116</v>
          </cell>
          <cell r="B890" t="str">
            <v>Obturação de buracos com PMF (tudo incluído)</v>
          </cell>
          <cell r="C890" t="str">
            <v>m²</v>
          </cell>
          <cell r="D890">
            <v>54.06</v>
          </cell>
          <cell r="E890" t="str">
            <v>A incluir</v>
          </cell>
          <cell r="F890" t="e">
            <v>#N/A</v>
          </cell>
          <cell r="G890" t="e">
            <v>#N/A</v>
          </cell>
        </row>
        <row r="891">
          <cell r="A891">
            <v>40117</v>
          </cell>
          <cell r="B891" t="str">
            <v>Obturação de buracos com PMF usinado pelo DER-ES (tudo incluído)</v>
          </cell>
          <cell r="C891" t="str">
            <v>m²</v>
          </cell>
          <cell r="D891">
            <v>35.57</v>
          </cell>
          <cell r="E891" t="str">
            <v>A incluir</v>
          </cell>
          <cell r="F891" t="e">
            <v>#N/A</v>
          </cell>
          <cell r="G891" t="e">
            <v>#N/A</v>
          </cell>
        </row>
        <row r="892">
          <cell r="A892">
            <v>40148</v>
          </cell>
          <cell r="B892" t="str">
            <v>Pintura de dispositivos de drenagem</v>
          </cell>
          <cell r="C892" t="str">
            <v>m</v>
          </cell>
          <cell r="D892">
            <v>2.48</v>
          </cell>
          <cell r="E892">
            <v>0</v>
          </cell>
          <cell r="F892" t="e">
            <v>#N/A</v>
          </cell>
          <cell r="G892" t="e">
            <v>#N/A</v>
          </cell>
        </row>
        <row r="893">
          <cell r="A893">
            <v>40112</v>
          </cell>
          <cell r="B893" t="str">
            <v>Pintura de ligação, inclusive fornecimento e transporte da emulsão</v>
          </cell>
          <cell r="C893" t="str">
            <v>m²</v>
          </cell>
          <cell r="D893">
            <v>1.95</v>
          </cell>
          <cell r="E893" t="str">
            <v>A incluir</v>
          </cell>
          <cell r="F893" t="e">
            <v>#N/A</v>
          </cell>
          <cell r="G893" t="e">
            <v>#N/A</v>
          </cell>
        </row>
        <row r="894">
          <cell r="A894">
            <v>40149</v>
          </cell>
          <cell r="B894" t="str">
            <v>Pintura de pontes a base de cal</v>
          </cell>
          <cell r="C894" t="str">
            <v>m²</v>
          </cell>
          <cell r="D894">
            <v>5.12</v>
          </cell>
          <cell r="E894">
            <v>0</v>
          </cell>
          <cell r="F894" t="e">
            <v>#N/A</v>
          </cell>
          <cell r="G894" t="e">
            <v>#N/A</v>
          </cell>
        </row>
        <row r="895">
          <cell r="A895">
            <v>40094</v>
          </cell>
          <cell r="B895" t="str">
            <v>Placas de sinalização, assentamento</v>
          </cell>
          <cell r="C895" t="str">
            <v>m²</v>
          </cell>
          <cell r="D895">
            <v>73.33</v>
          </cell>
          <cell r="E895">
            <v>0</v>
          </cell>
          <cell r="F895" t="e">
            <v>#N/A</v>
          </cell>
          <cell r="G895" t="e">
            <v>#N/A</v>
          </cell>
        </row>
        <row r="896">
          <cell r="A896">
            <v>40095</v>
          </cell>
          <cell r="B896" t="str">
            <v>Placas de sinalização, inclusive materiais, substituição</v>
          </cell>
          <cell r="C896" t="str">
            <v>m²</v>
          </cell>
          <cell r="D896">
            <v>506.89</v>
          </cell>
          <cell r="E896" t="str">
            <v>A incluir</v>
          </cell>
          <cell r="F896" t="e">
            <v>#N/A</v>
          </cell>
          <cell r="G896" t="e">
            <v>#N/A</v>
          </cell>
        </row>
        <row r="897">
          <cell r="A897">
            <v>40114</v>
          </cell>
          <cell r="B897" t="str">
            <v>PMF - Usinagem, aquisição e transportes dos materiais</v>
          </cell>
          <cell r="C897" t="str">
            <v>t</v>
          </cell>
          <cell r="D897">
            <v>210.33</v>
          </cell>
          <cell r="E897" t="str">
            <v>A incluir</v>
          </cell>
          <cell r="F897" t="e">
            <v>#N/A</v>
          </cell>
          <cell r="G897" t="e">
            <v>#N/A</v>
          </cell>
        </row>
        <row r="898">
          <cell r="A898">
            <v>40130</v>
          </cell>
          <cell r="B898" t="str">
            <v>Recomposição de revestimento c/ CBUQ - Inclusive fornecimento e transporte dos materiais</v>
          </cell>
          <cell r="C898" t="str">
            <v>t</v>
          </cell>
          <cell r="D898">
            <v>275.67</v>
          </cell>
          <cell r="E898" t="str">
            <v>A incluir</v>
          </cell>
          <cell r="F898" t="e">
            <v>#N/A</v>
          </cell>
          <cell r="G898" t="e">
            <v>#N/A</v>
          </cell>
        </row>
        <row r="899">
          <cell r="A899">
            <v>40131</v>
          </cell>
          <cell r="B899" t="str">
            <v>Recomposição de revestimento c/ PMF - Inclusive fornecimento e transporte dos materiais</v>
          </cell>
          <cell r="C899" t="str">
            <v>t</v>
          </cell>
          <cell r="D899">
            <v>227.65</v>
          </cell>
          <cell r="E899" t="str">
            <v>A incluir</v>
          </cell>
          <cell r="F899" t="e">
            <v>#N/A</v>
          </cell>
          <cell r="G899" t="e">
            <v>#N/A</v>
          </cell>
        </row>
        <row r="900">
          <cell r="A900">
            <v>40083</v>
          </cell>
          <cell r="B900" t="str">
            <v>Recomposição de revestimento primário (tudo incluído)</v>
          </cell>
          <cell r="C900" t="str">
            <v>m²</v>
          </cell>
          <cell r="D900">
            <v>2.2999999999999998</v>
          </cell>
          <cell r="E900" t="str">
            <v>A incluir</v>
          </cell>
          <cell r="F900" t="e">
            <v>#N/A</v>
          </cell>
          <cell r="G900" t="e">
            <v>#N/A</v>
          </cell>
        </row>
        <row r="901">
          <cell r="A901">
            <v>40079</v>
          </cell>
          <cell r="B901" t="str">
            <v>Recomposição mecânica de aterros</v>
          </cell>
          <cell r="C901" t="str">
            <v>m³</v>
          </cell>
          <cell r="D901">
            <v>20.61</v>
          </cell>
          <cell r="E901" t="str">
            <v>A incluir</v>
          </cell>
          <cell r="F901" t="e">
            <v>#N/A</v>
          </cell>
          <cell r="G901" t="e">
            <v>#N/A</v>
          </cell>
        </row>
        <row r="902">
          <cell r="A902">
            <v>40082</v>
          </cell>
          <cell r="B902" t="str">
            <v>Reconformação mecânica de plataforma (patrolamento)</v>
          </cell>
          <cell r="C902" t="str">
            <v>m²</v>
          </cell>
          <cell r="D902">
            <v>0.09</v>
          </cell>
          <cell r="E902">
            <v>0</v>
          </cell>
          <cell r="F902" t="e">
            <v>#N/A</v>
          </cell>
          <cell r="G902" t="e">
            <v>#N/A</v>
          </cell>
        </row>
        <row r="903">
          <cell r="A903">
            <v>40119</v>
          </cell>
          <cell r="B903" t="str">
            <v>Remendo com massa asfáltica fria (tudo incluído)</v>
          </cell>
          <cell r="C903" t="str">
            <v>m²</v>
          </cell>
          <cell r="D903">
            <v>28.06</v>
          </cell>
          <cell r="E903" t="str">
            <v>A incluir</v>
          </cell>
          <cell r="F903" t="e">
            <v>#N/A</v>
          </cell>
          <cell r="G903" t="e">
            <v>#N/A</v>
          </cell>
        </row>
        <row r="904">
          <cell r="A904">
            <v>40122</v>
          </cell>
          <cell r="B904" t="str">
            <v>Remendo com massa asfáltica fria (tudo incluído)</v>
          </cell>
          <cell r="C904" t="str">
            <v>t</v>
          </cell>
          <cell r="D904">
            <v>319.47000000000003</v>
          </cell>
          <cell r="E904" t="str">
            <v>A incluir</v>
          </cell>
          <cell r="F904" t="e">
            <v>#N/A</v>
          </cell>
          <cell r="G904" t="e">
            <v>#N/A</v>
          </cell>
        </row>
        <row r="905">
          <cell r="A905">
            <v>40120</v>
          </cell>
          <cell r="B905" t="str">
            <v>Remendo com massa asfáltica fria usinada pelo DER-ES (tudo incluído)</v>
          </cell>
          <cell r="C905" t="str">
            <v>m²</v>
          </cell>
          <cell r="D905">
            <v>9.56</v>
          </cell>
          <cell r="E905" t="str">
            <v>A incluir</v>
          </cell>
          <cell r="F905" t="e">
            <v>#N/A</v>
          </cell>
          <cell r="G905" t="e">
            <v>#N/A</v>
          </cell>
        </row>
        <row r="906">
          <cell r="A906">
            <v>40121</v>
          </cell>
          <cell r="B906" t="str">
            <v>Remendo com massa asfáltica quente (tudo incluído)</v>
          </cell>
          <cell r="C906" t="str">
            <v>m²</v>
          </cell>
          <cell r="D906">
            <v>34.06</v>
          </cell>
          <cell r="E906" t="str">
            <v>A incluir</v>
          </cell>
          <cell r="F906" t="e">
            <v>#N/A</v>
          </cell>
          <cell r="G906" t="e">
            <v>#N/A</v>
          </cell>
        </row>
        <row r="907">
          <cell r="A907">
            <v>40123</v>
          </cell>
          <cell r="B907" t="str">
            <v>Remendo com massa asfáltica quente (tudo incluído)</v>
          </cell>
          <cell r="C907" t="str">
            <v>t</v>
          </cell>
          <cell r="D907">
            <v>360.9</v>
          </cell>
          <cell r="E907" t="str">
            <v>A incluir</v>
          </cell>
          <cell r="F907" t="e">
            <v>#N/A</v>
          </cell>
          <cell r="G907" t="e">
            <v>#N/A</v>
          </cell>
        </row>
        <row r="908">
          <cell r="A908">
            <v>40080</v>
          </cell>
          <cell r="B908" t="str">
            <v>Remoção mecânica de barreiras</v>
          </cell>
          <cell r="C908" t="str">
            <v>m³</v>
          </cell>
          <cell r="D908">
            <v>1.47</v>
          </cell>
          <cell r="E908" t="str">
            <v>A incluir</v>
          </cell>
          <cell r="F908" t="e">
            <v>#N/A</v>
          </cell>
          <cell r="G908" t="e">
            <v>#N/A</v>
          </cell>
        </row>
        <row r="909">
          <cell r="A909">
            <v>40089</v>
          </cell>
          <cell r="B909" t="str">
            <v>Reparo de bueiros celulares (inclusive boca)</v>
          </cell>
          <cell r="C909" t="str">
            <v>un</v>
          </cell>
          <cell r="D909">
            <v>1715.38</v>
          </cell>
          <cell r="E909" t="str">
            <v>A incluir</v>
          </cell>
          <cell r="F909" t="e">
            <v>#N/A</v>
          </cell>
          <cell r="G909" t="e">
            <v>#N/A</v>
          </cell>
        </row>
        <row r="910">
          <cell r="A910">
            <v>40088</v>
          </cell>
          <cell r="B910" t="str">
            <v>Reparo de bueiros tubulares</v>
          </cell>
          <cell r="C910" t="str">
            <v>un</v>
          </cell>
          <cell r="D910">
            <v>693.8</v>
          </cell>
          <cell r="E910" t="str">
            <v>A incluir</v>
          </cell>
          <cell r="F910" t="e">
            <v>#N/A</v>
          </cell>
          <cell r="G910" t="e">
            <v>#N/A</v>
          </cell>
        </row>
        <row r="911">
          <cell r="A911">
            <v>40092</v>
          </cell>
          <cell r="B911" t="str">
            <v>Reparo de caixa coletora</v>
          </cell>
          <cell r="C911" t="str">
            <v>un</v>
          </cell>
          <cell r="D911">
            <v>273.51</v>
          </cell>
          <cell r="E911" t="str">
            <v>A incluir</v>
          </cell>
          <cell r="F911" t="e">
            <v>#N/A</v>
          </cell>
          <cell r="G911" t="e">
            <v>#N/A</v>
          </cell>
        </row>
        <row r="912">
          <cell r="A912">
            <v>40078</v>
          </cell>
          <cell r="B912" t="str">
            <v>Reparo de cerca ( substituição de mourões, grampo e arame farpado), inclusive transportes de todos os materiais</v>
          </cell>
          <cell r="C912" t="str">
            <v>m</v>
          </cell>
          <cell r="D912">
            <v>7.09</v>
          </cell>
          <cell r="E912" t="str">
            <v>A incluir</v>
          </cell>
          <cell r="F912" t="e">
            <v>#N/A</v>
          </cell>
          <cell r="G912" t="e">
            <v>#N/A</v>
          </cell>
        </row>
        <row r="913">
          <cell r="A913">
            <v>40097</v>
          </cell>
          <cell r="B913" t="str">
            <v>Reparo de guarda-corpo</v>
          </cell>
          <cell r="C913" t="str">
            <v>m</v>
          </cell>
          <cell r="D913">
            <v>105.35</v>
          </cell>
          <cell r="E913">
            <v>0</v>
          </cell>
          <cell r="F913" t="e">
            <v>#N/A</v>
          </cell>
          <cell r="G913" t="e">
            <v>#N/A</v>
          </cell>
        </row>
        <row r="914">
          <cell r="A914">
            <v>40090</v>
          </cell>
          <cell r="B914" t="str">
            <v>Reparo de meio-fio, inclusive caiação</v>
          </cell>
          <cell r="C914" t="str">
            <v>m</v>
          </cell>
          <cell r="D914">
            <v>27.93</v>
          </cell>
          <cell r="E914" t="str">
            <v>A incluir</v>
          </cell>
          <cell r="F914" t="e">
            <v>#N/A</v>
          </cell>
          <cell r="G914" t="e">
            <v>#N/A</v>
          </cell>
        </row>
        <row r="915">
          <cell r="A915">
            <v>40099</v>
          </cell>
          <cell r="B915" t="str">
            <v>Reparo de muros de arrimo</v>
          </cell>
          <cell r="C915" t="str">
            <v>m³</v>
          </cell>
          <cell r="D915">
            <v>676.86</v>
          </cell>
          <cell r="E915" t="str">
            <v>A incluir</v>
          </cell>
          <cell r="F915" t="e">
            <v>#N/A</v>
          </cell>
          <cell r="G915" t="e">
            <v>#N/A</v>
          </cell>
        </row>
        <row r="916">
          <cell r="A916">
            <v>40091</v>
          </cell>
          <cell r="B916" t="str">
            <v>Reparo de sarjeta, inclusive caiação</v>
          </cell>
          <cell r="C916" t="str">
            <v>m</v>
          </cell>
          <cell r="D916">
            <v>37.76</v>
          </cell>
          <cell r="E916" t="str">
            <v>A incluir</v>
          </cell>
          <cell r="F916" t="e">
            <v>#N/A</v>
          </cell>
          <cell r="G916" t="e">
            <v>#N/A</v>
          </cell>
        </row>
        <row r="917">
          <cell r="A917">
            <v>40093</v>
          </cell>
          <cell r="B917" t="str">
            <v>Retirada de placas de sinalização</v>
          </cell>
          <cell r="C917" t="str">
            <v>m²</v>
          </cell>
          <cell r="D917">
            <v>66.75</v>
          </cell>
          <cell r="E917">
            <v>0</v>
          </cell>
          <cell r="F917" t="e">
            <v>#N/A</v>
          </cell>
          <cell r="G917" t="e">
            <v>#N/A</v>
          </cell>
        </row>
        <row r="918">
          <cell r="A918">
            <v>43353</v>
          </cell>
          <cell r="B918" t="str">
            <v>Roçada manual com roçadeira costal, ferramentas manuais, inclusive limpeza e remoção com retroescavadeira (conservação)</v>
          </cell>
          <cell r="C918" t="str">
            <v>m²</v>
          </cell>
          <cell r="D918">
            <v>0.57999999999999996</v>
          </cell>
          <cell r="E918">
            <v>0</v>
          </cell>
          <cell r="F918" t="e">
            <v>#N/A</v>
          </cell>
          <cell r="G918" t="e">
            <v>#N/A</v>
          </cell>
        </row>
        <row r="919">
          <cell r="A919">
            <v>43337</v>
          </cell>
          <cell r="B919" t="str">
            <v>Roçada manual com roçadeira costal, ferramentas manuais, inclusive limpeza manual (conservação)</v>
          </cell>
          <cell r="C919" t="str">
            <v>m²</v>
          </cell>
          <cell r="D919">
            <v>0.5</v>
          </cell>
          <cell r="E919">
            <v>0</v>
          </cell>
          <cell r="F919" t="e">
            <v>#N/A</v>
          </cell>
          <cell r="G919" t="e">
            <v>#N/A</v>
          </cell>
        </row>
        <row r="920">
          <cell r="A920">
            <v>40077</v>
          </cell>
          <cell r="B920" t="str">
            <v>Roçada mecanizada</v>
          </cell>
          <cell r="C920" t="str">
            <v>m²</v>
          </cell>
          <cell r="D920">
            <v>0.18</v>
          </cell>
          <cell r="E920">
            <v>0</v>
          </cell>
          <cell r="F920" t="e">
            <v>#N/A</v>
          </cell>
          <cell r="G920" t="e">
            <v>#N/A</v>
          </cell>
        </row>
        <row r="921">
          <cell r="A921">
            <v>40142</v>
          </cell>
          <cell r="B921" t="str">
            <v>Sarjeta em concreto fck-&gt;10,0 MPa inclusive caiação, tudo incluído</v>
          </cell>
          <cell r="C921" t="str">
            <v>m</v>
          </cell>
          <cell r="D921">
            <v>87.26</v>
          </cell>
          <cell r="E921" t="str">
            <v>A incluir</v>
          </cell>
          <cell r="F921" t="e">
            <v>#N/A</v>
          </cell>
          <cell r="G921" t="e">
            <v>#N/A</v>
          </cell>
        </row>
        <row r="922">
          <cell r="A922">
            <v>40124</v>
          </cell>
          <cell r="B922" t="str">
            <v>Selagem de trincas, inclusive transporte de areia e emulsão</v>
          </cell>
          <cell r="C922" t="str">
            <v>m²</v>
          </cell>
          <cell r="D922">
            <v>7.86</v>
          </cell>
          <cell r="E922" t="str">
            <v>A incluir</v>
          </cell>
          <cell r="F922" t="e">
            <v>#N/A</v>
          </cell>
          <cell r="G922" t="e">
            <v>#N/A</v>
          </cell>
        </row>
        <row r="923">
          <cell r="A923">
            <v>40146</v>
          </cell>
          <cell r="B923" t="str">
            <v>Sinalização horizontal - taxa 0,6 l/m², tudo incluído</v>
          </cell>
          <cell r="C923" t="str">
            <v>m²</v>
          </cell>
          <cell r="D923">
            <v>15.91</v>
          </cell>
          <cell r="E923" t="str">
            <v>A incluir</v>
          </cell>
          <cell r="F923" t="e">
            <v>#N/A</v>
          </cell>
          <cell r="G923" t="e">
            <v>#N/A</v>
          </cell>
        </row>
        <row r="924">
          <cell r="A924">
            <v>40145</v>
          </cell>
          <cell r="B924" t="str">
            <v>Sinalização vertical, inclusive transporte de placa sinalização e madeira</v>
          </cell>
          <cell r="C924" t="str">
            <v>m²</v>
          </cell>
          <cell r="D924">
            <v>429.85</v>
          </cell>
          <cell r="E924" t="str">
            <v>A incluir</v>
          </cell>
          <cell r="F924" t="e">
            <v>#N/A</v>
          </cell>
          <cell r="G924" t="e">
            <v>#N/A</v>
          </cell>
        </row>
        <row r="925">
          <cell r="A925">
            <v>40109</v>
          </cell>
          <cell r="B925" t="str">
            <v>Sub-base de solo estabilizada granulométricamente sem mistura inclusive escavação e carga</v>
          </cell>
          <cell r="C925" t="str">
            <v>m³</v>
          </cell>
          <cell r="D925">
            <v>25.53</v>
          </cell>
          <cell r="E925">
            <v>0</v>
          </cell>
          <cell r="F925" t="e">
            <v>#N/A</v>
          </cell>
          <cell r="G925" t="e">
            <v>#N/A</v>
          </cell>
        </row>
        <row r="926">
          <cell r="A926">
            <v>40125</v>
          </cell>
          <cell r="B926" t="str">
            <v>Tapa-panela, inclusive transporte de material de 1ª categoria</v>
          </cell>
          <cell r="C926" t="str">
            <v>m²</v>
          </cell>
          <cell r="D926">
            <v>10.46</v>
          </cell>
          <cell r="E926" t="str">
            <v>A incluir</v>
          </cell>
          <cell r="F926" t="e">
            <v>#N/A</v>
          </cell>
          <cell r="G926" t="e">
            <v>#N/A</v>
          </cell>
        </row>
        <row r="927">
          <cell r="A927">
            <v>40113</v>
          </cell>
          <cell r="B927" t="str">
            <v>TSD - Tratamento superficial duplo incl. transporte dos materiais</v>
          </cell>
          <cell r="C927" t="str">
            <v>m²</v>
          </cell>
          <cell r="D927">
            <v>12.65</v>
          </cell>
          <cell r="E927" t="str">
            <v>A incluir</v>
          </cell>
          <cell r="F927" t="e">
            <v>#N/A</v>
          </cell>
          <cell r="G927" t="e">
            <v>#N/A</v>
          </cell>
        </row>
        <row r="928">
          <cell r="A928">
            <v>40140</v>
          </cell>
          <cell r="B928" t="str">
            <v>Valeta em concreto fck-&gt;10,0 MPa, tudo incluído</v>
          </cell>
          <cell r="C928" t="str">
            <v>m</v>
          </cell>
          <cell r="D928">
            <v>89.39</v>
          </cell>
          <cell r="E928" t="str">
            <v>A incluir</v>
          </cell>
          <cell r="F928" t="e">
            <v>#N/A</v>
          </cell>
          <cell r="G928" t="e">
            <v>#N/A</v>
          </cell>
        </row>
        <row r="929">
          <cell r="A929">
            <v>40139</v>
          </cell>
          <cell r="B929" t="str">
            <v>Valeta não revestida</v>
          </cell>
          <cell r="C929" t="str">
            <v>m</v>
          </cell>
          <cell r="D929">
            <v>8.86</v>
          </cell>
          <cell r="E929">
            <v>0</v>
          </cell>
          <cell r="F929" t="e">
            <v>#N/A</v>
          </cell>
          <cell r="G929" t="e">
            <v>#N/A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e">
            <v>#N/A</v>
          </cell>
          <cell r="F930" t="e">
            <v>#N/A</v>
          </cell>
        </row>
        <row r="931">
          <cell r="A931" t="str">
            <v>Grupo de Serviço: 18 - ALUGUEL DE EQUIPAMENTOS</v>
          </cell>
          <cell r="B931">
            <v>0</v>
          </cell>
          <cell r="C931">
            <v>0</v>
          </cell>
          <cell r="D931">
            <v>0</v>
          </cell>
          <cell r="E931" t="e">
            <v>#N/A</v>
          </cell>
          <cell r="F931" t="e">
            <v>#N/A</v>
          </cell>
        </row>
        <row r="932">
          <cell r="A932">
            <v>42186</v>
          </cell>
          <cell r="B932" t="str">
            <v>Aluguel mensal de barco de alumínio 4,20 m com motor 15 HP (equipamentos)</v>
          </cell>
          <cell r="C932" t="str">
            <v>mês</v>
          </cell>
          <cell r="D932">
            <v>2494.08</v>
          </cell>
          <cell r="E932">
            <v>0</v>
          </cell>
          <cell r="F932" t="e">
            <v>#N/A</v>
          </cell>
          <cell r="G932" t="e">
            <v>#N/A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 t="e">
            <v>#N/A</v>
          </cell>
        </row>
        <row r="934">
          <cell r="A934" t="str">
            <v>Grupo de Serviço: 23 - TRANSPORTE, CARGA E DESCARGA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 t="e">
            <v>#N/A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 t="e">
            <v>#N/A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 t="e">
            <v>#N/A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 t="e">
            <v>#N/A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 t="e">
            <v>#N/A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 t="e">
            <v>#N/A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 t="e">
            <v>#N/A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 t="e">
            <v>#N/A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 t="e">
            <v>#N/A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 t="e">
            <v>#N/A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 t="e">
            <v>#N/A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 t="e">
            <v>#N/A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 t="e">
            <v>#N/A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 t="e">
            <v>#N/A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 t="e">
            <v>#N/A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 t="e">
            <v>#N/A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 t="e">
            <v>#N/A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 t="e">
            <v>#N/A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 t="e">
            <v>#N/A</v>
          </cell>
        </row>
        <row r="953">
          <cell r="A953" t="str">
            <v>Grupo de Serviço: 32 - INFRA E MESO-ESTRUTURA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 t="e">
            <v>#N/A</v>
          </cell>
        </row>
        <row r="954">
          <cell r="A954">
            <v>41352</v>
          </cell>
          <cell r="B954" t="str">
            <v>Arrasamento estaca concreto D -&gt; 0,80 m com martelete pneumático</v>
          </cell>
          <cell r="C954" t="str">
            <v>un</v>
          </cell>
          <cell r="D954">
            <v>127.4</v>
          </cell>
          <cell r="E954">
            <v>0</v>
          </cell>
          <cell r="F954" t="e">
            <v>#N/A</v>
          </cell>
          <cell r="G954" t="e">
            <v>#N/A</v>
          </cell>
        </row>
        <row r="955">
          <cell r="A955">
            <v>41340</v>
          </cell>
          <cell r="B955" t="str">
            <v>Encamisamento metálico de estacas, diâmetro 380mm em chapa de 6.3mm, preenchido c/ concreto auto adensável (20MPa)</v>
          </cell>
          <cell r="C955" t="str">
            <v>m</v>
          </cell>
          <cell r="D955">
            <v>648.67999999999995</v>
          </cell>
          <cell r="E955">
            <v>0</v>
          </cell>
          <cell r="F955" t="e">
            <v>#N/A</v>
          </cell>
          <cell r="G955" t="e">
            <v>#N/A</v>
          </cell>
        </row>
        <row r="956">
          <cell r="A956">
            <v>40331</v>
          </cell>
          <cell r="B956" t="str">
            <v>Escoramento para blocos submersos, inclusive transporte da madeira</v>
          </cell>
          <cell r="C956" t="str">
            <v>m²</v>
          </cell>
          <cell r="D956">
            <v>77.09</v>
          </cell>
          <cell r="E956" t="str">
            <v>A incluir</v>
          </cell>
          <cell r="F956" t="e">
            <v>#N/A</v>
          </cell>
          <cell r="G956" t="e">
            <v>#N/A</v>
          </cell>
        </row>
        <row r="957">
          <cell r="A957">
            <v>40403</v>
          </cell>
          <cell r="B957" t="str">
            <v>Estaca de eucalipto D-&gt; 0,20 m, fornecimento, transporte, cravação e perda</v>
          </cell>
          <cell r="C957" t="str">
            <v>m</v>
          </cell>
          <cell r="D957">
            <v>164.47</v>
          </cell>
          <cell r="E957" t="str">
            <v>A incluir</v>
          </cell>
          <cell r="F957" t="e">
            <v>#N/A</v>
          </cell>
          <cell r="G957" t="e">
            <v>#N/A</v>
          </cell>
        </row>
        <row r="958">
          <cell r="A958">
            <v>40405</v>
          </cell>
          <cell r="B958" t="str">
            <v>Estaca metálica dupla exclusive fornecimento de trilhos</v>
          </cell>
          <cell r="C958" t="str">
            <v>m</v>
          </cell>
          <cell r="D958">
            <v>222.21</v>
          </cell>
          <cell r="E958">
            <v>0</v>
          </cell>
          <cell r="F958" t="e">
            <v>#N/A</v>
          </cell>
          <cell r="G958" t="e">
            <v>#N/A</v>
          </cell>
        </row>
        <row r="959">
          <cell r="A959">
            <v>40408</v>
          </cell>
          <cell r="B959" t="str">
            <v>Estaca metálica, fornecimento, transporte, perdas, solda, emenda, corte e cravação de TR- 68</v>
          </cell>
          <cell r="C959" t="str">
            <v>m</v>
          </cell>
          <cell r="D959">
            <v>422.11</v>
          </cell>
          <cell r="E959" t="str">
            <v>A incluir</v>
          </cell>
          <cell r="F959" t="e">
            <v>#N/A</v>
          </cell>
          <cell r="G959" t="e">
            <v>#N/A</v>
          </cell>
        </row>
        <row r="960">
          <cell r="A960">
            <v>40406</v>
          </cell>
          <cell r="B960" t="str">
            <v>Estaca metálica, fornecimento, transporte, perdas, solda, emenda, corte e cravação de trilho TR- 57</v>
          </cell>
          <cell r="C960" t="str">
            <v>m</v>
          </cell>
          <cell r="D960">
            <v>384.39</v>
          </cell>
          <cell r="E960" t="str">
            <v>A incluir</v>
          </cell>
          <cell r="F960" t="e">
            <v>#N/A</v>
          </cell>
          <cell r="G960" t="e">
            <v>#N/A</v>
          </cell>
        </row>
        <row r="961">
          <cell r="A961">
            <v>40407</v>
          </cell>
          <cell r="B961" t="str">
            <v>Estaca metálica, fornecimento, transporte, perdas, solda, emenda, corte e cravação de 2 TR- 57</v>
          </cell>
          <cell r="C961" t="str">
            <v>m</v>
          </cell>
          <cell r="D961">
            <v>659.59</v>
          </cell>
          <cell r="E961" t="str">
            <v>A incluir</v>
          </cell>
          <cell r="F961" t="e">
            <v>#N/A</v>
          </cell>
          <cell r="G961" t="e">
            <v>#N/A</v>
          </cell>
        </row>
        <row r="962">
          <cell r="A962">
            <v>40409</v>
          </cell>
          <cell r="B962" t="str">
            <v>Estaca metálica, fornecimento, transporte, perdas, solda, emenda, corte e cravação de 2 TR- 68</v>
          </cell>
          <cell r="C962" t="str">
            <v>m</v>
          </cell>
          <cell r="D962">
            <v>735.05</v>
          </cell>
          <cell r="E962" t="str">
            <v>A incluir</v>
          </cell>
          <cell r="F962" t="e">
            <v>#N/A</v>
          </cell>
          <cell r="G962" t="e">
            <v>#N/A</v>
          </cell>
        </row>
        <row r="963">
          <cell r="A963">
            <v>40404</v>
          </cell>
          <cell r="B963" t="str">
            <v>Estaca metálica simples exclusive fornecimento de trilhos</v>
          </cell>
          <cell r="C963" t="str">
            <v>m</v>
          </cell>
          <cell r="D963">
            <v>152.12</v>
          </cell>
          <cell r="E963">
            <v>0</v>
          </cell>
          <cell r="F963" t="e">
            <v>#N/A</v>
          </cell>
          <cell r="G963" t="e">
            <v>#N/A</v>
          </cell>
        </row>
        <row r="964">
          <cell r="A964">
            <v>42051</v>
          </cell>
          <cell r="B964" t="str">
            <v>Estaca raiz perfurada em rocha, diâm. 310mm com injeção de arg. incl. fornecimento de todos materiais</v>
          </cell>
          <cell r="C964" t="str">
            <v>m</v>
          </cell>
          <cell r="D964">
            <v>1030.1400000000001</v>
          </cell>
          <cell r="E964" t="str">
            <v>A incluir</v>
          </cell>
          <cell r="F964" t="e">
            <v>#N/A</v>
          </cell>
          <cell r="G964" t="e">
            <v>#N/A</v>
          </cell>
        </row>
        <row r="965">
          <cell r="A965">
            <v>42052</v>
          </cell>
          <cell r="B965" t="str">
            <v>Estaca raiz perfurada em solo, diâm. 410mm com injeção de arg. incl. fornecimento de todos materiais</v>
          </cell>
          <cell r="C965" t="str">
            <v>m</v>
          </cell>
          <cell r="D965">
            <v>580.14</v>
          </cell>
          <cell r="E965" t="str">
            <v>A incluir</v>
          </cell>
          <cell r="F965" t="e">
            <v>#N/A</v>
          </cell>
          <cell r="G965" t="e">
            <v>#N/A</v>
          </cell>
        </row>
        <row r="966">
          <cell r="A966">
            <v>40410</v>
          </cell>
          <cell r="B966" t="str">
            <v>Estaca tipo Franki D -&gt; 520 mm</v>
          </cell>
          <cell r="C966" t="str">
            <v>m</v>
          </cell>
          <cell r="D966">
            <v>368.09</v>
          </cell>
          <cell r="E966" t="str">
            <v>A incluir</v>
          </cell>
          <cell r="F966" t="e">
            <v>#N/A</v>
          </cell>
          <cell r="G966" t="e">
            <v>#N/A</v>
          </cell>
        </row>
        <row r="967">
          <cell r="A967">
            <v>40309</v>
          </cell>
          <cell r="B967" t="str">
            <v>Formas planas de madeira sem reaproveitamento (fundações), inclusive fornecimento e transporte das madeiras</v>
          </cell>
          <cell r="C967" t="str">
            <v>m²</v>
          </cell>
          <cell r="D967">
            <v>165.61</v>
          </cell>
          <cell r="E967" t="str">
            <v>A incluir</v>
          </cell>
          <cell r="F967" t="e">
            <v>#N/A</v>
          </cell>
          <cell r="G967" t="e">
            <v>#N/A</v>
          </cell>
        </row>
        <row r="968">
          <cell r="A968">
            <v>41258</v>
          </cell>
          <cell r="B968" t="str">
            <v>Perfuração rotativa inclinada, em solo, com coroa de Widia, diâmetro 150mm</v>
          </cell>
          <cell r="C968" t="str">
            <v>m</v>
          </cell>
          <cell r="D968">
            <v>189.28</v>
          </cell>
          <cell r="E968">
            <v>0</v>
          </cell>
          <cell r="F968" t="e">
            <v>#N/A</v>
          </cell>
          <cell r="G968" t="e">
            <v>#N/A</v>
          </cell>
        </row>
        <row r="969">
          <cell r="A969">
            <v>41034</v>
          </cell>
          <cell r="B969" t="str">
            <v>Perfuração rotativa inclinada, em solo, com coroa de Widia, diâmetro 75mm</v>
          </cell>
          <cell r="C969" t="str">
            <v>m</v>
          </cell>
          <cell r="D969">
            <v>145.6</v>
          </cell>
          <cell r="E969">
            <v>0</v>
          </cell>
          <cell r="F969" t="e">
            <v>#N/A</v>
          </cell>
          <cell r="G969" t="e">
            <v>#N/A</v>
          </cell>
        </row>
        <row r="970">
          <cell r="A970">
            <v>41026</v>
          </cell>
          <cell r="B970" t="str">
            <v>Perfuração rotativa vertical, em solo, com coroa de Widia ou similar, diâmetro H(99mm), inclusive deslocamento e posicionamento em cada furo</v>
          </cell>
          <cell r="C970" t="str">
            <v>m</v>
          </cell>
          <cell r="D970">
            <v>122.04</v>
          </cell>
          <cell r="E970">
            <v>0</v>
          </cell>
          <cell r="F970" t="e">
            <v>#N/A</v>
          </cell>
          <cell r="G970" t="e">
            <v>#N/A</v>
          </cell>
        </row>
        <row r="971">
          <cell r="A971">
            <v>41022</v>
          </cell>
          <cell r="B971" t="str">
            <v>Perfuração rotativa vertical, em solo, com coroa de Widia ou similar, diâmetro N(75mm), inclusive deslocamento e posicionamento em cada furo</v>
          </cell>
          <cell r="C971" t="str">
            <v>m</v>
          </cell>
          <cell r="D971">
            <v>113.9</v>
          </cell>
          <cell r="E971">
            <v>0</v>
          </cell>
          <cell r="F971" t="e">
            <v>#N/A</v>
          </cell>
          <cell r="G971" t="e">
            <v>#N/A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 t="e">
            <v>#N/A</v>
          </cell>
          <cell r="F972" t="e">
            <v>#N/A</v>
          </cell>
          <cell r="G972" t="e">
            <v>#N/A</v>
          </cell>
        </row>
        <row r="973">
          <cell r="A973" t="str">
            <v>Grupo de Serviço: 33 - SUPER-ESTRUTURA</v>
          </cell>
          <cell r="B973">
            <v>0</v>
          </cell>
          <cell r="C973">
            <v>0</v>
          </cell>
          <cell r="E973" t="e">
            <v>#N/A</v>
          </cell>
          <cell r="F973" t="e">
            <v>#N/A</v>
          </cell>
          <cell r="G973" t="e">
            <v>#N/A</v>
          </cell>
        </row>
        <row r="974">
          <cell r="A974">
            <v>41403</v>
          </cell>
          <cell r="B974" t="str">
            <v>Passarela metálica p/ pontes rodoviárias com 1,0m de largura, piso em chapa xadez esp 1/4", em perfis laminados, inclusive pintura</v>
          </cell>
          <cell r="C974" t="str">
            <v>m</v>
          </cell>
          <cell r="D974">
            <v>778.58</v>
          </cell>
          <cell r="E974">
            <v>0</v>
          </cell>
          <cell r="F974" t="e">
            <v>#N/A</v>
          </cell>
          <cell r="G974" t="e">
            <v>#N/A</v>
          </cell>
        </row>
        <row r="975">
          <cell r="A975">
            <v>40398</v>
          </cell>
          <cell r="B975" t="str">
            <v>Placas pré-moldadas para forma de tabuleiro de ponte</v>
          </cell>
          <cell r="C975" t="str">
            <v>m²</v>
          </cell>
          <cell r="D975">
            <v>169.07</v>
          </cell>
          <cell r="E975">
            <v>0</v>
          </cell>
          <cell r="F975" t="e">
            <v>#N/A</v>
          </cell>
          <cell r="G975" t="e">
            <v>#N/A</v>
          </cell>
        </row>
        <row r="976">
          <cell r="A976">
            <v>41036</v>
          </cell>
          <cell r="B976" t="str">
            <v>Remoção de superestrutura de pontes com auxilio de guindaste para 40 toneladas</v>
          </cell>
          <cell r="C976" t="str">
            <v>t</v>
          </cell>
          <cell r="D976">
            <v>102.48</v>
          </cell>
          <cell r="E976">
            <v>0</v>
          </cell>
          <cell r="F976" t="e">
            <v>#N/A</v>
          </cell>
          <cell r="G976" t="e">
            <v>#N/A</v>
          </cell>
        </row>
        <row r="977">
          <cell r="A977">
            <v>41423</v>
          </cell>
          <cell r="B977" t="str">
            <v>Tabuleiro em vigas pré-moldadas CL.45, com ou sem laje entre vigas, vão de 10,00 m, inclusive descarga e assentamento das vigas</v>
          </cell>
          <cell r="C977" t="str">
            <v>m²</v>
          </cell>
          <cell r="D977">
            <v>2963.09</v>
          </cell>
          <cell r="E977">
            <v>0</v>
          </cell>
          <cell r="F977" t="e">
            <v>#N/A</v>
          </cell>
          <cell r="G977" t="e">
            <v>#N/A</v>
          </cell>
        </row>
        <row r="978">
          <cell r="A978">
            <v>41424</v>
          </cell>
          <cell r="B978" t="str">
            <v>Tabuleiro em vigas pré-moldadas CL.45, com ou sem laje entre vigas, vão de 11,00 m, inclusive descarga e assentamento das vigas</v>
          </cell>
          <cell r="C978" t="str">
            <v>m²</v>
          </cell>
          <cell r="D978">
            <v>2916.15</v>
          </cell>
          <cell r="E978">
            <v>0</v>
          </cell>
          <cell r="F978" t="e">
            <v>#N/A</v>
          </cell>
          <cell r="G978" t="e">
            <v>#N/A</v>
          </cell>
        </row>
        <row r="979">
          <cell r="A979">
            <v>41425</v>
          </cell>
          <cell r="B979" t="str">
            <v>Tabuleiro em vigas pré-moldadas CL.45, com ou sem laje entre vigas, vão de 12,00 m, inclusive descarga e assentamento das vigas</v>
          </cell>
          <cell r="C979" t="str">
            <v>m²</v>
          </cell>
          <cell r="D979">
            <v>3203.62</v>
          </cell>
          <cell r="E979">
            <v>0</v>
          </cell>
          <cell r="F979" t="e">
            <v>#N/A</v>
          </cell>
          <cell r="G979" t="e">
            <v>#N/A</v>
          </cell>
        </row>
        <row r="980">
          <cell r="A980">
            <v>41426</v>
          </cell>
          <cell r="B980" t="str">
            <v>Tabuleiro em vigas pré-moldadas CL.45, com ou sem laje entre vigas, vão de 13,00 m, inclusive descarga e assentamento das vigas</v>
          </cell>
          <cell r="C980" t="str">
            <v>m²</v>
          </cell>
          <cell r="D980">
            <v>3345.78</v>
          </cell>
          <cell r="E980">
            <v>0</v>
          </cell>
          <cell r="F980" t="e">
            <v>#N/A</v>
          </cell>
          <cell r="G980" t="e">
            <v>#N/A</v>
          </cell>
        </row>
        <row r="981">
          <cell r="A981">
            <v>41428</v>
          </cell>
          <cell r="B981" t="str">
            <v>Tabuleiro em vigas pré-moldadas CL.45, com ou sem laje entre vigas, vão de 15,00 m, inclusive descarga e assentamento das vigas</v>
          </cell>
          <cell r="C981" t="str">
            <v>m²</v>
          </cell>
          <cell r="D981">
            <v>3473.28</v>
          </cell>
          <cell r="E981">
            <v>0</v>
          </cell>
          <cell r="F981" t="e">
            <v>#N/A</v>
          </cell>
          <cell r="G981" t="e">
            <v>#N/A</v>
          </cell>
        </row>
        <row r="982">
          <cell r="A982">
            <v>41417</v>
          </cell>
          <cell r="B982" t="str">
            <v>Tabuleiro em vigas pré-moldadas CL.45, com ou sem laje entre vigas, vão de 4,00 m, inclusive descarga e assentamento das vigas</v>
          </cell>
          <cell r="C982" t="str">
            <v>m²</v>
          </cell>
          <cell r="D982">
            <v>2219.71</v>
          </cell>
          <cell r="E982">
            <v>0</v>
          </cell>
          <cell r="F982" t="e">
            <v>#N/A</v>
          </cell>
          <cell r="G982" t="e">
            <v>#N/A</v>
          </cell>
        </row>
        <row r="983">
          <cell r="A983">
            <v>41418</v>
          </cell>
          <cell r="B983" t="str">
            <v>Tabuleiro em vigas pré-moldadas CL.45, com ou sem laje entre vigas, vão de 5,00 m, inclusive descarga e assentamento das vigas</v>
          </cell>
          <cell r="C983" t="str">
            <v>m²</v>
          </cell>
          <cell r="D983">
            <v>2259.4299999999998</v>
          </cell>
          <cell r="E983">
            <v>0</v>
          </cell>
          <cell r="F983" t="e">
            <v>#N/A</v>
          </cell>
          <cell r="G983" t="e">
            <v>#N/A</v>
          </cell>
        </row>
        <row r="984">
          <cell r="A984">
            <v>41419</v>
          </cell>
          <cell r="B984" t="str">
            <v>Tabuleiro em vigas pré-moldadas CL.45, com ou sem laje entre vigas, vão de 6,00 m, inclusive descarga e assentamento das vigas</v>
          </cell>
          <cell r="C984" t="str">
            <v>m²</v>
          </cell>
          <cell r="D984">
            <v>2333.8000000000002</v>
          </cell>
          <cell r="E984">
            <v>0</v>
          </cell>
          <cell r="F984" t="e">
            <v>#N/A</v>
          </cell>
          <cell r="G984" t="e">
            <v>#N/A</v>
          </cell>
        </row>
        <row r="985">
          <cell r="A985">
            <v>41420</v>
          </cell>
          <cell r="B985" t="str">
            <v>Tabuleiro em vigas pré-moldadas CL.45, com ou sem laje entre vigas, vão de 7,00 m, inclusive descarga e assentamento das vigas</v>
          </cell>
          <cell r="C985" t="str">
            <v>m²</v>
          </cell>
          <cell r="D985">
            <v>2603.5700000000002</v>
          </cell>
          <cell r="E985">
            <v>0</v>
          </cell>
          <cell r="F985" t="e">
            <v>#N/A</v>
          </cell>
          <cell r="G985" t="e">
            <v>#N/A</v>
          </cell>
        </row>
        <row r="986">
          <cell r="A986">
            <v>41421</v>
          </cell>
          <cell r="B986" t="str">
            <v>Tabuleiro em vigas pré-moldadas CL.45, com ou sem laje entre vigas, vão de 8,00 m, inclusive descarga e assentamento das vigas</v>
          </cell>
          <cell r="C986" t="str">
            <v>m²</v>
          </cell>
          <cell r="D986">
            <v>2874.13</v>
          </cell>
          <cell r="E986">
            <v>0</v>
          </cell>
          <cell r="F986" t="e">
            <v>#N/A</v>
          </cell>
          <cell r="G986" t="e">
            <v>#N/A</v>
          </cell>
        </row>
        <row r="987">
          <cell r="A987">
            <v>41422</v>
          </cell>
          <cell r="B987" t="str">
            <v>Tabuleiro em vigas pré-moldadas CL.45, com ou sem laje entre vigas, vão de 9,00 m, inclusive descarga e assentamento das vigas</v>
          </cell>
          <cell r="C987" t="str">
            <v>m²</v>
          </cell>
          <cell r="D987">
            <v>2967.68</v>
          </cell>
          <cell r="E987">
            <v>0</v>
          </cell>
          <cell r="F987" t="e">
            <v>#N/A</v>
          </cell>
          <cell r="G987" t="e">
            <v>#N/A</v>
          </cell>
        </row>
        <row r="988">
          <cell r="A988">
            <v>41427</v>
          </cell>
          <cell r="B988" t="str">
            <v>Tabuleiro em vigas pré-moldadas CL.45, com ou sem laje entre vigas, vão 14,00 m, inclusive descarga e assentamento das vigas</v>
          </cell>
          <cell r="C988" t="str">
            <v>m²</v>
          </cell>
          <cell r="D988">
            <v>3434.92</v>
          </cell>
          <cell r="E988">
            <v>0</v>
          </cell>
          <cell r="F988" t="e">
            <v>#N/A</v>
          </cell>
          <cell r="G988" t="e">
            <v>#N/A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 t="e">
            <v>#N/A</v>
          </cell>
          <cell r="F989" t="e">
            <v>#N/A</v>
          </cell>
          <cell r="G989" t="e">
            <v>#N/A</v>
          </cell>
        </row>
        <row r="990">
          <cell r="A990" t="str">
            <v>Grupo de Serviço: 37 - OBRAS DE ARTE ESPECIAIS</v>
          </cell>
          <cell r="B990">
            <v>0</v>
          </cell>
          <cell r="C990">
            <v>0</v>
          </cell>
          <cell r="E990" t="e">
            <v>#N/A</v>
          </cell>
          <cell r="F990" t="e">
            <v>#N/A</v>
          </cell>
          <cell r="G990" t="e">
            <v>#N/A</v>
          </cell>
        </row>
        <row r="991">
          <cell r="A991">
            <v>40381</v>
          </cell>
          <cell r="B991" t="str">
            <v>Acabamento em concreto fresco (15,0 MPA), para pavimento, inclusive endurecedor químico de superfície</v>
          </cell>
          <cell r="C991" t="str">
            <v>m²</v>
          </cell>
          <cell r="D991">
            <v>19.27</v>
          </cell>
          <cell r="E991">
            <v>0</v>
          </cell>
          <cell r="F991" t="e">
            <v>#N/A</v>
          </cell>
          <cell r="G991" t="e">
            <v>#N/A</v>
          </cell>
        </row>
        <row r="992">
          <cell r="A992">
            <v>41260</v>
          </cell>
          <cell r="B992" t="str">
            <v>Acessório para tirante protendido de aço Rocsolo ou similar diâmetro 29,3 mm</v>
          </cell>
          <cell r="C992" t="str">
            <v>un</v>
          </cell>
          <cell r="D992">
            <v>793.34</v>
          </cell>
          <cell r="E992" t="str">
            <v>A incluir</v>
          </cell>
          <cell r="F992" t="e">
            <v>#N/A</v>
          </cell>
          <cell r="G992" t="e">
            <v>#N/A</v>
          </cell>
        </row>
        <row r="993">
          <cell r="A993">
            <v>41045</v>
          </cell>
          <cell r="B993" t="str">
            <v>Acessório para tirante protendido de aço ST 85/105</v>
          </cell>
          <cell r="C993" t="str">
            <v>un</v>
          </cell>
          <cell r="D993">
            <v>789.86</v>
          </cell>
          <cell r="E993" t="str">
            <v>A incluir</v>
          </cell>
          <cell r="F993" t="e">
            <v>#N/A</v>
          </cell>
          <cell r="G993" t="e">
            <v>#N/A</v>
          </cell>
        </row>
        <row r="994">
          <cell r="A994">
            <v>40387</v>
          </cell>
          <cell r="B994" t="str">
            <v>Aparelho de apoio de neoprene fretado, fornecimento e assentamento, inclusive grauteamento e transporte do neoprene</v>
          </cell>
          <cell r="C994" t="str">
            <v>dm³</v>
          </cell>
          <cell r="D994">
            <v>146.84</v>
          </cell>
          <cell r="E994" t="str">
            <v>A incluir</v>
          </cell>
          <cell r="F994" t="e">
            <v>#N/A</v>
          </cell>
          <cell r="G994" t="e">
            <v>#N/A</v>
          </cell>
        </row>
        <row r="995">
          <cell r="A995">
            <v>40339</v>
          </cell>
          <cell r="B995" t="str">
            <v>Cantoneiras (2 1/2" x 2 1/2" x 5/16") para extremidade de laje, fornecimento, montagem e pintura</v>
          </cell>
          <cell r="C995" t="str">
            <v>m</v>
          </cell>
          <cell r="D995">
            <v>65.22</v>
          </cell>
          <cell r="E995">
            <v>0</v>
          </cell>
          <cell r="F995" t="e">
            <v>#N/A</v>
          </cell>
          <cell r="G995" t="e">
            <v>#N/A</v>
          </cell>
        </row>
        <row r="996">
          <cell r="A996">
            <v>40379</v>
          </cell>
          <cell r="B996" t="str">
            <v>Chapas de aço SAC 41 de 1/4" para passarelas, fornecimento, soldagem e montagem</v>
          </cell>
          <cell r="C996" t="str">
            <v>kg</v>
          </cell>
          <cell r="D996">
            <v>8.42</v>
          </cell>
          <cell r="E996" t="str">
            <v>A incluir</v>
          </cell>
          <cell r="F996" t="e">
            <v>#N/A</v>
          </cell>
          <cell r="G996" t="e">
            <v>#N/A</v>
          </cell>
        </row>
        <row r="997">
          <cell r="A997">
            <v>42875</v>
          </cell>
          <cell r="B997" t="str">
            <v>Chumbador de aço de 25 mm, inclusive proteção anticorrosiva, exclusive a injeção e a perfuração</v>
          </cell>
          <cell r="C997" t="str">
            <v>m</v>
          </cell>
          <cell r="D997">
            <v>36.47</v>
          </cell>
          <cell r="E997">
            <v>0</v>
          </cell>
          <cell r="F997" t="e">
            <v>#N/A</v>
          </cell>
          <cell r="G997" t="e">
            <v>#N/A</v>
          </cell>
        </row>
        <row r="998">
          <cell r="A998">
            <v>40991</v>
          </cell>
          <cell r="B998" t="str">
            <v>Colagem das mantas de borracha nos berços de apoio das placas, com Sikadur 32 ou equivalente, fornecimento e aplicação</v>
          </cell>
          <cell r="C998" t="str">
            <v>kg</v>
          </cell>
          <cell r="D998">
            <v>111.15</v>
          </cell>
          <cell r="E998">
            <v>0</v>
          </cell>
          <cell r="F998" t="e">
            <v>#N/A</v>
          </cell>
          <cell r="G998" t="e">
            <v>#N/A</v>
          </cell>
        </row>
        <row r="999">
          <cell r="A999">
            <v>40382</v>
          </cell>
          <cell r="B999" t="str">
            <v>Concreto projetado com cimento especial</v>
          </cell>
          <cell r="C999" t="str">
            <v>m³</v>
          </cell>
          <cell r="D999">
            <v>643.1</v>
          </cell>
          <cell r="E999">
            <v>0</v>
          </cell>
          <cell r="F999" t="e">
            <v>#N/A</v>
          </cell>
          <cell r="G999" t="e">
            <v>#N/A</v>
          </cell>
        </row>
        <row r="1000">
          <cell r="A1000">
            <v>42660</v>
          </cell>
          <cell r="B1000" t="str">
            <v>Concreto projetado com cimento especial, inclusive aditivo de pega Sigunit STM-35 AF</v>
          </cell>
          <cell r="C1000" t="str">
            <v>m³</v>
          </cell>
          <cell r="D1000">
            <v>686.81</v>
          </cell>
          <cell r="E1000">
            <v>0</v>
          </cell>
          <cell r="F1000" t="e">
            <v>#N/A</v>
          </cell>
          <cell r="G1000" t="e">
            <v>#N/A</v>
          </cell>
        </row>
        <row r="1001">
          <cell r="A1001">
            <v>40401</v>
          </cell>
          <cell r="B1001" t="str">
            <v>Cone de ancoragem de cabo de aço com 12 cordoalhas de 1/2", inclusive protensão dos cabos</v>
          </cell>
          <cell r="C1001" t="str">
            <v>un</v>
          </cell>
          <cell r="D1001">
            <v>1884.5</v>
          </cell>
          <cell r="E1001" t="str">
            <v>A incluir</v>
          </cell>
          <cell r="F1001" t="e">
            <v>#N/A</v>
          </cell>
          <cell r="G1001" t="e">
            <v>#N/A</v>
          </cell>
        </row>
        <row r="1002">
          <cell r="A1002">
            <v>41200</v>
          </cell>
          <cell r="B1002" t="str">
            <v>Conectores diâmetro 16mm (h-&gt;10cm), fornecimento e soldagem</v>
          </cell>
          <cell r="C1002" t="str">
            <v>un</v>
          </cell>
          <cell r="D1002">
            <v>23.3</v>
          </cell>
          <cell r="E1002">
            <v>0</v>
          </cell>
          <cell r="F1002" t="e">
            <v>#N/A</v>
          </cell>
          <cell r="G1002" t="e">
            <v>#N/A</v>
          </cell>
        </row>
        <row r="1003">
          <cell r="A1003">
            <v>42876</v>
          </cell>
          <cell r="B1003" t="str">
            <v>Escoramento contínuo de cavas em estaca prancha de largura até 4000 mm</v>
          </cell>
          <cell r="C1003" t="str">
            <v>m²</v>
          </cell>
          <cell r="D1003">
            <v>125.61</v>
          </cell>
          <cell r="E1003">
            <v>0</v>
          </cell>
          <cell r="F1003" t="e">
            <v>#N/A</v>
          </cell>
          <cell r="G1003" t="e">
            <v>#N/A</v>
          </cell>
        </row>
        <row r="1004">
          <cell r="A1004">
            <v>42239</v>
          </cell>
          <cell r="B1004" t="str">
            <v>Escoramento de O.A.E. diretamente sobre o solo, inclusive fornecimento e transporte das madeiras</v>
          </cell>
          <cell r="C1004" t="str">
            <v>m³</v>
          </cell>
          <cell r="D1004">
            <v>132.84</v>
          </cell>
          <cell r="E1004" t="str">
            <v>A incluir</v>
          </cell>
          <cell r="F1004" t="e">
            <v>#N/A</v>
          </cell>
          <cell r="G1004" t="e">
            <v>#N/A</v>
          </cell>
        </row>
        <row r="1005">
          <cell r="A1005">
            <v>40329</v>
          </cell>
          <cell r="B1005" t="str">
            <v>Escoramento e cimbramento (pontes e pontilhões), inclusive fornecimento e transporte das madeiras</v>
          </cell>
          <cell r="C1005" t="str">
            <v>m³</v>
          </cell>
          <cell r="D1005">
            <v>155.18</v>
          </cell>
          <cell r="E1005" t="str">
            <v>A incluir</v>
          </cell>
          <cell r="F1005" t="e">
            <v>#N/A</v>
          </cell>
          <cell r="G1005" t="e">
            <v>#N/A</v>
          </cell>
        </row>
        <row r="1006">
          <cell r="A1006">
            <v>41195</v>
          </cell>
          <cell r="B1006" t="str">
            <v>Estrutura metálica provisória para macaqueamento de laje de ponte</v>
          </cell>
          <cell r="C1006" t="str">
            <v>kg</v>
          </cell>
          <cell r="D1006">
            <v>8.19</v>
          </cell>
          <cell r="E1006">
            <v>0</v>
          </cell>
          <cell r="F1006" t="e">
            <v>#N/A</v>
          </cell>
          <cell r="G1006" t="e">
            <v>#N/A</v>
          </cell>
        </row>
        <row r="1007">
          <cell r="A1007">
            <v>40315</v>
          </cell>
          <cell r="B1007" t="str">
            <v>Formas curvas de madeira sem reutilização, inclusive fornecimento e transporte das madeiras</v>
          </cell>
          <cell r="C1007" t="str">
            <v>m²</v>
          </cell>
          <cell r="D1007">
            <v>265.08</v>
          </cell>
          <cell r="E1007" t="str">
            <v>A incluir</v>
          </cell>
          <cell r="F1007" t="e">
            <v>#N/A</v>
          </cell>
          <cell r="G1007" t="e">
            <v>#N/A</v>
          </cell>
        </row>
        <row r="1008">
          <cell r="A1008">
            <v>40314</v>
          </cell>
          <cell r="B1008" t="str">
            <v>Formas planas de madeira com 05 (cinco) utilizações (guarda-corpo de pontes), inclusive fornecimento e transportes das madeiras</v>
          </cell>
          <cell r="C1008" t="str">
            <v>m²</v>
          </cell>
          <cell r="D1008">
            <v>104.81</v>
          </cell>
          <cell r="E1008" t="str">
            <v>A incluir</v>
          </cell>
          <cell r="F1008" t="e">
            <v>#N/A</v>
          </cell>
          <cell r="G1008" t="e">
            <v>#N/A</v>
          </cell>
        </row>
        <row r="1009">
          <cell r="A1009">
            <v>40321</v>
          </cell>
          <cell r="B1009" t="str">
            <v>Formas planas de madeirit meso e superestrutura com 1 reaproveitamento esp. -&gt; 14 mm, inclusive fornecimento e transporte das madeiras</v>
          </cell>
          <cell r="C1009" t="str">
            <v>m²</v>
          </cell>
          <cell r="D1009">
            <v>74.66</v>
          </cell>
          <cell r="E1009" t="str">
            <v>A incluir</v>
          </cell>
          <cell r="F1009" t="e">
            <v>#N/A</v>
          </cell>
          <cell r="G1009" t="e">
            <v>#N/A</v>
          </cell>
        </row>
        <row r="1010">
          <cell r="A1010">
            <v>40323</v>
          </cell>
          <cell r="B1010" t="str">
            <v>Formas planas de madeirit meso e superestrutura com 1 reaproveitamento esp. -&gt; 17 mm, inclusive fornecimento e transporte das madeiras</v>
          </cell>
          <cell r="C1010" t="str">
            <v>m²</v>
          </cell>
          <cell r="D1010">
            <v>77.67</v>
          </cell>
          <cell r="E1010" t="str">
            <v>A incluir</v>
          </cell>
          <cell r="F1010" t="e">
            <v>#N/A</v>
          </cell>
          <cell r="G1010" t="e">
            <v>#N/A</v>
          </cell>
        </row>
        <row r="1011">
          <cell r="A1011">
            <v>40324</v>
          </cell>
          <cell r="B1011" t="str">
            <v>Formas planas de madeirit meso e superestrutura com 2 reaproveitamentos esp. -&gt; 17 mm, inclusive fornecimento e transporte das madeiras</v>
          </cell>
          <cell r="C1011" t="str">
            <v>m²</v>
          </cell>
          <cell r="D1011">
            <v>67.22</v>
          </cell>
          <cell r="E1011" t="str">
            <v>A incluir</v>
          </cell>
          <cell r="F1011">
            <v>67.64</v>
          </cell>
          <cell r="G1011">
            <v>1.0062481404343899</v>
          </cell>
        </row>
        <row r="1012">
          <cell r="A1012">
            <v>40325</v>
          </cell>
          <cell r="B1012" t="str">
            <v>Formas planas de madeirit meso e superestrutura com 4 reaproveitamentos esp. -&gt; 17 mm, inclusive fornecimento e transporte das madeiras</v>
          </cell>
          <cell r="C1012" t="str">
            <v>m²</v>
          </cell>
          <cell r="D1012">
            <v>58.16</v>
          </cell>
          <cell r="E1012" t="str">
            <v>A incluir</v>
          </cell>
          <cell r="F1012" t="e">
            <v>#N/A</v>
          </cell>
          <cell r="G1012" t="e">
            <v>#N/A</v>
          </cell>
        </row>
        <row r="1013">
          <cell r="A1013">
            <v>40319</v>
          </cell>
          <cell r="B1013" t="str">
            <v>Formas planas de madeirit meso e superestrutura sem reaproveitamento esp. -&gt; 10 mm, inclusive fornecimento e transporte das madeiras</v>
          </cell>
          <cell r="C1013" t="str">
            <v>m²</v>
          </cell>
          <cell r="D1013">
            <v>93.95</v>
          </cell>
          <cell r="E1013" t="str">
            <v>A incluir</v>
          </cell>
          <cell r="F1013" t="e">
            <v>#N/A</v>
          </cell>
          <cell r="G1013" t="e">
            <v>#N/A</v>
          </cell>
        </row>
        <row r="1014">
          <cell r="A1014">
            <v>40320</v>
          </cell>
          <cell r="B1014" t="str">
            <v>Formas planas de madeirit meso e superestrutura sem reaproveitamento esp. -&gt; 14 mm, inclusive fornecimento e transporte das madeiras</v>
          </cell>
          <cell r="C1014" t="str">
            <v>m²</v>
          </cell>
          <cell r="D1014">
            <v>105.7</v>
          </cell>
          <cell r="E1014" t="str">
            <v>A incluir</v>
          </cell>
          <cell r="F1014" t="e">
            <v>#N/A</v>
          </cell>
          <cell r="G1014" t="e">
            <v>#N/A</v>
          </cell>
        </row>
        <row r="1015">
          <cell r="A1015">
            <v>40322</v>
          </cell>
          <cell r="B1015" t="str">
            <v>Formas planas de madeirit meso e superestrutura sem reaproveitamento esp. -&gt; 17 mm, inclusive fornecimento e transporte das madeiras</v>
          </cell>
          <cell r="C1015" t="str">
            <v>m²</v>
          </cell>
          <cell r="D1015">
            <v>110.79</v>
          </cell>
          <cell r="E1015" t="str">
            <v>A incluir</v>
          </cell>
          <cell r="F1015" t="e">
            <v>#N/A</v>
          </cell>
          <cell r="G1015" t="e">
            <v>#N/A</v>
          </cell>
        </row>
        <row r="1016">
          <cell r="A1016">
            <v>40342</v>
          </cell>
          <cell r="B1016" t="str">
            <v>Furação, fornecimento e fixação de grampos diam.16 mm com resina epoxi (prof. 50 cm)</v>
          </cell>
          <cell r="C1016" t="str">
            <v>un</v>
          </cell>
          <cell r="D1016">
            <v>35.369999999999997</v>
          </cell>
          <cell r="E1016">
            <v>0</v>
          </cell>
          <cell r="F1016" t="e">
            <v>#N/A</v>
          </cell>
          <cell r="G1016" t="e">
            <v>#N/A</v>
          </cell>
        </row>
        <row r="1017">
          <cell r="A1017">
            <v>40338</v>
          </cell>
          <cell r="B1017" t="str">
            <v>Furação, fornecimento e fixação de grampos 10 mm com resina epoxi</v>
          </cell>
          <cell r="C1017" t="str">
            <v>un</v>
          </cell>
          <cell r="D1017">
            <v>24.88</v>
          </cell>
          <cell r="E1017">
            <v>0</v>
          </cell>
          <cell r="F1017" t="e">
            <v>#N/A</v>
          </cell>
          <cell r="G1017" t="e">
            <v>#N/A</v>
          </cell>
        </row>
        <row r="1018">
          <cell r="A1018">
            <v>40341</v>
          </cell>
          <cell r="B1018" t="str">
            <v>Furação, fornecimento e fixação de grampos 12,5 mm com resina epoxi em vigas pré-moldadas</v>
          </cell>
          <cell r="C1018" t="str">
            <v>un</v>
          </cell>
          <cell r="D1018">
            <v>6.81</v>
          </cell>
          <cell r="E1018">
            <v>0</v>
          </cell>
          <cell r="F1018" t="e">
            <v>#N/A</v>
          </cell>
          <cell r="G1018" t="e">
            <v>#N/A</v>
          </cell>
        </row>
        <row r="1019">
          <cell r="A1019">
            <v>40416</v>
          </cell>
          <cell r="B1019" t="str">
            <v>Guarda corpo em toras de eucalipto conf. projeto</v>
          </cell>
          <cell r="C1019" t="str">
            <v>m</v>
          </cell>
          <cell r="D1019">
            <v>260.11</v>
          </cell>
          <cell r="E1019">
            <v>0</v>
          </cell>
          <cell r="F1019" t="e">
            <v>#N/A</v>
          </cell>
          <cell r="G1019" t="e">
            <v>#N/A</v>
          </cell>
        </row>
        <row r="1020">
          <cell r="A1020">
            <v>40389</v>
          </cell>
          <cell r="B1020" t="str">
            <v>Guarda corpo metálico</v>
          </cell>
          <cell r="C1020" t="str">
            <v>m</v>
          </cell>
          <cell r="D1020">
            <v>66.459999999999994</v>
          </cell>
          <cell r="E1020">
            <v>0</v>
          </cell>
          <cell r="F1020" t="e">
            <v>#N/A</v>
          </cell>
          <cell r="G1020" t="e">
            <v>#N/A</v>
          </cell>
        </row>
        <row r="1021">
          <cell r="A1021">
            <v>40388</v>
          </cell>
          <cell r="B1021" t="str">
            <v>Guarda corpo padrão (tipo DNIT)</v>
          </cell>
          <cell r="C1021" t="str">
            <v>m</v>
          </cell>
          <cell r="D1021">
            <v>248.79</v>
          </cell>
          <cell r="E1021">
            <v>0</v>
          </cell>
          <cell r="F1021" t="e">
            <v>#N/A</v>
          </cell>
          <cell r="G1021" t="e">
            <v>#N/A</v>
          </cell>
        </row>
        <row r="1022">
          <cell r="A1022">
            <v>41232</v>
          </cell>
          <cell r="B1022" t="str">
            <v>Hidrojateamento de superfícies de concreto</v>
          </cell>
          <cell r="C1022" t="str">
            <v>m²</v>
          </cell>
          <cell r="D1022">
            <v>10.61</v>
          </cell>
          <cell r="E1022">
            <v>0</v>
          </cell>
          <cell r="F1022" t="e">
            <v>#N/A</v>
          </cell>
          <cell r="G1022" t="e">
            <v>#N/A</v>
          </cell>
        </row>
        <row r="1023">
          <cell r="A1023">
            <v>40402</v>
          </cell>
          <cell r="B1023" t="str">
            <v>Hidrojateamento de superfícies metálicas</v>
          </cell>
          <cell r="C1023" t="str">
            <v>m²</v>
          </cell>
          <cell r="D1023">
            <v>28.68</v>
          </cell>
          <cell r="E1023">
            <v>0</v>
          </cell>
          <cell r="F1023" t="e">
            <v>#N/A</v>
          </cell>
          <cell r="G1023" t="e">
            <v>#N/A</v>
          </cell>
        </row>
        <row r="1024">
          <cell r="A1024">
            <v>41033</v>
          </cell>
          <cell r="B1024" t="str">
            <v>Injeção de calda de cimento para chumbamento de tirantes</v>
          </cell>
          <cell r="C1024" t="str">
            <v>sc</v>
          </cell>
          <cell r="D1024">
            <v>45.91</v>
          </cell>
          <cell r="E1024">
            <v>0</v>
          </cell>
          <cell r="F1024" t="e">
            <v>#N/A</v>
          </cell>
          <cell r="G1024" t="e">
            <v>#N/A</v>
          </cell>
        </row>
        <row r="1025">
          <cell r="A1025">
            <v>41233</v>
          </cell>
          <cell r="B1025" t="str">
            <v>Injeção de epoxi em fissuras, inclusive preparo e montagem de bicos de injeção</v>
          </cell>
          <cell r="C1025" t="str">
            <v>kg</v>
          </cell>
          <cell r="D1025">
            <v>672.4</v>
          </cell>
          <cell r="E1025">
            <v>0</v>
          </cell>
          <cell r="F1025" t="e">
            <v>#N/A</v>
          </cell>
          <cell r="G1025" t="e">
            <v>#N/A</v>
          </cell>
        </row>
        <row r="1026">
          <cell r="A1026">
            <v>40386</v>
          </cell>
          <cell r="B1026" t="str">
            <v>Junta de cantoneira L de 4" x 4" x 3/8"</v>
          </cell>
          <cell r="C1026" t="str">
            <v>m</v>
          </cell>
          <cell r="D1026">
            <v>147.37</v>
          </cell>
          <cell r="E1026" t="str">
            <v>A incluir</v>
          </cell>
          <cell r="F1026" t="e">
            <v>#N/A</v>
          </cell>
          <cell r="G1026" t="e">
            <v>#N/A</v>
          </cell>
        </row>
        <row r="1027">
          <cell r="A1027">
            <v>41199</v>
          </cell>
          <cell r="B1027" t="str">
            <v>Junta de dilatação elástica pré-moldada p/ concreto, tipo fungenband em perfil O-12 de PVC alta densidade, Uniontech ou equival. fornecim./colocação</v>
          </cell>
          <cell r="C1027" t="str">
            <v>m</v>
          </cell>
          <cell r="D1027">
            <v>48.9</v>
          </cell>
          <cell r="E1027">
            <v>0</v>
          </cell>
          <cell r="F1027" t="e">
            <v>#N/A</v>
          </cell>
          <cell r="G1027" t="e">
            <v>#N/A</v>
          </cell>
        </row>
        <row r="1028">
          <cell r="A1028">
            <v>42529</v>
          </cell>
          <cell r="B1028" t="str">
            <v>Junta perfil elastomérico de vedação p/pontes c/abertura média de 25mm ± 10 mm, inclus. lábios poliméricos-Marca Ref JEENE-JJ2540 VV (constr.)</v>
          </cell>
          <cell r="C1028" t="str">
            <v>m</v>
          </cell>
          <cell r="D1028">
            <v>799.45</v>
          </cell>
          <cell r="E1028">
            <v>0</v>
          </cell>
          <cell r="F1028" t="e">
            <v>#N/A</v>
          </cell>
          <cell r="G1028" t="e">
            <v>#N/A</v>
          </cell>
        </row>
        <row r="1029">
          <cell r="A1029">
            <v>40384</v>
          </cell>
          <cell r="B1029" t="str">
            <v>Junta perfil elastomérico de vedação p/pontes c/abertura média de 50 mm ± 25 mm, inclus.lábios poliméricos-Marca Ref.JEENE mod.JJ-5070 (constr.)</v>
          </cell>
          <cell r="C1029" t="str">
            <v>m</v>
          </cell>
          <cell r="D1029">
            <v>1374.07</v>
          </cell>
          <cell r="E1029">
            <v>0</v>
          </cell>
          <cell r="F1029" t="e">
            <v>#N/A</v>
          </cell>
          <cell r="G1029" t="e">
            <v>#N/A</v>
          </cell>
        </row>
        <row r="1030">
          <cell r="A1030">
            <v>40385</v>
          </cell>
          <cell r="B1030" t="str">
            <v>Junta perfil elastomérico de vedação p/pontes c/abertura média de 50mm ± 25mm,inclus.lábios poliméricos-Marca Ref JEENE mod.JJ-5070 VV(substituição)</v>
          </cell>
          <cell r="C1030" t="str">
            <v>m</v>
          </cell>
          <cell r="D1030">
            <v>1409.2</v>
          </cell>
          <cell r="E1030">
            <v>0</v>
          </cell>
          <cell r="F1030" t="e">
            <v>#N/A</v>
          </cell>
          <cell r="G1030" t="e">
            <v>#N/A</v>
          </cell>
        </row>
        <row r="1031">
          <cell r="A1031">
            <v>40393</v>
          </cell>
          <cell r="B1031" t="str">
            <v>Perfuração de concreto</v>
          </cell>
          <cell r="C1031" t="str">
            <v>m</v>
          </cell>
          <cell r="D1031">
            <v>16.29</v>
          </cell>
          <cell r="E1031">
            <v>0</v>
          </cell>
          <cell r="F1031" t="e">
            <v>#N/A</v>
          </cell>
          <cell r="G1031" t="e">
            <v>#N/A</v>
          </cell>
        </row>
        <row r="1032">
          <cell r="A1032">
            <v>40394</v>
          </cell>
          <cell r="B1032" t="str">
            <v>Perfuração de rocha para fixação de chumbadores</v>
          </cell>
          <cell r="C1032" t="str">
            <v>m</v>
          </cell>
          <cell r="D1032">
            <v>19.190000000000001</v>
          </cell>
          <cell r="E1032">
            <v>0</v>
          </cell>
          <cell r="F1032" t="e">
            <v>#N/A</v>
          </cell>
          <cell r="G1032" t="e">
            <v>#N/A</v>
          </cell>
        </row>
        <row r="1033">
          <cell r="A1033">
            <v>40390</v>
          </cell>
          <cell r="B1033" t="str">
            <v>Pintura a cal em pontes (2 demãos)</v>
          </cell>
          <cell r="C1033" t="str">
            <v>m²</v>
          </cell>
          <cell r="D1033">
            <v>3.39</v>
          </cell>
          <cell r="E1033">
            <v>0</v>
          </cell>
          <cell r="F1033" t="e">
            <v>#N/A</v>
          </cell>
          <cell r="G1033" t="e">
            <v>#N/A</v>
          </cell>
        </row>
        <row r="1034">
          <cell r="A1034">
            <v>42256</v>
          </cell>
          <cell r="B1034" t="str">
            <v>Ponte provisoria para movimentação de equipamentos de execução de fundação composta de passadiço de madeira sobre estacas de madeira</v>
          </cell>
          <cell r="C1034" t="str">
            <v>m²</v>
          </cell>
          <cell r="D1034">
            <v>3530.95</v>
          </cell>
          <cell r="E1034" t="str">
            <v>A incluir</v>
          </cell>
          <cell r="F1034" t="e">
            <v>#N/A</v>
          </cell>
          <cell r="G1034" t="e">
            <v>#N/A</v>
          </cell>
        </row>
        <row r="1035">
          <cell r="A1035">
            <v>40400</v>
          </cell>
          <cell r="B1035" t="str">
            <v>Preparo e colocação de 12 cordoalhas de 1/2" (Aço CP-190 RB) nas formas, inclusive injeção de nata de cimento</v>
          </cell>
          <cell r="C1035" t="str">
            <v>kg</v>
          </cell>
          <cell r="D1035">
            <v>11.22</v>
          </cell>
          <cell r="E1035" t="str">
            <v>A incluir</v>
          </cell>
          <cell r="F1035" t="e">
            <v>#N/A</v>
          </cell>
          <cell r="G1035" t="e">
            <v>#N/A</v>
          </cell>
        </row>
        <row r="1036">
          <cell r="A1036">
            <v>41201</v>
          </cell>
          <cell r="B1036" t="str">
            <v>Recuperação estrutural com uso de argamassa polimérica (espessura média-&gt;3,5cm)</v>
          </cell>
          <cell r="C1036" t="str">
            <v>m²</v>
          </cell>
          <cell r="D1036">
            <v>796.64</v>
          </cell>
          <cell r="E1036">
            <v>0</v>
          </cell>
          <cell r="F1036" t="e">
            <v>#N/A</v>
          </cell>
          <cell r="G1036" t="e">
            <v>#N/A</v>
          </cell>
        </row>
        <row r="1037">
          <cell r="A1037">
            <v>41035</v>
          </cell>
          <cell r="B1037" t="str">
            <v>Tirante de Aço CA-50, diâmetro de 25mm (1"), para comprimentos até 6m</v>
          </cell>
          <cell r="C1037" t="str">
            <v>m</v>
          </cell>
          <cell r="D1037">
            <v>88.08</v>
          </cell>
          <cell r="E1037">
            <v>0</v>
          </cell>
          <cell r="F1037" t="e">
            <v>#N/A</v>
          </cell>
          <cell r="G1037" t="e">
            <v>#N/A</v>
          </cell>
        </row>
        <row r="1038">
          <cell r="A1038">
            <v>41263</v>
          </cell>
          <cell r="B1038" t="str">
            <v>Tirante de aço Rocsolo ou similar, diâmetro 29,3mm, incluindo fornecimento da barra e da bainha proteção anticorrosiva, preparo e colocação no furo</v>
          </cell>
          <cell r="C1038" t="str">
            <v>m</v>
          </cell>
          <cell r="D1038">
            <v>159.19</v>
          </cell>
          <cell r="E1038">
            <v>0</v>
          </cell>
          <cell r="F1038" t="e">
            <v>#N/A</v>
          </cell>
          <cell r="G1038" t="e">
            <v>#N/A</v>
          </cell>
        </row>
        <row r="1039">
          <cell r="A1039">
            <v>41089</v>
          </cell>
          <cell r="B1039" t="str">
            <v>Tirante de aço ST 50/55, para carga trab. até 22 t, diam.32mm, incluindo fornecimento da bainha proteção anticorrosiva, preparo e colocação no furo.</v>
          </cell>
          <cell r="C1039" t="str">
            <v>m</v>
          </cell>
          <cell r="D1039">
            <v>157.30000000000001</v>
          </cell>
          <cell r="E1039">
            <v>0</v>
          </cell>
          <cell r="F1039" t="e">
            <v>#N/A</v>
          </cell>
          <cell r="G1039" t="e">
            <v>#N/A</v>
          </cell>
        </row>
        <row r="1040">
          <cell r="A1040">
            <v>41039</v>
          </cell>
          <cell r="B1040" t="str">
            <v>Tirante de aço ST 85/105, incluindo fornecimento da barra e da bainha proteção anticorrosiva, preparo e colocação no furo</v>
          </cell>
          <cell r="C1040" t="str">
            <v>m</v>
          </cell>
          <cell r="D1040">
            <v>170.54</v>
          </cell>
          <cell r="E1040">
            <v>0</v>
          </cell>
          <cell r="F1040" t="e">
            <v>#N/A</v>
          </cell>
          <cell r="G1040" t="e">
            <v>#N/A</v>
          </cell>
        </row>
        <row r="1041">
          <cell r="A1041">
            <v>41030</v>
          </cell>
          <cell r="B1041" t="str">
            <v>Tirante protendido em Aço GEWI 50/55 ou similar, diâmetro de 32mm</v>
          </cell>
          <cell r="C1041" t="str">
            <v>m</v>
          </cell>
          <cell r="D1041">
            <v>148.22999999999999</v>
          </cell>
          <cell r="E1041">
            <v>0</v>
          </cell>
          <cell r="F1041" t="e">
            <v>#N/A</v>
          </cell>
          <cell r="G1041" t="e">
            <v>#N/A</v>
          </cell>
        </row>
        <row r="1042">
          <cell r="A1042">
            <v>0</v>
          </cell>
          <cell r="B1042">
            <v>0</v>
          </cell>
          <cell r="C1042">
            <v>0</v>
          </cell>
          <cell r="E1042" t="e">
            <v>#N/A</v>
          </cell>
          <cell r="F1042" t="e">
            <v>#N/A</v>
          </cell>
          <cell r="G1042" t="e">
            <v>#N/A</v>
          </cell>
        </row>
        <row r="1043">
          <cell r="A1043" t="str">
            <v>Grupo de Serviço: 44 - MATERIAIS</v>
          </cell>
          <cell r="B1043">
            <v>0</v>
          </cell>
          <cell r="C1043">
            <v>0</v>
          </cell>
          <cell r="D1043">
            <v>0</v>
          </cell>
          <cell r="E1043" t="e">
            <v>#N/A</v>
          </cell>
          <cell r="F1043" t="e">
            <v>#N/A</v>
          </cell>
          <cell r="G1043" t="e">
            <v>#N/A</v>
          </cell>
        </row>
        <row r="1044">
          <cell r="A1044">
            <v>42045</v>
          </cell>
          <cell r="B1044" t="str">
            <v>Aquisição de solo de jazida comercial (saibreira)</v>
          </cell>
          <cell r="C1044" t="str">
            <v>m³</v>
          </cell>
          <cell r="D1044">
            <v>6.09</v>
          </cell>
          <cell r="E1044">
            <v>0</v>
          </cell>
          <cell r="F1044">
            <v>6.09</v>
          </cell>
          <cell r="G1044">
            <v>1</v>
          </cell>
        </row>
        <row r="1045">
          <cell r="A1045">
            <v>42043</v>
          </cell>
          <cell r="B1045" t="str">
            <v>Bonificação de 20,93% sobre aquisição de materiais</v>
          </cell>
          <cell r="C1045" t="str">
            <v>%</v>
          </cell>
          <cell r="D1045">
            <v>0</v>
          </cell>
          <cell r="E1045">
            <v>0</v>
          </cell>
          <cell r="F1045">
            <v>0</v>
          </cell>
          <cell r="G1045" t="e">
            <v>#DIV/0!</v>
          </cell>
        </row>
        <row r="1046">
          <cell r="A1046">
            <v>0</v>
          </cell>
          <cell r="B1046">
            <v>0</v>
          </cell>
          <cell r="C1046">
            <v>0</v>
          </cell>
          <cell r="E1046" t="e">
            <v>#N/A</v>
          </cell>
          <cell r="F1046" t="e">
            <v>#N/A</v>
          </cell>
          <cell r="G1046" t="e">
            <v>#N/A</v>
          </cell>
        </row>
        <row r="1047">
          <cell r="A1047" t="str">
            <v>Grupo de Serviço: 61 - TERRAPLENAGEM - VIAS URBANAS</v>
          </cell>
          <cell r="B1047">
            <v>0</v>
          </cell>
          <cell r="C1047">
            <v>0</v>
          </cell>
          <cell r="E1047" t="e">
            <v>#N/A</v>
          </cell>
          <cell r="F1047" t="e">
            <v>#N/A</v>
          </cell>
          <cell r="G1047" t="e">
            <v>#N/A</v>
          </cell>
        </row>
        <row r="1048">
          <cell r="A1048">
            <v>42512</v>
          </cell>
          <cell r="B1048" t="str">
            <v>Carga de material de 1ª categoria em Vias Urbanas</v>
          </cell>
          <cell r="C1048" t="str">
            <v>m³</v>
          </cell>
          <cell r="D1048">
            <v>2.96</v>
          </cell>
          <cell r="E1048">
            <v>0</v>
          </cell>
          <cell r="F1048" t="e">
            <v>#N/A</v>
          </cell>
          <cell r="G1048" t="e">
            <v>#N/A</v>
          </cell>
        </row>
        <row r="1049">
          <cell r="A1049">
            <v>42513</v>
          </cell>
          <cell r="B1049" t="str">
            <v>Carga de material de 2ª categoria (solo, areia, brita, excl. rocha escavada) em Vias Urbanas</v>
          </cell>
          <cell r="C1049" t="str">
            <v>m³</v>
          </cell>
          <cell r="D1049">
            <v>3.86</v>
          </cell>
          <cell r="E1049">
            <v>0</v>
          </cell>
          <cell r="F1049" t="e">
            <v>#N/A</v>
          </cell>
          <cell r="G1049" t="e">
            <v>#N/A</v>
          </cell>
        </row>
        <row r="1050">
          <cell r="A1050">
            <v>42514</v>
          </cell>
          <cell r="B1050" t="str">
            <v>Carga de material de 3ª categoria (rocha) em Vias Urbanas</v>
          </cell>
          <cell r="C1050" t="str">
            <v>m³</v>
          </cell>
          <cell r="D1050">
            <v>5.71</v>
          </cell>
          <cell r="E1050">
            <v>0</v>
          </cell>
          <cell r="F1050" t="e">
            <v>#N/A</v>
          </cell>
          <cell r="G1050" t="e">
            <v>#N/A</v>
          </cell>
        </row>
        <row r="1051">
          <cell r="A1051">
            <v>43349</v>
          </cell>
          <cell r="B1051" t="str">
            <v>Compactação de aterros 100% PI em Vias Urbanas</v>
          </cell>
          <cell r="C1051" t="str">
            <v>m³</v>
          </cell>
          <cell r="D1051">
            <v>6.13</v>
          </cell>
          <cell r="E1051">
            <v>0</v>
          </cell>
          <cell r="F1051" t="e">
            <v>#N/A</v>
          </cell>
          <cell r="G1051" t="e">
            <v>#N/A</v>
          </cell>
        </row>
        <row r="1052">
          <cell r="A1052">
            <v>42515</v>
          </cell>
          <cell r="B1052" t="str">
            <v>Compactação de aterros 100% PN em Vias Urbanas</v>
          </cell>
          <cell r="C1052" t="str">
            <v>m³</v>
          </cell>
          <cell r="D1052">
            <v>4.7300000000000004</v>
          </cell>
          <cell r="E1052">
            <v>0</v>
          </cell>
          <cell r="F1052" t="e">
            <v>#N/A</v>
          </cell>
          <cell r="G1052" t="e">
            <v>#N/A</v>
          </cell>
        </row>
        <row r="1053">
          <cell r="A1053">
            <v>42523</v>
          </cell>
          <cell r="B1053" t="str">
            <v>Escalonamento de taludes com escavadeira em Vias Urbanas</v>
          </cell>
          <cell r="C1053" t="str">
            <v>m³</v>
          </cell>
          <cell r="D1053">
            <v>7.62</v>
          </cell>
          <cell r="E1053">
            <v>0</v>
          </cell>
          <cell r="F1053" t="e">
            <v>#N/A</v>
          </cell>
          <cell r="G1053" t="e">
            <v>#N/A</v>
          </cell>
        </row>
        <row r="1054">
          <cell r="A1054">
            <v>42525</v>
          </cell>
          <cell r="B1054" t="str">
            <v>Escavação a fogo em material de 3ª categoria, rocha viva, a céu aberto, perfuração a ar comprimido em Vias Urbanas</v>
          </cell>
          <cell r="C1054" t="str">
            <v>m³</v>
          </cell>
          <cell r="D1054">
            <v>58.57</v>
          </cell>
          <cell r="E1054">
            <v>0</v>
          </cell>
          <cell r="F1054" t="e">
            <v>#N/A</v>
          </cell>
          <cell r="G1054" t="e">
            <v>#N/A</v>
          </cell>
        </row>
        <row r="1055">
          <cell r="A1055">
            <v>42576</v>
          </cell>
          <cell r="B1055" t="str">
            <v>Escavação, carga de material de 3ª categoria (fogo controlado) em Vias Urbanas</v>
          </cell>
          <cell r="C1055" t="str">
            <v>m³</v>
          </cell>
          <cell r="D1055">
            <v>100.68</v>
          </cell>
          <cell r="E1055">
            <v>0</v>
          </cell>
          <cell r="F1055" t="e">
            <v>#N/A</v>
          </cell>
          <cell r="G1055" t="e">
            <v>#N/A</v>
          </cell>
        </row>
        <row r="1056">
          <cell r="A1056">
            <v>42577</v>
          </cell>
          <cell r="B1056" t="str">
            <v>Escavação e carga de material de barreira (remoção) em Vias Urbanas</v>
          </cell>
          <cell r="C1056" t="str">
            <v>m³</v>
          </cell>
          <cell r="D1056">
            <v>7.53</v>
          </cell>
          <cell r="E1056">
            <v>0</v>
          </cell>
          <cell r="F1056" t="e">
            <v>#N/A</v>
          </cell>
          <cell r="G1056" t="e">
            <v>#N/A</v>
          </cell>
        </row>
        <row r="1057">
          <cell r="A1057">
            <v>42578</v>
          </cell>
          <cell r="B1057" t="str">
            <v>Escavação e carga de material de 1ª categoria com escavadeira em Vias Urbanas</v>
          </cell>
          <cell r="C1057" t="str">
            <v>m³</v>
          </cell>
          <cell r="D1057">
            <v>3.24</v>
          </cell>
          <cell r="E1057">
            <v>0</v>
          </cell>
          <cell r="F1057" t="e">
            <v>#N/A</v>
          </cell>
          <cell r="G1057" t="e">
            <v>#N/A</v>
          </cell>
        </row>
        <row r="1058">
          <cell r="A1058">
            <v>42580</v>
          </cell>
          <cell r="B1058" t="str">
            <v>Escavação e carga de material de 2ª categoria com escavadeira em Vias Urbanas</v>
          </cell>
          <cell r="C1058" t="str">
            <v>m³</v>
          </cell>
          <cell r="D1058">
            <v>4.78</v>
          </cell>
          <cell r="E1058">
            <v>0</v>
          </cell>
          <cell r="F1058" t="e">
            <v>#N/A</v>
          </cell>
          <cell r="G1058" t="e">
            <v>#N/A</v>
          </cell>
        </row>
        <row r="1059">
          <cell r="A1059">
            <v>42582</v>
          </cell>
          <cell r="B1059" t="str">
            <v>Escavação e carga de material de 3ª categoria (H bancada &gt;1,0 m) em Vias Urbanas</v>
          </cell>
          <cell r="C1059" t="str">
            <v>m³</v>
          </cell>
          <cell r="D1059">
            <v>43.75</v>
          </cell>
          <cell r="E1059">
            <v>0</v>
          </cell>
          <cell r="F1059" t="e">
            <v>#N/A</v>
          </cell>
          <cell r="G1059" t="e">
            <v>#N/A</v>
          </cell>
        </row>
        <row r="1060">
          <cell r="A1060">
            <v>42586</v>
          </cell>
          <cell r="B1060" t="str">
            <v>Fragmentação de rocha (fogacheamento) em Vias Urbanas</v>
          </cell>
          <cell r="C1060" t="str">
            <v>m³</v>
          </cell>
          <cell r="D1060">
            <v>63.89</v>
          </cell>
          <cell r="E1060">
            <v>0</v>
          </cell>
          <cell r="F1060" t="e">
            <v>#N/A</v>
          </cell>
          <cell r="G1060" t="e">
            <v>#N/A</v>
          </cell>
        </row>
        <row r="1061">
          <cell r="A1061">
            <v>42587</v>
          </cell>
          <cell r="B1061" t="str">
            <v>Limpeza de acostamento em Vias Urbanas</v>
          </cell>
          <cell r="C1061" t="str">
            <v>m²</v>
          </cell>
          <cell r="D1061">
            <v>0.67</v>
          </cell>
          <cell r="E1061">
            <v>0</v>
          </cell>
          <cell r="F1061" t="e">
            <v>#N/A</v>
          </cell>
          <cell r="G1061" t="e">
            <v>#N/A</v>
          </cell>
        </row>
        <row r="1062">
          <cell r="A1062">
            <v>42590</v>
          </cell>
          <cell r="B1062" t="str">
            <v>Limpeza e desmatamento em área alagada (pântano) com ferr. man., incl. moto serra em Vias Urbanas</v>
          </cell>
          <cell r="C1062" t="str">
            <v>m²</v>
          </cell>
          <cell r="D1062">
            <v>8.81</v>
          </cell>
          <cell r="E1062">
            <v>0</v>
          </cell>
          <cell r="F1062" t="e">
            <v>#N/A</v>
          </cell>
          <cell r="G1062" t="e">
            <v>#N/A</v>
          </cell>
        </row>
        <row r="1063">
          <cell r="A1063">
            <v>42591</v>
          </cell>
          <cell r="B1063" t="str">
            <v>Pré-fissuramento de taludes de rocha em Vias Urbanas</v>
          </cell>
          <cell r="C1063" t="str">
            <v>m²</v>
          </cell>
          <cell r="D1063">
            <v>34.96</v>
          </cell>
          <cell r="E1063">
            <v>0</v>
          </cell>
          <cell r="F1063" t="e">
            <v>#N/A</v>
          </cell>
          <cell r="G1063" t="e">
            <v>#N/A</v>
          </cell>
        </row>
        <row r="1064">
          <cell r="A1064">
            <v>42592</v>
          </cell>
          <cell r="B1064" t="str">
            <v>Recomposição vegetal de jazidas, empréstimos e bota-fora em Vias Urbanas</v>
          </cell>
          <cell r="C1064" t="str">
            <v>m²</v>
          </cell>
          <cell r="D1064">
            <v>14.33</v>
          </cell>
          <cell r="E1064" t="str">
            <v>A incluir</v>
          </cell>
          <cell r="F1064" t="e">
            <v>#N/A</v>
          </cell>
          <cell r="G1064" t="e">
            <v>#N/A</v>
          </cell>
        </row>
        <row r="1065">
          <cell r="A1065">
            <v>42593</v>
          </cell>
          <cell r="B1065" t="str">
            <v>Remoção de solos moles, incluindo carregamento mecânico com escavadeira hidráulica em Vias Urbanas</v>
          </cell>
          <cell r="C1065" t="str">
            <v>m³</v>
          </cell>
          <cell r="D1065">
            <v>24.79</v>
          </cell>
          <cell r="E1065">
            <v>0</v>
          </cell>
          <cell r="F1065" t="e">
            <v>#N/A</v>
          </cell>
          <cell r="G1065" t="e">
            <v>#N/A</v>
          </cell>
        </row>
        <row r="1066">
          <cell r="A1066">
            <v>42596</v>
          </cell>
          <cell r="B1066" t="str">
            <v>Transporte horizontal com trator de lâmina de material de 1ª cat. DMTaté 50m em Vias Urbanas</v>
          </cell>
          <cell r="C1066" t="str">
            <v>m³</v>
          </cell>
          <cell r="D1066">
            <v>5.32</v>
          </cell>
          <cell r="E1066">
            <v>0</v>
          </cell>
          <cell r="F1066" t="e">
            <v>#N/A</v>
          </cell>
          <cell r="G1066" t="e">
            <v>#N/A</v>
          </cell>
        </row>
        <row r="1067">
          <cell r="A1067">
            <v>0</v>
          </cell>
          <cell r="B1067">
            <v>0</v>
          </cell>
          <cell r="C1067">
            <v>0</v>
          </cell>
          <cell r="E1067" t="e">
            <v>#N/A</v>
          </cell>
          <cell r="F1067" t="e">
            <v>#N/A</v>
          </cell>
          <cell r="G1067" t="e">
            <v>#N/A</v>
          </cell>
        </row>
        <row r="1068">
          <cell r="A1068" t="str">
            <v>Grupo de Serviço: 62 - PAVIMENTAÇÃO - VIAS URBANAS</v>
          </cell>
          <cell r="B1068">
            <v>0</v>
          </cell>
          <cell r="C1068">
            <v>0</v>
          </cell>
          <cell r="E1068" t="e">
            <v>#N/A</v>
          </cell>
          <cell r="F1068" t="e">
            <v>#N/A</v>
          </cell>
          <cell r="G1068" t="e">
            <v>#N/A</v>
          </cell>
        </row>
        <row r="1069">
          <cell r="A1069">
            <v>42483</v>
          </cell>
          <cell r="B1069" t="str">
            <v>Base de brita graduada, inclusive fornecimento, exclusive transporte da brita em Vias Urbanas</v>
          </cell>
          <cell r="C1069" t="str">
            <v>m³</v>
          </cell>
          <cell r="D1069">
            <v>115.74</v>
          </cell>
          <cell r="E1069">
            <v>0</v>
          </cell>
          <cell r="F1069" t="e">
            <v>#N/A</v>
          </cell>
          <cell r="G1069" t="e">
            <v>#N/A</v>
          </cell>
        </row>
        <row r="1070">
          <cell r="A1070">
            <v>42695</v>
          </cell>
          <cell r="B1070" t="str">
            <v>Base de brita 1, inclusive fornecimento, exclusive transporte da brita em Vias Urbanas</v>
          </cell>
          <cell r="C1070" t="str">
            <v>m³</v>
          </cell>
          <cell r="D1070">
            <v>110.84</v>
          </cell>
          <cell r="E1070">
            <v>0</v>
          </cell>
          <cell r="F1070" t="e">
            <v>#N/A</v>
          </cell>
          <cell r="G1070" t="e">
            <v>#N/A</v>
          </cell>
        </row>
        <row r="1071">
          <cell r="A1071">
            <v>42481</v>
          </cell>
          <cell r="B1071" t="str">
            <v>Base de solo brita, 50% em peso, inclusive fornecimento, exclusive transporte da brita em Vias Urbanas</v>
          </cell>
          <cell r="C1071" t="str">
            <v>m³</v>
          </cell>
          <cell r="D1071">
            <v>76.55</v>
          </cell>
          <cell r="E1071">
            <v>0</v>
          </cell>
          <cell r="F1071" t="e">
            <v>#N/A</v>
          </cell>
          <cell r="G1071" t="e">
            <v>#N/A</v>
          </cell>
        </row>
        <row r="1072">
          <cell r="A1072">
            <v>42508</v>
          </cell>
          <cell r="B1072" t="str">
            <v>CBUQ (massa asfáltica) inclusive fornecimento e transporte comercial do CAP, em Vias Urbanas</v>
          </cell>
          <cell r="C1072" t="str">
            <v>t</v>
          </cell>
          <cell r="D1072">
            <v>267.18</v>
          </cell>
          <cell r="E1072" t="str">
            <v>A incluir</v>
          </cell>
          <cell r="F1072" t="e">
            <v>#N/A</v>
          </cell>
          <cell r="G1072" t="e">
            <v>#N/A</v>
          </cell>
        </row>
        <row r="1073">
          <cell r="A1073">
            <v>42496</v>
          </cell>
          <cell r="B1073" t="str">
            <v>Demolição e remoção de pavimento asfáltico em Vias Urbanas</v>
          </cell>
          <cell r="C1073" t="str">
            <v>m²</v>
          </cell>
          <cell r="D1073">
            <v>3.17</v>
          </cell>
          <cell r="E1073">
            <v>0</v>
          </cell>
          <cell r="F1073" t="e">
            <v>#N/A</v>
          </cell>
          <cell r="G1073" t="e">
            <v>#N/A</v>
          </cell>
        </row>
        <row r="1074">
          <cell r="A1074">
            <v>41133</v>
          </cell>
          <cell r="B1074" t="str">
            <v>Fresagem de pavimento asfáltico a frio, esp. até 15cm, exclusive transporte de materiais, em Vias Urbanas</v>
          </cell>
          <cell r="C1074" t="str">
            <v>m²</v>
          </cell>
          <cell r="D1074">
            <v>10.5</v>
          </cell>
          <cell r="E1074">
            <v>0</v>
          </cell>
          <cell r="F1074" t="e">
            <v>#N/A</v>
          </cell>
          <cell r="G1074" t="e">
            <v>#N/A</v>
          </cell>
        </row>
        <row r="1075">
          <cell r="A1075">
            <v>42479</v>
          </cell>
          <cell r="B1075" t="str">
            <v>Fresagem de pavimento asfáltico a frio, esp-&gt;5cm, exclusive transporte de materiais em Vias Urbanas</v>
          </cell>
          <cell r="C1075" t="str">
            <v>m²</v>
          </cell>
          <cell r="D1075">
            <v>7.38</v>
          </cell>
          <cell r="E1075">
            <v>0</v>
          </cell>
          <cell r="F1075" t="e">
            <v>#N/A</v>
          </cell>
          <cell r="G1075" t="e">
            <v>#N/A</v>
          </cell>
        </row>
        <row r="1076">
          <cell r="A1076">
            <v>43333</v>
          </cell>
          <cell r="B1076" t="str">
            <v>Imprimação exclusive fornecimento e transporte comercial do material betuminoso em Vias Urbanas</v>
          </cell>
          <cell r="C1076" t="str">
            <v>m²</v>
          </cell>
          <cell r="D1076">
            <v>1.01</v>
          </cell>
          <cell r="E1076">
            <v>0</v>
          </cell>
          <cell r="F1076" t="e">
            <v>#N/A</v>
          </cell>
          <cell r="G1076" t="e">
            <v>#N/A</v>
          </cell>
        </row>
        <row r="1077">
          <cell r="A1077">
            <v>42484</v>
          </cell>
          <cell r="B1077" t="str">
            <v>Imprimação inclusive fornecimento e transporte comercial do material betuminoso em Vias Urbanas</v>
          </cell>
          <cell r="C1077" t="str">
            <v>m²</v>
          </cell>
          <cell r="D1077">
            <v>5.96</v>
          </cell>
          <cell r="E1077" t="str">
            <v>A incluir</v>
          </cell>
          <cell r="F1077" t="e">
            <v>#N/A</v>
          </cell>
          <cell r="G1077" t="e">
            <v>#N/A</v>
          </cell>
        </row>
        <row r="1078">
          <cell r="A1078">
            <v>42497</v>
          </cell>
          <cell r="B1078" t="str">
            <v>Micro revestimento asfáltico à frio inclusive fornecimento e transporte comercial do material betuminoso, em Vias Urbanas</v>
          </cell>
          <cell r="C1078" t="str">
            <v>m²</v>
          </cell>
          <cell r="D1078">
            <v>13.07</v>
          </cell>
          <cell r="E1078" t="str">
            <v>A incluir</v>
          </cell>
          <cell r="F1078" t="e">
            <v>#N/A</v>
          </cell>
          <cell r="G1078" t="e">
            <v>#N/A</v>
          </cell>
        </row>
        <row r="1079">
          <cell r="A1079">
            <v>42493</v>
          </cell>
          <cell r="B1079" t="str">
            <v>Obturação de buracos c/ CBUQ inclusive fornecimento e transporte comercial dos materiais betuminosos em Vias Urbanas</v>
          </cell>
          <cell r="C1079" t="str">
            <v>m²</v>
          </cell>
          <cell r="D1079">
            <v>70.349999999999994</v>
          </cell>
          <cell r="E1079" t="str">
            <v>A incluir</v>
          </cell>
          <cell r="F1079" t="e">
            <v>#N/A</v>
          </cell>
          <cell r="G1079" t="e">
            <v>#N/A</v>
          </cell>
        </row>
        <row r="1080">
          <cell r="A1080">
            <v>42494</v>
          </cell>
          <cell r="B1080" t="str">
            <v>Obturação de buracos c/ CBUQ inclusive fornecimento e transporte dos materiais betuminosos em Vias Urbanas</v>
          </cell>
          <cell r="C1080" t="str">
            <v>t</v>
          </cell>
          <cell r="D1080">
            <v>385.8</v>
          </cell>
          <cell r="E1080" t="str">
            <v>A incluir</v>
          </cell>
          <cell r="F1080" t="e">
            <v>#N/A</v>
          </cell>
          <cell r="G1080" t="e">
            <v>#N/A</v>
          </cell>
        </row>
        <row r="1081">
          <cell r="A1081">
            <v>42498</v>
          </cell>
          <cell r="B1081" t="str">
            <v>Pavimentação com blocos de concreto (35 MPa), esp.-&gt;06cm, sobre colchão areia esp.-&gt;5cm, inclusive fornecim. e transporte blocos e areia, Vias Urbanas</v>
          </cell>
          <cell r="C1081" t="str">
            <v>m²</v>
          </cell>
          <cell r="D1081">
            <v>74.75</v>
          </cell>
          <cell r="E1081" t="str">
            <v>A incluir</v>
          </cell>
          <cell r="F1081" t="e">
            <v>#N/A</v>
          </cell>
          <cell r="G1081" t="e">
            <v>#N/A</v>
          </cell>
        </row>
        <row r="1082">
          <cell r="A1082">
            <v>42499</v>
          </cell>
          <cell r="B1082" t="str">
            <v>Pavimentação com blocos de concreto (35 MPa), esp.-&gt;08cm, sobre colchão de areia 5cm, inclusive fornecim. e transporte blocos e areia, em Vias Urbanas</v>
          </cell>
          <cell r="C1082" t="str">
            <v>m²</v>
          </cell>
          <cell r="D1082">
            <v>81.599999999999994</v>
          </cell>
          <cell r="E1082" t="str">
            <v>A incluir</v>
          </cell>
          <cell r="F1082" t="e">
            <v>#N/A</v>
          </cell>
          <cell r="G1082" t="e">
            <v>#N/A</v>
          </cell>
        </row>
        <row r="1083">
          <cell r="A1083">
            <v>42500</v>
          </cell>
          <cell r="B1083" t="str">
            <v>Pavimentação com blocos de concreto (35 MPa), esp.-&gt;10cm, sobre colchão de areia esp.-&gt;5cm, inclusive fornecim.e transporte blocos e areia,Vias Urbanas</v>
          </cell>
          <cell r="C1083" t="str">
            <v>m²</v>
          </cell>
          <cell r="D1083">
            <v>97.36</v>
          </cell>
          <cell r="E1083" t="str">
            <v>A incluir</v>
          </cell>
          <cell r="F1083" t="e">
            <v>#N/A</v>
          </cell>
          <cell r="G1083" t="e">
            <v>#N/A</v>
          </cell>
        </row>
        <row r="1084">
          <cell r="A1084">
            <v>42501</v>
          </cell>
          <cell r="B1084" t="str">
            <v>Pavimentação com paralelepípedo, colchão areia 5cm, inclusive fornecimento e transporte do paralelepípedo e areia, em Vias Urbanas</v>
          </cell>
          <cell r="C1084" t="str">
            <v>m²</v>
          </cell>
          <cell r="D1084">
            <v>94.31</v>
          </cell>
          <cell r="E1084" t="str">
            <v>A incluir</v>
          </cell>
          <cell r="F1084" t="e">
            <v>#N/A</v>
          </cell>
          <cell r="G1084" t="e">
            <v>#N/A</v>
          </cell>
        </row>
        <row r="1085">
          <cell r="A1085">
            <v>42502</v>
          </cell>
          <cell r="B1085" t="str">
            <v>Pavimentação com paralelepípedo sobre colchão pó de pedra esp.-&gt;5cm, inclusive fornecimento e transporte do paralelepípedo e pó de pedra, Vias Urbanas</v>
          </cell>
          <cell r="C1085" t="str">
            <v>m²</v>
          </cell>
          <cell r="D1085">
            <v>92.42</v>
          </cell>
          <cell r="E1085" t="str">
            <v>A incluir</v>
          </cell>
          <cell r="F1085" t="e">
            <v>#N/A</v>
          </cell>
          <cell r="G1085" t="e">
            <v>#N/A</v>
          </cell>
        </row>
        <row r="1086">
          <cell r="A1086">
            <v>42503</v>
          </cell>
          <cell r="B1086" t="str">
            <v>Pavimentação com pedra portuguesa, inclusive fornecimento e transporte do cimento, areia e pedra portuguesa em Vias Urbanas</v>
          </cell>
          <cell r="C1086" t="str">
            <v>m²</v>
          </cell>
          <cell r="D1086">
            <v>124.26</v>
          </cell>
          <cell r="E1086" t="str">
            <v>A incluir</v>
          </cell>
          <cell r="F1086" t="e">
            <v>#N/A</v>
          </cell>
          <cell r="G1086" t="e">
            <v>#N/A</v>
          </cell>
        </row>
        <row r="1087">
          <cell r="A1087">
            <v>43334</v>
          </cell>
          <cell r="B1087" t="str">
            <v>Pintura de ligação exclusive fornecimento e transporte comercial do material betuminoso em Vias Urbanas</v>
          </cell>
          <cell r="C1087" t="str">
            <v>m²</v>
          </cell>
          <cell r="D1087">
            <v>0.84</v>
          </cell>
          <cell r="E1087">
            <v>0</v>
          </cell>
          <cell r="F1087" t="e">
            <v>#N/A</v>
          </cell>
          <cell r="G1087" t="e">
            <v>#N/A</v>
          </cell>
        </row>
        <row r="1088">
          <cell r="A1088">
            <v>42485</v>
          </cell>
          <cell r="B1088" t="str">
            <v>Pintura de ligação inclusive fornecimento e transporte comercial do material betuminoso em Vias Urbanas</v>
          </cell>
          <cell r="C1088" t="str">
            <v>m²</v>
          </cell>
          <cell r="D1088">
            <v>2.08</v>
          </cell>
          <cell r="E1088" t="str">
            <v>A incluir</v>
          </cell>
          <cell r="F1088" t="e">
            <v>#N/A</v>
          </cell>
          <cell r="G1088" t="e">
            <v>#N/A</v>
          </cell>
        </row>
        <row r="1089">
          <cell r="A1089">
            <v>42478</v>
          </cell>
          <cell r="B1089" t="str">
            <v>Regularização e compactação do sub-leito (100% P.N.) H-&gt;0,15m em Vias Urbanas</v>
          </cell>
          <cell r="C1089" t="str">
            <v>m²</v>
          </cell>
          <cell r="D1089">
            <v>2.94</v>
          </cell>
          <cell r="E1089">
            <v>0</v>
          </cell>
          <cell r="F1089" t="e">
            <v>#N/A</v>
          </cell>
          <cell r="G1089" t="e">
            <v>#N/A</v>
          </cell>
        </row>
        <row r="1090">
          <cell r="A1090">
            <v>42477</v>
          </cell>
          <cell r="B1090" t="str">
            <v>Regularização e compactação do sub-leito (100% P.N.) H-&gt;0,20m Vias Urbanas</v>
          </cell>
          <cell r="C1090" t="str">
            <v>m²</v>
          </cell>
          <cell r="D1090">
            <v>3.9</v>
          </cell>
          <cell r="E1090">
            <v>0</v>
          </cell>
          <cell r="F1090" t="e">
            <v>#N/A</v>
          </cell>
          <cell r="G1090" t="e">
            <v>#N/A</v>
          </cell>
        </row>
        <row r="1091">
          <cell r="A1091">
            <v>42495</v>
          </cell>
          <cell r="B1091" t="str">
            <v>Remoção de capa asfáltica em TSS, TSD, ou TST exclusive transporte em Vias Urbanas</v>
          </cell>
          <cell r="C1091" t="str">
            <v>m²</v>
          </cell>
          <cell r="D1091">
            <v>1.01</v>
          </cell>
          <cell r="E1091">
            <v>0</v>
          </cell>
          <cell r="F1091" t="e">
            <v>#N/A</v>
          </cell>
          <cell r="G1091" t="e">
            <v>#N/A</v>
          </cell>
        </row>
        <row r="1092">
          <cell r="A1092">
            <v>42507</v>
          </cell>
          <cell r="B1092" t="str">
            <v>Remoção de meio fio em Vias Urbanas</v>
          </cell>
          <cell r="C1092" t="str">
            <v>m</v>
          </cell>
          <cell r="D1092">
            <v>22.01</v>
          </cell>
          <cell r="E1092">
            <v>0</v>
          </cell>
          <cell r="F1092" t="e">
            <v>#N/A</v>
          </cell>
          <cell r="G1092" t="e">
            <v>#N/A</v>
          </cell>
        </row>
        <row r="1093">
          <cell r="A1093">
            <v>42505</v>
          </cell>
          <cell r="B1093" t="str">
            <v>Remoção de pavimentação poliédrica em Vias Urbanas</v>
          </cell>
          <cell r="C1093" t="str">
            <v>m²</v>
          </cell>
          <cell r="D1093">
            <v>17.850000000000001</v>
          </cell>
          <cell r="E1093">
            <v>0</v>
          </cell>
          <cell r="F1093" t="e">
            <v>#N/A</v>
          </cell>
          <cell r="G1093" t="e">
            <v>#N/A</v>
          </cell>
        </row>
        <row r="1094">
          <cell r="A1094">
            <v>42504</v>
          </cell>
          <cell r="B1094" t="str">
            <v>Remoção e reassentamento de blocos de concreto, inclusive perdas em Vias Urbanas</v>
          </cell>
          <cell r="C1094" t="str">
            <v>m²</v>
          </cell>
          <cell r="D1094">
            <v>45.15</v>
          </cell>
          <cell r="E1094" t="str">
            <v>A incluir</v>
          </cell>
          <cell r="F1094" t="e">
            <v>#N/A</v>
          </cell>
          <cell r="G1094" t="e">
            <v>#N/A</v>
          </cell>
        </row>
        <row r="1095">
          <cell r="A1095">
            <v>42506</v>
          </cell>
          <cell r="B1095" t="str">
            <v>Remoção e reassentamento de paralelepípedos, inclusive perdas em Vias Urbanas</v>
          </cell>
          <cell r="C1095" t="str">
            <v>m²</v>
          </cell>
          <cell r="D1095">
            <v>44.85</v>
          </cell>
          <cell r="E1095" t="str">
            <v>A incluir</v>
          </cell>
          <cell r="F1095" t="e">
            <v>#N/A</v>
          </cell>
          <cell r="G1095" t="e">
            <v>#N/A</v>
          </cell>
        </row>
        <row r="1096">
          <cell r="A1096">
            <v>42482</v>
          </cell>
          <cell r="B1096" t="str">
            <v>Sub-base de brita graduada, inclusive fornecimento e transporte da brita em Vias Urbanas</v>
          </cell>
          <cell r="C1096" t="str">
            <v>m³</v>
          </cell>
          <cell r="D1096">
            <v>111.02</v>
          </cell>
          <cell r="E1096" t="str">
            <v>A incluir</v>
          </cell>
          <cell r="F1096" t="e">
            <v>#N/A</v>
          </cell>
          <cell r="G1096" t="e">
            <v>#N/A</v>
          </cell>
        </row>
        <row r="1097">
          <cell r="A1097">
            <v>42702</v>
          </cell>
          <cell r="B1097" t="str">
            <v>Sub-base de brita 1, inclusive fornecimento, exclusive transporte da brita em Vias Urbanas</v>
          </cell>
          <cell r="C1097" t="str">
            <v>m³</v>
          </cell>
          <cell r="D1097">
            <v>110.84</v>
          </cell>
          <cell r="E1097">
            <v>0</v>
          </cell>
          <cell r="F1097" t="e">
            <v>#N/A</v>
          </cell>
          <cell r="G1097" t="e">
            <v>#N/A</v>
          </cell>
        </row>
        <row r="1098">
          <cell r="A1098">
            <v>42480</v>
          </cell>
          <cell r="B1098" t="str">
            <v>Sub-base solo brita, 50% em peso, inclusive fornecimento e transporte da brita em Vias Urbanas</v>
          </cell>
          <cell r="C1098" t="str">
            <v>m³</v>
          </cell>
          <cell r="D1098">
            <v>76.55</v>
          </cell>
          <cell r="E1098" t="str">
            <v>A incluir</v>
          </cell>
          <cell r="F1098" t="e">
            <v>#N/A</v>
          </cell>
          <cell r="G1098" t="e">
            <v>#N/A</v>
          </cell>
        </row>
        <row r="1099">
          <cell r="A1099">
            <v>42489</v>
          </cell>
          <cell r="B1099" t="str">
            <v>T.S.B.D. com capa selante, executado com Multidistribuidor inclusive fornecimento e transporte da emulsão, areia, brita e lavagem da brita -V. Urbanas</v>
          </cell>
          <cell r="C1099" t="str">
            <v>m²</v>
          </cell>
          <cell r="D1099">
            <v>10.99</v>
          </cell>
          <cell r="E1099" t="str">
            <v>A incluir</v>
          </cell>
          <cell r="F1099" t="e">
            <v>#N/A</v>
          </cell>
          <cell r="G1099" t="e">
            <v>#N/A</v>
          </cell>
        </row>
        <row r="1100">
          <cell r="A1100">
            <v>42487</v>
          </cell>
          <cell r="B1100" t="str">
            <v>T.S.B.D. com capa selante inclusive fornec. areia/brita/emulsão, transporte comerc. emulsão e lavagem brita, exclus. transp. areia e brita - V.Urbana</v>
          </cell>
          <cell r="C1100" t="str">
            <v>m²</v>
          </cell>
          <cell r="D1100">
            <v>16.079999999999998</v>
          </cell>
          <cell r="E1100" t="str">
            <v>A incluir</v>
          </cell>
          <cell r="F1100" t="e">
            <v>#N/A</v>
          </cell>
          <cell r="G1100" t="e">
            <v>#N/A</v>
          </cell>
        </row>
        <row r="1101">
          <cell r="A1101">
            <v>42847</v>
          </cell>
          <cell r="B1101" t="str">
            <v>T.S.B.D. com capa selante inclusive fornec.areia/brita/emulsão, transp.comercial emulsão e lavagem brita, exclus. transp. areia e brita- Vias Urbanas</v>
          </cell>
          <cell r="C1101" t="str">
            <v>m²</v>
          </cell>
          <cell r="D1101">
            <v>17.12</v>
          </cell>
          <cell r="E1101" t="str">
            <v>A incluir</v>
          </cell>
          <cell r="F1101" t="e">
            <v>#N/A</v>
          </cell>
          <cell r="G1101" t="e">
            <v>#N/A</v>
          </cell>
        </row>
        <row r="1102">
          <cell r="A1102">
            <v>42486</v>
          </cell>
          <cell r="B1102" t="str">
            <v>T.S.B.D. sem capa selante, inclusive fornecimento e transporte comercial do material betuminoso e lavagem da brita em Vias Urbanas</v>
          </cell>
          <cell r="C1102" t="str">
            <v>m²</v>
          </cell>
          <cell r="D1102">
            <v>10.33</v>
          </cell>
          <cell r="E1102" t="str">
            <v>A incluir</v>
          </cell>
          <cell r="F1102" t="e">
            <v>#N/A</v>
          </cell>
          <cell r="G1102" t="e">
            <v>#N/A</v>
          </cell>
        </row>
        <row r="1103">
          <cell r="A1103">
            <v>42488</v>
          </cell>
          <cell r="B1103" t="str">
            <v>T.S.B.D. sem capa selante executado com Multidistribuidor excl. forn.e transp. com. da emulsão, inclus. fornecim., transp.e lavagem brita, V.Urbanas</v>
          </cell>
          <cell r="C1103" t="str">
            <v>m²</v>
          </cell>
          <cell r="D1103">
            <v>7.53</v>
          </cell>
          <cell r="E1103" t="str">
            <v>A incluir</v>
          </cell>
          <cell r="F1103" t="e">
            <v>#N/A</v>
          </cell>
          <cell r="G1103" t="e">
            <v>#N/A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 t="e">
            <v>#N/A</v>
          </cell>
          <cell r="F1104" t="e">
            <v>#N/A</v>
          </cell>
          <cell r="G1104" t="e">
            <v>#N/A</v>
          </cell>
        </row>
        <row r="1105">
          <cell r="A1105" t="str">
            <v>Grupo de Serviço: 63 - OBRAS DE ARTE CORRENTES E DRENAGEM - VIAS URBANAS</v>
          </cell>
          <cell r="B1105">
            <v>0</v>
          </cell>
          <cell r="C1105">
            <v>0</v>
          </cell>
          <cell r="E1105" t="e">
            <v>#N/A</v>
          </cell>
          <cell r="F1105" t="e">
            <v>#N/A</v>
          </cell>
          <cell r="G1105" t="e">
            <v>#N/A</v>
          </cell>
        </row>
        <row r="1106">
          <cell r="A1106">
            <v>42601</v>
          </cell>
          <cell r="B1106" t="str">
            <v>Alvenaria de bloco (39 x 19 x 09) cm espessura 09 cm em Vias Urbanas, inclusive transporte, areia, cimento e bloco</v>
          </cell>
          <cell r="C1106" t="str">
            <v>m²</v>
          </cell>
          <cell r="D1106">
            <v>52.33</v>
          </cell>
          <cell r="E1106" t="str">
            <v>A incluir</v>
          </cell>
          <cell r="F1106" t="e">
            <v>#N/A</v>
          </cell>
          <cell r="G1106" t="e">
            <v>#N/A</v>
          </cell>
        </row>
        <row r="1107">
          <cell r="A1107">
            <v>43602</v>
          </cell>
          <cell r="B1107" t="str">
            <v>Alvenaria de bloco (39 x 19 x 19) cm espessura 19 cm em Vias Urbanas</v>
          </cell>
          <cell r="C1107" t="str">
            <v>m²</v>
          </cell>
          <cell r="D1107">
            <v>80.150000000000006</v>
          </cell>
          <cell r="E1107" t="str">
            <v>A incluir</v>
          </cell>
          <cell r="F1107" t="e">
            <v>#N/A</v>
          </cell>
          <cell r="G1107" t="e">
            <v>#N/A</v>
          </cell>
        </row>
        <row r="1108">
          <cell r="A1108">
            <v>42602</v>
          </cell>
          <cell r="B1108" t="str">
            <v>Alvenaria de bloco (39 x 19 x 19) cm espessura 19 cm, inclusive transporte de areia, cimento e bloco em Vias Urbanas</v>
          </cell>
          <cell r="C1108" t="str">
            <v>m²</v>
          </cell>
          <cell r="D1108">
            <v>87</v>
          </cell>
          <cell r="E1108" t="str">
            <v>A incluir</v>
          </cell>
          <cell r="F1108" t="e">
            <v>#N/A</v>
          </cell>
          <cell r="G1108" t="e">
            <v>#N/A</v>
          </cell>
        </row>
        <row r="1109">
          <cell r="A1109">
            <v>42603</v>
          </cell>
          <cell r="B1109" t="str">
            <v>Alvenaria de lajota (20 x 20 x 10) cm espessura 10 cm , inclusive transporte de areia, lajota e cimento, em Vias Urbanas</v>
          </cell>
          <cell r="C1109" t="str">
            <v>m²</v>
          </cell>
          <cell r="D1109">
            <v>60.75</v>
          </cell>
          <cell r="E1109" t="str">
            <v>A incluir</v>
          </cell>
          <cell r="F1109" t="e">
            <v>#N/A</v>
          </cell>
          <cell r="G1109" t="e">
            <v>#N/A</v>
          </cell>
        </row>
        <row r="1110">
          <cell r="A1110">
            <v>42604</v>
          </cell>
          <cell r="B1110" t="str">
            <v>Alvenaria de pedra de mão (junta seca), inclusive transporte da pedra em Vias Urbanas</v>
          </cell>
          <cell r="C1110" t="str">
            <v>m³</v>
          </cell>
          <cell r="D1110">
            <v>242.01</v>
          </cell>
          <cell r="E1110" t="str">
            <v>A incluir</v>
          </cell>
          <cell r="F1110" t="e">
            <v>#N/A</v>
          </cell>
          <cell r="G1110" t="e">
            <v>#N/A</v>
          </cell>
        </row>
        <row r="1111">
          <cell r="A1111">
            <v>42605</v>
          </cell>
          <cell r="B1111" t="str">
            <v>Alvenaria de pedra de mão argamassada (argamassa cimento areia 1:4) inclusive transporte da pedra de mão, em Vias Urbanas</v>
          </cell>
          <cell r="C1111" t="str">
            <v>m³</v>
          </cell>
          <cell r="D1111">
            <v>354.55</v>
          </cell>
          <cell r="E1111" t="str">
            <v>A incluir</v>
          </cell>
          <cell r="F1111" t="e">
            <v>#N/A</v>
          </cell>
          <cell r="G1111" t="e">
            <v>#N/A</v>
          </cell>
        </row>
        <row r="1112">
          <cell r="A1112">
            <v>42606</v>
          </cell>
          <cell r="B1112" t="str">
            <v>Andaime de madeira para altura até 7 m, compreendendo montagem e desmontagem em Vias Urbanas</v>
          </cell>
          <cell r="C1112" t="str">
            <v>m³</v>
          </cell>
          <cell r="D1112">
            <v>20.93</v>
          </cell>
          <cell r="E1112">
            <v>0</v>
          </cell>
          <cell r="F1112" t="e">
            <v>#N/A</v>
          </cell>
          <cell r="G1112" t="e">
            <v>#N/A</v>
          </cell>
        </row>
        <row r="1113">
          <cell r="A1113">
            <v>42607</v>
          </cell>
          <cell r="B1113" t="str">
            <v>Andaime suspenso em madeira, inclusive montagem e desmontagem em Vias Urbanas</v>
          </cell>
          <cell r="C1113" t="str">
            <v>m²</v>
          </cell>
          <cell r="D1113">
            <v>115.24</v>
          </cell>
          <cell r="E1113">
            <v>0</v>
          </cell>
          <cell r="F1113" t="e">
            <v>#N/A</v>
          </cell>
          <cell r="G1113" t="e">
            <v>#N/A</v>
          </cell>
        </row>
        <row r="1114">
          <cell r="A1114">
            <v>42608</v>
          </cell>
          <cell r="B1114" t="str">
            <v>Apicoamento manual de superfície de concreto em Vias Urbanas</v>
          </cell>
          <cell r="C1114" t="str">
            <v>m²</v>
          </cell>
          <cell r="D1114">
            <v>22.06</v>
          </cell>
          <cell r="E1114">
            <v>0</v>
          </cell>
          <cell r="F1114" t="e">
            <v>#N/A</v>
          </cell>
          <cell r="G1114" t="e">
            <v>#N/A</v>
          </cell>
        </row>
        <row r="1115">
          <cell r="A1115">
            <v>42609</v>
          </cell>
          <cell r="B1115" t="str">
            <v>Apiloamento manual em Vias Urbanas</v>
          </cell>
          <cell r="C1115" t="str">
            <v>m³</v>
          </cell>
          <cell r="D1115">
            <v>47.15</v>
          </cell>
          <cell r="E1115">
            <v>0</v>
          </cell>
          <cell r="F1115" t="e">
            <v>#N/A</v>
          </cell>
          <cell r="G1115" t="e">
            <v>#N/A</v>
          </cell>
        </row>
        <row r="1116">
          <cell r="A1116">
            <v>42611</v>
          </cell>
          <cell r="B1116" t="str">
            <v>Argamassa cimento e areia traço 1:4 em Vias Urbanas</v>
          </cell>
          <cell r="C1116" t="str">
            <v>m³</v>
          </cell>
          <cell r="D1116">
            <v>522.14</v>
          </cell>
          <cell r="E1116" t="str">
            <v>A incluir</v>
          </cell>
          <cell r="F1116" t="e">
            <v>#N/A</v>
          </cell>
          <cell r="G1116" t="e">
            <v>#N/A</v>
          </cell>
        </row>
        <row r="1117">
          <cell r="A1117">
            <v>42612</v>
          </cell>
          <cell r="B1117" t="str">
            <v>Argamassa cimento (nata) em Vias Urbanas</v>
          </cell>
          <cell r="C1117" t="str">
            <v>m³</v>
          </cell>
          <cell r="D1117">
            <v>994.8</v>
          </cell>
          <cell r="E1117" t="str">
            <v>A incluir</v>
          </cell>
          <cell r="F1117" t="e">
            <v>#N/A</v>
          </cell>
          <cell r="G1117" t="e">
            <v>#N/A</v>
          </cell>
        </row>
        <row r="1118">
          <cell r="A1118">
            <v>42613</v>
          </cell>
          <cell r="B1118" t="str">
            <v>Argamassa de cimento e areia, traço 1:4, consumo de cimento 400 kg/m³ em Vias Urbanas</v>
          </cell>
          <cell r="C1118" t="str">
            <v>m³</v>
          </cell>
          <cell r="D1118">
            <v>542.37</v>
          </cell>
          <cell r="E1118" t="str">
            <v>A incluir</v>
          </cell>
          <cell r="F1118" t="e">
            <v>#N/A</v>
          </cell>
          <cell r="G1118" t="e">
            <v>#N/A</v>
          </cell>
        </row>
        <row r="1119">
          <cell r="A1119">
            <v>42615</v>
          </cell>
          <cell r="B1119" t="str">
            <v>Berço de concreto ciclópico para BDTC diâmetro 0,60 m em Via Urbanas</v>
          </cell>
          <cell r="C1119" t="str">
            <v>m</v>
          </cell>
          <cell r="D1119">
            <v>253.93</v>
          </cell>
          <cell r="E1119" t="str">
            <v>A incluir</v>
          </cell>
          <cell r="F1119" t="e">
            <v>#N/A</v>
          </cell>
          <cell r="G1119" t="e">
            <v>#N/A</v>
          </cell>
        </row>
        <row r="1120">
          <cell r="A1120">
            <v>41173</v>
          </cell>
          <cell r="B1120" t="str">
            <v>Berço em brita para BSTC diâm. -&gt; 0,30 m em Vias Urbanas</v>
          </cell>
          <cell r="C1120" t="str">
            <v>m</v>
          </cell>
          <cell r="D1120">
            <v>15.9</v>
          </cell>
          <cell r="E1120" t="str">
            <v>A incluir</v>
          </cell>
          <cell r="F1120" t="e">
            <v>#N/A</v>
          </cell>
          <cell r="G1120" t="e">
            <v>#N/A</v>
          </cell>
        </row>
        <row r="1121">
          <cell r="A1121">
            <v>41174</v>
          </cell>
          <cell r="B1121" t="str">
            <v>Berço em brita para BSTC diâm. -&gt; 0,40 m em Vias Urbanas</v>
          </cell>
          <cell r="C1121" t="str">
            <v>m</v>
          </cell>
          <cell r="D1121">
            <v>16.940000000000001</v>
          </cell>
          <cell r="E1121" t="str">
            <v>A incluir</v>
          </cell>
          <cell r="F1121" t="e">
            <v>#N/A</v>
          </cell>
          <cell r="G1121" t="e">
            <v>#N/A</v>
          </cell>
        </row>
        <row r="1122">
          <cell r="A1122">
            <v>41175</v>
          </cell>
          <cell r="B1122" t="str">
            <v>Berço em brita para BSTC diâm. -&gt; 0,60 m em Vias Urbanas</v>
          </cell>
          <cell r="C1122" t="str">
            <v>m</v>
          </cell>
          <cell r="D1122">
            <v>21.1</v>
          </cell>
          <cell r="E1122" t="str">
            <v>A incluir</v>
          </cell>
          <cell r="F1122">
            <v>31.18</v>
          </cell>
          <cell r="G1122">
            <v>1.4777251184834099</v>
          </cell>
        </row>
        <row r="1123">
          <cell r="A1123">
            <v>41176</v>
          </cell>
          <cell r="B1123" t="str">
            <v>Berço em brita para BSTC diam. -&gt; 0,80 m em Vias Urbanas</v>
          </cell>
          <cell r="C1123" t="str">
            <v>m</v>
          </cell>
          <cell r="D1123">
            <v>31.52</v>
          </cell>
          <cell r="E1123" t="str">
            <v>A incluir</v>
          </cell>
          <cell r="F1123">
            <v>47.87</v>
          </cell>
          <cell r="G1123">
            <v>1.51871827411168</v>
          </cell>
        </row>
        <row r="1124">
          <cell r="A1124">
            <v>42635</v>
          </cell>
          <cell r="B1124" t="str">
            <v>Boca de BDCC 2,00 x 1,20m conforme projeto em Vias Urbanas</v>
          </cell>
          <cell r="C1124" t="str">
            <v>un</v>
          </cell>
          <cell r="D1124">
            <v>12976.53</v>
          </cell>
          <cell r="E1124">
            <v>0</v>
          </cell>
          <cell r="F1124" t="e">
            <v>#N/A</v>
          </cell>
          <cell r="G1124" t="e">
            <v>#N/A</v>
          </cell>
        </row>
        <row r="1125">
          <cell r="A1125">
            <v>40628</v>
          </cell>
          <cell r="B1125" t="str">
            <v>Boca de BDCC 2,00 x 2,50 m em Vias Urbanas</v>
          </cell>
          <cell r="C1125" t="str">
            <v>un</v>
          </cell>
          <cell r="D1125">
            <v>26187.87</v>
          </cell>
          <cell r="E1125">
            <v>0</v>
          </cell>
          <cell r="F1125" t="e">
            <v>#N/A</v>
          </cell>
          <cell r="G1125" t="e">
            <v>#N/A</v>
          </cell>
        </row>
        <row r="1126">
          <cell r="A1126">
            <v>40619</v>
          </cell>
          <cell r="B1126" t="str">
            <v>Boca de BSCC 2,50 x 2,50 m, projeto DNIT em Vias Urbanas</v>
          </cell>
          <cell r="C1126" t="str">
            <v>un</v>
          </cell>
          <cell r="D1126">
            <v>24265.62</v>
          </cell>
          <cell r="E1126">
            <v>0</v>
          </cell>
          <cell r="F1126" t="e">
            <v>#N/A</v>
          </cell>
          <cell r="G1126" t="e">
            <v>#N/A</v>
          </cell>
        </row>
        <row r="1127">
          <cell r="A1127">
            <v>41087</v>
          </cell>
          <cell r="B1127" t="str">
            <v>Boca de lobo simples em blocos pré-moldados CR(0,40 x 0,80 m) em Vias Urbanas</v>
          </cell>
          <cell r="C1127" t="str">
            <v>un</v>
          </cell>
          <cell r="D1127">
            <v>1275.67</v>
          </cell>
          <cell r="E1127">
            <v>0</v>
          </cell>
          <cell r="F1127" t="e">
            <v>#N/A</v>
          </cell>
          <cell r="G1127" t="e">
            <v>#N/A</v>
          </cell>
        </row>
        <row r="1128">
          <cell r="A1128">
            <v>42676</v>
          </cell>
          <cell r="B1128" t="str">
            <v>Bueiro Metálico BSTM - D-&gt; 3,00 m - T.L. com tratamento epóxi e-&gt;2,7 mm -método não destrutivo em Vias Urbanas</v>
          </cell>
          <cell r="C1128" t="str">
            <v>m</v>
          </cell>
          <cell r="D1128">
            <v>10329.299999999999</v>
          </cell>
          <cell r="E1128" t="str">
            <v>A incluir</v>
          </cell>
          <cell r="F1128" t="e">
            <v>#N/A</v>
          </cell>
          <cell r="G1128" t="e">
            <v>#N/A</v>
          </cell>
        </row>
        <row r="1129">
          <cell r="A1129">
            <v>42677</v>
          </cell>
          <cell r="B1129" t="str">
            <v>Bueiro Metálico BSTM - D-&gt;3,05m - MP-152 com tratamento epóxi e-&gt;2,7mm - método destrutivo, inclusive lastro de brita em Vias Urbanas</v>
          </cell>
          <cell r="C1129" t="str">
            <v>m</v>
          </cell>
          <cell r="D1129">
            <v>7371.5</v>
          </cell>
          <cell r="E1129" t="str">
            <v>A incluir</v>
          </cell>
          <cell r="F1129" t="e">
            <v>#N/A</v>
          </cell>
          <cell r="G1129" t="e">
            <v>#N/A</v>
          </cell>
        </row>
        <row r="1130">
          <cell r="A1130">
            <v>42678</v>
          </cell>
          <cell r="B1130" t="str">
            <v>Caiação de meio fios, sarjetas, etc. em Vias Urbanas</v>
          </cell>
          <cell r="C1130" t="str">
            <v>m²</v>
          </cell>
          <cell r="D1130">
            <v>5.63</v>
          </cell>
          <cell r="E1130">
            <v>0</v>
          </cell>
          <cell r="F1130" t="e">
            <v>#N/A</v>
          </cell>
          <cell r="G1130" t="e">
            <v>#N/A</v>
          </cell>
        </row>
        <row r="1131">
          <cell r="A1131">
            <v>41159</v>
          </cell>
          <cell r="B1131" t="str">
            <v>Caixa Boca de Lobo em bloco pré-moldado de concreto para diâm.-&gt;1,00m (1,30 x 1,30m) em Vias Urbanas</v>
          </cell>
          <cell r="C1131" t="str">
            <v>un</v>
          </cell>
          <cell r="D1131">
            <v>2964.39</v>
          </cell>
          <cell r="E1131">
            <v>0</v>
          </cell>
          <cell r="F1131" t="e">
            <v>#N/A</v>
          </cell>
          <cell r="G1131" t="e">
            <v>#N/A</v>
          </cell>
        </row>
        <row r="1132">
          <cell r="A1132">
            <v>41144</v>
          </cell>
          <cell r="B1132" t="str">
            <v>Caixa Boca de Lobo em bloco pré-moldado para diâm. -&gt; 0,60m (1,00 x 1,00m) CBL2 (Vias Urbanas)</v>
          </cell>
          <cell r="C1132" t="str">
            <v>un</v>
          </cell>
          <cell r="D1132">
            <v>2176.86</v>
          </cell>
          <cell r="E1132">
            <v>0</v>
          </cell>
          <cell r="F1132" t="e">
            <v>#N/A</v>
          </cell>
          <cell r="G1132" t="e">
            <v>#N/A</v>
          </cell>
        </row>
        <row r="1133">
          <cell r="A1133">
            <v>41158</v>
          </cell>
          <cell r="B1133" t="str">
            <v>Caixa Boca de Lobo em bloco pré-moldado para diâm. -&gt; 0,80m (1,20 x 1,20m) (Vias Urbanas)</v>
          </cell>
          <cell r="C1133" t="str">
            <v>un</v>
          </cell>
          <cell r="D1133">
            <v>2541.37</v>
          </cell>
          <cell r="E1133">
            <v>0</v>
          </cell>
          <cell r="F1133" t="e">
            <v>#N/A</v>
          </cell>
          <cell r="G1133" t="e">
            <v>#N/A</v>
          </cell>
        </row>
        <row r="1134">
          <cell r="A1134">
            <v>41160</v>
          </cell>
          <cell r="B1134" t="str">
            <v>Caixa Boca de Lobo em bloco pré-moldado para diâm. -&gt; 1,20m(1,50 x 1,50m) (Vias Urbanas)</v>
          </cell>
          <cell r="C1134" t="str">
            <v>un</v>
          </cell>
          <cell r="D1134">
            <v>3775.72</v>
          </cell>
          <cell r="E1134">
            <v>0</v>
          </cell>
          <cell r="F1134" t="e">
            <v>#N/A</v>
          </cell>
          <cell r="G1134" t="e">
            <v>#N/A</v>
          </cell>
        </row>
        <row r="1135">
          <cell r="A1135">
            <v>41101</v>
          </cell>
          <cell r="B1135" t="str">
            <v>Caixa Boca de Lobo em bloco pré-moldado para diâm.-&gt; 0,30m e 0,40m (0,80 x 0,80m) (Vias Urbanas)</v>
          </cell>
          <cell r="C1135" t="str">
            <v>un</v>
          </cell>
          <cell r="D1135">
            <v>1824.84</v>
          </cell>
          <cell r="E1135">
            <v>0</v>
          </cell>
          <cell r="F1135">
            <v>1963.74</v>
          </cell>
          <cell r="G1135">
            <v>1.0761162622476499</v>
          </cell>
        </row>
        <row r="1136">
          <cell r="A1136">
            <v>42679</v>
          </cell>
          <cell r="B1136" t="str">
            <v>Caixa Boca de Lobo em bloco pré-moldado 1,20 x 1,20m em Vias Urbanas</v>
          </cell>
          <cell r="C1136" t="str">
            <v>un</v>
          </cell>
          <cell r="D1136">
            <v>4084.2</v>
          </cell>
          <cell r="E1136">
            <v>0</v>
          </cell>
          <cell r="F1136" t="e">
            <v>#N/A</v>
          </cell>
          <cell r="G1136" t="e">
            <v>#N/A</v>
          </cell>
        </row>
        <row r="1137">
          <cell r="A1137">
            <v>42680</v>
          </cell>
          <cell r="B1137" t="str">
            <v>Caixa coletora concreto armado H-&gt; 2,00m, inclusive escavação em Vias Urbanas</v>
          </cell>
          <cell r="C1137" t="str">
            <v>un</v>
          </cell>
          <cell r="D1137">
            <v>4263.84</v>
          </cell>
          <cell r="E1137">
            <v>0</v>
          </cell>
          <cell r="F1137" t="e">
            <v>#N/A</v>
          </cell>
          <cell r="G1137" t="e">
            <v>#N/A</v>
          </cell>
        </row>
        <row r="1138">
          <cell r="A1138">
            <v>42681</v>
          </cell>
          <cell r="B1138" t="str">
            <v>Caixa coletora concreto armado H-&gt; 2,50m, inclusive escavação em Vias Urbanas</v>
          </cell>
          <cell r="C1138" t="str">
            <v>un</v>
          </cell>
          <cell r="D1138">
            <v>5235.9799999999996</v>
          </cell>
          <cell r="E1138">
            <v>0</v>
          </cell>
          <cell r="F1138" t="e">
            <v>#N/A</v>
          </cell>
          <cell r="G1138" t="e">
            <v>#N/A</v>
          </cell>
        </row>
        <row r="1139">
          <cell r="A1139">
            <v>42682</v>
          </cell>
          <cell r="B1139" t="str">
            <v>Caixa coletora em bloco pré-moldado para d-&gt;0,60m (1,00 x 1,00m) em Vias Urbanas</v>
          </cell>
          <cell r="C1139" t="str">
            <v>un</v>
          </cell>
          <cell r="D1139">
            <v>2064.92</v>
          </cell>
          <cell r="E1139" t="str">
            <v>A incluir</v>
          </cell>
          <cell r="F1139" t="e">
            <v>#N/A</v>
          </cell>
          <cell r="G1139" t="e">
            <v>#N/A</v>
          </cell>
        </row>
        <row r="1140">
          <cell r="A1140">
            <v>41334</v>
          </cell>
          <cell r="B1140" t="str">
            <v>Caixa coletora em bloco pré-moldado para d-&gt;0,80m (1,20 x 1,20m) em Vias Urbanas</v>
          </cell>
          <cell r="C1140" t="str">
            <v>un</v>
          </cell>
          <cell r="D1140">
            <v>2604.83</v>
          </cell>
          <cell r="E1140" t="str">
            <v>A incluir</v>
          </cell>
          <cell r="F1140" t="e">
            <v>#N/A</v>
          </cell>
          <cell r="G1140" t="e">
            <v>#N/A</v>
          </cell>
        </row>
        <row r="1141">
          <cell r="A1141">
            <v>42683</v>
          </cell>
          <cell r="B1141" t="str">
            <v>Caixa de concreto para BSTC diâmetro 0,40 m H-&gt;1,60 m em Vias Urbanas</v>
          </cell>
          <cell r="C1141" t="str">
            <v>un</v>
          </cell>
          <cell r="D1141">
            <v>1976.85</v>
          </cell>
          <cell r="E1141" t="str">
            <v>A incluir</v>
          </cell>
          <cell r="F1141" t="e">
            <v>#N/A</v>
          </cell>
          <cell r="G1141" t="e">
            <v>#N/A</v>
          </cell>
        </row>
        <row r="1142">
          <cell r="A1142">
            <v>42684</v>
          </cell>
          <cell r="B1142" t="str">
            <v>Caixa de concreto para BSTC diâmetro 0,60m H-&gt;2,00m em Vias Urbanas</v>
          </cell>
          <cell r="C1142" t="str">
            <v>un</v>
          </cell>
          <cell r="D1142">
            <v>3068.53</v>
          </cell>
          <cell r="E1142" t="str">
            <v>A incluir</v>
          </cell>
          <cell r="F1142" t="e">
            <v>#N/A</v>
          </cell>
          <cell r="G1142" t="e">
            <v>#N/A</v>
          </cell>
        </row>
        <row r="1143">
          <cell r="A1143">
            <v>42685</v>
          </cell>
          <cell r="B1143" t="str">
            <v>Caixa de concreto para BSTC diâmetro 0,80m H-&gt;2,50m em Vias Urbanas</v>
          </cell>
          <cell r="C1143" t="str">
            <v>un</v>
          </cell>
          <cell r="D1143">
            <v>3806.97</v>
          </cell>
          <cell r="E1143" t="str">
            <v>A incluir</v>
          </cell>
          <cell r="F1143" t="e">
            <v>#N/A</v>
          </cell>
          <cell r="G1143" t="e">
            <v>#N/A</v>
          </cell>
        </row>
        <row r="1144">
          <cell r="A1144">
            <v>42686</v>
          </cell>
          <cell r="B1144" t="str">
            <v>Caixa de concreto para BSTC diâmetro 1,00m H-&gt;3,00m em Vias Urbanas</v>
          </cell>
          <cell r="C1144" t="str">
            <v>un</v>
          </cell>
          <cell r="D1144">
            <v>4519.5600000000004</v>
          </cell>
          <cell r="E1144" t="str">
            <v>A incluir</v>
          </cell>
          <cell r="F1144" t="e">
            <v>#N/A</v>
          </cell>
          <cell r="G1144" t="e">
            <v>#N/A</v>
          </cell>
        </row>
        <row r="1145">
          <cell r="A1145">
            <v>41162</v>
          </cell>
          <cell r="B1145" t="str">
            <v>Caixa de passagem em bloco pré-moldado para d-&gt;0,30 e 0,40m (0,80x0,80m) em Vias Urbanas</v>
          </cell>
          <cell r="C1145" t="str">
            <v>un</v>
          </cell>
          <cell r="D1145">
            <v>1918.84</v>
          </cell>
          <cell r="E1145">
            <v>0</v>
          </cell>
          <cell r="F1145" t="e">
            <v>#N/A</v>
          </cell>
          <cell r="G1145" t="e">
            <v>#N/A</v>
          </cell>
        </row>
        <row r="1146">
          <cell r="A1146">
            <v>41163</v>
          </cell>
          <cell r="B1146" t="str">
            <v>Caixa de passagem em bloco pré-moldado para d-&gt;0,60m (1,00x1,00m) em Vias Urbanas</v>
          </cell>
          <cell r="C1146" t="str">
            <v>un</v>
          </cell>
          <cell r="D1146">
            <v>2299.98</v>
          </cell>
          <cell r="E1146">
            <v>0</v>
          </cell>
          <cell r="F1146">
            <v>2486.0700000000002</v>
          </cell>
          <cell r="G1146">
            <v>1.0809093992121701</v>
          </cell>
        </row>
        <row r="1147">
          <cell r="A1147">
            <v>41164</v>
          </cell>
          <cell r="B1147" t="str">
            <v>Caixa de passagem em bloco pré-moldado para d-&gt;0,80m (1,20 x 1,20m) em Vias Urbanas</v>
          </cell>
          <cell r="C1147" t="str">
            <v>un</v>
          </cell>
          <cell r="D1147">
            <v>2804.48</v>
          </cell>
          <cell r="E1147">
            <v>0</v>
          </cell>
          <cell r="F1147" t="e">
            <v>#N/A</v>
          </cell>
          <cell r="G1147" t="e">
            <v>#N/A</v>
          </cell>
        </row>
        <row r="1148">
          <cell r="A1148">
            <v>41165</v>
          </cell>
          <cell r="B1148" t="str">
            <v>Caixa de passagem em bloco pré-moldado para d-&gt;1,00m (1,30 x 1,30m) em Vias Urbanas</v>
          </cell>
          <cell r="C1148" t="str">
            <v>un</v>
          </cell>
          <cell r="D1148">
            <v>3131.53</v>
          </cell>
          <cell r="E1148">
            <v>0</v>
          </cell>
          <cell r="F1148">
            <v>3390.14</v>
          </cell>
          <cell r="G1148">
            <v>1.0825826353252199</v>
          </cell>
        </row>
        <row r="1149">
          <cell r="A1149">
            <v>41166</v>
          </cell>
          <cell r="B1149" t="str">
            <v>Caixa de passagem em bloco pré-moldado para d-&gt;1,20m (1,50 x 1,50m) em Vias Urbanas</v>
          </cell>
          <cell r="C1149" t="str">
            <v>un</v>
          </cell>
          <cell r="D1149">
            <v>3839.57</v>
          </cell>
          <cell r="E1149">
            <v>0</v>
          </cell>
          <cell r="F1149" t="e">
            <v>#N/A</v>
          </cell>
          <cell r="G1149" t="e">
            <v>#N/A</v>
          </cell>
        </row>
        <row r="1150">
          <cell r="A1150">
            <v>42687</v>
          </cell>
          <cell r="B1150" t="str">
            <v>Caixa de passagem para tubos de D-&gt;0,40m H-&gt;1,10m em Vias Urbanas</v>
          </cell>
          <cell r="C1150" t="str">
            <v>un</v>
          </cell>
          <cell r="D1150">
            <v>1317.94</v>
          </cell>
          <cell r="E1150">
            <v>0</v>
          </cell>
          <cell r="F1150" t="e">
            <v>#N/A</v>
          </cell>
          <cell r="G1150" t="e">
            <v>#N/A</v>
          </cell>
        </row>
        <row r="1151">
          <cell r="A1151">
            <v>42688</v>
          </cell>
          <cell r="B1151" t="str">
            <v>Caixa de passagem para tubos de D-&gt;0,60m H-&gt;1,30m em Vias Urbanas</v>
          </cell>
          <cell r="C1151" t="str">
            <v>un</v>
          </cell>
          <cell r="D1151">
            <v>1663.03</v>
          </cell>
          <cell r="E1151">
            <v>0</v>
          </cell>
          <cell r="F1151" t="e">
            <v>#N/A</v>
          </cell>
          <cell r="G1151" t="e">
            <v>#N/A</v>
          </cell>
        </row>
        <row r="1152">
          <cell r="A1152">
            <v>42689</v>
          </cell>
          <cell r="B1152" t="str">
            <v>Caixa de passagem para tubos de D-&gt;0,80m H-&gt;1,50m em Vias Urbanas</v>
          </cell>
          <cell r="C1152" t="str">
            <v>un</v>
          </cell>
          <cell r="D1152">
            <v>2089.6999999999998</v>
          </cell>
          <cell r="E1152">
            <v>0</v>
          </cell>
          <cell r="F1152" t="e">
            <v>#N/A</v>
          </cell>
          <cell r="G1152" t="e">
            <v>#N/A</v>
          </cell>
        </row>
        <row r="1153">
          <cell r="A1153">
            <v>42690</v>
          </cell>
          <cell r="B1153" t="str">
            <v>Caixa de passagem para tubos de D-&gt;1,00m H-&gt;1,80m em Vias Urbanas</v>
          </cell>
          <cell r="C1153" t="str">
            <v>un</v>
          </cell>
          <cell r="D1153">
            <v>3317.52</v>
          </cell>
          <cell r="E1153">
            <v>0</v>
          </cell>
          <cell r="F1153" t="e">
            <v>#N/A</v>
          </cell>
          <cell r="G1153" t="e">
            <v>#N/A</v>
          </cell>
        </row>
        <row r="1154">
          <cell r="A1154">
            <v>42691</v>
          </cell>
          <cell r="B1154" t="str">
            <v>Caixa de passagem (2,50 x 2,50m) em Vias Urbanas</v>
          </cell>
          <cell r="C1154" t="str">
            <v>un</v>
          </cell>
          <cell r="D1154">
            <v>7404.46</v>
          </cell>
          <cell r="E1154" t="str">
            <v>A incluir</v>
          </cell>
          <cell r="F1154" t="e">
            <v>#N/A</v>
          </cell>
          <cell r="G1154" t="e">
            <v>#N/A</v>
          </cell>
        </row>
        <row r="1155">
          <cell r="A1155">
            <v>42693</v>
          </cell>
          <cell r="B1155" t="str">
            <v>Caixa para rede de dutos dimensões 100 x100 x100 cm, em Vias Urbanas</v>
          </cell>
          <cell r="C1155" t="str">
            <v>m</v>
          </cell>
          <cell r="D1155">
            <v>3630.21</v>
          </cell>
          <cell r="E1155">
            <v>0</v>
          </cell>
          <cell r="F1155" t="e">
            <v>#N/A</v>
          </cell>
          <cell r="G1155" t="e">
            <v>#N/A</v>
          </cell>
        </row>
        <row r="1156">
          <cell r="A1156">
            <v>42692</v>
          </cell>
          <cell r="B1156" t="str">
            <v>Caixa para rede de dutos dimensões 60 x 60 x 60 cm, em Vias Urbanas</v>
          </cell>
          <cell r="C1156" t="str">
            <v>un</v>
          </cell>
          <cell r="D1156">
            <v>586.89</v>
          </cell>
          <cell r="E1156">
            <v>0</v>
          </cell>
          <cell r="F1156" t="e">
            <v>#N/A</v>
          </cell>
          <cell r="G1156" t="e">
            <v>#N/A</v>
          </cell>
        </row>
        <row r="1157">
          <cell r="A1157">
            <v>41085</v>
          </cell>
          <cell r="B1157" t="str">
            <v>Caixa ralo com grelha de concreto em blocos pré-moldados - CRG - Vias Urbanas</v>
          </cell>
          <cell r="C1157" t="str">
            <v>un</v>
          </cell>
          <cell r="D1157">
            <v>1365.95</v>
          </cell>
          <cell r="E1157">
            <v>0</v>
          </cell>
          <cell r="F1157" t="e">
            <v>#N/A</v>
          </cell>
          <cell r="G1157" t="e">
            <v>#N/A</v>
          </cell>
        </row>
        <row r="1158">
          <cell r="A1158">
            <v>42694</v>
          </cell>
          <cell r="B1158" t="str">
            <v>Caixa ralo de elementos pré-moldados em concreto (tudo incluído) em Vias Urbanas</v>
          </cell>
          <cell r="C1158" t="str">
            <v>un</v>
          </cell>
          <cell r="D1158">
            <v>753.21</v>
          </cell>
          <cell r="E1158" t="str">
            <v>A incluir</v>
          </cell>
          <cell r="F1158" t="e">
            <v>#N/A</v>
          </cell>
          <cell r="G1158" t="e">
            <v>#N/A</v>
          </cell>
        </row>
        <row r="1159">
          <cell r="A1159">
            <v>41241</v>
          </cell>
          <cell r="B1159" t="str">
            <v>Caixa ralo em blocos pré-moldados e grelha articulada em FFA em Vias Urbanas</v>
          </cell>
          <cell r="C1159" t="str">
            <v>un</v>
          </cell>
          <cell r="D1159">
            <v>1311.6</v>
          </cell>
          <cell r="E1159" t="str">
            <v>A incluir</v>
          </cell>
          <cell r="F1159" t="e">
            <v>#N/A</v>
          </cell>
          <cell r="G1159" t="e">
            <v>#N/A</v>
          </cell>
        </row>
        <row r="1160">
          <cell r="A1160">
            <v>42697</v>
          </cell>
          <cell r="B1160" t="str">
            <v>Canaleta com grelha DP-1, inclusive transporte da grelha em Vias Urbanas</v>
          </cell>
          <cell r="C1160" t="str">
            <v>m</v>
          </cell>
          <cell r="D1160">
            <v>638.63</v>
          </cell>
          <cell r="E1160" t="str">
            <v>A incluir</v>
          </cell>
          <cell r="F1160" t="e">
            <v>#N/A</v>
          </cell>
          <cell r="G1160" t="e">
            <v>#N/A</v>
          </cell>
        </row>
        <row r="1161">
          <cell r="A1161">
            <v>42698</v>
          </cell>
          <cell r="B1161" t="str">
            <v>Canaleta de concreto, com forma retangular inclusive caiação - parede 12 cm em Vias Urbanas</v>
          </cell>
          <cell r="C1161" t="str">
            <v>m</v>
          </cell>
          <cell r="D1161">
            <v>192.51</v>
          </cell>
          <cell r="E1161" t="str">
            <v>A incluir</v>
          </cell>
          <cell r="F1161" t="e">
            <v>#N/A</v>
          </cell>
          <cell r="G1161" t="e">
            <v>#N/A</v>
          </cell>
        </row>
        <row r="1162">
          <cell r="A1162">
            <v>42699</v>
          </cell>
          <cell r="B1162" t="str">
            <v>Canaleta de concreto retangular (0,130m³/m) inclusive caiação em Vias Urbanas</v>
          </cell>
          <cell r="C1162" t="str">
            <v>m</v>
          </cell>
          <cell r="D1162">
            <v>242.88</v>
          </cell>
          <cell r="E1162">
            <v>0</v>
          </cell>
          <cell r="F1162" t="e">
            <v>#N/A</v>
          </cell>
          <cell r="G1162" t="e">
            <v>#N/A</v>
          </cell>
        </row>
        <row r="1163">
          <cell r="A1163">
            <v>42700</v>
          </cell>
          <cell r="B1163" t="str">
            <v>Canaleta de concreto (0,130m³/m) forma trapezoidal inclusive caiação em Vias Urbanas</v>
          </cell>
          <cell r="C1163" t="str">
            <v>m</v>
          </cell>
          <cell r="D1163">
            <v>170.73</v>
          </cell>
          <cell r="E1163" t="str">
            <v>A incluir</v>
          </cell>
          <cell r="F1163" t="e">
            <v>#N/A</v>
          </cell>
          <cell r="G1163" t="e">
            <v>#N/A</v>
          </cell>
        </row>
        <row r="1164">
          <cell r="A1164">
            <v>42701</v>
          </cell>
          <cell r="B1164" t="str">
            <v>Cerca de tela de arame galvanizado h-&gt;1,20m em Vias Urbanas</v>
          </cell>
          <cell r="C1164" t="str">
            <v>m²</v>
          </cell>
          <cell r="D1164">
            <v>30.91</v>
          </cell>
          <cell r="E1164">
            <v>0</v>
          </cell>
          <cell r="F1164" t="e">
            <v>#N/A</v>
          </cell>
          <cell r="G1164" t="e">
            <v>#N/A</v>
          </cell>
        </row>
        <row r="1165">
          <cell r="A1165">
            <v>42703</v>
          </cell>
          <cell r="B1165" t="str">
            <v>Cerca em tela revestida em PVC com mourões de concreto, fornecimento e execução em Vias Urbanas</v>
          </cell>
          <cell r="C1165" t="str">
            <v>m²</v>
          </cell>
          <cell r="D1165">
            <v>78.56</v>
          </cell>
          <cell r="E1165">
            <v>0</v>
          </cell>
          <cell r="F1165" t="e">
            <v>#N/A</v>
          </cell>
          <cell r="G1165" t="e">
            <v>#N/A</v>
          </cell>
        </row>
        <row r="1166">
          <cell r="A1166">
            <v>42704</v>
          </cell>
          <cell r="B1166" t="str">
            <v>Chapisco com argamassa de cimento e areia 1:3 em Vias Urbanas</v>
          </cell>
          <cell r="C1166" t="str">
            <v>m²</v>
          </cell>
          <cell r="D1166">
            <v>6.11</v>
          </cell>
          <cell r="E1166">
            <v>0</v>
          </cell>
          <cell r="F1166" t="e">
            <v>#N/A</v>
          </cell>
          <cell r="G1166" t="e">
            <v>#N/A</v>
          </cell>
        </row>
        <row r="1167">
          <cell r="A1167">
            <v>42705</v>
          </cell>
          <cell r="B1167" t="str">
            <v>Chapisco com argamassa de cimento e pedrisco 1:4 em Vias Urbanas</v>
          </cell>
          <cell r="C1167" t="str">
            <v>m²</v>
          </cell>
          <cell r="D1167">
            <v>9.6300000000000008</v>
          </cell>
          <cell r="E1167">
            <v>0</v>
          </cell>
          <cell r="F1167" t="e">
            <v>#N/A</v>
          </cell>
          <cell r="G1167" t="e">
            <v>#N/A</v>
          </cell>
        </row>
        <row r="1168">
          <cell r="A1168">
            <v>42706</v>
          </cell>
          <cell r="B1168" t="str">
            <v>Colchão drenante de areia para fundação de aterros, exclusive o fornecimento de areia em Vias Urbanas</v>
          </cell>
          <cell r="C1168" t="str">
            <v>m³</v>
          </cell>
          <cell r="D1168">
            <v>5</v>
          </cell>
          <cell r="E1168">
            <v>0</v>
          </cell>
          <cell r="F1168" t="e">
            <v>#N/A</v>
          </cell>
          <cell r="G1168" t="e">
            <v>#N/A</v>
          </cell>
        </row>
        <row r="1169">
          <cell r="A1169">
            <v>42707</v>
          </cell>
          <cell r="B1169" t="str">
            <v>Colchão drenante de areia para fundação de aterros, inclusive fornecimento e transporte da areia em Vias Urbanas</v>
          </cell>
          <cell r="C1169" t="str">
            <v>m³</v>
          </cell>
          <cell r="D1169">
            <v>94.12</v>
          </cell>
          <cell r="E1169" t="str">
            <v>A incluir</v>
          </cell>
          <cell r="F1169" t="e">
            <v>#N/A</v>
          </cell>
          <cell r="G1169" t="e">
            <v>#N/A</v>
          </cell>
        </row>
        <row r="1170">
          <cell r="A1170">
            <v>42708</v>
          </cell>
          <cell r="B1170" t="str">
            <v>Colchão drenante de brita 1 inclusive fornecimento, espalhamento, compactação e transporte da brita em Vias Urbanas</v>
          </cell>
          <cell r="C1170" t="str">
            <v>m³</v>
          </cell>
          <cell r="D1170">
            <v>100.87</v>
          </cell>
          <cell r="E1170" t="str">
            <v>A incluir</v>
          </cell>
          <cell r="F1170" t="e">
            <v>#N/A</v>
          </cell>
          <cell r="G1170" t="e">
            <v>#N/A</v>
          </cell>
        </row>
        <row r="1171">
          <cell r="A1171">
            <v>42709</v>
          </cell>
          <cell r="B1171" t="str">
            <v>Colchão drenante de brita 2 inclusive fornecimento, espalhamento, compactação e transporte da brita em Vias Urbanas</v>
          </cell>
          <cell r="C1171" t="str">
            <v>m³</v>
          </cell>
          <cell r="D1171">
            <v>98.7</v>
          </cell>
          <cell r="E1171" t="str">
            <v>A incluir</v>
          </cell>
          <cell r="F1171" t="e">
            <v>#N/A</v>
          </cell>
          <cell r="G1171" t="e">
            <v>#N/A</v>
          </cell>
        </row>
        <row r="1172">
          <cell r="A1172">
            <v>42710</v>
          </cell>
          <cell r="B1172" t="str">
            <v>Colchão drenante de brita 3 inclusive fornecimento, espalhamento, compactação e transporte da brita em Vias Urbanas</v>
          </cell>
          <cell r="C1172" t="str">
            <v>m³</v>
          </cell>
          <cell r="D1172">
            <v>106.17</v>
          </cell>
          <cell r="E1172" t="str">
            <v>A incluir</v>
          </cell>
          <cell r="F1172" t="e">
            <v>#N/A</v>
          </cell>
          <cell r="G1172" t="e">
            <v>#N/A</v>
          </cell>
        </row>
        <row r="1173">
          <cell r="A1173">
            <v>42711</v>
          </cell>
          <cell r="B1173" t="str">
            <v>Coleta drenante (1,00x1,00) m c/ geotêxtil não tecido RT 16kn/m, inclusive transporte da brita em Vias Urbanas</v>
          </cell>
          <cell r="C1173" t="str">
            <v>m</v>
          </cell>
          <cell r="D1173">
            <v>358.07</v>
          </cell>
          <cell r="E1173" t="str">
            <v>A incluir</v>
          </cell>
          <cell r="F1173" t="e">
            <v>#N/A</v>
          </cell>
          <cell r="G1173" t="e">
            <v>#N/A</v>
          </cell>
        </row>
        <row r="1174">
          <cell r="A1174">
            <v>42712</v>
          </cell>
          <cell r="B1174" t="str">
            <v>Concreto armado, dosado para resist. 20 Mpa, incluindo 60 kg aço CA-50 A, mão de obra p/ corte, dobragem e montagem, exclusive forma em Vias Urbanas</v>
          </cell>
          <cell r="C1174" t="str">
            <v>m³</v>
          </cell>
          <cell r="D1174">
            <v>850.48</v>
          </cell>
          <cell r="E1174">
            <v>0</v>
          </cell>
          <cell r="F1174" t="e">
            <v>#N/A</v>
          </cell>
          <cell r="G1174" t="e">
            <v>#N/A</v>
          </cell>
        </row>
        <row r="1175">
          <cell r="A1175">
            <v>42714</v>
          </cell>
          <cell r="B1175" t="str">
            <v>Concreto de regularização em Vias Urbanas</v>
          </cell>
          <cell r="C1175" t="str">
            <v>m³</v>
          </cell>
          <cell r="D1175">
            <v>468.93</v>
          </cell>
          <cell r="E1175" t="str">
            <v>A incluir</v>
          </cell>
          <cell r="F1175" t="e">
            <v>#N/A</v>
          </cell>
          <cell r="G1175" t="e">
            <v>#N/A</v>
          </cell>
        </row>
        <row r="1176">
          <cell r="A1176">
            <v>42717</v>
          </cell>
          <cell r="B1176" t="str">
            <v>Concreto estrutural fck -&gt; 20,0 MPa com plastificante em Vias Urbanas</v>
          </cell>
          <cell r="C1176" t="str">
            <v>m³</v>
          </cell>
          <cell r="D1176">
            <v>656.84</v>
          </cell>
          <cell r="E1176" t="str">
            <v>A incluir</v>
          </cell>
          <cell r="F1176" t="e">
            <v>#N/A</v>
          </cell>
          <cell r="G1176" t="e">
            <v>#N/A</v>
          </cell>
        </row>
        <row r="1177">
          <cell r="A1177">
            <v>42716</v>
          </cell>
          <cell r="B1177" t="str">
            <v>Concreto estrutural fck -&gt; 20,0 MPa em Vias Urbanas</v>
          </cell>
          <cell r="C1177" t="str">
            <v>m³</v>
          </cell>
          <cell r="D1177">
            <v>653.76</v>
          </cell>
          <cell r="E1177" t="str">
            <v>A incluir</v>
          </cell>
          <cell r="F1177" t="e">
            <v>#N/A</v>
          </cell>
          <cell r="G1177" t="e">
            <v>#N/A</v>
          </cell>
        </row>
        <row r="1178">
          <cell r="A1178">
            <v>42719</v>
          </cell>
          <cell r="B1178" t="str">
            <v>Concreto estrutural fck -&gt; 25,0 MPa com plastificante em Vias Urbanas</v>
          </cell>
          <cell r="C1178" t="str">
            <v>m³</v>
          </cell>
          <cell r="D1178">
            <v>685.97</v>
          </cell>
          <cell r="E1178" t="str">
            <v>A incluir</v>
          </cell>
          <cell r="F1178" t="e">
            <v>#N/A</v>
          </cell>
          <cell r="G1178" t="e">
            <v>#N/A</v>
          </cell>
        </row>
        <row r="1179">
          <cell r="A1179">
            <v>42718</v>
          </cell>
          <cell r="B1179" t="str">
            <v>Concreto estrutural fck -&gt; 25,0 MPa em Vias Urbanas</v>
          </cell>
          <cell r="C1179" t="str">
            <v>m³</v>
          </cell>
          <cell r="D1179">
            <v>682.51</v>
          </cell>
          <cell r="E1179" t="str">
            <v>A incluir</v>
          </cell>
          <cell r="F1179" t="e">
            <v>#N/A</v>
          </cell>
          <cell r="G1179" t="e">
            <v>#N/A</v>
          </cell>
        </row>
        <row r="1180">
          <cell r="A1180">
            <v>42722</v>
          </cell>
          <cell r="B1180" t="str">
            <v>Concreto estrutural fck -&gt; 30,0 MPa com micro-silica e Sikacrete BR ou equivalente em Vias Urbanas</v>
          </cell>
          <cell r="C1180" t="str">
            <v>m³</v>
          </cell>
          <cell r="D1180">
            <v>866.13</v>
          </cell>
          <cell r="E1180" t="str">
            <v>A incluir</v>
          </cell>
          <cell r="F1180" t="e">
            <v>#N/A</v>
          </cell>
          <cell r="G1180" t="e">
            <v>#N/A</v>
          </cell>
        </row>
        <row r="1181">
          <cell r="A1181">
            <v>42721</v>
          </cell>
          <cell r="B1181" t="str">
            <v>Concreto estrutural fck -&gt; 30,0 MPa com plastificante em Vias Urbanas</v>
          </cell>
          <cell r="C1181" t="str">
            <v>m³</v>
          </cell>
          <cell r="D1181">
            <v>712.8</v>
          </cell>
          <cell r="E1181" t="str">
            <v>A incluir</v>
          </cell>
          <cell r="F1181" t="e">
            <v>#N/A</v>
          </cell>
          <cell r="G1181" t="e">
            <v>#N/A</v>
          </cell>
        </row>
        <row r="1182">
          <cell r="A1182">
            <v>42720</v>
          </cell>
          <cell r="B1182" t="str">
            <v>Concreto estrutural fck -&gt; 30,0 MPa em Vias Urbanas</v>
          </cell>
          <cell r="C1182" t="str">
            <v>m³</v>
          </cell>
          <cell r="D1182">
            <v>708.99</v>
          </cell>
          <cell r="E1182" t="str">
            <v>A incluir</v>
          </cell>
          <cell r="F1182" t="e">
            <v>#N/A</v>
          </cell>
          <cell r="G1182" t="e">
            <v>#N/A</v>
          </cell>
        </row>
        <row r="1183">
          <cell r="A1183">
            <v>42723</v>
          </cell>
          <cell r="B1183" t="str">
            <v>Concreto estrutural fck -&gt; 35,0 MPa com micro-silica e Sikacrete ou equivalente em Vias Urbanas</v>
          </cell>
          <cell r="C1183" t="str">
            <v>m³</v>
          </cell>
          <cell r="D1183">
            <v>797.53</v>
          </cell>
          <cell r="E1183" t="str">
            <v>A incluir</v>
          </cell>
          <cell r="F1183" t="e">
            <v>#N/A</v>
          </cell>
          <cell r="G1183" t="e">
            <v>#N/A</v>
          </cell>
        </row>
        <row r="1184">
          <cell r="A1184">
            <v>42724</v>
          </cell>
          <cell r="B1184" t="str">
            <v>Concreto submerso fck -&gt; 20,0 MPa em Vias Urbanas</v>
          </cell>
          <cell r="C1184" t="str">
            <v>m³</v>
          </cell>
          <cell r="D1184">
            <v>1316.97</v>
          </cell>
          <cell r="E1184" t="str">
            <v>A incluir</v>
          </cell>
          <cell r="F1184" t="e">
            <v>#N/A</v>
          </cell>
          <cell r="G1184" t="e">
            <v>#N/A</v>
          </cell>
        </row>
        <row r="1185">
          <cell r="A1185">
            <v>42725</v>
          </cell>
          <cell r="B1185" t="str">
            <v>Conjunto Moto-bomba submersível de 15CV, fornecimento e assentamento em Vias Urbanas</v>
          </cell>
          <cell r="C1185" t="str">
            <v>un</v>
          </cell>
          <cell r="D1185">
            <v>34316.1</v>
          </cell>
          <cell r="E1185">
            <v>0</v>
          </cell>
          <cell r="F1185" t="e">
            <v>#N/A</v>
          </cell>
          <cell r="G1185" t="e">
            <v>#N/A</v>
          </cell>
        </row>
        <row r="1186">
          <cell r="A1186">
            <v>42726</v>
          </cell>
          <cell r="B1186" t="str">
            <v>Corpo BDTC (grota) diâmetro 0,60 m CA-1 MF exclusive escavação e reaterro, inclusive transporte do tubo em Vias Urbanas</v>
          </cell>
          <cell r="C1186" t="str">
            <v>m</v>
          </cell>
          <cell r="D1186">
            <v>324.54000000000002</v>
          </cell>
          <cell r="E1186" t="str">
            <v>A incluir</v>
          </cell>
          <cell r="F1186" t="e">
            <v>#N/A</v>
          </cell>
          <cell r="G1186" t="e">
            <v>#N/A</v>
          </cell>
        </row>
        <row r="1187">
          <cell r="A1187">
            <v>42727</v>
          </cell>
          <cell r="B1187" t="str">
            <v>Corpo BDTC (grota) diâmetro 0,60 m CA-1 PB exclusive escavação e reaterro, inclusive transporte do tubo em Vias Urbanas</v>
          </cell>
          <cell r="C1187" t="str">
            <v>m</v>
          </cell>
          <cell r="D1187">
            <v>328.48</v>
          </cell>
          <cell r="E1187" t="str">
            <v>A incluir</v>
          </cell>
          <cell r="F1187" t="e">
            <v>#N/A</v>
          </cell>
          <cell r="G1187" t="e">
            <v>#N/A</v>
          </cell>
        </row>
        <row r="1188">
          <cell r="A1188">
            <v>42728</v>
          </cell>
          <cell r="B1188" t="str">
            <v>Corpo BDTC (grota) diâmetro 0,60 m CA-2 MF exclusive escavação e reaterro, inclusive transporte do tubo em Vias Urbanas</v>
          </cell>
          <cell r="C1188" t="str">
            <v>m</v>
          </cell>
          <cell r="D1188">
            <v>311.5</v>
          </cell>
          <cell r="E1188" t="str">
            <v>A incluir</v>
          </cell>
          <cell r="F1188" t="e">
            <v>#N/A</v>
          </cell>
          <cell r="G1188" t="e">
            <v>#N/A</v>
          </cell>
        </row>
        <row r="1189">
          <cell r="A1189">
            <v>42729</v>
          </cell>
          <cell r="B1189" t="str">
            <v>Corpo BDTC (grota) diâmetro 0,60 m CA-2 PB exclusive escavação e reaterro, inclusive transporte do tubo em Vias Urbanas</v>
          </cell>
          <cell r="C1189" t="str">
            <v>m</v>
          </cell>
          <cell r="D1189">
            <v>318.5</v>
          </cell>
          <cell r="E1189" t="str">
            <v>A incluir</v>
          </cell>
          <cell r="F1189" t="e">
            <v>#N/A</v>
          </cell>
          <cell r="G1189" t="e">
            <v>#N/A</v>
          </cell>
        </row>
        <row r="1190">
          <cell r="A1190">
            <v>42730</v>
          </cell>
          <cell r="B1190" t="str">
            <v>Corpo BDTC (grota) diâmetro 0,80 m CA-1 MF exclusive escavação e reaterro, inclusive transporte do tubo em Vias Urbanas</v>
          </cell>
          <cell r="C1190" t="str">
            <v>m</v>
          </cell>
          <cell r="D1190">
            <v>672.63</v>
          </cell>
          <cell r="E1190" t="str">
            <v>A incluir</v>
          </cell>
          <cell r="F1190" t="e">
            <v>#N/A</v>
          </cell>
          <cell r="G1190" t="e">
            <v>#N/A</v>
          </cell>
        </row>
        <row r="1191">
          <cell r="A1191">
            <v>42731</v>
          </cell>
          <cell r="B1191" t="str">
            <v>Corpo BDTC (grota) diâmetro 0,80 m CA-1 PB exclusive escavação e reaterro, inclusive transporte do tubo em Vias Urbanas</v>
          </cell>
          <cell r="C1191" t="str">
            <v>m</v>
          </cell>
          <cell r="D1191">
            <v>677.38</v>
          </cell>
          <cell r="E1191" t="str">
            <v>A incluir</v>
          </cell>
          <cell r="F1191" t="e">
            <v>#N/A</v>
          </cell>
          <cell r="G1191" t="e">
            <v>#N/A</v>
          </cell>
        </row>
        <row r="1192">
          <cell r="A1192">
            <v>42732</v>
          </cell>
          <cell r="B1192" t="str">
            <v>Corpo BDTC (grota) diâmetro 0,80 m CA-2 MF exclusive escavação e reaterro, inclusive transporte do tubo em Vias Urbanas</v>
          </cell>
          <cell r="C1192" t="str">
            <v>m</v>
          </cell>
          <cell r="D1192">
            <v>659.41</v>
          </cell>
          <cell r="E1192" t="str">
            <v>A incluir</v>
          </cell>
          <cell r="F1192" t="e">
            <v>#N/A</v>
          </cell>
          <cell r="G1192" t="e">
            <v>#N/A</v>
          </cell>
        </row>
        <row r="1193">
          <cell r="A1193">
            <v>42733</v>
          </cell>
          <cell r="B1193" t="str">
            <v>Corpo BDTC (grota) diâmetro 0,80 m CA-2 PB exclusive escavação e reaterro, inclusive transporte do tubo em Vias Urbanas</v>
          </cell>
          <cell r="C1193" t="str">
            <v>m</v>
          </cell>
          <cell r="D1193">
            <v>701.57</v>
          </cell>
          <cell r="E1193" t="str">
            <v>A incluir</v>
          </cell>
          <cell r="F1193" t="e">
            <v>#N/A</v>
          </cell>
          <cell r="G1193" t="e">
            <v>#N/A</v>
          </cell>
        </row>
        <row r="1194">
          <cell r="A1194">
            <v>42734</v>
          </cell>
          <cell r="B1194" t="str">
            <v>Corpo BDTC (grota) diâmetro 1,00 m CA-1 MF exclusive escavação e reaterro, inclusive transporte do tubo em Vias Urbanas</v>
          </cell>
          <cell r="C1194" t="str">
            <v>m</v>
          </cell>
          <cell r="D1194">
            <v>842.25</v>
          </cell>
          <cell r="E1194" t="str">
            <v>A incluir</v>
          </cell>
          <cell r="F1194" t="e">
            <v>#N/A</v>
          </cell>
          <cell r="G1194" t="e">
            <v>#N/A</v>
          </cell>
        </row>
        <row r="1195">
          <cell r="A1195">
            <v>42735</v>
          </cell>
          <cell r="B1195" t="str">
            <v>Corpo BDTC (grota) diâmetro 1,00 m CA-1 PB exclusive escavação e reaterro, inclusive transporte do tubo em Vias Urbanas</v>
          </cell>
          <cell r="C1195" t="str">
            <v>m</v>
          </cell>
          <cell r="D1195">
            <v>781.22</v>
          </cell>
          <cell r="E1195" t="str">
            <v>A incluir</v>
          </cell>
          <cell r="F1195" t="e">
            <v>#N/A</v>
          </cell>
          <cell r="G1195" t="e">
            <v>#N/A</v>
          </cell>
        </row>
        <row r="1196">
          <cell r="A1196">
            <v>42736</v>
          </cell>
          <cell r="B1196" t="str">
            <v>Corpo BDTC (grota) diâmetro 1,00 m CA-2 MF exclusive escavação e reaterro, inclusive transporte do tubo em Vias Urbanas</v>
          </cell>
          <cell r="C1196" t="str">
            <v>m</v>
          </cell>
          <cell r="D1196">
            <v>920.03</v>
          </cell>
          <cell r="E1196" t="str">
            <v>A incluir</v>
          </cell>
          <cell r="F1196" t="e">
            <v>#N/A</v>
          </cell>
          <cell r="G1196" t="e">
            <v>#N/A</v>
          </cell>
        </row>
        <row r="1197">
          <cell r="A1197">
            <v>42737</v>
          </cell>
          <cell r="B1197" t="str">
            <v>Corpo BDTC (grota) diâmetro 1,00 m CA-2 PB exclusive escavação e reaterro, inclusive transporte do tubo em Vias Urbanas</v>
          </cell>
          <cell r="C1197" t="str">
            <v>m</v>
          </cell>
          <cell r="D1197">
            <v>885.91</v>
          </cell>
          <cell r="E1197" t="str">
            <v>A incluir</v>
          </cell>
          <cell r="F1197" t="e">
            <v>#N/A</v>
          </cell>
          <cell r="G1197" t="e">
            <v>#N/A</v>
          </cell>
        </row>
        <row r="1198">
          <cell r="A1198">
            <v>42738</v>
          </cell>
          <cell r="B1198" t="str">
            <v>Corpo BDTC (grota) diâmetro 1,00 m CA-3 MF exclusive escavação e reaterro, inclusive transporte do tubo em Vias Urbanas</v>
          </cell>
          <cell r="C1198" t="str">
            <v>m</v>
          </cell>
          <cell r="D1198">
            <v>919.77</v>
          </cell>
          <cell r="E1198" t="str">
            <v>A incluir</v>
          </cell>
          <cell r="F1198" t="e">
            <v>#N/A</v>
          </cell>
          <cell r="G1198" t="e">
            <v>#N/A</v>
          </cell>
        </row>
        <row r="1199">
          <cell r="A1199">
            <v>42739</v>
          </cell>
          <cell r="B1199" t="str">
            <v>Corpo BDTC (grota) diâmetro 1,20 m CA-1 MF exclusive escavação e reaterro, inclusive transporte do tubo em Vias Urbanas</v>
          </cell>
          <cell r="C1199" t="str">
            <v>m</v>
          </cell>
          <cell r="D1199">
            <v>1243.54</v>
          </cell>
          <cell r="E1199" t="str">
            <v>A incluir</v>
          </cell>
          <cell r="F1199" t="e">
            <v>#N/A</v>
          </cell>
          <cell r="G1199" t="e">
            <v>#N/A</v>
          </cell>
        </row>
        <row r="1200">
          <cell r="A1200">
            <v>42740</v>
          </cell>
          <cell r="B1200" t="str">
            <v>Corpo BDTC (grota) diâmetro 1,20 m CA-2 MF exclusive escavação e reaterro, inclusive transporte do tubo em Vias Urbanas</v>
          </cell>
          <cell r="C1200" t="str">
            <v>m</v>
          </cell>
          <cell r="D1200">
            <v>1222.9000000000001</v>
          </cell>
          <cell r="E1200" t="str">
            <v>A incluir</v>
          </cell>
          <cell r="F1200" t="e">
            <v>#N/A</v>
          </cell>
          <cell r="G1200" t="e">
            <v>#N/A</v>
          </cell>
        </row>
        <row r="1201">
          <cell r="A1201">
            <v>42741</v>
          </cell>
          <cell r="B1201" t="str">
            <v>Corpo BDTC (grota) diâmetro 1,20 m CA-2 PB exclusive escavação e reaterro, inclusive transporte do tubo em Vias Urbanas</v>
          </cell>
          <cell r="C1201" t="str">
            <v>m</v>
          </cell>
          <cell r="D1201">
            <v>1307.31</v>
          </cell>
          <cell r="E1201" t="str">
            <v>A incluir</v>
          </cell>
          <cell r="F1201" t="e">
            <v>#N/A</v>
          </cell>
          <cell r="G1201" t="e">
            <v>#N/A</v>
          </cell>
        </row>
        <row r="1202">
          <cell r="A1202">
            <v>42742</v>
          </cell>
          <cell r="B1202" t="str">
            <v>Corpo BDTC (grota) diâmetro 1,20 m CA-3 MF exclusive escavação e reaterro, inclusive transporte do tubo em Vias Urbanas</v>
          </cell>
          <cell r="C1202" t="str">
            <v>m</v>
          </cell>
          <cell r="D1202">
            <v>1275.0899999999999</v>
          </cell>
          <cell r="E1202" t="str">
            <v>A incluir</v>
          </cell>
          <cell r="F1202" t="e">
            <v>#N/A</v>
          </cell>
          <cell r="G1202" t="e">
            <v>#N/A</v>
          </cell>
        </row>
        <row r="1203">
          <cell r="A1203">
            <v>42743</v>
          </cell>
          <cell r="B1203" t="str">
            <v>Corpo BDTC (grota) diâmetro 1,50 m CA-1 MF exclusive escavação e reaterro, inclusive transporte do tubo em Vias Urbanas</v>
          </cell>
          <cell r="C1203" t="str">
            <v>m</v>
          </cell>
          <cell r="D1203">
            <v>2014.59</v>
          </cell>
          <cell r="E1203" t="str">
            <v>A incluir</v>
          </cell>
          <cell r="F1203" t="e">
            <v>#N/A</v>
          </cell>
          <cell r="G1203" t="e">
            <v>#N/A</v>
          </cell>
        </row>
        <row r="1204">
          <cell r="A1204">
            <v>42744</v>
          </cell>
          <cell r="B1204" t="str">
            <v>Corpo BDTC (grota) diâmetro 1,50 m CA-1 PB exclusive escavação e reaterro, inclusive transporte do tubo em Vias Urbanas</v>
          </cell>
          <cell r="C1204" t="str">
            <v>m</v>
          </cell>
          <cell r="D1204">
            <v>1745.76</v>
          </cell>
          <cell r="E1204" t="str">
            <v>A incluir</v>
          </cell>
          <cell r="F1204" t="e">
            <v>#N/A</v>
          </cell>
          <cell r="G1204" t="e">
            <v>#N/A</v>
          </cell>
        </row>
        <row r="1205">
          <cell r="A1205">
            <v>42745</v>
          </cell>
          <cell r="B1205" t="str">
            <v>Corpo BDTC (grota) diâmetro 1,50 m CA-2 MF exclusive escavação e reaterro, inclusive transporte do tubo em Vias Urbanas</v>
          </cell>
          <cell r="C1205" t="str">
            <v>m</v>
          </cell>
          <cell r="D1205">
            <v>2015.24</v>
          </cell>
          <cell r="E1205" t="str">
            <v>A incluir</v>
          </cell>
          <cell r="F1205" t="e">
            <v>#N/A</v>
          </cell>
          <cell r="G1205" t="e">
            <v>#N/A</v>
          </cell>
        </row>
        <row r="1206">
          <cell r="A1206">
            <v>42746</v>
          </cell>
          <cell r="B1206" t="str">
            <v>Corpo BDTC (grota) diâmetro 1,50 m CA-2 PB exclusive escavação e reaterro, inclusive transporte do tubo em Vias Urbanas</v>
          </cell>
          <cell r="C1206" t="str">
            <v>m</v>
          </cell>
          <cell r="D1206">
            <v>1832.61</v>
          </cell>
          <cell r="E1206" t="str">
            <v>A incluir</v>
          </cell>
          <cell r="F1206" t="e">
            <v>#N/A</v>
          </cell>
          <cell r="G1206" t="e">
            <v>#N/A</v>
          </cell>
        </row>
        <row r="1207">
          <cell r="A1207">
            <v>42747</v>
          </cell>
          <cell r="B1207" t="str">
            <v>Corpo BDTC (grota) diâmetro 1,50 m CA-3 MF exclusive escavação e reaterro, inclusive transporte do tubo em Vias Urbanas</v>
          </cell>
          <cell r="C1207" t="str">
            <v>m</v>
          </cell>
          <cell r="D1207">
            <v>1573.74</v>
          </cell>
          <cell r="E1207" t="str">
            <v>A incluir</v>
          </cell>
          <cell r="F1207" t="e">
            <v>#N/A</v>
          </cell>
          <cell r="G1207" t="e">
            <v>#N/A</v>
          </cell>
        </row>
        <row r="1208">
          <cell r="A1208">
            <v>42748</v>
          </cell>
          <cell r="B1208" t="str">
            <v>Corpo BSTC diâmetro 0,20 m C.S. MF inclusive escavação, reaterro e transporte do tubo em Vias Urbanas</v>
          </cell>
          <cell r="C1208" t="str">
            <v>m</v>
          </cell>
          <cell r="D1208">
            <v>87.15</v>
          </cell>
          <cell r="E1208" t="str">
            <v>A incluir</v>
          </cell>
          <cell r="F1208" t="e">
            <v>#N/A</v>
          </cell>
          <cell r="G1208" t="e">
            <v>#N/A</v>
          </cell>
        </row>
        <row r="1209">
          <cell r="A1209">
            <v>42749</v>
          </cell>
          <cell r="B1209" t="str">
            <v>Corpo BSTC diâmetro 0,20 m C.S. PB inclusive escavação, reaterro e transporte do tubo em Vias Urbanas</v>
          </cell>
          <cell r="C1209" t="str">
            <v>m</v>
          </cell>
          <cell r="D1209">
            <v>87.15</v>
          </cell>
          <cell r="E1209" t="str">
            <v>A incluir</v>
          </cell>
          <cell r="F1209" t="e">
            <v>#N/A</v>
          </cell>
          <cell r="G1209" t="e">
            <v>#N/A</v>
          </cell>
        </row>
        <row r="1210">
          <cell r="A1210">
            <v>42750</v>
          </cell>
          <cell r="B1210" t="str">
            <v>Corpo BSTC diâmetro 0,30 m C.S. MF inclusive escavação, reaterro e transporte do tubo em Vias Urbanas</v>
          </cell>
          <cell r="C1210" t="str">
            <v>m</v>
          </cell>
          <cell r="D1210">
            <v>111.75</v>
          </cell>
          <cell r="E1210" t="str">
            <v>A incluir</v>
          </cell>
          <cell r="F1210" t="e">
            <v>#N/A</v>
          </cell>
          <cell r="G1210" t="e">
            <v>#N/A</v>
          </cell>
        </row>
        <row r="1211">
          <cell r="A1211">
            <v>42751</v>
          </cell>
          <cell r="B1211" t="str">
            <v>Corpo BSTC diâmetro 0,30 m C.S. PB inclusive escavação, reaterro e transporte do tubo em Vias Urbanas</v>
          </cell>
          <cell r="C1211" t="str">
            <v>m</v>
          </cell>
          <cell r="D1211">
            <v>111.14</v>
          </cell>
          <cell r="E1211" t="str">
            <v>A incluir</v>
          </cell>
          <cell r="F1211" t="e">
            <v>#N/A</v>
          </cell>
          <cell r="G1211" t="e">
            <v>#N/A</v>
          </cell>
        </row>
        <row r="1212">
          <cell r="A1212">
            <v>42752</v>
          </cell>
          <cell r="B1212" t="str">
            <v>Corpo BSTC diâmetro 0,40 m C.S. MF inclusive escavação, reaterro e transporte do tubo em Vias Urbanas</v>
          </cell>
          <cell r="C1212" t="str">
            <v>m</v>
          </cell>
          <cell r="D1212">
            <v>149.59</v>
          </cell>
          <cell r="E1212" t="str">
            <v>A incluir</v>
          </cell>
          <cell r="F1212" t="e">
            <v>#N/A</v>
          </cell>
          <cell r="G1212" t="e">
            <v>#N/A</v>
          </cell>
        </row>
        <row r="1213">
          <cell r="A1213">
            <v>42753</v>
          </cell>
          <cell r="B1213" t="str">
            <v>Corpo BSTC diâmetro 0,40 m C.S. PB inclusive escavação, reaterro e transporte do tubo em Vias Urbanas</v>
          </cell>
          <cell r="C1213" t="str">
            <v>m</v>
          </cell>
          <cell r="D1213">
            <v>144.21</v>
          </cell>
          <cell r="E1213" t="str">
            <v>A incluir</v>
          </cell>
          <cell r="F1213" t="e">
            <v>#N/A</v>
          </cell>
          <cell r="G1213" t="e">
            <v>#N/A</v>
          </cell>
        </row>
        <row r="1214">
          <cell r="A1214">
            <v>42754</v>
          </cell>
          <cell r="B1214" t="str">
            <v>Corpo BSTC diâmetro 0,60 m C.S. MF inclusive escavação, reaterro e transporte do tubo em Vias Urbanas</v>
          </cell>
          <cell r="C1214" t="str">
            <v>m</v>
          </cell>
          <cell r="D1214">
            <v>242.86</v>
          </cell>
          <cell r="E1214" t="str">
            <v>A incluir</v>
          </cell>
          <cell r="F1214" t="e">
            <v>#N/A</v>
          </cell>
          <cell r="G1214" t="e">
            <v>#N/A</v>
          </cell>
        </row>
        <row r="1215">
          <cell r="A1215">
            <v>42755</v>
          </cell>
          <cell r="B1215" t="str">
            <v>Corpo BSTC diâmetro 0,60 m C.S. PB inclusive escavação, reaterro e transporte do tubo em Vias Urbanas</v>
          </cell>
          <cell r="C1215" t="str">
            <v>m</v>
          </cell>
          <cell r="D1215">
            <v>234.75</v>
          </cell>
          <cell r="E1215" t="str">
            <v>A incluir</v>
          </cell>
          <cell r="F1215" t="e">
            <v>#N/A</v>
          </cell>
          <cell r="G1215" t="e">
            <v>#N/A</v>
          </cell>
        </row>
        <row r="1216">
          <cell r="A1216">
            <v>42756</v>
          </cell>
          <cell r="B1216" t="str">
            <v>Corpo BSTC (greide) diâmetro 0,30 m CA-1 MF inclusive escavação, reaterro e transporte do tubo em Vias Urbanas</v>
          </cell>
          <cell r="C1216" t="str">
            <v>m</v>
          </cell>
          <cell r="D1216">
            <v>114.34</v>
          </cell>
          <cell r="E1216" t="str">
            <v>A incluir</v>
          </cell>
          <cell r="F1216" t="e">
            <v>#N/A</v>
          </cell>
          <cell r="G1216" t="e">
            <v>#N/A</v>
          </cell>
        </row>
        <row r="1217">
          <cell r="A1217">
            <v>42757</v>
          </cell>
          <cell r="B1217" t="str">
            <v>Corpo BSTC (greide) diâmetro 0,40 m CA-1 MF inclusive escavação, reaterro e transporte do tubo em Vias Urbanas</v>
          </cell>
          <cell r="C1217" t="str">
            <v>m</v>
          </cell>
          <cell r="D1217">
            <v>159.96</v>
          </cell>
          <cell r="E1217" t="str">
            <v>A incluir</v>
          </cell>
          <cell r="F1217">
            <v>166.08</v>
          </cell>
          <cell r="G1217">
            <v>1.0382595648912201</v>
          </cell>
        </row>
        <row r="1218">
          <cell r="A1218">
            <v>42759</v>
          </cell>
          <cell r="B1218" t="str">
            <v>Corpo BSTC (greide) diâmetro 0,40 m CA-2 MF inclusive escavação, reaterro e transporte do tubo em Vias Urbanas</v>
          </cell>
          <cell r="C1218" t="str">
            <v>m</v>
          </cell>
          <cell r="D1218">
            <v>167.09</v>
          </cell>
          <cell r="E1218" t="str">
            <v>A incluir</v>
          </cell>
          <cell r="F1218" t="e">
            <v>#N/A</v>
          </cell>
          <cell r="G1218" t="e">
            <v>#N/A</v>
          </cell>
        </row>
        <row r="1219">
          <cell r="A1219">
            <v>42760</v>
          </cell>
          <cell r="B1219" t="str">
            <v>Corpo BSTC (greide) diâmetro 0,60 m CA-1 MF inclusive escavação, reaterro e transporte do tubo em Vias Urbanas</v>
          </cell>
          <cell r="C1219" t="str">
            <v>m</v>
          </cell>
          <cell r="D1219">
            <v>255.86</v>
          </cell>
          <cell r="E1219" t="str">
            <v>A incluir</v>
          </cell>
          <cell r="F1219" t="e">
            <v>#N/A</v>
          </cell>
          <cell r="G1219" t="e">
            <v>#N/A</v>
          </cell>
        </row>
        <row r="1220">
          <cell r="A1220">
            <v>42761</v>
          </cell>
          <cell r="B1220" t="str">
            <v>Corpo BSTC (greide) diâmetro 0,60 m CA-1 PB inclusive escavação, reaterro e transporte do tubo em Vias Urbanas</v>
          </cell>
          <cell r="C1220" t="str">
            <v>m</v>
          </cell>
          <cell r="D1220">
            <v>257.83</v>
          </cell>
          <cell r="E1220" t="str">
            <v>A incluir</v>
          </cell>
          <cell r="F1220" t="e">
            <v>#N/A</v>
          </cell>
          <cell r="G1220" t="e">
            <v>#N/A</v>
          </cell>
        </row>
        <row r="1221">
          <cell r="A1221">
            <v>42762</v>
          </cell>
          <cell r="B1221" t="str">
            <v>Corpo BSTC (greide) diâmetro 0,60 m CA-2 MF inclusive escavação, reaterro e transporte do tubo em Vias Urbanas</v>
          </cell>
          <cell r="C1221" t="str">
            <v>m</v>
          </cell>
          <cell r="D1221">
            <v>249.34</v>
          </cell>
          <cell r="E1221" t="str">
            <v>A incluir</v>
          </cell>
          <cell r="F1221" t="e">
            <v>#N/A</v>
          </cell>
          <cell r="G1221" t="e">
            <v>#N/A</v>
          </cell>
        </row>
        <row r="1222">
          <cell r="A1222">
            <v>42763</v>
          </cell>
          <cell r="B1222" t="str">
            <v>Corpo BSTC (greide) diâmetro 0,60 m CA-2 PB inclusive escavação, reaterro e transporte do tubo em Vias Urbanas</v>
          </cell>
          <cell r="C1222" t="str">
            <v>m</v>
          </cell>
          <cell r="D1222">
            <v>252.84</v>
          </cell>
          <cell r="E1222" t="str">
            <v>A incluir</v>
          </cell>
          <cell r="F1222">
            <v>266</v>
          </cell>
          <cell r="G1222">
            <v>1.0520487264673299</v>
          </cell>
        </row>
        <row r="1223">
          <cell r="A1223">
            <v>42764</v>
          </cell>
          <cell r="B1223" t="str">
            <v>Corpo BSTC (greide) diâmetro 0,80 m CA-1 MF inclusive escavação, reaterro e transporte do tubo em Vias Urbanas</v>
          </cell>
          <cell r="C1223" t="str">
            <v>m</v>
          </cell>
          <cell r="D1223">
            <v>508.79</v>
          </cell>
          <cell r="E1223" t="str">
            <v>A incluir</v>
          </cell>
          <cell r="F1223" t="e">
            <v>#N/A</v>
          </cell>
          <cell r="G1223" t="e">
            <v>#N/A</v>
          </cell>
        </row>
        <row r="1224">
          <cell r="A1224">
            <v>42765</v>
          </cell>
          <cell r="B1224" t="str">
            <v>Corpo BSTC (greide) diâmetro 0,80 m CA-1 PB inclusive escavação, reaterro e transporte do tubo em Vias Urbanas</v>
          </cell>
          <cell r="C1224" t="str">
            <v>m</v>
          </cell>
          <cell r="D1224">
            <v>511.16</v>
          </cell>
          <cell r="E1224" t="str">
            <v>A incluir</v>
          </cell>
          <cell r="F1224" t="e">
            <v>#N/A</v>
          </cell>
          <cell r="G1224" t="e">
            <v>#N/A</v>
          </cell>
        </row>
        <row r="1225">
          <cell r="A1225">
            <v>42766</v>
          </cell>
          <cell r="B1225" t="str">
            <v>Corpo BSTC (greide) diâmetro 0,80 m CA-2 MF inclusive escavação, reaterro e transporte do tubo em Vias Urbanas</v>
          </cell>
          <cell r="C1225" t="str">
            <v>m</v>
          </cell>
          <cell r="D1225">
            <v>502.18</v>
          </cell>
          <cell r="E1225" t="str">
            <v>A incluir</v>
          </cell>
          <cell r="F1225" t="e">
            <v>#N/A</v>
          </cell>
          <cell r="G1225" t="e">
            <v>#N/A</v>
          </cell>
        </row>
        <row r="1226">
          <cell r="A1226">
            <v>42767</v>
          </cell>
          <cell r="B1226" t="str">
            <v>Corpo BSTC (greide) diâmetro 0,80 m CA-2 PB inclusive escavação, reaterro e transporte do tubo em Vias Urbanas</v>
          </cell>
          <cell r="C1226" t="str">
            <v>m</v>
          </cell>
          <cell r="D1226">
            <v>523.26</v>
          </cell>
          <cell r="E1226" t="str">
            <v>A incluir</v>
          </cell>
          <cell r="F1226">
            <v>549.70000000000005</v>
          </cell>
          <cell r="G1226">
            <v>1.0505293735427901</v>
          </cell>
        </row>
        <row r="1227">
          <cell r="A1227">
            <v>42768</v>
          </cell>
          <cell r="B1227" t="str">
            <v>Corpo BSTC (greide) diâmetro 1,00 m CA-1 MF inclusive escavação, reaterro e transporte do tubo em Vias Urbanas</v>
          </cell>
          <cell r="C1227" t="str">
            <v>m</v>
          </cell>
          <cell r="D1227">
            <v>671.97</v>
          </cell>
          <cell r="E1227" t="str">
            <v>A incluir</v>
          </cell>
          <cell r="F1227" t="e">
            <v>#N/A</v>
          </cell>
          <cell r="G1227" t="e">
            <v>#N/A</v>
          </cell>
        </row>
        <row r="1228">
          <cell r="A1228">
            <v>42769</v>
          </cell>
          <cell r="B1228" t="str">
            <v>Corpo BSTC (greide) diâmetro 1,00 m CA-1 PB inclusive escavação, reaterro e transporte do tubo em Vias Urbanas</v>
          </cell>
          <cell r="C1228" t="str">
            <v>m</v>
          </cell>
          <cell r="D1228">
            <v>670.71</v>
          </cell>
          <cell r="E1228" t="str">
            <v>A incluir</v>
          </cell>
          <cell r="F1228" t="e">
            <v>#N/A</v>
          </cell>
          <cell r="G1228" t="e">
            <v>#N/A</v>
          </cell>
        </row>
        <row r="1229">
          <cell r="A1229">
            <v>42770</v>
          </cell>
          <cell r="B1229" t="str">
            <v>Corpo BSTC (greide) diâmetro 1,00 m CA-2 MF inclusive escavação, reaterro e transporte do tubo em Vias Urbanas</v>
          </cell>
          <cell r="C1229" t="str">
            <v>m</v>
          </cell>
          <cell r="D1229">
            <v>710.86</v>
          </cell>
          <cell r="E1229" t="str">
            <v>A incluir</v>
          </cell>
          <cell r="F1229" t="e">
            <v>#N/A</v>
          </cell>
          <cell r="G1229" t="e">
            <v>#N/A</v>
          </cell>
        </row>
        <row r="1230">
          <cell r="A1230">
            <v>42771</v>
          </cell>
          <cell r="B1230" t="str">
            <v>Corpo BSTC (greide) diâmetro 1,00 m CA-2 PB inclusive escavação, reaterro e transporte do tubo em Vias Urbanas</v>
          </cell>
          <cell r="C1230" t="str">
            <v>m</v>
          </cell>
          <cell r="D1230">
            <v>693.8</v>
          </cell>
          <cell r="E1230" t="str">
            <v>A incluir</v>
          </cell>
          <cell r="F1230">
            <v>707.94</v>
          </cell>
          <cell r="G1230">
            <v>1.0203805131161701</v>
          </cell>
        </row>
        <row r="1231">
          <cell r="A1231">
            <v>42772</v>
          </cell>
          <cell r="B1231" t="str">
            <v>Corpo BSTC (greide) diâmetro 1,20 m CA-1 MF inclusive escavação, reaterro e transporte do tubo em Vias Urbanas</v>
          </cell>
          <cell r="C1231" t="str">
            <v>m</v>
          </cell>
          <cell r="D1231">
            <v>933.11</v>
          </cell>
          <cell r="E1231" t="str">
            <v>A incluir</v>
          </cell>
          <cell r="F1231" t="e">
            <v>#N/A</v>
          </cell>
          <cell r="G1231" t="e">
            <v>#N/A</v>
          </cell>
        </row>
        <row r="1232">
          <cell r="A1232">
            <v>42773</v>
          </cell>
          <cell r="B1232" t="str">
            <v>Corpo BSTC (greide) diâmetro 1,20 m CA-1 PB inclusive escavação, reaterro e transporte do tubo em Vias Urbanas</v>
          </cell>
          <cell r="C1232" t="str">
            <v>m</v>
          </cell>
          <cell r="D1232">
            <v>949.74</v>
          </cell>
          <cell r="E1232" t="str">
            <v>A incluir</v>
          </cell>
          <cell r="F1232" t="e">
            <v>#N/A</v>
          </cell>
          <cell r="G1232" t="e">
            <v>#N/A</v>
          </cell>
        </row>
        <row r="1233">
          <cell r="A1233">
            <v>42774</v>
          </cell>
          <cell r="B1233" t="str">
            <v>Corpo BSTC (greide) diâmetro 1,20 m CA-2 MF inclusive escavação, reaterro e transporte do tubo, em Vias Urbanas</v>
          </cell>
          <cell r="C1233" t="str">
            <v>m</v>
          </cell>
          <cell r="D1233">
            <v>939.42</v>
          </cell>
          <cell r="E1233" t="str">
            <v>A incluir</v>
          </cell>
          <cell r="F1233" t="e">
            <v>#N/A</v>
          </cell>
          <cell r="G1233" t="e">
            <v>#N/A</v>
          </cell>
        </row>
        <row r="1234">
          <cell r="A1234">
            <v>42775</v>
          </cell>
          <cell r="B1234" t="str">
            <v>Corpo BSTC (greide) diâmetro 1,20 m CA-2 PB inclusive escavação, reaterro e transporte do tubo em Vias Urbanas</v>
          </cell>
          <cell r="C1234" t="str">
            <v>m</v>
          </cell>
          <cell r="D1234">
            <v>981.63</v>
          </cell>
          <cell r="E1234" t="str">
            <v>A incluir</v>
          </cell>
          <cell r="F1234" t="e">
            <v>#N/A</v>
          </cell>
          <cell r="G1234" t="e">
            <v>#N/A</v>
          </cell>
        </row>
        <row r="1235">
          <cell r="A1235">
            <v>42776</v>
          </cell>
          <cell r="B1235" t="str">
            <v>Corpo BSTC (grota) diâmetro 0,60 m CA-1 MF exclusive escavação e reaterro, inclusive transporte do tubo em Vias Urbanas</v>
          </cell>
          <cell r="C1235" t="str">
            <v>m</v>
          </cell>
          <cell r="D1235">
            <v>163.91</v>
          </cell>
          <cell r="E1235" t="str">
            <v>A incluir</v>
          </cell>
          <cell r="F1235" t="e">
            <v>#N/A</v>
          </cell>
          <cell r="G1235" t="e">
            <v>#N/A</v>
          </cell>
        </row>
        <row r="1236">
          <cell r="A1236">
            <v>42777</v>
          </cell>
          <cell r="B1236" t="str">
            <v>Corpo BSTC (grota) diâmetro 0,60 m CA-1 PB exclusive escavação e reaterro, inclusive transporte do tubo em Vias Urbanas</v>
          </cell>
          <cell r="C1236" t="str">
            <v>m</v>
          </cell>
          <cell r="D1236">
            <v>165.88</v>
          </cell>
          <cell r="E1236" t="str">
            <v>A incluir</v>
          </cell>
          <cell r="F1236" t="e">
            <v>#N/A</v>
          </cell>
          <cell r="G1236" t="e">
            <v>#N/A</v>
          </cell>
        </row>
        <row r="1237">
          <cell r="A1237">
            <v>42778</v>
          </cell>
          <cell r="B1237" t="str">
            <v>Corpo BSTC (grota) diâmetro 0,60 m CA-2 MF exclusive escavação e reaterro, inclusive transporte do tubo em Vias Urbanas</v>
          </cell>
          <cell r="C1237" t="str">
            <v>m</v>
          </cell>
          <cell r="D1237">
            <v>157.38999999999999</v>
          </cell>
          <cell r="E1237" t="str">
            <v>A incluir</v>
          </cell>
          <cell r="F1237" t="e">
            <v>#N/A</v>
          </cell>
          <cell r="G1237" t="e">
            <v>#N/A</v>
          </cell>
        </row>
        <row r="1238">
          <cell r="A1238">
            <v>42779</v>
          </cell>
          <cell r="B1238" t="str">
            <v>Corpo BSTC (grota) diâmetro 0,60 m CA-2 PB exclusive escavação e reaterro, inclusive transporte do tubo em Vias Urbanas</v>
          </cell>
          <cell r="C1238" t="str">
            <v>m</v>
          </cell>
          <cell r="D1238">
            <v>160.88999999999999</v>
          </cell>
          <cell r="E1238" t="str">
            <v>A incluir</v>
          </cell>
          <cell r="F1238" t="e">
            <v>#N/A</v>
          </cell>
          <cell r="G1238" t="e">
            <v>#N/A</v>
          </cell>
        </row>
        <row r="1239">
          <cell r="A1239">
            <v>42780</v>
          </cell>
          <cell r="B1239" t="str">
            <v>Corpo BSTC (grota) diâmetro 0,80 m CA-1 MF exclusive escavação e reaterro, inclusive transporte do tubo em Vias Urbanas</v>
          </cell>
          <cell r="C1239" t="str">
            <v>m</v>
          </cell>
          <cell r="D1239">
            <v>379.08</v>
          </cell>
          <cell r="E1239" t="str">
            <v>A incluir</v>
          </cell>
          <cell r="F1239" t="e">
            <v>#N/A</v>
          </cell>
          <cell r="G1239" t="e">
            <v>#N/A</v>
          </cell>
        </row>
        <row r="1240">
          <cell r="A1240">
            <v>42781</v>
          </cell>
          <cell r="B1240" t="str">
            <v>Corpo BSTC (grota) diâmetro 0,80 m CA-1 PB exclusive escavação e reaterro, inclusive transporte do tubo em Vias Urbanas</v>
          </cell>
          <cell r="C1240" t="str">
            <v>m</v>
          </cell>
          <cell r="D1240">
            <v>381.46</v>
          </cell>
          <cell r="E1240" t="str">
            <v>A incluir</v>
          </cell>
          <cell r="F1240" t="e">
            <v>#N/A</v>
          </cell>
          <cell r="G1240" t="e">
            <v>#N/A</v>
          </cell>
        </row>
        <row r="1241">
          <cell r="A1241">
            <v>42782</v>
          </cell>
          <cell r="B1241" t="str">
            <v>Corpo BSTC (grota) diâmetro 0,80 m CA-2 MF exclusive escavação e reaterro, inclusive transporte do tubo em Vias Urbanas</v>
          </cell>
          <cell r="C1241" t="str">
            <v>m</v>
          </cell>
          <cell r="D1241">
            <v>372.47</v>
          </cell>
          <cell r="E1241" t="str">
            <v>A incluir</v>
          </cell>
          <cell r="F1241" t="e">
            <v>#N/A</v>
          </cell>
          <cell r="G1241" t="e">
            <v>#N/A</v>
          </cell>
        </row>
        <row r="1242">
          <cell r="A1242">
            <v>42783</v>
          </cell>
          <cell r="B1242" t="str">
            <v>Corpo BSTC (grota) diâmetro 0,80 m CA-2 PB exclusive escavação e reaterro, inclusive transporte do tubo em Vias Urbanas</v>
          </cell>
          <cell r="C1242" t="str">
            <v>m</v>
          </cell>
          <cell r="D1242">
            <v>393.55</v>
          </cell>
          <cell r="E1242" t="str">
            <v>A incluir</v>
          </cell>
          <cell r="F1242" t="e">
            <v>#N/A</v>
          </cell>
          <cell r="G1242" t="e">
            <v>#N/A</v>
          </cell>
        </row>
        <row r="1243">
          <cell r="A1243">
            <v>42784</v>
          </cell>
          <cell r="B1243" t="str">
            <v>Corpo BSTC (grota) diâmetro 1,00 m CA-1 MF exclusive escavação e reaterro, inclusive transporte do tubo em Vias Urbanas</v>
          </cell>
          <cell r="C1243" t="str">
            <v>m</v>
          </cell>
          <cell r="D1243">
            <v>462.98</v>
          </cell>
          <cell r="E1243" t="str">
            <v>A incluir</v>
          </cell>
          <cell r="F1243" t="e">
            <v>#N/A</v>
          </cell>
          <cell r="G1243" t="e">
            <v>#N/A</v>
          </cell>
        </row>
        <row r="1244">
          <cell r="A1244">
            <v>42785</v>
          </cell>
          <cell r="B1244" t="str">
            <v>Corpo BSTC (grota) diâmetro 1,00 m CA-1 PB exclusive escavação e reaterro, inclusive transporte do tubo em Vias Urbanas</v>
          </cell>
          <cell r="C1244" t="str">
            <v>m</v>
          </cell>
          <cell r="D1244">
            <v>461.72</v>
          </cell>
          <cell r="E1244" t="str">
            <v>A incluir</v>
          </cell>
          <cell r="F1244" t="e">
            <v>#N/A</v>
          </cell>
          <cell r="G1244" t="e">
            <v>#N/A</v>
          </cell>
        </row>
        <row r="1245">
          <cell r="A1245">
            <v>42786</v>
          </cell>
          <cell r="B1245" t="str">
            <v>Corpo BSTC (grota) diâmetro 1,00 m CA-2 MF exclusive escavação e reaterro, inclusive transporte do tubo em Vias Urbanas</v>
          </cell>
          <cell r="C1245" t="str">
            <v>m</v>
          </cell>
          <cell r="D1245">
            <v>501.87</v>
          </cell>
          <cell r="E1245" t="str">
            <v>A incluir</v>
          </cell>
          <cell r="F1245" t="e">
            <v>#N/A</v>
          </cell>
          <cell r="G1245" t="e">
            <v>#N/A</v>
          </cell>
        </row>
        <row r="1246">
          <cell r="A1246">
            <v>42787</v>
          </cell>
          <cell r="B1246" t="str">
            <v>Corpo BSTC (grota) diâmetro 1,00 m CA-2 PB exclusive escavação e reaterro, inclusive transporte do tubo em Vias Urbanas</v>
          </cell>
          <cell r="C1246" t="str">
            <v>m</v>
          </cell>
          <cell r="D1246">
            <v>484.81</v>
          </cell>
          <cell r="E1246" t="str">
            <v>A incluir</v>
          </cell>
          <cell r="F1246" t="e">
            <v>#N/A</v>
          </cell>
          <cell r="G1246" t="e">
            <v>#N/A</v>
          </cell>
        </row>
        <row r="1247">
          <cell r="A1247">
            <v>42788</v>
          </cell>
          <cell r="B1247" t="str">
            <v>Corpo BSTC (grota) diâmetro 1,00 m CA-3 MF exclusive escavação e reaterro, inclusive transporte do tubo em Vias Urbanas</v>
          </cell>
          <cell r="C1247" t="str">
            <v>m</v>
          </cell>
          <cell r="D1247">
            <v>501.74</v>
          </cell>
          <cell r="E1247" t="str">
            <v>A incluir</v>
          </cell>
          <cell r="F1247" t="e">
            <v>#N/A</v>
          </cell>
          <cell r="G1247" t="e">
            <v>#N/A</v>
          </cell>
        </row>
        <row r="1248">
          <cell r="A1248">
            <v>42789</v>
          </cell>
          <cell r="B1248" t="str">
            <v>Corpo BSTC (grota) diâmetro 1,20 m CA-1 MF exclusive escavação e reaterro, inclusive transporte do tubo em Vias Urbanas</v>
          </cell>
          <cell r="C1248" t="str">
            <v>m</v>
          </cell>
          <cell r="D1248">
            <v>650.34</v>
          </cell>
          <cell r="E1248" t="str">
            <v>A incluir</v>
          </cell>
          <cell r="F1248" t="e">
            <v>#N/A</v>
          </cell>
          <cell r="G1248" t="e">
            <v>#N/A</v>
          </cell>
        </row>
        <row r="1249">
          <cell r="A1249">
            <v>42790</v>
          </cell>
          <cell r="B1249" t="str">
            <v>Corpo BSTC (grota) diâmetro 1,20 m CA-1 PB exclusive escavação e reaterro, inclusive transporte do tubo em Vias Urbanas</v>
          </cell>
          <cell r="C1249" t="str">
            <v>m</v>
          </cell>
          <cell r="D1249">
            <v>666.97</v>
          </cell>
          <cell r="E1249" t="str">
            <v>A incluir</v>
          </cell>
          <cell r="F1249" t="e">
            <v>#N/A</v>
          </cell>
          <cell r="G1249" t="e">
            <v>#N/A</v>
          </cell>
        </row>
        <row r="1250">
          <cell r="A1250">
            <v>42791</v>
          </cell>
          <cell r="B1250" t="str">
            <v>Corpo BSTC (grota) diâmetro 1,20 m CA-2 MF exclusive escavação e reaterro, inclusive transporte do tubo em Vias Urbanas</v>
          </cell>
          <cell r="C1250" t="str">
            <v>m</v>
          </cell>
          <cell r="D1250">
            <v>656.65</v>
          </cell>
          <cell r="E1250" t="str">
            <v>A incluir</v>
          </cell>
          <cell r="F1250" t="e">
            <v>#N/A</v>
          </cell>
          <cell r="G1250" t="e">
            <v>#N/A</v>
          </cell>
        </row>
        <row r="1251">
          <cell r="A1251">
            <v>42792</v>
          </cell>
          <cell r="B1251" t="str">
            <v>Corpo BSTC (grota) diâmetro 1,20 m CA-2 PB exclusive escavação e reaterro, inclusive transporte do tubo em Vias Urbanas</v>
          </cell>
          <cell r="C1251" t="str">
            <v>m</v>
          </cell>
          <cell r="D1251">
            <v>698.86</v>
          </cell>
          <cell r="E1251" t="str">
            <v>A incluir</v>
          </cell>
          <cell r="F1251" t="e">
            <v>#N/A</v>
          </cell>
          <cell r="G1251" t="e">
            <v>#N/A</v>
          </cell>
        </row>
        <row r="1252">
          <cell r="A1252">
            <v>42793</v>
          </cell>
          <cell r="B1252" t="str">
            <v>Corpo BSTC (grota) diâmetro 1,20 m CA-3 MF exclusive escavação e reaterro, inclusive transporte do tubo em Vias Urbanas</v>
          </cell>
          <cell r="C1252" t="str">
            <v>m</v>
          </cell>
          <cell r="D1252">
            <v>682.74</v>
          </cell>
          <cell r="E1252" t="str">
            <v>A incluir</v>
          </cell>
          <cell r="F1252" t="e">
            <v>#N/A</v>
          </cell>
          <cell r="G1252" t="e">
            <v>#N/A</v>
          </cell>
        </row>
        <row r="1253">
          <cell r="A1253">
            <v>42794</v>
          </cell>
          <cell r="B1253" t="str">
            <v>Corpo BSTC (grota) diâmetro 1,50 m CA-1 MF exclusive escavação e reaterro, inclusive transporte do tubo em Vias Urbanas</v>
          </cell>
          <cell r="C1253" t="str">
            <v>m</v>
          </cell>
          <cell r="D1253">
            <v>1049.1600000000001</v>
          </cell>
          <cell r="E1253" t="str">
            <v>A incluir</v>
          </cell>
          <cell r="F1253" t="e">
            <v>#N/A</v>
          </cell>
          <cell r="G1253" t="e">
            <v>#N/A</v>
          </cell>
        </row>
        <row r="1254">
          <cell r="A1254">
            <v>42758</v>
          </cell>
          <cell r="B1254" t="str">
            <v>Corpo BSTC (grota) diâmetro 1,50 m CA-1 PB exclusive escavação e reaterro, inclusive transporte do tubo em Vias Urbanas</v>
          </cell>
          <cell r="C1254" t="str">
            <v>m</v>
          </cell>
          <cell r="D1254">
            <v>914.74</v>
          </cell>
          <cell r="E1254" t="str">
            <v>A incluir</v>
          </cell>
          <cell r="F1254" t="e">
            <v>#N/A</v>
          </cell>
          <cell r="G1254" t="e">
            <v>#N/A</v>
          </cell>
        </row>
        <row r="1255">
          <cell r="A1255">
            <v>42795</v>
          </cell>
          <cell r="B1255" t="str">
            <v>Corpo BSTC (grota) diâmetro 1,50 m CA-2 MF exclusive escavação e reaterro, inclusive transporte do tubo em Vias Urbanas</v>
          </cell>
          <cell r="C1255" t="str">
            <v>m</v>
          </cell>
          <cell r="D1255">
            <v>1049.48</v>
          </cell>
          <cell r="E1255" t="str">
            <v>A incluir</v>
          </cell>
          <cell r="F1255" t="e">
            <v>#N/A</v>
          </cell>
          <cell r="G1255" t="e">
            <v>#N/A</v>
          </cell>
        </row>
        <row r="1256">
          <cell r="A1256">
            <v>42796</v>
          </cell>
          <cell r="B1256" t="str">
            <v>Corpo BSTC (grota) diâmetro 1,50 m CA-2 PB exclusive escavação e reaterro, inclusive transporte do tubo em Vias Urbanas</v>
          </cell>
          <cell r="C1256" t="str">
            <v>m</v>
          </cell>
          <cell r="D1256">
            <v>958.17</v>
          </cell>
          <cell r="E1256" t="str">
            <v>A incluir</v>
          </cell>
          <cell r="F1256" t="e">
            <v>#N/A</v>
          </cell>
          <cell r="G1256" t="e">
            <v>#N/A</v>
          </cell>
        </row>
        <row r="1257">
          <cell r="A1257">
            <v>42797</v>
          </cell>
          <cell r="B1257" t="str">
            <v>Corpo BSTC (grota) diâmetro 1,50 m CA-3 MF exclusive escavação e reaterro, inclusive transporte do tubo em Vias Urbanas</v>
          </cell>
          <cell r="C1257" t="str">
            <v>m</v>
          </cell>
          <cell r="D1257">
            <v>828.73</v>
          </cell>
          <cell r="E1257" t="str">
            <v>A incluir</v>
          </cell>
          <cell r="F1257" t="e">
            <v>#N/A</v>
          </cell>
          <cell r="G1257" t="e">
            <v>#N/A</v>
          </cell>
        </row>
        <row r="1258">
          <cell r="A1258">
            <v>42798</v>
          </cell>
          <cell r="B1258" t="str">
            <v>Corpo BTTC (grota) diâmetro 0,60 m CA-1 MF exclusive escavação e reaterro, inclusive transporte do tubo em Vias Urbanas</v>
          </cell>
          <cell r="C1258" t="str">
            <v>m</v>
          </cell>
          <cell r="D1258">
            <v>488.49</v>
          </cell>
          <cell r="E1258" t="str">
            <v>A incluir</v>
          </cell>
          <cell r="F1258" t="e">
            <v>#N/A</v>
          </cell>
          <cell r="G1258" t="e">
            <v>#N/A</v>
          </cell>
        </row>
        <row r="1259">
          <cell r="A1259">
            <v>42799</v>
          </cell>
          <cell r="B1259" t="str">
            <v>Corpo BTTC (grota) diâmetro 0,60 m CA-1 PB exclusive escavação e reaterro, inclusive transporte do tubo em Vias Urbanas</v>
          </cell>
          <cell r="C1259" t="str">
            <v>m</v>
          </cell>
          <cell r="D1259">
            <v>494.4</v>
          </cell>
          <cell r="E1259" t="str">
            <v>A incluir</v>
          </cell>
          <cell r="F1259" t="e">
            <v>#N/A</v>
          </cell>
          <cell r="G1259" t="e">
            <v>#N/A</v>
          </cell>
        </row>
        <row r="1260">
          <cell r="A1260">
            <v>42800</v>
          </cell>
          <cell r="B1260" t="str">
            <v>Corpo BTTC (grota) diâmetro 0,60 m CA-2 MF exclusive escavação e reaterro, inclusive transporte do tubo em Vias Urbanas</v>
          </cell>
          <cell r="C1260" t="str">
            <v>m</v>
          </cell>
          <cell r="D1260">
            <v>468.93</v>
          </cell>
          <cell r="E1260" t="str">
            <v>A incluir</v>
          </cell>
          <cell r="F1260" t="e">
            <v>#N/A</v>
          </cell>
          <cell r="G1260" t="e">
            <v>#N/A</v>
          </cell>
        </row>
        <row r="1261">
          <cell r="A1261">
            <v>42801</v>
          </cell>
          <cell r="B1261" t="str">
            <v>Corpo BTTC (grota) diâmetro 0,60 m CA-2 PB exclusive escavação e reaterro, inclusive transporte do tubo em Vias Urbanas</v>
          </cell>
          <cell r="C1261" t="str">
            <v>m</v>
          </cell>
          <cell r="D1261">
            <v>479.43</v>
          </cell>
          <cell r="E1261" t="str">
            <v>A incluir</v>
          </cell>
          <cell r="F1261" t="e">
            <v>#N/A</v>
          </cell>
          <cell r="G1261" t="e">
            <v>#N/A</v>
          </cell>
        </row>
        <row r="1262">
          <cell r="A1262">
            <v>42802</v>
          </cell>
          <cell r="B1262" t="str">
            <v>Corpo BTTC (grota) diâmetro 0,80 m CA-1 MF exclusive escavação e reaterro, inclusive transporte do tubo em Vias Urbanas</v>
          </cell>
          <cell r="C1262" t="str">
            <v>m</v>
          </cell>
          <cell r="D1262">
            <v>969.86</v>
          </cell>
          <cell r="E1262" t="str">
            <v>A incluir</v>
          </cell>
          <cell r="F1262" t="e">
            <v>#N/A</v>
          </cell>
          <cell r="G1262" t="e">
            <v>#N/A</v>
          </cell>
        </row>
        <row r="1263">
          <cell r="A1263">
            <v>42803</v>
          </cell>
          <cell r="B1263" t="str">
            <v>Corpo BTTC (grota) diâmetro 0,80 m CA-1 PB exclusive escavação e reaterro, inclusive transporte do tubo em Vias Urbanas</v>
          </cell>
          <cell r="C1263" t="str">
            <v>m</v>
          </cell>
          <cell r="D1263">
            <v>976.98</v>
          </cell>
          <cell r="E1263" t="str">
            <v>A incluir</v>
          </cell>
          <cell r="F1263" t="e">
            <v>#N/A</v>
          </cell>
          <cell r="G1263" t="e">
            <v>#N/A</v>
          </cell>
        </row>
        <row r="1264">
          <cell r="A1264">
            <v>42804</v>
          </cell>
          <cell r="B1264" t="str">
            <v>Corpo BTTC (grota) diâmetro 0,80 m CA-2 MF exclusive escavação e reaterro, inclusive transporte do tubo em Vias Urbanas</v>
          </cell>
          <cell r="C1264" t="str">
            <v>m</v>
          </cell>
          <cell r="D1264">
            <v>950.03</v>
          </cell>
          <cell r="E1264" t="str">
            <v>A incluir</v>
          </cell>
          <cell r="F1264" t="e">
            <v>#N/A</v>
          </cell>
          <cell r="G1264" t="e">
            <v>#N/A</v>
          </cell>
        </row>
        <row r="1265">
          <cell r="A1265">
            <v>42805</v>
          </cell>
          <cell r="B1265" t="str">
            <v>Corpo BTTC (grota) diâmetro 0,80 m CA-2 PB exclusive escavação e reaterro, inclusive transporte do tubo em Vias Urbanas</v>
          </cell>
          <cell r="C1265" t="str">
            <v>m</v>
          </cell>
          <cell r="D1265">
            <v>1013.26</v>
          </cell>
          <cell r="E1265" t="str">
            <v>A incluir</v>
          </cell>
          <cell r="F1265" t="e">
            <v>#N/A</v>
          </cell>
          <cell r="G1265" t="e">
            <v>#N/A</v>
          </cell>
        </row>
        <row r="1266">
          <cell r="A1266">
            <v>42806</v>
          </cell>
          <cell r="B1266" t="str">
            <v>Corpo BTTC (grota) diâmetro 1,00 m CA-1 MF exclusive escavação e reaterro, inclusive transporte do tubo em Vias Urbanas</v>
          </cell>
          <cell r="C1266" t="str">
            <v>m</v>
          </cell>
          <cell r="D1266">
            <v>1221.52</v>
          </cell>
          <cell r="E1266" t="str">
            <v>A incluir</v>
          </cell>
          <cell r="F1266" t="e">
            <v>#N/A</v>
          </cell>
          <cell r="G1266" t="e">
            <v>#N/A</v>
          </cell>
        </row>
        <row r="1267">
          <cell r="A1267">
            <v>42807</v>
          </cell>
          <cell r="B1267" t="str">
            <v>Corpo BTTC (grota) diâmetro 1,00 m CA-1 PB exclusive escavação e reaterro, inclusive transporte do tubo em Vias Urbanas</v>
          </cell>
          <cell r="C1267" t="str">
            <v>m</v>
          </cell>
          <cell r="D1267">
            <v>1217.75</v>
          </cell>
          <cell r="E1267" t="str">
            <v>A incluir</v>
          </cell>
          <cell r="F1267" t="e">
            <v>#N/A</v>
          </cell>
          <cell r="G1267" t="e">
            <v>#N/A</v>
          </cell>
        </row>
        <row r="1268">
          <cell r="A1268">
            <v>42808</v>
          </cell>
          <cell r="B1268" t="str">
            <v>Corpo BTTC (grota) diâmetro 1,00 m CA-2 MF exclusive escavação e reaterro, inclusive transporte do tubo em Vias Urbanas</v>
          </cell>
          <cell r="C1268" t="str">
            <v>m</v>
          </cell>
          <cell r="D1268">
            <v>1338.19</v>
          </cell>
          <cell r="E1268" t="str">
            <v>A incluir</v>
          </cell>
          <cell r="F1268" t="e">
            <v>#N/A</v>
          </cell>
          <cell r="G1268" t="e">
            <v>#N/A</v>
          </cell>
        </row>
        <row r="1269">
          <cell r="A1269">
            <v>42809</v>
          </cell>
          <cell r="B1269" t="str">
            <v>Corpo BTTC (grota) diâmetro 1,00 m CA-2 PB exclusive escavação e reaterro, inclusive transporte do tubo em Vias Urbanas</v>
          </cell>
          <cell r="C1269" t="str">
            <v>m</v>
          </cell>
          <cell r="D1269">
            <v>1287.01</v>
          </cell>
          <cell r="E1269" t="str">
            <v>A incluir</v>
          </cell>
          <cell r="F1269" t="e">
            <v>#N/A</v>
          </cell>
          <cell r="G1269" t="e">
            <v>#N/A</v>
          </cell>
        </row>
        <row r="1270">
          <cell r="A1270">
            <v>42810</v>
          </cell>
          <cell r="B1270" t="str">
            <v>Corpo BTTC (grota) diâmetro 1,00 m CA-3 MF exclusive escavação e reaterro, inclusive transporte do tubo em Vias Urbanas</v>
          </cell>
          <cell r="C1270" t="str">
            <v>m</v>
          </cell>
          <cell r="D1270">
            <v>1337.8</v>
          </cell>
          <cell r="E1270" t="str">
            <v>A incluir</v>
          </cell>
          <cell r="F1270" t="e">
            <v>#N/A</v>
          </cell>
          <cell r="G1270" t="e">
            <v>#N/A</v>
          </cell>
        </row>
        <row r="1271">
          <cell r="A1271">
            <v>42811</v>
          </cell>
          <cell r="B1271" t="str">
            <v>Corpo BTTC (grota) diâmetro 1,20 m CA-1 MF exclusive escavação e reaterro, inclusive transporte do tubo em Vias Urbanas</v>
          </cell>
          <cell r="C1271" t="str">
            <v>m</v>
          </cell>
          <cell r="D1271">
            <v>1783.61</v>
          </cell>
          <cell r="E1271" t="str">
            <v>A incluir</v>
          </cell>
          <cell r="F1271" t="e">
            <v>#N/A</v>
          </cell>
          <cell r="G1271" t="e">
            <v>#N/A</v>
          </cell>
        </row>
        <row r="1272">
          <cell r="A1272">
            <v>42812</v>
          </cell>
          <cell r="B1272" t="str">
            <v>Corpo BTTC (grota) diâmetro 1,20 m CA-1 PB exclusive escavação e reaterro, inclusive transporte do tubo em Vias Urbanas</v>
          </cell>
          <cell r="C1272" t="str">
            <v>m</v>
          </cell>
          <cell r="D1272">
            <v>1833.51</v>
          </cell>
          <cell r="E1272" t="str">
            <v>A incluir</v>
          </cell>
          <cell r="F1272" t="e">
            <v>#N/A</v>
          </cell>
          <cell r="G1272" t="e">
            <v>#N/A</v>
          </cell>
        </row>
        <row r="1273">
          <cell r="A1273">
            <v>42813</v>
          </cell>
          <cell r="B1273" t="str">
            <v>Corpo BTTC (grota) diâmetro 1,20 m CA-2 MF exclusive escavação e reaterro, inclusive transporte do tubo em Vias Urbanas</v>
          </cell>
          <cell r="C1273" t="str">
            <v>m</v>
          </cell>
          <cell r="D1273">
            <v>1802.55</v>
          </cell>
          <cell r="E1273" t="str">
            <v>A incluir</v>
          </cell>
          <cell r="F1273" t="e">
            <v>#N/A</v>
          </cell>
          <cell r="G1273" t="e">
            <v>#N/A</v>
          </cell>
        </row>
        <row r="1274">
          <cell r="A1274">
            <v>42814</v>
          </cell>
          <cell r="B1274" t="str">
            <v>Corpo BTTC (grota) diâmetro 1,20 m CA-2 PB exclusive escavação e reaterro, inclusive transporte do tubo em Vias Urbanas</v>
          </cell>
          <cell r="C1274" t="str">
            <v>m</v>
          </cell>
          <cell r="D1274">
            <v>1929.17</v>
          </cell>
          <cell r="E1274" t="str">
            <v>A incluir</v>
          </cell>
          <cell r="F1274" t="e">
            <v>#N/A</v>
          </cell>
          <cell r="G1274" t="e">
            <v>#N/A</v>
          </cell>
        </row>
        <row r="1275">
          <cell r="A1275">
            <v>42815</v>
          </cell>
          <cell r="B1275" t="str">
            <v>Corpo BTTC (grota) diâmetro 1,20 m CA-3 MF exclusive escavação e reaterro, inclusive transporte do tubo em Vias Urbanas</v>
          </cell>
          <cell r="C1275" t="str">
            <v>m</v>
          </cell>
          <cell r="D1275">
            <v>1880.84</v>
          </cell>
          <cell r="E1275" t="str">
            <v>A incluir</v>
          </cell>
          <cell r="F1275" t="e">
            <v>#N/A</v>
          </cell>
          <cell r="G1275" t="e">
            <v>#N/A</v>
          </cell>
        </row>
        <row r="1276">
          <cell r="A1276">
            <v>42816</v>
          </cell>
          <cell r="B1276" t="str">
            <v>Corpo BTTC (grota) diâmetro 1,50 m CA-1 MF exclusive escavação e reaterro, inclusive transporte do tubo em Vias Urbanas</v>
          </cell>
          <cell r="C1276" t="str">
            <v>m</v>
          </cell>
          <cell r="D1276">
            <v>2980.05</v>
          </cell>
          <cell r="E1276" t="str">
            <v>A incluir</v>
          </cell>
          <cell r="F1276" t="e">
            <v>#N/A</v>
          </cell>
          <cell r="G1276" t="e">
            <v>#N/A</v>
          </cell>
        </row>
        <row r="1277">
          <cell r="A1277">
            <v>42817</v>
          </cell>
          <cell r="B1277" t="str">
            <v>Corpo BTTC (grota) diâmetro 1,50 m CA-1 PB exclusive escavação e reaterro, inclusive transporte do tubo em Vias Urbanas</v>
          </cell>
          <cell r="C1277" t="str">
            <v>m</v>
          </cell>
          <cell r="D1277">
            <v>2576.81</v>
          </cell>
          <cell r="E1277" t="str">
            <v>A incluir</v>
          </cell>
          <cell r="F1277" t="e">
            <v>#N/A</v>
          </cell>
          <cell r="G1277" t="e">
            <v>#N/A</v>
          </cell>
        </row>
        <row r="1278">
          <cell r="A1278">
            <v>42818</v>
          </cell>
          <cell r="B1278" t="str">
            <v>Corpo BTTC (grota) diâmetro 1,50 m CA-2 MF exclusive escavação e reaterro, inclusive transporte do tubo em Vias Urbanas</v>
          </cell>
          <cell r="C1278" t="str">
            <v>m</v>
          </cell>
          <cell r="D1278">
            <v>2981.02</v>
          </cell>
          <cell r="E1278" t="str">
            <v>A incluir</v>
          </cell>
          <cell r="F1278" t="e">
            <v>#N/A</v>
          </cell>
          <cell r="G1278" t="e">
            <v>#N/A</v>
          </cell>
        </row>
        <row r="1279">
          <cell r="A1279">
            <v>42819</v>
          </cell>
          <cell r="B1279" t="str">
            <v>Corpo BTTC (grota) diâmetro 1,50 m CA-2 PB exclusive escavação e reaterro, inclusive transporte do tubo em Vias Urbanas</v>
          </cell>
          <cell r="C1279" t="str">
            <v>m</v>
          </cell>
          <cell r="D1279">
            <v>2707.08</v>
          </cell>
          <cell r="E1279" t="str">
            <v>A incluir</v>
          </cell>
          <cell r="F1279" t="e">
            <v>#N/A</v>
          </cell>
          <cell r="G1279" t="e">
            <v>#N/A</v>
          </cell>
        </row>
        <row r="1280">
          <cell r="A1280">
            <v>42820</v>
          </cell>
          <cell r="B1280" t="str">
            <v>Corpo BTTC (grota) diâmetro 1,50 m CA-3 MF exclusive escavação e reaterro, inclusive transporte do tubo em Vias Urbanas</v>
          </cell>
          <cell r="C1280" t="str">
            <v>m</v>
          </cell>
          <cell r="D1280">
            <v>2318.7800000000002</v>
          </cell>
          <cell r="E1280" t="str">
            <v>A incluir</v>
          </cell>
          <cell r="F1280" t="e">
            <v>#N/A</v>
          </cell>
          <cell r="G1280" t="e">
            <v>#N/A</v>
          </cell>
        </row>
        <row r="1281">
          <cell r="A1281">
            <v>41321</v>
          </cell>
          <cell r="B1281" t="str">
            <v>Corpo de BDCC 1,00 x 1,00 m em Vias Urbanas</v>
          </cell>
          <cell r="C1281" t="str">
            <v>m</v>
          </cell>
          <cell r="D1281">
            <v>5254.87</v>
          </cell>
          <cell r="E1281">
            <v>0</v>
          </cell>
          <cell r="F1281" t="e">
            <v>#N/A</v>
          </cell>
          <cell r="G1281" t="e">
            <v>#N/A</v>
          </cell>
        </row>
        <row r="1282">
          <cell r="A1282">
            <v>42821</v>
          </cell>
          <cell r="B1282" t="str">
            <v>Corpo de BDCC 1,50 x 1,50 m projeto DNIT para H &lt; -&gt; 2,50 m em Vias Urbanas</v>
          </cell>
          <cell r="C1282" t="str">
            <v>m</v>
          </cell>
          <cell r="D1282">
            <v>3898.2</v>
          </cell>
          <cell r="E1282">
            <v>0</v>
          </cell>
          <cell r="F1282" t="e">
            <v>#N/A</v>
          </cell>
          <cell r="G1282" t="e">
            <v>#N/A</v>
          </cell>
        </row>
        <row r="1283">
          <cell r="A1283">
            <v>42822</v>
          </cell>
          <cell r="B1283" t="str">
            <v>Corpo de BDCC 1,50 x 1,50 m projeto DNIT para 2,50 &lt; H &lt; 5,00 m em Vias Urbanas</v>
          </cell>
          <cell r="C1283" t="str">
            <v>m</v>
          </cell>
          <cell r="D1283">
            <v>4068.28</v>
          </cell>
          <cell r="E1283">
            <v>0</v>
          </cell>
          <cell r="F1283" t="e">
            <v>#N/A</v>
          </cell>
          <cell r="G1283" t="e">
            <v>#N/A</v>
          </cell>
        </row>
        <row r="1284">
          <cell r="A1284">
            <v>42823</v>
          </cell>
          <cell r="B1284" t="str">
            <v>Corpo de BDCC 2,00 x 1,20 m -tudo incluido conforme projeto em Vias Urbanas</v>
          </cell>
          <cell r="C1284" t="str">
            <v>m</v>
          </cell>
          <cell r="D1284">
            <v>5671.72</v>
          </cell>
          <cell r="E1284">
            <v>0</v>
          </cell>
          <cell r="F1284" t="e">
            <v>#N/A</v>
          </cell>
          <cell r="G1284" t="e">
            <v>#N/A</v>
          </cell>
        </row>
        <row r="1285">
          <cell r="A1285">
            <v>42824</v>
          </cell>
          <cell r="B1285" t="str">
            <v>Corpo de BDCC 2,00 x 2,00 m projeto DNIT para H &lt; -&gt; 2,50 m em Vias Urbanas</v>
          </cell>
          <cell r="C1285" t="str">
            <v>m</v>
          </cell>
          <cell r="D1285">
            <v>5592.17</v>
          </cell>
          <cell r="E1285">
            <v>0</v>
          </cell>
          <cell r="F1285" t="e">
            <v>#N/A</v>
          </cell>
          <cell r="G1285" t="e">
            <v>#N/A</v>
          </cell>
        </row>
        <row r="1286">
          <cell r="A1286">
            <v>42825</v>
          </cell>
          <cell r="B1286" t="str">
            <v>Corpo de BDCC 2,00 x 2,00 m projeto DNIT para 2,50 &lt; H &lt; 5,00 m em Vias Urbanas</v>
          </cell>
          <cell r="C1286" t="str">
            <v>m</v>
          </cell>
          <cell r="D1286">
            <v>6201.26</v>
          </cell>
          <cell r="E1286">
            <v>0</v>
          </cell>
          <cell r="F1286" t="e">
            <v>#N/A</v>
          </cell>
          <cell r="G1286" t="e">
            <v>#N/A</v>
          </cell>
        </row>
        <row r="1287">
          <cell r="A1287">
            <v>40600</v>
          </cell>
          <cell r="B1287" t="str">
            <v>Corpo de BDCC 2,00 x 2,50 m em Vias Urbanas</v>
          </cell>
          <cell r="C1287" t="str">
            <v>m</v>
          </cell>
          <cell r="D1287">
            <v>8336.73</v>
          </cell>
          <cell r="E1287">
            <v>0</v>
          </cell>
          <cell r="F1287" t="e">
            <v>#N/A</v>
          </cell>
          <cell r="G1287" t="e">
            <v>#N/A</v>
          </cell>
        </row>
        <row r="1288">
          <cell r="A1288">
            <v>42827</v>
          </cell>
          <cell r="B1288" t="str">
            <v>Corpo de BDCC 2,00 x 3,00 m projeto DNIT p/ 2,50 &lt; H &lt; 5,00 m em Vias Urbanas</v>
          </cell>
          <cell r="C1288" t="str">
            <v>m</v>
          </cell>
          <cell r="D1288">
            <v>9304.01</v>
          </cell>
          <cell r="E1288">
            <v>0</v>
          </cell>
          <cell r="F1288" t="e">
            <v>#N/A</v>
          </cell>
          <cell r="G1288" t="e">
            <v>#N/A</v>
          </cell>
        </row>
        <row r="1289">
          <cell r="A1289">
            <v>42826</v>
          </cell>
          <cell r="B1289" t="str">
            <v>Corpo de BDCC 2,00 x 3,00 m projeto DNIT para H &lt; -&gt; 2,50 m em Vias Urbanas</v>
          </cell>
          <cell r="C1289" t="str">
            <v>m</v>
          </cell>
          <cell r="D1289">
            <v>7979.49</v>
          </cell>
          <cell r="E1289">
            <v>0</v>
          </cell>
          <cell r="F1289" t="e">
            <v>#N/A</v>
          </cell>
          <cell r="G1289" t="e">
            <v>#N/A</v>
          </cell>
        </row>
        <row r="1290">
          <cell r="A1290">
            <v>42828</v>
          </cell>
          <cell r="B1290" t="str">
            <v>Corpo de BDCC 2,50 x 2,00m - tudo incluído conforme projeto em Vias Urbanas</v>
          </cell>
          <cell r="C1290" t="str">
            <v>m</v>
          </cell>
          <cell r="D1290">
            <v>8171.96</v>
          </cell>
          <cell r="E1290">
            <v>0</v>
          </cell>
          <cell r="F1290" t="e">
            <v>#N/A</v>
          </cell>
          <cell r="G1290" t="e">
            <v>#N/A</v>
          </cell>
        </row>
        <row r="1291">
          <cell r="A1291">
            <v>42830</v>
          </cell>
          <cell r="B1291" t="str">
            <v>Corpo de BDCC 2,50 x 2,50 m projeto DNIT p/ 2,50&lt; H &lt;5,00 m em Vias Urbanas</v>
          </cell>
          <cell r="C1291" t="str">
            <v>m</v>
          </cell>
          <cell r="D1291">
            <v>8412.18</v>
          </cell>
          <cell r="E1291">
            <v>0</v>
          </cell>
          <cell r="F1291" t="e">
            <v>#N/A</v>
          </cell>
          <cell r="G1291" t="e">
            <v>#N/A</v>
          </cell>
        </row>
        <row r="1292">
          <cell r="A1292">
            <v>42829</v>
          </cell>
          <cell r="B1292" t="str">
            <v>Corpo de BDCC 2,50 x 2,50 m projeto DNIT para H&lt;-&gt;2,50m em Vias Urbanas</v>
          </cell>
          <cell r="C1292" t="str">
            <v>m</v>
          </cell>
          <cell r="D1292">
            <v>7525.6</v>
          </cell>
          <cell r="E1292">
            <v>0</v>
          </cell>
          <cell r="F1292" t="e">
            <v>#N/A</v>
          </cell>
          <cell r="G1292" t="e">
            <v>#N/A</v>
          </cell>
        </row>
        <row r="1293">
          <cell r="A1293">
            <v>42831</v>
          </cell>
          <cell r="B1293" t="str">
            <v>Corpo de BDCC 2,50 x 3,00 m projeto DNIT p/ H &lt;-&gt; 2,50 m em Vias Urbanas</v>
          </cell>
          <cell r="C1293" t="str">
            <v>m</v>
          </cell>
          <cell r="D1293">
            <v>9115.9</v>
          </cell>
          <cell r="E1293">
            <v>0</v>
          </cell>
          <cell r="F1293" t="e">
            <v>#N/A</v>
          </cell>
          <cell r="G1293" t="e">
            <v>#N/A</v>
          </cell>
        </row>
        <row r="1294">
          <cell r="A1294">
            <v>42832</v>
          </cell>
          <cell r="B1294" t="str">
            <v>Corpo de BDCC 2,50 x 3,00 m projeto DNIT p/ 2,50 &lt; H &lt; 5,00 m em Vias Urbanas</v>
          </cell>
          <cell r="C1294" t="str">
            <v>m</v>
          </cell>
          <cell r="D1294">
            <v>10097.040000000001</v>
          </cell>
          <cell r="E1294">
            <v>0</v>
          </cell>
          <cell r="F1294" t="e">
            <v>#N/A</v>
          </cell>
          <cell r="G1294" t="e">
            <v>#N/A</v>
          </cell>
        </row>
        <row r="1295">
          <cell r="A1295">
            <v>42834</v>
          </cell>
          <cell r="B1295" t="str">
            <v>Corpo de BDCC 3,00 x 3,00 m projeto DNIT p/ 2,50 &lt; H &lt; 5,00 m em Vias Urbanas</v>
          </cell>
          <cell r="C1295" t="str">
            <v>m</v>
          </cell>
          <cell r="D1295">
            <v>10802.31</v>
          </cell>
          <cell r="E1295">
            <v>0</v>
          </cell>
          <cell r="F1295" t="e">
            <v>#N/A</v>
          </cell>
          <cell r="G1295" t="e">
            <v>#N/A</v>
          </cell>
        </row>
        <row r="1296">
          <cell r="A1296">
            <v>42833</v>
          </cell>
          <cell r="B1296" t="str">
            <v>Corpo de BDCC 3,00 x 3,00 m projeto DNIT para H &lt;-&gt; 2,50 m em Vias Urbanas</v>
          </cell>
          <cell r="C1296" t="str">
            <v>m</v>
          </cell>
          <cell r="D1296">
            <v>10002.950000000001</v>
          </cell>
          <cell r="E1296">
            <v>0</v>
          </cell>
          <cell r="F1296" t="e">
            <v>#N/A</v>
          </cell>
          <cell r="G1296" t="e">
            <v>#N/A</v>
          </cell>
        </row>
        <row r="1297">
          <cell r="A1297">
            <v>42835</v>
          </cell>
          <cell r="B1297" t="str">
            <v>Corpo de BSCC 1,50 x 1,50 m projeto DNIT p/ H &lt;-&gt; 2,50 m em Vias Urbanas</v>
          </cell>
          <cell r="C1297" t="str">
            <v>m</v>
          </cell>
          <cell r="D1297">
            <v>2368.3200000000002</v>
          </cell>
          <cell r="E1297">
            <v>0</v>
          </cell>
          <cell r="F1297" t="e">
            <v>#N/A</v>
          </cell>
          <cell r="G1297" t="e">
            <v>#N/A</v>
          </cell>
        </row>
        <row r="1298">
          <cell r="A1298">
            <v>42836</v>
          </cell>
          <cell r="B1298" t="str">
            <v>Corpo de BSCC 1,50x1,50m projeto DNIT p/ 2,50&lt; H &lt;5,00m em Vias Urbanas</v>
          </cell>
          <cell r="C1298" t="str">
            <v>m</v>
          </cell>
          <cell r="D1298">
            <v>2495.88</v>
          </cell>
          <cell r="E1298">
            <v>0</v>
          </cell>
          <cell r="F1298" t="e">
            <v>#N/A</v>
          </cell>
          <cell r="G1298" t="e">
            <v>#N/A</v>
          </cell>
        </row>
        <row r="1299">
          <cell r="A1299">
            <v>42837</v>
          </cell>
          <cell r="B1299" t="str">
            <v>Corpo de BSCC 2,00 x 2,00m projeto DNIT para 5,00 &lt; H &lt; 7,50 m em Vias Urbanas</v>
          </cell>
          <cell r="C1299" t="str">
            <v>m</v>
          </cell>
          <cell r="D1299">
            <v>4069.65</v>
          </cell>
          <cell r="E1299">
            <v>0</v>
          </cell>
          <cell r="F1299" t="e">
            <v>#N/A</v>
          </cell>
          <cell r="G1299" t="e">
            <v>#N/A</v>
          </cell>
        </row>
        <row r="1300">
          <cell r="A1300">
            <v>42838</v>
          </cell>
          <cell r="B1300" t="str">
            <v>Corpo de BSCC 2,00x2,00m projeto DNIT p/ H&lt;-&gt;2,50m em Vias Urbanas</v>
          </cell>
          <cell r="C1300" t="str">
            <v>m</v>
          </cell>
          <cell r="D1300">
            <v>3349.27</v>
          </cell>
          <cell r="E1300">
            <v>0</v>
          </cell>
          <cell r="F1300" t="e">
            <v>#N/A</v>
          </cell>
          <cell r="G1300" t="e">
            <v>#N/A</v>
          </cell>
        </row>
        <row r="1301">
          <cell r="A1301">
            <v>42839</v>
          </cell>
          <cell r="B1301" t="str">
            <v>Corpo de BSCC 2,00x2,00m projeto DNIT p/ 2,50&lt; H &lt;5,00m em Vias Urbanas</v>
          </cell>
          <cell r="C1301" t="str">
            <v>m</v>
          </cell>
          <cell r="D1301">
            <v>3772.02</v>
          </cell>
          <cell r="E1301">
            <v>0</v>
          </cell>
          <cell r="F1301" t="e">
            <v>#N/A</v>
          </cell>
          <cell r="G1301" t="e">
            <v>#N/A</v>
          </cell>
        </row>
        <row r="1302">
          <cell r="A1302">
            <v>42840</v>
          </cell>
          <cell r="B1302" t="str">
            <v>Corpo de BSCC 2,00x3,00m projeto DNIT p/ H&lt;-&gt;2,50m em Vias Urbanas</v>
          </cell>
          <cell r="C1302" t="str">
            <v>m</v>
          </cell>
          <cell r="D1302">
            <v>4850.37</v>
          </cell>
          <cell r="E1302">
            <v>0</v>
          </cell>
          <cell r="F1302" t="e">
            <v>#N/A</v>
          </cell>
          <cell r="G1302" t="e">
            <v>#N/A</v>
          </cell>
        </row>
        <row r="1303">
          <cell r="A1303">
            <v>42841</v>
          </cell>
          <cell r="B1303" t="str">
            <v>Corpo de BSCC 2,00x3,00m projeto DNIT p/ 2,50&lt; H &lt;5,00m em Vias Urbanas</v>
          </cell>
          <cell r="C1303" t="str">
            <v>m</v>
          </cell>
          <cell r="D1303">
            <v>6111.63</v>
          </cell>
          <cell r="E1303">
            <v>0</v>
          </cell>
          <cell r="F1303" t="e">
            <v>#N/A</v>
          </cell>
          <cell r="G1303" t="e">
            <v>#N/A</v>
          </cell>
        </row>
        <row r="1304">
          <cell r="A1304">
            <v>40585</v>
          </cell>
          <cell r="B1304" t="str">
            <v>Corpo de BSCC 2,50 x 2,50 m, para H &lt; -&gt; 2,50 m em Vias Urbanas</v>
          </cell>
          <cell r="C1304" t="str">
            <v>m</v>
          </cell>
          <cell r="D1304">
            <v>5211.1099999999997</v>
          </cell>
          <cell r="E1304">
            <v>0</v>
          </cell>
          <cell r="F1304" t="e">
            <v>#N/A</v>
          </cell>
          <cell r="G1304" t="e">
            <v>#N/A</v>
          </cell>
        </row>
        <row r="1305">
          <cell r="A1305">
            <v>42843</v>
          </cell>
          <cell r="B1305" t="str">
            <v>Corpo de BSCC 2,50x2,50m projeto DNIT para 2,50&lt; H &lt;5,00m em Vias Urbanas</v>
          </cell>
          <cell r="C1305" t="str">
            <v>m</v>
          </cell>
          <cell r="D1305">
            <v>5205.3500000000004</v>
          </cell>
          <cell r="E1305">
            <v>0</v>
          </cell>
          <cell r="F1305" t="e">
            <v>#N/A</v>
          </cell>
          <cell r="G1305" t="e">
            <v>#N/A</v>
          </cell>
        </row>
        <row r="1306">
          <cell r="A1306">
            <v>42844</v>
          </cell>
          <cell r="B1306" t="str">
            <v>Corpo de BSCC 2,50x3,00m projeto DNIT para H&lt;-&gt;2,50m em Vias Urbanas</v>
          </cell>
          <cell r="C1306" t="str">
            <v>m</v>
          </cell>
          <cell r="D1306">
            <v>5993.46</v>
          </cell>
          <cell r="E1306">
            <v>0</v>
          </cell>
          <cell r="F1306" t="e">
            <v>#N/A</v>
          </cell>
          <cell r="G1306" t="e">
            <v>#N/A</v>
          </cell>
        </row>
        <row r="1307">
          <cell r="A1307">
            <v>42845</v>
          </cell>
          <cell r="B1307" t="str">
            <v>Corpo de BSCC 2,50x3,00m projeto DNIT para 2,50&lt; H &lt;5,00m em Vias Urbanas</v>
          </cell>
          <cell r="C1307" t="str">
            <v>m</v>
          </cell>
          <cell r="D1307">
            <v>7138.23</v>
          </cell>
          <cell r="E1307">
            <v>0</v>
          </cell>
          <cell r="F1307" t="e">
            <v>#N/A</v>
          </cell>
          <cell r="G1307" t="e">
            <v>#N/A</v>
          </cell>
        </row>
        <row r="1308">
          <cell r="A1308">
            <v>41179</v>
          </cell>
          <cell r="B1308" t="str">
            <v>Corpo de BSCC 3,00x1,50 para 2,50m&lt; H &lt; 5,00m , em Vias Urbanas</v>
          </cell>
          <cell r="C1308" t="str">
            <v>m</v>
          </cell>
          <cell r="D1308">
            <v>6249.34</v>
          </cell>
          <cell r="E1308">
            <v>0</v>
          </cell>
          <cell r="F1308" t="e">
            <v>#N/A</v>
          </cell>
          <cell r="G1308" t="e">
            <v>#N/A</v>
          </cell>
        </row>
        <row r="1309">
          <cell r="A1309">
            <v>42842</v>
          </cell>
          <cell r="B1309" t="str">
            <v>Corpo de BSCC 3,00x3,00m projeto DNIT para H&lt;-&gt;2,50m em Vias Urbanas</v>
          </cell>
          <cell r="C1309" t="str">
            <v>m</v>
          </cell>
          <cell r="D1309">
            <v>6524.13</v>
          </cell>
          <cell r="E1309">
            <v>0</v>
          </cell>
          <cell r="F1309" t="e">
            <v>#N/A</v>
          </cell>
          <cell r="G1309" t="e">
            <v>#N/A</v>
          </cell>
        </row>
        <row r="1310">
          <cell r="A1310">
            <v>42848</v>
          </cell>
          <cell r="B1310" t="str">
            <v>Corpo de BSCC 3,00x3,00m projeto DNIT para 2,50&lt; H &lt;5,00m em Vias Urbanas</v>
          </cell>
          <cell r="C1310" t="str">
            <v>m</v>
          </cell>
          <cell r="D1310">
            <v>7457.12</v>
          </cell>
          <cell r="E1310">
            <v>0</v>
          </cell>
          <cell r="F1310" t="e">
            <v>#N/A</v>
          </cell>
          <cell r="G1310" t="e">
            <v>#N/A</v>
          </cell>
        </row>
        <row r="1311">
          <cell r="A1311">
            <v>42849</v>
          </cell>
          <cell r="B1311" t="str">
            <v>Corpo de BTCC 1,50 x 1,50 m projeto DNIT para H &lt;-&gt; 2,50 m em Vias Urbanas</v>
          </cell>
          <cell r="C1311" t="str">
            <v>m</v>
          </cell>
          <cell r="D1311">
            <v>5461.18</v>
          </cell>
          <cell r="E1311">
            <v>0</v>
          </cell>
          <cell r="F1311" t="e">
            <v>#N/A</v>
          </cell>
          <cell r="G1311" t="e">
            <v>#N/A</v>
          </cell>
        </row>
        <row r="1312">
          <cell r="A1312">
            <v>42850</v>
          </cell>
          <cell r="B1312" t="str">
            <v>Corpo de BTCC 1,50 x 1,50 m projeto DNIT para 2,50 &lt; H &lt; 5,00 m em Vias Urbanas</v>
          </cell>
          <cell r="C1312" t="str">
            <v>m</v>
          </cell>
          <cell r="D1312">
            <v>5775.82</v>
          </cell>
          <cell r="E1312">
            <v>0</v>
          </cell>
          <cell r="F1312" t="e">
            <v>#N/A</v>
          </cell>
          <cell r="G1312" t="e">
            <v>#N/A</v>
          </cell>
        </row>
        <row r="1313">
          <cell r="A1313">
            <v>42851</v>
          </cell>
          <cell r="B1313" t="str">
            <v>Corpo de BTCC 2,00 x 2,00 m projeto DNIT para H &lt;-&gt; 2,50 m em Vias Urbanas</v>
          </cell>
          <cell r="C1313" t="str">
            <v>m</v>
          </cell>
          <cell r="D1313">
            <v>7958.54</v>
          </cell>
          <cell r="E1313">
            <v>0</v>
          </cell>
          <cell r="F1313" t="e">
            <v>#N/A</v>
          </cell>
          <cell r="G1313" t="e">
            <v>#N/A</v>
          </cell>
        </row>
        <row r="1314">
          <cell r="A1314">
            <v>42852</v>
          </cell>
          <cell r="B1314" t="str">
            <v>Corpo de BTCC 2,00 x 2,00 m projeto DNIT para 2,50 &lt; H &lt; 5,00 m em Vias Urbanas</v>
          </cell>
          <cell r="C1314" t="str">
            <v>m</v>
          </cell>
          <cell r="D1314">
            <v>8471.94</v>
          </cell>
          <cell r="E1314">
            <v>0</v>
          </cell>
          <cell r="F1314" t="e">
            <v>#N/A</v>
          </cell>
          <cell r="G1314" t="e">
            <v>#N/A</v>
          </cell>
        </row>
        <row r="1315">
          <cell r="A1315">
            <v>42853</v>
          </cell>
          <cell r="B1315" t="str">
            <v>Corpo de BTCC 2,00 x 3,00 m projeto DNIT para H &lt; -&gt; 2,50 m em Vias Urbanas</v>
          </cell>
          <cell r="C1315" t="str">
            <v>m</v>
          </cell>
          <cell r="D1315">
            <v>11554.27</v>
          </cell>
          <cell r="E1315">
            <v>0</v>
          </cell>
          <cell r="F1315" t="e">
            <v>#N/A</v>
          </cell>
          <cell r="G1315" t="e">
            <v>#N/A</v>
          </cell>
        </row>
        <row r="1316">
          <cell r="A1316">
            <v>42854</v>
          </cell>
          <cell r="B1316" t="str">
            <v>Corpo de BTCC 2,00 x 3,00 m projeto DNIT para 2,50 &lt; H &lt; 5,00 m em Vias Urbanas</v>
          </cell>
          <cell r="C1316" t="str">
            <v>m</v>
          </cell>
          <cell r="D1316">
            <v>13083.9</v>
          </cell>
          <cell r="E1316">
            <v>0</v>
          </cell>
          <cell r="F1316" t="e">
            <v>#N/A</v>
          </cell>
          <cell r="G1316" t="e">
            <v>#N/A</v>
          </cell>
        </row>
        <row r="1317">
          <cell r="A1317">
            <v>42855</v>
          </cell>
          <cell r="B1317" t="str">
            <v>Corpo de BTCC 2,50 x 2,50 m projeto DNIT para H &lt; -&gt; 2,50 m em Vias Urbanas</v>
          </cell>
          <cell r="C1317" t="str">
            <v>m</v>
          </cell>
          <cell r="D1317">
            <v>10409.790000000001</v>
          </cell>
          <cell r="E1317">
            <v>0</v>
          </cell>
          <cell r="F1317" t="e">
            <v>#N/A</v>
          </cell>
          <cell r="G1317" t="e">
            <v>#N/A</v>
          </cell>
        </row>
        <row r="1318">
          <cell r="A1318">
            <v>42856</v>
          </cell>
          <cell r="B1318" t="str">
            <v>Corpo de BTCC 2,50 x 2,50 m projeto DNIT para 2,50 &lt; H &lt; 5,00 m em Vias Urbanas</v>
          </cell>
          <cell r="C1318" t="str">
            <v>m</v>
          </cell>
          <cell r="D1318">
            <v>11673.11</v>
          </cell>
          <cell r="E1318">
            <v>0</v>
          </cell>
          <cell r="F1318" t="e">
            <v>#N/A</v>
          </cell>
          <cell r="G1318" t="e">
            <v>#N/A</v>
          </cell>
        </row>
        <row r="1319">
          <cell r="A1319">
            <v>42858</v>
          </cell>
          <cell r="B1319" t="str">
            <v>Corpo de BTCC 2,50 x 3,00 m projeto DNIT para H &lt; -&gt; 2,50 m em Vias Urbanas</v>
          </cell>
          <cell r="C1319" t="str">
            <v>m</v>
          </cell>
          <cell r="D1319">
            <v>12922.97</v>
          </cell>
          <cell r="E1319">
            <v>0</v>
          </cell>
          <cell r="F1319" t="e">
            <v>#N/A</v>
          </cell>
          <cell r="G1319" t="e">
            <v>#N/A</v>
          </cell>
        </row>
        <row r="1320">
          <cell r="A1320">
            <v>42857</v>
          </cell>
          <cell r="B1320" t="str">
            <v>Corpo de BTCC 2,50 x 3,00 m projeto DNIT para H &lt; -&gt; 2,50 m em vias Urbanas</v>
          </cell>
          <cell r="C1320" t="str">
            <v>m</v>
          </cell>
          <cell r="D1320">
            <v>12922.97</v>
          </cell>
          <cell r="E1320">
            <v>0</v>
          </cell>
          <cell r="F1320" t="e">
            <v>#N/A</v>
          </cell>
          <cell r="G1320" t="e">
            <v>#N/A</v>
          </cell>
        </row>
        <row r="1321">
          <cell r="A1321">
            <v>42859</v>
          </cell>
          <cell r="B1321" t="str">
            <v>Corpo de BTCC 2,50 x 3,00 m projeto DNIT para 2,50 &lt; H &lt; 5,00 m em Vias Urbanas</v>
          </cell>
          <cell r="C1321" t="str">
            <v>m</v>
          </cell>
          <cell r="D1321">
            <v>14632.68</v>
          </cell>
          <cell r="E1321">
            <v>0</v>
          </cell>
          <cell r="F1321" t="e">
            <v>#N/A</v>
          </cell>
          <cell r="G1321" t="e">
            <v>#N/A</v>
          </cell>
        </row>
        <row r="1322">
          <cell r="A1322">
            <v>42860</v>
          </cell>
          <cell r="B1322" t="str">
            <v>Corpo de BTCC 3,00 x 3,00 m projeto DNIT para H &lt; -&gt; 2,50 m em Vias Urbanas</v>
          </cell>
          <cell r="C1322" t="str">
            <v>m</v>
          </cell>
          <cell r="D1322">
            <v>13900.53</v>
          </cell>
          <cell r="E1322">
            <v>0</v>
          </cell>
          <cell r="F1322" t="e">
            <v>#N/A</v>
          </cell>
          <cell r="G1322" t="e">
            <v>#N/A</v>
          </cell>
        </row>
        <row r="1323">
          <cell r="A1323">
            <v>42861</v>
          </cell>
          <cell r="B1323" t="str">
            <v>Corpo de BTCC 3,00 x 3,00 m projeto DNIT para 2,50 &lt; H &lt; 5,00 m em Vias Urbanas</v>
          </cell>
          <cell r="C1323" t="str">
            <v>m</v>
          </cell>
          <cell r="D1323">
            <v>15569.15</v>
          </cell>
          <cell r="E1323">
            <v>0</v>
          </cell>
          <cell r="F1323" t="e">
            <v>#N/A</v>
          </cell>
          <cell r="G1323" t="e">
            <v>#N/A</v>
          </cell>
        </row>
        <row r="1324">
          <cell r="A1324">
            <v>42862</v>
          </cell>
          <cell r="B1324" t="str">
            <v>Corta-rio (escavação mecânica em material de 1ª cat.) H-&gt;1,50 a 3,00 m em Vias Urbanas</v>
          </cell>
          <cell r="C1324" t="str">
            <v>m³</v>
          </cell>
          <cell r="D1324">
            <v>14</v>
          </cell>
          <cell r="E1324">
            <v>0</v>
          </cell>
          <cell r="F1324" t="e">
            <v>#N/A</v>
          </cell>
          <cell r="G1324" t="e">
            <v>#N/A</v>
          </cell>
        </row>
        <row r="1325">
          <cell r="A1325">
            <v>42863</v>
          </cell>
          <cell r="B1325" t="str">
            <v>Corta-rio (escavação mecânica em material de 2ª cat.) H-&gt;1,50 a 3,00m em Vias Urbanas</v>
          </cell>
          <cell r="C1325" t="str">
            <v>m³</v>
          </cell>
          <cell r="D1325">
            <v>28</v>
          </cell>
          <cell r="E1325">
            <v>0</v>
          </cell>
          <cell r="F1325" t="e">
            <v>#N/A</v>
          </cell>
          <cell r="G1325" t="e">
            <v>#N/A</v>
          </cell>
        </row>
        <row r="1326">
          <cell r="A1326">
            <v>42864</v>
          </cell>
          <cell r="B1326" t="str">
            <v>Corta-rio (escavação mecânica em material de 3º cat.) H-&gt;0,00 a 1,50m em Vias Urbanas</v>
          </cell>
          <cell r="C1326" t="str">
            <v>m³</v>
          </cell>
          <cell r="D1326">
            <v>120.02</v>
          </cell>
          <cell r="E1326">
            <v>0</v>
          </cell>
          <cell r="F1326" t="e">
            <v>#N/A</v>
          </cell>
          <cell r="G1326" t="e">
            <v>#N/A</v>
          </cell>
        </row>
        <row r="1327">
          <cell r="A1327">
            <v>42865</v>
          </cell>
          <cell r="B1327" t="str">
            <v>Corte e esmerilhamento de pontas de tubo de ferro fundido DN 500 a 200mm em Vias Urbanas</v>
          </cell>
          <cell r="C1327" t="str">
            <v>m</v>
          </cell>
          <cell r="D1327">
            <v>20.32</v>
          </cell>
          <cell r="E1327">
            <v>0</v>
          </cell>
          <cell r="F1327" t="e">
            <v>#N/A</v>
          </cell>
          <cell r="G1327" t="e">
            <v>#N/A</v>
          </cell>
        </row>
        <row r="1328">
          <cell r="A1328">
            <v>42866</v>
          </cell>
          <cell r="B1328" t="str">
            <v>Curva 90° de PVC, junta elástica PBA, D-&gt;75mm, fornecimento e assentamento em Vias Urbanas</v>
          </cell>
          <cell r="C1328" t="str">
            <v>un</v>
          </cell>
          <cell r="D1328">
            <v>60.18</v>
          </cell>
          <cell r="E1328">
            <v>0</v>
          </cell>
          <cell r="F1328" t="e">
            <v>#N/A</v>
          </cell>
          <cell r="G1328" t="e">
            <v>#N/A</v>
          </cell>
        </row>
        <row r="1329">
          <cell r="A1329">
            <v>42867</v>
          </cell>
          <cell r="B1329" t="str">
            <v>Demolição manual alvenaria tijolo furado assentado com argamassa em Vias Urbanas</v>
          </cell>
          <cell r="C1329" t="str">
            <v>m³</v>
          </cell>
          <cell r="D1329">
            <v>181.83</v>
          </cell>
          <cell r="E1329">
            <v>0</v>
          </cell>
          <cell r="F1329" t="e">
            <v>#N/A</v>
          </cell>
          <cell r="G1329" t="e">
            <v>#N/A</v>
          </cell>
        </row>
        <row r="1330">
          <cell r="A1330">
            <v>42868</v>
          </cell>
          <cell r="B1330" t="str">
            <v>Demolição manual de concreto armado em Vias Urbanas</v>
          </cell>
          <cell r="C1330" t="str">
            <v>m³</v>
          </cell>
          <cell r="D1330">
            <v>268.3</v>
          </cell>
          <cell r="E1330">
            <v>0</v>
          </cell>
          <cell r="F1330" t="e">
            <v>#N/A</v>
          </cell>
          <cell r="G1330" t="e">
            <v>#N/A</v>
          </cell>
        </row>
        <row r="1331">
          <cell r="A1331">
            <v>42869</v>
          </cell>
          <cell r="B1331" t="str">
            <v>Demolição manual de concreto simples ou ciclópico em Vias Urbanas</v>
          </cell>
          <cell r="C1331" t="str">
            <v>m³</v>
          </cell>
          <cell r="D1331">
            <v>236.75</v>
          </cell>
          <cell r="E1331">
            <v>0</v>
          </cell>
          <cell r="F1331" t="e">
            <v>#N/A</v>
          </cell>
          <cell r="G1331" t="e">
            <v>#N/A</v>
          </cell>
        </row>
        <row r="1332">
          <cell r="A1332">
            <v>42870</v>
          </cell>
          <cell r="B1332" t="str">
            <v>Demolição mecânica de concreto em Vias Urbanas</v>
          </cell>
          <cell r="C1332" t="str">
            <v>m³</v>
          </cell>
          <cell r="D1332">
            <v>163.28</v>
          </cell>
          <cell r="E1332">
            <v>0</v>
          </cell>
          <cell r="F1332" t="e">
            <v>#N/A</v>
          </cell>
          <cell r="G1332" t="e">
            <v>#N/A</v>
          </cell>
        </row>
        <row r="1333">
          <cell r="A1333">
            <v>42880</v>
          </cell>
          <cell r="B1333" t="str">
            <v>Descida d'água concreto simples (degraus) c/ caiação (DSA-03) apoio em Vias Urbanas</v>
          </cell>
          <cell r="C1333" t="str">
            <v>un</v>
          </cell>
          <cell r="D1333">
            <v>701.57</v>
          </cell>
          <cell r="E1333">
            <v>0</v>
          </cell>
          <cell r="F1333" t="e">
            <v>#N/A</v>
          </cell>
          <cell r="G1333" t="e">
            <v>#N/A</v>
          </cell>
        </row>
        <row r="1334">
          <cell r="A1334">
            <v>42883</v>
          </cell>
          <cell r="B1334" t="str">
            <v>Deslocamento de cerca de tela galvanizada fio 12 malha 3" x 3", em Vias Urbanas</v>
          </cell>
          <cell r="C1334" t="str">
            <v>m</v>
          </cell>
          <cell r="D1334">
            <v>37.69</v>
          </cell>
          <cell r="E1334" t="str">
            <v>A incluir</v>
          </cell>
          <cell r="F1334" t="e">
            <v>#N/A</v>
          </cell>
          <cell r="G1334" t="e">
            <v>#N/A</v>
          </cell>
        </row>
        <row r="1335">
          <cell r="A1335">
            <v>42899</v>
          </cell>
          <cell r="B1335" t="str">
            <v>Dreno de alívio de pavimento (DP - DAP - 01), com tubo PVC d-&gt;50mm, geotêxtil não tecido RT 07 kN/m inclusive transporte da brita em Vias Urbanas</v>
          </cell>
          <cell r="C1335" t="str">
            <v>m</v>
          </cell>
          <cell r="D1335">
            <v>53.05</v>
          </cell>
          <cell r="E1335" t="str">
            <v>A incluir</v>
          </cell>
          <cell r="F1335" t="e">
            <v>#N/A</v>
          </cell>
          <cell r="G1335" t="e">
            <v>#N/A</v>
          </cell>
        </row>
        <row r="1336">
          <cell r="A1336">
            <v>42901</v>
          </cell>
          <cell r="B1336" t="str">
            <v>Dreno de PVC D -&gt; 100 mm em Vias Urbanas</v>
          </cell>
          <cell r="C1336" t="str">
            <v>m</v>
          </cell>
          <cell r="D1336">
            <v>31.64</v>
          </cell>
          <cell r="E1336">
            <v>0</v>
          </cell>
          <cell r="F1336" t="e">
            <v>#N/A</v>
          </cell>
          <cell r="G1336" t="e">
            <v>#N/A</v>
          </cell>
        </row>
        <row r="1337">
          <cell r="A1337">
            <v>42900</v>
          </cell>
          <cell r="B1337" t="str">
            <v>Dreno de PVC D -&gt; 50 mm em Vias Urbanas</v>
          </cell>
          <cell r="C1337" t="str">
            <v>m</v>
          </cell>
          <cell r="D1337">
            <v>19.190000000000001</v>
          </cell>
          <cell r="E1337">
            <v>0</v>
          </cell>
          <cell r="F1337" t="e">
            <v>#N/A</v>
          </cell>
          <cell r="G1337" t="e">
            <v>#N/A</v>
          </cell>
        </row>
        <row r="1338">
          <cell r="A1338">
            <v>41185</v>
          </cell>
          <cell r="B1338" t="str">
            <v>Dreno em PVC perfurado diâm. -&gt; 100 mm, em Vias Urbanas</v>
          </cell>
          <cell r="C1338" t="str">
            <v>m</v>
          </cell>
          <cell r="D1338">
            <v>11.84</v>
          </cell>
          <cell r="E1338" t="str">
            <v>A incluir</v>
          </cell>
          <cell r="F1338" t="e">
            <v>#N/A</v>
          </cell>
          <cell r="G1338" t="e">
            <v>#N/A</v>
          </cell>
        </row>
        <row r="1339">
          <cell r="A1339">
            <v>42903</v>
          </cell>
          <cell r="B1339" t="str">
            <v>Dreno Longitudinal tipo Trincheira Drenante, H -&gt; 0,90 m com tubo poroso tipo PEAD d -&gt;110 mm, incluindo esc. mat. 3ª cat. em Vias Urbanas</v>
          </cell>
          <cell r="C1339" t="str">
            <v>m</v>
          </cell>
          <cell r="D1339">
            <v>108.68</v>
          </cell>
          <cell r="E1339" t="str">
            <v>A incluir</v>
          </cell>
          <cell r="F1339" t="e">
            <v>#N/A</v>
          </cell>
          <cell r="G1339" t="e">
            <v>#N/A</v>
          </cell>
        </row>
        <row r="1340">
          <cell r="A1340">
            <v>42904</v>
          </cell>
          <cell r="B1340" t="str">
            <v>Dreno Longitudinal tipo Trincheira Drenante, H -&gt; 0,90 m com tubo poroso tipo PEAD d-&gt;110 mm, inclusive esc. em mat. 1ª cat. em Vias Urbanas</v>
          </cell>
          <cell r="C1340" t="str">
            <v>m</v>
          </cell>
          <cell r="D1340">
            <v>87.29</v>
          </cell>
          <cell r="E1340" t="str">
            <v>A incluir</v>
          </cell>
          <cell r="F1340" t="e">
            <v>#N/A</v>
          </cell>
          <cell r="G1340" t="e">
            <v>#N/A</v>
          </cell>
        </row>
        <row r="1341">
          <cell r="A1341">
            <v>42902</v>
          </cell>
          <cell r="B1341" t="str">
            <v>Dreno Longitudinal tipo Trincheira Drenante, H-&gt;0,40m c/tubo poroso PEAD d -&gt; 65 mm, incl. esc. mat. 1ª cat., geotêxtil não tecido RT 07kN/m, V. Urbanas</v>
          </cell>
          <cell r="C1341" t="str">
            <v>m</v>
          </cell>
          <cell r="D1341">
            <v>88.32</v>
          </cell>
          <cell r="E1341">
            <v>0</v>
          </cell>
          <cell r="F1341" t="e">
            <v>#N/A</v>
          </cell>
          <cell r="G1341" t="e">
            <v>#N/A</v>
          </cell>
        </row>
        <row r="1342">
          <cell r="A1342">
            <v>42905</v>
          </cell>
          <cell r="B1342" t="str">
            <v>Dreno ou Barbacã em tubo PVC, diâmetro de 2" em Vias Urbanas</v>
          </cell>
          <cell r="C1342" t="str">
            <v>m</v>
          </cell>
          <cell r="D1342">
            <v>16.920000000000002</v>
          </cell>
          <cell r="E1342">
            <v>0</v>
          </cell>
          <cell r="F1342" t="e">
            <v>#N/A</v>
          </cell>
          <cell r="G1342" t="e">
            <v>#N/A</v>
          </cell>
        </row>
        <row r="1343">
          <cell r="A1343">
            <v>43120</v>
          </cell>
          <cell r="B1343" t="str">
            <v>Dreno profundo com enchimento de areia, escavação em material 1ª categoria, inclusive transporte da areia, em vias Urbanas</v>
          </cell>
          <cell r="C1343" t="str">
            <v>m</v>
          </cell>
          <cell r="D1343">
            <v>106.5</v>
          </cell>
          <cell r="E1343" t="str">
            <v>A incluir</v>
          </cell>
          <cell r="F1343" t="e">
            <v>#N/A</v>
          </cell>
          <cell r="G1343" t="e">
            <v>#N/A</v>
          </cell>
        </row>
        <row r="1344">
          <cell r="A1344">
            <v>42906</v>
          </cell>
          <cell r="B1344" t="str">
            <v>Dreno profundo com enchimento de brita e areia (1:1) escavação em material 1ª categoria, inclusive transporte da areia e da brita em Vias Urbanas</v>
          </cell>
          <cell r="C1344" t="str">
            <v>m</v>
          </cell>
          <cell r="D1344">
            <v>108.42</v>
          </cell>
          <cell r="E1344" t="str">
            <v>A incluir</v>
          </cell>
          <cell r="F1344" t="e">
            <v>#N/A</v>
          </cell>
          <cell r="G1344" t="e">
            <v>#N/A</v>
          </cell>
        </row>
        <row r="1345">
          <cell r="A1345">
            <v>42907</v>
          </cell>
          <cell r="B1345" t="str">
            <v>Dreno profundo com enchimento de brita e areia (1:1) escavação em material 2ª categoria, inclusive transporte da areia e da brita em Vias Urbanas</v>
          </cell>
          <cell r="C1345" t="str">
            <v>m</v>
          </cell>
          <cell r="D1345">
            <v>115.02</v>
          </cell>
          <cell r="E1345" t="str">
            <v>A incluir</v>
          </cell>
          <cell r="F1345" t="e">
            <v>#N/A</v>
          </cell>
          <cell r="G1345" t="e">
            <v>#N/A</v>
          </cell>
        </row>
        <row r="1346">
          <cell r="A1346">
            <v>42908</v>
          </cell>
          <cell r="B1346" t="str">
            <v>Dreno profundo com enchimento de brita, escavação em material 1ª categoria, inclusive transporte da brita em Vias Urbanas</v>
          </cell>
          <cell r="C1346" t="str">
            <v>m</v>
          </cell>
          <cell r="D1346">
            <v>102.6</v>
          </cell>
          <cell r="E1346" t="str">
            <v>A incluir</v>
          </cell>
          <cell r="F1346" t="e">
            <v>#N/A</v>
          </cell>
          <cell r="G1346" t="e">
            <v>#N/A</v>
          </cell>
        </row>
        <row r="1347">
          <cell r="A1347">
            <v>43122</v>
          </cell>
          <cell r="B1347" t="str">
            <v>Dreno profundo com tubo poroso, D-&gt;0,20 m com enchim. de brita, escav. material 3ª categoria (DPR-01), inclus. transporte brita e tubo, Vias Urbanas</v>
          </cell>
          <cell r="C1347" t="str">
            <v>m</v>
          </cell>
          <cell r="D1347">
            <v>94.11</v>
          </cell>
          <cell r="E1347" t="str">
            <v>A incluir</v>
          </cell>
          <cell r="F1347" t="e">
            <v>#N/A</v>
          </cell>
          <cell r="G1347" t="e">
            <v>#N/A</v>
          </cell>
        </row>
        <row r="1348">
          <cell r="A1348">
            <v>42913</v>
          </cell>
          <cell r="B1348" t="str">
            <v>Dreno profundo com tubo poroso, D-&gt;0,20m com enchim. de brita e areia, escav. material 2ª categoria, inclusi. transp. areia,brita e tubo Vias Urbanas</v>
          </cell>
          <cell r="C1348" t="str">
            <v>m</v>
          </cell>
          <cell r="D1348">
            <v>128.38999999999999</v>
          </cell>
          <cell r="E1348" t="str">
            <v>A incluir</v>
          </cell>
          <cell r="F1348" t="e">
            <v>#N/A</v>
          </cell>
          <cell r="G1348" t="e">
            <v>#N/A</v>
          </cell>
        </row>
        <row r="1349">
          <cell r="A1349">
            <v>42910</v>
          </cell>
          <cell r="B1349" t="str">
            <v>Dreno profundo D-&gt;0,10m c/ enchim.brita, areia (1:1) escav. em mat. 3ª categoria, incl.geotêxtil não tecido RT 16kn/m, e transp. brita, areia V.Urbanas</v>
          </cell>
          <cell r="C1349" t="str">
            <v>m</v>
          </cell>
          <cell r="D1349">
            <v>206.55</v>
          </cell>
          <cell r="E1349" t="str">
            <v>A incluir</v>
          </cell>
          <cell r="F1349" t="e">
            <v>#N/A</v>
          </cell>
          <cell r="G1349" t="e">
            <v>#N/A</v>
          </cell>
        </row>
        <row r="1350">
          <cell r="A1350">
            <v>42909</v>
          </cell>
          <cell r="B1350" t="str">
            <v>Dreno profundo D-&gt;0,10m c/ enchim.brita,areia (1:1) escav.mat. 1ª categoria, incl. geotêxtil não tecido RT16 kn/m e transp. areia,brita- Vias Urbanas</v>
          </cell>
          <cell r="C1350" t="str">
            <v>m</v>
          </cell>
          <cell r="D1350">
            <v>137.53</v>
          </cell>
          <cell r="E1350" t="str">
            <v>A incluir</v>
          </cell>
          <cell r="F1350" t="e">
            <v>#N/A</v>
          </cell>
          <cell r="G1350" t="e">
            <v>#N/A</v>
          </cell>
        </row>
        <row r="1351">
          <cell r="A1351">
            <v>42911</v>
          </cell>
          <cell r="B1351" t="str">
            <v>Dreno profundo D-&gt;0,20m com enchimento de areia, escavação em material 1ª categoria (DPS-01), inclusive transporte da areia e do tubo em Vias Urbanas</v>
          </cell>
          <cell r="C1351" t="str">
            <v>m</v>
          </cell>
          <cell r="D1351">
            <v>126.58</v>
          </cell>
          <cell r="E1351" t="str">
            <v>A incluir</v>
          </cell>
          <cell r="F1351" t="e">
            <v>#N/A</v>
          </cell>
          <cell r="G1351" t="e">
            <v>#N/A</v>
          </cell>
        </row>
        <row r="1352">
          <cell r="A1352">
            <v>42912</v>
          </cell>
          <cell r="B1352" t="str">
            <v>Dreno profundo D-&gt;0,20m com enchimento de brita e areia, escavação em material 1ª categoria, inclusive transporte da brita e da areia, em Vias Urbanas</v>
          </cell>
          <cell r="C1352" t="str">
            <v>m</v>
          </cell>
          <cell r="D1352">
            <v>121.8</v>
          </cell>
          <cell r="E1352" t="str">
            <v>A incluir</v>
          </cell>
          <cell r="F1352" t="e">
            <v>#N/A</v>
          </cell>
          <cell r="G1352" t="e">
            <v>#N/A</v>
          </cell>
        </row>
        <row r="1353">
          <cell r="A1353">
            <v>42915</v>
          </cell>
          <cell r="B1353" t="str">
            <v>Dreno profundo para corte em solo, com enchimento em brita revestido com geotêxtil não tecido RT-16, inclusive transporte da brita em Vias Urbanas</v>
          </cell>
          <cell r="C1353" t="str">
            <v>m</v>
          </cell>
          <cell r="D1353">
            <v>125.7</v>
          </cell>
          <cell r="E1353" t="str">
            <v>A incluir</v>
          </cell>
          <cell r="F1353" t="e">
            <v>#N/A</v>
          </cell>
          <cell r="G1353" t="e">
            <v>#N/A</v>
          </cell>
        </row>
        <row r="1354">
          <cell r="A1354">
            <v>42914</v>
          </cell>
          <cell r="B1354" t="str">
            <v>Dreno profundo solo c/tubo PVC perfur. D-&gt;0,10 m envolto geotêxtil não tecidoRT16kn/mpreench.c/brita, inclus.transp.dreno exclus transp.brita V Urbanas</v>
          </cell>
          <cell r="C1354" t="str">
            <v>m</v>
          </cell>
          <cell r="D1354">
            <v>86.5</v>
          </cell>
          <cell r="E1354" t="str">
            <v>A incluir</v>
          </cell>
          <cell r="F1354" t="e">
            <v>#N/A</v>
          </cell>
          <cell r="G1354" t="e">
            <v>#N/A</v>
          </cell>
        </row>
        <row r="1355">
          <cell r="A1355">
            <v>42917</v>
          </cell>
          <cell r="B1355" t="str">
            <v>Dreno sub-horizontal D -&gt; 50 mm em PVC inclus. escavação em alteração de rocha, geotêxtil não tecido RT-16 exclusive transp. em Vias Urbanas</v>
          </cell>
          <cell r="C1355" t="str">
            <v>m</v>
          </cell>
          <cell r="D1355">
            <v>664.17</v>
          </cell>
          <cell r="E1355">
            <v>0</v>
          </cell>
          <cell r="F1355" t="e">
            <v>#N/A</v>
          </cell>
          <cell r="G1355" t="e">
            <v>#N/A</v>
          </cell>
        </row>
        <row r="1356">
          <cell r="A1356">
            <v>42918</v>
          </cell>
          <cell r="B1356" t="str">
            <v>Dreno sub-horizontal D -&gt; 50 mm em PVC inclus.escavação em rocha sã, geotêxtil não tecido RT-16, exclusive transportes em Vias Urbanas</v>
          </cell>
          <cell r="C1356" t="str">
            <v>m</v>
          </cell>
          <cell r="D1356">
            <v>857.72</v>
          </cell>
          <cell r="E1356">
            <v>0</v>
          </cell>
          <cell r="F1356" t="e">
            <v>#N/A</v>
          </cell>
          <cell r="G1356" t="e">
            <v>#N/A</v>
          </cell>
        </row>
        <row r="1357">
          <cell r="A1357">
            <v>42916</v>
          </cell>
          <cell r="B1357" t="str">
            <v>Dreno sub-horizontal D-&gt;50 mm inclusive geotêxtil não tecido RT 16 kn/m, em PVC, exclusive transportes em Vias Urbanas</v>
          </cell>
          <cell r="C1357" t="str">
            <v>m</v>
          </cell>
          <cell r="D1357">
            <v>465.48</v>
          </cell>
          <cell r="E1357">
            <v>0</v>
          </cell>
          <cell r="F1357" t="e">
            <v>#N/A</v>
          </cell>
          <cell r="G1357" t="e">
            <v>#N/A</v>
          </cell>
        </row>
        <row r="1358">
          <cell r="A1358">
            <v>42919</v>
          </cell>
          <cell r="B1358" t="str">
            <v>Dreno sub-superficial rocha (h-&gt;0,55m) c/tubo PVC perfur.d-&gt;0,10m, env. geotêxtil RT-16, preenc.c/ brita, incl. transp. dreno, excl. transp brita-V. Urb</v>
          </cell>
          <cell r="C1358" t="str">
            <v>m</v>
          </cell>
          <cell r="D1358">
            <v>69.92</v>
          </cell>
          <cell r="E1358" t="str">
            <v>A incluir</v>
          </cell>
          <cell r="F1358" t="e">
            <v>#N/A</v>
          </cell>
          <cell r="G1358" t="e">
            <v>#N/A</v>
          </cell>
        </row>
        <row r="1359">
          <cell r="A1359">
            <v>42920</v>
          </cell>
          <cell r="B1359" t="str">
            <v>Dreno vertical D -&gt; 75 mm em PVC, inclusive geotêxtil não tecido RT-16, exclusive transportes, em Vias Urbanas</v>
          </cell>
          <cell r="C1359" t="str">
            <v>m</v>
          </cell>
          <cell r="D1359">
            <v>470.32</v>
          </cell>
          <cell r="E1359">
            <v>0</v>
          </cell>
          <cell r="F1359" t="e">
            <v>#N/A</v>
          </cell>
          <cell r="G1359" t="e">
            <v>#N/A</v>
          </cell>
        </row>
        <row r="1360">
          <cell r="A1360">
            <v>42921</v>
          </cell>
          <cell r="B1360" t="str">
            <v>Eletroduto de ferro galvanizado DN 4" , inclusive conexões, exclusive escavação e reaterro, fornecimento e assentamento, em Vias Urbanas</v>
          </cell>
          <cell r="C1360" t="str">
            <v>m</v>
          </cell>
          <cell r="D1360">
            <v>101.91</v>
          </cell>
          <cell r="E1360">
            <v>0</v>
          </cell>
          <cell r="F1360" t="e">
            <v>#N/A</v>
          </cell>
          <cell r="G1360" t="e">
            <v>#N/A</v>
          </cell>
        </row>
        <row r="1361">
          <cell r="A1361">
            <v>42922</v>
          </cell>
          <cell r="B1361" t="str">
            <v>Eletroduto para rede de lógica, inclusive conexões, em Vias Urbanas</v>
          </cell>
          <cell r="C1361" t="str">
            <v>m</v>
          </cell>
          <cell r="D1361">
            <v>20.67</v>
          </cell>
          <cell r="E1361">
            <v>0</v>
          </cell>
          <cell r="F1361" t="e">
            <v>#N/A</v>
          </cell>
          <cell r="G1361" t="e">
            <v>#N/A</v>
          </cell>
        </row>
        <row r="1362">
          <cell r="A1362">
            <v>42923</v>
          </cell>
          <cell r="B1362" t="str">
            <v>Eletroduto PVC diâmetro 75mm, fornecimento e assentamento em Vias Urbanas</v>
          </cell>
          <cell r="C1362" t="str">
            <v>m</v>
          </cell>
          <cell r="D1362">
            <v>26.34</v>
          </cell>
          <cell r="E1362">
            <v>0</v>
          </cell>
          <cell r="F1362" t="e">
            <v>#N/A</v>
          </cell>
          <cell r="G1362" t="e">
            <v>#N/A</v>
          </cell>
        </row>
        <row r="1363">
          <cell r="A1363">
            <v>42924</v>
          </cell>
          <cell r="B1363" t="str">
            <v>Eletroduto PVC rígido roscável diâm. 50 mm, fornecimento e assentamento em Vias Urbanas</v>
          </cell>
          <cell r="C1363" t="str">
            <v>m</v>
          </cell>
          <cell r="D1363">
            <v>12.66</v>
          </cell>
          <cell r="E1363">
            <v>0</v>
          </cell>
          <cell r="F1363" t="e">
            <v>#N/A</v>
          </cell>
          <cell r="G1363" t="e">
            <v>#N/A</v>
          </cell>
        </row>
        <row r="1364">
          <cell r="A1364">
            <v>42925</v>
          </cell>
          <cell r="B1364" t="str">
            <v>Eletroduto tipo Kanaflex diâmetro 1 1/4", fornecimento e assentamento em Vias Urbanas</v>
          </cell>
          <cell r="C1364" t="str">
            <v>m</v>
          </cell>
          <cell r="D1364">
            <v>12.26</v>
          </cell>
          <cell r="E1364">
            <v>0</v>
          </cell>
          <cell r="F1364" t="e">
            <v>#N/A</v>
          </cell>
          <cell r="G1364" t="e">
            <v>#N/A</v>
          </cell>
        </row>
        <row r="1365">
          <cell r="A1365">
            <v>42926</v>
          </cell>
          <cell r="B1365" t="str">
            <v>Eletroduto tipo Kanaflex diâmetro 1 1/2", fornecimento e assentamento em Vias Urbanas</v>
          </cell>
          <cell r="C1365" t="str">
            <v>m</v>
          </cell>
          <cell r="D1365">
            <v>15.15</v>
          </cell>
          <cell r="E1365">
            <v>0</v>
          </cell>
          <cell r="F1365" t="e">
            <v>#N/A</v>
          </cell>
          <cell r="G1365" t="e">
            <v>#N/A</v>
          </cell>
        </row>
        <row r="1366">
          <cell r="A1366">
            <v>42927</v>
          </cell>
          <cell r="B1366" t="str">
            <v>Eletroduto tipo Kanaflex diâmetro 2", fornecimento e assentamento em Vias Urbanas</v>
          </cell>
          <cell r="C1366" t="str">
            <v>m</v>
          </cell>
          <cell r="D1366">
            <v>20.83</v>
          </cell>
          <cell r="E1366">
            <v>0</v>
          </cell>
          <cell r="F1366" t="e">
            <v>#N/A</v>
          </cell>
          <cell r="G1366" t="e">
            <v>#N/A</v>
          </cell>
        </row>
        <row r="1367">
          <cell r="A1367">
            <v>42928</v>
          </cell>
          <cell r="B1367" t="str">
            <v>Eletroduto tipo Kanaflex diâmetro 4", fornecimento e assentamento em Vias Urbanas</v>
          </cell>
          <cell r="C1367" t="str">
            <v>m</v>
          </cell>
          <cell r="D1367">
            <v>34.450000000000003</v>
          </cell>
          <cell r="E1367">
            <v>0</v>
          </cell>
          <cell r="F1367" t="e">
            <v>#N/A</v>
          </cell>
          <cell r="G1367" t="e">
            <v>#N/A</v>
          </cell>
        </row>
        <row r="1368">
          <cell r="A1368">
            <v>42942</v>
          </cell>
          <cell r="B1368" t="str">
            <v>Escada de madeira executada sobre terreno inclinado, com 80 cm de largura mínima em Vias Urbanas</v>
          </cell>
          <cell r="C1368" t="str">
            <v>m</v>
          </cell>
          <cell r="D1368">
            <v>63.63</v>
          </cell>
          <cell r="E1368">
            <v>0</v>
          </cell>
          <cell r="F1368" t="e">
            <v>#N/A</v>
          </cell>
          <cell r="G1368" t="e">
            <v>#N/A</v>
          </cell>
        </row>
        <row r="1369">
          <cell r="A1369">
            <v>42944</v>
          </cell>
          <cell r="B1369" t="str">
            <v>Escavação manual em mat. 1ª cat. H-&gt; 0,00 a 1,50 m c/ esgotamento em Vias Urbanas</v>
          </cell>
          <cell r="C1369" t="str">
            <v>m³</v>
          </cell>
          <cell r="D1369">
            <v>60.92</v>
          </cell>
          <cell r="E1369">
            <v>0</v>
          </cell>
          <cell r="F1369" t="e">
            <v>#N/A</v>
          </cell>
          <cell r="G1369" t="e">
            <v>#N/A</v>
          </cell>
        </row>
        <row r="1370">
          <cell r="A1370">
            <v>42943</v>
          </cell>
          <cell r="B1370" t="str">
            <v>Escavação manual em mat. 1ª cat. H-&gt; 0,00 a 1,50 m em Vias Urbanas</v>
          </cell>
          <cell r="C1370" t="str">
            <v>m³</v>
          </cell>
          <cell r="D1370">
            <v>57.81</v>
          </cell>
          <cell r="E1370">
            <v>0</v>
          </cell>
          <cell r="F1370" t="e">
            <v>#N/A</v>
          </cell>
          <cell r="G1370" t="e">
            <v>#N/A</v>
          </cell>
        </row>
        <row r="1371">
          <cell r="A1371">
            <v>42946</v>
          </cell>
          <cell r="B1371" t="str">
            <v>Escavação manual em mat. 1ª cat. H-&gt; 1,50 a 3,00 m c/ esgotamento em Vias Urbanas</v>
          </cell>
          <cell r="C1371" t="str">
            <v>m³</v>
          </cell>
          <cell r="D1371">
            <v>86.13</v>
          </cell>
          <cell r="E1371">
            <v>0</v>
          </cell>
          <cell r="F1371" t="e">
            <v>#N/A</v>
          </cell>
          <cell r="G1371" t="e">
            <v>#N/A</v>
          </cell>
        </row>
        <row r="1372">
          <cell r="A1372">
            <v>42945</v>
          </cell>
          <cell r="B1372" t="str">
            <v>Escavação manual em mat. 1ª cat. H-&gt; 1,50 a 3,00 m em Vias Urbanas</v>
          </cell>
          <cell r="C1372" t="str">
            <v>m³</v>
          </cell>
          <cell r="D1372">
            <v>85.23</v>
          </cell>
          <cell r="E1372">
            <v>0</v>
          </cell>
          <cell r="F1372" t="e">
            <v>#N/A</v>
          </cell>
          <cell r="G1372" t="e">
            <v>#N/A</v>
          </cell>
        </row>
        <row r="1373">
          <cell r="A1373">
            <v>42948</v>
          </cell>
          <cell r="B1373" t="str">
            <v>Escavação manual em mat. 1ª cat. H-&gt; 3,00 a 4,50 m c/ esgotamento, em Vias Urbanas</v>
          </cell>
          <cell r="C1373" t="str">
            <v>m³</v>
          </cell>
          <cell r="D1373">
            <v>123.93</v>
          </cell>
          <cell r="E1373">
            <v>0</v>
          </cell>
          <cell r="F1373" t="e">
            <v>#N/A</v>
          </cell>
          <cell r="G1373" t="e">
            <v>#N/A</v>
          </cell>
        </row>
        <row r="1374">
          <cell r="A1374">
            <v>42947</v>
          </cell>
          <cell r="B1374" t="str">
            <v>Escavação manual em mat. 1ª cat. H-&gt; 3,00 a 4,50 m, em Vias Urbanas</v>
          </cell>
          <cell r="C1374" t="str">
            <v>m³</v>
          </cell>
          <cell r="D1374">
            <v>126.31</v>
          </cell>
          <cell r="E1374">
            <v>0</v>
          </cell>
          <cell r="F1374" t="e">
            <v>#N/A</v>
          </cell>
          <cell r="G1374" t="e">
            <v>#N/A</v>
          </cell>
        </row>
        <row r="1375">
          <cell r="A1375">
            <v>42949</v>
          </cell>
          <cell r="B1375" t="str">
            <v>Escavação manual em mat. 2ª cat. H-&gt; 0,00 a 1,50 m c/ esgotamento, em Vias Urbanas</v>
          </cell>
          <cell r="C1375" t="str">
            <v>m³</v>
          </cell>
          <cell r="D1375">
            <v>127.67</v>
          </cell>
          <cell r="E1375">
            <v>0</v>
          </cell>
          <cell r="F1375" t="e">
            <v>#N/A</v>
          </cell>
          <cell r="G1375" t="e">
            <v>#N/A</v>
          </cell>
        </row>
        <row r="1376">
          <cell r="A1376">
            <v>42950</v>
          </cell>
          <cell r="B1376" t="str">
            <v>Escavação manual em mat. 2ª cat. H-&gt; 0,00 a 1,50 m s/ detonação, em Vias Urbanas</v>
          </cell>
          <cell r="C1376" t="str">
            <v>m³</v>
          </cell>
          <cell r="D1376">
            <v>130.36000000000001</v>
          </cell>
          <cell r="E1376">
            <v>0</v>
          </cell>
          <cell r="F1376" t="e">
            <v>#N/A</v>
          </cell>
          <cell r="G1376" t="e">
            <v>#N/A</v>
          </cell>
        </row>
        <row r="1377">
          <cell r="A1377">
            <v>42951</v>
          </cell>
          <cell r="B1377" t="str">
            <v>Escavação manual em mat. 2ª cat. H-&gt; 1,50 a 3,00 m c/ esgotamento, em Vias Urbanas</v>
          </cell>
          <cell r="C1377" t="str">
            <v>m³</v>
          </cell>
          <cell r="D1377">
            <v>156.99</v>
          </cell>
          <cell r="E1377">
            <v>0</v>
          </cell>
          <cell r="F1377" t="e">
            <v>#N/A</v>
          </cell>
          <cell r="G1377" t="e">
            <v>#N/A</v>
          </cell>
        </row>
        <row r="1378">
          <cell r="A1378">
            <v>42952</v>
          </cell>
          <cell r="B1378" t="str">
            <v>Escavação manual em mat. 2ª cat. H-&gt; 1,50 a 3,00 m s/ detonação, em Vias Urbanas</v>
          </cell>
          <cell r="C1378" t="str">
            <v>m³</v>
          </cell>
          <cell r="D1378">
            <v>162.24</v>
          </cell>
          <cell r="E1378">
            <v>0</v>
          </cell>
          <cell r="F1378" t="e">
            <v>#N/A</v>
          </cell>
          <cell r="G1378" t="e">
            <v>#N/A</v>
          </cell>
        </row>
        <row r="1379">
          <cell r="A1379">
            <v>42953</v>
          </cell>
          <cell r="B1379" t="str">
            <v>Escavação manual em mat. 2ª cat. H-&gt; 3,00 a 4,50 m c/ esgotamento, em Vias Urbanas</v>
          </cell>
          <cell r="C1379" t="str">
            <v>m³</v>
          </cell>
          <cell r="D1379">
            <v>272.83</v>
          </cell>
          <cell r="E1379">
            <v>0</v>
          </cell>
          <cell r="F1379" t="e">
            <v>#N/A</v>
          </cell>
          <cell r="G1379" t="e">
            <v>#N/A</v>
          </cell>
        </row>
        <row r="1380">
          <cell r="A1380">
            <v>42954</v>
          </cell>
          <cell r="B1380" t="str">
            <v>Escavação manual em mat. 2ª cat. H-&gt; 3,00 a 4,50 m s/ detonação, em Vias Urbanas</v>
          </cell>
          <cell r="C1380" t="str">
            <v>m³</v>
          </cell>
          <cell r="D1380">
            <v>288.14999999999998</v>
          </cell>
          <cell r="E1380">
            <v>0</v>
          </cell>
          <cell r="F1380" t="e">
            <v>#N/A</v>
          </cell>
          <cell r="G1380" t="e">
            <v>#N/A</v>
          </cell>
        </row>
        <row r="1381">
          <cell r="A1381">
            <v>42955</v>
          </cell>
          <cell r="B1381" t="str">
            <v>Escavação manual em mat. 3ª cat. H-&gt; 0,00 a 1,50 m, a fogo, em Vias Urbanas</v>
          </cell>
          <cell r="C1381" t="str">
            <v>m³</v>
          </cell>
          <cell r="D1381">
            <v>371.15</v>
          </cell>
          <cell r="E1381">
            <v>0</v>
          </cell>
          <cell r="F1381" t="e">
            <v>#N/A</v>
          </cell>
          <cell r="G1381" t="e">
            <v>#N/A</v>
          </cell>
        </row>
        <row r="1382">
          <cell r="A1382">
            <v>42956</v>
          </cell>
          <cell r="B1382" t="str">
            <v>Escavação manual furos, valetas mat. 1ª cat. H-&gt; 0,00 a 1,50 m (dim. reduz.), em Vias Urbanas</v>
          </cell>
          <cell r="C1382" t="str">
            <v>m³</v>
          </cell>
          <cell r="D1382">
            <v>85.23</v>
          </cell>
          <cell r="E1382">
            <v>0</v>
          </cell>
          <cell r="F1382" t="e">
            <v>#N/A</v>
          </cell>
          <cell r="G1382" t="e">
            <v>#N/A</v>
          </cell>
        </row>
        <row r="1383">
          <cell r="A1383">
            <v>42957</v>
          </cell>
          <cell r="B1383" t="str">
            <v>Escavação manual furos, valetas mat. 2ª cat. H-&gt; 0,00 a 1,50 m s/detonação (dim. reduz.), em Vias Urbanas</v>
          </cell>
          <cell r="C1383" t="str">
            <v>m³</v>
          </cell>
          <cell r="D1383">
            <v>194.04</v>
          </cell>
          <cell r="E1383">
            <v>0</v>
          </cell>
          <cell r="F1383" t="e">
            <v>#N/A</v>
          </cell>
          <cell r="G1383" t="e">
            <v>#N/A</v>
          </cell>
        </row>
        <row r="1384">
          <cell r="A1384">
            <v>42958</v>
          </cell>
          <cell r="B1384" t="str">
            <v>Escavação mecânica de valas em material de 1ª categoria, 3,00 a 4,50 m, c/ esgotamento, carga do material, transp. material p/ bota-fora -Vias Urbanas</v>
          </cell>
          <cell r="C1384" t="str">
            <v>m³</v>
          </cell>
          <cell r="D1384">
            <v>206.17</v>
          </cell>
          <cell r="E1384" t="str">
            <v>A incluir</v>
          </cell>
          <cell r="F1384" t="e">
            <v>#N/A</v>
          </cell>
          <cell r="G1384" t="e">
            <v>#N/A</v>
          </cell>
        </row>
        <row r="1385">
          <cell r="A1385">
            <v>42959</v>
          </cell>
          <cell r="B1385" t="str">
            <v>Escavação mecânica de valas em 1ª categoria, profundidade de 4,50 a 6,00 m com esgotamento, transp. DMT-&gt;20km, descarga e espalhamento, em Vias Urbanas</v>
          </cell>
          <cell r="C1385" t="str">
            <v>m³</v>
          </cell>
          <cell r="D1385">
            <v>208.1</v>
          </cell>
          <cell r="E1385" t="str">
            <v>A incluir</v>
          </cell>
          <cell r="F1385" t="e">
            <v>#N/A</v>
          </cell>
          <cell r="G1385" t="e">
            <v>#N/A</v>
          </cell>
        </row>
        <row r="1386">
          <cell r="A1386">
            <v>42961</v>
          </cell>
          <cell r="B1386" t="str">
            <v>Escavação mecânica em material de 1ª cat. H-&gt; 0,00 a 1,50 m c/ esgotamento, em Vias Urbanas</v>
          </cell>
          <cell r="C1386" t="str">
            <v>m³</v>
          </cell>
          <cell r="D1386">
            <v>18.29</v>
          </cell>
          <cell r="E1386">
            <v>0</v>
          </cell>
          <cell r="F1386" t="e">
            <v>#N/A</v>
          </cell>
          <cell r="G1386" t="e">
            <v>#N/A</v>
          </cell>
        </row>
        <row r="1387">
          <cell r="A1387">
            <v>42962</v>
          </cell>
          <cell r="B1387" t="str">
            <v>Escavação mecânica em material de 1ª cat. H-&gt; 0,00 a 1,50 m c/ esgotamento, em Vias Urbanas</v>
          </cell>
          <cell r="C1387" t="str">
            <v>m³</v>
          </cell>
          <cell r="D1387">
            <v>18.29</v>
          </cell>
          <cell r="E1387">
            <v>0</v>
          </cell>
          <cell r="F1387" t="e">
            <v>#N/A</v>
          </cell>
          <cell r="G1387" t="e">
            <v>#N/A</v>
          </cell>
        </row>
        <row r="1388">
          <cell r="A1388">
            <v>42960</v>
          </cell>
          <cell r="B1388" t="str">
            <v>Escavação mecânica em material de 1ª cat. H-&gt; 0,00 a 1,50 m, em Vias Urbanas</v>
          </cell>
          <cell r="C1388" t="str">
            <v>m³</v>
          </cell>
          <cell r="D1388">
            <v>11.61</v>
          </cell>
          <cell r="E1388">
            <v>0</v>
          </cell>
          <cell r="F1388" t="e">
            <v>#N/A</v>
          </cell>
          <cell r="G1388" t="e">
            <v>#N/A</v>
          </cell>
        </row>
        <row r="1389">
          <cell r="A1389">
            <v>42964</v>
          </cell>
          <cell r="B1389" t="str">
            <v>Escavação mecânica em material de 1ª cat. H-&gt; 1,50 a 3,00 m c/ esgotamento, em Vias Urbanas</v>
          </cell>
          <cell r="C1389" t="str">
            <v>m³</v>
          </cell>
          <cell r="D1389">
            <v>19.34</v>
          </cell>
          <cell r="E1389">
            <v>0</v>
          </cell>
          <cell r="F1389" t="e">
            <v>#N/A</v>
          </cell>
          <cell r="G1389" t="e">
            <v>#N/A</v>
          </cell>
        </row>
        <row r="1390">
          <cell r="A1390">
            <v>42963</v>
          </cell>
          <cell r="B1390" t="str">
            <v>Escavação mecânica em material de 1ª cat. H-&gt; 1,50 a 3,00 m, em Vias Urbanas</v>
          </cell>
          <cell r="C1390" t="str">
            <v>m³</v>
          </cell>
          <cell r="D1390">
            <v>12.62</v>
          </cell>
          <cell r="E1390">
            <v>0</v>
          </cell>
          <cell r="F1390" t="e">
            <v>#N/A</v>
          </cell>
          <cell r="G1390" t="e">
            <v>#N/A</v>
          </cell>
        </row>
        <row r="1391">
          <cell r="A1391">
            <v>42966</v>
          </cell>
          <cell r="B1391" t="str">
            <v>Escavação mecânica em material de 1º cat. H-&gt; 3,00 a 4,50 m c/ esgotamento, em Vias Urbanas</v>
          </cell>
          <cell r="C1391" t="str">
            <v>m³</v>
          </cell>
          <cell r="D1391">
            <v>21.38</v>
          </cell>
          <cell r="E1391">
            <v>0</v>
          </cell>
          <cell r="F1391" t="e">
            <v>#N/A</v>
          </cell>
          <cell r="G1391" t="e">
            <v>#N/A</v>
          </cell>
        </row>
        <row r="1392">
          <cell r="A1392">
            <v>42965</v>
          </cell>
          <cell r="B1392" t="str">
            <v>Escavação mecânica em material de 1ª cat. H-&gt; 3,00 a 4,50 m, em Vias Urbanas</v>
          </cell>
          <cell r="C1392" t="str">
            <v>m³</v>
          </cell>
          <cell r="D1392">
            <v>14.66</v>
          </cell>
          <cell r="E1392">
            <v>0</v>
          </cell>
          <cell r="F1392" t="e">
            <v>#N/A</v>
          </cell>
          <cell r="G1392" t="e">
            <v>#N/A</v>
          </cell>
        </row>
        <row r="1393">
          <cell r="A1393">
            <v>42968</v>
          </cell>
          <cell r="B1393" t="str">
            <v>Escavação mecânica em material de 2ª cat. H-&gt; 0,00 a 1,50 m c/ esgotamento, em Vias Urbanas</v>
          </cell>
          <cell r="C1393" t="str">
            <v>m³</v>
          </cell>
          <cell r="D1393">
            <v>27.09</v>
          </cell>
          <cell r="E1393">
            <v>0</v>
          </cell>
          <cell r="F1393" t="e">
            <v>#N/A</v>
          </cell>
          <cell r="G1393" t="e">
            <v>#N/A</v>
          </cell>
        </row>
        <row r="1394">
          <cell r="A1394">
            <v>42967</v>
          </cell>
          <cell r="B1394" t="str">
            <v>Escavação mecânica em material de 2ª cat. H-&gt; 0,00 a 1,50 m, em Vias Urbanas</v>
          </cell>
          <cell r="C1394" t="str">
            <v>m³</v>
          </cell>
          <cell r="D1394">
            <v>21.12</v>
          </cell>
          <cell r="E1394">
            <v>0</v>
          </cell>
          <cell r="F1394" t="e">
            <v>#N/A</v>
          </cell>
          <cell r="G1394" t="e">
            <v>#N/A</v>
          </cell>
        </row>
        <row r="1395">
          <cell r="A1395">
            <v>42970</v>
          </cell>
          <cell r="B1395" t="str">
            <v>Escavação mecânica em material de 2ª cat. H-&gt; 1,50 a 3,00 m c/ esgotamento, em Vias Urbanas</v>
          </cell>
          <cell r="C1395" t="str">
            <v>m³</v>
          </cell>
          <cell r="D1395">
            <v>30.96</v>
          </cell>
          <cell r="E1395">
            <v>0</v>
          </cell>
          <cell r="F1395" t="e">
            <v>#N/A</v>
          </cell>
          <cell r="G1395" t="e">
            <v>#N/A</v>
          </cell>
        </row>
        <row r="1396">
          <cell r="A1396">
            <v>42969</v>
          </cell>
          <cell r="B1396" t="str">
            <v>Escavação mecânica em material de 2ª cat. H-&gt; 1,50 a 3,00 m, em Vias Urbanas</v>
          </cell>
          <cell r="C1396" t="str">
            <v>m³</v>
          </cell>
          <cell r="D1396">
            <v>25.26</v>
          </cell>
          <cell r="E1396">
            <v>0</v>
          </cell>
          <cell r="F1396" t="e">
            <v>#N/A</v>
          </cell>
          <cell r="G1396" t="e">
            <v>#N/A</v>
          </cell>
        </row>
        <row r="1397">
          <cell r="A1397">
            <v>42973</v>
          </cell>
          <cell r="B1397" t="str">
            <v>Escavação mecânica em material de 2ª cat. H-&gt; 3,00 a 4,50 m c/ esgotamento, em Vias Urbanas</v>
          </cell>
          <cell r="C1397" t="str">
            <v>m³</v>
          </cell>
          <cell r="D1397">
            <v>36.770000000000003</v>
          </cell>
          <cell r="E1397">
            <v>0</v>
          </cell>
          <cell r="F1397" t="e">
            <v>#N/A</v>
          </cell>
          <cell r="G1397" t="e">
            <v>#N/A</v>
          </cell>
        </row>
        <row r="1398">
          <cell r="A1398">
            <v>42979</v>
          </cell>
          <cell r="B1398" t="str">
            <v>Escavação mecânica em material de 2º cat. H-&gt; 3,00 a 4,50 m c/ esgotamento em Vias Urbanas</v>
          </cell>
          <cell r="C1398" t="str">
            <v>m³</v>
          </cell>
          <cell r="D1398">
            <v>36.770000000000003</v>
          </cell>
          <cell r="E1398">
            <v>0</v>
          </cell>
          <cell r="F1398" t="e">
            <v>#N/A</v>
          </cell>
          <cell r="G1398" t="e">
            <v>#N/A</v>
          </cell>
        </row>
        <row r="1399">
          <cell r="A1399">
            <v>42971</v>
          </cell>
          <cell r="B1399" t="str">
            <v>Escavação mecânica em material de 2ª cat. H-&gt; 3,00 a 4,50 m, em Vias Urbanas</v>
          </cell>
          <cell r="C1399" t="str">
            <v>m³</v>
          </cell>
          <cell r="D1399">
            <v>31.61</v>
          </cell>
          <cell r="E1399">
            <v>0</v>
          </cell>
          <cell r="F1399" t="e">
            <v>#N/A</v>
          </cell>
          <cell r="G1399" t="e">
            <v>#N/A</v>
          </cell>
        </row>
        <row r="1400">
          <cell r="A1400">
            <v>42981</v>
          </cell>
          <cell r="B1400" t="str">
            <v>Escoramento de cavas e valas, inclusive fornecimento e transporte das madeiras, em Vias Urbanas</v>
          </cell>
          <cell r="C1400" t="str">
            <v>m²</v>
          </cell>
          <cell r="D1400">
            <v>184.6</v>
          </cell>
          <cell r="E1400" t="str">
            <v>A incluir</v>
          </cell>
          <cell r="F1400" t="e">
            <v>#N/A</v>
          </cell>
          <cell r="G1400" t="e">
            <v>#N/A</v>
          </cell>
        </row>
        <row r="1401">
          <cell r="A1401">
            <v>42982</v>
          </cell>
          <cell r="B1401" t="str">
            <v>Escoramento e cimbramento (bueiro celular), inclusive fornecimento e transporte das madeiras, em Vias Urbanas</v>
          </cell>
          <cell r="C1401" t="str">
            <v>m³</v>
          </cell>
          <cell r="D1401">
            <v>126.5</v>
          </cell>
          <cell r="E1401" t="str">
            <v>A incluir</v>
          </cell>
          <cell r="F1401" t="e">
            <v>#N/A</v>
          </cell>
          <cell r="G1401" t="e">
            <v>#N/A</v>
          </cell>
        </row>
        <row r="1402">
          <cell r="A1402">
            <v>42987</v>
          </cell>
          <cell r="B1402" t="str">
            <v>Forma especial de madeira para meio fio, inclusive fornecimento e transporte das madeiras em Vias Urbanas</v>
          </cell>
          <cell r="C1402" t="str">
            <v>m²</v>
          </cell>
          <cell r="D1402">
            <v>73.55</v>
          </cell>
          <cell r="E1402" t="str">
            <v>A incluir</v>
          </cell>
          <cell r="F1402" t="e">
            <v>#N/A</v>
          </cell>
          <cell r="G1402" t="e">
            <v>#N/A</v>
          </cell>
        </row>
        <row r="1403">
          <cell r="A1403">
            <v>42988</v>
          </cell>
          <cell r="B1403" t="str">
            <v>Forma especial de madeira para sarjeta (gabarito), inclusive fornecimento e transporte das madeiras, em Vias Urbanas</v>
          </cell>
          <cell r="C1403" t="str">
            <v>m²</v>
          </cell>
          <cell r="D1403">
            <v>62.42</v>
          </cell>
          <cell r="E1403" t="str">
            <v>A incluir</v>
          </cell>
          <cell r="F1403" t="e">
            <v>#N/A</v>
          </cell>
          <cell r="G1403" t="e">
            <v>#N/A</v>
          </cell>
        </row>
        <row r="1404">
          <cell r="A1404">
            <v>42989</v>
          </cell>
          <cell r="B1404" t="str">
            <v>Forma metálica para meio fio, em Vias Urbanas</v>
          </cell>
          <cell r="C1404" t="str">
            <v>m²</v>
          </cell>
          <cell r="D1404">
            <v>7.32</v>
          </cell>
          <cell r="E1404">
            <v>0</v>
          </cell>
          <cell r="F1404" t="e">
            <v>#N/A</v>
          </cell>
          <cell r="G1404" t="e">
            <v>#N/A</v>
          </cell>
        </row>
        <row r="1405">
          <cell r="A1405">
            <v>42991</v>
          </cell>
          <cell r="B1405" t="str">
            <v>Formas planas de madeira com 01 (um) reaproveitamento, inclusive fornecimento e transporte das madeiras, em Vias Urbanas</v>
          </cell>
          <cell r="C1405" t="str">
            <v>m²</v>
          </cell>
          <cell r="D1405">
            <v>107.92</v>
          </cell>
          <cell r="E1405" t="str">
            <v>A incluir</v>
          </cell>
          <cell r="F1405" t="e">
            <v>#N/A</v>
          </cell>
          <cell r="G1405" t="e">
            <v>#N/A</v>
          </cell>
        </row>
        <row r="1406">
          <cell r="A1406">
            <v>42992</v>
          </cell>
          <cell r="B1406" t="str">
            <v>Formas planas de madeira com 02 (dois) reaproveitamentos, inclusive fornecimento e transporte das madeiras, em Vias Urbanas</v>
          </cell>
          <cell r="C1406" t="str">
            <v>m²</v>
          </cell>
          <cell r="D1406">
            <v>90.46</v>
          </cell>
          <cell r="E1406" t="str">
            <v>A incluir</v>
          </cell>
          <cell r="F1406" t="e">
            <v>#N/A</v>
          </cell>
          <cell r="G1406" t="e">
            <v>#N/A</v>
          </cell>
        </row>
        <row r="1407">
          <cell r="A1407">
            <v>42993</v>
          </cell>
          <cell r="B1407" t="str">
            <v>Formas planas de madeira com 04 (quatro) reaproveitamentos, inclusive fornecimento e transporte das madeiras, em Vias Urbanas</v>
          </cell>
          <cell r="C1407" t="str">
            <v>m²</v>
          </cell>
          <cell r="D1407">
            <v>75.78</v>
          </cell>
          <cell r="E1407" t="str">
            <v>A incluir</v>
          </cell>
          <cell r="F1407" t="e">
            <v>#N/A</v>
          </cell>
          <cell r="G1407" t="e">
            <v>#N/A</v>
          </cell>
        </row>
        <row r="1408">
          <cell r="A1408">
            <v>42994</v>
          </cell>
          <cell r="B1408" t="str">
            <v>Formas planas de madeira sem reaproveitamento (forma perdida), inclusive fornecimento e transporte das madeiras em Vias Urbanas</v>
          </cell>
          <cell r="C1408" t="str">
            <v>m²</v>
          </cell>
          <cell r="D1408">
            <v>157.94</v>
          </cell>
          <cell r="E1408" t="str">
            <v>A incluir</v>
          </cell>
          <cell r="F1408" t="e">
            <v>#N/A</v>
          </cell>
          <cell r="G1408" t="e">
            <v>#N/A</v>
          </cell>
        </row>
        <row r="1409">
          <cell r="A1409">
            <v>43070</v>
          </cell>
          <cell r="B1409" t="str">
            <v>Gabião manta/colchão, p/ revest. canal em malha hex 6x8mm Zn-Al/PVC, e-&gt;2,8mm,h-&gt;0,23m, inclus.aquis./assentam. pedra mão, exclus. transp., Vias Urbanas</v>
          </cell>
          <cell r="C1409" t="str">
            <v>m²</v>
          </cell>
          <cell r="D1409">
            <v>215.01</v>
          </cell>
          <cell r="E1409">
            <v>0</v>
          </cell>
          <cell r="F1409" t="e">
            <v>#N/A</v>
          </cell>
          <cell r="G1409" t="e">
            <v>#N/A</v>
          </cell>
        </row>
        <row r="1410">
          <cell r="A1410">
            <v>42995</v>
          </cell>
          <cell r="B1410" t="str">
            <v>Gabiões com caixas e sacos galvanizados, com geotêxtil não tecido RT 07 kN/m, em Vias Urbanas</v>
          </cell>
          <cell r="C1410" t="str">
            <v>m³</v>
          </cell>
          <cell r="D1410">
            <v>415.8</v>
          </cell>
          <cell r="E1410" t="str">
            <v>A incluir</v>
          </cell>
          <cell r="F1410" t="e">
            <v>#N/A</v>
          </cell>
          <cell r="G1410" t="e">
            <v>#N/A</v>
          </cell>
        </row>
        <row r="1411">
          <cell r="A1411">
            <v>42996</v>
          </cell>
          <cell r="B1411" t="str">
            <v>Gabiões com caixas galvanizadas, sem manta, em Vias Urbanas</v>
          </cell>
          <cell r="C1411" t="str">
            <v>m³</v>
          </cell>
          <cell r="D1411">
            <v>363.36</v>
          </cell>
          <cell r="E1411" t="str">
            <v>A incluir</v>
          </cell>
          <cell r="F1411" t="e">
            <v>#N/A</v>
          </cell>
          <cell r="G1411" t="e">
            <v>#N/A</v>
          </cell>
        </row>
        <row r="1412">
          <cell r="A1412">
            <v>43012</v>
          </cell>
          <cell r="B1412" t="str">
            <v>Geotêxtil não tecido RT-16 kn/m, fornecimento e aplicação em Vias Urbanas</v>
          </cell>
          <cell r="C1412" t="str">
            <v>m²</v>
          </cell>
          <cell r="D1412">
            <v>8.86</v>
          </cell>
          <cell r="E1412">
            <v>0</v>
          </cell>
          <cell r="F1412" t="e">
            <v>#N/A</v>
          </cell>
          <cell r="G1412" t="e">
            <v>#N/A</v>
          </cell>
        </row>
        <row r="1413">
          <cell r="A1413">
            <v>43011</v>
          </cell>
          <cell r="B1413" t="str">
            <v>Geotêxtil não-tecido com resistência longitudinal a tração 10kN/m, fornecimento e aplicação em Vias Urbanas</v>
          </cell>
          <cell r="C1413" t="str">
            <v>m²</v>
          </cell>
          <cell r="D1413">
            <v>6.54</v>
          </cell>
          <cell r="E1413">
            <v>0</v>
          </cell>
          <cell r="F1413" t="e">
            <v>#N/A</v>
          </cell>
          <cell r="G1413" t="e">
            <v>#N/A</v>
          </cell>
        </row>
        <row r="1414">
          <cell r="A1414">
            <v>43003</v>
          </cell>
          <cell r="B1414" t="str">
            <v>Lastro de brita, inclusive transporte da brita em Vias Urbanas</v>
          </cell>
          <cell r="C1414" t="str">
            <v>m³</v>
          </cell>
          <cell r="D1414">
            <v>111.92</v>
          </cell>
          <cell r="E1414" t="str">
            <v>A incluir</v>
          </cell>
          <cell r="F1414" t="e">
            <v>#N/A</v>
          </cell>
          <cell r="G1414" t="e">
            <v>#N/A</v>
          </cell>
        </row>
        <row r="1415">
          <cell r="A1415">
            <v>43004</v>
          </cell>
          <cell r="B1415" t="str">
            <v>Limpeza e apicoamento manual de superfície de rocha em Vias Urbanas</v>
          </cell>
          <cell r="C1415" t="str">
            <v>m²</v>
          </cell>
          <cell r="D1415">
            <v>35.090000000000003</v>
          </cell>
          <cell r="E1415">
            <v>0</v>
          </cell>
          <cell r="F1415" t="e">
            <v>#N/A</v>
          </cell>
          <cell r="G1415" t="e">
            <v>#N/A</v>
          </cell>
        </row>
        <row r="1416">
          <cell r="A1416">
            <v>43005</v>
          </cell>
          <cell r="B1416" t="str">
            <v>Limpeza e desobstrução de BDTC e BDCC em Vias Urbanas</v>
          </cell>
          <cell r="C1416" t="str">
            <v>m</v>
          </cell>
          <cell r="D1416">
            <v>32.03</v>
          </cell>
          <cell r="E1416">
            <v>0</v>
          </cell>
          <cell r="F1416" t="e">
            <v>#N/A</v>
          </cell>
          <cell r="G1416" t="e">
            <v>#N/A</v>
          </cell>
        </row>
        <row r="1417">
          <cell r="A1417">
            <v>43006</v>
          </cell>
          <cell r="B1417" t="str">
            <v>Limpeza e desobstrução de BQTC em Vias Urbanas</v>
          </cell>
          <cell r="C1417" t="str">
            <v>m</v>
          </cell>
          <cell r="D1417">
            <v>51.8</v>
          </cell>
          <cell r="E1417">
            <v>0</v>
          </cell>
          <cell r="F1417" t="e">
            <v>#N/A</v>
          </cell>
          <cell r="G1417" t="e">
            <v>#N/A</v>
          </cell>
        </row>
        <row r="1418">
          <cell r="A1418">
            <v>43007</v>
          </cell>
          <cell r="B1418" t="str">
            <v>Limpeza e desobstrução de BSTC e BSCC em Vias Urbanas</v>
          </cell>
          <cell r="C1418" t="str">
            <v>m</v>
          </cell>
          <cell r="D1418">
            <v>16.850000000000001</v>
          </cell>
          <cell r="E1418">
            <v>0</v>
          </cell>
          <cell r="F1418" t="e">
            <v>#N/A</v>
          </cell>
          <cell r="G1418" t="e">
            <v>#N/A</v>
          </cell>
        </row>
        <row r="1419">
          <cell r="A1419">
            <v>43008</v>
          </cell>
          <cell r="B1419" t="str">
            <v>Limpeza e desobstrução de BTTC e BTCC em Vias Urbanas</v>
          </cell>
          <cell r="C1419" t="str">
            <v>m</v>
          </cell>
          <cell r="D1419">
            <v>47.22</v>
          </cell>
          <cell r="E1419">
            <v>0</v>
          </cell>
          <cell r="F1419" t="e">
            <v>#N/A</v>
          </cell>
          <cell r="G1419" t="e">
            <v>#N/A</v>
          </cell>
        </row>
        <row r="1420">
          <cell r="A1420">
            <v>43009</v>
          </cell>
          <cell r="B1420" t="str">
            <v>Limpeza e preparo de superfície de aço em Vias Urbanas</v>
          </cell>
          <cell r="C1420" t="str">
            <v>m²</v>
          </cell>
          <cell r="D1420">
            <v>89.34</v>
          </cell>
          <cell r="E1420">
            <v>0</v>
          </cell>
          <cell r="F1420" t="e">
            <v>#N/A</v>
          </cell>
          <cell r="G1420" t="e">
            <v>#N/A</v>
          </cell>
        </row>
        <row r="1421">
          <cell r="A1421">
            <v>43018</v>
          </cell>
          <cell r="B1421" t="str">
            <v>Meio fio de concreto pré-moldado (12 x 30 x 15) cm, inclusive caiação e transporte do meio fio em Vias Urbanas</v>
          </cell>
          <cell r="C1421" t="str">
            <v>m</v>
          </cell>
          <cell r="D1421">
            <v>52.74</v>
          </cell>
          <cell r="E1421" t="str">
            <v>A incluir</v>
          </cell>
          <cell r="F1421" t="e">
            <v>#N/A</v>
          </cell>
          <cell r="G1421" t="e">
            <v>#N/A</v>
          </cell>
        </row>
        <row r="1422">
          <cell r="A1422">
            <v>43016</v>
          </cell>
          <cell r="B1422" t="str">
            <v>Meio fio de concreto pré-moldado (1,20 m x 0,12 m x 0,15 m x 0,30 m),exclusive transporte, em Vias Urbanas</v>
          </cell>
          <cell r="C1422" t="str">
            <v>m</v>
          </cell>
          <cell r="D1422">
            <v>52</v>
          </cell>
          <cell r="E1422">
            <v>0</v>
          </cell>
          <cell r="F1422" t="e">
            <v>#N/A</v>
          </cell>
          <cell r="G1422" t="e">
            <v>#N/A</v>
          </cell>
        </row>
        <row r="1423">
          <cell r="A1423">
            <v>43019</v>
          </cell>
          <cell r="B1423" t="str">
            <v>Meio fio de pedra (fornecimento e assentamento), inclusive caiação e transporte do meio fio em Vias Urbanas</v>
          </cell>
          <cell r="C1423" t="str">
            <v>m</v>
          </cell>
          <cell r="D1423">
            <v>57.65</v>
          </cell>
          <cell r="E1423" t="str">
            <v>A incluir</v>
          </cell>
          <cell r="F1423" t="e">
            <v>#N/A</v>
          </cell>
          <cell r="G1423" t="e">
            <v>#N/A</v>
          </cell>
        </row>
        <row r="1424">
          <cell r="A1424">
            <v>43026</v>
          </cell>
          <cell r="B1424" t="str">
            <v>Montagem e desmontagem de escoramento tubular normal, em obras de arte na densidade de 5m de tubo por m³ de escoramento em Vias Urbanas</v>
          </cell>
          <cell r="C1424" t="str">
            <v>m</v>
          </cell>
          <cell r="D1424">
            <v>20.36</v>
          </cell>
          <cell r="E1424">
            <v>0</v>
          </cell>
          <cell r="F1424" t="e">
            <v>#N/A</v>
          </cell>
          <cell r="G1424" t="e">
            <v>#N/A</v>
          </cell>
        </row>
        <row r="1425">
          <cell r="A1425">
            <v>43033</v>
          </cell>
          <cell r="B1425" t="str">
            <v>Muro de testa em concreto para saída de dreno profundo em rocha, inclusive transporte do tubo em Vias Urbanas</v>
          </cell>
          <cell r="C1425" t="str">
            <v>un</v>
          </cell>
          <cell r="D1425">
            <v>1049.93</v>
          </cell>
          <cell r="E1425" t="str">
            <v>A incluir</v>
          </cell>
          <cell r="F1425" t="e">
            <v>#N/A</v>
          </cell>
          <cell r="G1425" t="e">
            <v>#N/A</v>
          </cell>
        </row>
        <row r="1426">
          <cell r="A1426">
            <v>43037</v>
          </cell>
          <cell r="B1426" t="str">
            <v>Pedra de mão p/ (concreto ciclópico ou alvenaria) rocha paga em medição em Vias Urbanas</v>
          </cell>
          <cell r="C1426" t="str">
            <v>m³</v>
          </cell>
          <cell r="D1426">
            <v>50.56</v>
          </cell>
          <cell r="E1426">
            <v>0</v>
          </cell>
          <cell r="F1426" t="e">
            <v>#N/A</v>
          </cell>
          <cell r="G1426" t="e">
            <v>#N/A</v>
          </cell>
        </row>
        <row r="1427">
          <cell r="A1427">
            <v>43038</v>
          </cell>
          <cell r="B1427" t="str">
            <v>Pescoço de poço de visita H-&gt;0,30m, diâm. -&gt; 0,60 m, fornecimento, assentamento e transporte em Vias Urbanas</v>
          </cell>
          <cell r="C1427" t="str">
            <v>un</v>
          </cell>
          <cell r="D1427">
            <v>135.66999999999999</v>
          </cell>
          <cell r="E1427" t="str">
            <v>A incluir</v>
          </cell>
          <cell r="F1427" t="e">
            <v>#N/A</v>
          </cell>
          <cell r="G1427" t="e">
            <v>#N/A</v>
          </cell>
        </row>
        <row r="1428">
          <cell r="A1428">
            <v>43039</v>
          </cell>
          <cell r="B1428" t="str">
            <v>Pintura com nata de cimento em Vias Urbanas</v>
          </cell>
          <cell r="C1428" t="str">
            <v>m²</v>
          </cell>
          <cell r="D1428">
            <v>4.92</v>
          </cell>
          <cell r="E1428">
            <v>0</v>
          </cell>
          <cell r="F1428" t="e">
            <v>#N/A</v>
          </cell>
          <cell r="G1428" t="e">
            <v>#N/A</v>
          </cell>
        </row>
        <row r="1429">
          <cell r="A1429">
            <v>43040</v>
          </cell>
          <cell r="B1429" t="str">
            <v>Pintura interna ou externa sobre ferro, com tinta a base de resina de borracha clorada em Vias Urbanas</v>
          </cell>
          <cell r="C1429" t="str">
            <v>m²</v>
          </cell>
          <cell r="D1429">
            <v>44.74</v>
          </cell>
          <cell r="E1429">
            <v>0</v>
          </cell>
          <cell r="F1429" t="e">
            <v>#N/A</v>
          </cell>
          <cell r="G1429" t="e">
            <v>#N/A</v>
          </cell>
        </row>
        <row r="1430">
          <cell r="A1430">
            <v>43042</v>
          </cell>
          <cell r="B1430" t="str">
            <v>Plataforma ou passarela de pinho de 1ª ou similar, 1" x 12", em Vias Urbanas</v>
          </cell>
          <cell r="C1430" t="str">
            <v>m²</v>
          </cell>
          <cell r="D1430">
            <v>2.74</v>
          </cell>
          <cell r="E1430">
            <v>0</v>
          </cell>
          <cell r="F1430" t="e">
            <v>#N/A</v>
          </cell>
          <cell r="G1430" t="e">
            <v>#N/A</v>
          </cell>
        </row>
        <row r="1431">
          <cell r="A1431">
            <v>43043</v>
          </cell>
          <cell r="B1431" t="str">
            <v>Poço de visita em bloco pré-moldado para d-&gt;0,30 e 0,40 m (0,80 x 0,8 0m), em Vias Urbanas</v>
          </cell>
          <cell r="C1431" t="str">
            <v>un</v>
          </cell>
          <cell r="D1431">
            <v>2245.9299999999998</v>
          </cell>
          <cell r="E1431">
            <v>0</v>
          </cell>
          <cell r="F1431" t="e">
            <v>#N/A</v>
          </cell>
          <cell r="G1431" t="e">
            <v>#N/A</v>
          </cell>
        </row>
        <row r="1432">
          <cell r="A1432">
            <v>43044</v>
          </cell>
          <cell r="B1432" t="str">
            <v>Poço de visita em bloco pré-moldado para d-&gt;0,60 m (1,00 x 1,00 m), em Vias Urbanas</v>
          </cell>
          <cell r="C1432" t="str">
            <v>un</v>
          </cell>
          <cell r="D1432">
            <v>2627.06</v>
          </cell>
          <cell r="E1432">
            <v>0</v>
          </cell>
          <cell r="F1432" t="e">
            <v>#N/A</v>
          </cell>
          <cell r="G1432" t="e">
            <v>#N/A</v>
          </cell>
        </row>
        <row r="1433">
          <cell r="A1433">
            <v>41169</v>
          </cell>
          <cell r="B1433" t="str">
            <v>Poço de visita em bloco pré-moldado para d-&gt;0,80m (1,20x1,20m), em Vias Urbanas</v>
          </cell>
          <cell r="C1433" t="str">
            <v>un</v>
          </cell>
          <cell r="D1433">
            <v>3131.56</v>
          </cell>
          <cell r="E1433">
            <v>0</v>
          </cell>
          <cell r="F1433" t="e">
            <v>#N/A</v>
          </cell>
          <cell r="G1433" t="e">
            <v>#N/A</v>
          </cell>
        </row>
        <row r="1434">
          <cell r="A1434">
            <v>41170</v>
          </cell>
          <cell r="B1434" t="str">
            <v>Poço de visita em bloco pré-moldado para d-&gt;1,00m (1,30x1,30m) (Vias Urbanas)</v>
          </cell>
          <cell r="C1434" t="str">
            <v>un</v>
          </cell>
          <cell r="D1434">
            <v>3458.61</v>
          </cell>
          <cell r="E1434">
            <v>0</v>
          </cell>
          <cell r="F1434" t="e">
            <v>#N/A</v>
          </cell>
          <cell r="G1434" t="e">
            <v>#N/A</v>
          </cell>
        </row>
        <row r="1435">
          <cell r="A1435">
            <v>41171</v>
          </cell>
          <cell r="B1435" t="str">
            <v>Poço de visita em bloco pré-moldado para d-&gt;1,20m (1,50x1,50m), em Vias Urbanas</v>
          </cell>
          <cell r="C1435" t="str">
            <v>un</v>
          </cell>
          <cell r="D1435">
            <v>4157.53</v>
          </cell>
          <cell r="E1435">
            <v>0</v>
          </cell>
          <cell r="F1435" t="e">
            <v>#N/A</v>
          </cell>
          <cell r="G1435" t="e">
            <v>#N/A</v>
          </cell>
        </row>
        <row r="1436">
          <cell r="A1436">
            <v>43046</v>
          </cell>
          <cell r="B1436" t="str">
            <v>Poço de Visita para BSTC diâm. 0,40 m em blocos de concreto, em Vias Urbanas</v>
          </cell>
          <cell r="C1436" t="str">
            <v>un</v>
          </cell>
          <cell r="D1436">
            <v>1253.93</v>
          </cell>
          <cell r="E1436">
            <v>0</v>
          </cell>
          <cell r="F1436" t="e">
            <v>#N/A</v>
          </cell>
          <cell r="G1436" t="e">
            <v>#N/A</v>
          </cell>
        </row>
        <row r="1437">
          <cell r="A1437">
            <v>43047</v>
          </cell>
          <cell r="B1437" t="str">
            <v>Poço de visita para BSTC diâm. 0,60 m em blocos de concreto, em Vias Urbanas</v>
          </cell>
          <cell r="C1437" t="str">
            <v>un</v>
          </cell>
          <cell r="D1437">
            <v>1661.37</v>
          </cell>
          <cell r="E1437">
            <v>0</v>
          </cell>
          <cell r="F1437">
            <v>1777.89</v>
          </cell>
          <cell r="G1437">
            <v>1.0701348886762101</v>
          </cell>
        </row>
        <row r="1438">
          <cell r="A1438">
            <v>43048</v>
          </cell>
          <cell r="B1438" t="str">
            <v>Poço de visita para BSTC diâm. 0,80 m em blocos de concreto, em Vias Urbanas</v>
          </cell>
          <cell r="C1438" t="str">
            <v>un</v>
          </cell>
          <cell r="D1438">
            <v>2057.81</v>
          </cell>
          <cell r="E1438">
            <v>0</v>
          </cell>
          <cell r="F1438">
            <v>2207.39</v>
          </cell>
          <cell r="G1438">
            <v>1.0726889265772801</v>
          </cell>
        </row>
        <row r="1439">
          <cell r="A1439">
            <v>43050</v>
          </cell>
          <cell r="B1439" t="str">
            <v>Poço de visita (tubo D-&gt;0,40 m) H-&gt;1,50 m com tampão F.F.A.P., inclusive escavação e transporte do tampão, em Vias Urbanas</v>
          </cell>
          <cell r="C1439" t="str">
            <v>un</v>
          </cell>
          <cell r="D1439">
            <v>3491.63</v>
          </cell>
          <cell r="E1439" t="str">
            <v>A incluir</v>
          </cell>
          <cell r="F1439" t="e">
            <v>#N/A</v>
          </cell>
          <cell r="G1439" t="e">
            <v>#N/A</v>
          </cell>
        </row>
        <row r="1440">
          <cell r="A1440">
            <v>43051</v>
          </cell>
          <cell r="B1440" t="str">
            <v>Poço de visita (tubo D-&gt;0,60 m) H-&gt;1,70 m com tampão F.F.A.P., inclusive escavação e transporte do tampão, em Vias Urbanas</v>
          </cell>
          <cell r="C1440" t="str">
            <v>un</v>
          </cell>
          <cell r="D1440">
            <v>3880.31</v>
          </cell>
          <cell r="E1440" t="str">
            <v>A incluir</v>
          </cell>
          <cell r="F1440" t="e">
            <v>#N/A</v>
          </cell>
          <cell r="G1440" t="e">
            <v>#N/A</v>
          </cell>
        </row>
        <row r="1441">
          <cell r="A1441">
            <v>43052</v>
          </cell>
          <cell r="B1441" t="str">
            <v>Poço de visita (tubo D-&gt;0,80 m) H-&gt;1,90 m com tampão F.F.A.P., inclusive escavação e transporte do tampão, em Vias Urbanas</v>
          </cell>
          <cell r="C1441" t="str">
            <v>un</v>
          </cell>
          <cell r="D1441">
            <v>4269.01</v>
          </cell>
          <cell r="E1441" t="str">
            <v>A incluir</v>
          </cell>
          <cell r="F1441" t="e">
            <v>#N/A</v>
          </cell>
          <cell r="G1441" t="e">
            <v>#N/A</v>
          </cell>
        </row>
        <row r="1442">
          <cell r="A1442">
            <v>43053</v>
          </cell>
          <cell r="B1442" t="str">
            <v>Poço de visita (tubo D-&gt;1,00 m) H-&gt;2,10 m com tampão F.F.A.P., inclusive escavação e transporte do tampão, em Vias Urbanas</v>
          </cell>
          <cell r="C1442" t="str">
            <v>un</v>
          </cell>
          <cell r="D1442">
            <v>4657.6899999999996</v>
          </cell>
          <cell r="E1442" t="str">
            <v>A incluir</v>
          </cell>
          <cell r="F1442">
            <v>5374.49</v>
          </cell>
          <cell r="G1442">
            <v>1.1538960300062899</v>
          </cell>
        </row>
        <row r="1443">
          <cell r="A1443">
            <v>43054</v>
          </cell>
          <cell r="B1443" t="str">
            <v>Preparo manual de talude, compreendendo acerto, raspagem eventual de até 0,30 m de prof. e afastamento lateral, em Vias Urbanas</v>
          </cell>
          <cell r="C1443" t="str">
            <v>m²</v>
          </cell>
          <cell r="D1443">
            <v>9.69</v>
          </cell>
          <cell r="E1443">
            <v>0</v>
          </cell>
          <cell r="F1443" t="e">
            <v>#N/A</v>
          </cell>
          <cell r="G1443" t="e">
            <v>#N/A</v>
          </cell>
        </row>
        <row r="1444">
          <cell r="A1444">
            <v>43055</v>
          </cell>
          <cell r="B1444" t="str">
            <v>Preparo manual de terreno, compreendendo acerto raspagem até 25 cm de profundidade e afastamento lateral do material excedente, em Vias Urbanas</v>
          </cell>
          <cell r="C1444" t="str">
            <v>m²</v>
          </cell>
          <cell r="D1444">
            <v>7.81</v>
          </cell>
          <cell r="E1444">
            <v>0</v>
          </cell>
          <cell r="F1444" t="e">
            <v>#N/A</v>
          </cell>
          <cell r="G1444" t="e">
            <v>#N/A</v>
          </cell>
        </row>
        <row r="1445">
          <cell r="A1445">
            <v>43056</v>
          </cell>
          <cell r="B1445" t="str">
            <v>Reaterro com areia, tudo incluído, em Vias Urbanas</v>
          </cell>
          <cell r="C1445" t="str">
            <v>m³</v>
          </cell>
          <cell r="D1445">
            <v>73.2</v>
          </cell>
          <cell r="E1445" t="str">
            <v>A incluir</v>
          </cell>
          <cell r="F1445" t="e">
            <v>#N/A</v>
          </cell>
          <cell r="G1445" t="e">
            <v>#N/A</v>
          </cell>
        </row>
        <row r="1446">
          <cell r="A1446">
            <v>43058</v>
          </cell>
          <cell r="B1446" t="str">
            <v>Reaterro de cavas c/ compactação manual (apiloamento) (dim. reduz.), em Vias Urbanas</v>
          </cell>
          <cell r="C1446" t="str">
            <v>m³</v>
          </cell>
          <cell r="D1446">
            <v>88.25</v>
          </cell>
          <cell r="E1446">
            <v>0</v>
          </cell>
          <cell r="F1446" t="e">
            <v>#N/A</v>
          </cell>
          <cell r="G1446" t="e">
            <v>#N/A</v>
          </cell>
        </row>
        <row r="1447">
          <cell r="A1447">
            <v>43057</v>
          </cell>
          <cell r="B1447" t="str">
            <v>Reaterro de cavas c/ compactação manual (apiloamento) em Vias Urbanas</v>
          </cell>
          <cell r="C1447" t="str">
            <v>m³</v>
          </cell>
          <cell r="D1447">
            <v>60.84</v>
          </cell>
          <cell r="E1447">
            <v>0</v>
          </cell>
          <cell r="F1447" t="e">
            <v>#N/A</v>
          </cell>
          <cell r="G1447" t="e">
            <v>#N/A</v>
          </cell>
        </row>
        <row r="1448">
          <cell r="A1448">
            <v>43059</v>
          </cell>
          <cell r="B1448" t="str">
            <v>Reaterro de cavas c/ compactação mecânica (compactador manual), em Vias Urbanas</v>
          </cell>
          <cell r="C1448" t="str">
            <v>m³</v>
          </cell>
          <cell r="D1448">
            <v>38.909999999999997</v>
          </cell>
          <cell r="E1448">
            <v>0</v>
          </cell>
          <cell r="F1448" t="e">
            <v>#N/A</v>
          </cell>
          <cell r="G1448" t="e">
            <v>#N/A</v>
          </cell>
        </row>
        <row r="1449">
          <cell r="A1449">
            <v>43060</v>
          </cell>
          <cell r="B1449" t="str">
            <v>Recuperação de poço de visita inclusive fornecimento tampão F.F.A.P., em Vias Urbanas</v>
          </cell>
          <cell r="C1449" t="str">
            <v>un</v>
          </cell>
          <cell r="D1449">
            <v>573.05999999999995</v>
          </cell>
          <cell r="E1449" t="str">
            <v>A incluir</v>
          </cell>
          <cell r="F1449" t="e">
            <v>#N/A</v>
          </cell>
          <cell r="G1449" t="e">
            <v>#N/A</v>
          </cell>
        </row>
        <row r="1450">
          <cell r="A1450">
            <v>41183</v>
          </cell>
          <cell r="B1450" t="str">
            <v>Rede de dutos - Vias Urbanas</v>
          </cell>
          <cell r="C1450" t="str">
            <v>m</v>
          </cell>
          <cell r="D1450">
            <v>75.69</v>
          </cell>
          <cell r="E1450">
            <v>0</v>
          </cell>
          <cell r="F1450" t="e">
            <v>#N/A</v>
          </cell>
          <cell r="G1450" t="e">
            <v>#N/A</v>
          </cell>
        </row>
        <row r="1451">
          <cell r="A1451">
            <v>43061</v>
          </cell>
          <cell r="B1451" t="str">
            <v>Rede de dutos 65mm (duplo), envelopada com brita 3, em Vias Urbanas</v>
          </cell>
          <cell r="C1451" t="str">
            <v>m</v>
          </cell>
          <cell r="D1451">
            <v>86.63</v>
          </cell>
          <cell r="E1451">
            <v>0</v>
          </cell>
          <cell r="F1451" t="e">
            <v>#N/A</v>
          </cell>
          <cell r="G1451" t="e">
            <v>#N/A</v>
          </cell>
        </row>
        <row r="1452">
          <cell r="A1452">
            <v>43062</v>
          </cell>
          <cell r="B1452" t="str">
            <v>Rede em PVC Vinilfort ou similar DN -&gt; 200 mm, em Vias Urbanas</v>
          </cell>
          <cell r="C1452" t="str">
            <v>m</v>
          </cell>
          <cell r="D1452">
            <v>247.91</v>
          </cell>
          <cell r="E1452">
            <v>0</v>
          </cell>
          <cell r="F1452" t="e">
            <v>#N/A</v>
          </cell>
          <cell r="G1452" t="e">
            <v>#N/A</v>
          </cell>
        </row>
        <row r="1453">
          <cell r="A1453">
            <v>43064</v>
          </cell>
          <cell r="B1453" t="str">
            <v>Religação de rede de água em PVC DN 20 mm, inclusive conexões, em Vias Urbanas</v>
          </cell>
          <cell r="C1453" t="str">
            <v>m</v>
          </cell>
          <cell r="D1453">
            <v>17.43</v>
          </cell>
          <cell r="E1453">
            <v>0</v>
          </cell>
          <cell r="F1453" t="e">
            <v>#N/A</v>
          </cell>
          <cell r="G1453" t="e">
            <v>#N/A</v>
          </cell>
        </row>
        <row r="1454">
          <cell r="A1454">
            <v>43065</v>
          </cell>
          <cell r="B1454" t="str">
            <v>Religação de rede de água em PVC DN 25 mm, inclusive conexões, em Vias Urbanas</v>
          </cell>
          <cell r="C1454" t="str">
            <v>m</v>
          </cell>
          <cell r="D1454">
            <v>21.18</v>
          </cell>
          <cell r="E1454">
            <v>0</v>
          </cell>
          <cell r="F1454" t="e">
            <v>#N/A</v>
          </cell>
          <cell r="G1454" t="e">
            <v>#N/A</v>
          </cell>
        </row>
        <row r="1455">
          <cell r="A1455">
            <v>43066</v>
          </cell>
          <cell r="B1455" t="str">
            <v>Religação de rede de água em PVC DN 32 mm, inclusive conexões, em Vias Urbanas</v>
          </cell>
          <cell r="C1455" t="str">
            <v>m</v>
          </cell>
          <cell r="D1455">
            <v>27.04</v>
          </cell>
          <cell r="E1455">
            <v>0</v>
          </cell>
          <cell r="F1455" t="e">
            <v>#N/A</v>
          </cell>
          <cell r="G1455" t="e">
            <v>#N/A</v>
          </cell>
        </row>
        <row r="1456">
          <cell r="A1456">
            <v>43067</v>
          </cell>
          <cell r="B1456" t="str">
            <v>Religação de rede de água em PVC DN 75 mm, inclusive conexões, em Vias Urbanas</v>
          </cell>
          <cell r="C1456" t="str">
            <v>m</v>
          </cell>
          <cell r="D1456">
            <v>55.68</v>
          </cell>
          <cell r="E1456">
            <v>0</v>
          </cell>
          <cell r="F1456" t="e">
            <v>#N/A</v>
          </cell>
          <cell r="G1456" t="e">
            <v>#N/A</v>
          </cell>
        </row>
        <row r="1457">
          <cell r="A1457">
            <v>43063</v>
          </cell>
          <cell r="B1457" t="str">
            <v>Religação de rede de água em PVC PBA CL 15 DN 100 mm, inclusive conexões, em Vias Urbanas</v>
          </cell>
          <cell r="C1457" t="str">
            <v>m</v>
          </cell>
          <cell r="D1457">
            <v>91.31</v>
          </cell>
          <cell r="E1457">
            <v>0</v>
          </cell>
          <cell r="F1457" t="e">
            <v>#N/A</v>
          </cell>
          <cell r="G1457" t="e">
            <v>#N/A</v>
          </cell>
        </row>
        <row r="1458">
          <cell r="A1458">
            <v>43068</v>
          </cell>
          <cell r="B1458" t="str">
            <v>Remanejamento de ligação e religação de redes de esgoto, em Vias Urbanas</v>
          </cell>
          <cell r="C1458" t="str">
            <v>m</v>
          </cell>
          <cell r="D1458">
            <v>70.44</v>
          </cell>
          <cell r="E1458">
            <v>0</v>
          </cell>
          <cell r="F1458" t="e">
            <v>#N/A</v>
          </cell>
          <cell r="G1458" t="e">
            <v>#N/A</v>
          </cell>
        </row>
        <row r="1459">
          <cell r="A1459">
            <v>43069</v>
          </cell>
          <cell r="B1459" t="str">
            <v>Remoção de bueiros existentes, em Vias Urbanas</v>
          </cell>
          <cell r="C1459" t="str">
            <v>m</v>
          </cell>
          <cell r="D1459">
            <v>127.65</v>
          </cell>
          <cell r="E1459" t="str">
            <v>A incluir</v>
          </cell>
          <cell r="F1459" t="e">
            <v>#N/A</v>
          </cell>
          <cell r="G1459" t="e">
            <v>#N/A</v>
          </cell>
        </row>
        <row r="1460">
          <cell r="A1460">
            <v>43071</v>
          </cell>
          <cell r="B1460" t="str">
            <v>Rip-rap c/ argamassa cimento areia 1:6, inclusive aquisição e transporte dos materiais, em Vias Urbanas</v>
          </cell>
          <cell r="C1460" t="str">
            <v>m³</v>
          </cell>
          <cell r="D1460">
            <v>347.11</v>
          </cell>
          <cell r="E1460" t="str">
            <v>A incluir</v>
          </cell>
          <cell r="F1460" t="e">
            <v>#N/A</v>
          </cell>
          <cell r="G1460" t="e">
            <v>#N/A</v>
          </cell>
        </row>
        <row r="1461">
          <cell r="A1461">
            <v>43078</v>
          </cell>
          <cell r="B1461" t="str">
            <v>Sarjeta de concreto DP-1 (0,081 m³/m) calha triangular, inclusive caiação, em Vias Urbanas</v>
          </cell>
          <cell r="C1461" t="str">
            <v>m</v>
          </cell>
          <cell r="D1461">
            <v>84.67</v>
          </cell>
          <cell r="E1461">
            <v>0</v>
          </cell>
          <cell r="F1461" t="e">
            <v>#N/A</v>
          </cell>
          <cell r="G1461" t="e">
            <v>#N/A</v>
          </cell>
        </row>
        <row r="1462">
          <cell r="A1462">
            <v>43079</v>
          </cell>
          <cell r="B1462" t="str">
            <v>Sarjeta de concreto DP-2 (0,085 m³/m) calha triangular, inclusive caiação, em Vias Urbanas</v>
          </cell>
          <cell r="C1462" t="str">
            <v>m</v>
          </cell>
          <cell r="D1462">
            <v>88.35</v>
          </cell>
          <cell r="E1462">
            <v>0</v>
          </cell>
          <cell r="F1462" t="e">
            <v>#N/A</v>
          </cell>
          <cell r="G1462" t="e">
            <v>#N/A</v>
          </cell>
        </row>
        <row r="1463">
          <cell r="A1463">
            <v>43080</v>
          </cell>
          <cell r="B1463" t="str">
            <v>Sarjeta de concreto SCA 40/10 - em Vias Urbanas</v>
          </cell>
          <cell r="C1463" t="str">
            <v>m</v>
          </cell>
          <cell r="D1463">
            <v>74.44</v>
          </cell>
          <cell r="E1463" t="str">
            <v>A incluir</v>
          </cell>
          <cell r="F1463" t="e">
            <v>#N/A</v>
          </cell>
          <cell r="G1463" t="e">
            <v>#N/A</v>
          </cell>
        </row>
        <row r="1464">
          <cell r="A1464">
            <v>43081</v>
          </cell>
          <cell r="B1464" t="str">
            <v>Sarjeta de concreto (SCA 70/15) calha triangular, inclusive caiação, em Vias Urbanas</v>
          </cell>
          <cell r="C1464" t="str">
            <v>m</v>
          </cell>
          <cell r="D1464">
            <v>98.05</v>
          </cell>
          <cell r="E1464">
            <v>0</v>
          </cell>
          <cell r="F1464" t="e">
            <v>#N/A</v>
          </cell>
          <cell r="G1464" t="e">
            <v>#N/A</v>
          </cell>
        </row>
        <row r="1465">
          <cell r="A1465">
            <v>43085</v>
          </cell>
          <cell r="B1465" t="str">
            <v>Sarjeta de concreto (SCA 90/10) calha triangular, inclusive caiação, em Vias Urbanas</v>
          </cell>
          <cell r="C1465" t="str">
            <v>m</v>
          </cell>
          <cell r="D1465">
            <v>172.27</v>
          </cell>
          <cell r="E1465">
            <v>0</v>
          </cell>
          <cell r="F1465" t="e">
            <v>#N/A</v>
          </cell>
          <cell r="G1465" t="e">
            <v>#N/A</v>
          </cell>
        </row>
        <row r="1466">
          <cell r="A1466">
            <v>43083</v>
          </cell>
          <cell r="B1466" t="str">
            <v>Sarjeta de concreto (STC - 02) calha triangular em corte/aterro, inclusive caiação, em Vias Urbanas</v>
          </cell>
          <cell r="C1466" t="str">
            <v>m</v>
          </cell>
          <cell r="D1466">
            <v>82.7</v>
          </cell>
          <cell r="E1466">
            <v>0</v>
          </cell>
          <cell r="F1466" t="e">
            <v>#N/A</v>
          </cell>
          <cell r="G1466" t="e">
            <v>#N/A</v>
          </cell>
        </row>
        <row r="1467">
          <cell r="A1467">
            <v>43084</v>
          </cell>
          <cell r="B1467" t="str">
            <v>Sarjeta de concreto (STC - 04) calha triangular de bancada em corte, inclusive caiação, em Vias Urbanas</v>
          </cell>
          <cell r="C1467" t="str">
            <v>m</v>
          </cell>
          <cell r="D1467">
            <v>62</v>
          </cell>
          <cell r="E1467">
            <v>0</v>
          </cell>
          <cell r="F1467" t="e">
            <v>#N/A</v>
          </cell>
          <cell r="G1467" t="e">
            <v>#N/A</v>
          </cell>
        </row>
        <row r="1468">
          <cell r="A1468">
            <v>43086</v>
          </cell>
          <cell r="B1468" t="str">
            <v>Tampa de concreto em grelha, fornecimento, assentamento e transporte, em Vias Urbanas</v>
          </cell>
          <cell r="C1468" t="str">
            <v>un</v>
          </cell>
          <cell r="D1468">
            <v>233.29</v>
          </cell>
          <cell r="E1468" t="str">
            <v>A incluir</v>
          </cell>
          <cell r="F1468" t="e">
            <v>#N/A</v>
          </cell>
          <cell r="G1468" t="e">
            <v>#N/A</v>
          </cell>
        </row>
        <row r="1469">
          <cell r="A1469">
            <v>43087</v>
          </cell>
          <cell r="B1469" t="str">
            <v>Tampão F.F.A.P. com 100 kg, fornecimento, assentamento e transporte em Vias Urbanas</v>
          </cell>
          <cell r="C1469" t="str">
            <v>un</v>
          </cell>
          <cell r="D1469">
            <v>324.58999999999997</v>
          </cell>
          <cell r="E1469" t="str">
            <v>A incluir</v>
          </cell>
          <cell r="F1469" t="e">
            <v>#N/A</v>
          </cell>
          <cell r="G1469" t="e">
            <v>#N/A</v>
          </cell>
        </row>
        <row r="1470">
          <cell r="A1470">
            <v>43089</v>
          </cell>
          <cell r="B1470" t="str">
            <v>Tapume de vedação e proteção, executado com chapas de compensado resinado com 6 mm de espessura, exclusive pintura, em Vias Urbanas</v>
          </cell>
          <cell r="C1470" t="str">
            <v>m²</v>
          </cell>
          <cell r="D1470">
            <v>38.520000000000003</v>
          </cell>
          <cell r="E1470">
            <v>0</v>
          </cell>
          <cell r="F1470" t="e">
            <v>#N/A</v>
          </cell>
          <cell r="G1470" t="e">
            <v>#N/A</v>
          </cell>
        </row>
        <row r="1471">
          <cell r="A1471">
            <v>43090</v>
          </cell>
          <cell r="B1471" t="str">
            <v>Tela de aço soldada Telcon Q-138 ou similar, fornecimento e assentamento em Vias Urbanas</v>
          </cell>
          <cell r="C1471" t="str">
            <v>m²</v>
          </cell>
          <cell r="D1471">
            <v>30.54</v>
          </cell>
          <cell r="E1471">
            <v>0</v>
          </cell>
          <cell r="F1471" t="e">
            <v>#N/A</v>
          </cell>
          <cell r="G1471" t="e">
            <v>#N/A</v>
          </cell>
        </row>
        <row r="1472">
          <cell r="A1472">
            <v>43088</v>
          </cell>
          <cell r="B1472" t="str">
            <v>Tapume com tela em PVC, na cor laranja para proteção de segurança em Vias Urbanas</v>
          </cell>
          <cell r="C1472" t="str">
            <v>m</v>
          </cell>
          <cell r="D1472">
            <v>23.21</v>
          </cell>
          <cell r="E1472" t="str">
            <v>A incluir</v>
          </cell>
          <cell r="F1472" t="e">
            <v>#N/A</v>
          </cell>
          <cell r="G1472" t="e">
            <v>#N/A</v>
          </cell>
        </row>
        <row r="1473">
          <cell r="A1473">
            <v>43091</v>
          </cell>
          <cell r="B1473" t="str">
            <v>Terminal de dreno de alívio de pavimento (DP - TDA - 01) em Vias Urbanas</v>
          </cell>
          <cell r="C1473" t="str">
            <v>un</v>
          </cell>
          <cell r="D1473">
            <v>347.49</v>
          </cell>
          <cell r="E1473" t="str">
            <v>A incluir</v>
          </cell>
          <cell r="F1473" t="e">
            <v>#N/A</v>
          </cell>
          <cell r="G1473" t="e">
            <v>#N/A</v>
          </cell>
        </row>
        <row r="1474">
          <cell r="A1474">
            <v>43092</v>
          </cell>
          <cell r="B1474" t="str">
            <v>Transporte de materiais encosta abaixo, serviço manual, inclusive carga e descarga em Vias Urbanas</v>
          </cell>
          <cell r="C1474" t="str">
            <v>t dam</v>
          </cell>
          <cell r="D1474">
            <v>22.16</v>
          </cell>
          <cell r="E1474">
            <v>0</v>
          </cell>
          <cell r="F1474" t="e">
            <v>#N/A</v>
          </cell>
          <cell r="G1474" t="e">
            <v>#N/A</v>
          </cell>
        </row>
        <row r="1475">
          <cell r="A1475">
            <v>43093</v>
          </cell>
          <cell r="B1475" t="str">
            <v>Transporte de materiais encosta acima, serviço manual, inclusive carga e descarga em Vias Urbanas</v>
          </cell>
          <cell r="C1475" t="str">
            <v>t dam</v>
          </cell>
          <cell r="D1475">
            <v>29.99</v>
          </cell>
          <cell r="E1475">
            <v>0</v>
          </cell>
          <cell r="F1475" t="e">
            <v>#N/A</v>
          </cell>
          <cell r="G1475" t="e">
            <v>#N/A</v>
          </cell>
        </row>
        <row r="1476">
          <cell r="A1476">
            <v>43094</v>
          </cell>
          <cell r="B1476" t="str">
            <v>Transposição de segmento de sarjeta - TSS 01, inclusive transporte do tubo de concreto em Vias Urbanas</v>
          </cell>
          <cell r="C1476" t="str">
            <v>m</v>
          </cell>
          <cell r="D1476">
            <v>290.38</v>
          </cell>
          <cell r="E1476" t="str">
            <v>A incluir</v>
          </cell>
          <cell r="F1476" t="e">
            <v>#N/A</v>
          </cell>
          <cell r="G1476" t="e">
            <v>#N/A</v>
          </cell>
        </row>
        <row r="1477">
          <cell r="A1477">
            <v>43095</v>
          </cell>
          <cell r="B1477" t="str">
            <v>Trincheira drenante cega (0,50 x 1,70) m, com utilização de geotêxtil não tecido Rt-16 kn/m, inclusive transporte da brita em Vias Urbanas</v>
          </cell>
          <cell r="C1477" t="str">
            <v>m</v>
          </cell>
          <cell r="D1477">
            <v>379.84</v>
          </cell>
          <cell r="E1477" t="str">
            <v>A incluir</v>
          </cell>
          <cell r="F1477" t="e">
            <v>#N/A</v>
          </cell>
          <cell r="G1477" t="e">
            <v>#N/A</v>
          </cell>
        </row>
        <row r="1478">
          <cell r="A1478">
            <v>43096</v>
          </cell>
          <cell r="B1478" t="str">
            <v>Trincheira drenante em madeira em Vias Urbanas</v>
          </cell>
          <cell r="C1478" t="str">
            <v>m</v>
          </cell>
          <cell r="D1478">
            <v>498.02</v>
          </cell>
          <cell r="E1478">
            <v>0</v>
          </cell>
          <cell r="F1478" t="e">
            <v>#N/A</v>
          </cell>
          <cell r="G1478" t="e">
            <v>#N/A</v>
          </cell>
        </row>
        <row r="1479">
          <cell r="A1479">
            <v>43098</v>
          </cell>
          <cell r="B1479" t="str">
            <v>Tubo de PVC NBR 5648 diâmetro 50 mm, fornecimento e assentamento em Vias Urbanas</v>
          </cell>
          <cell r="C1479" t="str">
            <v>m</v>
          </cell>
          <cell r="D1479">
            <v>17.05</v>
          </cell>
          <cell r="E1479">
            <v>0</v>
          </cell>
          <cell r="F1479" t="e">
            <v>#N/A</v>
          </cell>
          <cell r="G1479" t="e">
            <v>#N/A</v>
          </cell>
        </row>
        <row r="1480">
          <cell r="A1480">
            <v>43097</v>
          </cell>
          <cell r="B1480" t="str">
            <v>Tubo de PVC NBR 5648 diâmetro 75 mm, fornecimento e assentamento em Vias Urbanas</v>
          </cell>
          <cell r="C1480" t="str">
            <v>m</v>
          </cell>
          <cell r="D1480">
            <v>25.6</v>
          </cell>
          <cell r="E1480">
            <v>0</v>
          </cell>
          <cell r="F1480" t="e">
            <v>#N/A</v>
          </cell>
          <cell r="G1480" t="e">
            <v>#N/A</v>
          </cell>
        </row>
        <row r="1481">
          <cell r="A1481">
            <v>43099</v>
          </cell>
          <cell r="B1481" t="str">
            <v>Tubo de PVC PBA diâmetro 300 mm, fornecimento e assentamento em Vias Urbanas</v>
          </cell>
          <cell r="C1481" t="str">
            <v>m</v>
          </cell>
          <cell r="D1481">
            <v>202.19</v>
          </cell>
          <cell r="E1481">
            <v>0</v>
          </cell>
          <cell r="F1481" t="e">
            <v>#N/A</v>
          </cell>
          <cell r="G1481" t="e">
            <v>#N/A</v>
          </cell>
        </row>
        <row r="1482">
          <cell r="A1482">
            <v>43100</v>
          </cell>
          <cell r="B1482" t="str">
            <v>Tubo de PVC rígido série R diâmetro 100 mm, fornecimento e assentamento em Vias Urbanas</v>
          </cell>
          <cell r="C1482" t="str">
            <v>m</v>
          </cell>
          <cell r="D1482">
            <v>27.76</v>
          </cell>
          <cell r="E1482">
            <v>0</v>
          </cell>
          <cell r="F1482" t="e">
            <v>#N/A</v>
          </cell>
          <cell r="G1482" t="e">
            <v>#N/A</v>
          </cell>
        </row>
        <row r="1483">
          <cell r="A1483">
            <v>43101</v>
          </cell>
          <cell r="B1483" t="str">
            <v>Tubo irrifort agropecuário diâmetro 32 mm, fornecimento e assentamento em Vias Urbanas</v>
          </cell>
          <cell r="C1483" t="str">
            <v>m</v>
          </cell>
          <cell r="D1483">
            <v>6.79</v>
          </cell>
          <cell r="E1483">
            <v>0</v>
          </cell>
          <cell r="F1483" t="e">
            <v>#N/A</v>
          </cell>
          <cell r="G1483" t="e">
            <v>#N/A</v>
          </cell>
        </row>
        <row r="1484">
          <cell r="A1484">
            <v>43102</v>
          </cell>
          <cell r="B1484" t="str">
            <v>Tubo para irrigação linha fixa PN40 50 mm, fornecimento e assentamento em Vias Urbanas</v>
          </cell>
          <cell r="C1484" t="str">
            <v>m</v>
          </cell>
          <cell r="D1484">
            <v>8.58</v>
          </cell>
          <cell r="E1484">
            <v>0</v>
          </cell>
          <cell r="F1484" t="e">
            <v>#N/A</v>
          </cell>
          <cell r="G1484" t="e">
            <v>#N/A</v>
          </cell>
        </row>
        <row r="1485">
          <cell r="A1485">
            <v>43103</v>
          </cell>
          <cell r="B1485" t="str">
            <v>Tubo PVC PBA diâmetro 150 mm, fornecimento e assentamento em Vias Urbanas</v>
          </cell>
          <cell r="C1485" t="str">
            <v>m</v>
          </cell>
          <cell r="D1485">
            <v>36.67</v>
          </cell>
          <cell r="E1485">
            <v>0</v>
          </cell>
          <cell r="F1485" t="e">
            <v>#N/A</v>
          </cell>
          <cell r="G1485" t="e">
            <v>#N/A</v>
          </cell>
        </row>
        <row r="1486">
          <cell r="A1486">
            <v>42614</v>
          </cell>
          <cell r="B1486" t="str">
            <v>Tubos de ferro fundido diâmetro 0,90 m, assentamento em Vias Urbanas</v>
          </cell>
          <cell r="C1486" t="str">
            <v>m</v>
          </cell>
          <cell r="D1486">
            <v>236.75</v>
          </cell>
          <cell r="E1486" t="str">
            <v>A incluir</v>
          </cell>
          <cell r="F1486" t="e">
            <v>#N/A</v>
          </cell>
          <cell r="G1486" t="e">
            <v>#N/A</v>
          </cell>
        </row>
        <row r="1487">
          <cell r="A1487">
            <v>43104</v>
          </cell>
          <cell r="B1487" t="str">
            <v>Tubos para irrigação Linha fixa PN40, diâmetro 75 mm, fornecimento e assentamento em Vias Urbanas</v>
          </cell>
          <cell r="C1487" t="str">
            <v>m</v>
          </cell>
          <cell r="D1487">
            <v>12.04</v>
          </cell>
          <cell r="E1487">
            <v>0</v>
          </cell>
          <cell r="F1487" t="e">
            <v>#N/A</v>
          </cell>
          <cell r="G1487" t="e">
            <v>#N/A</v>
          </cell>
        </row>
        <row r="1488">
          <cell r="A1488">
            <v>43105</v>
          </cell>
          <cell r="B1488" t="str">
            <v>Valeta de pedra argamassada VPAR em Vias Urbanas</v>
          </cell>
          <cell r="C1488" t="str">
            <v>m³</v>
          </cell>
          <cell r="D1488">
            <v>330.72</v>
          </cell>
          <cell r="E1488" t="str">
            <v>A incluir</v>
          </cell>
          <cell r="F1488" t="e">
            <v>#N/A</v>
          </cell>
          <cell r="G1488" t="e">
            <v>#N/A</v>
          </cell>
        </row>
        <row r="1489">
          <cell r="A1489">
            <v>43106</v>
          </cell>
          <cell r="B1489" t="str">
            <v>Valeta de pedra jogada VPJ, inclusive transporte da pedra em Vias Urbanas</v>
          </cell>
          <cell r="C1489" t="str">
            <v>m³</v>
          </cell>
          <cell r="D1489">
            <v>157.57</v>
          </cell>
          <cell r="E1489" t="str">
            <v>A incluir</v>
          </cell>
          <cell r="F1489" t="e">
            <v>#N/A</v>
          </cell>
          <cell r="G1489" t="e">
            <v>#N/A</v>
          </cell>
        </row>
        <row r="1490">
          <cell r="A1490">
            <v>43111</v>
          </cell>
          <cell r="B1490" t="str">
            <v>Valeta de proteção de corte - desobstrução e limpeza em Vias Urbanas</v>
          </cell>
          <cell r="C1490" t="str">
            <v>m</v>
          </cell>
          <cell r="D1490">
            <v>3.34</v>
          </cell>
          <cell r="E1490">
            <v>0</v>
          </cell>
          <cell r="F1490" t="e">
            <v>#N/A</v>
          </cell>
          <cell r="G1490" t="e">
            <v>#N/A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 t="e">
            <v>#N/A</v>
          </cell>
          <cell r="F1491" t="e">
            <v>#N/A</v>
          </cell>
          <cell r="G1491" t="e">
            <v>#N/A</v>
          </cell>
        </row>
        <row r="1492">
          <cell r="A1492" t="str">
            <v>Grupo de Serviço: 139 - INSTALAÇÃO DE CANTEIRO, MOBILIZAÇÃO E DESMOBILIZAÇÃO</v>
          </cell>
          <cell r="B1492">
            <v>0</v>
          </cell>
          <cell r="C1492">
            <v>0</v>
          </cell>
          <cell r="E1492" t="e">
            <v>#N/A</v>
          </cell>
          <cell r="F1492" t="e">
            <v>#N/A</v>
          </cell>
          <cell r="G1492" t="e">
            <v>#N/A</v>
          </cell>
        </row>
        <row r="1493">
          <cell r="A1493">
            <v>41578</v>
          </cell>
          <cell r="B1493" t="str">
            <v>Aluguel de container p/ escritório c/ ar condicionado e banheiro, isolam.térmico e acústico, 2 luminárias, janela de vidro, tomada p/ comput. e telef.</v>
          </cell>
          <cell r="C1493" t="str">
            <v>mês</v>
          </cell>
          <cell r="D1493">
            <v>1067.28</v>
          </cell>
          <cell r="E1493">
            <v>0</v>
          </cell>
          <cell r="F1493" t="e">
            <v>#N/A</v>
          </cell>
          <cell r="G1493" t="e">
            <v>#N/A</v>
          </cell>
        </row>
        <row r="1494">
          <cell r="A1494">
            <v>42511</v>
          </cell>
          <cell r="B1494" t="str">
            <v>Aluguel de container p/ escritório com ar condicionado, isolamento term/acust., 2 luminárias, janela de vidro, tomadas computador e telefone</v>
          </cell>
          <cell r="C1494" t="str">
            <v>mês</v>
          </cell>
          <cell r="D1494">
            <v>851.24</v>
          </cell>
          <cell r="E1494">
            <v>0</v>
          </cell>
          <cell r="F1494" t="e">
            <v>#N/A</v>
          </cell>
          <cell r="G1494" t="e">
            <v>#N/A</v>
          </cell>
        </row>
        <row r="1495">
          <cell r="A1495">
            <v>41579</v>
          </cell>
          <cell r="B1495" t="str">
            <v>Aluguel de container para almoxarifado</v>
          </cell>
          <cell r="C1495" t="str">
            <v>mês</v>
          </cell>
          <cell r="D1495">
            <v>429.39</v>
          </cell>
          <cell r="E1495">
            <v>0</v>
          </cell>
          <cell r="F1495" t="e">
            <v>#N/A</v>
          </cell>
          <cell r="G1495" t="e">
            <v>#N/A</v>
          </cell>
        </row>
        <row r="1496">
          <cell r="A1496">
            <v>41494</v>
          </cell>
          <cell r="B1496" t="str">
            <v>Aluguel de container tipo cozinha com isolamento térmico e acústico, 2 luminárias, piso especial e janela</v>
          </cell>
          <cell r="C1496" t="str">
            <v>mês</v>
          </cell>
          <cell r="D1496">
            <v>799.38</v>
          </cell>
          <cell r="E1496">
            <v>0</v>
          </cell>
          <cell r="F1496" t="e">
            <v>#N/A</v>
          </cell>
          <cell r="G1496" t="e">
            <v>#N/A</v>
          </cell>
        </row>
        <row r="1497">
          <cell r="A1497">
            <v>41678</v>
          </cell>
          <cell r="B1497" t="str">
            <v>Aluguel de container tipo refeitório simples, c/ 1 aparelho de ar condicionado, 2 luminárias e 2 janelas de vidro</v>
          </cell>
          <cell r="C1497" t="str">
            <v>mês</v>
          </cell>
          <cell r="D1497">
            <v>916.05</v>
          </cell>
          <cell r="E1497">
            <v>0</v>
          </cell>
          <cell r="F1497" t="e">
            <v>#N/A</v>
          </cell>
          <cell r="G1497" t="e">
            <v>#N/A</v>
          </cell>
        </row>
        <row r="1498">
          <cell r="A1498">
            <v>41455</v>
          </cell>
          <cell r="B1498" t="str">
            <v>Aluguel de container tipo refeitório (2 unidades acopladas), c/ 2 aparelhos de ar condicionado, 4 lumináriase 4 janelas de vidro</v>
          </cell>
          <cell r="C1498" t="str">
            <v>mês</v>
          </cell>
          <cell r="D1498">
            <v>1989.82</v>
          </cell>
          <cell r="E1498">
            <v>0</v>
          </cell>
          <cell r="F1498" t="e">
            <v>#N/A</v>
          </cell>
          <cell r="G1498" t="e">
            <v>#N/A</v>
          </cell>
        </row>
        <row r="1499">
          <cell r="A1499">
            <v>41456</v>
          </cell>
          <cell r="B1499" t="str">
            <v>Aluguel de container tipo refeitório (3 unidades acopladas), c/ 3 aparelhos de ar condiocionado, 6 luminárias e 6 janelas de vidro</v>
          </cell>
          <cell r="C1499" t="str">
            <v>mês</v>
          </cell>
          <cell r="D1499">
            <v>4601.8599999999997</v>
          </cell>
          <cell r="E1499">
            <v>0</v>
          </cell>
          <cell r="F1499" t="e">
            <v>#N/A</v>
          </cell>
          <cell r="G1499" t="e">
            <v>#N/A</v>
          </cell>
        </row>
        <row r="1500">
          <cell r="A1500">
            <v>41580</v>
          </cell>
          <cell r="B1500" t="str">
            <v>Aluguel de container tipo sanitário com 3 vasos sanitários, lavatório, mictório, 5 chuveiros, 2 venezianas e piso especial</v>
          </cell>
          <cell r="C1500" t="str">
            <v>mês</v>
          </cell>
          <cell r="D1500">
            <v>777.78</v>
          </cell>
          <cell r="E1500">
            <v>0</v>
          </cell>
          <cell r="F1500" t="e">
            <v>#N/A</v>
          </cell>
          <cell r="G1500" t="e">
            <v>#N/A</v>
          </cell>
        </row>
        <row r="1501">
          <cell r="A1501">
            <v>41454</v>
          </cell>
          <cell r="B1501" t="str">
            <v>Aluguel de container tipo vestiário, 2 luminárias, piso especial e janela</v>
          </cell>
          <cell r="C1501" t="str">
            <v>mês</v>
          </cell>
          <cell r="D1501">
            <v>574.67999999999995</v>
          </cell>
          <cell r="E1501">
            <v>0</v>
          </cell>
          <cell r="F1501" t="e">
            <v>#N/A</v>
          </cell>
          <cell r="G1501" t="e">
            <v>#N/A</v>
          </cell>
        </row>
        <row r="1502">
          <cell r="A1502">
            <v>41498</v>
          </cell>
          <cell r="B1502" t="str">
            <v>Barracão com sanitário, em chapa compensada 12 mm e pont. 8x8cm, piso cimentado e cobertura em telha de fibroc. 6mm, incl. ponto de luz e cx. inspeção</v>
          </cell>
          <cell r="C1502" t="str">
            <v>m²</v>
          </cell>
          <cell r="D1502">
            <v>561.49</v>
          </cell>
          <cell r="E1502">
            <v>0</v>
          </cell>
          <cell r="F1502" t="e">
            <v>#N/A</v>
          </cell>
          <cell r="G1502" t="e">
            <v>#N/A</v>
          </cell>
        </row>
        <row r="1503">
          <cell r="A1503">
            <v>41531</v>
          </cell>
          <cell r="B1503" t="str">
            <v>Barracão em chapa compensada 12mm e pont. 8x8cm, piso cimentado e cobertura de telhas fibrocimento 6mm, incl. ponto de luz</v>
          </cell>
          <cell r="C1503" t="str">
            <v>m²</v>
          </cell>
          <cell r="D1503">
            <v>392.02</v>
          </cell>
          <cell r="E1503">
            <v>0</v>
          </cell>
          <cell r="F1503" t="e">
            <v>#N/A</v>
          </cell>
          <cell r="G1503" t="e">
            <v>#N/A</v>
          </cell>
        </row>
        <row r="1504">
          <cell r="A1504">
            <v>41557</v>
          </cell>
          <cell r="B1504" t="str">
            <v>Canaleta de concreto retangular com grelha em barra de aço</v>
          </cell>
          <cell r="C1504" t="str">
            <v>m</v>
          </cell>
          <cell r="D1504">
            <v>161.37</v>
          </cell>
          <cell r="E1504">
            <v>0</v>
          </cell>
          <cell r="F1504" t="e">
            <v>#N/A</v>
          </cell>
          <cell r="G1504" t="e">
            <v>#N/A</v>
          </cell>
        </row>
        <row r="1505">
          <cell r="A1505">
            <v>41506</v>
          </cell>
          <cell r="B1505" t="str">
            <v>Cobertura nova de telhas onduladas de fibrocimento 6,0mm, inclusive cumeeiras e acessórios de fixação</v>
          </cell>
          <cell r="C1505" t="str">
            <v>m²</v>
          </cell>
          <cell r="D1505">
            <v>46.73</v>
          </cell>
          <cell r="E1505">
            <v>0</v>
          </cell>
          <cell r="F1505" t="e">
            <v>#N/A</v>
          </cell>
          <cell r="G1505" t="e">
            <v>#N/A</v>
          </cell>
        </row>
        <row r="1506">
          <cell r="A1506">
            <v>41505</v>
          </cell>
          <cell r="B1506" t="str">
            <v>Estrutura de madeira lei para telhado de telha ondulada de fibroc. esp. 6mm, c/ pontaletes e caibros, incl. com cupinicida, excl. telhas</v>
          </cell>
          <cell r="C1506" t="str">
            <v>m²</v>
          </cell>
          <cell r="D1506">
            <v>79.650000000000006</v>
          </cell>
          <cell r="E1506">
            <v>0</v>
          </cell>
          <cell r="F1506" t="e">
            <v>#N/A</v>
          </cell>
          <cell r="G1506" t="e">
            <v>#N/A</v>
          </cell>
        </row>
        <row r="1507">
          <cell r="A1507">
            <v>41528</v>
          </cell>
          <cell r="B1507" t="str">
            <v>Galpão em peças de madeira 8x8cm e contravent. de 5x7cm, cobertura de telhas de fibroc. de 6mm, incl. ponto e cabo de alimentação da máquina</v>
          </cell>
          <cell r="C1507" t="str">
            <v>m²</v>
          </cell>
          <cell r="D1507">
            <v>163.63999999999999</v>
          </cell>
          <cell r="E1507">
            <v>0</v>
          </cell>
          <cell r="F1507">
            <v>163.63999999999999</v>
          </cell>
          <cell r="G1507">
            <v>1</v>
          </cell>
        </row>
        <row r="1508">
          <cell r="A1508">
            <v>41546</v>
          </cell>
          <cell r="B1508" t="str">
            <v>Mobilização e desmobilização de caminhão basculante (máximo)</v>
          </cell>
          <cell r="C1508" t="str">
            <v>h</v>
          </cell>
          <cell r="D1508">
            <v>196.25</v>
          </cell>
          <cell r="E1508">
            <v>0</v>
          </cell>
          <cell r="F1508">
            <v>196.27</v>
          </cell>
          <cell r="G1508">
            <v>1.00010191082803</v>
          </cell>
        </row>
        <row r="1509">
          <cell r="A1509">
            <v>41545</v>
          </cell>
          <cell r="B1509" t="str">
            <v>Mobilização e desmobilização de caminhão carroceria (máximo)</v>
          </cell>
          <cell r="C1509" t="str">
            <v>h</v>
          </cell>
          <cell r="D1509">
            <v>164.11</v>
          </cell>
          <cell r="E1509">
            <v>0</v>
          </cell>
          <cell r="F1509">
            <v>164.11</v>
          </cell>
          <cell r="G1509">
            <v>1</v>
          </cell>
        </row>
        <row r="1510">
          <cell r="A1510">
            <v>41547</v>
          </cell>
          <cell r="B1510" t="str">
            <v>Mobilização e desmobilização de caminhão tanque (6.000 L) (máximo)</v>
          </cell>
          <cell r="C1510" t="str">
            <v>h</v>
          </cell>
          <cell r="D1510">
            <v>159.97</v>
          </cell>
          <cell r="E1510">
            <v>0</v>
          </cell>
          <cell r="F1510">
            <v>159.97999999999999</v>
          </cell>
          <cell r="G1510">
            <v>1.0000625117209501</v>
          </cell>
        </row>
        <row r="1511">
          <cell r="A1511">
            <v>41497</v>
          </cell>
          <cell r="B1511" t="str">
            <v>Mobilização e desmobilização de container acima de 150 km</v>
          </cell>
          <cell r="C1511" t="str">
            <v>un</v>
          </cell>
          <cell r="D1511">
            <v>1604.17</v>
          </cell>
          <cell r="E1511">
            <v>0</v>
          </cell>
          <cell r="F1511" t="e">
            <v>#N/A</v>
          </cell>
          <cell r="G1511" t="e">
            <v>#N/A</v>
          </cell>
        </row>
        <row r="1512">
          <cell r="A1512">
            <v>41495</v>
          </cell>
          <cell r="B1512" t="str">
            <v>Mobilização e desmobilização de container até 50 km</v>
          </cell>
          <cell r="C1512" t="str">
            <v>un</v>
          </cell>
          <cell r="D1512">
            <v>550.91999999999996</v>
          </cell>
          <cell r="E1512">
            <v>0</v>
          </cell>
          <cell r="F1512" t="e">
            <v>#N/A</v>
          </cell>
          <cell r="G1512" t="e">
            <v>#N/A</v>
          </cell>
        </row>
        <row r="1513">
          <cell r="A1513">
            <v>41496</v>
          </cell>
          <cell r="B1513" t="str">
            <v>Mobilização e desmobilização de container de 51 km até 150 km</v>
          </cell>
          <cell r="C1513" t="str">
            <v>un</v>
          </cell>
          <cell r="D1513">
            <v>972.22</v>
          </cell>
          <cell r="E1513">
            <v>0</v>
          </cell>
          <cell r="F1513" t="e">
            <v>#N/A</v>
          </cell>
          <cell r="G1513" t="e">
            <v>#N/A</v>
          </cell>
        </row>
        <row r="1514">
          <cell r="A1514">
            <v>41544</v>
          </cell>
          <cell r="B1514" t="str">
            <v>Mobilização e desmobilização de equipamentos com carreta prancha (máximo)</v>
          </cell>
          <cell r="C1514" t="str">
            <v>h</v>
          </cell>
          <cell r="D1514">
            <v>308.89999999999998</v>
          </cell>
          <cell r="E1514">
            <v>0</v>
          </cell>
          <cell r="F1514">
            <v>308.91000000000003</v>
          </cell>
          <cell r="G1514">
            <v>1.0000323729362299</v>
          </cell>
        </row>
        <row r="1515">
          <cell r="A1515">
            <v>41500</v>
          </cell>
          <cell r="B1515" t="str">
            <v>Placa de obra nas dimensões de 3,0 x 6,0 m, padrão DER-ES</v>
          </cell>
          <cell r="C1515" t="str">
            <v>m²</v>
          </cell>
          <cell r="D1515">
            <v>187.13</v>
          </cell>
          <cell r="E1515">
            <v>0</v>
          </cell>
          <cell r="F1515">
            <v>187.13</v>
          </cell>
          <cell r="G1515">
            <v>1</v>
          </cell>
        </row>
        <row r="1516">
          <cell r="A1516">
            <v>41501</v>
          </cell>
          <cell r="B1516" t="str">
            <v>Rede de água c/ padrão de entrada d'água diâm. 3/4" conf. CESAN, incl. tubos e conexões p/ aliment., distrib., extravas. e limp., cons. o padrão a 25m</v>
          </cell>
          <cell r="C1516" t="str">
            <v>m</v>
          </cell>
          <cell r="D1516">
            <v>31.55</v>
          </cell>
          <cell r="E1516">
            <v>0</v>
          </cell>
          <cell r="F1516">
            <v>31.55</v>
          </cell>
          <cell r="G1516">
            <v>1</v>
          </cell>
        </row>
        <row r="1517">
          <cell r="A1517">
            <v>41499</v>
          </cell>
          <cell r="B1517" t="str">
            <v>Rede de esgoto, contendo fossa e filtro, incl. tubos e conexões de ligação entre caixas, considerando distância de 25m</v>
          </cell>
          <cell r="C1517" t="str">
            <v>m</v>
          </cell>
          <cell r="D1517">
            <v>282.77</v>
          </cell>
          <cell r="E1517">
            <v>0</v>
          </cell>
          <cell r="F1517">
            <v>282.77</v>
          </cell>
          <cell r="G1517">
            <v>1</v>
          </cell>
        </row>
        <row r="1518">
          <cell r="A1518">
            <v>41503</v>
          </cell>
          <cell r="B1518" t="str">
            <v>Rede de luz, incl. padrão entr. energia trifás. cabo ligação até barracões, quadro distrib., disj. e chave de força, cons. 20m entre padrão entr.e QDG</v>
          </cell>
          <cell r="C1518" t="str">
            <v>m</v>
          </cell>
          <cell r="D1518">
            <v>421.94</v>
          </cell>
          <cell r="E1518">
            <v>0</v>
          </cell>
          <cell r="F1518">
            <v>421.95</v>
          </cell>
          <cell r="G1518">
            <v>1.0000237000521399</v>
          </cell>
        </row>
        <row r="1519">
          <cell r="A1519">
            <v>41530</v>
          </cell>
          <cell r="B1519" t="str">
            <v>Refeitório c/ paredes chapa de comp. 12mm e pont. 8x8cm, piso ciment. e cob. telhas fibroc. 6mm, incl. ponto de luz e cx. de insp. (1,21m²/func/turno)</v>
          </cell>
          <cell r="C1519" t="str">
            <v>m²</v>
          </cell>
          <cell r="D1519">
            <v>347.13</v>
          </cell>
          <cell r="E1519">
            <v>0</v>
          </cell>
          <cell r="F1519">
            <v>347.14</v>
          </cell>
          <cell r="G1519">
            <v>1.00002880765131</v>
          </cell>
        </row>
        <row r="1520">
          <cell r="A1520">
            <v>41527</v>
          </cell>
          <cell r="B1520" t="str">
            <v>Reservatório de fibra de vidro de 1000 L, incl. suporte em madeira de 7x12cm, elevado de 4m</v>
          </cell>
          <cell r="C1520" t="str">
            <v>un</v>
          </cell>
          <cell r="D1520">
            <v>1526.22</v>
          </cell>
          <cell r="E1520">
            <v>0</v>
          </cell>
          <cell r="F1520">
            <v>1526.22</v>
          </cell>
          <cell r="G1520">
            <v>1</v>
          </cell>
        </row>
        <row r="1521">
          <cell r="A1521">
            <v>41529</v>
          </cell>
          <cell r="B1521" t="str">
            <v>Sanitário e vestiário de 40/60 func., c/ 33,90m², paredes chapa compens. 12mm e pont. 8x8cm, piso ciment., cobert. telha fibroc., incl. luz e cx. insp</v>
          </cell>
          <cell r="C1521" t="str">
            <v>un</v>
          </cell>
          <cell r="D1521">
            <v>20448.599999999999</v>
          </cell>
          <cell r="E1521">
            <v>0</v>
          </cell>
          <cell r="F1521">
            <v>20448.599999999999</v>
          </cell>
          <cell r="G1521">
            <v>1</v>
          </cell>
        </row>
        <row r="1522">
          <cell r="A1522">
            <v>41555</v>
          </cell>
          <cell r="B1522" t="str">
            <v>Sistema separador de água e óleo</v>
          </cell>
          <cell r="C1522" t="str">
            <v>un</v>
          </cell>
          <cell r="D1522">
            <v>5450.35</v>
          </cell>
          <cell r="E1522">
            <v>0</v>
          </cell>
          <cell r="F1522">
            <v>5654.99</v>
          </cell>
          <cell r="G1522">
            <v>1.03754621262855</v>
          </cell>
        </row>
        <row r="1523">
          <cell r="A1523">
            <v>100883</v>
          </cell>
          <cell r="B1523" t="str">
            <v>Tapume madeira compensada resinada e= 12mm h=2,20m, estr. c/ mad reflorest., incl montagem e pintura esmalte sintético</v>
          </cell>
          <cell r="C1523" t="str">
            <v>m</v>
          </cell>
          <cell r="D1523">
            <v>149.55000000000001</v>
          </cell>
          <cell r="F1523" t="e">
            <v>#N/A</v>
          </cell>
          <cell r="G1523" t="e">
            <v>#N/A</v>
          </cell>
        </row>
        <row r="1524">
          <cell r="A1524">
            <v>100882</v>
          </cell>
          <cell r="B1524" t="str">
            <v>Tapume Telha Metálica Ondulada 0,50mm Branca h=2,20m, incl. montagem estr. mad. 8"x8", incl. faixas pint. esmalte sintético c/ h=40cm (Reaproveitamento 2x)</v>
          </cell>
          <cell r="C1524" t="str">
            <v>m</v>
          </cell>
          <cell r="D1524">
            <v>118.81</v>
          </cell>
          <cell r="F1524" t="e">
            <v>#N/A</v>
          </cell>
          <cell r="G1524" t="e">
            <v>#N/A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">
          <cell r="J7" t="str">
            <v>LG-001</v>
          </cell>
          <cell r="K7">
            <v>20632.25</v>
          </cell>
          <cell r="L7" t="str">
            <v>Administração local</v>
          </cell>
          <cell r="M7" t="str">
            <v>mês</v>
          </cell>
        </row>
        <row r="20">
          <cell r="J20">
            <v>0</v>
          </cell>
          <cell r="K20">
            <v>0</v>
          </cell>
        </row>
        <row r="27">
          <cell r="J27" t="str">
            <v>Prazo previsto=</v>
          </cell>
          <cell r="K27">
            <v>8</v>
          </cell>
        </row>
        <row r="43">
          <cell r="K43">
            <v>0</v>
          </cell>
        </row>
        <row r="46">
          <cell r="J46" t="str">
            <v>LG-002</v>
          </cell>
          <cell r="K46">
            <v>8101.88</v>
          </cell>
          <cell r="L46" t="str">
            <v>Remanejamento de postes</v>
          </cell>
          <cell r="M46" t="str">
            <v>un</v>
          </cell>
        </row>
        <row r="68">
          <cell r="L68">
            <v>0</v>
          </cell>
          <cell r="M68">
            <v>0</v>
          </cell>
        </row>
        <row r="69">
          <cell r="J69" t="e">
            <v>#N/A</v>
          </cell>
        </row>
        <row r="73">
          <cell r="K73">
            <v>0</v>
          </cell>
        </row>
        <row r="81">
          <cell r="J81" t="str">
            <v>LG-003</v>
          </cell>
          <cell r="K81">
            <v>149.9</v>
          </cell>
          <cell r="L81" t="str">
            <v>Base mistura em peso 60% de brita graduada / 40% solo</v>
          </cell>
          <cell r="M81" t="str">
            <v>m³</v>
          </cell>
        </row>
        <row r="83"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 t="str">
            <v>Brita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J118">
            <v>67.75</v>
          </cell>
          <cell r="K118">
            <v>0</v>
          </cell>
          <cell r="L118">
            <v>0</v>
          </cell>
          <cell r="M118">
            <v>0</v>
          </cell>
        </row>
        <row r="119"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3">
          <cell r="J123" t="str">
            <v>LG-004</v>
          </cell>
          <cell r="K123">
            <v>19708.21</v>
          </cell>
          <cell r="L123" t="str">
            <v>Equipe de Topografia</v>
          </cell>
          <cell r="M123" t="str">
            <v>mês</v>
          </cell>
        </row>
        <row r="147">
          <cell r="L147">
            <v>0</v>
          </cell>
          <cell r="M147">
            <v>0</v>
          </cell>
        </row>
        <row r="148">
          <cell r="J148">
            <v>0</v>
          </cell>
          <cell r="L148">
            <v>7025.94</v>
          </cell>
        </row>
        <row r="152">
          <cell r="K152">
            <v>0</v>
          </cell>
        </row>
        <row r="160">
          <cell r="J160" t="str">
            <v>LG-005</v>
          </cell>
          <cell r="K160">
            <v>21536.17</v>
          </cell>
          <cell r="L160" t="str">
            <v>Equipe de Laboratório</v>
          </cell>
          <cell r="M160" t="str">
            <v>mês</v>
          </cell>
        </row>
        <row r="183">
          <cell r="L183">
            <v>0</v>
          </cell>
          <cell r="M183">
            <v>0</v>
          </cell>
        </row>
        <row r="184">
          <cell r="J184">
            <v>0</v>
          </cell>
          <cell r="L184">
            <v>7025.94</v>
          </cell>
        </row>
        <row r="188">
          <cell r="K188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J196" t="str">
            <v>LG-006</v>
          </cell>
          <cell r="K196">
            <v>207.19</v>
          </cell>
          <cell r="L196" t="str">
            <v>Transposição de sarjeta trapezoidal</v>
          </cell>
          <cell r="M196" t="str">
            <v>m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J218">
            <v>0</v>
          </cell>
          <cell r="K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9">
          <cell r="J229" t="str">
            <v>LG-007</v>
          </cell>
          <cell r="K229">
            <v>147.86000000000001</v>
          </cell>
          <cell r="L229" t="str">
            <v>Sarjeta Trapezoidal de concreto - SZC-02</v>
          </cell>
          <cell r="M229" t="str">
            <v>m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61">
          <cell r="J261" t="str">
            <v>LG-008</v>
          </cell>
          <cell r="K261">
            <v>4967.8100000000004</v>
          </cell>
          <cell r="L261" t="str">
            <v>Poste metálico duplo 12mts e 6mts com 2 luminárias públicas com lâmpadas de 250/400w - 220v - ref.  FLPOR 860 duplo / flxi 03 - Fortlight</v>
          </cell>
          <cell r="M261" t="str">
            <v>unid.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4">
          <cell r="J264">
            <v>0</v>
          </cell>
          <cell r="K264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308">
          <cell r="J308" t="str">
            <v>LG-009</v>
          </cell>
          <cell r="K308">
            <v>10364.48</v>
          </cell>
          <cell r="L308" t="str">
            <v>Poste metálico quádruplo 15mts com 4 luminárias públicas com lâmpadas de 400w - 220v - ref.  FLPOR 960 quádruplo / flxi 03 - Fortlight</v>
          </cell>
          <cell r="M308" t="str">
            <v>unid.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1">
          <cell r="J311">
            <v>0</v>
          </cell>
          <cell r="K311">
            <v>0</v>
          </cell>
        </row>
        <row r="323"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55">
          <cell r="J355" t="str">
            <v>LG-010</v>
          </cell>
          <cell r="K355">
            <v>35.67</v>
          </cell>
          <cell r="L355" t="str">
            <v>Eletroduto de aço galvanizado eletrolítico DN 40mm (1 1/2"), tipo semi-pesado, inclusive conexões - fornecimento e instalação</v>
          </cell>
          <cell r="M355" t="str">
            <v>m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88">
          <cell r="J388" t="str">
            <v>LG-011</v>
          </cell>
          <cell r="K388">
            <v>8.89</v>
          </cell>
          <cell r="L388" t="str">
            <v>Curva 90° de ferro galvanizado eletrolítico 1 1/2" para eletroduto</v>
          </cell>
          <cell r="M388" t="str">
            <v>unid.</v>
          </cell>
        </row>
        <row r="389"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21">
          <cell r="J421" t="str">
            <v>LG-012</v>
          </cell>
          <cell r="K421">
            <v>4.21</v>
          </cell>
          <cell r="L421" t="str">
            <v>Luva de ferro galvanizado eletrolítico 1 1/2" para eletroduto</v>
          </cell>
          <cell r="M421" t="str">
            <v>unid.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40">
          <cell r="J440">
            <v>0</v>
          </cell>
          <cell r="K440">
            <v>0</v>
          </cell>
          <cell r="L440">
            <v>0</v>
          </cell>
          <cell r="M440">
            <v>0</v>
          </cell>
        </row>
        <row r="454">
          <cell r="J454" t="str">
            <v>LG-013</v>
          </cell>
          <cell r="K454">
            <v>28.88</v>
          </cell>
          <cell r="L454" t="str">
            <v>Fita isolante em rolo de 19mm x 10 m, autofusão, uso até 69kv</v>
          </cell>
          <cell r="M454" t="str">
            <v>unid.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</row>
        <row r="486">
          <cell r="J486" t="str">
            <v>LG-014</v>
          </cell>
          <cell r="K486">
            <v>22.21</v>
          </cell>
          <cell r="L486" t="str">
            <v>Cabo de cobre termoplástico, com isolamento para 1000v, seção de 35.0 mm2</v>
          </cell>
          <cell r="M486" t="str">
            <v>m</v>
          </cell>
        </row>
        <row r="487"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97">
          <cell r="J497">
            <v>0</v>
          </cell>
          <cell r="K497">
            <v>0</v>
          </cell>
          <cell r="L497">
            <v>0</v>
          </cell>
          <cell r="M497">
            <v>0</v>
          </cell>
        </row>
        <row r="505"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19">
          <cell r="J519" t="str">
            <v>LG-015</v>
          </cell>
          <cell r="K519">
            <v>12.86</v>
          </cell>
          <cell r="L519" t="str">
            <v>Fio ou cabo de cobre termoplástico, com isolamento para 0.6/1000v - 70°, seção de 16.0 mm2</v>
          </cell>
          <cell r="M519" t="str">
            <v>m</v>
          </cell>
        </row>
        <row r="520">
          <cell r="J520">
            <v>0</v>
          </cell>
          <cell r="K520">
            <v>0</v>
          </cell>
          <cell r="L520">
            <v>0</v>
          </cell>
          <cell r="M520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</row>
        <row r="552">
          <cell r="J552" t="str">
            <v>LG-016</v>
          </cell>
          <cell r="K552">
            <v>7.74</v>
          </cell>
          <cell r="L552" t="str">
            <v>Fio ou cabo de cobre termoplástico, com isolamento para 1000v, seção de 6.0 mm2</v>
          </cell>
          <cell r="M552" t="str">
            <v>m</v>
          </cell>
        </row>
        <row r="553">
          <cell r="J553">
            <v>0</v>
          </cell>
          <cell r="K553">
            <v>0</v>
          </cell>
          <cell r="L553">
            <v>0</v>
          </cell>
          <cell r="M553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85">
          <cell r="J585" t="str">
            <v>LG-017</v>
          </cell>
          <cell r="K585">
            <v>12.34</v>
          </cell>
          <cell r="L585" t="str">
            <v>Fio ou cabo de cobre termoplástico, com isolamento para 750v, seção de 16.0 mm2</v>
          </cell>
          <cell r="M585" t="str">
            <v>m</v>
          </cell>
        </row>
        <row r="586">
          <cell r="J586">
            <v>0</v>
          </cell>
          <cell r="K586">
            <v>0</v>
          </cell>
          <cell r="L586">
            <v>0</v>
          </cell>
          <cell r="M586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18">
          <cell r="J618" t="str">
            <v>LG-018</v>
          </cell>
          <cell r="K618">
            <v>6.73</v>
          </cell>
          <cell r="L618" t="str">
            <v>Fio ou cabo de cobre termoplástico, com isolamento para 750v, seção de 6.0 mm2</v>
          </cell>
          <cell r="M618" t="str">
            <v>m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9">
          <cell r="J629">
            <v>0</v>
          </cell>
          <cell r="K629">
            <v>0</v>
          </cell>
          <cell r="L629">
            <v>0</v>
          </cell>
          <cell r="M629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</row>
        <row r="651">
          <cell r="J651" t="str">
            <v>LG-019</v>
          </cell>
          <cell r="K651">
            <v>2.5099999999999998</v>
          </cell>
          <cell r="L651" t="str">
            <v>Bucha e arruela de alumínio fundido diâmetro 40mm (1 1/2")</v>
          </cell>
          <cell r="M651" t="str">
            <v>unid.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</row>
        <row r="662"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71"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85">
          <cell r="J685" t="str">
            <v>LG-020</v>
          </cell>
          <cell r="K685">
            <v>13.21</v>
          </cell>
          <cell r="L685" t="str">
            <v>Cabeçote de alumínio de 1 1/2"</v>
          </cell>
          <cell r="M685" t="str">
            <v>unid.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18">
          <cell r="J718" t="str">
            <v>LG-021</v>
          </cell>
          <cell r="K718">
            <v>135.38999999999999</v>
          </cell>
          <cell r="L718" t="str">
            <v>Caixa de passagem de alvenaria de blocos de concreto 9x19x39cm, dimensões de 30x30x50cm, com revestimento interno em chapisco e reboco, tampa de concreto esp.5cm e lastro de brita 5 cm</v>
          </cell>
          <cell r="M718" t="str">
            <v>unid.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53">
          <cell r="J753">
            <v>0</v>
          </cell>
          <cell r="K753">
            <v>0</v>
          </cell>
          <cell r="L753">
            <v>0</v>
          </cell>
          <cell r="M753">
            <v>0</v>
          </cell>
        </row>
        <row r="767">
          <cell r="J767" t="str">
            <v>LG-022</v>
          </cell>
          <cell r="K767">
            <v>1.62</v>
          </cell>
          <cell r="L767" t="str">
            <v>Arame galvanizado 12 BWG (0.048 kg/m)</v>
          </cell>
          <cell r="M767" t="str">
            <v>m</v>
          </cell>
        </row>
        <row r="768">
          <cell r="J768">
            <v>0</v>
          </cell>
          <cell r="K768">
            <v>0</v>
          </cell>
          <cell r="L768">
            <v>0</v>
          </cell>
          <cell r="M768">
            <v>0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</row>
        <row r="778">
          <cell r="J778">
            <v>0</v>
          </cell>
          <cell r="K778">
            <v>0</v>
          </cell>
          <cell r="L778">
            <v>0</v>
          </cell>
          <cell r="M778">
            <v>0</v>
          </cell>
        </row>
        <row r="786">
          <cell r="J786">
            <v>0</v>
          </cell>
          <cell r="K786">
            <v>0</v>
          </cell>
          <cell r="L786">
            <v>0</v>
          </cell>
          <cell r="M786">
            <v>0</v>
          </cell>
        </row>
        <row r="799">
          <cell r="J799" t="str">
            <v>LG-023</v>
          </cell>
          <cell r="K799">
            <v>33.82</v>
          </cell>
          <cell r="L799" t="str">
            <v>Cabo de cobre termoplástico, com isolamento para 1000V, seção de 50 mm2</v>
          </cell>
          <cell r="M799" t="str">
            <v>m</v>
          </cell>
        </row>
        <row r="800">
          <cell r="J800">
            <v>0</v>
          </cell>
          <cell r="K800">
            <v>0</v>
          </cell>
          <cell r="L800">
            <v>0</v>
          </cell>
          <cell r="M800">
            <v>0</v>
          </cell>
        </row>
        <row r="810">
          <cell r="J810">
            <v>0</v>
          </cell>
          <cell r="K810">
            <v>0</v>
          </cell>
          <cell r="L810">
            <v>0</v>
          </cell>
          <cell r="M810">
            <v>0</v>
          </cell>
        </row>
        <row r="818">
          <cell r="J818">
            <v>0</v>
          </cell>
          <cell r="K818">
            <v>0</v>
          </cell>
          <cell r="L818">
            <v>0</v>
          </cell>
          <cell r="M818">
            <v>0</v>
          </cell>
        </row>
        <row r="832">
          <cell r="J832" t="str">
            <v>LG-024</v>
          </cell>
          <cell r="K832">
            <v>16.41</v>
          </cell>
          <cell r="L832" t="str">
            <v>Cabo de cobre termoplástico, com isolamento para 750V, seção de 25.0 mm2</v>
          </cell>
          <cell r="M832" t="str">
            <v>m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</row>
      </sheetData>
      <sheetData sheetId="32"/>
      <sheetData sheetId="33"/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1-18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5">
          <cell r="J5">
            <v>0</v>
          </cell>
          <cell r="K5">
            <v>0</v>
          </cell>
        </row>
        <row r="6">
          <cell r="J6">
            <v>40167</v>
          </cell>
          <cell r="K6">
            <v>0.48</v>
          </cell>
        </row>
        <row r="7">
          <cell r="J7">
            <v>0</v>
          </cell>
          <cell r="K7">
            <v>0</v>
          </cell>
        </row>
        <row r="8">
          <cell r="J8">
            <v>0</v>
          </cell>
          <cell r="K8">
            <v>0</v>
          </cell>
        </row>
        <row r="18">
          <cell r="J18">
            <v>0</v>
          </cell>
          <cell r="K18">
            <v>0</v>
          </cell>
        </row>
        <row r="19"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J21">
            <v>0</v>
          </cell>
          <cell r="K21">
            <v>0</v>
          </cell>
        </row>
        <row r="22">
          <cell r="J22">
            <v>0</v>
          </cell>
          <cell r="K22">
            <v>0</v>
          </cell>
        </row>
        <row r="23">
          <cell r="J23">
            <v>0</v>
          </cell>
          <cell r="K23">
            <v>0</v>
          </cell>
        </row>
        <row r="24">
          <cell r="J24">
            <v>0</v>
          </cell>
          <cell r="K24">
            <v>0</v>
          </cell>
        </row>
        <row r="25">
          <cell r="J25">
            <v>0</v>
          </cell>
          <cell r="K25">
            <v>0</v>
          </cell>
        </row>
        <row r="26">
          <cell r="J26">
            <v>0</v>
          </cell>
          <cell r="K26">
            <v>0</v>
          </cell>
        </row>
        <row r="27">
          <cell r="J27">
            <v>0</v>
          </cell>
          <cell r="K27">
            <v>0</v>
          </cell>
        </row>
        <row r="28">
          <cell r="J28">
            <v>0</v>
          </cell>
          <cell r="K28">
            <v>0</v>
          </cell>
        </row>
        <row r="29">
          <cell r="J29">
            <v>0</v>
          </cell>
          <cell r="K29">
            <v>0</v>
          </cell>
        </row>
        <row r="30"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J32">
            <v>0</v>
          </cell>
          <cell r="K32">
            <v>0</v>
          </cell>
        </row>
        <row r="33">
          <cell r="J33">
            <v>0</v>
          </cell>
          <cell r="K33">
            <v>0</v>
          </cell>
        </row>
        <row r="41">
          <cell r="J41">
            <v>0</v>
          </cell>
          <cell r="K41">
            <v>0</v>
          </cell>
        </row>
        <row r="42">
          <cell r="J42">
            <v>40230</v>
          </cell>
          <cell r="K42">
            <v>3.1</v>
          </cell>
        </row>
        <row r="43">
          <cell r="J43">
            <v>0</v>
          </cell>
          <cell r="K43">
            <v>0</v>
          </cell>
        </row>
        <row r="50">
          <cell r="J50">
            <v>0</v>
          </cell>
          <cell r="K50">
            <v>0</v>
          </cell>
        </row>
        <row r="51">
          <cell r="J51">
            <v>0</v>
          </cell>
          <cell r="K51">
            <v>0</v>
          </cell>
        </row>
        <row r="52">
          <cell r="J52">
            <v>0</v>
          </cell>
          <cell r="K52">
            <v>0</v>
          </cell>
        </row>
        <row r="53">
          <cell r="J53">
            <v>0</v>
          </cell>
          <cell r="K53">
            <v>0</v>
          </cell>
        </row>
        <row r="54">
          <cell r="J54">
            <v>0</v>
          </cell>
          <cell r="K54">
            <v>0</v>
          </cell>
        </row>
        <row r="55">
          <cell r="J55">
            <v>0</v>
          </cell>
          <cell r="K55">
            <v>0</v>
          </cell>
        </row>
        <row r="56">
          <cell r="J56">
            <v>0</v>
          </cell>
          <cell r="K56">
            <v>0</v>
          </cell>
        </row>
        <row r="57">
          <cell r="J57">
            <v>0</v>
          </cell>
          <cell r="K57">
            <v>0</v>
          </cell>
        </row>
        <row r="58">
          <cell r="J58">
            <v>0</v>
          </cell>
          <cell r="K58">
            <v>0</v>
          </cell>
        </row>
        <row r="59">
          <cell r="J59">
            <v>0</v>
          </cell>
          <cell r="K59">
            <v>0</v>
          </cell>
        </row>
        <row r="60">
          <cell r="J60">
            <v>0</v>
          </cell>
          <cell r="K60">
            <v>0</v>
          </cell>
        </row>
        <row r="61">
          <cell r="J61">
            <v>0</v>
          </cell>
          <cell r="K61">
            <v>0</v>
          </cell>
        </row>
        <row r="62">
          <cell r="J62">
            <v>0</v>
          </cell>
          <cell r="K62">
            <v>0</v>
          </cell>
        </row>
        <row r="63">
          <cell r="J63">
            <v>0</v>
          </cell>
          <cell r="K63">
            <v>0</v>
          </cell>
        </row>
        <row r="64">
          <cell r="J64">
            <v>0</v>
          </cell>
          <cell r="K64">
            <v>0</v>
          </cell>
        </row>
        <row r="65">
          <cell r="J65">
            <v>0</v>
          </cell>
          <cell r="K65">
            <v>0</v>
          </cell>
        </row>
        <row r="79">
          <cell r="J79">
            <v>43340</v>
          </cell>
          <cell r="K79">
            <v>6.04</v>
          </cell>
        </row>
        <row r="82">
          <cell r="J82">
            <v>0</v>
          </cell>
          <cell r="K82">
            <v>0</v>
          </cell>
        </row>
        <row r="83">
          <cell r="J83">
            <v>0</v>
          </cell>
          <cell r="K83">
            <v>0</v>
          </cell>
        </row>
        <row r="84">
          <cell r="J84">
            <v>0</v>
          </cell>
          <cell r="K84">
            <v>0</v>
          </cell>
        </row>
        <row r="85">
          <cell r="J85">
            <v>0</v>
          </cell>
          <cell r="K85">
            <v>0</v>
          </cell>
        </row>
        <row r="86">
          <cell r="J86">
            <v>0</v>
          </cell>
          <cell r="K86">
            <v>0</v>
          </cell>
        </row>
        <row r="87">
          <cell r="J87">
            <v>0</v>
          </cell>
          <cell r="K87">
            <v>0</v>
          </cell>
        </row>
        <row r="88">
          <cell r="J88">
            <v>0</v>
          </cell>
          <cell r="K88">
            <v>0</v>
          </cell>
        </row>
        <row r="89">
          <cell r="J89">
            <v>0</v>
          </cell>
          <cell r="K89">
            <v>0</v>
          </cell>
        </row>
        <row r="90">
          <cell r="J90">
            <v>0</v>
          </cell>
          <cell r="K90">
            <v>0</v>
          </cell>
        </row>
        <row r="91">
          <cell r="J91">
            <v>0</v>
          </cell>
          <cell r="K91">
            <v>0</v>
          </cell>
        </row>
        <row r="92">
          <cell r="J92">
            <v>0</v>
          </cell>
          <cell r="K92">
            <v>0</v>
          </cell>
        </row>
        <row r="93">
          <cell r="J93">
            <v>0</v>
          </cell>
          <cell r="K93">
            <v>0</v>
          </cell>
        </row>
        <row r="94">
          <cell r="J94">
            <v>0</v>
          </cell>
          <cell r="K94">
            <v>0</v>
          </cell>
        </row>
        <row r="95">
          <cell r="J95">
            <v>0</v>
          </cell>
          <cell r="K95">
            <v>0</v>
          </cell>
        </row>
        <row r="96">
          <cell r="J96">
            <v>0</v>
          </cell>
          <cell r="K96">
            <v>0</v>
          </cell>
        </row>
        <row r="97">
          <cell r="J97">
            <v>0</v>
          </cell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0</v>
          </cell>
        </row>
        <row r="107">
          <cell r="K107">
            <v>0</v>
          </cell>
        </row>
        <row r="108">
          <cell r="K108">
            <v>0</v>
          </cell>
        </row>
        <row r="109">
          <cell r="K109">
            <v>0</v>
          </cell>
        </row>
        <row r="110">
          <cell r="K110">
            <v>0</v>
          </cell>
        </row>
        <row r="111">
          <cell r="K111">
            <v>0</v>
          </cell>
        </row>
        <row r="112">
          <cell r="K112">
            <v>0</v>
          </cell>
        </row>
        <row r="113">
          <cell r="K113">
            <v>0</v>
          </cell>
        </row>
        <row r="120">
          <cell r="J120">
            <v>40228</v>
          </cell>
          <cell r="K120">
            <v>4.6900000000000004</v>
          </cell>
        </row>
        <row r="137">
          <cell r="J137">
            <v>0</v>
          </cell>
          <cell r="K137">
            <v>0</v>
          </cell>
        </row>
        <row r="159">
          <cell r="J159">
            <v>0</v>
          </cell>
          <cell r="K159">
            <v>0</v>
          </cell>
        </row>
        <row r="160">
          <cell r="J160">
            <v>0</v>
          </cell>
        </row>
        <row r="161">
          <cell r="J161">
            <v>42767</v>
          </cell>
          <cell r="K161">
            <v>605.44000000000005</v>
          </cell>
        </row>
        <row r="162">
          <cell r="J162">
            <v>0</v>
          </cell>
        </row>
        <row r="163">
          <cell r="J163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J167">
            <v>0</v>
          </cell>
          <cell r="K167">
            <v>0</v>
          </cell>
        </row>
        <row r="170">
          <cell r="J170">
            <v>0</v>
          </cell>
          <cell r="K170">
            <v>0</v>
          </cell>
        </row>
        <row r="174">
          <cell r="J174">
            <v>0</v>
          </cell>
          <cell r="K174">
            <v>0</v>
          </cell>
        </row>
        <row r="177"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J185">
            <v>0</v>
          </cell>
          <cell r="K185">
            <v>0</v>
          </cell>
        </row>
        <row r="186">
          <cell r="J186">
            <v>0</v>
          </cell>
          <cell r="K186">
            <v>0</v>
          </cell>
        </row>
        <row r="187">
          <cell r="J187">
            <v>0</v>
          </cell>
          <cell r="K187">
            <v>0</v>
          </cell>
        </row>
        <row r="188">
          <cell r="J188">
            <v>0</v>
          </cell>
          <cell r="K188">
            <v>0</v>
          </cell>
        </row>
        <row r="189">
          <cell r="J189">
            <v>0</v>
          </cell>
          <cell r="K189">
            <v>0</v>
          </cell>
        </row>
        <row r="190">
          <cell r="J190">
            <v>0</v>
          </cell>
          <cell r="K190">
            <v>0</v>
          </cell>
        </row>
        <row r="191">
          <cell r="J191">
            <v>0</v>
          </cell>
          <cell r="K191">
            <v>0</v>
          </cell>
        </row>
        <row r="192">
          <cell r="J192">
            <v>0</v>
          </cell>
          <cell r="K192">
            <v>0</v>
          </cell>
        </row>
        <row r="193">
          <cell r="J193" t="str">
            <v>Pré-moldados de concreto</v>
          </cell>
          <cell r="K193">
            <v>0</v>
          </cell>
        </row>
        <row r="196">
          <cell r="J196">
            <v>0</v>
          </cell>
        </row>
        <row r="198">
          <cell r="J198">
            <v>0</v>
          </cell>
          <cell r="K198">
            <v>0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42685</v>
          </cell>
          <cell r="K201">
            <v>4199.6499999999996</v>
          </cell>
        </row>
        <row r="202">
          <cell r="J202">
            <v>0</v>
          </cell>
        </row>
        <row r="203">
          <cell r="J203">
            <v>0</v>
          </cell>
        </row>
        <row r="205">
          <cell r="J205">
            <v>0</v>
          </cell>
        </row>
        <row r="206">
          <cell r="J206">
            <v>0</v>
          </cell>
          <cell r="K206">
            <v>0</v>
          </cell>
        </row>
        <row r="212">
          <cell r="J212">
            <v>0</v>
          </cell>
          <cell r="K212">
            <v>0</v>
          </cell>
        </row>
        <row r="231">
          <cell r="J231" t="str">
            <v>Brita</v>
          </cell>
          <cell r="K231">
            <v>0</v>
          </cell>
        </row>
        <row r="233">
          <cell r="J233">
            <v>0</v>
          </cell>
        </row>
        <row r="235">
          <cell r="J235">
            <v>0</v>
          </cell>
          <cell r="K235">
            <v>0</v>
          </cell>
        </row>
        <row r="236">
          <cell r="J236">
            <v>0</v>
          </cell>
        </row>
        <row r="237">
          <cell r="J237">
            <v>0</v>
          </cell>
        </row>
        <row r="238">
          <cell r="J238">
            <v>40536</v>
          </cell>
          <cell r="K238">
            <v>3914.77</v>
          </cell>
        </row>
        <row r="239">
          <cell r="J239">
            <v>0</v>
          </cell>
        </row>
        <row r="240">
          <cell r="J240">
            <v>0</v>
          </cell>
        </row>
        <row r="242">
          <cell r="J242">
            <v>0</v>
          </cell>
        </row>
        <row r="243">
          <cell r="J243">
            <v>0</v>
          </cell>
          <cell r="K243">
            <v>0</v>
          </cell>
        </row>
        <row r="247">
          <cell r="J247">
            <v>0</v>
          </cell>
          <cell r="K247">
            <v>0</v>
          </cell>
        </row>
        <row r="263">
          <cell r="J263" t="str">
            <v>Brita</v>
          </cell>
          <cell r="K263">
            <v>0</v>
          </cell>
        </row>
        <row r="265">
          <cell r="J265">
            <v>0</v>
          </cell>
        </row>
        <row r="267">
          <cell r="J267">
            <v>0</v>
          </cell>
          <cell r="K267">
            <v>0</v>
          </cell>
        </row>
        <row r="268">
          <cell r="J268">
            <v>0</v>
          </cell>
        </row>
        <row r="271">
          <cell r="J271">
            <v>40673</v>
          </cell>
          <cell r="K271">
            <v>80.97</v>
          </cell>
        </row>
        <row r="278">
          <cell r="J278">
            <v>0</v>
          </cell>
          <cell r="K278">
            <v>0</v>
          </cell>
        </row>
        <row r="279">
          <cell r="J279">
            <v>0</v>
          </cell>
          <cell r="K279">
            <v>0</v>
          </cell>
        </row>
        <row r="280">
          <cell r="J280">
            <v>0</v>
          </cell>
          <cell r="K280">
            <v>0</v>
          </cell>
        </row>
        <row r="281">
          <cell r="J281">
            <v>0</v>
          </cell>
          <cell r="K281">
            <v>0</v>
          </cell>
        </row>
        <row r="282">
          <cell r="J282">
            <v>0</v>
          </cell>
          <cell r="K282">
            <v>0</v>
          </cell>
        </row>
        <row r="283">
          <cell r="J283">
            <v>0</v>
          </cell>
          <cell r="K283">
            <v>0</v>
          </cell>
        </row>
        <row r="284">
          <cell r="J284">
            <v>0</v>
          </cell>
          <cell r="K284">
            <v>0</v>
          </cell>
        </row>
        <row r="285">
          <cell r="J285">
            <v>0</v>
          </cell>
          <cell r="K285">
            <v>0</v>
          </cell>
        </row>
        <row r="286">
          <cell r="J286">
            <v>0</v>
          </cell>
          <cell r="K286">
            <v>0</v>
          </cell>
        </row>
        <row r="287">
          <cell r="J287">
            <v>0</v>
          </cell>
          <cell r="K287">
            <v>0</v>
          </cell>
        </row>
        <row r="288">
          <cell r="J288">
            <v>0</v>
          </cell>
          <cell r="K288">
            <v>0</v>
          </cell>
        </row>
        <row r="289">
          <cell r="J289">
            <v>0</v>
          </cell>
          <cell r="K289">
            <v>0</v>
          </cell>
        </row>
        <row r="290">
          <cell r="J290">
            <v>0</v>
          </cell>
          <cell r="K290">
            <v>0</v>
          </cell>
        </row>
        <row r="291">
          <cell r="J291">
            <v>0</v>
          </cell>
          <cell r="K291">
            <v>0</v>
          </cell>
        </row>
        <row r="292">
          <cell r="J292">
            <v>0</v>
          </cell>
          <cell r="K292">
            <v>0</v>
          </cell>
        </row>
        <row r="293">
          <cell r="J293">
            <v>0</v>
          </cell>
          <cell r="K293">
            <v>0</v>
          </cell>
        </row>
        <row r="295">
          <cell r="J295">
            <v>0</v>
          </cell>
          <cell r="K295">
            <v>0</v>
          </cell>
        </row>
        <row r="306">
          <cell r="J306">
            <v>0</v>
          </cell>
        </row>
        <row r="307">
          <cell r="J307">
            <v>41176</v>
          </cell>
          <cell r="K307">
            <v>51.86</v>
          </cell>
        </row>
        <row r="308">
          <cell r="J308">
            <v>0</v>
          </cell>
        </row>
        <row r="309">
          <cell r="J309">
            <v>0</v>
          </cell>
        </row>
        <row r="310">
          <cell r="J310">
            <v>0</v>
          </cell>
        </row>
        <row r="311">
          <cell r="J311">
            <v>0</v>
          </cell>
        </row>
        <row r="312">
          <cell r="J312">
            <v>0</v>
          </cell>
          <cell r="K312">
            <v>0</v>
          </cell>
        </row>
        <row r="318">
          <cell r="J318">
            <v>0</v>
          </cell>
          <cell r="K318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0</v>
          </cell>
        </row>
        <row r="324">
          <cell r="K324">
            <v>0</v>
          </cell>
        </row>
        <row r="325">
          <cell r="K325">
            <v>0</v>
          </cell>
        </row>
        <row r="326">
          <cell r="K326">
            <v>0</v>
          </cell>
        </row>
        <row r="327">
          <cell r="K327">
            <v>0</v>
          </cell>
        </row>
        <row r="328">
          <cell r="K328">
            <v>0</v>
          </cell>
        </row>
        <row r="329">
          <cell r="K329">
            <v>0</v>
          </cell>
        </row>
        <row r="330">
          <cell r="K330">
            <v>0</v>
          </cell>
        </row>
        <row r="331">
          <cell r="K331">
            <v>0</v>
          </cell>
        </row>
        <row r="332">
          <cell r="K332">
            <v>0</v>
          </cell>
        </row>
        <row r="333">
          <cell r="K333">
            <v>0</v>
          </cell>
        </row>
        <row r="334">
          <cell r="K334">
            <v>0</v>
          </cell>
        </row>
        <row r="335">
          <cell r="J335">
            <v>0</v>
          </cell>
          <cell r="K335">
            <v>0</v>
          </cell>
        </row>
        <row r="336">
          <cell r="K336">
            <v>0</v>
          </cell>
        </row>
        <row r="337">
          <cell r="J337">
            <v>0</v>
          </cell>
          <cell r="K337">
            <v>0</v>
          </cell>
        </row>
        <row r="338">
          <cell r="J338">
            <v>0</v>
          </cell>
        </row>
        <row r="340">
          <cell r="J340">
            <v>40662</v>
          </cell>
          <cell r="K340">
            <v>61</v>
          </cell>
        </row>
        <row r="359">
          <cell r="J359">
            <v>0</v>
          </cell>
          <cell r="K359">
            <v>0</v>
          </cell>
        </row>
        <row r="360">
          <cell r="J360">
            <v>0</v>
          </cell>
          <cell r="K360">
            <v>0</v>
          </cell>
        </row>
        <row r="361">
          <cell r="J361">
            <v>0</v>
          </cell>
          <cell r="K361">
            <v>0</v>
          </cell>
        </row>
        <row r="362">
          <cell r="J362">
            <v>0</v>
          </cell>
          <cell r="K362">
            <v>0</v>
          </cell>
        </row>
        <row r="363">
          <cell r="J363">
            <v>0</v>
          </cell>
          <cell r="K363">
            <v>0</v>
          </cell>
        </row>
        <row r="375">
          <cell r="J375">
            <v>40667</v>
          </cell>
          <cell r="K375">
            <v>95.08</v>
          </cell>
        </row>
        <row r="388">
          <cell r="J388">
            <v>0</v>
          </cell>
          <cell r="K388">
            <v>0</v>
          </cell>
        </row>
        <row r="389">
          <cell r="J389">
            <v>0</v>
          </cell>
          <cell r="K389">
            <v>0</v>
          </cell>
        </row>
        <row r="390">
          <cell r="J390">
            <v>0</v>
          </cell>
          <cell r="K390">
            <v>0</v>
          </cell>
        </row>
        <row r="391">
          <cell r="J391">
            <v>0</v>
          </cell>
          <cell r="K391">
            <v>0</v>
          </cell>
        </row>
        <row r="392">
          <cell r="J392">
            <v>0</v>
          </cell>
          <cell r="K392">
            <v>0</v>
          </cell>
        </row>
        <row r="393">
          <cell r="J393">
            <v>0</v>
          </cell>
          <cell r="K393">
            <v>0</v>
          </cell>
        </row>
        <row r="394">
          <cell r="J394">
            <v>0</v>
          </cell>
          <cell r="K394">
            <v>0</v>
          </cell>
        </row>
        <row r="395">
          <cell r="J395">
            <v>0</v>
          </cell>
          <cell r="K395">
            <v>0</v>
          </cell>
        </row>
        <row r="396">
          <cell r="J396">
            <v>0</v>
          </cell>
          <cell r="K396">
            <v>0</v>
          </cell>
        </row>
        <row r="397">
          <cell r="J397">
            <v>0</v>
          </cell>
          <cell r="K397">
            <v>0</v>
          </cell>
        </row>
        <row r="398">
          <cell r="J398">
            <v>0</v>
          </cell>
          <cell r="K398">
            <v>0</v>
          </cell>
        </row>
        <row r="399">
          <cell r="J399">
            <v>0</v>
          </cell>
          <cell r="K399">
            <v>0</v>
          </cell>
        </row>
        <row r="400">
          <cell r="J400">
            <v>0</v>
          </cell>
          <cell r="K400">
            <v>0</v>
          </cell>
        </row>
        <row r="401">
          <cell r="J401">
            <v>0</v>
          </cell>
          <cell r="K401">
            <v>0</v>
          </cell>
        </row>
        <row r="402">
          <cell r="J402">
            <v>0</v>
          </cell>
          <cell r="K402">
            <v>0</v>
          </cell>
        </row>
        <row r="403">
          <cell r="J403">
            <v>0</v>
          </cell>
          <cell r="K403">
            <v>0</v>
          </cell>
        </row>
        <row r="405">
          <cell r="J405" t="str">
            <v>Brita</v>
          </cell>
        </row>
        <row r="413">
          <cell r="J413">
            <v>40754</v>
          </cell>
          <cell r="K413">
            <v>1.18</v>
          </cell>
        </row>
        <row r="416">
          <cell r="J416">
            <v>0</v>
          </cell>
          <cell r="K416">
            <v>0</v>
          </cell>
        </row>
        <row r="417">
          <cell r="J417">
            <v>0</v>
          </cell>
          <cell r="K417">
            <v>0</v>
          </cell>
        </row>
        <row r="418">
          <cell r="J418">
            <v>0</v>
          </cell>
          <cell r="K418">
            <v>0</v>
          </cell>
        </row>
        <row r="419">
          <cell r="J419">
            <v>0</v>
          </cell>
          <cell r="K419">
            <v>0</v>
          </cell>
        </row>
        <row r="420">
          <cell r="J420">
            <v>0</v>
          </cell>
          <cell r="K420">
            <v>0</v>
          </cell>
        </row>
        <row r="421">
          <cell r="J421">
            <v>0</v>
          </cell>
          <cell r="K421">
            <v>0</v>
          </cell>
        </row>
        <row r="422">
          <cell r="J422">
            <v>0</v>
          </cell>
          <cell r="K422">
            <v>0</v>
          </cell>
        </row>
        <row r="423">
          <cell r="J423">
            <v>0</v>
          </cell>
          <cell r="K423">
            <v>0</v>
          </cell>
        </row>
        <row r="424">
          <cell r="J424">
            <v>0</v>
          </cell>
          <cell r="K424">
            <v>0</v>
          </cell>
        </row>
        <row r="425">
          <cell r="J425">
            <v>0</v>
          </cell>
          <cell r="K425">
            <v>0</v>
          </cell>
        </row>
        <row r="426">
          <cell r="J426">
            <v>0</v>
          </cell>
          <cell r="K426">
            <v>0</v>
          </cell>
        </row>
        <row r="427">
          <cell r="J427">
            <v>0</v>
          </cell>
          <cell r="K427">
            <v>0</v>
          </cell>
        </row>
        <row r="428">
          <cell r="J428">
            <v>0</v>
          </cell>
          <cell r="K428">
            <v>0</v>
          </cell>
        </row>
        <row r="429">
          <cell r="J429">
            <v>0</v>
          </cell>
          <cell r="K429">
            <v>0</v>
          </cell>
        </row>
        <row r="430">
          <cell r="J430">
            <v>0</v>
          </cell>
          <cell r="K430">
            <v>0</v>
          </cell>
        </row>
        <row r="431">
          <cell r="J431">
            <v>0</v>
          </cell>
          <cell r="K431">
            <v>0</v>
          </cell>
        </row>
        <row r="432">
          <cell r="J432">
            <v>0</v>
          </cell>
          <cell r="K432">
            <v>0</v>
          </cell>
        </row>
        <row r="433">
          <cell r="J433">
            <v>0</v>
          </cell>
          <cell r="K433">
            <v>0</v>
          </cell>
        </row>
        <row r="434">
          <cell r="J434">
            <v>0</v>
          </cell>
          <cell r="K434">
            <v>0</v>
          </cell>
        </row>
        <row r="435">
          <cell r="J435">
            <v>0</v>
          </cell>
          <cell r="K435">
            <v>0</v>
          </cell>
        </row>
        <row r="436">
          <cell r="J436">
            <v>0</v>
          </cell>
          <cell r="K436">
            <v>0</v>
          </cell>
        </row>
        <row r="437">
          <cell r="J437">
            <v>0</v>
          </cell>
          <cell r="K437">
            <v>0</v>
          </cell>
        </row>
        <row r="438">
          <cell r="J438">
            <v>0</v>
          </cell>
          <cell r="K438">
            <v>0</v>
          </cell>
        </row>
        <row r="439">
          <cell r="J439">
            <v>0</v>
          </cell>
          <cell r="K439">
            <v>0</v>
          </cell>
        </row>
        <row r="440">
          <cell r="J440">
            <v>0</v>
          </cell>
          <cell r="K440">
            <v>0</v>
          </cell>
        </row>
        <row r="441">
          <cell r="J441">
            <v>0</v>
          </cell>
          <cell r="K441">
            <v>0</v>
          </cell>
        </row>
        <row r="442">
          <cell r="J442">
            <v>0</v>
          </cell>
          <cell r="K442">
            <v>0</v>
          </cell>
        </row>
        <row r="443">
          <cell r="J443">
            <v>0</v>
          </cell>
          <cell r="K443">
            <v>0</v>
          </cell>
        </row>
        <row r="444">
          <cell r="J444">
            <v>0</v>
          </cell>
          <cell r="K444">
            <v>0</v>
          </cell>
        </row>
        <row r="445">
          <cell r="J445">
            <v>0</v>
          </cell>
          <cell r="K445">
            <v>0</v>
          </cell>
        </row>
        <row r="447">
          <cell r="J447" t="str">
            <v>Areia</v>
          </cell>
        </row>
        <row r="453">
          <cell r="J453">
            <v>0</v>
          </cell>
          <cell r="K453">
            <v>0</v>
          </cell>
        </row>
        <row r="454">
          <cell r="J454">
            <v>40284</v>
          </cell>
          <cell r="K454">
            <v>15.17</v>
          </cell>
        </row>
        <row r="456">
          <cell r="J456">
            <v>0</v>
          </cell>
          <cell r="K456">
            <v>0</v>
          </cell>
        </row>
        <row r="457">
          <cell r="J457">
            <v>0</v>
          </cell>
          <cell r="K457">
            <v>0</v>
          </cell>
        </row>
        <row r="458">
          <cell r="J458">
            <v>0</v>
          </cell>
          <cell r="K458">
            <v>0</v>
          </cell>
        </row>
        <row r="459">
          <cell r="J459">
            <v>0</v>
          </cell>
          <cell r="K459">
            <v>0</v>
          </cell>
        </row>
        <row r="460">
          <cell r="J460">
            <v>0</v>
          </cell>
          <cell r="K460">
            <v>0</v>
          </cell>
        </row>
        <row r="461">
          <cell r="J461">
            <v>0</v>
          </cell>
          <cell r="K461">
            <v>0</v>
          </cell>
        </row>
        <row r="462">
          <cell r="J462">
            <v>0</v>
          </cell>
          <cell r="K462">
            <v>0</v>
          </cell>
        </row>
        <row r="463">
          <cell r="J463">
            <v>0</v>
          </cell>
          <cell r="K463">
            <v>0</v>
          </cell>
        </row>
        <row r="464">
          <cell r="J464">
            <v>0</v>
          </cell>
          <cell r="K464">
            <v>0</v>
          </cell>
        </row>
        <row r="465">
          <cell r="J465">
            <v>0</v>
          </cell>
          <cell r="K465">
            <v>0</v>
          </cell>
        </row>
        <row r="466">
          <cell r="J466">
            <v>0</v>
          </cell>
          <cell r="K466">
            <v>0</v>
          </cell>
        </row>
        <row r="467">
          <cell r="J467">
            <v>0</v>
          </cell>
          <cell r="K467">
            <v>0</v>
          </cell>
        </row>
        <row r="468">
          <cell r="J468">
            <v>0</v>
          </cell>
          <cell r="K468">
            <v>0</v>
          </cell>
        </row>
        <row r="469">
          <cell r="J469">
            <v>0</v>
          </cell>
          <cell r="K469">
            <v>0</v>
          </cell>
        </row>
        <row r="470">
          <cell r="J470">
            <v>0</v>
          </cell>
          <cell r="K470">
            <v>0</v>
          </cell>
        </row>
        <row r="471">
          <cell r="K471">
            <v>0</v>
          </cell>
        </row>
        <row r="472">
          <cell r="K472">
            <v>0</v>
          </cell>
        </row>
        <row r="473">
          <cell r="K473">
            <v>0</v>
          </cell>
        </row>
        <row r="474">
          <cell r="K474">
            <v>0</v>
          </cell>
        </row>
        <row r="475">
          <cell r="K475">
            <v>0</v>
          </cell>
        </row>
        <row r="476">
          <cell r="K476">
            <v>0</v>
          </cell>
        </row>
        <row r="477">
          <cell r="K477">
            <v>0</v>
          </cell>
        </row>
        <row r="478">
          <cell r="K478">
            <v>0</v>
          </cell>
        </row>
        <row r="479">
          <cell r="K479">
            <v>0</v>
          </cell>
        </row>
        <row r="480">
          <cell r="K480">
            <v>0</v>
          </cell>
        </row>
        <row r="481">
          <cell r="K481">
            <v>0</v>
          </cell>
        </row>
        <row r="482">
          <cell r="K482">
            <v>0</v>
          </cell>
        </row>
        <row r="483">
          <cell r="K483">
            <v>0</v>
          </cell>
        </row>
        <row r="484">
          <cell r="K484">
            <v>0</v>
          </cell>
        </row>
        <row r="485">
          <cell r="K485">
            <v>0</v>
          </cell>
        </row>
        <row r="486">
          <cell r="K486">
            <v>0</v>
          </cell>
        </row>
        <row r="488">
          <cell r="J488">
            <v>0</v>
          </cell>
        </row>
        <row r="491">
          <cell r="J491">
            <v>40780</v>
          </cell>
          <cell r="K491">
            <v>114.27</v>
          </cell>
        </row>
        <row r="511">
          <cell r="J511">
            <v>0</v>
          </cell>
          <cell r="K511">
            <v>0</v>
          </cell>
        </row>
        <row r="518">
          <cell r="J518">
            <v>0</v>
          </cell>
          <cell r="K518">
            <v>0</v>
          </cell>
        </row>
        <row r="526">
          <cell r="J526" t="str">
            <v>Brita</v>
          </cell>
          <cell r="K526">
            <v>0</v>
          </cell>
        </row>
        <row r="529">
          <cell r="J529">
            <v>0</v>
          </cell>
        </row>
        <row r="531">
          <cell r="J531">
            <v>0</v>
          </cell>
          <cell r="K531">
            <v>0</v>
          </cell>
        </row>
        <row r="535">
          <cell r="J535">
            <v>43335</v>
          </cell>
          <cell r="K535">
            <v>2.46</v>
          </cell>
        </row>
        <row r="548">
          <cell r="J548">
            <v>0</v>
          </cell>
          <cell r="K548">
            <v>0</v>
          </cell>
        </row>
        <row r="549">
          <cell r="J549">
            <v>0</v>
          </cell>
          <cell r="K549">
            <v>0</v>
          </cell>
        </row>
        <row r="550">
          <cell r="J550">
            <v>0</v>
          </cell>
          <cell r="K550">
            <v>0</v>
          </cell>
        </row>
        <row r="551">
          <cell r="J551">
            <v>0</v>
          </cell>
          <cell r="K551">
            <v>0</v>
          </cell>
        </row>
        <row r="552">
          <cell r="J552">
            <v>0</v>
          </cell>
          <cell r="K552">
            <v>0</v>
          </cell>
        </row>
        <row r="553">
          <cell r="J553">
            <v>0</v>
          </cell>
          <cell r="K553">
            <v>0</v>
          </cell>
        </row>
        <row r="554">
          <cell r="J554">
            <v>0</v>
          </cell>
          <cell r="K554">
            <v>0</v>
          </cell>
        </row>
        <row r="555">
          <cell r="J555">
            <v>0</v>
          </cell>
          <cell r="K555">
            <v>0</v>
          </cell>
        </row>
        <row r="556">
          <cell r="J556">
            <v>0</v>
          </cell>
          <cell r="K556">
            <v>0</v>
          </cell>
        </row>
        <row r="557">
          <cell r="J557">
            <v>0</v>
          </cell>
          <cell r="K557">
            <v>0</v>
          </cell>
        </row>
        <row r="558">
          <cell r="J558">
            <v>0</v>
          </cell>
          <cell r="K558">
            <v>0</v>
          </cell>
        </row>
        <row r="559">
          <cell r="J559">
            <v>0</v>
          </cell>
          <cell r="K559">
            <v>0</v>
          </cell>
        </row>
        <row r="560">
          <cell r="J560">
            <v>0</v>
          </cell>
          <cell r="K560">
            <v>0</v>
          </cell>
        </row>
        <row r="561">
          <cell r="J561">
            <v>0</v>
          </cell>
          <cell r="K561">
            <v>0</v>
          </cell>
        </row>
        <row r="562">
          <cell r="J562">
            <v>0</v>
          </cell>
          <cell r="K562">
            <v>0</v>
          </cell>
        </row>
        <row r="563">
          <cell r="J563">
            <v>0</v>
          </cell>
          <cell r="K563">
            <v>0</v>
          </cell>
        </row>
        <row r="572">
          <cell r="J572">
            <v>40812</v>
          </cell>
          <cell r="K572">
            <v>96.99</v>
          </cell>
        </row>
        <row r="589">
          <cell r="J589">
            <v>0</v>
          </cell>
          <cell r="K589">
            <v>0</v>
          </cell>
        </row>
        <row r="596">
          <cell r="J596">
            <v>0</v>
          </cell>
          <cell r="K596">
            <v>0</v>
          </cell>
        </row>
        <row r="606">
          <cell r="J606">
            <v>0</v>
          </cell>
        </row>
        <row r="608">
          <cell r="J608">
            <v>0</v>
          </cell>
          <cell r="K608">
            <v>0</v>
          </cell>
        </row>
        <row r="610">
          <cell r="J610">
            <v>40816</v>
          </cell>
          <cell r="K610">
            <v>0.8</v>
          </cell>
        </row>
        <row r="621">
          <cell r="J621">
            <v>0</v>
          </cell>
          <cell r="K621">
            <v>0</v>
          </cell>
        </row>
        <row r="622">
          <cell r="J622">
            <v>0</v>
          </cell>
          <cell r="K622">
            <v>0</v>
          </cell>
        </row>
        <row r="623">
          <cell r="J623">
            <v>0</v>
          </cell>
          <cell r="K623">
            <v>0</v>
          </cell>
        </row>
        <row r="624">
          <cell r="J624">
            <v>0</v>
          </cell>
          <cell r="K624">
            <v>0</v>
          </cell>
        </row>
        <row r="625">
          <cell r="J625">
            <v>0</v>
          </cell>
          <cell r="K625">
            <v>0</v>
          </cell>
        </row>
        <row r="626">
          <cell r="J626">
            <v>0</v>
          </cell>
          <cell r="K626">
            <v>0</v>
          </cell>
        </row>
        <row r="627">
          <cell r="J627">
            <v>0</v>
          </cell>
          <cell r="K627">
            <v>0</v>
          </cell>
        </row>
        <row r="628">
          <cell r="J628">
            <v>0</v>
          </cell>
          <cell r="K628">
            <v>0</v>
          </cell>
        </row>
        <row r="629">
          <cell r="J629">
            <v>0</v>
          </cell>
          <cell r="K629">
            <v>0</v>
          </cell>
        </row>
        <row r="630">
          <cell r="J630">
            <v>0</v>
          </cell>
          <cell r="K630">
            <v>0</v>
          </cell>
        </row>
        <row r="631">
          <cell r="J631">
            <v>0</v>
          </cell>
          <cell r="K631">
            <v>0</v>
          </cell>
        </row>
        <row r="632">
          <cell r="J632">
            <v>0</v>
          </cell>
          <cell r="K632">
            <v>0</v>
          </cell>
        </row>
        <row r="633">
          <cell r="J633">
            <v>0</v>
          </cell>
          <cell r="K633">
            <v>0</v>
          </cell>
        </row>
        <row r="634">
          <cell r="J634">
            <v>0</v>
          </cell>
          <cell r="K634">
            <v>0</v>
          </cell>
        </row>
        <row r="635">
          <cell r="J635">
            <v>0</v>
          </cell>
          <cell r="K635">
            <v>0</v>
          </cell>
        </row>
        <row r="636">
          <cell r="J636">
            <v>0</v>
          </cell>
          <cell r="K636">
            <v>0</v>
          </cell>
        </row>
        <row r="646">
          <cell r="J646">
            <v>40843</v>
          </cell>
          <cell r="K646">
            <v>137.66999999999999</v>
          </cell>
        </row>
        <row r="652">
          <cell r="J652">
            <v>0</v>
          </cell>
          <cell r="K652">
            <v>0</v>
          </cell>
        </row>
        <row r="653">
          <cell r="J653">
            <v>0</v>
          </cell>
          <cell r="K653">
            <v>0</v>
          </cell>
        </row>
        <row r="654">
          <cell r="J654">
            <v>0</v>
          </cell>
          <cell r="K654">
            <v>0</v>
          </cell>
        </row>
        <row r="655">
          <cell r="J655">
            <v>0</v>
          </cell>
          <cell r="K655">
            <v>0</v>
          </cell>
        </row>
        <row r="656">
          <cell r="J656">
            <v>0</v>
          </cell>
          <cell r="K656">
            <v>0</v>
          </cell>
        </row>
        <row r="657">
          <cell r="J657">
            <v>0</v>
          </cell>
          <cell r="K657">
            <v>0</v>
          </cell>
        </row>
        <row r="658">
          <cell r="J658">
            <v>0</v>
          </cell>
          <cell r="K658">
            <v>0</v>
          </cell>
        </row>
        <row r="659">
          <cell r="J659">
            <v>0</v>
          </cell>
          <cell r="K659">
            <v>0</v>
          </cell>
        </row>
        <row r="660">
          <cell r="J660">
            <v>0</v>
          </cell>
          <cell r="K660">
            <v>0</v>
          </cell>
        </row>
        <row r="661">
          <cell r="J661">
            <v>0</v>
          </cell>
          <cell r="K661">
            <v>0</v>
          </cell>
        </row>
        <row r="662">
          <cell r="J662">
            <v>0</v>
          </cell>
          <cell r="K662">
            <v>0</v>
          </cell>
        </row>
        <row r="663">
          <cell r="J663">
            <v>0</v>
          </cell>
          <cell r="K663">
            <v>0</v>
          </cell>
        </row>
        <row r="664">
          <cell r="J664">
            <v>0</v>
          </cell>
          <cell r="K664">
            <v>0</v>
          </cell>
        </row>
        <row r="665">
          <cell r="J665">
            <v>0</v>
          </cell>
          <cell r="K665">
            <v>0</v>
          </cell>
        </row>
        <row r="666">
          <cell r="J666">
            <v>0</v>
          </cell>
          <cell r="K666">
            <v>0</v>
          </cell>
        </row>
        <row r="667">
          <cell r="J667">
            <v>0</v>
          </cell>
          <cell r="K667">
            <v>0</v>
          </cell>
        </row>
        <row r="676">
          <cell r="J676">
            <v>0</v>
          </cell>
          <cell r="K676">
            <v>0</v>
          </cell>
        </row>
        <row r="677">
          <cell r="J677">
            <v>0</v>
          </cell>
          <cell r="K677">
            <v>0</v>
          </cell>
        </row>
        <row r="681">
          <cell r="J681" t="str">
            <v>Brita</v>
          </cell>
        </row>
        <row r="682">
          <cell r="J682" t="str">
            <v>Produto Pétreo</v>
          </cell>
          <cell r="K682">
            <v>0</v>
          </cell>
        </row>
        <row r="683">
          <cell r="J683" t="str">
            <v>Produto Pétreo</v>
          </cell>
          <cell r="K683">
            <v>0</v>
          </cell>
        </row>
        <row r="686">
          <cell r="J686">
            <v>0</v>
          </cell>
        </row>
        <row r="692">
          <cell r="J692">
            <v>40884</v>
          </cell>
          <cell r="K692">
            <v>96.9</v>
          </cell>
        </row>
        <row r="697">
          <cell r="J697">
            <v>0</v>
          </cell>
          <cell r="K697">
            <v>0</v>
          </cell>
        </row>
        <row r="698">
          <cell r="J698">
            <v>0</v>
          </cell>
          <cell r="K698">
            <v>0</v>
          </cell>
        </row>
        <row r="699">
          <cell r="J699">
            <v>0</v>
          </cell>
          <cell r="K699">
            <v>0</v>
          </cell>
        </row>
        <row r="700">
          <cell r="J700">
            <v>0</v>
          </cell>
          <cell r="K700">
            <v>0</v>
          </cell>
        </row>
        <row r="701">
          <cell r="J701">
            <v>0</v>
          </cell>
          <cell r="K701">
            <v>0</v>
          </cell>
        </row>
        <row r="702">
          <cell r="J702">
            <v>0</v>
          </cell>
          <cell r="K702">
            <v>0</v>
          </cell>
        </row>
        <row r="703">
          <cell r="J703">
            <v>0</v>
          </cell>
          <cell r="K703">
            <v>0</v>
          </cell>
        </row>
        <row r="704">
          <cell r="J704">
            <v>0</v>
          </cell>
          <cell r="K704">
            <v>0</v>
          </cell>
        </row>
        <row r="705">
          <cell r="J705">
            <v>0</v>
          </cell>
          <cell r="K705">
            <v>0</v>
          </cell>
        </row>
        <row r="706">
          <cell r="J706">
            <v>0</v>
          </cell>
          <cell r="K706">
            <v>0</v>
          </cell>
        </row>
        <row r="707">
          <cell r="J707">
            <v>0</v>
          </cell>
          <cell r="K707">
            <v>0</v>
          </cell>
        </row>
        <row r="708">
          <cell r="J708">
            <v>0</v>
          </cell>
          <cell r="K708">
            <v>0</v>
          </cell>
        </row>
        <row r="709">
          <cell r="J709">
            <v>0</v>
          </cell>
          <cell r="K709">
            <v>0</v>
          </cell>
        </row>
        <row r="710">
          <cell r="J710">
            <v>0</v>
          </cell>
          <cell r="K710">
            <v>0</v>
          </cell>
        </row>
        <row r="711">
          <cell r="J711">
            <v>0</v>
          </cell>
          <cell r="K711">
            <v>0</v>
          </cell>
        </row>
        <row r="712">
          <cell r="J712">
            <v>0</v>
          </cell>
          <cell r="K712">
            <v>0</v>
          </cell>
        </row>
        <row r="717">
          <cell r="J717">
            <v>0</v>
          </cell>
          <cell r="K717">
            <v>0</v>
          </cell>
        </row>
        <row r="721">
          <cell r="J721" t="str">
            <v>Areia</v>
          </cell>
        </row>
        <row r="722">
          <cell r="J722" t="str">
            <v>Pré-moldados de concreto</v>
          </cell>
          <cell r="K722">
            <v>0</v>
          </cell>
        </row>
        <row r="726">
          <cell r="J726">
            <v>0</v>
          </cell>
          <cell r="K726">
            <v>0</v>
          </cell>
        </row>
        <row r="727">
          <cell r="J727">
            <v>0</v>
          </cell>
          <cell r="K727">
            <v>0</v>
          </cell>
        </row>
        <row r="729">
          <cell r="J729">
            <v>40968</v>
          </cell>
          <cell r="K729">
            <v>3577.74</v>
          </cell>
        </row>
        <row r="738">
          <cell r="J738">
            <v>0</v>
          </cell>
          <cell r="K738">
            <v>0</v>
          </cell>
        </row>
        <row r="739">
          <cell r="J739">
            <v>0</v>
          </cell>
          <cell r="K739">
            <v>0</v>
          </cell>
        </row>
        <row r="740">
          <cell r="J740">
            <v>0</v>
          </cell>
          <cell r="K740">
            <v>0</v>
          </cell>
        </row>
        <row r="741">
          <cell r="J741">
            <v>0</v>
          </cell>
          <cell r="K741">
            <v>0</v>
          </cell>
        </row>
        <row r="742">
          <cell r="J742">
            <v>0</v>
          </cell>
          <cell r="K742">
            <v>0</v>
          </cell>
        </row>
        <row r="743">
          <cell r="J743">
            <v>0</v>
          </cell>
          <cell r="K743">
            <v>0</v>
          </cell>
        </row>
        <row r="744">
          <cell r="J744">
            <v>0</v>
          </cell>
          <cell r="K744">
            <v>0</v>
          </cell>
        </row>
        <row r="745">
          <cell r="J745">
            <v>0</v>
          </cell>
          <cell r="K745">
            <v>0</v>
          </cell>
        </row>
        <row r="746">
          <cell r="J746">
            <v>0</v>
          </cell>
          <cell r="K746">
            <v>0</v>
          </cell>
        </row>
        <row r="747">
          <cell r="J747">
            <v>0</v>
          </cell>
          <cell r="K747">
            <v>0</v>
          </cell>
        </row>
        <row r="748">
          <cell r="J748">
            <v>0</v>
          </cell>
          <cell r="K748">
            <v>0</v>
          </cell>
        </row>
        <row r="749">
          <cell r="J749">
            <v>0</v>
          </cell>
          <cell r="K749">
            <v>0</v>
          </cell>
        </row>
        <row r="750">
          <cell r="J750">
            <v>0</v>
          </cell>
          <cell r="K750">
            <v>0</v>
          </cell>
        </row>
        <row r="751">
          <cell r="J751">
            <v>0</v>
          </cell>
          <cell r="K751">
            <v>0</v>
          </cell>
        </row>
        <row r="752">
          <cell r="J752">
            <v>0</v>
          </cell>
          <cell r="K752">
            <v>0</v>
          </cell>
        </row>
        <row r="753">
          <cell r="J753">
            <v>0</v>
          </cell>
          <cell r="K753">
            <v>0</v>
          </cell>
        </row>
        <row r="756">
          <cell r="J756" t="str">
            <v>Madeira em Geral</v>
          </cell>
        </row>
        <row r="761">
          <cell r="K761">
            <v>0</v>
          </cell>
        </row>
        <row r="762">
          <cell r="K762">
            <v>0</v>
          </cell>
        </row>
        <row r="763">
          <cell r="J763">
            <v>41360</v>
          </cell>
          <cell r="K763">
            <v>2063.86</v>
          </cell>
        </row>
        <row r="770">
          <cell r="J770">
            <v>0</v>
          </cell>
          <cell r="K770">
            <v>0</v>
          </cell>
        </row>
        <row r="771">
          <cell r="J771">
            <v>0</v>
          </cell>
          <cell r="K771">
            <v>0</v>
          </cell>
        </row>
        <row r="772">
          <cell r="J772">
            <v>0</v>
          </cell>
          <cell r="K772">
            <v>0</v>
          </cell>
        </row>
        <row r="773">
          <cell r="J773">
            <v>0</v>
          </cell>
          <cell r="K773">
            <v>0</v>
          </cell>
        </row>
        <row r="774">
          <cell r="J774">
            <v>0</v>
          </cell>
          <cell r="K774">
            <v>0</v>
          </cell>
        </row>
        <row r="775">
          <cell r="J775">
            <v>0</v>
          </cell>
          <cell r="K775">
            <v>0</v>
          </cell>
        </row>
        <row r="776">
          <cell r="J776">
            <v>0</v>
          </cell>
          <cell r="K776">
            <v>0</v>
          </cell>
        </row>
        <row r="777">
          <cell r="J777">
            <v>0</v>
          </cell>
          <cell r="K777">
            <v>0</v>
          </cell>
        </row>
        <row r="778">
          <cell r="J778">
            <v>0</v>
          </cell>
          <cell r="K778">
            <v>0</v>
          </cell>
        </row>
        <row r="779">
          <cell r="J779">
            <v>0</v>
          </cell>
          <cell r="K779">
            <v>0</v>
          </cell>
        </row>
        <row r="780">
          <cell r="J780">
            <v>0</v>
          </cell>
          <cell r="K780">
            <v>0</v>
          </cell>
        </row>
        <row r="781">
          <cell r="J781">
            <v>0</v>
          </cell>
          <cell r="K781">
            <v>0</v>
          </cell>
        </row>
        <row r="782">
          <cell r="J782">
            <v>0</v>
          </cell>
          <cell r="K782">
            <v>0</v>
          </cell>
        </row>
        <row r="790">
          <cell r="K790">
            <v>0</v>
          </cell>
        </row>
        <row r="791">
          <cell r="K791">
            <v>0</v>
          </cell>
        </row>
        <row r="792">
          <cell r="J792">
            <v>40976</v>
          </cell>
          <cell r="K792">
            <v>51900</v>
          </cell>
        </row>
        <row r="799">
          <cell r="J799">
            <v>0</v>
          </cell>
          <cell r="K799">
            <v>0</v>
          </cell>
        </row>
        <row r="800">
          <cell r="J800">
            <v>0</v>
          </cell>
          <cell r="K800">
            <v>0</v>
          </cell>
        </row>
        <row r="801">
          <cell r="J801">
            <v>0</v>
          </cell>
          <cell r="K801">
            <v>0</v>
          </cell>
        </row>
        <row r="802">
          <cell r="J802">
            <v>0</v>
          </cell>
          <cell r="K802">
            <v>0</v>
          </cell>
        </row>
        <row r="803">
          <cell r="J803">
            <v>0</v>
          </cell>
          <cell r="K803">
            <v>0</v>
          </cell>
        </row>
        <row r="804">
          <cell r="J804">
            <v>0</v>
          </cell>
          <cell r="K804">
            <v>0</v>
          </cell>
        </row>
        <row r="805">
          <cell r="J805">
            <v>0</v>
          </cell>
          <cell r="K805">
            <v>0</v>
          </cell>
        </row>
        <row r="806">
          <cell r="J806">
            <v>0</v>
          </cell>
          <cell r="K806">
            <v>0</v>
          </cell>
        </row>
        <row r="807">
          <cell r="J807">
            <v>0</v>
          </cell>
          <cell r="K807">
            <v>0</v>
          </cell>
        </row>
        <row r="808">
          <cell r="J808">
            <v>0</v>
          </cell>
          <cell r="K808">
            <v>0</v>
          </cell>
        </row>
        <row r="809">
          <cell r="J809">
            <v>0</v>
          </cell>
          <cell r="K809">
            <v>0</v>
          </cell>
        </row>
        <row r="810">
          <cell r="J810">
            <v>0</v>
          </cell>
          <cell r="K810">
            <v>0</v>
          </cell>
        </row>
        <row r="811">
          <cell r="J811">
            <v>0</v>
          </cell>
          <cell r="K811">
            <v>0</v>
          </cell>
        </row>
        <row r="820">
          <cell r="J820">
            <v>0</v>
          </cell>
          <cell r="K820">
            <v>0</v>
          </cell>
        </row>
        <row r="821">
          <cell r="J821">
            <v>40972</v>
          </cell>
          <cell r="K821">
            <v>0</v>
          </cell>
        </row>
        <row r="822">
          <cell r="J822">
            <v>0</v>
          </cell>
          <cell r="K822">
            <v>0</v>
          </cell>
        </row>
        <row r="823">
          <cell r="J823">
            <v>0</v>
          </cell>
          <cell r="K823">
            <v>0</v>
          </cell>
        </row>
        <row r="824">
          <cell r="J824">
            <v>0</v>
          </cell>
          <cell r="K824">
            <v>0</v>
          </cell>
        </row>
        <row r="825">
          <cell r="J825">
            <v>0</v>
          </cell>
          <cell r="K825">
            <v>0</v>
          </cell>
        </row>
        <row r="826">
          <cell r="J826">
            <v>0</v>
          </cell>
          <cell r="K826">
            <v>0</v>
          </cell>
        </row>
        <row r="827">
          <cell r="J827">
            <v>0</v>
          </cell>
          <cell r="K827">
            <v>0</v>
          </cell>
        </row>
        <row r="828">
          <cell r="J828">
            <v>0</v>
          </cell>
          <cell r="K828">
            <v>0</v>
          </cell>
        </row>
        <row r="829">
          <cell r="J829">
            <v>0</v>
          </cell>
          <cell r="K829">
            <v>0</v>
          </cell>
        </row>
        <row r="830">
          <cell r="J830">
            <v>0</v>
          </cell>
          <cell r="K830">
            <v>0</v>
          </cell>
        </row>
        <row r="831">
          <cell r="J831">
            <v>0</v>
          </cell>
          <cell r="K831">
            <v>0</v>
          </cell>
        </row>
        <row r="832">
          <cell r="J832">
            <v>0</v>
          </cell>
          <cell r="K832">
            <v>0</v>
          </cell>
        </row>
        <row r="833">
          <cell r="J833">
            <v>0</v>
          </cell>
          <cell r="K833">
            <v>0</v>
          </cell>
        </row>
        <row r="834">
          <cell r="J834">
            <v>0</v>
          </cell>
          <cell r="K834">
            <v>0</v>
          </cell>
        </row>
        <row r="835">
          <cell r="J835">
            <v>0</v>
          </cell>
          <cell r="K835">
            <v>0</v>
          </cell>
        </row>
        <row r="836">
          <cell r="J836">
            <v>0</v>
          </cell>
          <cell r="K836">
            <v>0</v>
          </cell>
        </row>
        <row r="837">
          <cell r="J837">
            <v>0</v>
          </cell>
          <cell r="K837">
            <v>0</v>
          </cell>
        </row>
        <row r="838">
          <cell r="J838">
            <v>0</v>
          </cell>
          <cell r="K838">
            <v>0</v>
          </cell>
        </row>
        <row r="839">
          <cell r="J839">
            <v>0</v>
          </cell>
          <cell r="K839">
            <v>0</v>
          </cell>
        </row>
        <row r="840">
          <cell r="K840">
            <v>0</v>
          </cell>
        </row>
        <row r="841">
          <cell r="K841">
            <v>0</v>
          </cell>
        </row>
        <row r="842">
          <cell r="K842">
            <v>0</v>
          </cell>
        </row>
        <row r="843">
          <cell r="K843">
            <v>0</v>
          </cell>
        </row>
        <row r="844">
          <cell r="K844">
            <v>0</v>
          </cell>
        </row>
        <row r="845">
          <cell r="K845">
            <v>0</v>
          </cell>
        </row>
        <row r="846">
          <cell r="K846">
            <v>0</v>
          </cell>
        </row>
        <row r="847">
          <cell r="K847">
            <v>0</v>
          </cell>
        </row>
        <row r="848">
          <cell r="J848" t="str">
            <v>Madeira em Geral</v>
          </cell>
          <cell r="K848">
            <v>0</v>
          </cell>
        </row>
        <row r="849">
          <cell r="K849">
            <v>0</v>
          </cell>
        </row>
        <row r="850">
          <cell r="K850">
            <v>0</v>
          </cell>
        </row>
        <row r="851">
          <cell r="K851">
            <v>0</v>
          </cell>
        </row>
        <row r="852">
          <cell r="K852">
            <v>0</v>
          </cell>
        </row>
        <row r="856">
          <cell r="J856">
            <v>40903</v>
          </cell>
          <cell r="K856">
            <v>29.84</v>
          </cell>
        </row>
        <row r="867">
          <cell r="J867">
            <v>0</v>
          </cell>
          <cell r="K867">
            <v>0</v>
          </cell>
        </row>
        <row r="874">
          <cell r="J874">
            <v>0</v>
          </cell>
          <cell r="K874">
            <v>0</v>
          </cell>
        </row>
        <row r="875">
          <cell r="J875">
            <v>0</v>
          </cell>
          <cell r="K875">
            <v>0</v>
          </cell>
        </row>
        <row r="876">
          <cell r="J876">
            <v>0</v>
          </cell>
          <cell r="K876">
            <v>0</v>
          </cell>
        </row>
        <row r="884">
          <cell r="K884">
            <v>0</v>
          </cell>
        </row>
        <row r="885">
          <cell r="J885" t="str">
            <v>Arame</v>
          </cell>
          <cell r="K885">
            <v>0</v>
          </cell>
        </row>
        <row r="886">
          <cell r="J886" t="str">
            <v>Pré-moldados de concreto</v>
          </cell>
          <cell r="K886">
            <v>0</v>
          </cell>
        </row>
        <row r="887">
          <cell r="J887" t="str">
            <v>Pré-moldados de concreto</v>
          </cell>
        </row>
        <row r="889">
          <cell r="J889">
            <v>0</v>
          </cell>
        </row>
        <row r="891">
          <cell r="J891">
            <v>0</v>
          </cell>
          <cell r="K891">
            <v>0</v>
          </cell>
        </row>
        <row r="894">
          <cell r="J894">
            <v>40902</v>
          </cell>
          <cell r="K894">
            <v>4.6500000000000004</v>
          </cell>
        </row>
        <row r="902">
          <cell r="J902">
            <v>0</v>
          </cell>
          <cell r="K902">
            <v>0</v>
          </cell>
        </row>
        <row r="903">
          <cell r="J903">
            <v>0</v>
          </cell>
          <cell r="K903">
            <v>0</v>
          </cell>
        </row>
        <row r="904">
          <cell r="J904">
            <v>0</v>
          </cell>
          <cell r="K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J910">
            <v>0</v>
          </cell>
          <cell r="K910">
            <v>0</v>
          </cell>
        </row>
        <row r="911">
          <cell r="J911">
            <v>0</v>
          </cell>
          <cell r="K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22">
          <cell r="J922" t="str">
            <v>Produto Pétreo</v>
          </cell>
        </row>
        <row r="930">
          <cell r="J930">
            <v>40915</v>
          </cell>
          <cell r="K930">
            <v>108.4</v>
          </cell>
        </row>
        <row r="937">
          <cell r="J937">
            <v>0</v>
          </cell>
          <cell r="K937">
            <v>0</v>
          </cell>
        </row>
        <row r="938">
          <cell r="J938">
            <v>0</v>
          </cell>
          <cell r="K938">
            <v>0</v>
          </cell>
        </row>
        <row r="939">
          <cell r="J939">
            <v>0</v>
          </cell>
          <cell r="K939">
            <v>0</v>
          </cell>
        </row>
        <row r="940">
          <cell r="J940">
            <v>0</v>
          </cell>
          <cell r="K940">
            <v>0</v>
          </cell>
        </row>
        <row r="941">
          <cell r="J941">
            <v>0</v>
          </cell>
          <cell r="K941">
            <v>0</v>
          </cell>
        </row>
        <row r="942">
          <cell r="J942">
            <v>0</v>
          </cell>
          <cell r="K942">
            <v>0</v>
          </cell>
        </row>
        <row r="943">
          <cell r="J943">
            <v>0</v>
          </cell>
          <cell r="K943">
            <v>0</v>
          </cell>
        </row>
        <row r="944">
          <cell r="J944">
            <v>0</v>
          </cell>
          <cell r="K944">
            <v>0</v>
          </cell>
        </row>
        <row r="945">
          <cell r="J945">
            <v>0</v>
          </cell>
          <cell r="K945">
            <v>0</v>
          </cell>
        </row>
        <row r="946">
          <cell r="J946">
            <v>0</v>
          </cell>
          <cell r="K946">
            <v>0</v>
          </cell>
        </row>
        <row r="947">
          <cell r="J947">
            <v>0</v>
          </cell>
          <cell r="K947">
            <v>0</v>
          </cell>
        </row>
        <row r="948">
          <cell r="J948">
            <v>0</v>
          </cell>
          <cell r="K948">
            <v>0</v>
          </cell>
        </row>
        <row r="949">
          <cell r="J949">
            <v>0</v>
          </cell>
          <cell r="K949">
            <v>0</v>
          </cell>
        </row>
        <row r="950">
          <cell r="J950">
            <v>0</v>
          </cell>
          <cell r="K950">
            <v>0</v>
          </cell>
        </row>
        <row r="951">
          <cell r="J951">
            <v>0</v>
          </cell>
          <cell r="K951">
            <v>0</v>
          </cell>
        </row>
        <row r="952">
          <cell r="J952">
            <v>0</v>
          </cell>
          <cell r="K952">
            <v>0</v>
          </cell>
        </row>
        <row r="955">
          <cell r="J955">
            <v>0</v>
          </cell>
        </row>
        <row r="956">
          <cell r="J956">
            <v>0</v>
          </cell>
        </row>
        <row r="960">
          <cell r="J960" t="str">
            <v>Produto Pétreo</v>
          </cell>
        </row>
        <row r="968">
          <cell r="J968">
            <v>40912</v>
          </cell>
          <cell r="K968">
            <v>98.8</v>
          </cell>
        </row>
        <row r="970">
          <cell r="J970">
            <v>0</v>
          </cell>
          <cell r="K970">
            <v>0</v>
          </cell>
        </row>
        <row r="971">
          <cell r="J971">
            <v>0</v>
          </cell>
          <cell r="K971">
            <v>0</v>
          </cell>
        </row>
        <row r="972">
          <cell r="J972">
            <v>0</v>
          </cell>
          <cell r="K972">
            <v>0</v>
          </cell>
        </row>
        <row r="973">
          <cell r="J973">
            <v>0</v>
          </cell>
          <cell r="K973">
            <v>0</v>
          </cell>
        </row>
        <row r="974">
          <cell r="J974">
            <v>0</v>
          </cell>
          <cell r="K974">
            <v>0</v>
          </cell>
        </row>
        <row r="975">
          <cell r="J975">
            <v>0</v>
          </cell>
          <cell r="K975">
            <v>0</v>
          </cell>
        </row>
        <row r="976">
          <cell r="J976">
            <v>0</v>
          </cell>
          <cell r="K976">
            <v>0</v>
          </cell>
        </row>
        <row r="977">
          <cell r="J977">
            <v>0</v>
          </cell>
          <cell r="K977">
            <v>0</v>
          </cell>
        </row>
        <row r="978">
          <cell r="J978">
            <v>0</v>
          </cell>
          <cell r="K978">
            <v>0</v>
          </cell>
        </row>
        <row r="979">
          <cell r="J979">
            <v>0</v>
          </cell>
          <cell r="K979">
            <v>0</v>
          </cell>
        </row>
        <row r="980">
          <cell r="J980">
            <v>0</v>
          </cell>
          <cell r="K980">
            <v>0</v>
          </cell>
        </row>
        <row r="981">
          <cell r="J981">
            <v>0</v>
          </cell>
          <cell r="K981">
            <v>0</v>
          </cell>
        </row>
        <row r="982">
          <cell r="J982">
            <v>0</v>
          </cell>
          <cell r="K982">
            <v>0</v>
          </cell>
        </row>
        <row r="983">
          <cell r="J983">
            <v>0</v>
          </cell>
          <cell r="K983">
            <v>0</v>
          </cell>
        </row>
        <row r="984">
          <cell r="J984">
            <v>0</v>
          </cell>
          <cell r="K984">
            <v>0</v>
          </cell>
        </row>
        <row r="985">
          <cell r="J985">
            <v>0</v>
          </cell>
          <cell r="K985">
            <v>0</v>
          </cell>
        </row>
        <row r="991">
          <cell r="J991">
            <v>0</v>
          </cell>
          <cell r="K991">
            <v>0</v>
          </cell>
        </row>
        <row r="995">
          <cell r="J995" t="str">
            <v>Ladrilho hidráulico</v>
          </cell>
        </row>
        <row r="998">
          <cell r="J998">
            <v>0</v>
          </cell>
        </row>
        <row r="1000">
          <cell r="J1000">
            <v>0</v>
          </cell>
        </row>
        <row r="1003">
          <cell r="J1003">
            <v>40925</v>
          </cell>
          <cell r="K1003">
            <v>16.97</v>
          </cell>
        </row>
        <row r="1004">
          <cell r="J1004">
            <v>0</v>
          </cell>
          <cell r="K1004">
            <v>0</v>
          </cell>
        </row>
        <row r="1005">
          <cell r="J1005">
            <v>0</v>
          </cell>
          <cell r="K1005">
            <v>0</v>
          </cell>
        </row>
        <row r="1006">
          <cell r="J1006">
            <v>0</v>
          </cell>
          <cell r="K1006">
            <v>0</v>
          </cell>
        </row>
        <row r="1007">
          <cell r="J1007">
            <v>0</v>
          </cell>
          <cell r="K1007">
            <v>0</v>
          </cell>
        </row>
        <row r="1008">
          <cell r="J1008">
            <v>0</v>
          </cell>
          <cell r="K1008">
            <v>0</v>
          </cell>
        </row>
        <row r="1009">
          <cell r="J1009">
            <v>0</v>
          </cell>
          <cell r="K1009">
            <v>0</v>
          </cell>
        </row>
        <row r="1010">
          <cell r="J1010">
            <v>0</v>
          </cell>
          <cell r="K1010">
            <v>0</v>
          </cell>
        </row>
        <row r="1011">
          <cell r="J1011">
            <v>0</v>
          </cell>
          <cell r="K1011">
            <v>0</v>
          </cell>
        </row>
        <row r="1012">
          <cell r="J1012">
            <v>0</v>
          </cell>
          <cell r="K1012">
            <v>0</v>
          </cell>
        </row>
        <row r="1013">
          <cell r="J1013">
            <v>0</v>
          </cell>
          <cell r="K1013">
            <v>0</v>
          </cell>
        </row>
        <row r="1014">
          <cell r="J1014">
            <v>0</v>
          </cell>
          <cell r="K1014">
            <v>0</v>
          </cell>
        </row>
        <row r="1015">
          <cell r="J1015">
            <v>0</v>
          </cell>
          <cell r="K1015">
            <v>0</v>
          </cell>
        </row>
        <row r="1016">
          <cell r="J1016">
            <v>0</v>
          </cell>
          <cell r="K1016">
            <v>0</v>
          </cell>
        </row>
        <row r="1017">
          <cell r="J1017">
            <v>0</v>
          </cell>
          <cell r="K1017">
            <v>0</v>
          </cell>
        </row>
        <row r="1018">
          <cell r="J1018">
            <v>0</v>
          </cell>
          <cell r="K1018">
            <v>0</v>
          </cell>
        </row>
        <row r="1019">
          <cell r="J1019">
            <v>0</v>
          </cell>
          <cell r="K1019">
            <v>0</v>
          </cell>
        </row>
        <row r="1020">
          <cell r="K1020">
            <v>0</v>
          </cell>
        </row>
        <row r="1021">
          <cell r="K1021">
            <v>0</v>
          </cell>
        </row>
        <row r="1022">
          <cell r="K1022">
            <v>0</v>
          </cell>
        </row>
        <row r="1023">
          <cell r="K1023">
            <v>0</v>
          </cell>
        </row>
        <row r="1024">
          <cell r="K1024">
            <v>0</v>
          </cell>
        </row>
        <row r="1025">
          <cell r="K1025">
            <v>0</v>
          </cell>
        </row>
        <row r="1026">
          <cell r="K1026">
            <v>0</v>
          </cell>
        </row>
        <row r="1027">
          <cell r="K1027">
            <v>0</v>
          </cell>
        </row>
        <row r="1028">
          <cell r="J1028">
            <v>0</v>
          </cell>
          <cell r="K1028">
            <v>0</v>
          </cell>
        </row>
        <row r="1029">
          <cell r="K1029">
            <v>0</v>
          </cell>
        </row>
        <row r="1030">
          <cell r="K1030">
            <v>0</v>
          </cell>
        </row>
        <row r="1031">
          <cell r="K1031">
            <v>0</v>
          </cell>
        </row>
        <row r="1032">
          <cell r="K1032">
            <v>0</v>
          </cell>
        </row>
        <row r="1033">
          <cell r="K1033">
            <v>0</v>
          </cell>
        </row>
        <row r="1034">
          <cell r="J1034" t="str">
            <v>Insumos sinalização</v>
          </cell>
          <cell r="K1034">
            <v>0</v>
          </cell>
        </row>
        <row r="1035">
          <cell r="J1035" t="str">
            <v>Insumos sinalização</v>
          </cell>
          <cell r="K1035">
            <v>0</v>
          </cell>
        </row>
        <row r="1036">
          <cell r="J1036" t="str">
            <v>Insumos sinalização</v>
          </cell>
        </row>
        <row r="1044">
          <cell r="J1044">
            <v>42524</v>
          </cell>
          <cell r="K1044">
            <v>94.05</v>
          </cell>
        </row>
        <row r="1050">
          <cell r="J1050">
            <v>0</v>
          </cell>
          <cell r="K1050">
            <v>0</v>
          </cell>
        </row>
        <row r="1051">
          <cell r="J1051">
            <v>0</v>
          </cell>
          <cell r="K1051">
            <v>0</v>
          </cell>
        </row>
        <row r="1052">
          <cell r="J1052">
            <v>0</v>
          </cell>
          <cell r="K1052">
            <v>0</v>
          </cell>
        </row>
        <row r="1053">
          <cell r="J1053">
            <v>0</v>
          </cell>
          <cell r="K1053">
            <v>0</v>
          </cell>
        </row>
        <row r="1054">
          <cell r="J1054">
            <v>0</v>
          </cell>
          <cell r="K1054">
            <v>0</v>
          </cell>
        </row>
        <row r="1055">
          <cell r="J1055">
            <v>0</v>
          </cell>
          <cell r="K1055">
            <v>0</v>
          </cell>
        </row>
        <row r="1056">
          <cell r="J1056">
            <v>0</v>
          </cell>
          <cell r="K1056">
            <v>0</v>
          </cell>
        </row>
        <row r="1057">
          <cell r="J1057">
            <v>0</v>
          </cell>
          <cell r="K1057">
            <v>0</v>
          </cell>
        </row>
        <row r="1058">
          <cell r="J1058">
            <v>0</v>
          </cell>
          <cell r="K1058">
            <v>0</v>
          </cell>
        </row>
        <row r="1059">
          <cell r="J1059">
            <v>0</v>
          </cell>
          <cell r="K1059">
            <v>0</v>
          </cell>
        </row>
        <row r="1060">
          <cell r="J1060">
            <v>0</v>
          </cell>
          <cell r="K1060">
            <v>0</v>
          </cell>
        </row>
        <row r="1061">
          <cell r="J1061">
            <v>0</v>
          </cell>
          <cell r="K1061">
            <v>0</v>
          </cell>
        </row>
        <row r="1062">
          <cell r="J1062">
            <v>0</v>
          </cell>
          <cell r="K1062">
            <v>0</v>
          </cell>
        </row>
        <row r="1063">
          <cell r="J1063">
            <v>0</v>
          </cell>
          <cell r="K1063">
            <v>0</v>
          </cell>
        </row>
        <row r="1064">
          <cell r="J1064">
            <v>0</v>
          </cell>
          <cell r="K1064">
            <v>0</v>
          </cell>
        </row>
        <row r="1065">
          <cell r="J1065">
            <v>0</v>
          </cell>
          <cell r="K1065">
            <v>0</v>
          </cell>
        </row>
        <row r="1073">
          <cell r="J1073">
            <v>0</v>
          </cell>
          <cell r="K1073">
            <v>0</v>
          </cell>
        </row>
        <row r="1084">
          <cell r="J1084">
            <v>40932</v>
          </cell>
          <cell r="K1084">
            <v>18.29</v>
          </cell>
        </row>
        <row r="1095">
          <cell r="J1095">
            <v>0</v>
          </cell>
          <cell r="K1095">
            <v>0</v>
          </cell>
        </row>
        <row r="1096">
          <cell r="J1096">
            <v>0</v>
          </cell>
          <cell r="K1096">
            <v>0</v>
          </cell>
        </row>
        <row r="1097">
          <cell r="J1097">
            <v>0</v>
          </cell>
          <cell r="K1097">
            <v>0</v>
          </cell>
        </row>
        <row r="1098">
          <cell r="J1098">
            <v>0</v>
          </cell>
          <cell r="K1098">
            <v>0</v>
          </cell>
        </row>
        <row r="1099">
          <cell r="J1099">
            <v>0</v>
          </cell>
          <cell r="K1099">
            <v>0</v>
          </cell>
        </row>
        <row r="1100">
          <cell r="J1100">
            <v>0</v>
          </cell>
          <cell r="K1100">
            <v>0</v>
          </cell>
        </row>
        <row r="1101">
          <cell r="J1101">
            <v>0</v>
          </cell>
          <cell r="K1101">
            <v>0</v>
          </cell>
        </row>
        <row r="1102">
          <cell r="J1102">
            <v>0</v>
          </cell>
          <cell r="K1102">
            <v>0</v>
          </cell>
        </row>
        <row r="1103">
          <cell r="J1103">
            <v>0</v>
          </cell>
          <cell r="K1103">
            <v>0</v>
          </cell>
        </row>
        <row r="1104">
          <cell r="J1104">
            <v>0</v>
          </cell>
          <cell r="K1104">
            <v>0</v>
          </cell>
        </row>
        <row r="1105">
          <cell r="J1105">
            <v>0</v>
          </cell>
          <cell r="K1105">
            <v>0</v>
          </cell>
        </row>
        <row r="1106">
          <cell r="J1106">
            <v>0</v>
          </cell>
          <cell r="K1106">
            <v>0</v>
          </cell>
        </row>
        <row r="1107">
          <cell r="J1107">
            <v>0</v>
          </cell>
          <cell r="K1107">
            <v>0</v>
          </cell>
        </row>
        <row r="1108">
          <cell r="J1108">
            <v>0</v>
          </cell>
          <cell r="K1108">
            <v>0</v>
          </cell>
        </row>
        <row r="1109">
          <cell r="J1109">
            <v>0</v>
          </cell>
          <cell r="K1109">
            <v>0</v>
          </cell>
        </row>
        <row r="1110">
          <cell r="J1110">
            <v>0</v>
          </cell>
          <cell r="K1110">
            <v>0</v>
          </cell>
        </row>
        <row r="1116">
          <cell r="J1116" t="str">
            <v>Código</v>
          </cell>
        </row>
        <row r="1125">
          <cell r="J1125">
            <v>40935</v>
          </cell>
          <cell r="K1125">
            <v>55.14</v>
          </cell>
        </row>
        <row r="1134">
          <cell r="J1134">
            <v>0</v>
          </cell>
          <cell r="K1134">
            <v>0</v>
          </cell>
        </row>
        <row r="1135">
          <cell r="J1135">
            <v>0</v>
          </cell>
          <cell r="K1135">
            <v>0</v>
          </cell>
        </row>
        <row r="1136">
          <cell r="J1136">
            <v>0</v>
          </cell>
          <cell r="K1136">
            <v>0</v>
          </cell>
        </row>
        <row r="1137">
          <cell r="J1137">
            <v>0</v>
          </cell>
          <cell r="K1137">
            <v>0</v>
          </cell>
        </row>
        <row r="1138">
          <cell r="J1138">
            <v>0</v>
          </cell>
          <cell r="K1138">
            <v>0</v>
          </cell>
        </row>
        <row r="1139">
          <cell r="J1139">
            <v>0</v>
          </cell>
          <cell r="K1139">
            <v>0</v>
          </cell>
        </row>
        <row r="1140">
          <cell r="J1140">
            <v>0</v>
          </cell>
          <cell r="K1140">
            <v>0</v>
          </cell>
        </row>
        <row r="1141">
          <cell r="J1141">
            <v>0</v>
          </cell>
          <cell r="K1141">
            <v>0</v>
          </cell>
        </row>
        <row r="1142">
          <cell r="J1142">
            <v>0</v>
          </cell>
          <cell r="K1142">
            <v>0</v>
          </cell>
        </row>
        <row r="1143">
          <cell r="J1143">
            <v>0</v>
          </cell>
          <cell r="K1143">
            <v>0</v>
          </cell>
        </row>
        <row r="1144">
          <cell r="J1144">
            <v>0</v>
          </cell>
          <cell r="K1144">
            <v>0</v>
          </cell>
        </row>
        <row r="1145">
          <cell r="J1145">
            <v>0</v>
          </cell>
          <cell r="K1145">
            <v>0</v>
          </cell>
        </row>
        <row r="1146">
          <cell r="J1146">
            <v>0</v>
          </cell>
          <cell r="K1146">
            <v>0</v>
          </cell>
        </row>
        <row r="1147">
          <cell r="J1147">
            <v>0</v>
          </cell>
          <cell r="K1147">
            <v>0</v>
          </cell>
        </row>
        <row r="1148">
          <cell r="J1148">
            <v>0</v>
          </cell>
          <cell r="K1148">
            <v>0</v>
          </cell>
        </row>
        <row r="1149">
          <cell r="J1149">
            <v>0</v>
          </cell>
          <cell r="K1149">
            <v>0</v>
          </cell>
        </row>
        <row r="1151">
          <cell r="J1151">
            <v>0</v>
          </cell>
          <cell r="K1151">
            <v>0</v>
          </cell>
        </row>
        <row r="1161">
          <cell r="J1161">
            <v>40936</v>
          </cell>
          <cell r="K1161">
            <v>607.58000000000004</v>
          </cell>
        </row>
        <row r="1172">
          <cell r="J1172">
            <v>0</v>
          </cell>
          <cell r="K1172">
            <v>0</v>
          </cell>
        </row>
        <row r="1173">
          <cell r="J1173">
            <v>0</v>
          </cell>
          <cell r="K1173">
            <v>0</v>
          </cell>
        </row>
        <row r="1174">
          <cell r="J1174">
            <v>0</v>
          </cell>
          <cell r="K1174">
            <v>0</v>
          </cell>
        </row>
        <row r="1175">
          <cell r="J1175">
            <v>0</v>
          </cell>
          <cell r="K1175">
            <v>0</v>
          </cell>
        </row>
        <row r="1176">
          <cell r="J1176">
            <v>0</v>
          </cell>
          <cell r="K1176">
            <v>0</v>
          </cell>
        </row>
        <row r="1177">
          <cell r="J1177">
            <v>0</v>
          </cell>
          <cell r="K1177">
            <v>0</v>
          </cell>
        </row>
        <row r="1178">
          <cell r="J1178">
            <v>0</v>
          </cell>
          <cell r="K1178">
            <v>0</v>
          </cell>
        </row>
        <row r="1179">
          <cell r="J1179">
            <v>0</v>
          </cell>
          <cell r="K1179">
            <v>0</v>
          </cell>
        </row>
        <row r="1180">
          <cell r="J1180">
            <v>0</v>
          </cell>
          <cell r="K1180">
            <v>0</v>
          </cell>
        </row>
        <row r="1181">
          <cell r="J1181">
            <v>0</v>
          </cell>
          <cell r="K1181">
            <v>0</v>
          </cell>
        </row>
        <row r="1182">
          <cell r="J1182">
            <v>0</v>
          </cell>
          <cell r="K1182">
            <v>0</v>
          </cell>
        </row>
        <row r="1183">
          <cell r="J1183">
            <v>0</v>
          </cell>
          <cell r="K1183">
            <v>0</v>
          </cell>
        </row>
        <row r="1184">
          <cell r="J1184">
            <v>0</v>
          </cell>
          <cell r="K1184">
            <v>0</v>
          </cell>
        </row>
        <row r="1185">
          <cell r="J1185">
            <v>0</v>
          </cell>
          <cell r="K1185">
            <v>0</v>
          </cell>
        </row>
        <row r="1186">
          <cell r="J1186">
            <v>0</v>
          </cell>
          <cell r="K1186">
            <v>0</v>
          </cell>
        </row>
        <row r="1187">
          <cell r="J1187">
            <v>0</v>
          </cell>
          <cell r="K1187">
            <v>0</v>
          </cell>
        </row>
        <row r="1188">
          <cell r="J1188">
            <v>0</v>
          </cell>
          <cell r="K1188">
            <v>0</v>
          </cell>
        </row>
        <row r="1189">
          <cell r="J1189">
            <v>0</v>
          </cell>
          <cell r="K1189">
            <v>0</v>
          </cell>
        </row>
        <row r="1190">
          <cell r="J1190">
            <v>0</v>
          </cell>
          <cell r="K1190">
            <v>0</v>
          </cell>
        </row>
        <row r="1191">
          <cell r="J1191">
            <v>0</v>
          </cell>
          <cell r="K1191">
            <v>0</v>
          </cell>
        </row>
        <row r="1192">
          <cell r="J1192">
            <v>0</v>
          </cell>
          <cell r="K1192">
            <v>0</v>
          </cell>
        </row>
        <row r="1193">
          <cell r="J1193">
            <v>0</v>
          </cell>
          <cell r="K1193">
            <v>0</v>
          </cell>
        </row>
        <row r="1194">
          <cell r="J1194">
            <v>0</v>
          </cell>
          <cell r="K1194">
            <v>0</v>
          </cell>
        </row>
        <row r="1195">
          <cell r="J1195">
            <v>0</v>
          </cell>
          <cell r="K1195">
            <v>0</v>
          </cell>
        </row>
        <row r="1196">
          <cell r="J1196">
            <v>0</v>
          </cell>
          <cell r="K1196">
            <v>0</v>
          </cell>
        </row>
        <row r="1197">
          <cell r="J1197">
            <v>0</v>
          </cell>
          <cell r="K1197">
            <v>0</v>
          </cell>
        </row>
        <row r="1198">
          <cell r="J1198">
            <v>0</v>
          </cell>
          <cell r="K1198">
            <v>0</v>
          </cell>
        </row>
        <row r="1199">
          <cell r="J1199">
            <v>0</v>
          </cell>
          <cell r="K1199">
            <v>0</v>
          </cell>
        </row>
        <row r="1200">
          <cell r="J1200">
            <v>0</v>
          </cell>
          <cell r="K1200">
            <v>0</v>
          </cell>
        </row>
        <row r="1201">
          <cell r="J1201">
            <v>0</v>
          </cell>
          <cell r="K1201">
            <v>0</v>
          </cell>
        </row>
        <row r="1202">
          <cell r="J1202">
            <v>0</v>
          </cell>
          <cell r="K1202">
            <v>0</v>
          </cell>
        </row>
        <row r="1203">
          <cell r="J1203">
            <v>0</v>
          </cell>
          <cell r="K1203">
            <v>0</v>
          </cell>
        </row>
        <row r="1210">
          <cell r="J1210">
            <v>41203</v>
          </cell>
          <cell r="K1210">
            <v>615.61</v>
          </cell>
        </row>
        <row r="1218">
          <cell r="J1218">
            <v>0</v>
          </cell>
          <cell r="K1218">
            <v>0</v>
          </cell>
        </row>
        <row r="1219">
          <cell r="J1219">
            <v>0</v>
          </cell>
          <cell r="K1219">
            <v>0</v>
          </cell>
        </row>
        <row r="1220">
          <cell r="J1220">
            <v>0</v>
          </cell>
          <cell r="K1220">
            <v>0</v>
          </cell>
        </row>
        <row r="1221">
          <cell r="J1221">
            <v>0</v>
          </cell>
          <cell r="K1221">
            <v>0</v>
          </cell>
        </row>
        <row r="1222">
          <cell r="J1222">
            <v>0</v>
          </cell>
          <cell r="K1222">
            <v>0</v>
          </cell>
        </row>
        <row r="1223">
          <cell r="J1223">
            <v>0</v>
          </cell>
          <cell r="K1223">
            <v>0</v>
          </cell>
        </row>
        <row r="1224">
          <cell r="J1224">
            <v>0</v>
          </cell>
          <cell r="K1224">
            <v>0</v>
          </cell>
        </row>
        <row r="1225">
          <cell r="J1225">
            <v>0</v>
          </cell>
          <cell r="K1225">
            <v>0</v>
          </cell>
        </row>
        <row r="1226">
          <cell r="J1226">
            <v>0</v>
          </cell>
          <cell r="K1226">
            <v>0</v>
          </cell>
        </row>
        <row r="1227">
          <cell r="J1227">
            <v>0</v>
          </cell>
          <cell r="K1227">
            <v>0</v>
          </cell>
        </row>
        <row r="1228">
          <cell r="J1228">
            <v>0</v>
          </cell>
          <cell r="K1228">
            <v>0</v>
          </cell>
        </row>
        <row r="1229">
          <cell r="J1229">
            <v>0</v>
          </cell>
          <cell r="K1229">
            <v>0</v>
          </cell>
        </row>
        <row r="1230">
          <cell r="J1230">
            <v>0</v>
          </cell>
          <cell r="K1230">
            <v>0</v>
          </cell>
        </row>
        <row r="1231">
          <cell r="J1231">
            <v>0</v>
          </cell>
          <cell r="K1231">
            <v>0</v>
          </cell>
        </row>
        <row r="1232">
          <cell r="J1232">
            <v>0</v>
          </cell>
          <cell r="K1232">
            <v>0</v>
          </cell>
        </row>
        <row r="1233">
          <cell r="J1233">
            <v>0</v>
          </cell>
          <cell r="K1233">
            <v>0</v>
          </cell>
        </row>
        <row r="1234">
          <cell r="J1234">
            <v>0</v>
          </cell>
          <cell r="K1234">
            <v>0</v>
          </cell>
        </row>
        <row r="1239">
          <cell r="J1239" t="str">
            <v>Insumos sinalização</v>
          </cell>
          <cell r="K1239">
            <v>0</v>
          </cell>
        </row>
        <row r="1240">
          <cell r="J1240" t="str">
            <v>Insumos sinalização</v>
          </cell>
          <cell r="K1240">
            <v>0</v>
          </cell>
        </row>
        <row r="1247">
          <cell r="J1247">
            <v>42046</v>
          </cell>
          <cell r="K1247">
            <v>87.82</v>
          </cell>
        </row>
        <row r="1256">
          <cell r="J1256">
            <v>0</v>
          </cell>
          <cell r="K1256">
            <v>0</v>
          </cell>
        </row>
        <row r="1257">
          <cell r="J1257">
            <v>0</v>
          </cell>
          <cell r="K1257">
            <v>0</v>
          </cell>
        </row>
        <row r="1258">
          <cell r="J1258">
            <v>0</v>
          </cell>
          <cell r="K1258">
            <v>0</v>
          </cell>
        </row>
        <row r="1259">
          <cell r="J1259">
            <v>0</v>
          </cell>
          <cell r="K1259">
            <v>0</v>
          </cell>
        </row>
        <row r="1260">
          <cell r="J1260">
            <v>0</v>
          </cell>
          <cell r="K1260">
            <v>0</v>
          </cell>
        </row>
        <row r="1261">
          <cell r="J1261">
            <v>0</v>
          </cell>
          <cell r="K1261">
            <v>0</v>
          </cell>
        </row>
        <row r="1262">
          <cell r="J1262">
            <v>0</v>
          </cell>
          <cell r="K1262">
            <v>0</v>
          </cell>
        </row>
        <row r="1263">
          <cell r="J1263">
            <v>0</v>
          </cell>
          <cell r="K1263">
            <v>0</v>
          </cell>
        </row>
        <row r="1264">
          <cell r="J1264">
            <v>0</v>
          </cell>
          <cell r="K1264">
            <v>0</v>
          </cell>
        </row>
        <row r="1265">
          <cell r="J1265">
            <v>0</v>
          </cell>
          <cell r="K1265">
            <v>0</v>
          </cell>
        </row>
        <row r="1266">
          <cell r="J1266">
            <v>0</v>
          </cell>
          <cell r="K1266">
            <v>0</v>
          </cell>
        </row>
        <row r="1267">
          <cell r="J1267">
            <v>0</v>
          </cell>
          <cell r="K1267">
            <v>0</v>
          </cell>
        </row>
        <row r="1268">
          <cell r="J1268">
            <v>0</v>
          </cell>
          <cell r="K1268">
            <v>0</v>
          </cell>
        </row>
        <row r="1269">
          <cell r="J1269">
            <v>0</v>
          </cell>
          <cell r="K1269">
            <v>0</v>
          </cell>
        </row>
        <row r="1270">
          <cell r="J1270">
            <v>0</v>
          </cell>
          <cell r="K1270">
            <v>0</v>
          </cell>
        </row>
        <row r="1271">
          <cell r="J1271">
            <v>0</v>
          </cell>
          <cell r="K1271">
            <v>0</v>
          </cell>
        </row>
        <row r="1282">
          <cell r="J1282">
            <v>42047</v>
          </cell>
          <cell r="K1282">
            <v>47.21</v>
          </cell>
        </row>
        <row r="1288">
          <cell r="J1288">
            <v>0</v>
          </cell>
          <cell r="K1288">
            <v>0</v>
          </cell>
        </row>
        <row r="1289">
          <cell r="J1289">
            <v>0</v>
          </cell>
          <cell r="K1289">
            <v>0</v>
          </cell>
        </row>
        <row r="1290">
          <cell r="J1290">
            <v>0</v>
          </cell>
          <cell r="K1290">
            <v>0</v>
          </cell>
        </row>
        <row r="1291">
          <cell r="J1291">
            <v>0</v>
          </cell>
          <cell r="K1291">
            <v>0</v>
          </cell>
        </row>
        <row r="1292">
          <cell r="J1292">
            <v>0</v>
          </cell>
          <cell r="K1292">
            <v>0</v>
          </cell>
        </row>
        <row r="1293">
          <cell r="J1293">
            <v>0</v>
          </cell>
          <cell r="K1293">
            <v>0</v>
          </cell>
        </row>
        <row r="1294">
          <cell r="J1294">
            <v>0</v>
          </cell>
          <cell r="K1294">
            <v>0</v>
          </cell>
        </row>
        <row r="1295">
          <cell r="J1295">
            <v>0</v>
          </cell>
          <cell r="K1295">
            <v>0</v>
          </cell>
        </row>
        <row r="1296">
          <cell r="J1296">
            <v>0</v>
          </cell>
          <cell r="K1296">
            <v>0</v>
          </cell>
        </row>
        <row r="1297">
          <cell r="J1297">
            <v>0</v>
          </cell>
          <cell r="K1297">
            <v>0</v>
          </cell>
        </row>
        <row r="1298">
          <cell r="J1298">
            <v>0</v>
          </cell>
          <cell r="K1298">
            <v>0</v>
          </cell>
        </row>
        <row r="1299">
          <cell r="J1299">
            <v>0</v>
          </cell>
          <cell r="K1299">
            <v>0</v>
          </cell>
        </row>
        <row r="1300">
          <cell r="J1300">
            <v>0</v>
          </cell>
          <cell r="K1300">
            <v>0</v>
          </cell>
        </row>
        <row r="1301">
          <cell r="J1301">
            <v>0</v>
          </cell>
          <cell r="K1301">
            <v>0</v>
          </cell>
        </row>
        <row r="1302">
          <cell r="J1302">
            <v>0</v>
          </cell>
          <cell r="K1302">
            <v>0</v>
          </cell>
        </row>
        <row r="1303">
          <cell r="J1303">
            <v>0</v>
          </cell>
          <cell r="K1303">
            <v>0</v>
          </cell>
        </row>
        <row r="1320">
          <cell r="J1320">
            <v>40937</v>
          </cell>
          <cell r="K1320">
            <v>464.14</v>
          </cell>
        </row>
        <row r="1321">
          <cell r="J1321">
            <v>0</v>
          </cell>
          <cell r="K1321">
            <v>0</v>
          </cell>
        </row>
        <row r="1322">
          <cell r="J1322">
            <v>0</v>
          </cell>
          <cell r="K1322">
            <v>0</v>
          </cell>
        </row>
        <row r="1323">
          <cell r="J1323">
            <v>0</v>
          </cell>
          <cell r="K1323">
            <v>0</v>
          </cell>
        </row>
        <row r="1324">
          <cell r="J1324">
            <v>0</v>
          </cell>
          <cell r="K1324">
            <v>0</v>
          </cell>
        </row>
        <row r="1325">
          <cell r="J1325">
            <v>0</v>
          </cell>
          <cell r="K1325">
            <v>0</v>
          </cell>
        </row>
        <row r="1326">
          <cell r="J1326">
            <v>0</v>
          </cell>
          <cell r="K1326">
            <v>0</v>
          </cell>
        </row>
        <row r="1327">
          <cell r="J1327">
            <v>0</v>
          </cell>
          <cell r="K1327">
            <v>0</v>
          </cell>
        </row>
        <row r="1328">
          <cell r="J1328">
            <v>0</v>
          </cell>
          <cell r="K1328">
            <v>0</v>
          </cell>
        </row>
        <row r="1329">
          <cell r="J1329">
            <v>0</v>
          </cell>
          <cell r="K1329">
            <v>0</v>
          </cell>
        </row>
        <row r="1330">
          <cell r="J1330">
            <v>0</v>
          </cell>
          <cell r="K1330">
            <v>0</v>
          </cell>
        </row>
        <row r="1331">
          <cell r="J1331">
            <v>0</v>
          </cell>
          <cell r="K1331">
            <v>0</v>
          </cell>
        </row>
        <row r="1332">
          <cell r="J1332">
            <v>0</v>
          </cell>
          <cell r="K1332">
            <v>0</v>
          </cell>
        </row>
        <row r="1333">
          <cell r="J1333">
            <v>0</v>
          </cell>
          <cell r="K1333">
            <v>0</v>
          </cell>
        </row>
        <row r="1334">
          <cell r="J1334">
            <v>0</v>
          </cell>
          <cell r="K1334">
            <v>0</v>
          </cell>
        </row>
        <row r="1335">
          <cell r="J1335">
            <v>0</v>
          </cell>
          <cell r="K1335">
            <v>0</v>
          </cell>
        </row>
        <row r="1336">
          <cell r="J1336">
            <v>0</v>
          </cell>
          <cell r="K1336">
            <v>0</v>
          </cell>
        </row>
        <row r="1337">
          <cell r="J1337">
            <v>0</v>
          </cell>
          <cell r="K1337">
            <v>0</v>
          </cell>
        </row>
        <row r="1338">
          <cell r="J1338">
            <v>0</v>
          </cell>
          <cell r="K1338">
            <v>0</v>
          </cell>
        </row>
        <row r="1339">
          <cell r="J1339">
            <v>0</v>
          </cell>
          <cell r="K1339">
            <v>0</v>
          </cell>
        </row>
        <row r="1340">
          <cell r="J1340">
            <v>0</v>
          </cell>
          <cell r="K1340">
            <v>0</v>
          </cell>
        </row>
        <row r="1341">
          <cell r="J1341">
            <v>0</v>
          </cell>
          <cell r="K1341">
            <v>0</v>
          </cell>
        </row>
        <row r="1342">
          <cell r="J1342">
            <v>0</v>
          </cell>
          <cell r="K1342">
            <v>0</v>
          </cell>
        </row>
        <row r="1343">
          <cell r="J1343">
            <v>0</v>
          </cell>
          <cell r="K1343">
            <v>0</v>
          </cell>
        </row>
        <row r="1344">
          <cell r="J1344">
            <v>0</v>
          </cell>
          <cell r="K1344">
            <v>0</v>
          </cell>
        </row>
        <row r="1345">
          <cell r="J1345">
            <v>0</v>
          </cell>
          <cell r="K1345">
            <v>0</v>
          </cell>
        </row>
        <row r="1346">
          <cell r="J1346">
            <v>0</v>
          </cell>
          <cell r="K1346">
            <v>0</v>
          </cell>
        </row>
        <row r="1347">
          <cell r="J1347">
            <v>0</v>
          </cell>
          <cell r="K1347">
            <v>0</v>
          </cell>
        </row>
        <row r="1348">
          <cell r="J1348">
            <v>0</v>
          </cell>
          <cell r="K1348">
            <v>0</v>
          </cell>
        </row>
        <row r="1349">
          <cell r="J1349">
            <v>0</v>
          </cell>
          <cell r="K1349">
            <v>0</v>
          </cell>
        </row>
        <row r="1350">
          <cell r="J1350">
            <v>0</v>
          </cell>
          <cell r="K1350">
            <v>0</v>
          </cell>
        </row>
        <row r="1351">
          <cell r="J1351">
            <v>0</v>
          </cell>
          <cell r="K1351">
            <v>0</v>
          </cell>
        </row>
        <row r="1352">
          <cell r="J1352">
            <v>0</v>
          </cell>
          <cell r="K1352">
            <v>0</v>
          </cell>
        </row>
        <row r="1369">
          <cell r="J1369">
            <v>0</v>
          </cell>
          <cell r="K1369">
            <v>0</v>
          </cell>
        </row>
        <row r="1370">
          <cell r="J1370">
            <v>0</v>
          </cell>
          <cell r="K1370">
            <v>0</v>
          </cell>
        </row>
        <row r="1371">
          <cell r="J1371">
            <v>42200</v>
          </cell>
          <cell r="K1371">
            <v>4.96</v>
          </cell>
        </row>
        <row r="1372">
          <cell r="J1372">
            <v>0</v>
          </cell>
          <cell r="K1372">
            <v>0</v>
          </cell>
        </row>
        <row r="1375">
          <cell r="J1375">
            <v>0</v>
          </cell>
          <cell r="K1375">
            <v>0</v>
          </cell>
        </row>
        <row r="1376">
          <cell r="J1376">
            <v>0</v>
          </cell>
          <cell r="K1376">
            <v>0</v>
          </cell>
        </row>
        <row r="1377">
          <cell r="J1377">
            <v>0</v>
          </cell>
          <cell r="K1377">
            <v>0</v>
          </cell>
        </row>
        <row r="1378">
          <cell r="J1378">
            <v>0</v>
          </cell>
          <cell r="K1378">
            <v>0</v>
          </cell>
        </row>
        <row r="1379">
          <cell r="J1379">
            <v>0</v>
          </cell>
          <cell r="K1379">
            <v>0</v>
          </cell>
        </row>
        <row r="1380">
          <cell r="J1380">
            <v>0</v>
          </cell>
          <cell r="K1380">
            <v>0</v>
          </cell>
        </row>
        <row r="1381">
          <cell r="J1381">
            <v>0</v>
          </cell>
          <cell r="K1381">
            <v>0</v>
          </cell>
        </row>
        <row r="1382">
          <cell r="J1382">
            <v>0</v>
          </cell>
          <cell r="K1382">
            <v>0</v>
          </cell>
        </row>
        <row r="1383">
          <cell r="J1383">
            <v>0</v>
          </cell>
          <cell r="K1383">
            <v>0</v>
          </cell>
        </row>
        <row r="1384">
          <cell r="J1384">
            <v>0</v>
          </cell>
          <cell r="K1384">
            <v>0</v>
          </cell>
        </row>
        <row r="1385">
          <cell r="J1385">
            <v>0</v>
          </cell>
          <cell r="K1385">
            <v>0</v>
          </cell>
        </row>
        <row r="1386">
          <cell r="J1386">
            <v>0</v>
          </cell>
          <cell r="K1386">
            <v>0</v>
          </cell>
        </row>
        <row r="1387">
          <cell r="J1387">
            <v>0</v>
          </cell>
          <cell r="K1387">
            <v>0</v>
          </cell>
        </row>
        <row r="1388">
          <cell r="J1388">
            <v>0</v>
          </cell>
          <cell r="K1388">
            <v>0</v>
          </cell>
        </row>
        <row r="1389">
          <cell r="J1389">
            <v>0</v>
          </cell>
          <cell r="K1389">
            <v>0</v>
          </cell>
        </row>
        <row r="1390">
          <cell r="J1390">
            <v>0</v>
          </cell>
          <cell r="K1390">
            <v>0</v>
          </cell>
        </row>
        <row r="1395">
          <cell r="J1395">
            <v>0</v>
          </cell>
          <cell r="K1395">
            <v>0</v>
          </cell>
        </row>
        <row r="1408">
          <cell r="J1408">
            <v>42041</v>
          </cell>
          <cell r="K1408">
            <v>24.03</v>
          </cell>
        </row>
        <row r="1416">
          <cell r="J1416">
            <v>0</v>
          </cell>
          <cell r="K1416">
            <v>0</v>
          </cell>
        </row>
        <row r="1417">
          <cell r="J1417">
            <v>0</v>
          </cell>
          <cell r="K1417">
            <v>0</v>
          </cell>
        </row>
        <row r="1418">
          <cell r="J1418">
            <v>0</v>
          </cell>
          <cell r="K1418">
            <v>0</v>
          </cell>
        </row>
        <row r="1419">
          <cell r="J1419">
            <v>0</v>
          </cell>
          <cell r="K1419">
            <v>0</v>
          </cell>
        </row>
        <row r="1420">
          <cell r="J1420">
            <v>0</v>
          </cell>
          <cell r="K1420">
            <v>0</v>
          </cell>
        </row>
        <row r="1421">
          <cell r="J1421">
            <v>0</v>
          </cell>
          <cell r="K1421">
            <v>0</v>
          </cell>
        </row>
        <row r="1422">
          <cell r="J1422">
            <v>0</v>
          </cell>
          <cell r="K1422">
            <v>0</v>
          </cell>
        </row>
        <row r="1423">
          <cell r="J1423">
            <v>0</v>
          </cell>
          <cell r="K1423">
            <v>0</v>
          </cell>
        </row>
        <row r="1424">
          <cell r="J1424">
            <v>0</v>
          </cell>
          <cell r="K1424">
            <v>0</v>
          </cell>
        </row>
        <row r="1425">
          <cell r="J1425">
            <v>0</v>
          </cell>
          <cell r="K1425">
            <v>0</v>
          </cell>
        </row>
        <row r="1426">
          <cell r="J1426">
            <v>0</v>
          </cell>
          <cell r="K1426">
            <v>0</v>
          </cell>
        </row>
        <row r="1427">
          <cell r="J1427">
            <v>0</v>
          </cell>
          <cell r="K1427">
            <v>0</v>
          </cell>
        </row>
        <row r="1428">
          <cell r="J1428">
            <v>0</v>
          </cell>
          <cell r="K1428">
            <v>0</v>
          </cell>
        </row>
        <row r="1429">
          <cell r="J1429">
            <v>0</v>
          </cell>
          <cell r="K1429">
            <v>0</v>
          </cell>
        </row>
        <row r="1430">
          <cell r="J1430">
            <v>0</v>
          </cell>
          <cell r="K1430">
            <v>0</v>
          </cell>
        </row>
        <row r="1431">
          <cell r="J1431">
            <v>0</v>
          </cell>
          <cell r="K1431">
            <v>0</v>
          </cell>
        </row>
        <row r="1438">
          <cell r="J1438" t="str">
            <v>Madeira em Geral</v>
          </cell>
        </row>
        <row r="1439">
          <cell r="J1439" t="str">
            <v>Madeira em Geral</v>
          </cell>
        </row>
        <row r="1442">
          <cell r="J1442">
            <v>0</v>
          </cell>
        </row>
        <row r="1446">
          <cell r="J1446">
            <v>42044</v>
          </cell>
          <cell r="K1446">
            <v>4799.2700000000004</v>
          </cell>
        </row>
        <row r="1456">
          <cell r="J1456">
            <v>0</v>
          </cell>
          <cell r="K1456">
            <v>0</v>
          </cell>
        </row>
        <row r="1457">
          <cell r="J1457">
            <v>0</v>
          </cell>
          <cell r="K1457">
            <v>0</v>
          </cell>
        </row>
        <row r="1458">
          <cell r="J1458">
            <v>0</v>
          </cell>
          <cell r="K1458">
            <v>0</v>
          </cell>
        </row>
        <row r="1459">
          <cell r="J1459">
            <v>0</v>
          </cell>
          <cell r="K1459">
            <v>0</v>
          </cell>
        </row>
        <row r="1460">
          <cell r="J1460">
            <v>0</v>
          </cell>
          <cell r="K1460">
            <v>0</v>
          </cell>
        </row>
        <row r="1461">
          <cell r="J1461">
            <v>0</v>
          </cell>
          <cell r="K1461">
            <v>0</v>
          </cell>
        </row>
        <row r="1462">
          <cell r="J1462">
            <v>0</v>
          </cell>
          <cell r="K1462">
            <v>0</v>
          </cell>
        </row>
        <row r="1463">
          <cell r="J1463">
            <v>0</v>
          </cell>
          <cell r="K1463">
            <v>0</v>
          </cell>
        </row>
        <row r="1464">
          <cell r="J1464">
            <v>0</v>
          </cell>
          <cell r="K1464">
            <v>0</v>
          </cell>
        </row>
        <row r="1465">
          <cell r="J1465">
            <v>0</v>
          </cell>
          <cell r="K1465">
            <v>0</v>
          </cell>
        </row>
        <row r="1466">
          <cell r="J1466">
            <v>0</v>
          </cell>
          <cell r="K1466">
            <v>0</v>
          </cell>
        </row>
        <row r="1467">
          <cell r="J1467">
            <v>0</v>
          </cell>
          <cell r="K1467">
            <v>0</v>
          </cell>
        </row>
        <row r="1468">
          <cell r="J1468">
            <v>0</v>
          </cell>
          <cell r="K1468">
            <v>0</v>
          </cell>
        </row>
        <row r="1469">
          <cell r="J1469">
            <v>0</v>
          </cell>
          <cell r="K1469">
            <v>0</v>
          </cell>
        </row>
        <row r="1470">
          <cell r="J1470">
            <v>0</v>
          </cell>
          <cell r="K1470">
            <v>0</v>
          </cell>
        </row>
        <row r="1471">
          <cell r="J1471">
            <v>0</v>
          </cell>
          <cell r="K1471">
            <v>0</v>
          </cell>
        </row>
        <row r="1484">
          <cell r="J1484">
            <v>41128</v>
          </cell>
          <cell r="K1484">
            <v>7.1</v>
          </cell>
        </row>
        <row r="1485">
          <cell r="J1485">
            <v>0</v>
          </cell>
          <cell r="K1485">
            <v>0</v>
          </cell>
        </row>
        <row r="1494">
          <cell r="J1494">
            <v>0</v>
          </cell>
          <cell r="K1494">
            <v>0</v>
          </cell>
        </row>
        <row r="1495">
          <cell r="J1495">
            <v>0</v>
          </cell>
          <cell r="K1495">
            <v>0</v>
          </cell>
        </row>
        <row r="1496">
          <cell r="J1496">
            <v>0</v>
          </cell>
          <cell r="K1496">
            <v>0</v>
          </cell>
        </row>
        <row r="1497">
          <cell r="J1497">
            <v>0</v>
          </cell>
          <cell r="K1497">
            <v>0</v>
          </cell>
        </row>
        <row r="1498">
          <cell r="J1498">
            <v>0</v>
          </cell>
          <cell r="K1498">
            <v>0</v>
          </cell>
        </row>
        <row r="1499">
          <cell r="J1499">
            <v>0</v>
          </cell>
          <cell r="K1499">
            <v>0</v>
          </cell>
        </row>
        <row r="1500">
          <cell r="J1500">
            <v>0</v>
          </cell>
          <cell r="K1500">
            <v>0</v>
          </cell>
        </row>
        <row r="1501">
          <cell r="J1501">
            <v>0</v>
          </cell>
          <cell r="K1501">
            <v>0</v>
          </cell>
        </row>
        <row r="1502">
          <cell r="J1502">
            <v>0</v>
          </cell>
          <cell r="K1502">
            <v>0</v>
          </cell>
        </row>
        <row r="1503">
          <cell r="J1503">
            <v>0</v>
          </cell>
          <cell r="K1503">
            <v>0</v>
          </cell>
        </row>
        <row r="1504">
          <cell r="J1504">
            <v>0</v>
          </cell>
          <cell r="K1504">
            <v>0</v>
          </cell>
        </row>
        <row r="1505">
          <cell r="J1505">
            <v>0</v>
          </cell>
          <cell r="K1505">
            <v>0</v>
          </cell>
        </row>
        <row r="1506">
          <cell r="J1506">
            <v>0</v>
          </cell>
          <cell r="K1506">
            <v>0</v>
          </cell>
        </row>
        <row r="1507">
          <cell r="J1507">
            <v>0</v>
          </cell>
          <cell r="K1507">
            <v>0</v>
          </cell>
        </row>
        <row r="1508">
          <cell r="J1508">
            <v>0</v>
          </cell>
          <cell r="K1508">
            <v>0</v>
          </cell>
        </row>
        <row r="1509">
          <cell r="J1509">
            <v>0</v>
          </cell>
          <cell r="K1509">
            <v>0</v>
          </cell>
        </row>
        <row r="1521">
          <cell r="J1521">
            <v>40258</v>
          </cell>
          <cell r="K1521">
            <v>58.37</v>
          </cell>
        </row>
        <row r="1543">
          <cell r="J1543">
            <v>0</v>
          </cell>
          <cell r="K1543">
            <v>0</v>
          </cell>
        </row>
        <row r="1547">
          <cell r="J1547">
            <v>0</v>
          </cell>
          <cell r="K1547">
            <v>0</v>
          </cell>
        </row>
        <row r="1549">
          <cell r="J1549">
            <v>0</v>
          </cell>
        </row>
        <row r="1551">
          <cell r="J1551">
            <v>0</v>
          </cell>
        </row>
        <row r="1552">
          <cell r="J1552">
            <v>0</v>
          </cell>
          <cell r="K1552">
            <v>0</v>
          </cell>
        </row>
        <row r="1553">
          <cell r="J1553">
            <v>0</v>
          </cell>
          <cell r="K1553">
            <v>0</v>
          </cell>
        </row>
        <row r="1554">
          <cell r="J1554">
            <v>40303</v>
          </cell>
          <cell r="K1554">
            <v>39.119999999999997</v>
          </cell>
        </row>
        <row r="1555">
          <cell r="J1555">
            <v>0</v>
          </cell>
          <cell r="K1555">
            <v>0</v>
          </cell>
        </row>
        <row r="1574">
          <cell r="J1574">
            <v>0</v>
          </cell>
          <cell r="K1574">
            <v>0</v>
          </cell>
        </row>
        <row r="1578">
          <cell r="J1578">
            <v>0</v>
          </cell>
          <cell r="K1578">
            <v>0</v>
          </cell>
        </row>
        <row r="1589">
          <cell r="J1589">
            <v>0</v>
          </cell>
          <cell r="K1589">
            <v>0</v>
          </cell>
        </row>
        <row r="1590">
          <cell r="J1590">
            <v>0</v>
          </cell>
          <cell r="K1590">
            <v>0</v>
          </cell>
        </row>
        <row r="1591">
          <cell r="J1591">
            <v>40488</v>
          </cell>
          <cell r="K1591">
            <v>2090.1799999999998</v>
          </cell>
        </row>
        <row r="1592">
          <cell r="J1592">
            <v>0</v>
          </cell>
          <cell r="K1592">
            <v>0</v>
          </cell>
        </row>
        <row r="1593">
          <cell r="J1593">
            <v>0</v>
          </cell>
          <cell r="K1593">
            <v>0</v>
          </cell>
        </row>
        <row r="1595">
          <cell r="J1595">
            <v>0</v>
          </cell>
          <cell r="K1595">
            <v>0</v>
          </cell>
        </row>
        <row r="1596">
          <cell r="J1596">
            <v>0</v>
          </cell>
          <cell r="K1596">
            <v>0</v>
          </cell>
        </row>
        <row r="1597">
          <cell r="J1597">
            <v>0</v>
          </cell>
          <cell r="K1597">
            <v>0</v>
          </cell>
        </row>
        <row r="1601">
          <cell r="J1601">
            <v>0</v>
          </cell>
          <cell r="K1601">
            <v>0</v>
          </cell>
        </row>
        <row r="1602">
          <cell r="J1602">
            <v>0</v>
          </cell>
          <cell r="K1602">
            <v>0</v>
          </cell>
        </row>
        <row r="1603">
          <cell r="J1603">
            <v>0</v>
          </cell>
          <cell r="K1603">
            <v>0</v>
          </cell>
        </row>
        <row r="1605">
          <cell r="J1605">
            <v>0</v>
          </cell>
          <cell r="K1605">
            <v>0</v>
          </cell>
        </row>
        <row r="1606">
          <cell r="J1606">
            <v>0</v>
          </cell>
          <cell r="K1606">
            <v>0</v>
          </cell>
        </row>
        <row r="1607">
          <cell r="J1607">
            <v>0</v>
          </cell>
          <cell r="K1607">
            <v>0</v>
          </cell>
        </row>
        <row r="1608">
          <cell r="J1608">
            <v>0</v>
          </cell>
          <cell r="K1608">
            <v>0</v>
          </cell>
        </row>
        <row r="1609">
          <cell r="J1609">
            <v>0</v>
          </cell>
          <cell r="K1609">
            <v>0</v>
          </cell>
        </row>
        <row r="1610">
          <cell r="J1610">
            <v>0</v>
          </cell>
          <cell r="K1610">
            <v>0</v>
          </cell>
        </row>
        <row r="1611">
          <cell r="J1611">
            <v>0</v>
          </cell>
          <cell r="K1611">
            <v>0</v>
          </cell>
        </row>
        <row r="1612">
          <cell r="J1612">
            <v>0</v>
          </cell>
          <cell r="K1612">
            <v>0</v>
          </cell>
        </row>
        <row r="1613">
          <cell r="J1613">
            <v>0</v>
          </cell>
          <cell r="K1613">
            <v>0</v>
          </cell>
        </row>
        <row r="1614">
          <cell r="J1614">
            <v>0</v>
          </cell>
          <cell r="K1614">
            <v>0</v>
          </cell>
        </row>
        <row r="1615">
          <cell r="J1615">
            <v>0</v>
          </cell>
          <cell r="K1615">
            <v>0</v>
          </cell>
        </row>
        <row r="1616">
          <cell r="J1616">
            <v>0</v>
          </cell>
          <cell r="K1616">
            <v>0</v>
          </cell>
        </row>
        <row r="1617">
          <cell r="J1617">
            <v>0</v>
          </cell>
          <cell r="K1617">
            <v>0</v>
          </cell>
        </row>
        <row r="1618">
          <cell r="J1618">
            <v>0</v>
          </cell>
          <cell r="K1618">
            <v>0</v>
          </cell>
        </row>
        <row r="1619">
          <cell r="J1619">
            <v>0</v>
          </cell>
          <cell r="K1619">
            <v>0</v>
          </cell>
        </row>
        <row r="1620">
          <cell r="J1620" t="str">
            <v>Pré-moldados de concreto</v>
          </cell>
          <cell r="K1620">
            <v>0</v>
          </cell>
        </row>
        <row r="1621">
          <cell r="J1621">
            <v>0</v>
          </cell>
          <cell r="K1621">
            <v>0</v>
          </cell>
        </row>
        <row r="1622">
          <cell r="J1622">
            <v>0</v>
          </cell>
          <cell r="K1622">
            <v>0</v>
          </cell>
        </row>
        <row r="1623">
          <cell r="J1623">
            <v>0</v>
          </cell>
          <cell r="K1623">
            <v>0</v>
          </cell>
        </row>
        <row r="1624">
          <cell r="J1624">
            <v>0</v>
          </cell>
          <cell r="K1624">
            <v>0</v>
          </cell>
        </row>
        <row r="1625">
          <cell r="J1625">
            <v>0</v>
          </cell>
        </row>
        <row r="1626">
          <cell r="J1626">
            <v>0</v>
          </cell>
        </row>
        <row r="1627">
          <cell r="J1627">
            <v>40539</v>
          </cell>
          <cell r="K1627">
            <v>11307.57</v>
          </cell>
        </row>
        <row r="1628">
          <cell r="J1628">
            <v>0</v>
          </cell>
        </row>
        <row r="1629">
          <cell r="J1629">
            <v>0</v>
          </cell>
        </row>
        <row r="1631">
          <cell r="J1631">
            <v>0</v>
          </cell>
        </row>
        <row r="1632">
          <cell r="J1632">
            <v>0</v>
          </cell>
          <cell r="K1632">
            <v>0</v>
          </cell>
        </row>
        <row r="1636">
          <cell r="J1636">
            <v>0</v>
          </cell>
          <cell r="K1636">
            <v>0</v>
          </cell>
        </row>
        <row r="1652">
          <cell r="J1652" t="str">
            <v>Pré-moldados de concreto</v>
          </cell>
          <cell r="K1652">
            <v>0</v>
          </cell>
        </row>
        <row r="1654">
          <cell r="J1654">
            <v>0</v>
          </cell>
        </row>
        <row r="1656">
          <cell r="J1656">
            <v>0</v>
          </cell>
          <cell r="K1656">
            <v>0</v>
          </cell>
        </row>
        <row r="1657">
          <cell r="J1657">
            <v>0</v>
          </cell>
        </row>
        <row r="1659">
          <cell r="J1659">
            <v>40375</v>
          </cell>
          <cell r="K1659">
            <v>155.82</v>
          </cell>
        </row>
        <row r="1662">
          <cell r="J1662">
            <v>0</v>
          </cell>
          <cell r="K1662">
            <v>0</v>
          </cell>
        </row>
        <row r="1663">
          <cell r="J1663">
            <v>0</v>
          </cell>
          <cell r="K1663">
            <v>0</v>
          </cell>
        </row>
        <row r="1664">
          <cell r="J1664">
            <v>0</v>
          </cell>
          <cell r="K1664">
            <v>0</v>
          </cell>
        </row>
        <row r="1665">
          <cell r="J1665">
            <v>0</v>
          </cell>
          <cell r="K1665">
            <v>0</v>
          </cell>
        </row>
        <row r="1666">
          <cell r="J1666">
            <v>0</v>
          </cell>
          <cell r="K1666">
            <v>0</v>
          </cell>
        </row>
        <row r="1667">
          <cell r="J1667">
            <v>0</v>
          </cell>
          <cell r="K1667">
            <v>0</v>
          </cell>
        </row>
        <row r="1668">
          <cell r="J1668">
            <v>0</v>
          </cell>
          <cell r="K1668">
            <v>0</v>
          </cell>
        </row>
        <row r="1669">
          <cell r="J1669">
            <v>0</v>
          </cell>
          <cell r="K1669">
            <v>0</v>
          </cell>
        </row>
        <row r="1670">
          <cell r="J1670">
            <v>0</v>
          </cell>
          <cell r="K1670">
            <v>0</v>
          </cell>
        </row>
        <row r="1671">
          <cell r="J1671">
            <v>0</v>
          </cell>
          <cell r="K1671">
            <v>0</v>
          </cell>
        </row>
        <row r="1672">
          <cell r="K1672">
            <v>0</v>
          </cell>
        </row>
        <row r="1673">
          <cell r="K1673">
            <v>0</v>
          </cell>
        </row>
        <row r="1674">
          <cell r="K1674">
            <v>0</v>
          </cell>
        </row>
        <row r="1675">
          <cell r="K1675">
            <v>0</v>
          </cell>
        </row>
        <row r="1676">
          <cell r="K1676">
            <v>0</v>
          </cell>
        </row>
        <row r="1677">
          <cell r="K1677">
            <v>0</v>
          </cell>
        </row>
        <row r="1678">
          <cell r="K1678">
            <v>0</v>
          </cell>
        </row>
        <row r="1679">
          <cell r="K1679">
            <v>0</v>
          </cell>
        </row>
        <row r="1680">
          <cell r="K1680">
            <v>0</v>
          </cell>
        </row>
        <row r="1681">
          <cell r="K1681">
            <v>0</v>
          </cell>
        </row>
        <row r="1682">
          <cell r="K1682">
            <v>0</v>
          </cell>
        </row>
        <row r="1683">
          <cell r="K1683">
            <v>0</v>
          </cell>
        </row>
        <row r="1684">
          <cell r="K1684">
            <v>0</v>
          </cell>
        </row>
        <row r="1685">
          <cell r="K1685">
            <v>0</v>
          </cell>
        </row>
        <row r="1686">
          <cell r="K1686">
            <v>0</v>
          </cell>
        </row>
        <row r="1693">
          <cell r="J1693">
            <v>41136</v>
          </cell>
          <cell r="K1693">
            <v>90.59</v>
          </cell>
        </row>
        <row r="1702">
          <cell r="J1702">
            <v>0</v>
          </cell>
          <cell r="K1702">
            <v>0</v>
          </cell>
        </row>
        <row r="1703">
          <cell r="J1703">
            <v>0</v>
          </cell>
          <cell r="K1703">
            <v>0</v>
          </cell>
        </row>
        <row r="1704">
          <cell r="J1704">
            <v>0</v>
          </cell>
          <cell r="K1704">
            <v>0</v>
          </cell>
        </row>
        <row r="1705">
          <cell r="J1705">
            <v>0</v>
          </cell>
          <cell r="K1705">
            <v>0</v>
          </cell>
        </row>
        <row r="1706">
          <cell r="J1706">
            <v>0</v>
          </cell>
          <cell r="K1706">
            <v>0</v>
          </cell>
        </row>
        <row r="1707">
          <cell r="J1707">
            <v>0</v>
          </cell>
          <cell r="K1707">
            <v>0</v>
          </cell>
        </row>
        <row r="1708">
          <cell r="J1708">
            <v>0</v>
          </cell>
          <cell r="K1708">
            <v>0</v>
          </cell>
        </row>
        <row r="1709">
          <cell r="J1709">
            <v>0</v>
          </cell>
          <cell r="K1709">
            <v>0</v>
          </cell>
        </row>
        <row r="1710">
          <cell r="J1710">
            <v>0</v>
          </cell>
          <cell r="K1710">
            <v>0</v>
          </cell>
        </row>
        <row r="1711">
          <cell r="J1711">
            <v>0</v>
          </cell>
          <cell r="K1711">
            <v>0</v>
          </cell>
        </row>
        <row r="1712">
          <cell r="J1712">
            <v>0</v>
          </cell>
          <cell r="K1712">
            <v>0</v>
          </cell>
        </row>
        <row r="1713">
          <cell r="J1713">
            <v>0</v>
          </cell>
          <cell r="K1713">
            <v>0</v>
          </cell>
        </row>
        <row r="1714">
          <cell r="J1714">
            <v>0</v>
          </cell>
          <cell r="K1714">
            <v>0</v>
          </cell>
        </row>
        <row r="1715">
          <cell r="J1715">
            <v>0</v>
          </cell>
          <cell r="K1715">
            <v>0</v>
          </cell>
        </row>
        <row r="1716">
          <cell r="J1716">
            <v>0</v>
          </cell>
          <cell r="K1716">
            <v>0</v>
          </cell>
        </row>
        <row r="1717">
          <cell r="J1717">
            <v>0</v>
          </cell>
          <cell r="K1717">
            <v>0</v>
          </cell>
        </row>
        <row r="1730">
          <cell r="J1730">
            <v>42476</v>
          </cell>
          <cell r="K1730">
            <v>40.770000000000003</v>
          </cell>
        </row>
        <row r="1738">
          <cell r="J1738">
            <v>0</v>
          </cell>
          <cell r="K1738">
            <v>0</v>
          </cell>
        </row>
        <row r="1739">
          <cell r="J1739">
            <v>0</v>
          </cell>
          <cell r="K1739">
            <v>0</v>
          </cell>
        </row>
        <row r="1740">
          <cell r="J1740">
            <v>0</v>
          </cell>
          <cell r="K1740">
            <v>0</v>
          </cell>
        </row>
        <row r="1741">
          <cell r="J1741">
            <v>0</v>
          </cell>
          <cell r="K1741">
            <v>0</v>
          </cell>
        </row>
        <row r="1742">
          <cell r="J1742">
            <v>0</v>
          </cell>
          <cell r="K1742">
            <v>0</v>
          </cell>
        </row>
        <row r="1743">
          <cell r="J1743">
            <v>0</v>
          </cell>
          <cell r="K1743">
            <v>0</v>
          </cell>
        </row>
        <row r="1744">
          <cell r="J1744">
            <v>0</v>
          </cell>
          <cell r="K1744">
            <v>0</v>
          </cell>
        </row>
        <row r="1745">
          <cell r="J1745">
            <v>0</v>
          </cell>
          <cell r="K1745">
            <v>0</v>
          </cell>
        </row>
        <row r="1746">
          <cell r="J1746">
            <v>0</v>
          </cell>
          <cell r="K1746">
            <v>0</v>
          </cell>
        </row>
        <row r="1747">
          <cell r="J1747">
            <v>0</v>
          </cell>
          <cell r="K1747">
            <v>0</v>
          </cell>
        </row>
        <row r="1748">
          <cell r="J1748">
            <v>0</v>
          </cell>
          <cell r="K1748">
            <v>0</v>
          </cell>
        </row>
        <row r="1749">
          <cell r="J1749">
            <v>0</v>
          </cell>
          <cell r="K1749">
            <v>0</v>
          </cell>
        </row>
        <row r="1750">
          <cell r="J1750">
            <v>0</v>
          </cell>
          <cell r="K1750">
            <v>0</v>
          </cell>
        </row>
        <row r="1751">
          <cell r="J1751">
            <v>0</v>
          </cell>
          <cell r="K1751">
            <v>0</v>
          </cell>
        </row>
        <row r="1752">
          <cell r="J1752">
            <v>0</v>
          </cell>
          <cell r="K1752">
            <v>0</v>
          </cell>
        </row>
        <row r="1764">
          <cell r="J1764">
            <v>40221</v>
          </cell>
          <cell r="K1764">
            <v>8.06</v>
          </cell>
        </row>
        <row r="1765">
          <cell r="J1765">
            <v>0</v>
          </cell>
          <cell r="K1765">
            <v>0</v>
          </cell>
        </row>
        <row r="1766">
          <cell r="J1766">
            <v>0</v>
          </cell>
          <cell r="K1766">
            <v>0</v>
          </cell>
        </row>
        <row r="1767">
          <cell r="J1767">
            <v>0</v>
          </cell>
          <cell r="K1767">
            <v>0</v>
          </cell>
        </row>
        <row r="1768">
          <cell r="J1768">
            <v>0</v>
          </cell>
          <cell r="K1768">
            <v>0</v>
          </cell>
        </row>
        <row r="1769">
          <cell r="J1769">
            <v>0</v>
          </cell>
          <cell r="K1769">
            <v>0</v>
          </cell>
        </row>
        <row r="1770">
          <cell r="J1770">
            <v>0</v>
          </cell>
          <cell r="K1770">
            <v>0</v>
          </cell>
        </row>
        <row r="1771">
          <cell r="J1771">
            <v>0</v>
          </cell>
          <cell r="K1771">
            <v>0</v>
          </cell>
        </row>
        <row r="1772">
          <cell r="J1772">
            <v>0</v>
          </cell>
          <cell r="K1772">
            <v>0</v>
          </cell>
        </row>
        <row r="1773">
          <cell r="J1773">
            <v>0</v>
          </cell>
          <cell r="K1773">
            <v>0</v>
          </cell>
        </row>
        <row r="1774">
          <cell r="J1774">
            <v>0</v>
          </cell>
          <cell r="K1774">
            <v>0</v>
          </cell>
        </row>
        <row r="1775">
          <cell r="J1775">
            <v>0</v>
          </cell>
          <cell r="K1775">
            <v>0</v>
          </cell>
        </row>
        <row r="1776">
          <cell r="J1776">
            <v>0</v>
          </cell>
          <cell r="K1776">
            <v>0</v>
          </cell>
        </row>
        <row r="1777">
          <cell r="J1777">
            <v>0</v>
          </cell>
          <cell r="K1777">
            <v>0</v>
          </cell>
        </row>
        <row r="1778">
          <cell r="J1778">
            <v>0</v>
          </cell>
          <cell r="K1778">
            <v>0</v>
          </cell>
        </row>
        <row r="1779">
          <cell r="J1779">
            <v>0</v>
          </cell>
          <cell r="K1779">
            <v>0</v>
          </cell>
        </row>
        <row r="1780">
          <cell r="J1780">
            <v>0</v>
          </cell>
          <cell r="K1780">
            <v>0</v>
          </cell>
        </row>
        <row r="1781">
          <cell r="K1781">
            <v>0</v>
          </cell>
        </row>
        <row r="1782">
          <cell r="K1782">
            <v>0</v>
          </cell>
        </row>
        <row r="1783">
          <cell r="K1783">
            <v>0</v>
          </cell>
        </row>
        <row r="1784">
          <cell r="K1784">
            <v>0</v>
          </cell>
        </row>
        <row r="1785">
          <cell r="K1785">
            <v>0</v>
          </cell>
        </row>
        <row r="1786">
          <cell r="K1786">
            <v>0</v>
          </cell>
        </row>
        <row r="1787">
          <cell r="K1787">
            <v>0</v>
          </cell>
        </row>
        <row r="1788">
          <cell r="K1788">
            <v>0</v>
          </cell>
        </row>
        <row r="1789">
          <cell r="K1789">
            <v>0</v>
          </cell>
        </row>
        <row r="1790">
          <cell r="K1790">
            <v>0</v>
          </cell>
        </row>
        <row r="1791">
          <cell r="K1791">
            <v>0</v>
          </cell>
        </row>
        <row r="1792">
          <cell r="K1792">
            <v>0</v>
          </cell>
        </row>
        <row r="1793">
          <cell r="J1793" t="str">
            <v>Pré-moldados de concreto</v>
          </cell>
          <cell r="K1793">
            <v>0</v>
          </cell>
        </row>
        <row r="1794">
          <cell r="K1794">
            <v>0</v>
          </cell>
        </row>
        <row r="1795">
          <cell r="K1795">
            <v>0</v>
          </cell>
        </row>
        <row r="1796">
          <cell r="K1796">
            <v>0</v>
          </cell>
        </row>
        <row r="1801">
          <cell r="J1801">
            <v>40177</v>
          </cell>
          <cell r="K1801">
            <v>4.2</v>
          </cell>
        </row>
        <row r="1813">
          <cell r="J1813">
            <v>0</v>
          </cell>
          <cell r="K1813">
            <v>0</v>
          </cell>
        </row>
        <row r="1814">
          <cell r="J1814">
            <v>0</v>
          </cell>
          <cell r="K1814">
            <v>0</v>
          </cell>
        </row>
        <row r="1815">
          <cell r="J1815">
            <v>0</v>
          </cell>
          <cell r="K1815">
            <v>0</v>
          </cell>
        </row>
        <row r="1816">
          <cell r="J1816">
            <v>0</v>
          </cell>
          <cell r="K1816">
            <v>0</v>
          </cell>
        </row>
        <row r="1817">
          <cell r="J1817">
            <v>0</v>
          </cell>
          <cell r="K1817">
            <v>0</v>
          </cell>
        </row>
        <row r="1818">
          <cell r="J1818">
            <v>0</v>
          </cell>
          <cell r="K1818">
            <v>0</v>
          </cell>
        </row>
        <row r="1819">
          <cell r="J1819">
            <v>0</v>
          </cell>
          <cell r="K1819">
            <v>0</v>
          </cell>
        </row>
        <row r="1820">
          <cell r="J1820">
            <v>0</v>
          </cell>
          <cell r="K1820">
            <v>0</v>
          </cell>
        </row>
        <row r="1821">
          <cell r="J1821">
            <v>0</v>
          </cell>
          <cell r="K1821">
            <v>0</v>
          </cell>
        </row>
        <row r="1822">
          <cell r="J1822">
            <v>0</v>
          </cell>
          <cell r="K1822">
            <v>0</v>
          </cell>
        </row>
        <row r="1823">
          <cell r="J1823">
            <v>0</v>
          </cell>
          <cell r="K1823">
            <v>0</v>
          </cell>
        </row>
        <row r="1824">
          <cell r="J1824">
            <v>0</v>
          </cell>
          <cell r="K1824">
            <v>0</v>
          </cell>
        </row>
        <row r="1825">
          <cell r="J1825">
            <v>0</v>
          </cell>
          <cell r="K1825">
            <v>0</v>
          </cell>
        </row>
        <row r="1826">
          <cell r="J1826">
            <v>0</v>
          </cell>
          <cell r="K1826">
            <v>0</v>
          </cell>
        </row>
        <row r="1827">
          <cell r="J1827">
            <v>0</v>
          </cell>
          <cell r="K1827">
            <v>0</v>
          </cell>
        </row>
        <row r="1828">
          <cell r="J1828">
            <v>0</v>
          </cell>
          <cell r="K1828">
            <v>0</v>
          </cell>
        </row>
        <row r="1829">
          <cell r="J1829" t="str">
            <v>Pré-moldados de concreto</v>
          </cell>
        </row>
        <row r="1837">
          <cell r="J1837">
            <v>42201</v>
          </cell>
          <cell r="K1837">
            <v>3.4</v>
          </cell>
        </row>
        <row r="1838">
          <cell r="J1838">
            <v>0</v>
          </cell>
        </row>
        <row r="1839">
          <cell r="J1839">
            <v>0</v>
          </cell>
          <cell r="K1839">
            <v>0</v>
          </cell>
        </row>
        <row r="1842">
          <cell r="J1842">
            <v>0</v>
          </cell>
          <cell r="K1842">
            <v>0</v>
          </cell>
        </row>
        <row r="1843">
          <cell r="J1843">
            <v>0</v>
          </cell>
          <cell r="K1843">
            <v>0</v>
          </cell>
        </row>
        <row r="1844">
          <cell r="J1844">
            <v>0</v>
          </cell>
          <cell r="K1844">
            <v>0</v>
          </cell>
        </row>
        <row r="1845">
          <cell r="J1845">
            <v>0</v>
          </cell>
          <cell r="K1845">
            <v>0</v>
          </cell>
        </row>
        <row r="1846">
          <cell r="J1846">
            <v>0</v>
          </cell>
          <cell r="K1846">
            <v>0</v>
          </cell>
        </row>
        <row r="1847">
          <cell r="J1847">
            <v>0</v>
          </cell>
          <cell r="K1847">
            <v>0</v>
          </cell>
        </row>
        <row r="1848">
          <cell r="J1848">
            <v>0</v>
          </cell>
          <cell r="K1848">
            <v>0</v>
          </cell>
        </row>
        <row r="1849">
          <cell r="J1849">
            <v>0</v>
          </cell>
          <cell r="K1849">
            <v>0</v>
          </cell>
        </row>
        <row r="1850">
          <cell r="J1850">
            <v>0</v>
          </cell>
          <cell r="K1850">
            <v>0</v>
          </cell>
        </row>
        <row r="1851">
          <cell r="J1851">
            <v>0</v>
          </cell>
          <cell r="K1851">
            <v>0</v>
          </cell>
        </row>
        <row r="1852">
          <cell r="J1852">
            <v>0</v>
          </cell>
          <cell r="K1852">
            <v>0</v>
          </cell>
        </row>
        <row r="1853">
          <cell r="J1853">
            <v>0</v>
          </cell>
          <cell r="K1853">
            <v>0</v>
          </cell>
        </row>
        <row r="1854">
          <cell r="J1854">
            <v>0</v>
          </cell>
          <cell r="K1854">
            <v>0</v>
          </cell>
        </row>
        <row r="1855">
          <cell r="J1855">
            <v>0</v>
          </cell>
          <cell r="K1855">
            <v>0</v>
          </cell>
        </row>
        <row r="1856">
          <cell r="J1856">
            <v>0</v>
          </cell>
          <cell r="K1856">
            <v>0</v>
          </cell>
        </row>
        <row r="1857">
          <cell r="J1857">
            <v>0</v>
          </cell>
          <cell r="K1857">
            <v>0</v>
          </cell>
        </row>
        <row r="1859">
          <cell r="J1859">
            <v>0</v>
          </cell>
          <cell r="K1859">
            <v>0</v>
          </cell>
        </row>
        <row r="1860">
          <cell r="J1860">
            <v>0</v>
          </cell>
          <cell r="K1860">
            <v>0</v>
          </cell>
        </row>
        <row r="1872">
          <cell r="J1872">
            <v>41500</v>
          </cell>
          <cell r="K1872">
            <v>200.71</v>
          </cell>
        </row>
        <row r="1874">
          <cell r="J1874">
            <v>0</v>
          </cell>
          <cell r="K1874">
            <v>0</v>
          </cell>
        </row>
        <row r="1875">
          <cell r="J1875">
            <v>0</v>
          </cell>
          <cell r="K1875">
            <v>0</v>
          </cell>
        </row>
        <row r="1876">
          <cell r="J1876">
            <v>0</v>
          </cell>
          <cell r="K1876">
            <v>0</v>
          </cell>
        </row>
        <row r="1883">
          <cell r="J1883">
            <v>0</v>
          </cell>
          <cell r="K1883">
            <v>0</v>
          </cell>
        </row>
        <row r="1884">
          <cell r="J1884">
            <v>0</v>
          </cell>
          <cell r="K1884">
            <v>0</v>
          </cell>
        </row>
        <row r="1885">
          <cell r="J1885">
            <v>0</v>
          </cell>
          <cell r="K1885">
            <v>0</v>
          </cell>
        </row>
        <row r="1886">
          <cell r="J1886">
            <v>0</v>
          </cell>
          <cell r="K1886">
            <v>0</v>
          </cell>
        </row>
        <row r="1887">
          <cell r="J1887">
            <v>0</v>
          </cell>
          <cell r="K1887">
            <v>0</v>
          </cell>
        </row>
        <row r="1888">
          <cell r="J1888">
            <v>0</v>
          </cell>
          <cell r="K1888">
            <v>0</v>
          </cell>
        </row>
        <row r="1889">
          <cell r="J1889">
            <v>0</v>
          </cell>
          <cell r="K1889">
            <v>0</v>
          </cell>
        </row>
        <row r="1890">
          <cell r="J1890">
            <v>0</v>
          </cell>
          <cell r="K1890">
            <v>0</v>
          </cell>
        </row>
        <row r="1891">
          <cell r="J1891">
            <v>0</v>
          </cell>
          <cell r="K1891">
            <v>0</v>
          </cell>
        </row>
        <row r="1892">
          <cell r="J1892">
            <v>0</v>
          </cell>
          <cell r="K1892">
            <v>0</v>
          </cell>
        </row>
        <row r="1893">
          <cell r="J1893">
            <v>0</v>
          </cell>
          <cell r="K1893">
            <v>0</v>
          </cell>
        </row>
        <row r="1894">
          <cell r="J1894">
            <v>0</v>
          </cell>
          <cell r="K1894">
            <v>0</v>
          </cell>
        </row>
        <row r="1895">
          <cell r="J1895">
            <v>0</v>
          </cell>
          <cell r="K1895">
            <v>0</v>
          </cell>
        </row>
        <row r="1896">
          <cell r="J1896">
            <v>0</v>
          </cell>
          <cell r="K1896">
            <v>0</v>
          </cell>
        </row>
        <row r="1897">
          <cell r="J1897">
            <v>0</v>
          </cell>
          <cell r="K1897">
            <v>0</v>
          </cell>
        </row>
        <row r="1898">
          <cell r="J1898">
            <v>0</v>
          </cell>
          <cell r="K1898">
            <v>0</v>
          </cell>
        </row>
        <row r="1907">
          <cell r="J1907">
            <v>41501</v>
          </cell>
          <cell r="K1907">
            <v>32.68</v>
          </cell>
        </row>
        <row r="1915">
          <cell r="J1915">
            <v>0</v>
          </cell>
          <cell r="K1915">
            <v>0</v>
          </cell>
        </row>
        <row r="1916">
          <cell r="J1916">
            <v>0</v>
          </cell>
          <cell r="K1916">
            <v>0</v>
          </cell>
        </row>
        <row r="1917">
          <cell r="J1917">
            <v>0</v>
          </cell>
          <cell r="K1917">
            <v>0</v>
          </cell>
        </row>
        <row r="1918">
          <cell r="J1918">
            <v>0</v>
          </cell>
          <cell r="K1918">
            <v>0</v>
          </cell>
        </row>
        <row r="1919">
          <cell r="J1919">
            <v>0</v>
          </cell>
          <cell r="K1919">
            <v>0</v>
          </cell>
        </row>
        <row r="1920">
          <cell r="J1920">
            <v>0</v>
          </cell>
          <cell r="K1920">
            <v>0</v>
          </cell>
        </row>
        <row r="1921">
          <cell r="J1921">
            <v>0</v>
          </cell>
          <cell r="K1921">
            <v>0</v>
          </cell>
        </row>
        <row r="1922">
          <cell r="J1922">
            <v>0</v>
          </cell>
          <cell r="K1922">
            <v>0</v>
          </cell>
        </row>
        <row r="1923">
          <cell r="J1923">
            <v>0</v>
          </cell>
          <cell r="K1923">
            <v>0</v>
          </cell>
        </row>
        <row r="1924">
          <cell r="J1924">
            <v>0</v>
          </cell>
          <cell r="K1924">
            <v>0</v>
          </cell>
        </row>
        <row r="1925">
          <cell r="J1925">
            <v>0</v>
          </cell>
          <cell r="K1925">
            <v>0</v>
          </cell>
        </row>
        <row r="1926">
          <cell r="J1926">
            <v>0</v>
          </cell>
          <cell r="K1926">
            <v>0</v>
          </cell>
        </row>
        <row r="1927">
          <cell r="J1927">
            <v>0</v>
          </cell>
          <cell r="K1927">
            <v>0</v>
          </cell>
        </row>
        <row r="1928">
          <cell r="J1928">
            <v>0</v>
          </cell>
          <cell r="K1928">
            <v>0</v>
          </cell>
        </row>
        <row r="1929">
          <cell r="J1929">
            <v>0</v>
          </cell>
          <cell r="K1929">
            <v>0</v>
          </cell>
        </row>
        <row r="1930">
          <cell r="J1930">
            <v>0</v>
          </cell>
          <cell r="K1930">
            <v>0</v>
          </cell>
        </row>
        <row r="1942">
          <cell r="J1942">
            <v>41499</v>
          </cell>
          <cell r="K1942">
            <v>291.49</v>
          </cell>
        </row>
        <row r="1950">
          <cell r="J1950">
            <v>0</v>
          </cell>
          <cell r="K1950">
            <v>0</v>
          </cell>
        </row>
        <row r="1951">
          <cell r="J1951">
            <v>0</v>
          </cell>
          <cell r="K1951">
            <v>0</v>
          </cell>
        </row>
        <row r="1952">
          <cell r="J1952">
            <v>0</v>
          </cell>
          <cell r="K1952">
            <v>0</v>
          </cell>
        </row>
        <row r="1953">
          <cell r="J1953">
            <v>0</v>
          </cell>
          <cell r="K1953">
            <v>0</v>
          </cell>
        </row>
        <row r="1954">
          <cell r="J1954">
            <v>0</v>
          </cell>
          <cell r="K1954">
            <v>0</v>
          </cell>
        </row>
        <row r="1955">
          <cell r="J1955">
            <v>0</v>
          </cell>
          <cell r="K1955">
            <v>0</v>
          </cell>
        </row>
        <row r="1956">
          <cell r="J1956">
            <v>0</v>
          </cell>
          <cell r="K1956">
            <v>0</v>
          </cell>
        </row>
        <row r="1957">
          <cell r="J1957">
            <v>0</v>
          </cell>
          <cell r="K1957">
            <v>0</v>
          </cell>
        </row>
        <row r="1958">
          <cell r="J1958">
            <v>0</v>
          </cell>
          <cell r="K1958">
            <v>0</v>
          </cell>
        </row>
        <row r="1959">
          <cell r="J1959">
            <v>0</v>
          </cell>
          <cell r="K1959">
            <v>0</v>
          </cell>
        </row>
        <row r="1960">
          <cell r="J1960">
            <v>0</v>
          </cell>
          <cell r="K1960">
            <v>0</v>
          </cell>
        </row>
        <row r="1961">
          <cell r="J1961">
            <v>0</v>
          </cell>
          <cell r="K1961">
            <v>0</v>
          </cell>
        </row>
        <row r="1962">
          <cell r="J1962">
            <v>0</v>
          </cell>
          <cell r="K1962">
            <v>0</v>
          </cell>
        </row>
        <row r="1963">
          <cell r="J1963">
            <v>0</v>
          </cell>
          <cell r="K1963">
            <v>0</v>
          </cell>
        </row>
        <row r="1964">
          <cell r="J1964">
            <v>0</v>
          </cell>
          <cell r="K1964">
            <v>0</v>
          </cell>
        </row>
        <row r="1965">
          <cell r="J1965">
            <v>0</v>
          </cell>
          <cell r="K1965">
            <v>0</v>
          </cell>
        </row>
        <row r="1977">
          <cell r="J1977">
            <v>41503</v>
          </cell>
          <cell r="K1977">
            <v>424.58</v>
          </cell>
        </row>
        <row r="1982">
          <cell r="J1982">
            <v>0</v>
          </cell>
          <cell r="K1982">
            <v>0</v>
          </cell>
        </row>
        <row r="1983">
          <cell r="J1983">
            <v>0</v>
          </cell>
          <cell r="K1983">
            <v>0</v>
          </cell>
        </row>
        <row r="1984">
          <cell r="J1984">
            <v>0</v>
          </cell>
          <cell r="K1984">
            <v>0</v>
          </cell>
        </row>
        <row r="1985">
          <cell r="J1985">
            <v>0</v>
          </cell>
          <cell r="K1985">
            <v>0</v>
          </cell>
        </row>
        <row r="1986">
          <cell r="J1986">
            <v>0</v>
          </cell>
          <cell r="K1986">
            <v>0</v>
          </cell>
        </row>
        <row r="1987">
          <cell r="J1987">
            <v>0</v>
          </cell>
          <cell r="K1987">
            <v>0</v>
          </cell>
        </row>
        <row r="1988">
          <cell r="J1988">
            <v>0</v>
          </cell>
          <cell r="K1988">
            <v>0</v>
          </cell>
        </row>
        <row r="1989">
          <cell r="J1989">
            <v>0</v>
          </cell>
          <cell r="K1989">
            <v>0</v>
          </cell>
        </row>
        <row r="1990">
          <cell r="J1990">
            <v>0</v>
          </cell>
          <cell r="K1990">
            <v>0</v>
          </cell>
        </row>
        <row r="1991">
          <cell r="J1991">
            <v>0</v>
          </cell>
          <cell r="K1991">
            <v>0</v>
          </cell>
        </row>
        <row r="1992">
          <cell r="J1992">
            <v>0</v>
          </cell>
          <cell r="K1992">
            <v>0</v>
          </cell>
        </row>
        <row r="1993">
          <cell r="J1993">
            <v>0</v>
          </cell>
          <cell r="K1993">
            <v>0</v>
          </cell>
        </row>
        <row r="1994">
          <cell r="J1994">
            <v>0</v>
          </cell>
          <cell r="K1994">
            <v>0</v>
          </cell>
        </row>
        <row r="1995">
          <cell r="J1995">
            <v>0</v>
          </cell>
          <cell r="K1995">
            <v>0</v>
          </cell>
        </row>
        <row r="1996">
          <cell r="J1996">
            <v>0</v>
          </cell>
          <cell r="K1996">
            <v>0</v>
          </cell>
        </row>
        <row r="1997">
          <cell r="J1997">
            <v>0</v>
          </cell>
          <cell r="K1997">
            <v>0</v>
          </cell>
        </row>
        <row r="2012">
          <cell r="J2012">
            <v>41527</v>
          </cell>
          <cell r="K2012">
            <v>1859.35</v>
          </cell>
        </row>
        <row r="2014">
          <cell r="J2014">
            <v>0</v>
          </cell>
          <cell r="K2014">
            <v>0</v>
          </cell>
        </row>
        <row r="2015">
          <cell r="J2015">
            <v>0</v>
          </cell>
          <cell r="K2015">
            <v>0</v>
          </cell>
        </row>
        <row r="2016">
          <cell r="J2016">
            <v>0</v>
          </cell>
          <cell r="K2016">
            <v>0</v>
          </cell>
        </row>
        <row r="2017">
          <cell r="J2017">
            <v>0</v>
          </cell>
          <cell r="K2017">
            <v>0</v>
          </cell>
        </row>
        <row r="2018">
          <cell r="J2018">
            <v>0</v>
          </cell>
          <cell r="K2018">
            <v>0</v>
          </cell>
        </row>
        <row r="2019">
          <cell r="J2019">
            <v>0</v>
          </cell>
          <cell r="K2019">
            <v>0</v>
          </cell>
        </row>
        <row r="2020">
          <cell r="J2020">
            <v>0</v>
          </cell>
          <cell r="K2020">
            <v>0</v>
          </cell>
        </row>
        <row r="2021">
          <cell r="J2021">
            <v>0</v>
          </cell>
          <cell r="K2021">
            <v>0</v>
          </cell>
        </row>
        <row r="2022">
          <cell r="J2022">
            <v>0</v>
          </cell>
          <cell r="K2022">
            <v>0</v>
          </cell>
        </row>
        <row r="2023">
          <cell r="J2023">
            <v>0</v>
          </cell>
          <cell r="K2023">
            <v>0</v>
          </cell>
        </row>
        <row r="2024">
          <cell r="J2024">
            <v>0</v>
          </cell>
          <cell r="K2024">
            <v>0</v>
          </cell>
        </row>
        <row r="2025">
          <cell r="J2025">
            <v>0</v>
          </cell>
          <cell r="K2025">
            <v>0</v>
          </cell>
        </row>
        <row r="2026">
          <cell r="J2026">
            <v>0</v>
          </cell>
          <cell r="K2026">
            <v>0</v>
          </cell>
        </row>
        <row r="2027">
          <cell r="J2027">
            <v>0</v>
          </cell>
          <cell r="K2027">
            <v>0</v>
          </cell>
        </row>
        <row r="2028">
          <cell r="J2028">
            <v>0</v>
          </cell>
          <cell r="K2028">
            <v>0</v>
          </cell>
        </row>
        <row r="2029">
          <cell r="J2029">
            <v>0</v>
          </cell>
          <cell r="K2029">
            <v>0</v>
          </cell>
        </row>
        <row r="2047">
          <cell r="J2047">
            <v>41556</v>
          </cell>
          <cell r="K2047">
            <v>113.4</v>
          </cell>
        </row>
        <row r="2055">
          <cell r="J2055">
            <v>0</v>
          </cell>
          <cell r="K2055">
            <v>0</v>
          </cell>
        </row>
        <row r="2056">
          <cell r="J2056">
            <v>0</v>
          </cell>
          <cell r="K2056">
            <v>0</v>
          </cell>
        </row>
        <row r="2057">
          <cell r="J2057">
            <v>0</v>
          </cell>
          <cell r="K2057">
            <v>0</v>
          </cell>
        </row>
        <row r="2058">
          <cell r="J2058">
            <v>0</v>
          </cell>
          <cell r="K2058">
            <v>0</v>
          </cell>
        </row>
        <row r="2059">
          <cell r="J2059">
            <v>0</v>
          </cell>
          <cell r="K2059">
            <v>0</v>
          </cell>
        </row>
        <row r="2060">
          <cell r="J2060">
            <v>0</v>
          </cell>
          <cell r="K2060">
            <v>0</v>
          </cell>
        </row>
        <row r="2061">
          <cell r="J2061">
            <v>0</v>
          </cell>
          <cell r="K2061">
            <v>0</v>
          </cell>
        </row>
        <row r="2062">
          <cell r="J2062">
            <v>0</v>
          </cell>
          <cell r="K2062">
            <v>0</v>
          </cell>
        </row>
        <row r="2063">
          <cell r="J2063">
            <v>0</v>
          </cell>
          <cell r="K2063">
            <v>0</v>
          </cell>
        </row>
        <row r="2064">
          <cell r="J2064">
            <v>0</v>
          </cell>
          <cell r="K2064">
            <v>0</v>
          </cell>
        </row>
        <row r="2065">
          <cell r="J2065">
            <v>0</v>
          </cell>
          <cell r="K2065">
            <v>0</v>
          </cell>
        </row>
        <row r="2066">
          <cell r="J2066">
            <v>0</v>
          </cell>
          <cell r="K2066">
            <v>0</v>
          </cell>
        </row>
        <row r="2067">
          <cell r="J2067">
            <v>0</v>
          </cell>
          <cell r="K2067">
            <v>0</v>
          </cell>
        </row>
        <row r="2068">
          <cell r="J2068">
            <v>0</v>
          </cell>
          <cell r="K2068">
            <v>0</v>
          </cell>
        </row>
        <row r="2069">
          <cell r="J2069">
            <v>0</v>
          </cell>
          <cell r="K2069">
            <v>0</v>
          </cell>
        </row>
        <row r="2070">
          <cell r="J2070">
            <v>0</v>
          </cell>
          <cell r="K2070">
            <v>0</v>
          </cell>
        </row>
        <row r="2075">
          <cell r="J2075" t="str">
            <v>Produto Pétreo</v>
          </cell>
        </row>
        <row r="2078">
          <cell r="K2078">
            <v>0</v>
          </cell>
        </row>
        <row r="2082">
          <cell r="J2082">
            <v>0</v>
          </cell>
          <cell r="K2082">
            <v>0</v>
          </cell>
        </row>
        <row r="2083">
          <cell r="J2083">
            <v>40901</v>
          </cell>
          <cell r="K2083">
            <v>17.95</v>
          </cell>
        </row>
        <row r="2087">
          <cell r="J2087">
            <v>0</v>
          </cell>
          <cell r="K2087">
            <v>0</v>
          </cell>
        </row>
        <row r="2088">
          <cell r="J2088">
            <v>0</v>
          </cell>
          <cell r="K2088">
            <v>0</v>
          </cell>
        </row>
        <row r="2089">
          <cell r="J2089">
            <v>0</v>
          </cell>
          <cell r="K2089">
            <v>0</v>
          </cell>
        </row>
        <row r="2090">
          <cell r="J2090">
            <v>0</v>
          </cell>
          <cell r="K2090">
            <v>0</v>
          </cell>
        </row>
        <row r="2091">
          <cell r="J2091">
            <v>0</v>
          </cell>
          <cell r="K2091">
            <v>0</v>
          </cell>
        </row>
        <row r="2092">
          <cell r="J2092">
            <v>0</v>
          </cell>
          <cell r="K2092">
            <v>0</v>
          </cell>
        </row>
        <row r="2093">
          <cell r="J2093">
            <v>0</v>
          </cell>
          <cell r="K2093">
            <v>0</v>
          </cell>
        </row>
        <row r="2094">
          <cell r="J2094">
            <v>0</v>
          </cell>
          <cell r="K2094">
            <v>0</v>
          </cell>
        </row>
        <row r="2095">
          <cell r="J2095">
            <v>0</v>
          </cell>
          <cell r="K2095">
            <v>0</v>
          </cell>
        </row>
        <row r="2096">
          <cell r="J2096">
            <v>0</v>
          </cell>
          <cell r="K2096">
            <v>0</v>
          </cell>
        </row>
        <row r="2097">
          <cell r="J2097">
            <v>0</v>
          </cell>
          <cell r="K2097">
            <v>0</v>
          </cell>
        </row>
        <row r="2098">
          <cell r="J2098">
            <v>0</v>
          </cell>
          <cell r="K2098">
            <v>0</v>
          </cell>
        </row>
        <row r="2099">
          <cell r="J2099">
            <v>0</v>
          </cell>
          <cell r="K2099">
            <v>0</v>
          </cell>
        </row>
        <row r="2100">
          <cell r="J2100">
            <v>0</v>
          </cell>
          <cell r="K2100">
            <v>0</v>
          </cell>
        </row>
        <row r="2101">
          <cell r="J2101">
            <v>0</v>
          </cell>
          <cell r="K2101">
            <v>0</v>
          </cell>
        </row>
        <row r="2102">
          <cell r="J2102">
            <v>0</v>
          </cell>
          <cell r="K2102">
            <v>0</v>
          </cell>
        </row>
        <row r="2103">
          <cell r="K2103">
            <v>0</v>
          </cell>
        </row>
        <row r="2104">
          <cell r="K2104">
            <v>0</v>
          </cell>
        </row>
        <row r="2105">
          <cell r="K2105">
            <v>0</v>
          </cell>
        </row>
        <row r="2106">
          <cell r="K2106">
            <v>0</v>
          </cell>
        </row>
        <row r="2107">
          <cell r="K2107">
            <v>0</v>
          </cell>
        </row>
        <row r="2108">
          <cell r="K2108">
            <v>0</v>
          </cell>
        </row>
        <row r="2109">
          <cell r="K2109">
            <v>0</v>
          </cell>
        </row>
        <row r="2110">
          <cell r="K2110">
            <v>0</v>
          </cell>
        </row>
        <row r="2111">
          <cell r="K2111">
            <v>0</v>
          </cell>
        </row>
        <row r="2112">
          <cell r="K2112">
            <v>0</v>
          </cell>
        </row>
        <row r="2113">
          <cell r="J2113" t="str">
            <v>Arame</v>
          </cell>
          <cell r="K2113">
            <v>0</v>
          </cell>
        </row>
        <row r="2114">
          <cell r="J2114" t="str">
            <v xml:space="preserve">Mourão </v>
          </cell>
          <cell r="K2114">
            <v>0</v>
          </cell>
        </row>
        <row r="2115">
          <cell r="J2115" t="str">
            <v xml:space="preserve">Mourão </v>
          </cell>
          <cell r="K2115">
            <v>0</v>
          </cell>
        </row>
        <row r="2116">
          <cell r="K2116">
            <v>0</v>
          </cell>
        </row>
        <row r="2117">
          <cell r="K2117">
            <v>0</v>
          </cell>
        </row>
        <row r="2118">
          <cell r="J2118">
            <v>0</v>
          </cell>
          <cell r="K2118">
            <v>0</v>
          </cell>
        </row>
        <row r="2122">
          <cell r="J2122" t="str">
            <v>Código</v>
          </cell>
          <cell r="K2122">
            <v>0</v>
          </cell>
        </row>
        <row r="2123">
          <cell r="J2123">
            <v>0</v>
          </cell>
          <cell r="K2123">
            <v>0</v>
          </cell>
        </row>
        <row r="2124">
          <cell r="J2124">
            <v>41555</v>
          </cell>
          <cell r="K2124">
            <v>5855.52</v>
          </cell>
        </row>
        <row r="2125">
          <cell r="J2125">
            <v>0</v>
          </cell>
          <cell r="K2125">
            <v>0</v>
          </cell>
        </row>
        <row r="2148">
          <cell r="J2148">
            <v>0</v>
          </cell>
          <cell r="K2148">
            <v>0</v>
          </cell>
        </row>
        <row r="2158">
          <cell r="K2158">
            <v>0</v>
          </cell>
        </row>
        <row r="2159">
          <cell r="J2159">
            <v>0</v>
          </cell>
          <cell r="K2159">
            <v>0</v>
          </cell>
        </row>
        <row r="2160">
          <cell r="J2160">
            <v>0</v>
          </cell>
          <cell r="K2160">
            <v>0</v>
          </cell>
        </row>
        <row r="2161">
          <cell r="J2161">
            <v>0</v>
          </cell>
          <cell r="K2161">
            <v>0</v>
          </cell>
        </row>
        <row r="2162">
          <cell r="J2162">
            <v>0</v>
          </cell>
          <cell r="K2162">
            <v>0</v>
          </cell>
        </row>
        <row r="2163">
          <cell r="J2163" t="str">
            <v>Código</v>
          </cell>
          <cell r="K2163">
            <v>0</v>
          </cell>
        </row>
        <row r="2165">
          <cell r="J2165">
            <v>41528</v>
          </cell>
          <cell r="K2165">
            <v>215.57</v>
          </cell>
        </row>
        <row r="2166">
          <cell r="J2166">
            <v>0</v>
          </cell>
          <cell r="K2166">
            <v>0</v>
          </cell>
        </row>
        <row r="2167">
          <cell r="J2167">
            <v>0</v>
          </cell>
          <cell r="K2167">
            <v>0</v>
          </cell>
        </row>
        <row r="2168">
          <cell r="J2168">
            <v>0</v>
          </cell>
          <cell r="K2168">
            <v>0</v>
          </cell>
        </row>
        <row r="2169">
          <cell r="J2169">
            <v>0</v>
          </cell>
          <cell r="K2169">
            <v>0</v>
          </cell>
        </row>
        <row r="2170">
          <cell r="J2170">
            <v>0</v>
          </cell>
          <cell r="K2170">
            <v>0</v>
          </cell>
        </row>
        <row r="2171">
          <cell r="J2171">
            <v>0</v>
          </cell>
          <cell r="K2171">
            <v>0</v>
          </cell>
        </row>
        <row r="2172">
          <cell r="J2172">
            <v>0</v>
          </cell>
          <cell r="K2172">
            <v>0</v>
          </cell>
        </row>
        <row r="2173">
          <cell r="J2173">
            <v>0</v>
          </cell>
          <cell r="K2173">
            <v>0</v>
          </cell>
        </row>
        <row r="2174">
          <cell r="J2174">
            <v>0</v>
          </cell>
          <cell r="K2174">
            <v>0</v>
          </cell>
        </row>
        <row r="2175">
          <cell r="J2175">
            <v>0</v>
          </cell>
          <cell r="K2175">
            <v>0</v>
          </cell>
        </row>
        <row r="2176">
          <cell r="J2176">
            <v>0</v>
          </cell>
          <cell r="K2176">
            <v>0</v>
          </cell>
        </row>
        <row r="2177">
          <cell r="J2177">
            <v>0</v>
          </cell>
          <cell r="K2177">
            <v>0</v>
          </cell>
        </row>
        <row r="2178">
          <cell r="J2178">
            <v>0</v>
          </cell>
          <cell r="K2178">
            <v>0</v>
          </cell>
        </row>
        <row r="2179">
          <cell r="J2179">
            <v>0</v>
          </cell>
          <cell r="K2179">
            <v>0</v>
          </cell>
        </row>
        <row r="2180">
          <cell r="J2180">
            <v>0</v>
          </cell>
          <cell r="K2180">
            <v>0</v>
          </cell>
        </row>
        <row r="2181">
          <cell r="J2181">
            <v>0</v>
          </cell>
          <cell r="K2181">
            <v>0</v>
          </cell>
        </row>
        <row r="2187">
          <cell r="J2187">
            <v>0</v>
          </cell>
          <cell r="K2187">
            <v>0</v>
          </cell>
        </row>
        <row r="2188">
          <cell r="J2188">
            <v>0</v>
          </cell>
          <cell r="K2188">
            <v>0</v>
          </cell>
        </row>
        <row r="2192">
          <cell r="J2192" t="str">
            <v>Madeira em Geral</v>
          </cell>
        </row>
        <row r="2201">
          <cell r="J2201">
            <v>41529</v>
          </cell>
          <cell r="K2201">
            <v>21087.29</v>
          </cell>
        </row>
        <row r="2205">
          <cell r="J2205">
            <v>0</v>
          </cell>
          <cell r="K2205">
            <v>0</v>
          </cell>
        </row>
        <row r="2206">
          <cell r="J2206">
            <v>0</v>
          </cell>
          <cell r="K2206">
            <v>0</v>
          </cell>
        </row>
        <row r="2207">
          <cell r="J2207">
            <v>0</v>
          </cell>
          <cell r="K2207">
            <v>0</v>
          </cell>
        </row>
        <row r="2208">
          <cell r="J2208">
            <v>0</v>
          </cell>
          <cell r="K2208">
            <v>0</v>
          </cell>
        </row>
        <row r="2209">
          <cell r="J2209">
            <v>0</v>
          </cell>
          <cell r="K2209">
            <v>0</v>
          </cell>
        </row>
        <row r="2210">
          <cell r="J2210">
            <v>0</v>
          </cell>
          <cell r="K2210">
            <v>0</v>
          </cell>
        </row>
        <row r="2211">
          <cell r="J2211">
            <v>0</v>
          </cell>
          <cell r="K2211">
            <v>0</v>
          </cell>
        </row>
        <row r="2212">
          <cell r="J2212">
            <v>0</v>
          </cell>
          <cell r="K2212">
            <v>0</v>
          </cell>
        </row>
        <row r="2213">
          <cell r="J2213">
            <v>0</v>
          </cell>
          <cell r="K2213">
            <v>0</v>
          </cell>
        </row>
        <row r="2214">
          <cell r="J2214">
            <v>0</v>
          </cell>
          <cell r="K2214">
            <v>0</v>
          </cell>
        </row>
        <row r="2215">
          <cell r="J2215">
            <v>0</v>
          </cell>
          <cell r="K2215">
            <v>0</v>
          </cell>
        </row>
        <row r="2216">
          <cell r="J2216">
            <v>0</v>
          </cell>
          <cell r="K2216">
            <v>0</v>
          </cell>
        </row>
        <row r="2217">
          <cell r="J2217">
            <v>0</v>
          </cell>
          <cell r="K2217">
            <v>0</v>
          </cell>
        </row>
        <row r="2218">
          <cell r="J2218">
            <v>0</v>
          </cell>
          <cell r="K2218">
            <v>0</v>
          </cell>
        </row>
        <row r="2219">
          <cell r="J2219">
            <v>0</v>
          </cell>
          <cell r="K2219">
            <v>0</v>
          </cell>
        </row>
        <row r="2220">
          <cell r="J2220">
            <v>0</v>
          </cell>
          <cell r="K2220">
            <v>0</v>
          </cell>
        </row>
        <row r="2223">
          <cell r="J2223">
            <v>0</v>
          </cell>
          <cell r="K2223">
            <v>0</v>
          </cell>
        </row>
        <row r="2224">
          <cell r="J2224">
            <v>0</v>
          </cell>
          <cell r="K2224">
            <v>0</v>
          </cell>
        </row>
        <row r="2225">
          <cell r="J2225">
            <v>0</v>
          </cell>
          <cell r="K2225">
            <v>0</v>
          </cell>
        </row>
        <row r="2226">
          <cell r="J2226">
            <v>0</v>
          </cell>
          <cell r="K2226">
            <v>0</v>
          </cell>
        </row>
        <row r="2228">
          <cell r="J2228" t="str">
            <v>Madeira em Geral</v>
          </cell>
        </row>
        <row r="2236">
          <cell r="J2236">
            <v>41530</v>
          </cell>
          <cell r="K2236">
            <v>365.56</v>
          </cell>
        </row>
        <row r="2237">
          <cell r="J2237">
            <v>0</v>
          </cell>
          <cell r="K2237">
            <v>0</v>
          </cell>
        </row>
        <row r="2238">
          <cell r="J2238">
            <v>0</v>
          </cell>
          <cell r="K2238">
            <v>0</v>
          </cell>
        </row>
        <row r="2239">
          <cell r="J2239">
            <v>0</v>
          </cell>
          <cell r="K2239">
            <v>0</v>
          </cell>
        </row>
        <row r="2240">
          <cell r="J2240">
            <v>0</v>
          </cell>
          <cell r="K2240">
            <v>0</v>
          </cell>
        </row>
        <row r="2241">
          <cell r="J2241">
            <v>0</v>
          </cell>
          <cell r="K2241">
            <v>0</v>
          </cell>
        </row>
        <row r="2242">
          <cell r="J2242">
            <v>0</v>
          </cell>
          <cell r="K2242">
            <v>0</v>
          </cell>
        </row>
        <row r="2243">
          <cell r="J2243">
            <v>0</v>
          </cell>
          <cell r="K2243">
            <v>0</v>
          </cell>
        </row>
        <row r="2244">
          <cell r="J2244">
            <v>0</v>
          </cell>
          <cell r="K2244">
            <v>0</v>
          </cell>
        </row>
        <row r="2245">
          <cell r="J2245">
            <v>0</v>
          </cell>
          <cell r="K2245">
            <v>0</v>
          </cell>
        </row>
        <row r="2246">
          <cell r="J2246">
            <v>0</v>
          </cell>
          <cell r="K2246">
            <v>0</v>
          </cell>
        </row>
        <row r="2247">
          <cell r="J2247">
            <v>0</v>
          </cell>
          <cell r="K2247">
            <v>0</v>
          </cell>
        </row>
        <row r="2248">
          <cell r="J2248">
            <v>0</v>
          </cell>
          <cell r="K2248">
            <v>0</v>
          </cell>
        </row>
        <row r="2249">
          <cell r="J2249">
            <v>0</v>
          </cell>
          <cell r="K2249">
            <v>0</v>
          </cell>
        </row>
        <row r="2250">
          <cell r="J2250">
            <v>0</v>
          </cell>
          <cell r="K2250">
            <v>0</v>
          </cell>
        </row>
        <row r="2251">
          <cell r="J2251">
            <v>0</v>
          </cell>
          <cell r="K2251">
            <v>0</v>
          </cell>
        </row>
        <row r="2252">
          <cell r="J2252">
            <v>0</v>
          </cell>
          <cell r="K2252">
            <v>0</v>
          </cell>
        </row>
        <row r="2258">
          <cell r="J2258">
            <v>0</v>
          </cell>
          <cell r="K2258">
            <v>0</v>
          </cell>
        </row>
        <row r="2259">
          <cell r="J2259">
            <v>0</v>
          </cell>
          <cell r="K2259">
            <v>0</v>
          </cell>
        </row>
        <row r="2260">
          <cell r="J2260">
            <v>0</v>
          </cell>
          <cell r="K2260">
            <v>0</v>
          </cell>
        </row>
        <row r="2261">
          <cell r="J2261">
            <v>0</v>
          </cell>
          <cell r="K2261">
            <v>0</v>
          </cell>
        </row>
        <row r="2263">
          <cell r="J2263" t="str">
            <v>Madeira em Geral</v>
          </cell>
        </row>
        <row r="2272">
          <cell r="J2272">
            <v>40376</v>
          </cell>
          <cell r="K2272">
            <v>8.7100000000000009</v>
          </cell>
        </row>
        <row r="2278">
          <cell r="J2278">
            <v>0</v>
          </cell>
          <cell r="K2278">
            <v>0</v>
          </cell>
        </row>
        <row r="2279">
          <cell r="J2279">
            <v>0</v>
          </cell>
          <cell r="K2279">
            <v>0</v>
          </cell>
        </row>
        <row r="2280">
          <cell r="J2280">
            <v>0</v>
          </cell>
          <cell r="K2280">
            <v>0</v>
          </cell>
        </row>
        <row r="2281">
          <cell r="J2281">
            <v>0</v>
          </cell>
          <cell r="K2281">
            <v>0</v>
          </cell>
        </row>
        <row r="2282">
          <cell r="J2282">
            <v>0</v>
          </cell>
          <cell r="K2282">
            <v>0</v>
          </cell>
        </row>
        <row r="2283">
          <cell r="J2283">
            <v>0</v>
          </cell>
          <cell r="K2283">
            <v>0</v>
          </cell>
        </row>
        <row r="2284">
          <cell r="J2284">
            <v>0</v>
          </cell>
          <cell r="K2284">
            <v>0</v>
          </cell>
        </row>
        <row r="2285">
          <cell r="J2285">
            <v>0</v>
          </cell>
          <cell r="K2285">
            <v>0</v>
          </cell>
        </row>
        <row r="2286">
          <cell r="J2286">
            <v>0</v>
          </cell>
          <cell r="K2286">
            <v>0</v>
          </cell>
        </row>
        <row r="2287">
          <cell r="J2287">
            <v>0</v>
          </cell>
          <cell r="K2287">
            <v>0</v>
          </cell>
        </row>
        <row r="2288">
          <cell r="J2288">
            <v>0</v>
          </cell>
          <cell r="K2288">
            <v>0</v>
          </cell>
        </row>
        <row r="2289">
          <cell r="J2289">
            <v>0</v>
          </cell>
          <cell r="K2289">
            <v>0</v>
          </cell>
        </row>
        <row r="2290">
          <cell r="J2290">
            <v>0</v>
          </cell>
          <cell r="K2290">
            <v>0</v>
          </cell>
        </row>
        <row r="2291">
          <cell r="J2291">
            <v>0</v>
          </cell>
          <cell r="K2291">
            <v>0</v>
          </cell>
        </row>
        <row r="2292">
          <cell r="J2292">
            <v>0</v>
          </cell>
          <cell r="K2292">
            <v>0</v>
          </cell>
        </row>
        <row r="2293">
          <cell r="J2293">
            <v>0</v>
          </cell>
          <cell r="K2293">
            <v>0</v>
          </cell>
        </row>
        <row r="2296">
          <cell r="J2296">
            <v>0</v>
          </cell>
          <cell r="K2296">
            <v>0</v>
          </cell>
        </row>
        <row r="2297">
          <cell r="J2297">
            <v>0</v>
          </cell>
          <cell r="K2297">
            <v>0</v>
          </cell>
        </row>
        <row r="2301">
          <cell r="J2301" t="str">
            <v>Madeira em Geral</v>
          </cell>
        </row>
        <row r="2309">
          <cell r="J2309">
            <v>40313</v>
          </cell>
          <cell r="K2309">
            <v>74.12</v>
          </cell>
        </row>
        <row r="2321">
          <cell r="K2321">
            <v>0</v>
          </cell>
        </row>
        <row r="2322">
          <cell r="K2322">
            <v>0</v>
          </cell>
        </row>
        <row r="2323">
          <cell r="K2323">
            <v>0</v>
          </cell>
        </row>
        <row r="2324">
          <cell r="K2324">
            <v>0</v>
          </cell>
        </row>
        <row r="2325">
          <cell r="K2325">
            <v>0</v>
          </cell>
        </row>
        <row r="2326">
          <cell r="K2326">
            <v>0</v>
          </cell>
        </row>
        <row r="2327">
          <cell r="K2327">
            <v>0</v>
          </cell>
        </row>
        <row r="2328">
          <cell r="K2328">
            <v>0</v>
          </cell>
        </row>
        <row r="2329">
          <cell r="J2329">
            <v>0</v>
          </cell>
          <cell r="K2329">
            <v>0</v>
          </cell>
        </row>
        <row r="2330">
          <cell r="K2330">
            <v>0</v>
          </cell>
        </row>
        <row r="2331">
          <cell r="K2331">
            <v>0</v>
          </cell>
        </row>
        <row r="2332">
          <cell r="K2332">
            <v>0</v>
          </cell>
        </row>
        <row r="2333">
          <cell r="J2333">
            <v>0</v>
          </cell>
          <cell r="K2333">
            <v>0</v>
          </cell>
        </row>
        <row r="2334">
          <cell r="J2334">
            <v>0</v>
          </cell>
          <cell r="K2334">
            <v>0</v>
          </cell>
        </row>
        <row r="2335">
          <cell r="K2335">
            <v>0</v>
          </cell>
        </row>
        <row r="2336">
          <cell r="K2336">
            <v>0</v>
          </cell>
        </row>
        <row r="2340">
          <cell r="J2340" t="str">
            <v>Madeira em Geral</v>
          </cell>
        </row>
        <row r="2341">
          <cell r="J2341" t="str">
            <v>Madeira em Geral</v>
          </cell>
        </row>
        <row r="2342">
          <cell r="J2342" t="str">
            <v>Madeira em Geral</v>
          </cell>
        </row>
        <row r="2345">
          <cell r="J2345">
            <v>0</v>
          </cell>
        </row>
        <row r="2351">
          <cell r="J2351">
            <v>40360</v>
          </cell>
          <cell r="K2351">
            <v>666.52</v>
          </cell>
        </row>
        <row r="2354">
          <cell r="J2354">
            <v>0</v>
          </cell>
          <cell r="K2354">
            <v>0</v>
          </cell>
        </row>
        <row r="2355">
          <cell r="J2355">
            <v>0</v>
          </cell>
          <cell r="K2355">
            <v>0</v>
          </cell>
        </row>
        <row r="2356">
          <cell r="J2356">
            <v>0</v>
          </cell>
          <cell r="K2356">
            <v>0</v>
          </cell>
        </row>
        <row r="2357">
          <cell r="J2357">
            <v>0</v>
          </cell>
          <cell r="K2357">
            <v>0</v>
          </cell>
        </row>
        <row r="2358">
          <cell r="J2358">
            <v>0</v>
          </cell>
          <cell r="K2358">
            <v>0</v>
          </cell>
        </row>
        <row r="2359">
          <cell r="J2359">
            <v>0</v>
          </cell>
          <cell r="K2359">
            <v>0</v>
          </cell>
        </row>
        <row r="2360">
          <cell r="J2360">
            <v>0</v>
          </cell>
          <cell r="K2360">
            <v>0</v>
          </cell>
        </row>
        <row r="2361">
          <cell r="J2361">
            <v>0</v>
          </cell>
          <cell r="K2361">
            <v>0</v>
          </cell>
        </row>
        <row r="2362">
          <cell r="J2362">
            <v>0</v>
          </cell>
          <cell r="K2362">
            <v>0</v>
          </cell>
        </row>
        <row r="2363">
          <cell r="J2363">
            <v>0</v>
          </cell>
          <cell r="K2363">
            <v>0</v>
          </cell>
        </row>
        <row r="2364">
          <cell r="J2364">
            <v>0</v>
          </cell>
          <cell r="K2364">
            <v>0</v>
          </cell>
        </row>
        <row r="2365">
          <cell r="J2365">
            <v>0</v>
          </cell>
          <cell r="K2365">
            <v>0</v>
          </cell>
        </row>
        <row r="2366">
          <cell r="J2366">
            <v>0</v>
          </cell>
          <cell r="K2366">
            <v>0</v>
          </cell>
        </row>
        <row r="2367">
          <cell r="J2367">
            <v>0</v>
          </cell>
          <cell r="K2367">
            <v>0</v>
          </cell>
        </row>
        <row r="2368">
          <cell r="J2368">
            <v>0</v>
          </cell>
          <cell r="K2368">
            <v>0</v>
          </cell>
        </row>
        <row r="2369">
          <cell r="J2369">
            <v>0</v>
          </cell>
          <cell r="K2369">
            <v>0</v>
          </cell>
        </row>
        <row r="2370">
          <cell r="K2370">
            <v>0</v>
          </cell>
        </row>
        <row r="2371">
          <cell r="K2371">
            <v>0</v>
          </cell>
        </row>
        <row r="2372">
          <cell r="K2372">
            <v>0</v>
          </cell>
        </row>
        <row r="2373">
          <cell r="K2373">
            <v>0</v>
          </cell>
        </row>
        <row r="2374">
          <cell r="K2374">
            <v>0</v>
          </cell>
        </row>
        <row r="2375">
          <cell r="K2375">
            <v>0</v>
          </cell>
        </row>
        <row r="2376">
          <cell r="K2376">
            <v>0</v>
          </cell>
        </row>
        <row r="2377">
          <cell r="K2377">
            <v>0</v>
          </cell>
        </row>
        <row r="2378">
          <cell r="K2378">
            <v>0</v>
          </cell>
        </row>
        <row r="2379">
          <cell r="K2379">
            <v>0</v>
          </cell>
        </row>
        <row r="2380">
          <cell r="K2380">
            <v>0</v>
          </cell>
        </row>
        <row r="2381">
          <cell r="K2381">
            <v>0</v>
          </cell>
        </row>
        <row r="2382">
          <cell r="K2382">
            <v>0</v>
          </cell>
        </row>
        <row r="2383">
          <cell r="K2383">
            <v>0</v>
          </cell>
        </row>
        <row r="2384">
          <cell r="J2384" t="str">
            <v>Areia</v>
          </cell>
          <cell r="K2384">
            <v>0</v>
          </cell>
        </row>
        <row r="2385">
          <cell r="J2385" t="str">
            <v>Cimento</v>
          </cell>
          <cell r="K2385">
            <v>0</v>
          </cell>
        </row>
        <row r="2386">
          <cell r="J2386" t="str">
            <v>Produto Pétreo</v>
          </cell>
        </row>
        <row r="2395">
          <cell r="J2395">
            <v>41544</v>
          </cell>
          <cell r="K2395">
            <v>383.8</v>
          </cell>
        </row>
        <row r="2406">
          <cell r="J2406">
            <v>0</v>
          </cell>
          <cell r="K2406">
            <v>0</v>
          </cell>
        </row>
        <row r="2407">
          <cell r="J2407">
            <v>0</v>
          </cell>
          <cell r="K2407">
            <v>0</v>
          </cell>
        </row>
        <row r="2408">
          <cell r="J2408">
            <v>0</v>
          </cell>
          <cell r="K2408">
            <v>0</v>
          </cell>
        </row>
        <row r="2409">
          <cell r="J2409">
            <v>0</v>
          </cell>
          <cell r="K2409">
            <v>0</v>
          </cell>
        </row>
        <row r="2410">
          <cell r="J2410">
            <v>0</v>
          </cell>
          <cell r="K2410">
            <v>0</v>
          </cell>
        </row>
        <row r="2411">
          <cell r="J2411">
            <v>0</v>
          </cell>
          <cell r="K2411">
            <v>0</v>
          </cell>
        </row>
        <row r="2412">
          <cell r="J2412">
            <v>0</v>
          </cell>
          <cell r="K2412">
            <v>0</v>
          </cell>
        </row>
        <row r="2413">
          <cell r="J2413">
            <v>0</v>
          </cell>
          <cell r="K2413">
            <v>0</v>
          </cell>
        </row>
        <row r="2414">
          <cell r="J2414">
            <v>0</v>
          </cell>
          <cell r="K2414">
            <v>0</v>
          </cell>
        </row>
        <row r="2415">
          <cell r="J2415">
            <v>0</v>
          </cell>
          <cell r="K2415">
            <v>0</v>
          </cell>
        </row>
        <row r="2416">
          <cell r="J2416">
            <v>0</v>
          </cell>
          <cell r="K2416">
            <v>0</v>
          </cell>
        </row>
        <row r="2417">
          <cell r="J2417">
            <v>0</v>
          </cell>
          <cell r="K2417">
            <v>0</v>
          </cell>
        </row>
        <row r="2418">
          <cell r="J2418">
            <v>0</v>
          </cell>
          <cell r="K2418">
            <v>0</v>
          </cell>
        </row>
        <row r="2419">
          <cell r="J2419">
            <v>0</v>
          </cell>
          <cell r="K2419">
            <v>0</v>
          </cell>
        </row>
        <row r="2420">
          <cell r="J2420">
            <v>0</v>
          </cell>
          <cell r="K2420">
            <v>0</v>
          </cell>
        </row>
        <row r="2421">
          <cell r="J2421">
            <v>0</v>
          </cell>
          <cell r="K2421">
            <v>0</v>
          </cell>
        </row>
        <row r="2431">
          <cell r="J2431">
            <v>41545</v>
          </cell>
          <cell r="K2431">
            <v>202.77</v>
          </cell>
        </row>
        <row r="2443">
          <cell r="J2443">
            <v>0</v>
          </cell>
          <cell r="K2443">
            <v>0</v>
          </cell>
        </row>
        <row r="2444">
          <cell r="J2444">
            <v>0</v>
          </cell>
          <cell r="K2444">
            <v>0</v>
          </cell>
        </row>
        <row r="2445">
          <cell r="J2445">
            <v>0</v>
          </cell>
          <cell r="K2445">
            <v>0</v>
          </cell>
        </row>
        <row r="2446">
          <cell r="J2446">
            <v>0</v>
          </cell>
          <cell r="K2446">
            <v>0</v>
          </cell>
        </row>
        <row r="2447">
          <cell r="J2447">
            <v>0</v>
          </cell>
          <cell r="K2447">
            <v>0</v>
          </cell>
        </row>
        <row r="2448">
          <cell r="J2448">
            <v>0</v>
          </cell>
          <cell r="K2448">
            <v>0</v>
          </cell>
        </row>
        <row r="2449">
          <cell r="J2449">
            <v>0</v>
          </cell>
          <cell r="K2449">
            <v>0</v>
          </cell>
        </row>
        <row r="2450">
          <cell r="J2450">
            <v>0</v>
          </cell>
          <cell r="K2450">
            <v>0</v>
          </cell>
        </row>
        <row r="2451">
          <cell r="J2451">
            <v>0</v>
          </cell>
          <cell r="K2451">
            <v>0</v>
          </cell>
        </row>
        <row r="2452">
          <cell r="J2452">
            <v>0</v>
          </cell>
          <cell r="K2452">
            <v>0</v>
          </cell>
        </row>
        <row r="2453">
          <cell r="J2453">
            <v>0</v>
          </cell>
          <cell r="K2453">
            <v>0</v>
          </cell>
        </row>
        <row r="2454">
          <cell r="J2454">
            <v>0</v>
          </cell>
          <cell r="K2454">
            <v>0</v>
          </cell>
        </row>
        <row r="2455">
          <cell r="J2455">
            <v>0</v>
          </cell>
          <cell r="K2455">
            <v>0</v>
          </cell>
        </row>
        <row r="2456">
          <cell r="J2456">
            <v>0</v>
          </cell>
          <cell r="K2456">
            <v>0</v>
          </cell>
        </row>
        <row r="2457">
          <cell r="J2457">
            <v>0</v>
          </cell>
          <cell r="K2457">
            <v>0</v>
          </cell>
        </row>
        <row r="2458">
          <cell r="J2458">
            <v>0</v>
          </cell>
          <cell r="K2458">
            <v>0</v>
          </cell>
        </row>
        <row r="2467">
          <cell r="J2467">
            <v>41546</v>
          </cell>
          <cell r="K2467">
            <v>237.16</v>
          </cell>
        </row>
        <row r="2476">
          <cell r="J2476">
            <v>0</v>
          </cell>
          <cell r="K2476">
            <v>0</v>
          </cell>
        </row>
        <row r="2477">
          <cell r="J2477">
            <v>0</v>
          </cell>
          <cell r="K2477">
            <v>0</v>
          </cell>
        </row>
        <row r="2478">
          <cell r="J2478">
            <v>0</v>
          </cell>
          <cell r="K2478">
            <v>0</v>
          </cell>
        </row>
        <row r="2479">
          <cell r="J2479">
            <v>0</v>
          </cell>
          <cell r="K2479">
            <v>0</v>
          </cell>
        </row>
        <row r="2480">
          <cell r="J2480">
            <v>0</v>
          </cell>
          <cell r="K2480">
            <v>0</v>
          </cell>
        </row>
        <row r="2481">
          <cell r="J2481">
            <v>0</v>
          </cell>
          <cell r="K2481">
            <v>0</v>
          </cell>
        </row>
        <row r="2482">
          <cell r="J2482">
            <v>0</v>
          </cell>
          <cell r="K2482">
            <v>0</v>
          </cell>
        </row>
        <row r="2483">
          <cell r="J2483">
            <v>0</v>
          </cell>
          <cell r="K2483">
            <v>0</v>
          </cell>
        </row>
        <row r="2484">
          <cell r="J2484">
            <v>0</v>
          </cell>
          <cell r="K2484">
            <v>0</v>
          </cell>
        </row>
        <row r="2485">
          <cell r="J2485">
            <v>0</v>
          </cell>
          <cell r="K2485">
            <v>0</v>
          </cell>
        </row>
        <row r="2486">
          <cell r="J2486">
            <v>0</v>
          </cell>
          <cell r="K2486">
            <v>0</v>
          </cell>
        </row>
        <row r="2487">
          <cell r="J2487">
            <v>0</v>
          </cell>
          <cell r="K2487">
            <v>0</v>
          </cell>
        </row>
        <row r="2488">
          <cell r="J2488">
            <v>0</v>
          </cell>
          <cell r="K2488">
            <v>0</v>
          </cell>
        </row>
        <row r="2489">
          <cell r="J2489">
            <v>0</v>
          </cell>
          <cell r="K2489">
            <v>0</v>
          </cell>
        </row>
        <row r="2490">
          <cell r="J2490">
            <v>0</v>
          </cell>
          <cell r="K2490">
            <v>0</v>
          </cell>
        </row>
        <row r="2491">
          <cell r="J2491">
            <v>0</v>
          </cell>
          <cell r="K2491">
            <v>0</v>
          </cell>
        </row>
        <row r="2503">
          <cell r="J2503">
            <v>41547</v>
          </cell>
          <cell r="K2503">
            <v>197.1</v>
          </cell>
        </row>
        <row r="2509">
          <cell r="J2509">
            <v>0</v>
          </cell>
          <cell r="K2509">
            <v>0</v>
          </cell>
        </row>
        <row r="2510">
          <cell r="J2510">
            <v>0</v>
          </cell>
          <cell r="K2510">
            <v>0</v>
          </cell>
        </row>
        <row r="2511">
          <cell r="J2511">
            <v>0</v>
          </cell>
          <cell r="K2511">
            <v>0</v>
          </cell>
        </row>
        <row r="2512">
          <cell r="J2512">
            <v>0</v>
          </cell>
          <cell r="K2512">
            <v>0</v>
          </cell>
        </row>
        <row r="2513">
          <cell r="J2513">
            <v>0</v>
          </cell>
          <cell r="K2513">
            <v>0</v>
          </cell>
        </row>
        <row r="2514">
          <cell r="J2514">
            <v>0</v>
          </cell>
          <cell r="K2514">
            <v>0</v>
          </cell>
        </row>
        <row r="2515">
          <cell r="J2515">
            <v>0</v>
          </cell>
          <cell r="K2515">
            <v>0</v>
          </cell>
        </row>
        <row r="2516">
          <cell r="J2516">
            <v>0</v>
          </cell>
          <cell r="K2516">
            <v>0</v>
          </cell>
        </row>
        <row r="2517">
          <cell r="J2517">
            <v>0</v>
          </cell>
          <cell r="K2517">
            <v>0</v>
          </cell>
        </row>
        <row r="2518">
          <cell r="J2518">
            <v>0</v>
          </cell>
          <cell r="K2518">
            <v>0</v>
          </cell>
        </row>
        <row r="2519">
          <cell r="J2519">
            <v>0</v>
          </cell>
          <cell r="K2519">
            <v>0</v>
          </cell>
        </row>
        <row r="2520">
          <cell r="J2520">
            <v>0</v>
          </cell>
          <cell r="K2520">
            <v>0</v>
          </cell>
        </row>
        <row r="2521">
          <cell r="J2521">
            <v>0</v>
          </cell>
          <cell r="K2521">
            <v>0</v>
          </cell>
        </row>
        <row r="2522">
          <cell r="J2522">
            <v>0</v>
          </cell>
          <cell r="K2522">
            <v>0</v>
          </cell>
        </row>
        <row r="2523">
          <cell r="J2523">
            <v>0</v>
          </cell>
          <cell r="K2523">
            <v>0</v>
          </cell>
        </row>
        <row r="2524">
          <cell r="J2524">
            <v>0</v>
          </cell>
          <cell r="K2524">
            <v>0</v>
          </cell>
        </row>
        <row r="2537">
          <cell r="J2537">
            <v>0</v>
          </cell>
        </row>
        <row r="2539">
          <cell r="J2539">
            <v>40169</v>
          </cell>
          <cell r="K2539">
            <v>8.0500000000000007</v>
          </cell>
        </row>
        <row r="2540">
          <cell r="J2540">
            <v>0</v>
          </cell>
          <cell r="K2540">
            <v>0</v>
          </cell>
        </row>
        <row r="2541">
          <cell r="J2541">
            <v>0</v>
          </cell>
          <cell r="K2541">
            <v>0</v>
          </cell>
        </row>
        <row r="2542">
          <cell r="J2542">
            <v>0</v>
          </cell>
          <cell r="K2542">
            <v>0</v>
          </cell>
        </row>
        <row r="2543">
          <cell r="J2543">
            <v>0</v>
          </cell>
          <cell r="K2543">
            <v>0</v>
          </cell>
        </row>
        <row r="2544">
          <cell r="J2544">
            <v>0</v>
          </cell>
          <cell r="K2544">
            <v>0</v>
          </cell>
        </row>
        <row r="2545">
          <cell r="J2545">
            <v>0</v>
          </cell>
          <cell r="K2545">
            <v>0</v>
          </cell>
        </row>
        <row r="2546">
          <cell r="J2546">
            <v>0</v>
          </cell>
          <cell r="K2546">
            <v>0</v>
          </cell>
        </row>
        <row r="2547">
          <cell r="J2547">
            <v>0</v>
          </cell>
          <cell r="K2547">
            <v>0</v>
          </cell>
        </row>
        <row r="2548">
          <cell r="J2548">
            <v>0</v>
          </cell>
          <cell r="K2548">
            <v>0</v>
          </cell>
        </row>
        <row r="2549">
          <cell r="J2549">
            <v>0</v>
          </cell>
          <cell r="K2549">
            <v>0</v>
          </cell>
        </row>
        <row r="2550">
          <cell r="J2550">
            <v>0</v>
          </cell>
          <cell r="K2550">
            <v>0</v>
          </cell>
        </row>
        <row r="2551">
          <cell r="J2551">
            <v>0</v>
          </cell>
          <cell r="K2551">
            <v>0</v>
          </cell>
        </row>
        <row r="2552">
          <cell r="J2552">
            <v>0</v>
          </cell>
          <cell r="K2552">
            <v>0</v>
          </cell>
        </row>
        <row r="2553">
          <cell r="J2553">
            <v>0</v>
          </cell>
          <cell r="K2553">
            <v>0</v>
          </cell>
        </row>
        <row r="2554">
          <cell r="J2554">
            <v>0</v>
          </cell>
          <cell r="K2554">
            <v>0</v>
          </cell>
        </row>
        <row r="2555">
          <cell r="J2555">
            <v>0</v>
          </cell>
          <cell r="K2555">
            <v>0</v>
          </cell>
        </row>
        <row r="2556">
          <cell r="K2556">
            <v>0</v>
          </cell>
        </row>
        <row r="2557">
          <cell r="K2557">
            <v>0</v>
          </cell>
        </row>
        <row r="2558">
          <cell r="K2558">
            <v>0</v>
          </cell>
        </row>
        <row r="2559">
          <cell r="K2559">
            <v>0</v>
          </cell>
        </row>
        <row r="2560">
          <cell r="K2560">
            <v>0</v>
          </cell>
        </row>
        <row r="2561">
          <cell r="K2561">
            <v>0</v>
          </cell>
        </row>
        <row r="2562">
          <cell r="K2562">
            <v>0</v>
          </cell>
        </row>
        <row r="2563">
          <cell r="K2563">
            <v>0</v>
          </cell>
        </row>
        <row r="2564">
          <cell r="K2564">
            <v>0</v>
          </cell>
        </row>
        <row r="2565">
          <cell r="K2565">
            <v>0</v>
          </cell>
        </row>
        <row r="2566">
          <cell r="K2566">
            <v>0</v>
          </cell>
        </row>
        <row r="2567">
          <cell r="J2567" t="str">
            <v>Madeira em Geral</v>
          </cell>
          <cell r="K2567">
            <v>0</v>
          </cell>
        </row>
        <row r="2568">
          <cell r="K2568">
            <v>0</v>
          </cell>
        </row>
        <row r="2569">
          <cell r="K2569">
            <v>0</v>
          </cell>
        </row>
        <row r="2576">
          <cell r="J2576">
            <v>41340</v>
          </cell>
          <cell r="K2576">
            <v>498.66</v>
          </cell>
        </row>
        <row r="2579">
          <cell r="J2579">
            <v>0</v>
          </cell>
          <cell r="K2579">
            <v>0</v>
          </cell>
        </row>
        <row r="2580">
          <cell r="J2580">
            <v>0</v>
          </cell>
          <cell r="K2580">
            <v>0</v>
          </cell>
        </row>
        <row r="2581">
          <cell r="J2581">
            <v>0</v>
          </cell>
          <cell r="K2581">
            <v>0</v>
          </cell>
        </row>
        <row r="2582">
          <cell r="J2582">
            <v>0</v>
          </cell>
          <cell r="K2582">
            <v>0</v>
          </cell>
        </row>
        <row r="2583">
          <cell r="J2583">
            <v>0</v>
          </cell>
          <cell r="K2583">
            <v>0</v>
          </cell>
        </row>
        <row r="2584">
          <cell r="J2584">
            <v>0</v>
          </cell>
          <cell r="K2584">
            <v>0</v>
          </cell>
        </row>
        <row r="2585">
          <cell r="J2585">
            <v>0</v>
          </cell>
          <cell r="K2585">
            <v>0</v>
          </cell>
        </row>
        <row r="2586">
          <cell r="J2586">
            <v>0</v>
          </cell>
          <cell r="K2586">
            <v>0</v>
          </cell>
        </row>
        <row r="2587">
          <cell r="J2587">
            <v>0</v>
          </cell>
          <cell r="K2587">
            <v>0</v>
          </cell>
        </row>
        <row r="2588">
          <cell r="J2588">
            <v>0</v>
          </cell>
          <cell r="K2588">
            <v>0</v>
          </cell>
        </row>
        <row r="2589">
          <cell r="J2589">
            <v>0</v>
          </cell>
          <cell r="K2589">
            <v>0</v>
          </cell>
        </row>
        <row r="2590">
          <cell r="J2590">
            <v>0</v>
          </cell>
          <cell r="K2590">
            <v>0</v>
          </cell>
        </row>
        <row r="2591">
          <cell r="J2591">
            <v>0</v>
          </cell>
          <cell r="K2591">
            <v>0</v>
          </cell>
        </row>
        <row r="2592">
          <cell r="J2592">
            <v>0</v>
          </cell>
          <cell r="K2592">
            <v>0</v>
          </cell>
        </row>
        <row r="2593">
          <cell r="J2593">
            <v>0</v>
          </cell>
          <cell r="K2593">
            <v>0</v>
          </cell>
        </row>
        <row r="2594">
          <cell r="J2594">
            <v>0</v>
          </cell>
          <cell r="K2594">
            <v>0</v>
          </cell>
        </row>
        <row r="2595">
          <cell r="K2595">
            <v>0</v>
          </cell>
        </row>
        <row r="2596">
          <cell r="K2596">
            <v>0</v>
          </cell>
        </row>
        <row r="2597">
          <cell r="K2597">
            <v>0</v>
          </cell>
        </row>
        <row r="2598">
          <cell r="K2598">
            <v>0</v>
          </cell>
        </row>
        <row r="2599">
          <cell r="K2599">
            <v>0</v>
          </cell>
        </row>
        <row r="2600">
          <cell r="K2600">
            <v>0</v>
          </cell>
        </row>
        <row r="2601">
          <cell r="K2601">
            <v>0</v>
          </cell>
        </row>
        <row r="2602">
          <cell r="K2602">
            <v>0</v>
          </cell>
        </row>
        <row r="2603">
          <cell r="K2603">
            <v>0</v>
          </cell>
        </row>
        <row r="2604">
          <cell r="K2604">
            <v>0</v>
          </cell>
        </row>
        <row r="2605">
          <cell r="K2605">
            <v>0</v>
          </cell>
        </row>
        <row r="2606">
          <cell r="K2606">
            <v>0</v>
          </cell>
        </row>
        <row r="2607">
          <cell r="K2607">
            <v>0</v>
          </cell>
        </row>
        <row r="2608">
          <cell r="K2608">
            <v>0</v>
          </cell>
        </row>
        <row r="2609">
          <cell r="K2609">
            <v>0</v>
          </cell>
        </row>
        <row r="2610">
          <cell r="K2610">
            <v>0</v>
          </cell>
        </row>
        <row r="2611">
          <cell r="K2611">
            <v>0</v>
          </cell>
        </row>
        <row r="2612">
          <cell r="K2612">
            <v>0</v>
          </cell>
        </row>
        <row r="2613">
          <cell r="K2613">
            <v>0</v>
          </cell>
        </row>
        <row r="2614">
          <cell r="K2614">
            <v>0</v>
          </cell>
        </row>
        <row r="2615">
          <cell r="K2615">
            <v>0</v>
          </cell>
        </row>
        <row r="2616">
          <cell r="K2616">
            <v>0</v>
          </cell>
        </row>
        <row r="2623">
          <cell r="J2623">
            <v>40309</v>
          </cell>
          <cell r="K2623">
            <v>170.81</v>
          </cell>
        </row>
        <row r="2624">
          <cell r="J2624">
            <v>0</v>
          </cell>
          <cell r="K2624">
            <v>0</v>
          </cell>
        </row>
        <row r="2625">
          <cell r="J2625">
            <v>0</v>
          </cell>
          <cell r="K2625">
            <v>0</v>
          </cell>
        </row>
        <row r="2626">
          <cell r="J2626">
            <v>0</v>
          </cell>
          <cell r="K2626">
            <v>0</v>
          </cell>
        </row>
        <row r="2627">
          <cell r="J2627">
            <v>0</v>
          </cell>
          <cell r="K2627">
            <v>0</v>
          </cell>
        </row>
        <row r="2628">
          <cell r="J2628">
            <v>0</v>
          </cell>
          <cell r="K2628">
            <v>0</v>
          </cell>
        </row>
        <row r="2629">
          <cell r="J2629">
            <v>0</v>
          </cell>
          <cell r="K2629">
            <v>0</v>
          </cell>
        </row>
        <row r="2630">
          <cell r="J2630">
            <v>0</v>
          </cell>
          <cell r="K2630">
            <v>0</v>
          </cell>
        </row>
        <row r="2631">
          <cell r="J2631">
            <v>0</v>
          </cell>
          <cell r="K2631">
            <v>0</v>
          </cell>
        </row>
        <row r="2632">
          <cell r="J2632">
            <v>0</v>
          </cell>
          <cell r="K2632">
            <v>0</v>
          </cell>
        </row>
        <row r="2633">
          <cell r="J2633">
            <v>0</v>
          </cell>
          <cell r="K2633">
            <v>0</v>
          </cell>
        </row>
        <row r="2634">
          <cell r="J2634">
            <v>0</v>
          </cell>
          <cell r="K2634">
            <v>0</v>
          </cell>
        </row>
        <row r="2635">
          <cell r="J2635">
            <v>0</v>
          </cell>
          <cell r="K2635">
            <v>0</v>
          </cell>
        </row>
        <row r="2636">
          <cell r="J2636">
            <v>0</v>
          </cell>
          <cell r="K2636">
            <v>0</v>
          </cell>
        </row>
        <row r="2637">
          <cell r="J2637">
            <v>0</v>
          </cell>
          <cell r="K2637">
            <v>0</v>
          </cell>
        </row>
        <row r="2638">
          <cell r="J2638">
            <v>0</v>
          </cell>
          <cell r="K2638">
            <v>0</v>
          </cell>
        </row>
        <row r="2639">
          <cell r="J2639">
            <v>0</v>
          </cell>
          <cell r="K2639">
            <v>0</v>
          </cell>
        </row>
        <row r="2640">
          <cell r="K2640">
            <v>0</v>
          </cell>
        </row>
        <row r="2641">
          <cell r="K2641">
            <v>0</v>
          </cell>
        </row>
        <row r="2642">
          <cell r="K2642">
            <v>0</v>
          </cell>
        </row>
        <row r="2643">
          <cell r="K2643">
            <v>0</v>
          </cell>
        </row>
        <row r="2644">
          <cell r="K2644">
            <v>0</v>
          </cell>
        </row>
        <row r="2645">
          <cell r="K2645">
            <v>0</v>
          </cell>
        </row>
        <row r="2646">
          <cell r="K2646">
            <v>0</v>
          </cell>
        </row>
        <row r="2647">
          <cell r="K2647">
            <v>0</v>
          </cell>
        </row>
        <row r="2648">
          <cell r="K2648">
            <v>0</v>
          </cell>
        </row>
        <row r="2649">
          <cell r="K2649">
            <v>0</v>
          </cell>
        </row>
        <row r="2650">
          <cell r="K2650">
            <v>0</v>
          </cell>
        </row>
        <row r="2651">
          <cell r="K2651">
            <v>0</v>
          </cell>
        </row>
        <row r="2652">
          <cell r="K2652">
            <v>0</v>
          </cell>
        </row>
        <row r="2653">
          <cell r="K2653">
            <v>0</v>
          </cell>
        </row>
        <row r="2654">
          <cell r="J2654" t="str">
            <v>Madeira em Geral</v>
          </cell>
          <cell r="K2654">
            <v>0</v>
          </cell>
        </row>
        <row r="2655">
          <cell r="J2655" t="str">
            <v>Madeira em Geral</v>
          </cell>
          <cell r="K2655">
            <v>0</v>
          </cell>
        </row>
        <row r="2656">
          <cell r="J2656" t="str">
            <v>Madeira em Geral</v>
          </cell>
          <cell r="K2656">
            <v>0</v>
          </cell>
        </row>
        <row r="2657">
          <cell r="K2657">
            <v>0</v>
          </cell>
        </row>
        <row r="2658">
          <cell r="K2658">
            <v>0</v>
          </cell>
        </row>
        <row r="2665">
          <cell r="J2665">
            <v>40369</v>
          </cell>
          <cell r="K2665">
            <v>934.53</v>
          </cell>
        </row>
        <row r="2695">
          <cell r="J2695">
            <v>0</v>
          </cell>
          <cell r="K2695">
            <v>0</v>
          </cell>
        </row>
        <row r="2696">
          <cell r="J2696">
            <v>0</v>
          </cell>
          <cell r="K2696">
            <v>0</v>
          </cell>
        </row>
        <row r="2701">
          <cell r="J2701" t="str">
            <v>Areia</v>
          </cell>
        </row>
        <row r="2702">
          <cell r="J2702" t="str">
            <v>Cimento</v>
          </cell>
        </row>
        <row r="2703">
          <cell r="J2703" t="str">
            <v>Brita</v>
          </cell>
        </row>
        <row r="2704">
          <cell r="J2704" t="str">
            <v>Cimento</v>
          </cell>
        </row>
        <row r="2710">
          <cell r="J2710">
            <v>0</v>
          </cell>
          <cell r="K2710">
            <v>0</v>
          </cell>
        </row>
        <row r="2711">
          <cell r="J2711">
            <v>40332</v>
          </cell>
          <cell r="K2711">
            <v>390.82</v>
          </cell>
        </row>
        <row r="2712">
          <cell r="J2712">
            <v>0</v>
          </cell>
          <cell r="K2712">
            <v>0</v>
          </cell>
        </row>
        <row r="2714">
          <cell r="J2714">
            <v>0</v>
          </cell>
          <cell r="K2714">
            <v>0</v>
          </cell>
        </row>
        <row r="2715">
          <cell r="J2715">
            <v>0</v>
          </cell>
          <cell r="K2715">
            <v>0</v>
          </cell>
        </row>
        <row r="2716">
          <cell r="J2716">
            <v>0</v>
          </cell>
          <cell r="K2716">
            <v>0</v>
          </cell>
        </row>
        <row r="2717">
          <cell r="J2717">
            <v>0</v>
          </cell>
          <cell r="K2717">
            <v>0</v>
          </cell>
        </row>
        <row r="2718">
          <cell r="J2718">
            <v>0</v>
          </cell>
          <cell r="K2718">
            <v>0</v>
          </cell>
        </row>
        <row r="2719">
          <cell r="J2719">
            <v>0</v>
          </cell>
          <cell r="K2719">
            <v>0</v>
          </cell>
        </row>
        <row r="2720">
          <cell r="J2720">
            <v>0</v>
          </cell>
          <cell r="K2720">
            <v>0</v>
          </cell>
        </row>
        <row r="2721">
          <cell r="J2721">
            <v>0</v>
          </cell>
          <cell r="K2721">
            <v>0</v>
          </cell>
        </row>
        <row r="2722">
          <cell r="J2722">
            <v>0</v>
          </cell>
          <cell r="K2722">
            <v>0</v>
          </cell>
        </row>
        <row r="2723">
          <cell r="J2723">
            <v>0</v>
          </cell>
          <cell r="K2723">
            <v>0</v>
          </cell>
        </row>
        <row r="2724">
          <cell r="J2724">
            <v>0</v>
          </cell>
          <cell r="K2724">
            <v>0</v>
          </cell>
        </row>
        <row r="2725">
          <cell r="J2725">
            <v>0</v>
          </cell>
          <cell r="K2725">
            <v>0</v>
          </cell>
        </row>
        <row r="2726">
          <cell r="J2726">
            <v>0</v>
          </cell>
          <cell r="K2726">
            <v>0</v>
          </cell>
        </row>
        <row r="2737">
          <cell r="J2737">
            <v>0</v>
          </cell>
          <cell r="K2737">
            <v>0</v>
          </cell>
        </row>
        <row r="2742">
          <cell r="J2742" t="str">
            <v>Cimento</v>
          </cell>
        </row>
        <row r="2743">
          <cell r="J2743" t="str">
            <v>Produto Pétreo</v>
          </cell>
        </row>
        <row r="2745">
          <cell r="J2745">
            <v>0</v>
          </cell>
        </row>
        <row r="2747">
          <cell r="J2747">
            <v>0</v>
          </cell>
        </row>
        <row r="2750">
          <cell r="J2750">
            <v>40387</v>
          </cell>
          <cell r="K2750">
            <v>133.57</v>
          </cell>
        </row>
        <row r="2773">
          <cell r="J2773">
            <v>0</v>
          </cell>
          <cell r="K2773">
            <v>0</v>
          </cell>
        </row>
        <row r="2774">
          <cell r="J2774">
            <v>0</v>
          </cell>
          <cell r="K2774">
            <v>0</v>
          </cell>
        </row>
        <row r="2779">
          <cell r="J2779" t="str">
            <v>Pré-moldados de concreto</v>
          </cell>
        </row>
        <row r="2786">
          <cell r="J2786">
            <v>40389</v>
          </cell>
          <cell r="K2786">
            <v>69.73</v>
          </cell>
        </row>
        <row r="2810">
          <cell r="J2810">
            <v>0</v>
          </cell>
          <cell r="K2810">
            <v>0</v>
          </cell>
        </row>
        <row r="2811">
          <cell r="J2811">
            <v>0</v>
          </cell>
          <cell r="K2811">
            <v>0</v>
          </cell>
        </row>
        <row r="2824">
          <cell r="J2824">
            <v>40310</v>
          </cell>
          <cell r="K2824">
            <v>155.24</v>
          </cell>
        </row>
        <row r="2850">
          <cell r="J2850">
            <v>0</v>
          </cell>
          <cell r="K2850">
            <v>0</v>
          </cell>
        </row>
        <row r="2854">
          <cell r="J2854" t="str">
            <v>Madeira em Geral</v>
          </cell>
        </row>
        <row r="2855">
          <cell r="J2855" t="str">
            <v>Madeira em Geral</v>
          </cell>
        </row>
        <row r="2856">
          <cell r="J2856" t="str">
            <v>Madeira em Geral</v>
          </cell>
        </row>
        <row r="2862">
          <cell r="J2862">
            <v>0</v>
          </cell>
        </row>
        <row r="2864">
          <cell r="J2864">
            <v>40348</v>
          </cell>
          <cell r="K2864">
            <v>511.71</v>
          </cell>
        </row>
        <row r="2865">
          <cell r="J2865">
            <v>0</v>
          </cell>
          <cell r="K2865">
            <v>0</v>
          </cell>
        </row>
        <row r="2866">
          <cell r="J2866">
            <v>0</v>
          </cell>
          <cell r="K2866">
            <v>0</v>
          </cell>
        </row>
        <row r="2867">
          <cell r="J2867">
            <v>0</v>
          </cell>
          <cell r="K2867">
            <v>0</v>
          </cell>
        </row>
        <row r="2868">
          <cell r="J2868">
            <v>0</v>
          </cell>
          <cell r="K2868">
            <v>0</v>
          </cell>
        </row>
        <row r="2869">
          <cell r="J2869">
            <v>0</v>
          </cell>
          <cell r="K2869">
            <v>0</v>
          </cell>
        </row>
        <row r="2870">
          <cell r="J2870">
            <v>0</v>
          </cell>
          <cell r="K2870">
            <v>0</v>
          </cell>
        </row>
        <row r="2871">
          <cell r="J2871">
            <v>0</v>
          </cell>
          <cell r="K2871">
            <v>0</v>
          </cell>
        </row>
        <row r="2872">
          <cell r="J2872">
            <v>0</v>
          </cell>
          <cell r="K2872">
            <v>0</v>
          </cell>
        </row>
        <row r="2873">
          <cell r="J2873">
            <v>0</v>
          </cell>
          <cell r="K2873">
            <v>0</v>
          </cell>
        </row>
        <row r="2874">
          <cell r="J2874">
            <v>0</v>
          </cell>
          <cell r="K2874">
            <v>0</v>
          </cell>
        </row>
        <row r="2875">
          <cell r="J2875">
            <v>0</v>
          </cell>
          <cell r="K2875">
            <v>0</v>
          </cell>
        </row>
        <row r="2876">
          <cell r="J2876">
            <v>0</v>
          </cell>
          <cell r="K2876">
            <v>0</v>
          </cell>
        </row>
        <row r="2877">
          <cell r="J2877">
            <v>0</v>
          </cell>
          <cell r="K2877">
            <v>0</v>
          </cell>
        </row>
        <row r="2878">
          <cell r="J2878">
            <v>0</v>
          </cell>
          <cell r="K2878">
            <v>0</v>
          </cell>
        </row>
        <row r="2879">
          <cell r="J2879">
            <v>0</v>
          </cell>
          <cell r="K2879">
            <v>0</v>
          </cell>
        </row>
        <row r="2880">
          <cell r="J2880">
            <v>0</v>
          </cell>
          <cell r="K2880">
            <v>0</v>
          </cell>
        </row>
        <row r="2881">
          <cell r="K2881">
            <v>0</v>
          </cell>
        </row>
        <row r="2882">
          <cell r="K2882">
            <v>0</v>
          </cell>
        </row>
        <row r="2883">
          <cell r="K2883">
            <v>0</v>
          </cell>
        </row>
        <row r="2884">
          <cell r="K2884">
            <v>0</v>
          </cell>
        </row>
        <row r="2885">
          <cell r="K2885">
            <v>0</v>
          </cell>
        </row>
        <row r="2886">
          <cell r="K2886">
            <v>0</v>
          </cell>
        </row>
        <row r="2887">
          <cell r="K2887">
            <v>0</v>
          </cell>
        </row>
        <row r="2888">
          <cell r="K2888">
            <v>0</v>
          </cell>
        </row>
        <row r="2889">
          <cell r="K2889">
            <v>0</v>
          </cell>
        </row>
        <row r="2890">
          <cell r="K2890">
            <v>0</v>
          </cell>
        </row>
        <row r="2891">
          <cell r="K2891">
            <v>0</v>
          </cell>
        </row>
        <row r="2892">
          <cell r="K2892">
            <v>0</v>
          </cell>
        </row>
        <row r="2893">
          <cell r="J2893" t="str">
            <v>Areia</v>
          </cell>
          <cell r="K2893">
            <v>0</v>
          </cell>
        </row>
        <row r="2894">
          <cell r="J2894" t="str">
            <v>Cimento</v>
          </cell>
          <cell r="K2894">
            <v>0</v>
          </cell>
        </row>
        <row r="2895">
          <cell r="K2895">
            <v>0</v>
          </cell>
        </row>
        <row r="2896">
          <cell r="K2896">
            <v>0</v>
          </cell>
        </row>
        <row r="2903">
          <cell r="J2903">
            <v>40312</v>
          </cell>
          <cell r="K2903">
            <v>87.75</v>
          </cell>
        </row>
        <row r="2914">
          <cell r="J2914">
            <v>0</v>
          </cell>
          <cell r="K2914">
            <v>0</v>
          </cell>
        </row>
        <row r="2915">
          <cell r="J2915">
            <v>0</v>
          </cell>
          <cell r="K2915">
            <v>0</v>
          </cell>
        </row>
        <row r="2916">
          <cell r="J2916">
            <v>0</v>
          </cell>
          <cell r="K2916">
            <v>0</v>
          </cell>
        </row>
        <row r="2917">
          <cell r="J2917">
            <v>0</v>
          </cell>
          <cell r="K2917">
            <v>0</v>
          </cell>
        </row>
        <row r="2918">
          <cell r="J2918">
            <v>0</v>
          </cell>
          <cell r="K2918">
            <v>0</v>
          </cell>
        </row>
        <row r="2919">
          <cell r="J2919">
            <v>0</v>
          </cell>
          <cell r="K2919">
            <v>0</v>
          </cell>
        </row>
        <row r="2920">
          <cell r="J2920">
            <v>0</v>
          </cell>
          <cell r="K2920">
            <v>0</v>
          </cell>
        </row>
        <row r="2921">
          <cell r="J2921">
            <v>0</v>
          </cell>
          <cell r="K2921">
            <v>0</v>
          </cell>
        </row>
        <row r="2922">
          <cell r="J2922">
            <v>0</v>
          </cell>
          <cell r="K2922">
            <v>0</v>
          </cell>
        </row>
        <row r="2923">
          <cell r="J2923">
            <v>0</v>
          </cell>
          <cell r="K2923">
            <v>0</v>
          </cell>
        </row>
        <row r="2924">
          <cell r="J2924">
            <v>0</v>
          </cell>
          <cell r="K2924">
            <v>0</v>
          </cell>
        </row>
        <row r="2925">
          <cell r="J2925">
            <v>0</v>
          </cell>
          <cell r="K2925">
            <v>0</v>
          </cell>
        </row>
        <row r="2926">
          <cell r="J2926">
            <v>0</v>
          </cell>
          <cell r="K2926">
            <v>0</v>
          </cell>
        </row>
        <row r="2927">
          <cell r="J2927">
            <v>0</v>
          </cell>
          <cell r="K2927">
            <v>0</v>
          </cell>
        </row>
        <row r="2928">
          <cell r="J2928">
            <v>0</v>
          </cell>
          <cell r="K2928">
            <v>0</v>
          </cell>
        </row>
        <row r="2929">
          <cell r="J2929">
            <v>0</v>
          </cell>
          <cell r="K2929">
            <v>0</v>
          </cell>
        </row>
        <row r="2934">
          <cell r="J2934" t="str">
            <v>Madeira em Geral</v>
          </cell>
        </row>
        <row r="2935">
          <cell r="J2935" t="str">
            <v>Madeira em Geral</v>
          </cell>
        </row>
        <row r="2936">
          <cell r="J2936" t="str">
            <v>Madeira em Geral</v>
          </cell>
        </row>
        <row r="2942">
          <cell r="J2942">
            <v>0</v>
          </cell>
          <cell r="K2942">
            <v>0</v>
          </cell>
        </row>
        <row r="2943">
          <cell r="J2943">
            <v>0</v>
          </cell>
        </row>
        <row r="2944">
          <cell r="J2944">
            <v>40721</v>
          </cell>
          <cell r="K2944">
            <v>188</v>
          </cell>
        </row>
        <row r="2945">
          <cell r="J2945">
            <v>0</v>
          </cell>
        </row>
        <row r="2946">
          <cell r="J2946">
            <v>0</v>
          </cell>
        </row>
        <row r="2947">
          <cell r="J2947">
            <v>0</v>
          </cell>
        </row>
        <row r="2948">
          <cell r="J2948">
            <v>0</v>
          </cell>
        </row>
        <row r="2949">
          <cell r="J2949">
            <v>0</v>
          </cell>
          <cell r="K2949">
            <v>0</v>
          </cell>
        </row>
        <row r="2954">
          <cell r="J2954">
            <v>0</v>
          </cell>
          <cell r="K2954">
            <v>0</v>
          </cell>
        </row>
        <row r="2969">
          <cell r="J2969" t="str">
            <v>Brita</v>
          </cell>
          <cell r="K2969">
            <v>0</v>
          </cell>
        </row>
        <row r="2972">
          <cell r="J2972">
            <v>0</v>
          </cell>
        </row>
        <row r="2974">
          <cell r="J2974">
            <v>0</v>
          </cell>
          <cell r="K2974">
            <v>0</v>
          </cell>
        </row>
        <row r="2975">
          <cell r="J2975">
            <v>0</v>
          </cell>
          <cell r="K2975">
            <v>0</v>
          </cell>
        </row>
        <row r="2976">
          <cell r="J2976">
            <v>0</v>
          </cell>
        </row>
        <row r="2977">
          <cell r="J2977">
            <v>0</v>
          </cell>
        </row>
        <row r="2978">
          <cell r="J2978">
            <v>40362</v>
          </cell>
          <cell r="K2978">
            <v>687.29</v>
          </cell>
        </row>
        <row r="2979">
          <cell r="J2979">
            <v>0</v>
          </cell>
        </row>
        <row r="2980">
          <cell r="J2980">
            <v>0</v>
          </cell>
        </row>
        <row r="2981">
          <cell r="J2981">
            <v>0</v>
          </cell>
        </row>
        <row r="2982">
          <cell r="J2982">
            <v>0</v>
          </cell>
        </row>
        <row r="2984">
          <cell r="J2984">
            <v>0</v>
          </cell>
        </row>
        <row r="2985">
          <cell r="J2985">
            <v>0</v>
          </cell>
        </row>
        <row r="2986">
          <cell r="J2986">
            <v>0</v>
          </cell>
          <cell r="K2986">
            <v>0</v>
          </cell>
        </row>
        <row r="2987">
          <cell r="J2987">
            <v>0</v>
          </cell>
          <cell r="K2987">
            <v>0</v>
          </cell>
        </row>
        <row r="2988">
          <cell r="J2988">
            <v>0</v>
          </cell>
          <cell r="K2988">
            <v>0</v>
          </cell>
        </row>
        <row r="2989">
          <cell r="J2989">
            <v>0</v>
          </cell>
          <cell r="K2989">
            <v>0</v>
          </cell>
        </row>
        <row r="2990">
          <cell r="J2990">
            <v>0</v>
          </cell>
          <cell r="K2990">
            <v>0</v>
          </cell>
        </row>
        <row r="2991">
          <cell r="J2991">
            <v>0</v>
          </cell>
          <cell r="K2991">
            <v>0</v>
          </cell>
        </row>
        <row r="2992">
          <cell r="J2992">
            <v>0</v>
          </cell>
          <cell r="K2992">
            <v>0</v>
          </cell>
        </row>
        <row r="2993">
          <cell r="J2993">
            <v>0</v>
          </cell>
          <cell r="K2993">
            <v>0</v>
          </cell>
        </row>
        <row r="2994">
          <cell r="J2994">
            <v>0</v>
          </cell>
          <cell r="K2994">
            <v>0</v>
          </cell>
        </row>
        <row r="2995">
          <cell r="J2995">
            <v>0</v>
          </cell>
          <cell r="K2995">
            <v>0</v>
          </cell>
        </row>
        <row r="2996">
          <cell r="J2996">
            <v>0</v>
          </cell>
          <cell r="K2996">
            <v>0</v>
          </cell>
        </row>
        <row r="2997">
          <cell r="J2997">
            <v>0</v>
          </cell>
          <cell r="K2997">
            <v>0</v>
          </cell>
        </row>
        <row r="2998">
          <cell r="J2998">
            <v>0</v>
          </cell>
          <cell r="K2998">
            <v>0</v>
          </cell>
        </row>
        <row r="2999">
          <cell r="J2999">
            <v>0</v>
          </cell>
          <cell r="K2999">
            <v>0</v>
          </cell>
        </row>
        <row r="3000">
          <cell r="J3000">
            <v>0</v>
          </cell>
          <cell r="K3000">
            <v>0</v>
          </cell>
        </row>
        <row r="3001">
          <cell r="J3001">
            <v>0</v>
          </cell>
          <cell r="K3001">
            <v>0</v>
          </cell>
        </row>
        <row r="3002">
          <cell r="J3002">
            <v>0</v>
          </cell>
          <cell r="K3002">
            <v>0</v>
          </cell>
        </row>
        <row r="3004">
          <cell r="J3004">
            <v>0</v>
          </cell>
          <cell r="K3004">
            <v>0</v>
          </cell>
        </row>
        <row r="3005">
          <cell r="J3005">
            <v>0</v>
          </cell>
          <cell r="K3005">
            <v>0</v>
          </cell>
        </row>
        <row r="3006">
          <cell r="J3006">
            <v>0</v>
          </cell>
          <cell r="K3006">
            <v>0</v>
          </cell>
        </row>
        <row r="3007">
          <cell r="J3007">
            <v>0</v>
          </cell>
          <cell r="K3007">
            <v>0</v>
          </cell>
        </row>
        <row r="3008">
          <cell r="J3008">
            <v>0</v>
          </cell>
          <cell r="K3008">
            <v>0</v>
          </cell>
        </row>
        <row r="3009">
          <cell r="J3009">
            <v>0</v>
          </cell>
          <cell r="K3009">
            <v>0</v>
          </cell>
        </row>
        <row r="3010">
          <cell r="J3010" t="str">
            <v>Areia</v>
          </cell>
          <cell r="K3010">
            <v>0</v>
          </cell>
        </row>
        <row r="3011">
          <cell r="J3011" t="str">
            <v>Cimento</v>
          </cell>
          <cell r="K3011">
            <v>0</v>
          </cell>
        </row>
        <row r="3012">
          <cell r="J3012" t="str">
            <v>Produto Pétreo</v>
          </cell>
          <cell r="K3012">
            <v>0</v>
          </cell>
        </row>
        <row r="3013">
          <cell r="J3013">
            <v>0</v>
          </cell>
          <cell r="K3013">
            <v>0</v>
          </cell>
        </row>
        <row r="3014">
          <cell r="J3014">
            <v>0</v>
          </cell>
          <cell r="K3014">
            <v>0</v>
          </cell>
        </row>
        <row r="3015">
          <cell r="J3015">
            <v>0</v>
          </cell>
          <cell r="K3015">
            <v>0</v>
          </cell>
        </row>
        <row r="3016">
          <cell r="J3016">
            <v>0</v>
          </cell>
          <cell r="K3016">
            <v>0</v>
          </cell>
        </row>
        <row r="3017">
          <cell r="J3017">
            <v>0</v>
          </cell>
          <cell r="K3017">
            <v>0</v>
          </cell>
        </row>
        <row r="3018">
          <cell r="J3018">
            <v>0</v>
          </cell>
          <cell r="K3018">
            <v>0</v>
          </cell>
        </row>
        <row r="3019">
          <cell r="J3019">
            <v>0</v>
          </cell>
        </row>
        <row r="3020">
          <cell r="J3020">
            <v>0</v>
          </cell>
        </row>
        <row r="3021">
          <cell r="J3021">
            <v>40377</v>
          </cell>
          <cell r="K3021">
            <v>5.3</v>
          </cell>
        </row>
        <row r="3022">
          <cell r="J3022">
            <v>0</v>
          </cell>
        </row>
        <row r="3023">
          <cell r="J3023">
            <v>0</v>
          </cell>
        </row>
        <row r="3024">
          <cell r="J3024">
            <v>0</v>
          </cell>
        </row>
        <row r="3025">
          <cell r="J3025">
            <v>0</v>
          </cell>
        </row>
        <row r="3026">
          <cell r="J3026">
            <v>0</v>
          </cell>
          <cell r="K3026">
            <v>0</v>
          </cell>
        </row>
        <row r="3027">
          <cell r="J3027">
            <v>0</v>
          </cell>
          <cell r="K3027">
            <v>0</v>
          </cell>
        </row>
        <row r="3028">
          <cell r="J3028">
            <v>0</v>
          </cell>
          <cell r="K3028">
            <v>0</v>
          </cell>
        </row>
        <row r="3029">
          <cell r="J3029">
            <v>0</v>
          </cell>
          <cell r="K3029">
            <v>0</v>
          </cell>
        </row>
        <row r="3030">
          <cell r="J3030">
            <v>0</v>
          </cell>
          <cell r="K3030">
            <v>0</v>
          </cell>
        </row>
        <row r="3031">
          <cell r="J3031">
            <v>0</v>
          </cell>
          <cell r="K3031">
            <v>0</v>
          </cell>
        </row>
        <row r="3032">
          <cell r="J3032">
            <v>0</v>
          </cell>
          <cell r="K3032">
            <v>0</v>
          </cell>
        </row>
        <row r="3033">
          <cell r="J3033">
            <v>0</v>
          </cell>
          <cell r="K3033">
            <v>0</v>
          </cell>
        </row>
        <row r="3034">
          <cell r="J3034">
            <v>0</v>
          </cell>
          <cell r="K3034">
            <v>0</v>
          </cell>
        </row>
        <row r="3035">
          <cell r="J3035">
            <v>0</v>
          </cell>
          <cell r="K3035">
            <v>0</v>
          </cell>
        </row>
        <row r="3036">
          <cell r="J3036">
            <v>0</v>
          </cell>
          <cell r="K3036">
            <v>0</v>
          </cell>
        </row>
        <row r="3037">
          <cell r="J3037">
            <v>0</v>
          </cell>
          <cell r="K3037">
            <v>0</v>
          </cell>
        </row>
        <row r="3038">
          <cell r="J3038">
            <v>0</v>
          </cell>
          <cell r="K3038">
            <v>0</v>
          </cell>
        </row>
        <row r="3039">
          <cell r="J3039">
            <v>0</v>
          </cell>
          <cell r="K3039">
            <v>0</v>
          </cell>
        </row>
        <row r="3040">
          <cell r="J3040">
            <v>0</v>
          </cell>
          <cell r="K3040">
            <v>0</v>
          </cell>
        </row>
        <row r="3041">
          <cell r="J3041">
            <v>0</v>
          </cell>
          <cell r="K3041">
            <v>0</v>
          </cell>
        </row>
        <row r="3042">
          <cell r="J3042">
            <v>0</v>
          </cell>
          <cell r="K3042">
            <v>0</v>
          </cell>
        </row>
        <row r="3043">
          <cell r="J3043">
            <v>0</v>
          </cell>
          <cell r="K3043">
            <v>0</v>
          </cell>
        </row>
        <row r="3044">
          <cell r="J3044">
            <v>0</v>
          </cell>
          <cell r="K3044">
            <v>0</v>
          </cell>
        </row>
        <row r="3045">
          <cell r="J3045">
            <v>0</v>
          </cell>
          <cell r="K3045">
            <v>0</v>
          </cell>
        </row>
        <row r="3046">
          <cell r="J3046">
            <v>0</v>
          </cell>
          <cell r="K3046">
            <v>0</v>
          </cell>
        </row>
        <row r="3047">
          <cell r="J3047">
            <v>0</v>
          </cell>
          <cell r="K3047">
            <v>0</v>
          </cell>
        </row>
        <row r="3048">
          <cell r="J3048">
            <v>0</v>
          </cell>
          <cell r="K3048">
            <v>0</v>
          </cell>
        </row>
        <row r="3049">
          <cell r="J3049">
            <v>0</v>
          </cell>
          <cell r="K3049">
            <v>0</v>
          </cell>
        </row>
        <row r="3050">
          <cell r="J3050">
            <v>0</v>
          </cell>
          <cell r="K3050">
            <v>0</v>
          </cell>
        </row>
        <row r="3051">
          <cell r="J3051">
            <v>0</v>
          </cell>
          <cell r="K3051">
            <v>0</v>
          </cell>
        </row>
        <row r="3052">
          <cell r="J3052">
            <v>0</v>
          </cell>
          <cell r="K3052">
            <v>0</v>
          </cell>
        </row>
        <row r="3053">
          <cell r="J3053">
            <v>0</v>
          </cell>
          <cell r="K3053">
            <v>0</v>
          </cell>
        </row>
        <row r="3056">
          <cell r="J3056">
            <v>40351</v>
          </cell>
          <cell r="K3056">
            <v>502.71</v>
          </cell>
        </row>
        <row r="3061">
          <cell r="J3061">
            <v>0</v>
          </cell>
          <cell r="K3061">
            <v>0</v>
          </cell>
        </row>
        <row r="3062">
          <cell r="J3062">
            <v>0</v>
          </cell>
          <cell r="K3062">
            <v>0</v>
          </cell>
        </row>
        <row r="3063">
          <cell r="J3063">
            <v>0</v>
          </cell>
          <cell r="K3063">
            <v>0</v>
          </cell>
        </row>
        <row r="3064">
          <cell r="J3064">
            <v>0</v>
          </cell>
          <cell r="K3064">
            <v>0</v>
          </cell>
        </row>
        <row r="3065">
          <cell r="J3065">
            <v>0</v>
          </cell>
          <cell r="K3065">
            <v>0</v>
          </cell>
        </row>
        <row r="3066">
          <cell r="J3066">
            <v>0</v>
          </cell>
          <cell r="K3066">
            <v>0</v>
          </cell>
        </row>
        <row r="3067">
          <cell r="J3067">
            <v>0</v>
          </cell>
          <cell r="K3067">
            <v>0</v>
          </cell>
        </row>
        <row r="3068">
          <cell r="J3068">
            <v>0</v>
          </cell>
          <cell r="K3068">
            <v>0</v>
          </cell>
        </row>
        <row r="3069">
          <cell r="J3069">
            <v>0</v>
          </cell>
          <cell r="K3069">
            <v>0</v>
          </cell>
        </row>
        <row r="3070">
          <cell r="J3070">
            <v>0</v>
          </cell>
          <cell r="K3070">
            <v>0</v>
          </cell>
        </row>
        <row r="3071">
          <cell r="J3071">
            <v>0</v>
          </cell>
          <cell r="K3071">
            <v>0</v>
          </cell>
        </row>
        <row r="3072">
          <cell r="J3072">
            <v>0</v>
          </cell>
          <cell r="K3072">
            <v>0</v>
          </cell>
        </row>
        <row r="3073">
          <cell r="J3073">
            <v>0</v>
          </cell>
          <cell r="K3073">
            <v>0</v>
          </cell>
        </row>
        <row r="3074">
          <cell r="J3074">
            <v>0</v>
          </cell>
          <cell r="K3074">
            <v>0</v>
          </cell>
        </row>
        <row r="3075">
          <cell r="J3075">
            <v>0</v>
          </cell>
          <cell r="K3075">
            <v>0</v>
          </cell>
        </row>
        <row r="3076">
          <cell r="J3076">
            <v>0</v>
          </cell>
          <cell r="K3076">
            <v>0</v>
          </cell>
        </row>
        <row r="3084">
          <cell r="J3084" t="str">
            <v>Produto Pétreo</v>
          </cell>
        </row>
        <row r="3092">
          <cell r="J3092">
            <v>40358</v>
          </cell>
          <cell r="K3092">
            <v>646.92999999999995</v>
          </cell>
        </row>
        <row r="3093">
          <cell r="J3093">
            <v>0</v>
          </cell>
          <cell r="K3093">
            <v>0</v>
          </cell>
        </row>
        <row r="3094">
          <cell r="J3094">
            <v>0</v>
          </cell>
          <cell r="K3094">
            <v>0</v>
          </cell>
        </row>
        <row r="3095">
          <cell r="J3095">
            <v>0</v>
          </cell>
          <cell r="K3095">
            <v>0</v>
          </cell>
        </row>
        <row r="3096">
          <cell r="J3096">
            <v>0</v>
          </cell>
          <cell r="K3096">
            <v>0</v>
          </cell>
        </row>
        <row r="3097">
          <cell r="J3097">
            <v>0</v>
          </cell>
          <cell r="K3097">
            <v>0</v>
          </cell>
        </row>
        <row r="3098">
          <cell r="J3098">
            <v>0</v>
          </cell>
          <cell r="K3098">
            <v>0</v>
          </cell>
        </row>
        <row r="3099">
          <cell r="J3099">
            <v>0</v>
          </cell>
          <cell r="K3099">
            <v>0</v>
          </cell>
        </row>
        <row r="3100">
          <cell r="J3100">
            <v>0</v>
          </cell>
          <cell r="K3100">
            <v>0</v>
          </cell>
        </row>
        <row r="3101">
          <cell r="J3101">
            <v>0</v>
          </cell>
          <cell r="K3101">
            <v>0</v>
          </cell>
        </row>
        <row r="3102">
          <cell r="J3102">
            <v>0</v>
          </cell>
          <cell r="K3102">
            <v>0</v>
          </cell>
        </row>
        <row r="3103">
          <cell r="J3103">
            <v>0</v>
          </cell>
          <cell r="K3103">
            <v>0</v>
          </cell>
        </row>
        <row r="3104">
          <cell r="J3104">
            <v>0</v>
          </cell>
          <cell r="K3104">
            <v>0</v>
          </cell>
        </row>
        <row r="3105">
          <cell r="J3105">
            <v>0</v>
          </cell>
          <cell r="K3105">
            <v>0</v>
          </cell>
        </row>
        <row r="3106">
          <cell r="J3106">
            <v>0</v>
          </cell>
          <cell r="K3106">
            <v>0</v>
          </cell>
        </row>
        <row r="3107">
          <cell r="J3107">
            <v>0</v>
          </cell>
          <cell r="K3107">
            <v>0</v>
          </cell>
        </row>
        <row r="3108">
          <cell r="J3108">
            <v>0</v>
          </cell>
          <cell r="K3108">
            <v>0</v>
          </cell>
        </row>
        <row r="3109">
          <cell r="J3109">
            <v>0</v>
          </cell>
          <cell r="K3109">
            <v>0</v>
          </cell>
        </row>
        <row r="3110">
          <cell r="J3110">
            <v>0</v>
          </cell>
          <cell r="K3110">
            <v>0</v>
          </cell>
        </row>
        <row r="3111">
          <cell r="J3111">
            <v>0</v>
          </cell>
          <cell r="K3111">
            <v>0</v>
          </cell>
        </row>
        <row r="3112">
          <cell r="J3112">
            <v>0</v>
          </cell>
          <cell r="K3112">
            <v>0</v>
          </cell>
        </row>
        <row r="3113">
          <cell r="J3113">
            <v>0</v>
          </cell>
          <cell r="K3113">
            <v>0</v>
          </cell>
        </row>
        <row r="3114">
          <cell r="J3114">
            <v>0</v>
          </cell>
          <cell r="K3114">
            <v>0</v>
          </cell>
        </row>
        <row r="3115">
          <cell r="J3115">
            <v>0</v>
          </cell>
          <cell r="K3115">
            <v>0</v>
          </cell>
        </row>
        <row r="3116">
          <cell r="J3116">
            <v>0</v>
          </cell>
          <cell r="K3116">
            <v>0</v>
          </cell>
        </row>
        <row r="3117">
          <cell r="J3117">
            <v>0</v>
          </cell>
          <cell r="K3117">
            <v>0</v>
          </cell>
        </row>
        <row r="3118">
          <cell r="J3118">
            <v>0</v>
          </cell>
          <cell r="K3118">
            <v>0</v>
          </cell>
        </row>
        <row r="3119">
          <cell r="J3119">
            <v>0</v>
          </cell>
          <cell r="K3119">
            <v>0</v>
          </cell>
        </row>
        <row r="3120">
          <cell r="J3120">
            <v>0</v>
          </cell>
          <cell r="K3120">
            <v>0</v>
          </cell>
        </row>
        <row r="3121">
          <cell r="J3121">
            <v>0</v>
          </cell>
          <cell r="K3121">
            <v>0</v>
          </cell>
        </row>
        <row r="3122">
          <cell r="J3122">
            <v>0</v>
          </cell>
          <cell r="K3122">
            <v>0</v>
          </cell>
        </row>
        <row r="3123">
          <cell r="J3123">
            <v>0</v>
          </cell>
          <cell r="K3123">
            <v>0</v>
          </cell>
        </row>
        <row r="3124">
          <cell r="J3124">
            <v>0</v>
          </cell>
          <cell r="K3124">
            <v>0</v>
          </cell>
        </row>
        <row r="3125">
          <cell r="J3125" t="str">
            <v>Areia</v>
          </cell>
        </row>
        <row r="3126">
          <cell r="J3126" t="str">
            <v>Cimento</v>
          </cell>
        </row>
        <row r="3127">
          <cell r="J3127" t="str">
            <v>Produto Pétreo</v>
          </cell>
        </row>
        <row r="3130">
          <cell r="J3130">
            <v>0</v>
          </cell>
          <cell r="K3130">
            <v>0</v>
          </cell>
        </row>
        <row r="3131">
          <cell r="K3131">
            <v>0</v>
          </cell>
        </row>
        <row r="3136">
          <cell r="J3136">
            <v>40324</v>
          </cell>
          <cell r="K3136">
            <v>73.03</v>
          </cell>
        </row>
        <row r="3142">
          <cell r="J3142">
            <v>0</v>
          </cell>
          <cell r="K3142">
            <v>0</v>
          </cell>
        </row>
        <row r="3143">
          <cell r="J3143">
            <v>0</v>
          </cell>
          <cell r="K3143">
            <v>0</v>
          </cell>
        </row>
        <row r="3144">
          <cell r="J3144">
            <v>0</v>
          </cell>
          <cell r="K3144">
            <v>0</v>
          </cell>
        </row>
        <row r="3145">
          <cell r="J3145">
            <v>0</v>
          </cell>
          <cell r="K3145">
            <v>0</v>
          </cell>
        </row>
        <row r="3146">
          <cell r="J3146">
            <v>0</v>
          </cell>
          <cell r="K3146">
            <v>0</v>
          </cell>
        </row>
        <row r="3147">
          <cell r="J3147">
            <v>0</v>
          </cell>
          <cell r="K3147">
            <v>0</v>
          </cell>
        </row>
        <row r="3148">
          <cell r="J3148">
            <v>0</v>
          </cell>
          <cell r="K3148">
            <v>0</v>
          </cell>
        </row>
        <row r="3149">
          <cell r="J3149">
            <v>0</v>
          </cell>
          <cell r="K3149">
            <v>0</v>
          </cell>
        </row>
        <row r="3150">
          <cell r="J3150">
            <v>0</v>
          </cell>
          <cell r="K3150">
            <v>0</v>
          </cell>
        </row>
        <row r="3151">
          <cell r="J3151">
            <v>0</v>
          </cell>
          <cell r="K3151">
            <v>0</v>
          </cell>
        </row>
        <row r="3152">
          <cell r="J3152">
            <v>0</v>
          </cell>
          <cell r="K3152">
            <v>0</v>
          </cell>
        </row>
        <row r="3153">
          <cell r="J3153">
            <v>0</v>
          </cell>
          <cell r="K3153">
            <v>0</v>
          </cell>
        </row>
        <row r="3154">
          <cell r="J3154">
            <v>0</v>
          </cell>
          <cell r="K3154">
            <v>0</v>
          </cell>
        </row>
        <row r="3155">
          <cell r="J3155">
            <v>0</v>
          </cell>
          <cell r="K3155">
            <v>0</v>
          </cell>
        </row>
        <row r="3156">
          <cell r="J3156">
            <v>0</v>
          </cell>
          <cell r="K3156">
            <v>0</v>
          </cell>
        </row>
        <row r="3157">
          <cell r="J3157">
            <v>0</v>
          </cell>
          <cell r="K3157">
            <v>0</v>
          </cell>
        </row>
        <row r="3158">
          <cell r="K3158">
            <v>0</v>
          </cell>
        </row>
        <row r="3159">
          <cell r="K3159">
            <v>0</v>
          </cell>
        </row>
        <row r="3160">
          <cell r="K3160">
            <v>0</v>
          </cell>
        </row>
        <row r="3161">
          <cell r="K3161">
            <v>0</v>
          </cell>
        </row>
        <row r="3162">
          <cell r="K3162">
            <v>0</v>
          </cell>
        </row>
        <row r="3163">
          <cell r="K3163">
            <v>0</v>
          </cell>
        </row>
        <row r="3164">
          <cell r="K3164">
            <v>0</v>
          </cell>
        </row>
        <row r="3165">
          <cell r="K3165">
            <v>0</v>
          </cell>
        </row>
        <row r="3166">
          <cell r="J3166" t="str">
            <v>Madeira em Geral</v>
          </cell>
          <cell r="K3166">
            <v>0</v>
          </cell>
        </row>
        <row r="3167">
          <cell r="J3167" t="str">
            <v>Madeira em Geral</v>
          </cell>
          <cell r="K3167">
            <v>0</v>
          </cell>
        </row>
        <row r="3168">
          <cell r="K3168">
            <v>0</v>
          </cell>
        </row>
        <row r="3169">
          <cell r="K3169">
            <v>0</v>
          </cell>
        </row>
        <row r="3170">
          <cell r="K3170">
            <v>0</v>
          </cell>
        </row>
        <row r="3171">
          <cell r="K3171">
            <v>0</v>
          </cell>
        </row>
        <row r="3172">
          <cell r="K3172">
            <v>0</v>
          </cell>
        </row>
        <row r="3173">
          <cell r="K3173">
            <v>0</v>
          </cell>
        </row>
        <row r="3174">
          <cell r="J3174">
            <v>0</v>
          </cell>
          <cell r="K3174">
            <v>0</v>
          </cell>
        </row>
        <row r="3175">
          <cell r="J3175">
            <v>40282</v>
          </cell>
          <cell r="K3175">
            <v>11.72</v>
          </cell>
        </row>
        <row r="3177">
          <cell r="J3177">
            <v>0</v>
          </cell>
          <cell r="K3177">
            <v>0</v>
          </cell>
        </row>
        <row r="3178">
          <cell r="J3178">
            <v>0</v>
          </cell>
          <cell r="K3178">
            <v>0</v>
          </cell>
        </row>
        <row r="3179">
          <cell r="J3179">
            <v>0</v>
          </cell>
          <cell r="K3179">
            <v>0</v>
          </cell>
        </row>
        <row r="3180">
          <cell r="J3180">
            <v>0</v>
          </cell>
          <cell r="K3180">
            <v>0</v>
          </cell>
        </row>
        <row r="3181">
          <cell r="J3181">
            <v>0</v>
          </cell>
          <cell r="K3181">
            <v>0</v>
          </cell>
        </row>
        <row r="3182">
          <cell r="J3182">
            <v>0</v>
          </cell>
          <cell r="K3182">
            <v>0</v>
          </cell>
        </row>
        <row r="3183">
          <cell r="J3183">
            <v>0</v>
          </cell>
          <cell r="K3183">
            <v>0</v>
          </cell>
        </row>
        <row r="3184">
          <cell r="J3184">
            <v>0</v>
          </cell>
          <cell r="K3184">
            <v>0</v>
          </cell>
        </row>
        <row r="3185">
          <cell r="J3185">
            <v>0</v>
          </cell>
          <cell r="K3185">
            <v>0</v>
          </cell>
        </row>
        <row r="3186">
          <cell r="J3186">
            <v>0</v>
          </cell>
          <cell r="K3186">
            <v>0</v>
          </cell>
        </row>
        <row r="3187">
          <cell r="J3187">
            <v>0</v>
          </cell>
          <cell r="K3187">
            <v>0</v>
          </cell>
        </row>
        <row r="3188">
          <cell r="J3188">
            <v>0</v>
          </cell>
          <cell r="K3188">
            <v>0</v>
          </cell>
        </row>
        <row r="3189">
          <cell r="J3189">
            <v>0</v>
          </cell>
          <cell r="K3189">
            <v>0</v>
          </cell>
        </row>
        <row r="3190">
          <cell r="J3190">
            <v>0</v>
          </cell>
          <cell r="K3190">
            <v>0</v>
          </cell>
        </row>
        <row r="3191">
          <cell r="J3191">
            <v>0</v>
          </cell>
          <cell r="K3191">
            <v>0</v>
          </cell>
        </row>
        <row r="3192">
          <cell r="K3192">
            <v>0</v>
          </cell>
        </row>
        <row r="3193">
          <cell r="K3193">
            <v>0</v>
          </cell>
        </row>
        <row r="3194">
          <cell r="K3194">
            <v>0</v>
          </cell>
        </row>
        <row r="3195">
          <cell r="K3195">
            <v>0</v>
          </cell>
        </row>
        <row r="3196">
          <cell r="K3196">
            <v>0</v>
          </cell>
        </row>
        <row r="3197">
          <cell r="K3197">
            <v>0</v>
          </cell>
        </row>
        <row r="3198">
          <cell r="K3198">
            <v>0</v>
          </cell>
        </row>
        <row r="3199">
          <cell r="K3199">
            <v>0</v>
          </cell>
        </row>
        <row r="3200">
          <cell r="K3200">
            <v>0</v>
          </cell>
        </row>
        <row r="3201">
          <cell r="K3201">
            <v>0</v>
          </cell>
        </row>
        <row r="3202">
          <cell r="K3202">
            <v>0</v>
          </cell>
        </row>
        <row r="3203">
          <cell r="K3203">
            <v>0</v>
          </cell>
        </row>
        <row r="3204">
          <cell r="K3204">
            <v>0</v>
          </cell>
        </row>
        <row r="3205">
          <cell r="K3205">
            <v>0</v>
          </cell>
        </row>
        <row r="3206">
          <cell r="K3206">
            <v>0</v>
          </cell>
        </row>
        <row r="3207">
          <cell r="K3207">
            <v>0</v>
          </cell>
        </row>
        <row r="3209">
          <cell r="J3209">
            <v>0</v>
          </cell>
          <cell r="K3209">
            <v>0</v>
          </cell>
        </row>
        <row r="3210">
          <cell r="J3210">
            <v>0</v>
          </cell>
          <cell r="K3210">
            <v>0</v>
          </cell>
        </row>
        <row r="3211">
          <cell r="J3211">
            <v>40283</v>
          </cell>
          <cell r="K3211">
            <v>12.89</v>
          </cell>
        </row>
        <row r="3213">
          <cell r="J3213">
            <v>0</v>
          </cell>
          <cell r="K3213">
            <v>0</v>
          </cell>
        </row>
        <row r="3214">
          <cell r="J3214">
            <v>0</v>
          </cell>
          <cell r="K3214">
            <v>0</v>
          </cell>
        </row>
        <row r="3215">
          <cell r="J3215">
            <v>0</v>
          </cell>
          <cell r="K3215">
            <v>0</v>
          </cell>
        </row>
        <row r="3216">
          <cell r="J3216">
            <v>0</v>
          </cell>
          <cell r="K3216">
            <v>0</v>
          </cell>
        </row>
        <row r="3217">
          <cell r="J3217">
            <v>0</v>
          </cell>
          <cell r="K3217">
            <v>0</v>
          </cell>
        </row>
        <row r="3218">
          <cell r="J3218">
            <v>0</v>
          </cell>
          <cell r="K3218">
            <v>0</v>
          </cell>
        </row>
        <row r="3219">
          <cell r="J3219">
            <v>0</v>
          </cell>
          <cell r="K3219">
            <v>0</v>
          </cell>
        </row>
        <row r="3220">
          <cell r="J3220">
            <v>0</v>
          </cell>
          <cell r="K3220">
            <v>0</v>
          </cell>
        </row>
        <row r="3221">
          <cell r="J3221">
            <v>0</v>
          </cell>
          <cell r="K3221">
            <v>0</v>
          </cell>
        </row>
        <row r="3222">
          <cell r="J3222">
            <v>0</v>
          </cell>
          <cell r="K3222">
            <v>0</v>
          </cell>
        </row>
        <row r="3223">
          <cell r="J3223">
            <v>0</v>
          </cell>
          <cell r="K3223">
            <v>0</v>
          </cell>
        </row>
        <row r="3224">
          <cell r="J3224">
            <v>0</v>
          </cell>
          <cell r="K3224">
            <v>0</v>
          </cell>
        </row>
        <row r="3225">
          <cell r="J3225">
            <v>0</v>
          </cell>
          <cell r="K3225">
            <v>0</v>
          </cell>
        </row>
        <row r="3226">
          <cell r="J3226">
            <v>0</v>
          </cell>
          <cell r="K3226">
            <v>0</v>
          </cell>
        </row>
        <row r="3227">
          <cell r="J3227">
            <v>0</v>
          </cell>
          <cell r="K3227">
            <v>0</v>
          </cell>
        </row>
        <row r="3228">
          <cell r="K3228">
            <v>0</v>
          </cell>
        </row>
        <row r="3229">
          <cell r="K3229">
            <v>0</v>
          </cell>
        </row>
        <row r="3230">
          <cell r="K3230">
            <v>0</v>
          </cell>
        </row>
        <row r="3231">
          <cell r="K3231">
            <v>0</v>
          </cell>
        </row>
        <row r="3232">
          <cell r="K3232">
            <v>0</v>
          </cell>
        </row>
        <row r="3233">
          <cell r="K3233">
            <v>0</v>
          </cell>
        </row>
        <row r="3234">
          <cell r="K3234">
            <v>0</v>
          </cell>
        </row>
        <row r="3235">
          <cell r="K3235">
            <v>0</v>
          </cell>
        </row>
        <row r="3236">
          <cell r="K3236">
            <v>0</v>
          </cell>
        </row>
        <row r="3237">
          <cell r="K3237">
            <v>0</v>
          </cell>
        </row>
        <row r="3238">
          <cell r="K3238">
            <v>0</v>
          </cell>
        </row>
        <row r="3239">
          <cell r="K3239">
            <v>0</v>
          </cell>
        </row>
        <row r="3240">
          <cell r="K3240">
            <v>0</v>
          </cell>
        </row>
        <row r="3241">
          <cell r="K3241">
            <v>0</v>
          </cell>
        </row>
        <row r="3242">
          <cell r="K3242">
            <v>0</v>
          </cell>
        </row>
        <row r="3243">
          <cell r="K3243">
            <v>0</v>
          </cell>
        </row>
        <row r="3245">
          <cell r="J3245">
            <v>0</v>
          </cell>
        </row>
        <row r="3247">
          <cell r="K3247">
            <v>0</v>
          </cell>
        </row>
        <row r="3248">
          <cell r="J3248">
            <v>40840</v>
          </cell>
          <cell r="K3248">
            <v>48.09</v>
          </cell>
        </row>
        <row r="3264">
          <cell r="K3264">
            <v>0</v>
          </cell>
        </row>
        <row r="3265">
          <cell r="K3265">
            <v>0</v>
          </cell>
        </row>
        <row r="3266">
          <cell r="K3266">
            <v>0</v>
          </cell>
        </row>
        <row r="3267">
          <cell r="K3267">
            <v>0</v>
          </cell>
        </row>
        <row r="3268">
          <cell r="K3268">
            <v>0</v>
          </cell>
        </row>
        <row r="3269">
          <cell r="K3269">
            <v>0</v>
          </cell>
        </row>
        <row r="3270">
          <cell r="K3270">
            <v>0</v>
          </cell>
        </row>
        <row r="3271">
          <cell r="K3271">
            <v>0</v>
          </cell>
        </row>
        <row r="3272">
          <cell r="K3272">
            <v>0</v>
          </cell>
        </row>
        <row r="3273">
          <cell r="K3273">
            <v>0</v>
          </cell>
        </row>
        <row r="3274">
          <cell r="K3274">
            <v>0</v>
          </cell>
        </row>
        <row r="3275">
          <cell r="K3275">
            <v>0</v>
          </cell>
        </row>
        <row r="3276">
          <cell r="K3276">
            <v>0</v>
          </cell>
        </row>
        <row r="3277">
          <cell r="J3277" t="str">
            <v>Material betuminoso</v>
          </cell>
          <cell r="K3277">
            <v>0</v>
          </cell>
        </row>
        <row r="3278">
          <cell r="K3278">
            <v>0</v>
          </cell>
        </row>
        <row r="3279">
          <cell r="K3279">
            <v>0</v>
          </cell>
        </row>
        <row r="3280">
          <cell r="K3280">
            <v>0</v>
          </cell>
        </row>
        <row r="3285">
          <cell r="J3285">
            <v>0</v>
          </cell>
          <cell r="K3285">
            <v>0</v>
          </cell>
        </row>
        <row r="3286">
          <cell r="J3286">
            <v>40349</v>
          </cell>
          <cell r="K3286">
            <v>491.95</v>
          </cell>
        </row>
        <row r="3287">
          <cell r="J3287">
            <v>0</v>
          </cell>
          <cell r="K3287">
            <v>0</v>
          </cell>
        </row>
        <row r="3289">
          <cell r="J3289">
            <v>0</v>
          </cell>
          <cell r="K3289">
            <v>0</v>
          </cell>
        </row>
        <row r="3290">
          <cell r="J3290">
            <v>0</v>
          </cell>
          <cell r="K3290">
            <v>0</v>
          </cell>
        </row>
        <row r="3291">
          <cell r="J3291">
            <v>0</v>
          </cell>
          <cell r="K3291">
            <v>0</v>
          </cell>
        </row>
        <row r="3292">
          <cell r="J3292">
            <v>0</v>
          </cell>
          <cell r="K3292">
            <v>0</v>
          </cell>
        </row>
        <row r="3293">
          <cell r="J3293">
            <v>0</v>
          </cell>
          <cell r="K3293">
            <v>0</v>
          </cell>
        </row>
        <row r="3294">
          <cell r="J3294">
            <v>0</v>
          </cell>
          <cell r="K3294">
            <v>0</v>
          </cell>
        </row>
        <row r="3295">
          <cell r="J3295">
            <v>0</v>
          </cell>
          <cell r="K3295">
            <v>0</v>
          </cell>
        </row>
        <row r="3296">
          <cell r="J3296">
            <v>0</v>
          </cell>
          <cell r="K3296">
            <v>0</v>
          </cell>
        </row>
        <row r="3297">
          <cell r="J3297">
            <v>0</v>
          </cell>
          <cell r="K3297">
            <v>0</v>
          </cell>
        </row>
        <row r="3298">
          <cell r="J3298">
            <v>0</v>
          </cell>
          <cell r="K3298">
            <v>0</v>
          </cell>
        </row>
        <row r="3299">
          <cell r="J3299">
            <v>0</v>
          </cell>
          <cell r="K3299">
            <v>0</v>
          </cell>
        </row>
        <row r="3300">
          <cell r="J3300">
            <v>0</v>
          </cell>
          <cell r="K3300">
            <v>0</v>
          </cell>
        </row>
        <row r="3301">
          <cell r="J3301">
            <v>0</v>
          </cell>
          <cell r="K3301">
            <v>0</v>
          </cell>
        </row>
        <row r="3302">
          <cell r="J3302">
            <v>0</v>
          </cell>
          <cell r="K3302">
            <v>0</v>
          </cell>
        </row>
        <row r="3303">
          <cell r="J3303">
            <v>0</v>
          </cell>
          <cell r="K3303">
            <v>0</v>
          </cell>
        </row>
        <row r="3304">
          <cell r="J3304">
            <v>0</v>
          </cell>
          <cell r="K3304">
            <v>0</v>
          </cell>
        </row>
        <row r="3315">
          <cell r="J3315">
            <v>0</v>
          </cell>
          <cell r="K3315">
            <v>0</v>
          </cell>
        </row>
        <row r="3319">
          <cell r="J3319" t="str">
            <v>Areia</v>
          </cell>
        </row>
        <row r="3320">
          <cell r="J3320" t="str">
            <v>Cimento</v>
          </cell>
        </row>
        <row r="3321">
          <cell r="J3321" t="str">
            <v>Produto Pétreo</v>
          </cell>
        </row>
        <row r="3324">
          <cell r="J3324">
            <v>0</v>
          </cell>
        </row>
        <row r="3326">
          <cell r="J3326">
            <v>0</v>
          </cell>
        </row>
        <row r="3329">
          <cell r="J3329">
            <v>40316</v>
          </cell>
          <cell r="K3329">
            <v>73.400000000000006</v>
          </cell>
        </row>
        <row r="3333">
          <cell r="J3333">
            <v>0</v>
          </cell>
          <cell r="K3333">
            <v>0</v>
          </cell>
        </row>
        <row r="3338">
          <cell r="J3338">
            <v>0</v>
          </cell>
          <cell r="K3338">
            <v>0</v>
          </cell>
        </row>
        <row r="3339">
          <cell r="J3339">
            <v>0</v>
          </cell>
          <cell r="K3339">
            <v>0</v>
          </cell>
        </row>
        <row r="3340">
          <cell r="J3340">
            <v>0</v>
          </cell>
          <cell r="K3340">
            <v>0</v>
          </cell>
        </row>
        <row r="3341">
          <cell r="J3341">
            <v>0</v>
          </cell>
          <cell r="K3341">
            <v>0</v>
          </cell>
        </row>
        <row r="3342">
          <cell r="J3342">
            <v>0</v>
          </cell>
          <cell r="K3342">
            <v>0</v>
          </cell>
        </row>
        <row r="3343">
          <cell r="J3343">
            <v>0</v>
          </cell>
          <cell r="K3343">
            <v>0</v>
          </cell>
        </row>
        <row r="3344">
          <cell r="J3344">
            <v>0</v>
          </cell>
          <cell r="K3344">
            <v>0</v>
          </cell>
        </row>
        <row r="3345">
          <cell r="J3345">
            <v>0</v>
          </cell>
          <cell r="K3345">
            <v>0</v>
          </cell>
        </row>
        <row r="3346">
          <cell r="J3346">
            <v>0</v>
          </cell>
          <cell r="K3346">
            <v>0</v>
          </cell>
        </row>
        <row r="3347">
          <cell r="J3347">
            <v>0</v>
          </cell>
          <cell r="K3347">
            <v>0</v>
          </cell>
        </row>
        <row r="3348">
          <cell r="J3348">
            <v>0</v>
          </cell>
          <cell r="K3348">
            <v>0</v>
          </cell>
        </row>
        <row r="3349">
          <cell r="J3349">
            <v>0</v>
          </cell>
          <cell r="K3349">
            <v>0</v>
          </cell>
        </row>
        <row r="3350">
          <cell r="J3350">
            <v>0</v>
          </cell>
          <cell r="K3350">
            <v>0</v>
          </cell>
        </row>
        <row r="3351">
          <cell r="J3351">
            <v>0</v>
          </cell>
          <cell r="K3351">
            <v>0</v>
          </cell>
        </row>
        <row r="3352">
          <cell r="J3352">
            <v>0</v>
          </cell>
          <cell r="K3352">
            <v>0</v>
          </cell>
        </row>
        <row r="3353">
          <cell r="J3353">
            <v>0</v>
          </cell>
          <cell r="K3353">
            <v>0</v>
          </cell>
        </row>
        <row r="3355">
          <cell r="J3355">
            <v>0</v>
          </cell>
          <cell r="K3355">
            <v>0</v>
          </cell>
        </row>
        <row r="3359">
          <cell r="J3359" t="str">
            <v>Madeira em Geral</v>
          </cell>
        </row>
        <row r="3360">
          <cell r="J3360" t="str">
            <v>Madeira em Geral</v>
          </cell>
          <cell r="K3360">
            <v>0</v>
          </cell>
        </row>
        <row r="3368">
          <cell r="J3368">
            <v>40658</v>
          </cell>
          <cell r="K3368">
            <v>5.2</v>
          </cell>
        </row>
        <row r="3371">
          <cell r="J3371">
            <v>0</v>
          </cell>
          <cell r="K3371">
            <v>0</v>
          </cell>
        </row>
        <row r="3372">
          <cell r="J3372">
            <v>0</v>
          </cell>
          <cell r="K3372">
            <v>0</v>
          </cell>
        </row>
        <row r="3373">
          <cell r="J3373">
            <v>0</v>
          </cell>
          <cell r="K3373">
            <v>0</v>
          </cell>
        </row>
        <row r="3374">
          <cell r="J3374">
            <v>0</v>
          </cell>
          <cell r="K3374">
            <v>0</v>
          </cell>
        </row>
        <row r="3375">
          <cell r="J3375">
            <v>0</v>
          </cell>
          <cell r="K3375">
            <v>0</v>
          </cell>
        </row>
        <row r="3376">
          <cell r="J3376">
            <v>0</v>
          </cell>
          <cell r="K3376">
            <v>0</v>
          </cell>
        </row>
        <row r="3377">
          <cell r="J3377">
            <v>0</v>
          </cell>
          <cell r="K3377">
            <v>0</v>
          </cell>
        </row>
        <row r="3378">
          <cell r="J3378">
            <v>0</v>
          </cell>
          <cell r="K3378">
            <v>0</v>
          </cell>
        </row>
        <row r="3379">
          <cell r="J3379">
            <v>0</v>
          </cell>
          <cell r="K3379">
            <v>0</v>
          </cell>
        </row>
        <row r="3380">
          <cell r="J3380">
            <v>0</v>
          </cell>
          <cell r="K3380">
            <v>0</v>
          </cell>
        </row>
        <row r="3381">
          <cell r="J3381">
            <v>0</v>
          </cell>
          <cell r="K3381">
            <v>0</v>
          </cell>
        </row>
        <row r="3382">
          <cell r="J3382">
            <v>0</v>
          </cell>
          <cell r="K3382">
            <v>0</v>
          </cell>
        </row>
        <row r="3383">
          <cell r="J3383">
            <v>0</v>
          </cell>
          <cell r="K3383">
            <v>0</v>
          </cell>
        </row>
        <row r="3384">
          <cell r="J3384">
            <v>0</v>
          </cell>
          <cell r="K3384">
            <v>0</v>
          </cell>
        </row>
        <row r="3385">
          <cell r="J3385">
            <v>0</v>
          </cell>
          <cell r="K3385">
            <v>0</v>
          </cell>
        </row>
        <row r="3386">
          <cell r="J3386">
            <v>0</v>
          </cell>
          <cell r="K3386">
            <v>0</v>
          </cell>
        </row>
        <row r="3392">
          <cell r="J3392">
            <v>0</v>
          </cell>
          <cell r="K3392">
            <v>0</v>
          </cell>
        </row>
        <row r="3398">
          <cell r="J3398">
            <v>0</v>
          </cell>
        </row>
        <row r="3400">
          <cell r="J3400">
            <v>0</v>
          </cell>
        </row>
        <row r="3402">
          <cell r="J3402">
            <v>0</v>
          </cell>
          <cell r="K3402">
            <v>0</v>
          </cell>
        </row>
        <row r="3403">
          <cell r="J3403">
            <v>42199</v>
          </cell>
          <cell r="K3403">
            <v>1.5</v>
          </cell>
        </row>
        <row r="3404">
          <cell r="J3404">
            <v>0</v>
          </cell>
          <cell r="K3404">
            <v>0</v>
          </cell>
        </row>
        <row r="3405">
          <cell r="J3405">
            <v>0</v>
          </cell>
          <cell r="K3405">
            <v>0</v>
          </cell>
        </row>
        <row r="3425">
          <cell r="J3425">
            <v>0</v>
          </cell>
          <cell r="K3425">
            <v>0</v>
          </cell>
        </row>
        <row r="3429">
          <cell r="J3429">
            <v>0</v>
          </cell>
          <cell r="K3429">
            <v>0</v>
          </cell>
        </row>
        <row r="3431">
          <cell r="J3431">
            <v>0</v>
          </cell>
        </row>
        <row r="3433">
          <cell r="J3433">
            <v>0</v>
          </cell>
        </row>
        <row r="3435">
          <cell r="J3435">
            <v>0</v>
          </cell>
          <cell r="K3435">
            <v>0</v>
          </cell>
        </row>
        <row r="3436">
          <cell r="J3436">
            <v>40302</v>
          </cell>
          <cell r="K3436">
            <v>61.43</v>
          </cell>
        </row>
        <row r="3437">
          <cell r="J3437">
            <v>0</v>
          </cell>
          <cell r="K3437">
            <v>0</v>
          </cell>
        </row>
        <row r="3438">
          <cell r="J3438">
            <v>0</v>
          </cell>
          <cell r="K3438">
            <v>0</v>
          </cell>
        </row>
        <row r="3458">
          <cell r="J3458">
            <v>0</v>
          </cell>
          <cell r="K3458">
            <v>0</v>
          </cell>
        </row>
        <row r="3462">
          <cell r="J3462">
            <v>0</v>
          </cell>
          <cell r="K3462">
            <v>0</v>
          </cell>
        </row>
        <row r="3464">
          <cell r="J3464">
            <v>0</v>
          </cell>
        </row>
        <row r="3466">
          <cell r="J3466">
            <v>0</v>
          </cell>
        </row>
        <row r="3468">
          <cell r="J3468">
            <v>0</v>
          </cell>
          <cell r="K3468">
            <v>0</v>
          </cell>
        </row>
        <row r="3469">
          <cell r="J3469">
            <v>40256</v>
          </cell>
          <cell r="K3469">
            <v>86.04</v>
          </cell>
        </row>
        <row r="3470">
          <cell r="J3470">
            <v>0</v>
          </cell>
          <cell r="K3470">
            <v>0</v>
          </cell>
        </row>
        <row r="3471">
          <cell r="J3471">
            <v>0</v>
          </cell>
          <cell r="K3471">
            <v>0</v>
          </cell>
        </row>
        <row r="3491">
          <cell r="J3491">
            <v>0</v>
          </cell>
          <cell r="K3491">
            <v>0</v>
          </cell>
        </row>
        <row r="3495">
          <cell r="J3495">
            <v>0</v>
          </cell>
          <cell r="K3495">
            <v>0</v>
          </cell>
        </row>
        <row r="3497">
          <cell r="J3497">
            <v>0</v>
          </cell>
        </row>
        <row r="3499">
          <cell r="J3499">
            <v>0</v>
          </cell>
        </row>
        <row r="3501">
          <cell r="J3501">
            <v>0</v>
          </cell>
          <cell r="K3501">
            <v>0</v>
          </cell>
        </row>
        <row r="3502">
          <cell r="J3502">
            <v>40300</v>
          </cell>
          <cell r="K3502">
            <v>47.6</v>
          </cell>
        </row>
        <row r="3503">
          <cell r="J3503">
            <v>0</v>
          </cell>
          <cell r="K3503">
            <v>0</v>
          </cell>
        </row>
        <row r="3504">
          <cell r="J3504">
            <v>0</v>
          </cell>
          <cell r="K3504">
            <v>0</v>
          </cell>
        </row>
        <row r="3524">
          <cell r="J3524">
            <v>0</v>
          </cell>
          <cell r="K3524">
            <v>0</v>
          </cell>
        </row>
        <row r="3528">
          <cell r="J3528">
            <v>0</v>
          </cell>
          <cell r="K3528">
            <v>0</v>
          </cell>
        </row>
        <row r="3530">
          <cell r="J3530">
            <v>0</v>
          </cell>
        </row>
        <row r="3532">
          <cell r="J3532">
            <v>0</v>
          </cell>
        </row>
        <row r="3534">
          <cell r="J3534">
            <v>0</v>
          </cell>
          <cell r="K3534">
            <v>0</v>
          </cell>
        </row>
        <row r="3535">
          <cell r="J3535">
            <v>42878</v>
          </cell>
          <cell r="K3535">
            <v>5571.67</v>
          </cell>
        </row>
        <row r="3536">
          <cell r="J3536">
            <v>0</v>
          </cell>
          <cell r="K3536">
            <v>0</v>
          </cell>
        </row>
        <row r="3537">
          <cell r="J3537">
            <v>0</v>
          </cell>
          <cell r="K3537">
            <v>0</v>
          </cell>
        </row>
        <row r="3538">
          <cell r="J3538">
            <v>0</v>
          </cell>
          <cell r="K3538">
            <v>0</v>
          </cell>
        </row>
        <row r="3556">
          <cell r="J3556">
            <v>0</v>
          </cell>
          <cell r="K3556">
            <v>0</v>
          </cell>
        </row>
        <row r="3561">
          <cell r="J3561">
            <v>0</v>
          </cell>
          <cell r="K3561">
            <v>0</v>
          </cell>
        </row>
        <row r="3562">
          <cell r="J3562">
            <v>0</v>
          </cell>
        </row>
        <row r="3564">
          <cell r="J3564">
            <v>0</v>
          </cell>
        </row>
        <row r="3568">
          <cell r="J3568">
            <v>41404</v>
          </cell>
          <cell r="K3568">
            <v>30.54</v>
          </cell>
        </row>
        <row r="3580">
          <cell r="K3580">
            <v>0</v>
          </cell>
        </row>
        <row r="3581">
          <cell r="K3581">
            <v>0</v>
          </cell>
        </row>
        <row r="3582">
          <cell r="K3582">
            <v>0</v>
          </cell>
        </row>
        <row r="3583">
          <cell r="K3583">
            <v>0</v>
          </cell>
        </row>
        <row r="3584">
          <cell r="K3584">
            <v>0</v>
          </cell>
        </row>
        <row r="3585">
          <cell r="K3585">
            <v>0</v>
          </cell>
        </row>
        <row r="3586">
          <cell r="K3586">
            <v>0</v>
          </cell>
        </row>
        <row r="3587">
          <cell r="K3587">
            <v>0</v>
          </cell>
        </row>
        <row r="3588">
          <cell r="K3588">
            <v>0</v>
          </cell>
        </row>
        <row r="3589">
          <cell r="K3589">
            <v>0</v>
          </cell>
        </row>
        <row r="3590">
          <cell r="K3590">
            <v>0</v>
          </cell>
        </row>
        <row r="3591">
          <cell r="J3591">
            <v>0</v>
          </cell>
          <cell r="K3591">
            <v>0</v>
          </cell>
        </row>
        <row r="3592">
          <cell r="K3592">
            <v>0</v>
          </cell>
        </row>
        <row r="3593">
          <cell r="K3593">
            <v>0</v>
          </cell>
        </row>
        <row r="3594">
          <cell r="K3594">
            <v>0</v>
          </cell>
        </row>
        <row r="3595">
          <cell r="K3595">
            <v>0</v>
          </cell>
        </row>
        <row r="3596">
          <cell r="K3596">
            <v>0</v>
          </cell>
        </row>
        <row r="3597">
          <cell r="K3597">
            <v>0</v>
          </cell>
        </row>
        <row r="3602">
          <cell r="J3602">
            <v>0</v>
          </cell>
        </row>
        <row r="3607">
          <cell r="J3607">
            <v>42888</v>
          </cell>
          <cell r="K3607">
            <v>6856.53</v>
          </cell>
        </row>
        <row r="3628">
          <cell r="J3628">
            <v>0</v>
          </cell>
          <cell r="K3628">
            <v>0</v>
          </cell>
        </row>
        <row r="3634">
          <cell r="J3634">
            <v>0</v>
          </cell>
        </row>
        <row r="3636">
          <cell r="J3636">
            <v>0</v>
          </cell>
        </row>
        <row r="3637">
          <cell r="J3637">
            <v>0</v>
          </cell>
          <cell r="K3637">
            <v>0</v>
          </cell>
        </row>
        <row r="3638">
          <cell r="J3638">
            <v>0</v>
          </cell>
          <cell r="K3638">
            <v>0</v>
          </cell>
        </row>
        <row r="3639">
          <cell r="J3639">
            <v>0</v>
          </cell>
          <cell r="K3639">
            <v>0</v>
          </cell>
        </row>
        <row r="3640">
          <cell r="J3640">
            <v>0</v>
          </cell>
          <cell r="K3640">
            <v>0</v>
          </cell>
        </row>
        <row r="3641">
          <cell r="J3641">
            <v>0</v>
          </cell>
          <cell r="K3641">
            <v>0</v>
          </cell>
        </row>
        <row r="3642">
          <cell r="J3642">
            <v>0</v>
          </cell>
          <cell r="K3642">
            <v>0</v>
          </cell>
        </row>
        <row r="3643">
          <cell r="J3643">
            <v>0</v>
          </cell>
          <cell r="K3643">
            <v>0</v>
          </cell>
        </row>
        <row r="3644">
          <cell r="J3644">
            <v>0</v>
          </cell>
          <cell r="K3644">
            <v>0</v>
          </cell>
        </row>
        <row r="3645">
          <cell r="J3645">
            <v>0</v>
          </cell>
          <cell r="K3645">
            <v>0</v>
          </cell>
        </row>
        <row r="3646">
          <cell r="J3646">
            <v>0</v>
          </cell>
          <cell r="K3646">
            <v>0</v>
          </cell>
        </row>
        <row r="3647">
          <cell r="J3647">
            <v>0</v>
          </cell>
          <cell r="K3647">
            <v>0</v>
          </cell>
        </row>
        <row r="3648">
          <cell r="J3648">
            <v>0</v>
          </cell>
          <cell r="K3648">
            <v>0</v>
          </cell>
        </row>
        <row r="3649">
          <cell r="J3649">
            <v>0</v>
          </cell>
          <cell r="K3649">
            <v>0</v>
          </cell>
        </row>
        <row r="3650">
          <cell r="J3650">
            <v>0</v>
          </cell>
          <cell r="K3650">
            <v>0</v>
          </cell>
        </row>
        <row r="3651">
          <cell r="J3651">
            <v>0</v>
          </cell>
          <cell r="K3651">
            <v>0</v>
          </cell>
        </row>
        <row r="3652">
          <cell r="J3652">
            <v>0</v>
          </cell>
          <cell r="K3652">
            <v>0</v>
          </cell>
        </row>
        <row r="3653">
          <cell r="J3653">
            <v>0</v>
          </cell>
          <cell r="K3653">
            <v>0</v>
          </cell>
        </row>
        <row r="3654">
          <cell r="J3654">
            <v>0</v>
          </cell>
          <cell r="K3654">
            <v>0</v>
          </cell>
        </row>
        <row r="3655">
          <cell r="J3655">
            <v>0</v>
          </cell>
          <cell r="K3655">
            <v>0</v>
          </cell>
        </row>
        <row r="3656">
          <cell r="J3656">
            <v>0</v>
          </cell>
          <cell r="K3656">
            <v>0</v>
          </cell>
        </row>
        <row r="3657">
          <cell r="J3657">
            <v>0</v>
          </cell>
          <cell r="K3657">
            <v>0</v>
          </cell>
        </row>
        <row r="3658">
          <cell r="J3658">
            <v>0</v>
          </cell>
          <cell r="K3658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5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199 - Tabela Referencial Junho 2015 com desoneração</v>
          </cell>
          <cell r="B1">
            <v>0</v>
          </cell>
          <cell r="C1">
            <v>0</v>
          </cell>
          <cell r="D1">
            <v>0</v>
          </cell>
          <cell r="E1" t="str">
            <v>DataBase:Junho/2015</v>
          </cell>
        </row>
        <row r="2">
          <cell r="A2" t="str">
            <v>Valores com BDI de 29,63%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Serviço</v>
          </cell>
          <cell r="C3" t="str">
            <v>Unidade</v>
          </cell>
          <cell r="D3" t="str">
            <v>Preço Unitário</v>
          </cell>
          <cell r="E3" t="str">
            <v>Transporte</v>
          </cell>
        </row>
        <row r="4">
          <cell r="A4" t="str">
            <v>Grupo de Serviço: 1 - TERRAPLENAGEM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43339</v>
          </cell>
          <cell r="B5" t="str">
            <v>Capina manual inclusive limpeza</v>
          </cell>
          <cell r="C5" t="str">
            <v>m²</v>
          </cell>
          <cell r="D5" t="str">
            <v>0,53</v>
          </cell>
          <cell r="E5">
            <v>0</v>
          </cell>
        </row>
        <row r="6">
          <cell r="A6">
            <v>41099</v>
          </cell>
          <cell r="B6" t="str">
            <v>Carga de escoria de aciaria de vagão ferroviário supervisionado</v>
          </cell>
          <cell r="C6" t="str">
            <v>m³</v>
          </cell>
          <cell r="D6" t="str">
            <v>4,78</v>
          </cell>
          <cell r="E6">
            <v>0</v>
          </cell>
        </row>
        <row r="7">
          <cell r="A7">
            <v>40224</v>
          </cell>
          <cell r="B7" t="str">
            <v>Carga de material de 1ª categoria</v>
          </cell>
          <cell r="C7" t="str">
            <v>m³</v>
          </cell>
          <cell r="D7" t="str">
            <v>2,48</v>
          </cell>
          <cell r="E7">
            <v>0</v>
          </cell>
        </row>
        <row r="8">
          <cell r="A8">
            <v>40225</v>
          </cell>
          <cell r="B8" t="str">
            <v>Carga de material de 2ª categoria (solo, areia, brita, excl. rocha escavada)</v>
          </cell>
          <cell r="C8" t="str">
            <v>m³</v>
          </cell>
          <cell r="D8" t="str">
            <v>3,20</v>
          </cell>
          <cell r="E8">
            <v>0</v>
          </cell>
        </row>
        <row r="9">
          <cell r="A9">
            <v>40226</v>
          </cell>
          <cell r="B9" t="str">
            <v>Carga de material de 3ª categoria (rocha)</v>
          </cell>
          <cell r="C9" t="str">
            <v>m³</v>
          </cell>
          <cell r="D9" t="str">
            <v>4,78</v>
          </cell>
          <cell r="E9">
            <v>0</v>
          </cell>
        </row>
        <row r="10">
          <cell r="A10">
            <v>40996</v>
          </cell>
          <cell r="B10" t="str">
            <v>Carga, transporte e espalhamento de material decapado para ser usado como manutenção do Caminho de Serviço(DMT-&gt;0,500KM)</v>
          </cell>
          <cell r="C10" t="str">
            <v>m³</v>
          </cell>
          <cell r="D10" t="str">
            <v>4,60</v>
          </cell>
          <cell r="E10">
            <v>0</v>
          </cell>
        </row>
        <row r="11">
          <cell r="A11">
            <v>40229</v>
          </cell>
          <cell r="B11" t="str">
            <v>Compactação de aterros em rocha</v>
          </cell>
          <cell r="C11" t="str">
            <v>m³</v>
          </cell>
          <cell r="D11" t="str">
            <v>5,21</v>
          </cell>
          <cell r="E11">
            <v>0</v>
          </cell>
        </row>
        <row r="12">
          <cell r="A12">
            <v>43340</v>
          </cell>
          <cell r="B12" t="str">
            <v>Compactação de aterros 100% P.I.</v>
          </cell>
          <cell r="C12" t="str">
            <v>m³</v>
          </cell>
          <cell r="D12" t="str">
            <v>5,09</v>
          </cell>
          <cell r="E12">
            <v>0</v>
          </cell>
        </row>
        <row r="13">
          <cell r="A13">
            <v>40228</v>
          </cell>
          <cell r="B13" t="str">
            <v>Compactação de aterros 100% PN</v>
          </cell>
          <cell r="C13" t="str">
            <v>m³</v>
          </cell>
          <cell r="D13" t="str">
            <v>3,95</v>
          </cell>
          <cell r="E13">
            <v>0</v>
          </cell>
        </row>
        <row r="14">
          <cell r="A14">
            <v>42227</v>
          </cell>
          <cell r="B14" t="str">
            <v>Decapagem de pedreira, 1ª categoria, com escavadeira</v>
          </cell>
          <cell r="C14" t="str">
            <v>m³</v>
          </cell>
          <cell r="D14" t="str">
            <v>3,72</v>
          </cell>
          <cell r="E14">
            <v>0</v>
          </cell>
        </row>
        <row r="15">
          <cell r="A15">
            <v>40994</v>
          </cell>
          <cell r="B15" t="str">
            <v>Decapagem de pedreira, 1ª categoria, com trator de esteiras</v>
          </cell>
          <cell r="C15" t="str">
            <v>m³</v>
          </cell>
          <cell r="D15" t="str">
            <v>4,52</v>
          </cell>
          <cell r="E15">
            <v>0</v>
          </cell>
        </row>
        <row r="16">
          <cell r="A16">
            <v>42940</v>
          </cell>
          <cell r="B16" t="str">
            <v>Demolição de material de 3ª categoria com fio diamantado</v>
          </cell>
          <cell r="C16" t="str">
            <v>m³</v>
          </cell>
          <cell r="D16" t="str">
            <v>188,30</v>
          </cell>
          <cell r="E16">
            <v>0</v>
          </cell>
        </row>
        <row r="17">
          <cell r="A17">
            <v>41047</v>
          </cell>
          <cell r="B17" t="str">
            <v>Demolição de rocha a frio, até altura de 3,0m, com argamassa expansiva, inclusive remoção com escavadeira</v>
          </cell>
          <cell r="C17" t="str">
            <v>m³</v>
          </cell>
          <cell r="D17" t="str">
            <v>337,50</v>
          </cell>
          <cell r="E17">
            <v>0</v>
          </cell>
        </row>
        <row r="18">
          <cell r="A18">
            <v>41048</v>
          </cell>
          <cell r="B18" t="str">
            <v>Demolição de rocha a frio até 3 metros com utilização de argamassa expansiva, inclusive remoção com trator de esteiras</v>
          </cell>
          <cell r="C18" t="str">
            <v>m³</v>
          </cell>
          <cell r="D18" t="str">
            <v>301,64</v>
          </cell>
          <cell r="E18">
            <v>0</v>
          </cell>
        </row>
        <row r="19">
          <cell r="A19">
            <v>40217</v>
          </cell>
          <cell r="B19" t="str">
            <v>Desmonte de rocha</v>
          </cell>
          <cell r="C19" t="str">
            <v>m³</v>
          </cell>
          <cell r="D19" t="str">
            <v>34,01</v>
          </cell>
          <cell r="E19">
            <v>0</v>
          </cell>
        </row>
        <row r="20">
          <cell r="A20">
            <v>40172</v>
          </cell>
          <cell r="B20" t="str">
            <v>Destocamento de árvores com diâmetro &gt; 30 cm, com trator de esteira</v>
          </cell>
          <cell r="C20" t="str">
            <v>un</v>
          </cell>
          <cell r="D20" t="str">
            <v>20,92</v>
          </cell>
          <cell r="E20">
            <v>0</v>
          </cell>
        </row>
        <row r="21">
          <cell r="A21">
            <v>40171</v>
          </cell>
          <cell r="B21" t="str">
            <v>Destocamento de árvores com diâmetro de 15 a 30 cm, com trator de esteira</v>
          </cell>
          <cell r="C21" t="str">
            <v>un</v>
          </cell>
          <cell r="D21" t="str">
            <v>10,46</v>
          </cell>
          <cell r="E21">
            <v>0</v>
          </cell>
        </row>
        <row r="22">
          <cell r="A22">
            <v>42225</v>
          </cell>
          <cell r="B22" t="str">
            <v>Escalonamento de taludes com escavadeira</v>
          </cell>
          <cell r="C22" t="str">
            <v>m³</v>
          </cell>
          <cell r="D22" t="str">
            <v>6,23</v>
          </cell>
          <cell r="E22">
            <v>0</v>
          </cell>
        </row>
        <row r="23">
          <cell r="A23">
            <v>40178</v>
          </cell>
          <cell r="B23" t="str">
            <v>Escalonamento de taludes, com trator de esteiras</v>
          </cell>
          <cell r="C23" t="str">
            <v>m³</v>
          </cell>
          <cell r="D23" t="str">
            <v>6,44</v>
          </cell>
          <cell r="E23">
            <v>0</v>
          </cell>
        </row>
        <row r="24">
          <cell r="A24">
            <v>40179</v>
          </cell>
          <cell r="B24" t="str">
            <v>Escavação, carga e transporte de material de 1ª cat. até 200 m com moto-escavo-transportador</v>
          </cell>
          <cell r="C24" t="str">
            <v>m³</v>
          </cell>
          <cell r="D24" t="str">
            <v>10,16</v>
          </cell>
          <cell r="E24">
            <v>0</v>
          </cell>
        </row>
        <row r="25">
          <cell r="A25">
            <v>40184</v>
          </cell>
          <cell r="B25" t="str">
            <v>Escavação, carga e transporte de material de 1ª cat. 1000 a 1200 m com moto-escavo-transportador</v>
          </cell>
          <cell r="C25" t="str">
            <v>m³</v>
          </cell>
          <cell r="D25" t="str">
            <v>17,61</v>
          </cell>
          <cell r="E25">
            <v>0</v>
          </cell>
        </row>
        <row r="26">
          <cell r="A26">
            <v>40180</v>
          </cell>
          <cell r="B26" t="str">
            <v>Escavação, carga e transporte de material de 1ª cat. 200 a 400 m com moto-escavo-transportador</v>
          </cell>
          <cell r="C26" t="str">
            <v>m³</v>
          </cell>
          <cell r="D26" t="str">
            <v>11,67</v>
          </cell>
          <cell r="E26">
            <v>0</v>
          </cell>
        </row>
        <row r="27">
          <cell r="A27">
            <v>40181</v>
          </cell>
          <cell r="B27" t="str">
            <v>Escavação, carga e transporte de material de 1ª cat. 400 a 600 m com moto-escavo-transportador</v>
          </cell>
          <cell r="C27" t="str">
            <v>m³</v>
          </cell>
          <cell r="D27" t="str">
            <v>13,09</v>
          </cell>
          <cell r="E27">
            <v>0</v>
          </cell>
        </row>
        <row r="28">
          <cell r="A28">
            <v>40182</v>
          </cell>
          <cell r="B28" t="str">
            <v>Escavação, carga e transporte de material de 1ª cat. 600 a 800 m com moto-escavo-transportador</v>
          </cell>
          <cell r="C28" t="str">
            <v>m³</v>
          </cell>
          <cell r="D28" t="str">
            <v>15,01</v>
          </cell>
          <cell r="E28">
            <v>0</v>
          </cell>
        </row>
        <row r="29">
          <cell r="A29">
            <v>40183</v>
          </cell>
          <cell r="B29" t="str">
            <v>Escavação, carga e transporte de material de 1ª cat. 800 a 1000 m com moto-escavo-transportador</v>
          </cell>
          <cell r="C29" t="str">
            <v>m³</v>
          </cell>
          <cell r="D29" t="str">
            <v>15,84</v>
          </cell>
          <cell r="E29">
            <v>0</v>
          </cell>
        </row>
        <row r="30">
          <cell r="A30">
            <v>40191</v>
          </cell>
          <cell r="B30" t="str">
            <v>Escavação, carga e transporte de material de 2ª cat. até 200 m com moto-escavo-transportador</v>
          </cell>
          <cell r="C30" t="str">
            <v>m³</v>
          </cell>
          <cell r="D30" t="str">
            <v>15,49</v>
          </cell>
          <cell r="E30">
            <v>0</v>
          </cell>
        </row>
        <row r="31">
          <cell r="A31">
            <v>40196</v>
          </cell>
          <cell r="B31" t="str">
            <v>Escavação, carga e transporte de material de 2ª cat. 1000 a 1200 m com moto-escavo-transportador</v>
          </cell>
          <cell r="C31" t="str">
            <v>m³</v>
          </cell>
          <cell r="D31" t="str">
            <v>24,31</v>
          </cell>
          <cell r="E31">
            <v>0</v>
          </cell>
        </row>
        <row r="32">
          <cell r="A32">
            <v>40192</v>
          </cell>
          <cell r="B32" t="str">
            <v>Escavação, carga e transporte de material de 2ª cat. 200 a 400 m com moto-escavo-transportador</v>
          </cell>
          <cell r="C32" t="str">
            <v>m³</v>
          </cell>
          <cell r="D32" t="str">
            <v>16,74</v>
          </cell>
          <cell r="E32">
            <v>0</v>
          </cell>
        </row>
        <row r="33">
          <cell r="A33">
            <v>40193</v>
          </cell>
          <cell r="B33" t="str">
            <v>Escavação, carga e transporte de material de 2ª cat. 400 a 600 m com moto-escavo-transportador</v>
          </cell>
          <cell r="C33" t="str">
            <v>m³</v>
          </cell>
          <cell r="D33" t="str">
            <v>18,27</v>
          </cell>
          <cell r="E33">
            <v>0</v>
          </cell>
        </row>
        <row r="34">
          <cell r="A34">
            <v>40194</v>
          </cell>
          <cell r="B34" t="str">
            <v>Escavação, carga e transporte de material de 2ª cat. 600 a 800 m com moto-escavo-transportador</v>
          </cell>
          <cell r="C34" t="str">
            <v>m³</v>
          </cell>
          <cell r="D34" t="str">
            <v>20,89</v>
          </cell>
          <cell r="E34">
            <v>0</v>
          </cell>
        </row>
        <row r="35">
          <cell r="A35">
            <v>40195</v>
          </cell>
          <cell r="B35" t="str">
            <v>Escavação, carga e transporte de material de 2ª cat. 800 a 1000 m com moto-escavo-transportador</v>
          </cell>
          <cell r="C35" t="str">
            <v>m³</v>
          </cell>
          <cell r="D35" t="str">
            <v>22,28</v>
          </cell>
          <cell r="E35">
            <v>0</v>
          </cell>
        </row>
        <row r="36">
          <cell r="A36">
            <v>40220</v>
          </cell>
          <cell r="B36" t="str">
            <v>Escavação e carga de material de barreira (remoção)</v>
          </cell>
          <cell r="C36" t="str">
            <v>m³</v>
          </cell>
          <cell r="D36" t="str">
            <v>7,63</v>
          </cell>
          <cell r="E36">
            <v>0</v>
          </cell>
        </row>
        <row r="37">
          <cell r="A37">
            <v>40230</v>
          </cell>
          <cell r="B37" t="str">
            <v>Escavação e carga de material de 1ª categoria com escavadeira</v>
          </cell>
          <cell r="C37" t="str">
            <v>m³</v>
          </cell>
          <cell r="D37" t="str">
            <v>2,64</v>
          </cell>
          <cell r="E37">
            <v>0</v>
          </cell>
        </row>
        <row r="38">
          <cell r="A38">
            <v>40221</v>
          </cell>
          <cell r="B38" t="str">
            <v>Escavação e carga de material de 1ª categoria, com trator de esteira e pá carregadeira</v>
          </cell>
          <cell r="C38" t="str">
            <v>m³</v>
          </cell>
          <cell r="D38" t="str">
            <v>6,50</v>
          </cell>
          <cell r="E38">
            <v>0</v>
          </cell>
        </row>
        <row r="39">
          <cell r="A39">
            <v>40231</v>
          </cell>
          <cell r="B39" t="str">
            <v>Escavação e carga de material de 2ª categoria com escavadeira</v>
          </cell>
          <cell r="C39" t="str">
            <v>m³</v>
          </cell>
          <cell r="D39" t="str">
            <v>3,90</v>
          </cell>
          <cell r="E39">
            <v>0</v>
          </cell>
        </row>
        <row r="40">
          <cell r="A40">
            <v>40222</v>
          </cell>
          <cell r="B40" t="str">
            <v>Escavação e carga de material de 2ª categoria, com trator de esteira e pá carregadeira</v>
          </cell>
          <cell r="C40" t="str">
            <v>m³</v>
          </cell>
          <cell r="D40" t="str">
            <v>9,56</v>
          </cell>
          <cell r="E40">
            <v>0</v>
          </cell>
        </row>
        <row r="41">
          <cell r="A41">
            <v>40216</v>
          </cell>
          <cell r="B41" t="str">
            <v>Escavação e carga de material de 3ª categoria (fogo controlado)</v>
          </cell>
          <cell r="C41" t="str">
            <v>m³</v>
          </cell>
          <cell r="D41" t="str">
            <v>80,20</v>
          </cell>
          <cell r="E41">
            <v>0</v>
          </cell>
        </row>
        <row r="42">
          <cell r="A42">
            <v>40223</v>
          </cell>
          <cell r="B42" t="str">
            <v>Escavação e carga de material de 3ª categoria (H bancada &gt;1,0 m)</v>
          </cell>
          <cell r="C42" t="str">
            <v>m³</v>
          </cell>
          <cell r="D42" t="str">
            <v>33,09</v>
          </cell>
          <cell r="E42">
            <v>0</v>
          </cell>
        </row>
        <row r="43">
          <cell r="A43">
            <v>43335</v>
          </cell>
          <cell r="B43" t="str">
            <v>Espalhamento / regularização / compactação de material em bota-fora</v>
          </cell>
          <cell r="C43" t="str">
            <v>m³</v>
          </cell>
          <cell r="D43" t="str">
            <v>2,13</v>
          </cell>
          <cell r="E43">
            <v>0</v>
          </cell>
        </row>
        <row r="44">
          <cell r="A44">
            <v>42547</v>
          </cell>
          <cell r="B44" t="str">
            <v>Espalhamento de material de 1ª categoria com motoniveladora</v>
          </cell>
          <cell r="C44" t="str">
            <v>m³</v>
          </cell>
          <cell r="D44" t="str">
            <v>1,36</v>
          </cell>
          <cell r="E44">
            <v>0</v>
          </cell>
        </row>
        <row r="45">
          <cell r="A45">
            <v>40177</v>
          </cell>
          <cell r="B45" t="str">
            <v>Espalhamento de material de 1ª categoria com trator de esteiras</v>
          </cell>
          <cell r="C45" t="str">
            <v>m³</v>
          </cell>
          <cell r="D45" t="str">
            <v>3,62</v>
          </cell>
          <cell r="E45">
            <v>0</v>
          </cell>
        </row>
        <row r="46">
          <cell r="A46">
            <v>41056</v>
          </cell>
          <cell r="B46" t="str">
            <v>Forro de regularização sobre plataforma de enrocamento para tráfego de caminhões, inclusive fornecimento do pó de pedra e da pedra demão</v>
          </cell>
          <cell r="C46" t="str">
            <v>m³</v>
          </cell>
          <cell r="D46" t="str">
            <v>72,76</v>
          </cell>
          <cell r="E46">
            <v>0</v>
          </cell>
        </row>
        <row r="47">
          <cell r="A47">
            <v>40218</v>
          </cell>
          <cell r="B47" t="str">
            <v>Fragmentação de rocha (fogacheamento)</v>
          </cell>
          <cell r="C47" t="str">
            <v>m³</v>
          </cell>
          <cell r="D47" t="str">
            <v>47,47</v>
          </cell>
          <cell r="E47">
            <v>0</v>
          </cell>
        </row>
        <row r="48">
          <cell r="A48">
            <v>40170</v>
          </cell>
          <cell r="B48" t="str">
            <v>Limpeza de acostamento</v>
          </cell>
          <cell r="C48" t="str">
            <v>m²</v>
          </cell>
          <cell r="D48" t="str">
            <v>0,54</v>
          </cell>
          <cell r="E48">
            <v>0</v>
          </cell>
        </row>
        <row r="49">
          <cell r="A49">
            <v>40167</v>
          </cell>
          <cell r="B49" t="str">
            <v>Limpeza, desmatamento e destocamento de árvores com diâmetro até 15 cm, com trator de esteira</v>
          </cell>
          <cell r="C49" t="str">
            <v>m²</v>
          </cell>
          <cell r="D49" t="str">
            <v>0,40</v>
          </cell>
          <cell r="E49">
            <v>0</v>
          </cell>
        </row>
        <row r="50">
          <cell r="A50">
            <v>40168</v>
          </cell>
          <cell r="B50" t="str">
            <v>Limpeza, desmatamento e destocamento de jazida com remoçao 15 cm solo orgânico</v>
          </cell>
          <cell r="C50" t="str">
            <v>m²</v>
          </cell>
          <cell r="D50" t="str">
            <v>1,91</v>
          </cell>
          <cell r="E50">
            <v>0</v>
          </cell>
        </row>
        <row r="51">
          <cell r="A51">
            <v>40169</v>
          </cell>
          <cell r="B51" t="str">
            <v>Limpeza e desmatamento em área alagada (pântano) com ferramentas manuais, inclusive moto serra</v>
          </cell>
          <cell r="C51" t="str">
            <v>m²</v>
          </cell>
          <cell r="D51" t="str">
            <v>6,70</v>
          </cell>
          <cell r="E51">
            <v>0</v>
          </cell>
        </row>
        <row r="52">
          <cell r="A52">
            <v>40219</v>
          </cell>
          <cell r="B52" t="str">
            <v>Pré-fissuramento de taludes de rocha</v>
          </cell>
          <cell r="C52" t="str">
            <v>m²</v>
          </cell>
          <cell r="D52" t="str">
            <v>25,73</v>
          </cell>
          <cell r="E52">
            <v>0</v>
          </cell>
        </row>
        <row r="53">
          <cell r="A53">
            <v>41095</v>
          </cell>
          <cell r="B53" t="str">
            <v>Remoção de solos moles, incluindo carregamento mecânico com escavadeira hidráulica</v>
          </cell>
          <cell r="C53" t="str">
            <v>m³</v>
          </cell>
          <cell r="D53" t="str">
            <v>19,41</v>
          </cell>
          <cell r="E53">
            <v>0</v>
          </cell>
        </row>
        <row r="54">
          <cell r="A54">
            <v>43352</v>
          </cell>
          <cell r="B54" t="str">
            <v>Roçada manual com roçadeira costal, ferramentas manuais, inclusive limpeza e remoção com retroescavadeira</v>
          </cell>
          <cell r="C54" t="str">
            <v>m²</v>
          </cell>
          <cell r="D54" t="str">
            <v>0,44</v>
          </cell>
          <cell r="E54">
            <v>0</v>
          </cell>
        </row>
        <row r="55">
          <cell r="A55">
            <v>43338</v>
          </cell>
          <cell r="B55" t="str">
            <v>Roçada manual com roçadeira costal, ferramentas manuais, inclusive limpeza manual</v>
          </cell>
          <cell r="C55" t="str">
            <v>m²</v>
          </cell>
          <cell r="D55" t="str">
            <v>0,37</v>
          </cell>
          <cell r="E55">
            <v>0</v>
          </cell>
        </row>
        <row r="56">
          <cell r="A56">
            <v>40166</v>
          </cell>
          <cell r="B56" t="str">
            <v>Roçada mecânica</v>
          </cell>
          <cell r="C56" t="str">
            <v>m²</v>
          </cell>
          <cell r="D56" t="str">
            <v>0,14</v>
          </cell>
          <cell r="E56">
            <v>0</v>
          </cell>
        </row>
        <row r="57">
          <cell r="A57">
            <v>41326</v>
          </cell>
          <cell r="B57" t="str">
            <v>Transporte horizontal com trator de lâmina de material de 1ª cat. DMTaté 50m</v>
          </cell>
          <cell r="C57" t="str">
            <v>m³</v>
          </cell>
          <cell r="D57" t="str">
            <v>4,38</v>
          </cell>
          <cell r="E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e">
            <v>#N/A</v>
          </cell>
        </row>
        <row r="59">
          <cell r="A59" t="str">
            <v>Grupo de Serviço: 2 - PAVIMENTAÇÃO</v>
          </cell>
          <cell r="B59">
            <v>0</v>
          </cell>
          <cell r="C59">
            <v>0</v>
          </cell>
          <cell r="E59" t="e">
            <v>#N/A</v>
          </cell>
        </row>
        <row r="60">
          <cell r="A60">
            <v>40801</v>
          </cell>
          <cell r="B60" t="str">
            <v>Base com mistura de argila, areia e escória de aciaria, 30%,30%,40%, inclusive fornecim. transp.areia e escória, exclusive fornecim. transp. da argila</v>
          </cell>
          <cell r="C60" t="str">
            <v>m³</v>
          </cell>
          <cell r="D60" t="str">
            <v>81,78</v>
          </cell>
          <cell r="E60" t="str">
            <v>A incluir</v>
          </cell>
        </row>
        <row r="61">
          <cell r="A61">
            <v>40799</v>
          </cell>
          <cell r="B61" t="str">
            <v>Base com mistura de argila, areia e escória de aciaria, 50%,20%,30%, inclusive fornecim.e transp. areia e escória, exclusive fornecim. e transp.argila</v>
          </cell>
          <cell r="C61" t="str">
            <v>m³</v>
          </cell>
          <cell r="D61" t="str">
            <v>64,14</v>
          </cell>
          <cell r="E61" t="str">
            <v>A incluir</v>
          </cell>
        </row>
        <row r="62">
          <cell r="A62">
            <v>40793</v>
          </cell>
          <cell r="B62" t="str">
            <v>Base com mistura de argila 30%, pó de pedra 30% e brita 40%, inclusive fornecimento e transporte do pó de pedra e da brita</v>
          </cell>
          <cell r="C62" t="str">
            <v>m³</v>
          </cell>
          <cell r="D62" t="str">
            <v>76,39</v>
          </cell>
          <cell r="E62" t="str">
            <v>A incluir</v>
          </cell>
        </row>
        <row r="63">
          <cell r="A63">
            <v>40797</v>
          </cell>
          <cell r="B63" t="str">
            <v>Base com mistura de argila 70% e escória de aciaria 30%, inclusive fornecim. e transporte da escória, exclusive fornecimento e transporte da argila</v>
          </cell>
          <cell r="C63" t="str">
            <v>m³</v>
          </cell>
          <cell r="D63" t="str">
            <v>40,40</v>
          </cell>
          <cell r="E63" t="str">
            <v>A incluir</v>
          </cell>
        </row>
        <row r="64">
          <cell r="A64">
            <v>41157</v>
          </cell>
          <cell r="B64" t="str">
            <v>Base com mistura de Saibro, Argila e Brita, 45%, 15% e 40%, exclusive transporte</v>
          </cell>
          <cell r="C64" t="str">
            <v>m³</v>
          </cell>
          <cell r="D64" t="str">
            <v>46,96</v>
          </cell>
          <cell r="E64">
            <v>0</v>
          </cell>
        </row>
        <row r="65">
          <cell r="A65">
            <v>40795</v>
          </cell>
          <cell r="B65" t="str">
            <v>Base com mistura de solo 80% e areia 20%, inclusive transporte da areia</v>
          </cell>
          <cell r="C65" t="str">
            <v>m³</v>
          </cell>
          <cell r="D65" t="str">
            <v>38,44</v>
          </cell>
          <cell r="E65" t="str">
            <v>A incluir</v>
          </cell>
        </row>
        <row r="66">
          <cell r="A66">
            <v>40787</v>
          </cell>
          <cell r="B66" t="str">
            <v>Base de brita graduada, inclusive fornecimento e transporte da brita</v>
          </cell>
          <cell r="C66" t="str">
            <v>m³</v>
          </cell>
          <cell r="D66" t="str">
            <v>104,09</v>
          </cell>
          <cell r="E66" t="str">
            <v>A incluir</v>
          </cell>
        </row>
        <row r="67">
          <cell r="A67">
            <v>40812</v>
          </cell>
          <cell r="B67" t="str">
            <v>Base de brita graduada, inclusive fornecimento, exclusive transporte da brita</v>
          </cell>
          <cell r="C67" t="str">
            <v>m³</v>
          </cell>
          <cell r="D67" t="str">
            <v>104,09</v>
          </cell>
          <cell r="E67">
            <v>0</v>
          </cell>
        </row>
        <row r="68">
          <cell r="A68">
            <v>42673</v>
          </cell>
          <cell r="B68" t="str">
            <v>Base de brita 1, inclusive fornecimento, exclusive transporte da brita</v>
          </cell>
          <cell r="C68" t="str">
            <v>m³</v>
          </cell>
          <cell r="D68" t="str">
            <v>101,27</v>
          </cell>
          <cell r="E68">
            <v>0</v>
          </cell>
        </row>
        <row r="69">
          <cell r="A69">
            <v>40803</v>
          </cell>
          <cell r="B69" t="str">
            <v>Base de escória de aciaria, inclusive fornecimento e transporte da escória</v>
          </cell>
          <cell r="C69" t="str">
            <v>m³</v>
          </cell>
          <cell r="D69" t="str">
            <v>85,41</v>
          </cell>
          <cell r="E69" t="str">
            <v>A incluir</v>
          </cell>
        </row>
        <row r="70">
          <cell r="A70">
            <v>41406</v>
          </cell>
          <cell r="B70" t="str">
            <v>Base de escória/argila na proporção 80:20, inclusive aquisição e transporte da escória, exclusive argila</v>
          </cell>
          <cell r="C70" t="str">
            <v>m³</v>
          </cell>
          <cell r="D70" t="str">
            <v>73,00</v>
          </cell>
          <cell r="E70" t="str">
            <v>A incluir</v>
          </cell>
        </row>
        <row r="71">
          <cell r="A71">
            <v>41100</v>
          </cell>
          <cell r="B71" t="str">
            <v>Base de escória/solo na proporção 75:25, inclusive fornecimento da escória, exceto fornecimento do solo e transporte do solo e escória</v>
          </cell>
          <cell r="C71" t="str">
            <v>m³</v>
          </cell>
          <cell r="D71" t="str">
            <v>69,75</v>
          </cell>
          <cell r="E71">
            <v>0</v>
          </cell>
        </row>
        <row r="72">
          <cell r="A72">
            <v>40979</v>
          </cell>
          <cell r="B72" t="str">
            <v>Base de solo brita, 20% em peso, inclusive fornecim. da brita, exclusive transporte da brita e do solo (100% P.IM)</v>
          </cell>
          <cell r="C72" t="str">
            <v>m³</v>
          </cell>
          <cell r="D72" t="str">
            <v>42,02</v>
          </cell>
          <cell r="E72">
            <v>0</v>
          </cell>
        </row>
        <row r="73">
          <cell r="A73">
            <v>40815</v>
          </cell>
          <cell r="B73" t="str">
            <v>Base de solo brita, 40% em peso, inclusive fornecimento, exclusive transporte da brita</v>
          </cell>
          <cell r="C73" t="str">
            <v>m³</v>
          </cell>
          <cell r="D73" t="str">
            <v>55,85</v>
          </cell>
          <cell r="E73">
            <v>0</v>
          </cell>
        </row>
        <row r="74">
          <cell r="A74">
            <v>40809</v>
          </cell>
          <cell r="B74" t="str">
            <v>Base de solo brita, 50% em peso, inclusive fornecimento, exclusive transporte da brita</v>
          </cell>
          <cell r="C74" t="str">
            <v>m³</v>
          </cell>
          <cell r="D74" t="str">
            <v>65,17</v>
          </cell>
          <cell r="E74">
            <v>0</v>
          </cell>
        </row>
        <row r="75">
          <cell r="A75">
            <v>40810</v>
          </cell>
          <cell r="B75" t="str">
            <v>Base de solo brita, 70% em peso, inclusive fornecimento, exclusive transporte da brita</v>
          </cell>
          <cell r="C75" t="str">
            <v>m³</v>
          </cell>
          <cell r="D75" t="str">
            <v>83,88</v>
          </cell>
          <cell r="E75">
            <v>0</v>
          </cell>
        </row>
        <row r="76">
          <cell r="A76">
            <v>41097</v>
          </cell>
          <cell r="B76" t="str">
            <v>Base de solo brita, 80% em peso, inclusive fornecimento e transporte da brita</v>
          </cell>
          <cell r="C76" t="str">
            <v>m³</v>
          </cell>
          <cell r="D76" t="str">
            <v>95,18</v>
          </cell>
          <cell r="E76" t="str">
            <v>A incluir</v>
          </cell>
        </row>
        <row r="77">
          <cell r="A77">
            <v>41364</v>
          </cell>
          <cell r="B77" t="str">
            <v>Base estabilizada granulométricamente. com mistura de escória de aciaria 80% e argila exceto fornecimento da argila e transporte da argila e escória</v>
          </cell>
          <cell r="C77" t="str">
            <v>m³</v>
          </cell>
          <cell r="D77" t="str">
            <v>73,00</v>
          </cell>
          <cell r="E77">
            <v>0</v>
          </cell>
        </row>
        <row r="78">
          <cell r="A78">
            <v>40777</v>
          </cell>
          <cell r="B78" t="str">
            <v>Base solo brita, 20% em peso, inclusive fornecimento e transporte da brita</v>
          </cell>
          <cell r="C78" t="str">
            <v>m³</v>
          </cell>
          <cell r="D78" t="str">
            <v>37,34</v>
          </cell>
          <cell r="E78" t="str">
            <v>A incluir</v>
          </cell>
        </row>
        <row r="79">
          <cell r="A79">
            <v>40779</v>
          </cell>
          <cell r="B79" t="str">
            <v>Base solo brita, 30% em peso, inclusive fornecimento e transporte da brita</v>
          </cell>
          <cell r="C79" t="str">
            <v>m³</v>
          </cell>
          <cell r="D79" t="str">
            <v>44,60</v>
          </cell>
          <cell r="E79" t="str">
            <v>A incluir</v>
          </cell>
        </row>
        <row r="80">
          <cell r="A80">
            <v>40781</v>
          </cell>
          <cell r="B80" t="str">
            <v>Base solo brita, 50% em peso, inclusive fornecimento e transporte da brita</v>
          </cell>
          <cell r="C80" t="str">
            <v>m³</v>
          </cell>
          <cell r="D80" t="str">
            <v>65,17</v>
          </cell>
          <cell r="E80" t="str">
            <v>A incluir</v>
          </cell>
        </row>
        <row r="81">
          <cell r="A81">
            <v>40783</v>
          </cell>
          <cell r="B81" t="str">
            <v>Base solo brita, 70% em peso, inclusive fornecimento e transporte da brita</v>
          </cell>
          <cell r="C81" t="str">
            <v>m³</v>
          </cell>
          <cell r="D81" t="str">
            <v>83,88</v>
          </cell>
          <cell r="E81" t="str">
            <v>A incluir</v>
          </cell>
        </row>
        <row r="82">
          <cell r="A82">
            <v>41366</v>
          </cell>
          <cell r="B82" t="str">
            <v>Base solo brita, 80% em peso, inclusive fornecimento, exclusive transporte da brita</v>
          </cell>
          <cell r="C82" t="str">
            <v>m³</v>
          </cell>
          <cell r="D82" t="str">
            <v>95,18</v>
          </cell>
          <cell r="E82">
            <v>0</v>
          </cell>
        </row>
        <row r="83">
          <cell r="A83">
            <v>40834</v>
          </cell>
          <cell r="B83" t="str">
            <v>Capa selante (emulsão e areia) exclusive fornecimento e transporte comercial da emulsão, inclusive transporte da areia</v>
          </cell>
          <cell r="C83" t="str">
            <v>m²</v>
          </cell>
          <cell r="D83" t="str">
            <v>1,51</v>
          </cell>
          <cell r="E83" t="str">
            <v>A incluir</v>
          </cell>
        </row>
        <row r="84">
          <cell r="A84">
            <v>40835</v>
          </cell>
          <cell r="B84" t="str">
            <v>Capa selante (emulsão e areia) inclusive fornecimento e transporte comercial da emulsão</v>
          </cell>
          <cell r="C84" t="str">
            <v>m²</v>
          </cell>
          <cell r="D84" t="str">
            <v>2,20</v>
          </cell>
          <cell r="E84" t="str">
            <v>A incluir</v>
          </cell>
        </row>
        <row r="85">
          <cell r="A85">
            <v>40841</v>
          </cell>
          <cell r="B85" t="str">
            <v>CBUQ (camada pronta - binder) exclusive fornecimento e transportes do CAP e massa, inclusive fornecimento e transporte da brita e pó de pedra</v>
          </cell>
          <cell r="C85" t="str">
            <v>t</v>
          </cell>
          <cell r="D85" t="str">
            <v>94,72</v>
          </cell>
          <cell r="E85" t="str">
            <v>A incluir</v>
          </cell>
        </row>
        <row r="86">
          <cell r="A86">
            <v>40842</v>
          </cell>
          <cell r="B86" t="str">
            <v>CBUQ (camada pronta - binder) inclusive fornecimento e transporte comercial do CAP, exclusive transporte da massa</v>
          </cell>
          <cell r="C86" t="str">
            <v>t</v>
          </cell>
          <cell r="D86" t="str">
            <v>209,06</v>
          </cell>
          <cell r="E86" t="str">
            <v>A incluir</v>
          </cell>
        </row>
        <row r="87">
          <cell r="A87">
            <v>40843</v>
          </cell>
          <cell r="B87" t="str">
            <v>CBUQ (camada pronta - capa) exclusive fornecimento e transportes do CAP e massa</v>
          </cell>
          <cell r="C87" t="str">
            <v>t</v>
          </cell>
          <cell r="D87" t="str">
            <v>97,98</v>
          </cell>
          <cell r="E87" t="str">
            <v>A incluir</v>
          </cell>
        </row>
        <row r="88">
          <cell r="A88">
            <v>40844</v>
          </cell>
          <cell r="B88" t="str">
            <v>CBUQ (camada pronta - capa) inclusive fornecimento e transporte comercial do CAP, exclusive transporte da massa</v>
          </cell>
          <cell r="C88" t="str">
            <v>t</v>
          </cell>
          <cell r="D88" t="str">
            <v>221,86</v>
          </cell>
          <cell r="E88" t="str">
            <v>A incluir</v>
          </cell>
        </row>
        <row r="89">
          <cell r="A89">
            <v>41112</v>
          </cell>
          <cell r="B89" t="str">
            <v>CBUQ (camada pronta Faixa "B" para revestimento) exclusive fornecimento do CAP e transp. de todos os materiais</v>
          </cell>
          <cell r="C89" t="str">
            <v>t</v>
          </cell>
          <cell r="D89" t="str">
            <v>92,85</v>
          </cell>
          <cell r="E89" t="str">
            <v>A incluir</v>
          </cell>
        </row>
        <row r="90">
          <cell r="A90">
            <v>43342</v>
          </cell>
          <cell r="B90" t="str">
            <v>CBUQ (camada pronta-faixa "C") , exclusive fornecimento do CAP e transporte de todos os materiais (traço padrão areia e brita)</v>
          </cell>
          <cell r="C90" t="str">
            <v>t</v>
          </cell>
          <cell r="D90" t="str">
            <v>99,90</v>
          </cell>
          <cell r="E90" t="str">
            <v>A incluir</v>
          </cell>
        </row>
        <row r="91">
          <cell r="A91">
            <v>40878</v>
          </cell>
          <cell r="B91" t="str">
            <v>CBUQ (camada pronta-faixa"C") exclusive fornecimento.do CAP e transporte de todos os materiais</v>
          </cell>
          <cell r="C91" t="str">
            <v>t</v>
          </cell>
          <cell r="D91" t="str">
            <v>98,54</v>
          </cell>
          <cell r="E91" t="str">
            <v>A incluir</v>
          </cell>
        </row>
        <row r="92">
          <cell r="A92">
            <v>40845</v>
          </cell>
          <cell r="B92" t="str">
            <v>CBUQ (massa asfáltica) exclusive fornecimento e transporte comercial do CAP</v>
          </cell>
          <cell r="C92" t="str">
            <v>t</v>
          </cell>
          <cell r="D92" t="str">
            <v>78,45</v>
          </cell>
          <cell r="E92" t="str">
            <v>A incluir</v>
          </cell>
        </row>
        <row r="93">
          <cell r="A93">
            <v>40846</v>
          </cell>
          <cell r="B93" t="str">
            <v>CBUQ (massa asfáltica) inclusive fornecimento e transporte comercial do CAP</v>
          </cell>
          <cell r="C93" t="str">
            <v>t</v>
          </cell>
          <cell r="D93" t="str">
            <v>202,32</v>
          </cell>
          <cell r="E93" t="str">
            <v>A incluir</v>
          </cell>
        </row>
        <row r="94">
          <cell r="A94">
            <v>40879</v>
          </cell>
          <cell r="B94" t="str">
            <v>CBUQ (massa asfáltica-faixa"C") exclusive fornecimento CAP e transporte de todos os materiais</v>
          </cell>
          <cell r="C94" t="str">
            <v>t</v>
          </cell>
          <cell r="D94" t="str">
            <v>79,00</v>
          </cell>
          <cell r="E94">
            <v>0</v>
          </cell>
        </row>
        <row r="95">
          <cell r="A95">
            <v>40877</v>
          </cell>
          <cell r="B95" t="str">
            <v>CBUQ (massa fina - faixa"D") exclusive fornecimento do CAP e transp.de todos os materiais</v>
          </cell>
          <cell r="C95" t="str">
            <v>t</v>
          </cell>
          <cell r="D95" t="str">
            <v>96,82</v>
          </cell>
          <cell r="E95" t="str">
            <v>A incluir</v>
          </cell>
        </row>
        <row r="96">
          <cell r="A96">
            <v>43341</v>
          </cell>
          <cell r="B96" t="str">
            <v>CBUQ (massa fina-faixa"D"), exclusive fornecimento do CAP e transporte de todos os materiais (traço padrão areia e brita)</v>
          </cell>
          <cell r="C96" t="str">
            <v>t</v>
          </cell>
          <cell r="D96" t="str">
            <v>98,47</v>
          </cell>
          <cell r="E96" t="str">
            <v>A incluir</v>
          </cell>
        </row>
        <row r="97">
          <cell r="A97">
            <v>40867</v>
          </cell>
          <cell r="B97" t="str">
            <v>Demolição e remoção de pavimento asfáltico</v>
          </cell>
          <cell r="C97" t="str">
            <v>m²</v>
          </cell>
          <cell r="D97" t="str">
            <v>2,20</v>
          </cell>
          <cell r="E97">
            <v>0</v>
          </cell>
        </row>
        <row r="98">
          <cell r="A98">
            <v>40763</v>
          </cell>
          <cell r="B98" t="str">
            <v>Escarificação de base H -&gt; 0,10m e capa asfáltica</v>
          </cell>
          <cell r="C98" t="str">
            <v>m²</v>
          </cell>
          <cell r="D98" t="str">
            <v>0,68</v>
          </cell>
          <cell r="E98">
            <v>0</v>
          </cell>
        </row>
        <row r="99">
          <cell r="A99">
            <v>40765</v>
          </cell>
          <cell r="B99" t="str">
            <v>Escarificação e compactação de base (100% P.I.) H-&gt;0,20m</v>
          </cell>
          <cell r="C99" t="str">
            <v>m²</v>
          </cell>
          <cell r="D99" t="str">
            <v>4,96</v>
          </cell>
          <cell r="E99">
            <v>0</v>
          </cell>
        </row>
        <row r="100">
          <cell r="A100">
            <v>40757</v>
          </cell>
          <cell r="B100" t="str">
            <v>Estabilização granulométrica de solo s/ mistura 100% P.I.</v>
          </cell>
          <cell r="C100" t="str">
            <v>m³</v>
          </cell>
          <cell r="D100" t="str">
            <v>15,08</v>
          </cell>
          <cell r="E100">
            <v>0</v>
          </cell>
        </row>
        <row r="101">
          <cell r="A101">
            <v>40758</v>
          </cell>
          <cell r="B101" t="str">
            <v>Estabilização granulométrica de solo s/ mistura 100% P.M.</v>
          </cell>
          <cell r="C101" t="str">
            <v>m³</v>
          </cell>
          <cell r="D101" t="str">
            <v>16,25</v>
          </cell>
          <cell r="E101">
            <v>0</v>
          </cell>
        </row>
        <row r="102">
          <cell r="A102">
            <v>40761</v>
          </cell>
          <cell r="B102" t="str">
            <v>Estabilização granulométrica de solos c/ mistura de areia na pista 100% P.M. (80%, 20%) exclusive transporte</v>
          </cell>
          <cell r="C102" t="str">
            <v>m³</v>
          </cell>
          <cell r="D102" t="str">
            <v>38,82</v>
          </cell>
          <cell r="E102">
            <v>0</v>
          </cell>
        </row>
        <row r="103">
          <cell r="A103">
            <v>40759</v>
          </cell>
          <cell r="B103" t="str">
            <v>Estabilização granulométrica de solos c/ mistura na pista 100 % P.I.</v>
          </cell>
          <cell r="C103" t="str">
            <v>m³</v>
          </cell>
          <cell r="D103" t="str">
            <v>16,56</v>
          </cell>
          <cell r="E103">
            <v>0</v>
          </cell>
        </row>
        <row r="104">
          <cell r="A104">
            <v>40760</v>
          </cell>
          <cell r="B104" t="str">
            <v>Estabilização granulométrica de solos c/ mistura na pista 100% P.M.</v>
          </cell>
          <cell r="C104" t="str">
            <v>m³</v>
          </cell>
          <cell r="D104" t="str">
            <v>17,03</v>
          </cell>
          <cell r="E104">
            <v>0</v>
          </cell>
        </row>
        <row r="105">
          <cell r="A105">
            <v>41069</v>
          </cell>
          <cell r="B105" t="str">
            <v>Fresagem de pavimento asfáltico a frio, esp. até 15cm, exclusive transporte de materiais</v>
          </cell>
          <cell r="C105" t="str">
            <v>m²</v>
          </cell>
          <cell r="D105" t="str">
            <v>7,58</v>
          </cell>
          <cell r="E105">
            <v>0</v>
          </cell>
        </row>
        <row r="106">
          <cell r="A106">
            <v>40985</v>
          </cell>
          <cell r="B106" t="str">
            <v>Fresagem de pavimento asfáltico a frio, esp-&gt;5cm, exclusive transporte de materiais</v>
          </cell>
          <cell r="C106" t="str">
            <v>m²</v>
          </cell>
          <cell r="D106" t="str">
            <v>6,57</v>
          </cell>
          <cell r="E106">
            <v>0</v>
          </cell>
        </row>
        <row r="107">
          <cell r="A107">
            <v>40868</v>
          </cell>
          <cell r="B107" t="str">
            <v>Fresagem de pavimento asfáltico a frio, esp.-&gt;5cm inclusive transporte do material</v>
          </cell>
          <cell r="C107" t="str">
            <v>m²</v>
          </cell>
          <cell r="D107" t="str">
            <v>10,29</v>
          </cell>
          <cell r="E107">
            <v>0</v>
          </cell>
        </row>
        <row r="108">
          <cell r="A108">
            <v>40816</v>
          </cell>
          <cell r="B108" t="str">
            <v>Imprimação exclusive fornecimento e transporte comercial do material betuminoso</v>
          </cell>
          <cell r="C108" t="str">
            <v>m²</v>
          </cell>
          <cell r="D108" t="str">
            <v>0,68</v>
          </cell>
          <cell r="E108">
            <v>0</v>
          </cell>
        </row>
        <row r="109">
          <cell r="A109">
            <v>40817</v>
          </cell>
          <cell r="B109" t="str">
            <v>Imprimação inclusive fornecimento e transporte comercial do material betuminoso</v>
          </cell>
          <cell r="C109" t="str">
            <v>m²</v>
          </cell>
          <cell r="D109" t="str">
            <v>3,94</v>
          </cell>
          <cell r="E109" t="str">
            <v>A incluir</v>
          </cell>
        </row>
        <row r="110">
          <cell r="A110">
            <v>40850</v>
          </cell>
          <cell r="B110" t="str">
            <v>Lama asfáltica (faixa I - ISSA) exclusive fornecimento e transporte comercial da emulsão</v>
          </cell>
          <cell r="C110" t="str">
            <v>m²</v>
          </cell>
          <cell r="D110" t="str">
            <v>1,32</v>
          </cell>
          <cell r="E110" t="str">
            <v>A incluir</v>
          </cell>
        </row>
        <row r="111">
          <cell r="A111">
            <v>40851</v>
          </cell>
          <cell r="B111" t="str">
            <v>Lama asfáltica (faixa I - ISSA) inclusive fornecimento e transporte comercial da emulsão</v>
          </cell>
          <cell r="C111" t="str">
            <v>m²</v>
          </cell>
          <cell r="D111" t="str">
            <v>2,60</v>
          </cell>
          <cell r="E111" t="str">
            <v>A incluir</v>
          </cell>
        </row>
        <row r="112">
          <cell r="A112">
            <v>40852</v>
          </cell>
          <cell r="B112" t="str">
            <v>Lama asfáltica (faixa II - ISSA) exclusive fornecimento e transporte comercial da emulsão</v>
          </cell>
          <cell r="C112" t="str">
            <v>m²</v>
          </cell>
          <cell r="D112" t="str">
            <v>1,43</v>
          </cell>
          <cell r="E112" t="str">
            <v>A incluir</v>
          </cell>
        </row>
        <row r="113">
          <cell r="A113">
            <v>40853</v>
          </cell>
          <cell r="B113" t="str">
            <v>Lama asfáltica (faixa II - ISSA) inclusive fornecimento e transporte comercial da emulsão</v>
          </cell>
          <cell r="C113" t="str">
            <v>m²</v>
          </cell>
          <cell r="D113" t="str">
            <v>3,47</v>
          </cell>
          <cell r="E113" t="str">
            <v>A incluir</v>
          </cell>
        </row>
        <row r="114">
          <cell r="A114">
            <v>40854</v>
          </cell>
          <cell r="B114" t="str">
            <v>Lama asfáltica (faixa III - ISSA) exclusive fornecimento e transporte comercial da emulsão</v>
          </cell>
          <cell r="C114" t="str">
            <v>m²</v>
          </cell>
          <cell r="D114" t="str">
            <v>1,52</v>
          </cell>
          <cell r="E114" t="str">
            <v>A incluir</v>
          </cell>
        </row>
        <row r="115">
          <cell r="A115">
            <v>40855</v>
          </cell>
          <cell r="B115" t="str">
            <v>Lama asfáltica (faixa III - ISSA) inclusive fornecimento e transporte comercial da emulsão</v>
          </cell>
          <cell r="C115" t="str">
            <v>m²</v>
          </cell>
          <cell r="D115" t="str">
            <v>4,48</v>
          </cell>
          <cell r="E115" t="str">
            <v>A incluir</v>
          </cell>
        </row>
        <row r="116">
          <cell r="A116">
            <v>40856</v>
          </cell>
          <cell r="B116" t="str">
            <v>Lama asfáltica (faixa IV - ISSA) exclusive fornecimento e transporte comercial da emulsão</v>
          </cell>
          <cell r="C116" t="str">
            <v>m²</v>
          </cell>
          <cell r="D116" t="str">
            <v>1,84</v>
          </cell>
          <cell r="E116" t="str">
            <v>A incluir</v>
          </cell>
        </row>
        <row r="117">
          <cell r="A117">
            <v>40857</v>
          </cell>
          <cell r="B117" t="str">
            <v>Lama asfáltica (faixa IV - ISSA) inclusive fornecimento e transporte comercial da emulsão</v>
          </cell>
          <cell r="C117" t="str">
            <v>m²</v>
          </cell>
          <cell r="D117" t="str">
            <v>5,91</v>
          </cell>
          <cell r="E117" t="str">
            <v>A incluir</v>
          </cell>
        </row>
        <row r="118">
          <cell r="A118">
            <v>40894</v>
          </cell>
          <cell r="B118" t="str">
            <v>Meio fio (assentamento), inclusive caiação</v>
          </cell>
          <cell r="C118" t="str">
            <v>m</v>
          </cell>
          <cell r="D118" t="str">
            <v>24,37</v>
          </cell>
          <cell r="E118">
            <v>0</v>
          </cell>
        </row>
        <row r="119">
          <cell r="A119">
            <v>40895</v>
          </cell>
          <cell r="B119" t="str">
            <v>Meio fio (remoção e reassentamento), inclusive caiação</v>
          </cell>
          <cell r="C119" t="str">
            <v>m</v>
          </cell>
          <cell r="D119" t="str">
            <v>42,92</v>
          </cell>
          <cell r="E119">
            <v>0</v>
          </cell>
        </row>
        <row r="120">
          <cell r="A120">
            <v>40869</v>
          </cell>
          <cell r="B120" t="str">
            <v>Micro revestimento asfáltico à frio exclusive fornecimento e transporte comercial do material betuminoso</v>
          </cell>
          <cell r="C120" t="str">
            <v>m²</v>
          </cell>
          <cell r="D120" t="str">
            <v>4,61</v>
          </cell>
          <cell r="E120" t="str">
            <v>A incluir</v>
          </cell>
        </row>
        <row r="121">
          <cell r="A121">
            <v>40881</v>
          </cell>
          <cell r="B121" t="str">
            <v>Micro revestimento asfáltico à frio exclusive fornecimento emulsão e transp. de todos os materiais</v>
          </cell>
          <cell r="C121" t="str">
            <v>m²</v>
          </cell>
          <cell r="D121" t="str">
            <v>4,61</v>
          </cell>
          <cell r="E121">
            <v>0</v>
          </cell>
        </row>
        <row r="122">
          <cell r="A122">
            <v>40870</v>
          </cell>
          <cell r="B122" t="str">
            <v>Micro revestimento asfáltico à frio inclusive fornecimento e transporte comercial do material betuminoso</v>
          </cell>
          <cell r="C122" t="str">
            <v>m²</v>
          </cell>
          <cell r="D122" t="str">
            <v>9,82</v>
          </cell>
          <cell r="E122" t="str">
            <v>A incluir</v>
          </cell>
        </row>
        <row r="123">
          <cell r="A123">
            <v>40860</v>
          </cell>
          <cell r="B123" t="str">
            <v>Obturação de buracos c/ CBUQ exclusive fornecimento e transporte comercial dos materiais betuminosos</v>
          </cell>
          <cell r="C123" t="str">
            <v>m²</v>
          </cell>
          <cell r="D123" t="str">
            <v>36,87</v>
          </cell>
          <cell r="E123" t="str">
            <v>A incluir</v>
          </cell>
        </row>
        <row r="124">
          <cell r="A124">
            <v>40864</v>
          </cell>
          <cell r="B124" t="str">
            <v>Obturação de buracos c/ CBUQ exclusive fornecimento e transporte dos materiais betuminosos</v>
          </cell>
          <cell r="C124" t="str">
            <v>t</v>
          </cell>
          <cell r="D124" t="str">
            <v>378,54</v>
          </cell>
          <cell r="E124" t="str">
            <v>A incluir</v>
          </cell>
        </row>
        <row r="125">
          <cell r="A125">
            <v>40861</v>
          </cell>
          <cell r="B125" t="str">
            <v>Obturação de buracos c/ CBUQ inclusive fornecimento e transporte comercial dos materiais betuminosos</v>
          </cell>
          <cell r="C125" t="str">
            <v>m²</v>
          </cell>
          <cell r="D125" t="str">
            <v>52,60</v>
          </cell>
          <cell r="E125" t="str">
            <v>A incluir</v>
          </cell>
        </row>
        <row r="126">
          <cell r="A126">
            <v>40865</v>
          </cell>
          <cell r="B126" t="str">
            <v>Obturação de buracos c/ CBUQ inclusive fornecimento e transporte dos materiais betuminosos</v>
          </cell>
          <cell r="C126" t="str">
            <v>t</v>
          </cell>
          <cell r="D126" t="str">
            <v>520,72</v>
          </cell>
          <cell r="E126" t="str">
            <v>A incluir</v>
          </cell>
        </row>
        <row r="127">
          <cell r="A127">
            <v>40880</v>
          </cell>
          <cell r="B127" t="str">
            <v>Obturação de buracos c/ CBUQ-faixa "C", exclusive forn.do CAP e transporte de todos os materiais</v>
          </cell>
          <cell r="C127" t="str">
            <v>m²</v>
          </cell>
          <cell r="D127" t="str">
            <v>40,41</v>
          </cell>
          <cell r="E127">
            <v>0</v>
          </cell>
        </row>
        <row r="128">
          <cell r="A128">
            <v>40858</v>
          </cell>
          <cell r="B128" t="str">
            <v>Obturação de buracos c/ PMF exclusive fornecimento e transporte comercial da emulsão</v>
          </cell>
          <cell r="C128" t="str">
            <v>m²</v>
          </cell>
          <cell r="D128" t="str">
            <v>33,70</v>
          </cell>
          <cell r="E128" t="str">
            <v>A incluir</v>
          </cell>
        </row>
        <row r="129">
          <cell r="A129">
            <v>40862</v>
          </cell>
          <cell r="B129" t="str">
            <v>Obturação de buracos c/ PMF exclusive fornecimento e transporte dos materiais betuminosos</v>
          </cell>
          <cell r="C129" t="str">
            <v>t</v>
          </cell>
          <cell r="D129" t="str">
            <v>345,37</v>
          </cell>
          <cell r="E129" t="str">
            <v>A incluir</v>
          </cell>
        </row>
        <row r="130">
          <cell r="A130">
            <v>40859</v>
          </cell>
          <cell r="B130" t="str">
            <v>Obturação de buracos c/ PMF inclusive fornecimento e transporte comercial da emulsão</v>
          </cell>
          <cell r="C130" t="str">
            <v>m²</v>
          </cell>
          <cell r="D130" t="str">
            <v>47,34</v>
          </cell>
          <cell r="E130" t="str">
            <v>A incluir</v>
          </cell>
        </row>
        <row r="131">
          <cell r="A131">
            <v>40863</v>
          </cell>
          <cell r="B131" t="str">
            <v>Obturação de buracos c/ PMF inclusive fornecimento e transporte dos materiais betuminosos</v>
          </cell>
          <cell r="C131" t="str">
            <v>t</v>
          </cell>
          <cell r="D131" t="str">
            <v>489,05</v>
          </cell>
          <cell r="E131" t="str">
            <v>A incluir</v>
          </cell>
        </row>
        <row r="132">
          <cell r="A132">
            <v>40883</v>
          </cell>
          <cell r="B132" t="str">
            <v>Pavimentação com blocos de concreto (35 MPa), esp.-&gt; 06 cm, sobre colchão areia esp.-&gt; 5 cm, inclusive fornecimento e transporte dos blocos e areia</v>
          </cell>
          <cell r="C132" t="str">
            <v>m²</v>
          </cell>
          <cell r="D132" t="str">
            <v>64,72</v>
          </cell>
          <cell r="E132" t="str">
            <v>A incluir</v>
          </cell>
        </row>
        <row r="133">
          <cell r="A133">
            <v>40885</v>
          </cell>
          <cell r="B133" t="str">
            <v>Pavimentação com blocos de concreto (35 MPa), esp. -&gt; 10 cm, sobre colchão areia esp.-&gt; 5cm, inclusive fornecimento e transporte dos blocos e areia</v>
          </cell>
          <cell r="C133" t="str">
            <v>m²</v>
          </cell>
          <cell r="D133" t="str">
            <v>89,04</v>
          </cell>
          <cell r="E133" t="str">
            <v>A incluir</v>
          </cell>
        </row>
        <row r="134">
          <cell r="A134">
            <v>40897</v>
          </cell>
          <cell r="B134" t="str">
            <v>Pavimentação com blocos de concreto (35 MPa), esp.-&gt; 06cm, sobre colchão areia esp.-&gt;5cm, inclusive fornecim. do bloco e areia, exclus. transp.materiais</v>
          </cell>
          <cell r="C134" t="str">
            <v>m²</v>
          </cell>
          <cell r="D134" t="str">
            <v>64,72</v>
          </cell>
          <cell r="E134">
            <v>0</v>
          </cell>
        </row>
        <row r="135">
          <cell r="A135">
            <v>40884</v>
          </cell>
          <cell r="B135" t="str">
            <v>Pavimentação com blocos de concreto (35 MPa), esp.-&gt; 08 cm, colchão areia esp.-&gt; 5cm, inclusive fornecimento e transporte dos blocos e areia</v>
          </cell>
          <cell r="C135" t="str">
            <v>m²</v>
          </cell>
          <cell r="D135" t="str">
            <v>72,73</v>
          </cell>
          <cell r="E135" t="str">
            <v>A incluir</v>
          </cell>
        </row>
        <row r="136">
          <cell r="A136">
            <v>40898</v>
          </cell>
          <cell r="B136" t="str">
            <v>Pavimentação com blocos de concreto (35 MPa) esp.-&gt;08 cm,colchão areia esp.-&gt;5cm, inclusive fornecim. do bloco e areia, exclusive transp. blocos e areia</v>
          </cell>
          <cell r="C136" t="str">
            <v>m²</v>
          </cell>
          <cell r="D136" t="str">
            <v>72,73</v>
          </cell>
          <cell r="E136">
            <v>0</v>
          </cell>
        </row>
        <row r="137">
          <cell r="A137">
            <v>40896</v>
          </cell>
          <cell r="B137" t="str">
            <v>Pavimentação com blocos de concreto (35MPa), esp.-&gt;10 cm, sobre colchão de areia esp.-&gt;5cm, inclusive fornecim. do bloco e areia , exclusive transportes</v>
          </cell>
          <cell r="C137" t="str">
            <v>m²</v>
          </cell>
          <cell r="D137" t="str">
            <v>89,04</v>
          </cell>
          <cell r="E137">
            <v>0</v>
          </cell>
        </row>
        <row r="138">
          <cell r="A138">
            <v>40886</v>
          </cell>
          <cell r="B138" t="str">
            <v>Pavimentação com paralelepípedo, sobre colchão areia esp.-&gt; 5cm, inclus. fornecimento e transport. da areia, exclus. fornecim. e transp. paralelepípedo</v>
          </cell>
          <cell r="C138" t="str">
            <v>m²</v>
          </cell>
          <cell r="D138" t="str">
            <v>27,58</v>
          </cell>
          <cell r="E138" t="str">
            <v>A incluir</v>
          </cell>
        </row>
        <row r="139">
          <cell r="A139">
            <v>40887</v>
          </cell>
          <cell r="B139" t="str">
            <v>Pavimentação com paralelepípedo, sobre colchão areia esp.-&gt; 5cm, inclusive fornecimento e transporte do paralelepípedo e areia</v>
          </cell>
          <cell r="C139" t="str">
            <v>m²</v>
          </cell>
          <cell r="D139" t="str">
            <v>85,91</v>
          </cell>
          <cell r="E139" t="str">
            <v>A incluir</v>
          </cell>
        </row>
        <row r="140">
          <cell r="A140">
            <v>40888</v>
          </cell>
          <cell r="B140" t="str">
            <v>Pavimentação com paralelepípedo, sobre colchão pó de pedra esp.-&gt; 5cm, inclusive fornecimento e transporte do paralelepípedo e pó de pedra</v>
          </cell>
          <cell r="C140" t="str">
            <v>m²</v>
          </cell>
          <cell r="D140" t="str">
            <v>84,60</v>
          </cell>
          <cell r="E140" t="str">
            <v>A incluir</v>
          </cell>
        </row>
        <row r="141">
          <cell r="A141">
            <v>40889</v>
          </cell>
          <cell r="B141" t="str">
            <v>Pavimentação com pedra portuguesa, inclusive fornecimento e transporte da pedra portuguesa, cimento e areia</v>
          </cell>
          <cell r="C141" t="str">
            <v>m²</v>
          </cell>
          <cell r="D141" t="str">
            <v>104,42</v>
          </cell>
          <cell r="E141" t="str">
            <v>A incluir</v>
          </cell>
        </row>
        <row r="142">
          <cell r="A142">
            <v>40818</v>
          </cell>
          <cell r="B142" t="str">
            <v>Pintura de ligação exclusive fornecimento e transporte comercial do material betuminoso</v>
          </cell>
          <cell r="C142" t="str">
            <v>m²</v>
          </cell>
          <cell r="D142" t="str">
            <v>0,57</v>
          </cell>
          <cell r="E142">
            <v>0</v>
          </cell>
        </row>
        <row r="143">
          <cell r="A143">
            <v>40819</v>
          </cell>
          <cell r="B143" t="str">
            <v>Pintura de ligação inclusive fornecimento e transporte comercial do material betuminoso</v>
          </cell>
          <cell r="C143" t="str">
            <v>m²</v>
          </cell>
          <cell r="D143" t="str">
            <v>1,50</v>
          </cell>
          <cell r="E143" t="str">
            <v>A incluir</v>
          </cell>
        </row>
        <row r="144">
          <cell r="A144">
            <v>40872</v>
          </cell>
          <cell r="B144" t="str">
            <v>PMF camada pronta exclusive fornecimento e transporte comercial da emulsão</v>
          </cell>
          <cell r="C144" t="str">
            <v>t</v>
          </cell>
          <cell r="D144" t="str">
            <v>63,75</v>
          </cell>
          <cell r="E144" t="str">
            <v>A incluir</v>
          </cell>
        </row>
        <row r="145">
          <cell r="A145">
            <v>40836</v>
          </cell>
          <cell r="B145" t="str">
            <v>PMF (massa asfáltica) exclusive fornecimento e transporte comercial da emulsão</v>
          </cell>
          <cell r="C145" t="str">
            <v>t</v>
          </cell>
          <cell r="D145" t="str">
            <v>45,27</v>
          </cell>
          <cell r="E145" t="str">
            <v>A incluir</v>
          </cell>
        </row>
        <row r="146">
          <cell r="A146">
            <v>40837</v>
          </cell>
          <cell r="B146" t="str">
            <v>PMF (massa asfáltica) inclusive fornecimento e transporte comercial da emulsão</v>
          </cell>
          <cell r="C146" t="str">
            <v>t</v>
          </cell>
          <cell r="D146" t="str">
            <v>170,65</v>
          </cell>
          <cell r="E146" t="str">
            <v>A incluir</v>
          </cell>
        </row>
        <row r="147">
          <cell r="A147">
            <v>41076</v>
          </cell>
          <cell r="B147" t="str">
            <v>Pó de pedra, fornecimento</v>
          </cell>
          <cell r="C147" t="str">
            <v>m³</v>
          </cell>
          <cell r="D147" t="str">
            <v>46,66</v>
          </cell>
          <cell r="E147">
            <v>0</v>
          </cell>
        </row>
        <row r="148">
          <cell r="A148">
            <v>41556</v>
          </cell>
          <cell r="B148" t="str">
            <v>Pó de pedra, fornecimento e espalhamento</v>
          </cell>
          <cell r="C148" t="str">
            <v>m³</v>
          </cell>
          <cell r="D148" t="str">
            <v>50,29</v>
          </cell>
          <cell r="E148" t="str">
            <v>A incluir</v>
          </cell>
        </row>
        <row r="149">
          <cell r="A149">
            <v>43345</v>
          </cell>
          <cell r="B149" t="str">
            <v>Produção de brita no canteiro, exclusive o desmonte e fragmentação de rocha</v>
          </cell>
          <cell r="C149" t="str">
            <v>m³</v>
          </cell>
          <cell r="D149" t="str">
            <v>24,97</v>
          </cell>
          <cell r="E149">
            <v>0</v>
          </cell>
        </row>
        <row r="150">
          <cell r="A150">
            <v>40720</v>
          </cell>
          <cell r="B150" t="str">
            <v>Produção de brita no canteiro, inclusive o desmonte e fragmentação de rocha</v>
          </cell>
          <cell r="C150" t="str">
            <v>m³</v>
          </cell>
          <cell r="D150" t="str">
            <v>59,61</v>
          </cell>
          <cell r="E150">
            <v>0</v>
          </cell>
        </row>
        <row r="151">
          <cell r="A151">
            <v>41070</v>
          </cell>
          <cell r="B151" t="str">
            <v>Reciclagem de pavimento (base) c/ adição de 20% de brita1, 10% de brita 0 e 2% de cimento, inclusive fornecimento e transportes dos materiais</v>
          </cell>
          <cell r="C151" t="str">
            <v>m³</v>
          </cell>
          <cell r="D151" t="str">
            <v>86,96</v>
          </cell>
          <cell r="E151" t="str">
            <v>A incluir</v>
          </cell>
        </row>
        <row r="152">
          <cell r="A152">
            <v>41134</v>
          </cell>
          <cell r="B152" t="str">
            <v>Reciclagem de pavimento (base) c/ adição de 20% de brita1, 10% de brita0 e 2% de cimento, inclusive fornecimento e transportes dos materiais</v>
          </cell>
          <cell r="C152" t="str">
            <v>m³</v>
          </cell>
          <cell r="D152" t="str">
            <v>87,82</v>
          </cell>
          <cell r="E152" t="str">
            <v>A incluir</v>
          </cell>
        </row>
        <row r="153">
          <cell r="A153">
            <v>40984</v>
          </cell>
          <cell r="B153" t="str">
            <v>Reciclagem de pavimento (Base existente + CBUQ) sem adição de materiais</v>
          </cell>
          <cell r="C153" t="str">
            <v>m³</v>
          </cell>
          <cell r="D153" t="str">
            <v>38,69</v>
          </cell>
          <cell r="E153">
            <v>0</v>
          </cell>
        </row>
        <row r="154">
          <cell r="A154">
            <v>41330</v>
          </cell>
          <cell r="B154" t="str">
            <v>Reciclagem de pavimento (base existente + T.S.D.) c/ adição de 3% de cimento e 15% de brita, inclusive fornecimento e transporte dos materiais</v>
          </cell>
          <cell r="C154" t="str">
            <v>m³</v>
          </cell>
          <cell r="D154" t="str">
            <v>74,40</v>
          </cell>
          <cell r="E154" t="str">
            <v>A incluir</v>
          </cell>
        </row>
        <row r="155">
          <cell r="A155">
            <v>41356</v>
          </cell>
          <cell r="B155" t="str">
            <v>Reciclagem de pavimento (Base existente + T.S.D.) c/ adição de 30% de brita, inclusive fornecimento e transporte da brita</v>
          </cell>
          <cell r="C155" t="str">
            <v>m³</v>
          </cell>
          <cell r="D155" t="str">
            <v>84,57</v>
          </cell>
          <cell r="E155" t="str">
            <v>A incluir</v>
          </cell>
        </row>
        <row r="156">
          <cell r="A156">
            <v>40774</v>
          </cell>
          <cell r="B156" t="str">
            <v>Reciclagem de pavimento (Base existente + T.S.D.) c/ adição de 30% de brita, inclusive fornecimento, exclusive transporte da brita</v>
          </cell>
          <cell r="C156" t="str">
            <v>m³</v>
          </cell>
          <cell r="D156" t="str">
            <v>84,57</v>
          </cell>
          <cell r="E156">
            <v>0</v>
          </cell>
        </row>
        <row r="157">
          <cell r="A157">
            <v>40768</v>
          </cell>
          <cell r="B157" t="str">
            <v>Reciclagem de pavimento (Base existente + T.S.D.) com adição de 20% de brita, inclusive fornecimento e transporte da brita.</v>
          </cell>
          <cell r="C157" t="str">
            <v>m³</v>
          </cell>
          <cell r="D157" t="str">
            <v>75,25</v>
          </cell>
          <cell r="E157" t="str">
            <v>A incluir</v>
          </cell>
        </row>
        <row r="158">
          <cell r="A158">
            <v>40767</v>
          </cell>
          <cell r="B158" t="str">
            <v>Reciclagem de pavimento (Base existente + T.S.D.) com adição de 3% de cimento, inclusive fornecimento e tarnsporte do cimento</v>
          </cell>
          <cell r="C158" t="str">
            <v>m³</v>
          </cell>
          <cell r="D158" t="str">
            <v>79,11</v>
          </cell>
          <cell r="E158" t="str">
            <v>A incluir</v>
          </cell>
        </row>
        <row r="159">
          <cell r="A159">
            <v>40769</v>
          </cell>
          <cell r="B159" t="str">
            <v>Reciclagem de pavimento (Base existente + T.S.D.) com adição de 40% de brita, inclusive fornecimento e transporte da brita.</v>
          </cell>
          <cell r="C159" t="str">
            <v>m³</v>
          </cell>
          <cell r="D159" t="str">
            <v>93,87</v>
          </cell>
          <cell r="E159" t="str">
            <v>A incluir</v>
          </cell>
        </row>
        <row r="160">
          <cell r="A160">
            <v>40766</v>
          </cell>
          <cell r="B160" t="str">
            <v>Reciclagem de pavimento (Base existente + T.S.D.) sem adição de materiais</v>
          </cell>
          <cell r="C160" t="str">
            <v>m³</v>
          </cell>
          <cell r="D160" t="str">
            <v>42,22</v>
          </cell>
          <cell r="E160">
            <v>0</v>
          </cell>
        </row>
        <row r="161">
          <cell r="A161">
            <v>40771</v>
          </cell>
          <cell r="B161" t="str">
            <v>Reciclagem de pavimento (Base existente+TSD) com adição de Ligante Betuminoso, inclusive fornecimento e transporte da emulsão</v>
          </cell>
          <cell r="C161" t="str">
            <v>m³</v>
          </cell>
          <cell r="D161" t="str">
            <v>145,35</v>
          </cell>
          <cell r="E161" t="str">
            <v>A incluir</v>
          </cell>
        </row>
        <row r="162">
          <cell r="A162">
            <v>40773</v>
          </cell>
          <cell r="B162" t="str">
            <v>Reciclagem de pavimento com adição de 2% de cimento, inclusive fornecimento e transporte do cimento</v>
          </cell>
          <cell r="C162" t="str">
            <v>m³</v>
          </cell>
          <cell r="D162" t="str">
            <v>66,66</v>
          </cell>
          <cell r="E162" t="str">
            <v>A incluir</v>
          </cell>
        </row>
        <row r="163">
          <cell r="A163">
            <v>40775</v>
          </cell>
          <cell r="B163" t="str">
            <v>Reciclagem de pavimento(Base existente + T.S.D.) com adição de 40% de brita, inclusive fornecimento, exclusive transporte da brita</v>
          </cell>
          <cell r="C163" t="str">
            <v>m³</v>
          </cell>
          <cell r="D163" t="str">
            <v>93,87</v>
          </cell>
          <cell r="E163">
            <v>0</v>
          </cell>
        </row>
        <row r="164">
          <cell r="A164">
            <v>40762</v>
          </cell>
          <cell r="B164" t="str">
            <v>Recuperação de base de acostamento exclusive transporte do material (solo)</v>
          </cell>
          <cell r="C164" t="str">
            <v>m²</v>
          </cell>
          <cell r="D164" t="str">
            <v>5,05</v>
          </cell>
          <cell r="E164">
            <v>0</v>
          </cell>
        </row>
        <row r="165">
          <cell r="A165">
            <v>40804</v>
          </cell>
          <cell r="B165" t="str">
            <v>Recuperação de base de acostamentos, inclusive fornecimento e transporte da brita</v>
          </cell>
          <cell r="C165" t="str">
            <v>m²</v>
          </cell>
          <cell r="D165" t="str">
            <v>8,75</v>
          </cell>
          <cell r="E165" t="str">
            <v>A incluir</v>
          </cell>
        </row>
        <row r="166">
          <cell r="A166">
            <v>40811</v>
          </cell>
          <cell r="B166" t="str">
            <v>Reestabilização da base com adição de 50% de brita, inclusive fonecimento, exclusive transporte da brita</v>
          </cell>
          <cell r="C166" t="str">
            <v>m³</v>
          </cell>
          <cell r="D166" t="str">
            <v>62,11</v>
          </cell>
          <cell r="E166">
            <v>0</v>
          </cell>
        </row>
        <row r="167">
          <cell r="A167">
            <v>42211</v>
          </cell>
          <cell r="B167" t="str">
            <v>Reestabilização de base com adição de 50% de brita, inclusive fornecimento e transporte da brita</v>
          </cell>
          <cell r="C167" t="str">
            <v>m³</v>
          </cell>
          <cell r="D167" t="str">
            <v>62,11</v>
          </cell>
          <cell r="E167" t="str">
            <v>A incluir</v>
          </cell>
        </row>
        <row r="168">
          <cell r="A168">
            <v>40756</v>
          </cell>
          <cell r="B168" t="str">
            <v>Reforço do sub leito 100% P.I.</v>
          </cell>
          <cell r="C168" t="str">
            <v>m³</v>
          </cell>
          <cell r="D168" t="str">
            <v>13,52</v>
          </cell>
          <cell r="E168">
            <v>0</v>
          </cell>
        </row>
        <row r="169">
          <cell r="A169">
            <v>40753</v>
          </cell>
          <cell r="B169" t="str">
            <v>Regularização e compactação do sub-leito (100% P.I.) H -&gt; 0,15 m</v>
          </cell>
          <cell r="C169" t="str">
            <v>m²</v>
          </cell>
          <cell r="D169" t="str">
            <v>3,03</v>
          </cell>
          <cell r="E169">
            <v>0</v>
          </cell>
        </row>
        <row r="170">
          <cell r="A170">
            <v>40754</v>
          </cell>
          <cell r="B170" t="str">
            <v>Regularização e compactação do sub-leito (100% P.I.) H -&gt; 0,20 m</v>
          </cell>
          <cell r="C170" t="str">
            <v>m²</v>
          </cell>
          <cell r="D170" t="str">
            <v>4,04</v>
          </cell>
          <cell r="E170">
            <v>0</v>
          </cell>
        </row>
        <row r="171">
          <cell r="A171">
            <v>40751</v>
          </cell>
          <cell r="B171" t="str">
            <v>Regularização e compactação do sub-leito (100% P.N.) H -&gt; 0,15m</v>
          </cell>
          <cell r="C171" t="str">
            <v>m²</v>
          </cell>
          <cell r="D171" t="str">
            <v>2,72</v>
          </cell>
          <cell r="E171">
            <v>0</v>
          </cell>
        </row>
        <row r="172">
          <cell r="A172">
            <v>40752</v>
          </cell>
          <cell r="B172" t="str">
            <v>Regularização e compactação do sub-leito (100% P.N.) H -&gt; 0,20 m</v>
          </cell>
          <cell r="C172" t="str">
            <v>m²</v>
          </cell>
          <cell r="D172" t="str">
            <v>3,62</v>
          </cell>
          <cell r="E172">
            <v>0</v>
          </cell>
        </row>
        <row r="173">
          <cell r="A173">
            <v>40866</v>
          </cell>
          <cell r="B173" t="str">
            <v>Remoção de capa asfáltica em TSS, TSD, ou TST exclusive transporte</v>
          </cell>
          <cell r="C173" t="str">
            <v>m²</v>
          </cell>
          <cell r="D173" t="str">
            <v>0,68</v>
          </cell>
          <cell r="E173">
            <v>0</v>
          </cell>
        </row>
        <row r="174">
          <cell r="A174">
            <v>40893</v>
          </cell>
          <cell r="B174" t="str">
            <v>Remoção de meio fio</v>
          </cell>
          <cell r="C174" t="str">
            <v>m</v>
          </cell>
          <cell r="D174" t="str">
            <v>18,53</v>
          </cell>
          <cell r="E174">
            <v>0</v>
          </cell>
        </row>
        <row r="175">
          <cell r="A175">
            <v>40891</v>
          </cell>
          <cell r="B175" t="str">
            <v>Remoção de pavimentação poliédrica</v>
          </cell>
          <cell r="C175" t="str">
            <v>m²</v>
          </cell>
          <cell r="D175" t="str">
            <v>14,98</v>
          </cell>
          <cell r="E175">
            <v>0</v>
          </cell>
        </row>
        <row r="176">
          <cell r="A176">
            <v>40890</v>
          </cell>
          <cell r="B176" t="str">
            <v>Remoção e reassentamento de blocos de concreto, inclusive perdas</v>
          </cell>
          <cell r="C176" t="str">
            <v>m²</v>
          </cell>
          <cell r="D176" t="str">
            <v>53,51</v>
          </cell>
          <cell r="E176" t="str">
            <v>A incluir</v>
          </cell>
        </row>
        <row r="177">
          <cell r="A177">
            <v>40892</v>
          </cell>
          <cell r="B177" t="str">
            <v>Remoção e reassentamento de paralelepípedos, inclusive perdas, colchão de areia e transportes de areia e paralelepípedo</v>
          </cell>
          <cell r="C177" t="str">
            <v>m²</v>
          </cell>
          <cell r="D177" t="str">
            <v>53,20</v>
          </cell>
          <cell r="E177" t="str">
            <v>A incluir</v>
          </cell>
        </row>
        <row r="178">
          <cell r="A178">
            <v>40749</v>
          </cell>
          <cell r="B178" t="str">
            <v>Revestimento em estradas vicinais (saibro)</v>
          </cell>
          <cell r="C178" t="str">
            <v>m²</v>
          </cell>
          <cell r="D178" t="str">
            <v>0,14</v>
          </cell>
          <cell r="E178">
            <v>0</v>
          </cell>
        </row>
        <row r="179">
          <cell r="A179">
            <v>40750</v>
          </cell>
          <cell r="B179" t="str">
            <v>Revestimento primário, espalhamento e compactação (espessura até 0,15m)</v>
          </cell>
          <cell r="C179" t="str">
            <v>m²</v>
          </cell>
          <cell r="D179" t="str">
            <v>0,66</v>
          </cell>
          <cell r="E179">
            <v>0</v>
          </cell>
        </row>
        <row r="180">
          <cell r="A180">
            <v>40792</v>
          </cell>
          <cell r="B180" t="str">
            <v>Sub-base c/ mistura de argila 30%, pó de pedra 30% e brita 40%, inclusive fornecimento e transporte do pó de pedra e da brita</v>
          </cell>
          <cell r="C180" t="str">
            <v>m³</v>
          </cell>
          <cell r="D180" t="str">
            <v>76,39</v>
          </cell>
          <cell r="E180" t="str">
            <v>A incluir</v>
          </cell>
        </row>
        <row r="181">
          <cell r="A181">
            <v>40794</v>
          </cell>
          <cell r="B181" t="str">
            <v>Sub-base c/ mistura de solo 80% e areia 20%, inclusive transporte da areia</v>
          </cell>
          <cell r="C181" t="str">
            <v>m³</v>
          </cell>
          <cell r="D181" t="str">
            <v>38,44</v>
          </cell>
          <cell r="E181" t="str">
            <v>A incluir</v>
          </cell>
        </row>
        <row r="182">
          <cell r="A182">
            <v>40796</v>
          </cell>
          <cell r="B182" t="str">
            <v>Sub-base com mistura de argila 70% e escória de aciaria 30%, inclusive fornecim. e transporte da escória, exceto fornecimento e transporte da argila</v>
          </cell>
          <cell r="C182" t="str">
            <v>m³</v>
          </cell>
          <cell r="D182" t="str">
            <v>40,40</v>
          </cell>
          <cell r="E182" t="str">
            <v>A incluir</v>
          </cell>
        </row>
        <row r="183">
          <cell r="A183">
            <v>41098</v>
          </cell>
          <cell r="B183" t="str">
            <v>Sub-base com solo/escória na proporção 70:30, inclusive fornecimento da escória, exceto fornecimento do solo e transporte do solo e escória</v>
          </cell>
          <cell r="C183" t="str">
            <v>m³</v>
          </cell>
          <cell r="D183" t="str">
            <v>40,40</v>
          </cell>
          <cell r="E183">
            <v>0</v>
          </cell>
        </row>
        <row r="184">
          <cell r="A184">
            <v>40786</v>
          </cell>
          <cell r="B184" t="str">
            <v>Sub-base de brita graduada, inclusive fornecimento e transporte da brita</v>
          </cell>
          <cell r="C184" t="str">
            <v>m³</v>
          </cell>
          <cell r="D184" t="str">
            <v>104,09</v>
          </cell>
          <cell r="E184" t="str">
            <v>A incluir</v>
          </cell>
        </row>
        <row r="185">
          <cell r="A185">
            <v>43327</v>
          </cell>
          <cell r="B185" t="str">
            <v>Sub-base de brita graduada, inclusive fornecimento, exclusive transporte da brita</v>
          </cell>
          <cell r="C185" t="str">
            <v>m³</v>
          </cell>
          <cell r="D185" t="str">
            <v>104,09</v>
          </cell>
          <cell r="E185">
            <v>0</v>
          </cell>
        </row>
        <row r="186">
          <cell r="A186">
            <v>42675</v>
          </cell>
          <cell r="B186" t="str">
            <v>Sub-base de brita 1, inclusive fornecimento, exclusive transporte da brita</v>
          </cell>
          <cell r="C186" t="str">
            <v>m³</v>
          </cell>
          <cell r="D186" t="str">
            <v>101,27</v>
          </cell>
          <cell r="E186">
            <v>0</v>
          </cell>
        </row>
        <row r="187">
          <cell r="A187">
            <v>40802</v>
          </cell>
          <cell r="B187" t="str">
            <v>Sub-base de escória de aciaria, inclusive fornecimento e transporte da escória</v>
          </cell>
          <cell r="C187" t="str">
            <v>m³</v>
          </cell>
          <cell r="D187" t="str">
            <v>85,41</v>
          </cell>
          <cell r="E187" t="str">
            <v>A incluir</v>
          </cell>
        </row>
        <row r="188">
          <cell r="A188">
            <v>41074</v>
          </cell>
          <cell r="B188" t="str">
            <v>Sub-base de solo brita, 50% em peso, inclusive fornecimento, exclusive transporte da brita</v>
          </cell>
          <cell r="C188" t="str">
            <v>m³</v>
          </cell>
          <cell r="D188" t="str">
            <v>62,84</v>
          </cell>
          <cell r="E188">
            <v>0</v>
          </cell>
        </row>
        <row r="189">
          <cell r="A189">
            <v>40776</v>
          </cell>
          <cell r="B189" t="str">
            <v>Sub-base solo brita, 20% em peso, inclusive fornecimento e transporte da brita.</v>
          </cell>
          <cell r="C189" t="str">
            <v>m³</v>
          </cell>
          <cell r="D189" t="str">
            <v>37,34</v>
          </cell>
          <cell r="E189" t="str">
            <v>A incluir</v>
          </cell>
        </row>
        <row r="190">
          <cell r="A190">
            <v>40778</v>
          </cell>
          <cell r="B190" t="str">
            <v>Sub-base solo brita, 30% em peso, inclusive fornecimento e transporte da brita</v>
          </cell>
          <cell r="C190" t="str">
            <v>m³</v>
          </cell>
          <cell r="D190" t="str">
            <v>44,60</v>
          </cell>
          <cell r="E190" t="str">
            <v>A incluir</v>
          </cell>
        </row>
        <row r="191">
          <cell r="A191">
            <v>40780</v>
          </cell>
          <cell r="B191" t="str">
            <v>Sub-base solo brita, 50% em peso, inclusive fornecimento e transporte da brita</v>
          </cell>
          <cell r="C191" t="str">
            <v>m³</v>
          </cell>
          <cell r="D191" t="str">
            <v>65,17</v>
          </cell>
          <cell r="E191" t="str">
            <v>A incluir</v>
          </cell>
        </row>
        <row r="192">
          <cell r="A192">
            <v>40782</v>
          </cell>
          <cell r="B192" t="str">
            <v>Sub-base solo brita, 70% em peso, inclusive fornecimento e transporte da brita</v>
          </cell>
          <cell r="C192" t="str">
            <v>m³</v>
          </cell>
          <cell r="D192" t="str">
            <v>83,88</v>
          </cell>
          <cell r="E192" t="str">
            <v>A incluir</v>
          </cell>
        </row>
        <row r="193">
          <cell r="A193">
            <v>40830</v>
          </cell>
          <cell r="B193" t="str">
            <v>T.S.B.D. com capa selante exclusive fornecimento e transporte comercial da emulsão, inclusive lavagem da brita e transporte da areia e brita</v>
          </cell>
          <cell r="C193" t="str">
            <v>m²</v>
          </cell>
          <cell r="D193" t="str">
            <v>6,48</v>
          </cell>
          <cell r="E193" t="str">
            <v>A incluir</v>
          </cell>
        </row>
        <row r="194">
          <cell r="A194">
            <v>40873</v>
          </cell>
          <cell r="B194" t="str">
            <v>T.S.B.D. com capa selante, executado c/ Multidistribuidor exclus. forn. e transp. com. da emulsão, inclus. lavagem brita e transp. comerc.areia, brita</v>
          </cell>
          <cell r="C194" t="str">
            <v>m²</v>
          </cell>
          <cell r="D194" t="str">
            <v>5,27</v>
          </cell>
          <cell r="E194" t="str">
            <v>A incluir</v>
          </cell>
        </row>
        <row r="195">
          <cell r="A195">
            <v>40876</v>
          </cell>
          <cell r="B195" t="str">
            <v>T.S.B.D. com capa selante executado c/ Multidistribuidor,inclus.fornec.areia/brita e lavagem brita, excl.fornec.da emulsão e trnasp.todos os materiais</v>
          </cell>
          <cell r="C195" t="str">
            <v>m²</v>
          </cell>
          <cell r="D195" t="str">
            <v>5,71</v>
          </cell>
          <cell r="E195">
            <v>0</v>
          </cell>
        </row>
        <row r="196">
          <cell r="A196">
            <v>41363</v>
          </cell>
          <cell r="B196" t="str">
            <v>T.S.B.D. com capa selante, executado com Multidistribuidor inclusive fornecimento, transporte comercial dos materiais e lavagem da brita</v>
          </cell>
          <cell r="C196" t="str">
            <v>m²</v>
          </cell>
          <cell r="D196" t="str">
            <v>8,40</v>
          </cell>
          <cell r="E196" t="str">
            <v>A incluir</v>
          </cell>
        </row>
        <row r="197">
          <cell r="A197">
            <v>40831</v>
          </cell>
          <cell r="B197" t="str">
            <v>T.S.B.D. com capa selante inclusive fornecimento e transporte comercial dos materiais e lavagem da brita</v>
          </cell>
          <cell r="C197" t="str">
            <v>m²</v>
          </cell>
          <cell r="D197" t="str">
            <v>11,74</v>
          </cell>
          <cell r="E197" t="str">
            <v>A incluir</v>
          </cell>
        </row>
        <row r="198">
          <cell r="A198">
            <v>40827</v>
          </cell>
          <cell r="B198" t="str">
            <v>T.S.B.D. sem capa selante, inclusive fornecimento e transporte comercial dos materiais e lavagem de brita</v>
          </cell>
          <cell r="C198" t="str">
            <v>m²</v>
          </cell>
          <cell r="D198" t="str">
            <v>7,85</v>
          </cell>
          <cell r="E198" t="str">
            <v>A incluir</v>
          </cell>
        </row>
        <row r="199">
          <cell r="A199">
            <v>40828</v>
          </cell>
          <cell r="B199" t="str">
            <v>T.S.B.D. sem capa selante exclusive fornecimento e transporte comercial da emulsão, inclusive lavagem e transporte comercial da brita</v>
          </cell>
          <cell r="C199" t="str">
            <v>m²</v>
          </cell>
          <cell r="D199" t="str">
            <v>5,88</v>
          </cell>
          <cell r="E199" t="str">
            <v>A incluir</v>
          </cell>
        </row>
        <row r="200">
          <cell r="A200">
            <v>40874</v>
          </cell>
          <cell r="B200" t="str">
            <v>T.S.B.D. sem capa selante, executado c/ Multidistribuidor exclusive fornec.e transp. comercial da emulsão, inclusive lavagem e transp. comerc.da brita</v>
          </cell>
          <cell r="C200" t="str">
            <v>m²</v>
          </cell>
          <cell r="D200" t="str">
            <v>5,80</v>
          </cell>
          <cell r="E200" t="str">
            <v>A incluir</v>
          </cell>
        </row>
        <row r="201">
          <cell r="A201">
            <v>40875</v>
          </cell>
          <cell r="B201" t="str">
            <v>T.S.B.D. sem capa selante executado com Multidistribuidor excl. forn. da emulsão e transp. comerciais da emulsão e da brita, inclus. lavagem da brita</v>
          </cell>
          <cell r="C201" t="str">
            <v>m²</v>
          </cell>
          <cell r="D201" t="str">
            <v>5,57</v>
          </cell>
          <cell r="E201">
            <v>0</v>
          </cell>
        </row>
        <row r="202">
          <cell r="A202">
            <v>40829</v>
          </cell>
          <cell r="B202" t="str">
            <v>T.S.B.D. sem capa selante inclusive fornecimento e transporte comercial dos materiais e lavagem da brita</v>
          </cell>
          <cell r="C202" t="str">
            <v>m²</v>
          </cell>
          <cell r="D202" t="str">
            <v>10,73</v>
          </cell>
          <cell r="E202" t="str">
            <v>A incluir</v>
          </cell>
        </row>
        <row r="203">
          <cell r="A203">
            <v>40824</v>
          </cell>
          <cell r="B203" t="str">
            <v>T.S.B.S. com capa selante exclusive fornecimento e transporte comercial da emulsão, inclusive lavagem e transporte comercial da brita</v>
          </cell>
          <cell r="C203" t="str">
            <v>m²</v>
          </cell>
          <cell r="D203" t="str">
            <v>3,70</v>
          </cell>
          <cell r="E203" t="str">
            <v>A incluir</v>
          </cell>
        </row>
        <row r="204">
          <cell r="A204">
            <v>40825</v>
          </cell>
          <cell r="B204" t="str">
            <v>T.S.B.S. com capa selante inclusive fornecimento e transporte comercial dos materiais e lavagem da brita</v>
          </cell>
          <cell r="C204" t="str">
            <v>m²</v>
          </cell>
          <cell r="D204" t="str">
            <v>5,67</v>
          </cell>
          <cell r="E204" t="str">
            <v>A incluir</v>
          </cell>
        </row>
        <row r="205">
          <cell r="A205">
            <v>40820</v>
          </cell>
          <cell r="B205" t="str">
            <v>T.S.B.S. exclusive fornecimento e transporte comercial do material betuminoso, inclusive fornecimento, transporte e lavagem da brita</v>
          </cell>
          <cell r="C205" t="str">
            <v>m²</v>
          </cell>
          <cell r="D205" t="str">
            <v>3,38</v>
          </cell>
          <cell r="E205" t="str">
            <v>A incluir</v>
          </cell>
        </row>
        <row r="206">
          <cell r="A206">
            <v>40821</v>
          </cell>
          <cell r="B206" t="str">
            <v>T.S.B.S. inclusive fornecimento e transporte comercial dos materiais e lavagem da brita</v>
          </cell>
          <cell r="C206" t="str">
            <v>m²</v>
          </cell>
          <cell r="D206" t="str">
            <v>5,35</v>
          </cell>
          <cell r="E206" t="str">
            <v>A incluir</v>
          </cell>
        </row>
        <row r="207">
          <cell r="A207">
            <v>40840</v>
          </cell>
          <cell r="B207" t="str">
            <v>Usinagem de concreto betuminoso usinado a quente (CBUQ), inclusive transporte comercial do oleo combustível</v>
          </cell>
          <cell r="C207" t="str">
            <v>t</v>
          </cell>
          <cell r="D207" t="str">
            <v>37,46</v>
          </cell>
          <cell r="E207" t="str">
            <v>A incluir</v>
          </cell>
        </row>
        <row r="208">
          <cell r="A208">
            <v>43331</v>
          </cell>
          <cell r="B208" t="str">
            <v>Usinagem de mistura de solo brita</v>
          </cell>
          <cell r="C208" t="str">
            <v>m³</v>
          </cell>
          <cell r="D208" t="str">
            <v>5,25</v>
          </cell>
          <cell r="E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e">
            <v>#N/A</v>
          </cell>
        </row>
        <row r="210">
          <cell r="A210" t="str">
            <v>Grupo de Serviço: 3 - OBRAS DE ARTE CORRENTES E DRENAGEM</v>
          </cell>
          <cell r="B210">
            <v>0</v>
          </cell>
          <cell r="C210">
            <v>0</v>
          </cell>
          <cell r="D210">
            <v>0</v>
          </cell>
          <cell r="E210" t="e">
            <v>#N/A</v>
          </cell>
        </row>
        <row r="211">
          <cell r="A211">
            <v>100394</v>
          </cell>
          <cell r="B211" t="str">
            <v>Aço CA-25, fornecimento, dobragem e colocação nas formas</v>
          </cell>
          <cell r="C211" t="str">
            <v>kg</v>
          </cell>
          <cell r="D211" t="str">
            <v>8,33</v>
          </cell>
          <cell r="E211">
            <v>0</v>
          </cell>
        </row>
        <row r="212">
          <cell r="A212">
            <v>40376</v>
          </cell>
          <cell r="B212" t="str">
            <v>Aço CA-50, fornecimento, dobragem e colocação nas formas (preço médio das bitolas)</v>
          </cell>
          <cell r="C212" t="str">
            <v>kg</v>
          </cell>
          <cell r="D212" t="str">
            <v>8,14</v>
          </cell>
          <cell r="E212">
            <v>0</v>
          </cell>
        </row>
        <row r="213">
          <cell r="A213">
            <v>43351</v>
          </cell>
          <cell r="B213" t="str">
            <v>Aço CA-50 grossa, diâmetro de 12.5 a 25 mm, fornecimento, dobragem e colocação nas formas</v>
          </cell>
          <cell r="C213" t="str">
            <v>kg</v>
          </cell>
          <cell r="D213" t="str">
            <v>8,43</v>
          </cell>
          <cell r="E213">
            <v>0</v>
          </cell>
        </row>
        <row r="214">
          <cell r="A214">
            <v>43350</v>
          </cell>
          <cell r="B214" t="str">
            <v>Aço CA-50 média, diâmetro de 6.3 a 10 mm, fornecimento, dobragem e colocação nas formas</v>
          </cell>
          <cell r="C214" t="str">
            <v>kg</v>
          </cell>
          <cell r="D214" t="str">
            <v>7,79</v>
          </cell>
          <cell r="E214">
            <v>0</v>
          </cell>
        </row>
        <row r="215">
          <cell r="A215">
            <v>41261</v>
          </cell>
          <cell r="B215" t="str">
            <v>Aço CA-60 fina, diâmetro de 4.2 a 5.0 mm, fornecimento, dobragem e colocação nas formas</v>
          </cell>
          <cell r="C215" t="str">
            <v>kg</v>
          </cell>
          <cell r="D215" t="str">
            <v>7,59</v>
          </cell>
          <cell r="E215">
            <v>0</v>
          </cell>
        </row>
        <row r="216">
          <cell r="A216">
            <v>41023</v>
          </cell>
          <cell r="B216" t="str">
            <v>Aluguel mensal de escoramento tubular com tubos metálicos com até 10 metros de altura</v>
          </cell>
          <cell r="C216" t="str">
            <v>m</v>
          </cell>
          <cell r="D216" t="str">
            <v>123,01</v>
          </cell>
          <cell r="E216">
            <v>0</v>
          </cell>
        </row>
        <row r="217">
          <cell r="A217">
            <v>41575</v>
          </cell>
          <cell r="B217" t="str">
            <v>Alvenaria de bloco (39 x 19 x 09) cm espessura 09 cm, inclusive transporte da areia, cimento e bloco</v>
          </cell>
          <cell r="C217" t="str">
            <v>m²</v>
          </cell>
          <cell r="D217" t="str">
            <v>45,05</v>
          </cell>
          <cell r="E217" t="str">
            <v>A incluir</v>
          </cell>
        </row>
        <row r="218">
          <cell r="A218">
            <v>40346</v>
          </cell>
          <cell r="B218" t="str">
            <v>Alvenaria de bloco (39 x 19 x 19) cm espessura 19 cm, inclusive fornecimento e transporte do bloco, areia e cimento</v>
          </cell>
          <cell r="C218" t="str">
            <v>m²</v>
          </cell>
          <cell r="D218" t="str">
            <v>75,82</v>
          </cell>
          <cell r="E218" t="str">
            <v>A incluir</v>
          </cell>
        </row>
        <row r="219">
          <cell r="A219">
            <v>40345</v>
          </cell>
          <cell r="B219" t="str">
            <v>Alvenaria de lajota (20 x 20 x 10) cm espessura 10 cm, inclusive transporte de areia, lajota e cimento</v>
          </cell>
          <cell r="C219" t="str">
            <v>m²</v>
          </cell>
          <cell r="D219" t="str">
            <v>52,87</v>
          </cell>
          <cell r="E219" t="str">
            <v>A incluir</v>
          </cell>
        </row>
        <row r="220">
          <cell r="A220">
            <v>40343</v>
          </cell>
          <cell r="B220" t="str">
            <v>Alvenaria de pedra de mão argamassada (argamassa cimento areia 1:4), inclusive transporte da pedra</v>
          </cell>
          <cell r="C220" t="str">
            <v>m³</v>
          </cell>
          <cell r="D220" t="str">
            <v>304,64</v>
          </cell>
          <cell r="E220" t="str">
            <v>A incluir</v>
          </cell>
        </row>
        <row r="221">
          <cell r="A221">
            <v>40344</v>
          </cell>
          <cell r="B221" t="str">
            <v>Alvenaria de pedra de mão (junta seca), inclusive transporte da pedra</v>
          </cell>
          <cell r="C221" t="str">
            <v>m³</v>
          </cell>
          <cell r="D221" t="str">
            <v>205,26</v>
          </cell>
          <cell r="E221" t="str">
            <v>A incluir</v>
          </cell>
        </row>
        <row r="222">
          <cell r="A222">
            <v>41027</v>
          </cell>
          <cell r="B222" t="str">
            <v>Andaime de madeira para altura até 7 m, compreendendo montagem e desmontagem</v>
          </cell>
          <cell r="C222" t="str">
            <v>m³</v>
          </cell>
          <cell r="D222" t="str">
            <v>18,08</v>
          </cell>
          <cell r="E222">
            <v>0</v>
          </cell>
        </row>
        <row r="223">
          <cell r="A223">
            <v>40337</v>
          </cell>
          <cell r="B223" t="str">
            <v>Andaime suspenso em madeira, inclusive montagem e desmontagem</v>
          </cell>
          <cell r="C223" t="str">
            <v>m²</v>
          </cell>
          <cell r="D223" t="str">
            <v>109,58</v>
          </cell>
          <cell r="E223">
            <v>0</v>
          </cell>
        </row>
        <row r="224">
          <cell r="A224">
            <v>40395</v>
          </cell>
          <cell r="B224" t="str">
            <v>Apicoamento manual de superfície de concreto</v>
          </cell>
          <cell r="C224" t="str">
            <v>m²</v>
          </cell>
          <cell r="D224" t="str">
            <v>18,80</v>
          </cell>
          <cell r="E224">
            <v>0</v>
          </cell>
        </row>
        <row r="225">
          <cell r="A225">
            <v>40300</v>
          </cell>
          <cell r="B225" t="str">
            <v>Apiloamento manual</v>
          </cell>
          <cell r="C225" t="str">
            <v>m³</v>
          </cell>
          <cell r="D225" t="str">
            <v>39,51</v>
          </cell>
          <cell r="E225">
            <v>0</v>
          </cell>
        </row>
        <row r="226">
          <cell r="A226">
            <v>40348</v>
          </cell>
          <cell r="B226" t="str">
            <v>Argamassa cimento e areia traço 1:4, tudo incluído</v>
          </cell>
          <cell r="C226" t="str">
            <v>m³</v>
          </cell>
          <cell r="D226" t="str">
            <v>457,34</v>
          </cell>
          <cell r="E226" t="str">
            <v>A incluir</v>
          </cell>
        </row>
        <row r="227">
          <cell r="A227">
            <v>40347</v>
          </cell>
          <cell r="B227" t="str">
            <v>Argamassa cimento (nata), inclusive transporte de cimento</v>
          </cell>
          <cell r="C227" t="str">
            <v>m³</v>
          </cell>
          <cell r="D227" t="str">
            <v>949,56</v>
          </cell>
          <cell r="E227" t="str">
            <v>A incluir</v>
          </cell>
        </row>
        <row r="228">
          <cell r="A228">
            <v>41415</v>
          </cell>
          <cell r="B228" t="str">
            <v>Argamassa de cimento e areia, traço 1:4, consumo de cimento 400 kg/m³</v>
          </cell>
          <cell r="C228" t="str">
            <v>m³</v>
          </cell>
          <cell r="D228" t="str">
            <v>477,56</v>
          </cell>
          <cell r="E228" t="str">
            <v>A incluir</v>
          </cell>
        </row>
        <row r="229">
          <cell r="A229">
            <v>42257</v>
          </cell>
          <cell r="B229" t="str">
            <v>Aterro com areia, exceto fornecimento da areia</v>
          </cell>
          <cell r="C229" t="str">
            <v>m³</v>
          </cell>
          <cell r="D229" t="str">
            <v>5,57</v>
          </cell>
          <cell r="E229">
            <v>0</v>
          </cell>
        </row>
        <row r="230">
          <cell r="A230">
            <v>40519</v>
          </cell>
          <cell r="B230" t="str">
            <v>Berço de concreto ciclópico para BDTC diâmetro 0,60 m</v>
          </cell>
          <cell r="C230" t="str">
            <v>m</v>
          </cell>
          <cell r="D230" t="str">
            <v>240,45</v>
          </cell>
          <cell r="E230" t="str">
            <v>A incluir</v>
          </cell>
        </row>
        <row r="231">
          <cell r="A231">
            <v>40520</v>
          </cell>
          <cell r="B231" t="str">
            <v>Berço de concreto ciclópico para BDTC diâmetro 0,80 m</v>
          </cell>
          <cell r="C231" t="str">
            <v>m</v>
          </cell>
          <cell r="D231" t="str">
            <v>376,56</v>
          </cell>
          <cell r="E231" t="str">
            <v>A incluir</v>
          </cell>
        </row>
        <row r="232">
          <cell r="A232">
            <v>40521</v>
          </cell>
          <cell r="B232" t="str">
            <v>Berço de concreto ciclópico para BDTC diâmetro 1,00 m</v>
          </cell>
          <cell r="C232" t="str">
            <v>m</v>
          </cell>
          <cell r="D232" t="str">
            <v>542,63</v>
          </cell>
          <cell r="E232" t="str">
            <v>A incluir</v>
          </cell>
        </row>
        <row r="233">
          <cell r="A233">
            <v>40522</v>
          </cell>
          <cell r="B233" t="str">
            <v>Berço de concreto ciclópico para BDTC diâmetro 1,20 m</v>
          </cell>
          <cell r="C233" t="str">
            <v>m</v>
          </cell>
          <cell r="D233" t="str">
            <v>733,34</v>
          </cell>
          <cell r="E233" t="str">
            <v>A incluir</v>
          </cell>
        </row>
        <row r="234">
          <cell r="A234">
            <v>40523</v>
          </cell>
          <cell r="B234" t="str">
            <v>Berço de concreto ciclópico para BDTC diâmetro 1,50 m</v>
          </cell>
          <cell r="C234" t="str">
            <v>m</v>
          </cell>
          <cell r="D234" t="str">
            <v>1.060,01</v>
          </cell>
          <cell r="E234" t="str">
            <v>A incluir</v>
          </cell>
        </row>
        <row r="235">
          <cell r="A235">
            <v>40513</v>
          </cell>
          <cell r="B235" t="str">
            <v>Berço de concreto ciclópico para BSTC diâmetro 0,40 m</v>
          </cell>
          <cell r="C235" t="str">
            <v>m</v>
          </cell>
          <cell r="D235" t="str">
            <v>84,79</v>
          </cell>
          <cell r="E235" t="str">
            <v>A incluir</v>
          </cell>
        </row>
        <row r="236">
          <cell r="A236">
            <v>40514</v>
          </cell>
          <cell r="B236" t="str">
            <v>Berço de concreto ciclópico para BSTC diâmetro 0,60 m</v>
          </cell>
          <cell r="C236" t="str">
            <v>m</v>
          </cell>
          <cell r="D236" t="str">
            <v>142,72</v>
          </cell>
          <cell r="E236" t="str">
            <v>A incluir</v>
          </cell>
        </row>
        <row r="237">
          <cell r="A237">
            <v>40515</v>
          </cell>
          <cell r="B237" t="str">
            <v>Berço de concreto ciclópico para BSTC diâmetro 0,80 m</v>
          </cell>
          <cell r="C237" t="str">
            <v>m</v>
          </cell>
          <cell r="D237" t="str">
            <v>218,06</v>
          </cell>
          <cell r="E237" t="str">
            <v>A incluir</v>
          </cell>
        </row>
        <row r="238">
          <cell r="A238">
            <v>40516</v>
          </cell>
          <cell r="B238" t="str">
            <v>Berço de concreto ciclópico para BSTC diâmetro 1,00 m</v>
          </cell>
          <cell r="C238" t="str">
            <v>m</v>
          </cell>
          <cell r="D238" t="str">
            <v>308,16</v>
          </cell>
          <cell r="E238" t="str">
            <v>A incluir</v>
          </cell>
        </row>
        <row r="239">
          <cell r="A239">
            <v>40517</v>
          </cell>
          <cell r="B239" t="str">
            <v>Berço de concreto ciclópico para BSTC diâmetro 1,20 m</v>
          </cell>
          <cell r="C239" t="str">
            <v>m</v>
          </cell>
          <cell r="D239" t="str">
            <v>411,01</v>
          </cell>
          <cell r="E239" t="str">
            <v>A incluir</v>
          </cell>
        </row>
        <row r="240">
          <cell r="A240">
            <v>40518</v>
          </cell>
          <cell r="B240" t="str">
            <v>Berço de concreto ciclópico para BSTC diâmetro 1,50 m</v>
          </cell>
          <cell r="C240" t="str">
            <v>m</v>
          </cell>
          <cell r="D240" t="str">
            <v>584,94</v>
          </cell>
          <cell r="E240" t="str">
            <v>A incluir</v>
          </cell>
        </row>
        <row r="241">
          <cell r="A241">
            <v>40524</v>
          </cell>
          <cell r="B241" t="str">
            <v>Berço de concreto ciclópico para BTTC diâmetro 0,60 m</v>
          </cell>
          <cell r="C241" t="str">
            <v>m</v>
          </cell>
          <cell r="D241" t="str">
            <v>336,53</v>
          </cell>
          <cell r="E241" t="str">
            <v>A incluir</v>
          </cell>
        </row>
        <row r="242">
          <cell r="A242">
            <v>40525</v>
          </cell>
          <cell r="B242" t="str">
            <v>Berço de concreto ciclópico para BTTC diâmetro 0,80 m</v>
          </cell>
          <cell r="C242" t="str">
            <v>m</v>
          </cell>
          <cell r="D242" t="str">
            <v>535,87</v>
          </cell>
          <cell r="E242" t="str">
            <v>A incluir</v>
          </cell>
        </row>
        <row r="243">
          <cell r="A243">
            <v>40526</v>
          </cell>
          <cell r="B243" t="str">
            <v>Berço de concreto ciclópico para BTTC diâmetro 1,00 m</v>
          </cell>
          <cell r="C243" t="str">
            <v>m</v>
          </cell>
          <cell r="D243" t="str">
            <v>776,66</v>
          </cell>
          <cell r="E243" t="str">
            <v>A incluir</v>
          </cell>
        </row>
        <row r="244">
          <cell r="A244">
            <v>40527</v>
          </cell>
          <cell r="B244" t="str">
            <v>Berço de concreto ciclópico para BTTC diâmetro 1,20 m</v>
          </cell>
          <cell r="C244" t="str">
            <v>m</v>
          </cell>
          <cell r="D244" t="str">
            <v>1.055,66</v>
          </cell>
          <cell r="E244" t="str">
            <v>A incluir</v>
          </cell>
        </row>
        <row r="245">
          <cell r="A245">
            <v>40528</v>
          </cell>
          <cell r="B245" t="str">
            <v>Berço de concreto ciclópico para BTTC diâmetro 1,50 m</v>
          </cell>
          <cell r="C245" t="str">
            <v>m</v>
          </cell>
          <cell r="D245" t="str">
            <v>1.535,07</v>
          </cell>
          <cell r="E245" t="str">
            <v>A incluir</v>
          </cell>
        </row>
        <row r="246">
          <cell r="A246">
            <v>41177</v>
          </cell>
          <cell r="B246" t="str">
            <v>Berço em brita para BSTC diâm. -&gt; 1,00 m</v>
          </cell>
          <cell r="C246" t="str">
            <v>m</v>
          </cell>
          <cell r="D246" t="str">
            <v>34,15</v>
          </cell>
          <cell r="E246" t="str">
            <v>A incluir</v>
          </cell>
        </row>
        <row r="247">
          <cell r="A247">
            <v>100391</v>
          </cell>
          <cell r="B247" t="str">
            <v>Berço em brita para BSTC diâm. -&gt; 1,20 m</v>
          </cell>
          <cell r="C247" t="str">
            <v>m</v>
          </cell>
          <cell r="D247" t="str">
            <v>38,03</v>
          </cell>
          <cell r="E247" t="str">
            <v>A incluir</v>
          </cell>
        </row>
        <row r="248">
          <cell r="A248">
            <v>41172</v>
          </cell>
          <cell r="B248" t="str">
            <v>Berço em concreto ciclópico para BSTC diâm. -&gt; 0,30m</v>
          </cell>
          <cell r="C248" t="str">
            <v>m</v>
          </cell>
          <cell r="D248" t="str">
            <v>73,31</v>
          </cell>
          <cell r="E248" t="str">
            <v>A incluir</v>
          </cell>
        </row>
        <row r="249">
          <cell r="A249">
            <v>40620</v>
          </cell>
          <cell r="B249" t="str">
            <v>Boca de BDCC 1,50 x 1,50 m projeto DNIT</v>
          </cell>
          <cell r="C249" t="str">
            <v>un</v>
          </cell>
          <cell r="D249" t="str">
            <v>12.758,78</v>
          </cell>
          <cell r="E249">
            <v>0</v>
          </cell>
        </row>
        <row r="250">
          <cell r="A250">
            <v>40626</v>
          </cell>
          <cell r="B250" t="str">
            <v>Boca de BDCC 2,00 x 1,20 m conforme projeto</v>
          </cell>
          <cell r="C250" t="str">
            <v>un</v>
          </cell>
          <cell r="D250" t="str">
            <v>12.362,90</v>
          </cell>
          <cell r="E250">
            <v>0</v>
          </cell>
        </row>
        <row r="251">
          <cell r="A251">
            <v>40621</v>
          </cell>
          <cell r="B251" t="str">
            <v>Boca de BDCC 2,00 x 2,00 m projeto DNIT</v>
          </cell>
          <cell r="C251" t="str">
            <v>un</v>
          </cell>
          <cell r="D251" t="str">
            <v>19.456,99</v>
          </cell>
          <cell r="E251">
            <v>0</v>
          </cell>
        </row>
        <row r="252">
          <cell r="A252">
            <v>40622</v>
          </cell>
          <cell r="B252" t="str">
            <v>Boca de BDCC 2,00 x 3,00 m projeto DNIT</v>
          </cell>
          <cell r="C252" t="str">
            <v>un</v>
          </cell>
          <cell r="D252" t="str">
            <v>30.071,59</v>
          </cell>
          <cell r="E252">
            <v>0</v>
          </cell>
        </row>
        <row r="253">
          <cell r="A253">
            <v>40627</v>
          </cell>
          <cell r="B253" t="str">
            <v>Boca de BDCC 2,50 x 2,00 m conforme projeto</v>
          </cell>
          <cell r="C253" t="str">
            <v>un</v>
          </cell>
          <cell r="D253" t="str">
            <v>22.763,98</v>
          </cell>
          <cell r="E253">
            <v>0</v>
          </cell>
        </row>
        <row r="254">
          <cell r="A254">
            <v>40623</v>
          </cell>
          <cell r="B254" t="str">
            <v>Boca de BDCC 2,50 x 2,50 m projeto DNIT</v>
          </cell>
          <cell r="C254" t="str">
            <v>un</v>
          </cell>
          <cell r="D254" t="str">
            <v>27.009,90</v>
          </cell>
          <cell r="E254">
            <v>0</v>
          </cell>
        </row>
        <row r="255">
          <cell r="A255">
            <v>40624</v>
          </cell>
          <cell r="B255" t="str">
            <v>Boca de BDCC 2,50 x 3,00 m projeto DNIT</v>
          </cell>
          <cell r="C255" t="str">
            <v>un</v>
          </cell>
          <cell r="D255" t="str">
            <v>34.074,51</v>
          </cell>
          <cell r="E255">
            <v>0</v>
          </cell>
        </row>
        <row r="256">
          <cell r="A256">
            <v>40625</v>
          </cell>
          <cell r="B256" t="str">
            <v>Boca de BDCC 3,00 x 3,00 m projeto DNIT</v>
          </cell>
          <cell r="C256" t="str">
            <v>un</v>
          </cell>
          <cell r="D256" t="str">
            <v>38.345,61</v>
          </cell>
          <cell r="E256">
            <v>0</v>
          </cell>
        </row>
        <row r="257">
          <cell r="A257">
            <v>40613</v>
          </cell>
          <cell r="B257" t="str">
            <v>Boca de BSCC 1,50 x 1,50 m projeto DNIT</v>
          </cell>
          <cell r="C257" t="str">
            <v>un</v>
          </cell>
          <cell r="D257" t="str">
            <v>11.172,44</v>
          </cell>
          <cell r="E257">
            <v>0</v>
          </cell>
        </row>
        <row r="258">
          <cell r="A258">
            <v>40614</v>
          </cell>
          <cell r="B258" t="str">
            <v>Boca de BSCC 2,00 x 2,00 m projeto DNIT</v>
          </cell>
          <cell r="C258" t="str">
            <v>un</v>
          </cell>
          <cell r="D258" t="str">
            <v>17.102,48</v>
          </cell>
          <cell r="E258">
            <v>0</v>
          </cell>
        </row>
        <row r="259">
          <cell r="A259">
            <v>40615</v>
          </cell>
          <cell r="B259" t="str">
            <v>Boca de BSCC 2,00 x 3,00 m projeto DNIT</v>
          </cell>
          <cell r="C259" t="str">
            <v>un</v>
          </cell>
          <cell r="D259" t="str">
            <v>25.548,07</v>
          </cell>
          <cell r="E259">
            <v>0</v>
          </cell>
        </row>
        <row r="260">
          <cell r="A260">
            <v>40616</v>
          </cell>
          <cell r="B260" t="str">
            <v>Boca de BSCC 2,50 x 2,50 m projeto DNIT</v>
          </cell>
          <cell r="C260" t="str">
            <v>un</v>
          </cell>
          <cell r="D260" t="str">
            <v>22.513,33</v>
          </cell>
          <cell r="E260">
            <v>0</v>
          </cell>
        </row>
        <row r="261">
          <cell r="A261">
            <v>40617</v>
          </cell>
          <cell r="B261" t="str">
            <v>Boca de BSCC 2,50 x 3,00 m projeto DNIT</v>
          </cell>
          <cell r="C261" t="str">
            <v>un</v>
          </cell>
          <cell r="D261" t="str">
            <v>28.544,47</v>
          </cell>
          <cell r="E261">
            <v>0</v>
          </cell>
        </row>
        <row r="262">
          <cell r="A262">
            <v>40618</v>
          </cell>
          <cell r="B262" t="str">
            <v>Boca de BSCC 3,00 x 3,00 m projeto DNIT</v>
          </cell>
          <cell r="C262" t="str">
            <v>un</v>
          </cell>
          <cell r="D262" t="str">
            <v>32.061,76</v>
          </cell>
          <cell r="E262">
            <v>0</v>
          </cell>
        </row>
        <row r="263">
          <cell r="A263">
            <v>40629</v>
          </cell>
          <cell r="B263" t="str">
            <v>Boca de BTCC 1,50 x 1,50 m projeto DNIT</v>
          </cell>
          <cell r="C263" t="str">
            <v>un</v>
          </cell>
          <cell r="D263" t="str">
            <v>15.773,52</v>
          </cell>
          <cell r="E263">
            <v>0</v>
          </cell>
        </row>
        <row r="264">
          <cell r="A264">
            <v>40630</v>
          </cell>
          <cell r="B264" t="str">
            <v>Boca de BTCC 2,00 x 2,00 m projeto DNIT</v>
          </cell>
          <cell r="C264" t="str">
            <v>un</v>
          </cell>
          <cell r="D264" t="str">
            <v>23.752,90</v>
          </cell>
          <cell r="E264">
            <v>0</v>
          </cell>
        </row>
        <row r="265">
          <cell r="A265">
            <v>40631</v>
          </cell>
          <cell r="B265" t="str">
            <v>Boca de BTCC 2,00 x 3,00 m projeto DNIT</v>
          </cell>
          <cell r="C265" t="str">
            <v>un</v>
          </cell>
          <cell r="D265" t="str">
            <v>35.694,57</v>
          </cell>
          <cell r="E265">
            <v>0</v>
          </cell>
        </row>
        <row r="266">
          <cell r="A266">
            <v>40632</v>
          </cell>
          <cell r="B266" t="str">
            <v>Boca de BTCC 2,50 x 2,50 m projeto DNIT</v>
          </cell>
          <cell r="C266" t="str">
            <v>un</v>
          </cell>
          <cell r="D266" t="str">
            <v>32.966,78</v>
          </cell>
          <cell r="E266">
            <v>0</v>
          </cell>
        </row>
        <row r="267">
          <cell r="A267">
            <v>40633</v>
          </cell>
          <cell r="B267" t="str">
            <v>Boca de BTCC 2,50 x 3,00 m projeto DNIT</v>
          </cell>
          <cell r="C267" t="str">
            <v>un</v>
          </cell>
          <cell r="D267" t="str">
            <v>40.571,86</v>
          </cell>
          <cell r="E267">
            <v>0</v>
          </cell>
        </row>
        <row r="268">
          <cell r="A268">
            <v>40634</v>
          </cell>
          <cell r="B268" t="str">
            <v>Boca de BTCC 3,00 x 3,00 m projeto DNIT</v>
          </cell>
          <cell r="C268" t="str">
            <v>un</v>
          </cell>
          <cell r="D268" t="str">
            <v>46.023,10</v>
          </cell>
          <cell r="E268">
            <v>0</v>
          </cell>
        </row>
        <row r="269">
          <cell r="A269">
            <v>40535</v>
          </cell>
          <cell r="B269" t="str">
            <v>Boca de concreto ciclópico para BDTC diâmetro 0,60 m</v>
          </cell>
          <cell r="C269" t="str">
            <v>un</v>
          </cell>
          <cell r="D269" t="str">
            <v>1.226,37</v>
          </cell>
          <cell r="E269" t="str">
            <v>A incluir</v>
          </cell>
        </row>
        <row r="270">
          <cell r="A270">
            <v>40536</v>
          </cell>
          <cell r="B270" t="str">
            <v>Boca de concreto ciclópico para BDTC diâmetro 0,80 m</v>
          </cell>
          <cell r="C270" t="str">
            <v>un</v>
          </cell>
          <cell r="D270" t="str">
            <v>2.032,46</v>
          </cell>
          <cell r="E270" t="str">
            <v>A incluir</v>
          </cell>
        </row>
        <row r="271">
          <cell r="A271">
            <v>40537</v>
          </cell>
          <cell r="B271" t="str">
            <v>Boca de concreto ciclópico para BDTC diâmetro 1,00 m</v>
          </cell>
          <cell r="C271" t="str">
            <v>un</v>
          </cell>
          <cell r="D271" t="str">
            <v>3.759,30</v>
          </cell>
          <cell r="E271" t="str">
            <v>A incluir</v>
          </cell>
        </row>
        <row r="272">
          <cell r="A272">
            <v>40538</v>
          </cell>
          <cell r="B272" t="str">
            <v>Boca de concreto ciclópico para BDTC diâmetro 1,20 m</v>
          </cell>
          <cell r="C272" t="str">
            <v>un</v>
          </cell>
          <cell r="D272" t="str">
            <v>5.428,15</v>
          </cell>
          <cell r="E272" t="str">
            <v>A incluir</v>
          </cell>
        </row>
        <row r="273">
          <cell r="A273">
            <v>40539</v>
          </cell>
          <cell r="B273" t="str">
            <v>Boca de concreto ciclópico para BDTC diâmetro 1,50 m</v>
          </cell>
          <cell r="C273" t="str">
            <v>un</v>
          </cell>
          <cell r="D273" t="str">
            <v>9.539,69</v>
          </cell>
          <cell r="E273" t="str">
            <v>A incluir</v>
          </cell>
        </row>
        <row r="274">
          <cell r="A274">
            <v>40529</v>
          </cell>
          <cell r="B274" t="str">
            <v>Boca de concreto ciclópico para BSTC diâmetro 0,40 m</v>
          </cell>
          <cell r="C274" t="str">
            <v>un</v>
          </cell>
          <cell r="D274" t="str">
            <v>351,97</v>
          </cell>
          <cell r="E274" t="str">
            <v>A incluir</v>
          </cell>
        </row>
        <row r="275">
          <cell r="A275">
            <v>40530</v>
          </cell>
          <cell r="B275" t="str">
            <v>Boca de concreto ciclópico para BSTC diâmetro 0,60 m</v>
          </cell>
          <cell r="C275" t="str">
            <v>un</v>
          </cell>
          <cell r="D275" t="str">
            <v>1.061,07</v>
          </cell>
          <cell r="E275" t="str">
            <v>A incluir</v>
          </cell>
        </row>
        <row r="276">
          <cell r="A276">
            <v>40531</v>
          </cell>
          <cell r="B276" t="str">
            <v>Boca de concreto ciclópico para BSTC diâmetro 0,80 m</v>
          </cell>
          <cell r="C276" t="str">
            <v>un</v>
          </cell>
          <cell r="D276" t="str">
            <v>1.759,76</v>
          </cell>
          <cell r="E276" t="str">
            <v>A incluir</v>
          </cell>
        </row>
        <row r="277">
          <cell r="A277">
            <v>40532</v>
          </cell>
          <cell r="B277" t="str">
            <v>Boca de concreto ciclópico para BSTC diâmetro 1,00 m</v>
          </cell>
          <cell r="C277" t="str">
            <v>un</v>
          </cell>
          <cell r="D277" t="str">
            <v>2.701,43</v>
          </cell>
          <cell r="E277" t="str">
            <v>A incluir</v>
          </cell>
        </row>
        <row r="278">
          <cell r="A278">
            <v>40533</v>
          </cell>
          <cell r="B278" t="str">
            <v>Boca de concreto ciclópico para BSTC diâmetro 1,20 m</v>
          </cell>
          <cell r="C278" t="str">
            <v>un</v>
          </cell>
          <cell r="D278" t="str">
            <v>3.889,63</v>
          </cell>
          <cell r="E278" t="str">
            <v>A incluir</v>
          </cell>
        </row>
        <row r="279">
          <cell r="A279">
            <v>40534</v>
          </cell>
          <cell r="B279" t="str">
            <v>Boca de concreto ciclópico para BSTC diâmetro 1,50 m</v>
          </cell>
          <cell r="C279" t="str">
            <v>un</v>
          </cell>
          <cell r="D279" t="str">
            <v>7.005,34</v>
          </cell>
          <cell r="E279" t="str">
            <v>A incluir</v>
          </cell>
        </row>
        <row r="280">
          <cell r="A280">
            <v>40540</v>
          </cell>
          <cell r="B280" t="str">
            <v>Boca de concreto ciclópico para BTTC diâmetro 0,60 m</v>
          </cell>
          <cell r="C280" t="str">
            <v>un</v>
          </cell>
          <cell r="D280" t="str">
            <v>1.530,51</v>
          </cell>
          <cell r="E280" t="str">
            <v>A incluir</v>
          </cell>
        </row>
        <row r="281">
          <cell r="A281">
            <v>40541</v>
          </cell>
          <cell r="B281" t="str">
            <v>Boca de concreto ciclópico para BTTC diâmetro 0,80 m</v>
          </cell>
          <cell r="C281" t="str">
            <v>un</v>
          </cell>
          <cell r="D281" t="str">
            <v>2.495,09</v>
          </cell>
          <cell r="E281" t="str">
            <v>A incluir</v>
          </cell>
        </row>
        <row r="282">
          <cell r="A282">
            <v>40542</v>
          </cell>
          <cell r="B282" t="str">
            <v>Boca de concreto ciclópico para BTTC diâmetro 1,00 m</v>
          </cell>
          <cell r="C282" t="str">
            <v>un</v>
          </cell>
          <cell r="D282" t="str">
            <v>4.817,18</v>
          </cell>
          <cell r="E282" t="str">
            <v>A incluir</v>
          </cell>
        </row>
        <row r="283">
          <cell r="A283">
            <v>40543</v>
          </cell>
          <cell r="B283" t="str">
            <v>Boca de concreto ciclópico para BTTC diâmetro 1,20 m</v>
          </cell>
          <cell r="C283" t="str">
            <v>un</v>
          </cell>
          <cell r="D283" t="str">
            <v>6.965,87</v>
          </cell>
          <cell r="E283" t="str">
            <v>A incluir</v>
          </cell>
        </row>
        <row r="284">
          <cell r="A284">
            <v>40544</v>
          </cell>
          <cell r="B284" t="str">
            <v>Boca de concreto ciclópico para BTTC diâmetro 1,50 m</v>
          </cell>
          <cell r="C284" t="str">
            <v>un</v>
          </cell>
          <cell r="D284" t="str">
            <v>12.120,58</v>
          </cell>
          <cell r="E284" t="str">
            <v>A incluir</v>
          </cell>
        </row>
        <row r="285">
          <cell r="A285">
            <v>40565</v>
          </cell>
          <cell r="B285" t="str">
            <v>Boca de lobo simples</v>
          </cell>
          <cell r="C285" t="str">
            <v>un</v>
          </cell>
          <cell r="D285" t="str">
            <v>2.747,52</v>
          </cell>
          <cell r="E285">
            <v>0</v>
          </cell>
        </row>
        <row r="286">
          <cell r="A286">
            <v>40656</v>
          </cell>
          <cell r="B286" t="str">
            <v>Boca de saída de dreno profundo BSD-01</v>
          </cell>
          <cell r="C286" t="str">
            <v>un</v>
          </cell>
          <cell r="D286" t="str">
            <v>223,83</v>
          </cell>
          <cell r="E286" t="str">
            <v>A incluir</v>
          </cell>
        </row>
        <row r="287">
          <cell r="A287">
            <v>41102</v>
          </cell>
          <cell r="B287" t="str">
            <v>BSCC (pré-moldado) 1,50 x 1,50 x 1,00m CL 45t, inclusive transporte do Anel de Bueiro Celular Pré-moldado</v>
          </cell>
          <cell r="C287" t="str">
            <v>m</v>
          </cell>
          <cell r="D287" t="str">
            <v>4.207,99</v>
          </cell>
          <cell r="E287" t="str">
            <v>A incluir</v>
          </cell>
        </row>
        <row r="288">
          <cell r="A288">
            <v>41103</v>
          </cell>
          <cell r="B288" t="str">
            <v>BSCC (pré-moldado) 2,00 x 2,00 x 1,00m CL 45t, inclusive transporte de Anel de Bueiro Celular Pré-moldado</v>
          </cell>
          <cell r="C288" t="str">
            <v>m</v>
          </cell>
          <cell r="D288" t="str">
            <v>5.626,65</v>
          </cell>
          <cell r="E288" t="str">
            <v>A incluir</v>
          </cell>
        </row>
        <row r="289">
          <cell r="A289">
            <v>41104</v>
          </cell>
          <cell r="B289" t="str">
            <v>BSCC (pré-moldado) 2,50 x 2,50 x 1,00m CL 45t, inclusive transporte de Anel de Bueiro Celular Pré-moldado</v>
          </cell>
          <cell r="C289" t="str">
            <v>m</v>
          </cell>
          <cell r="D289" t="str">
            <v>5.940,74</v>
          </cell>
          <cell r="E289" t="str">
            <v>A incluir</v>
          </cell>
        </row>
        <row r="290">
          <cell r="A290">
            <v>41155</v>
          </cell>
          <cell r="B290" t="str">
            <v>BSCC (pré-moldado) 3,00 x 3,00 x 1,00m CL 45t, inclusive transporte de Anel de Bueiro Celular Pré-moldado</v>
          </cell>
          <cell r="C290" t="str">
            <v>m</v>
          </cell>
          <cell r="D290" t="str">
            <v>7.926,62</v>
          </cell>
          <cell r="E290" t="str">
            <v>A incluir</v>
          </cell>
        </row>
        <row r="291">
          <cell r="A291">
            <v>40635</v>
          </cell>
          <cell r="B291" t="str">
            <v>Bueiro Metálico BSTM - D -&gt; 3,00 m - T.L. com tratamento epóxi e -&gt; 2,7 mm - método não destrutivo</v>
          </cell>
          <cell r="C291" t="str">
            <v>m</v>
          </cell>
          <cell r="D291" t="str">
            <v>8.931,85</v>
          </cell>
          <cell r="E291" t="str">
            <v>A incluir</v>
          </cell>
        </row>
        <row r="292">
          <cell r="A292">
            <v>42230</v>
          </cell>
          <cell r="B292" t="str">
            <v>Bueiro Metálico BSTM - D-&gt;3,05m - MP-152 com tratamento epóxi e-&gt;2,7mm - método destrutivo, inclusive lastro de brita</v>
          </cell>
          <cell r="C292" t="str">
            <v>m</v>
          </cell>
          <cell r="D292" t="str">
            <v>6.095,90</v>
          </cell>
          <cell r="E292" t="str">
            <v>A incluir</v>
          </cell>
        </row>
        <row r="293">
          <cell r="A293">
            <v>40658</v>
          </cell>
          <cell r="B293" t="str">
            <v>Caiação de meio fios, sarjetas, etc</v>
          </cell>
          <cell r="C293" t="str">
            <v>m²</v>
          </cell>
          <cell r="D293" t="str">
            <v>4,84</v>
          </cell>
          <cell r="E293">
            <v>0</v>
          </cell>
        </row>
        <row r="294">
          <cell r="A294">
            <v>41161</v>
          </cell>
          <cell r="B294" t="str">
            <v>Caixa Boca de Lobo em bloco pré-moldado 1,20 x 1,20m</v>
          </cell>
          <cell r="C294" t="str">
            <v>un</v>
          </cell>
          <cell r="D294" t="str">
            <v>3.850,15</v>
          </cell>
          <cell r="E294">
            <v>0</v>
          </cell>
        </row>
        <row r="295">
          <cell r="A295">
            <v>40563</v>
          </cell>
          <cell r="B295" t="str">
            <v>Caixa coletora concreto armado H-&gt; 2,00 m, inclusive escavação</v>
          </cell>
          <cell r="C295" t="str">
            <v>un</v>
          </cell>
          <cell r="D295" t="str">
            <v>4.040,03</v>
          </cell>
          <cell r="E295">
            <v>0</v>
          </cell>
        </row>
        <row r="296">
          <cell r="A296">
            <v>40564</v>
          </cell>
          <cell r="B296" t="str">
            <v>Caixa coletora concreto armado H-&gt; 2,50 m, inclusive escavação</v>
          </cell>
          <cell r="C296" t="str">
            <v>un</v>
          </cell>
          <cell r="D296" t="str">
            <v>4.964,76</v>
          </cell>
          <cell r="E296">
            <v>0</v>
          </cell>
        </row>
        <row r="297">
          <cell r="A297">
            <v>41333</v>
          </cell>
          <cell r="B297" t="str">
            <v>Caixa coletora em bloco pré-moldado para d-&gt;0,60m (1,00 x 1,00m)</v>
          </cell>
          <cell r="C297" t="str">
            <v>un</v>
          </cell>
          <cell r="D297" t="str">
            <v>1.938,42</v>
          </cell>
          <cell r="E297" t="str">
            <v>A incluir</v>
          </cell>
        </row>
        <row r="298">
          <cell r="A298">
            <v>40545</v>
          </cell>
          <cell r="B298" t="str">
            <v>Caixa de concreto para BSTC diâmetro 0,40 m H-&gt;1,60 m</v>
          </cell>
          <cell r="C298" t="str">
            <v>un</v>
          </cell>
          <cell r="D298" t="str">
            <v>1.879,82</v>
          </cell>
          <cell r="E298" t="str">
            <v>A incluir</v>
          </cell>
        </row>
        <row r="299">
          <cell r="A299">
            <v>40546</v>
          </cell>
          <cell r="B299" t="str">
            <v>Caixa de concreto para BSTC diâmetro 0,60 m H-&gt;2,00 m</v>
          </cell>
          <cell r="C299" t="str">
            <v>un</v>
          </cell>
          <cell r="D299" t="str">
            <v>2.922,18</v>
          </cell>
          <cell r="E299" t="str">
            <v>A incluir</v>
          </cell>
        </row>
        <row r="300">
          <cell r="A300">
            <v>40547</v>
          </cell>
          <cell r="B300" t="str">
            <v>Caixa de concreto para BSTC diâmetro 0,80 m H-&gt;2,50 m</v>
          </cell>
          <cell r="C300" t="str">
            <v>un</v>
          </cell>
          <cell r="D300" t="str">
            <v>3.626,24</v>
          </cell>
          <cell r="E300" t="str">
            <v>A incluir</v>
          </cell>
        </row>
        <row r="301">
          <cell r="A301">
            <v>40548</v>
          </cell>
          <cell r="B301" t="str">
            <v>Caixa de concreto para BSTC diâmetro 1,00 m H-&gt;3,00 m</v>
          </cell>
          <cell r="C301" t="str">
            <v>un</v>
          </cell>
          <cell r="D301" t="str">
            <v>4.307,29</v>
          </cell>
          <cell r="E301" t="str">
            <v>A incluir</v>
          </cell>
        </row>
        <row r="302">
          <cell r="A302">
            <v>40549</v>
          </cell>
          <cell r="B302" t="str">
            <v>Caixa de passagem para tubos de D-&gt;0,40 m H-&gt;1,10 m</v>
          </cell>
          <cell r="C302" t="str">
            <v>un</v>
          </cell>
          <cell r="D302" t="str">
            <v>1.246,52</v>
          </cell>
          <cell r="E302">
            <v>0</v>
          </cell>
        </row>
        <row r="303">
          <cell r="A303">
            <v>40550</v>
          </cell>
          <cell r="B303" t="str">
            <v>Caixa de passagem para tubos de D-&gt;0,60 m H-&gt;1,30 m</v>
          </cell>
          <cell r="C303" t="str">
            <v>un</v>
          </cell>
          <cell r="D303" t="str">
            <v>1.571,69</v>
          </cell>
          <cell r="E303">
            <v>0</v>
          </cell>
        </row>
        <row r="304">
          <cell r="A304">
            <v>40551</v>
          </cell>
          <cell r="B304" t="str">
            <v>Caixa de passagem para tubos de D-&gt;0,80 m H-&gt;1,50 m</v>
          </cell>
          <cell r="C304" t="str">
            <v>un</v>
          </cell>
          <cell r="D304" t="str">
            <v>1.974,22</v>
          </cell>
          <cell r="E304">
            <v>0</v>
          </cell>
        </row>
        <row r="305">
          <cell r="A305">
            <v>40552</v>
          </cell>
          <cell r="B305" t="str">
            <v>Caixa de passagem para tubos de D-&gt;1,00 m H-&gt;1,80 m</v>
          </cell>
          <cell r="C305" t="str">
            <v>un</v>
          </cell>
          <cell r="D305" t="str">
            <v>3.131,40</v>
          </cell>
          <cell r="E305">
            <v>0</v>
          </cell>
        </row>
        <row r="306">
          <cell r="A306">
            <v>41320</v>
          </cell>
          <cell r="B306" t="str">
            <v>Caixa de passagem (2,50 x 2,50m)</v>
          </cell>
          <cell r="C306" t="str">
            <v>un</v>
          </cell>
          <cell r="D306" t="str">
            <v>6.897,61</v>
          </cell>
          <cell r="E306" t="str">
            <v>A incluir</v>
          </cell>
        </row>
        <row r="307">
          <cell r="A307">
            <v>41184</v>
          </cell>
          <cell r="B307" t="str">
            <v>Caixa para rede de dutos, dimensões 100 x 100 x 100 cm</v>
          </cell>
          <cell r="C307" t="str">
            <v>m</v>
          </cell>
          <cell r="D307" t="str">
            <v>1.138,03</v>
          </cell>
          <cell r="E307">
            <v>0</v>
          </cell>
        </row>
        <row r="308">
          <cell r="A308">
            <v>41338</v>
          </cell>
          <cell r="B308" t="str">
            <v>Caixa para rede de dutos, dimensões 60 x 60 x 60 cm</v>
          </cell>
          <cell r="C308" t="str">
            <v>un</v>
          </cell>
          <cell r="D308" t="str">
            <v>521,56</v>
          </cell>
          <cell r="E308">
            <v>0</v>
          </cell>
        </row>
        <row r="309">
          <cell r="A309">
            <v>40561</v>
          </cell>
          <cell r="B309" t="str">
            <v>Caixa ralo de elementos pré-moldados em concreto (tudo incluído)</v>
          </cell>
          <cell r="C309" t="str">
            <v>un</v>
          </cell>
          <cell r="D309" t="str">
            <v>675,35</v>
          </cell>
          <cell r="E309" t="str">
            <v>A incluir</v>
          </cell>
        </row>
        <row r="310">
          <cell r="A310">
            <v>40672</v>
          </cell>
          <cell r="B310" t="str">
            <v>Canaleta com grelha DP-1, inclusive transporte da grelha</v>
          </cell>
          <cell r="C310" t="str">
            <v>m</v>
          </cell>
          <cell r="D310" t="str">
            <v>558,32</v>
          </cell>
          <cell r="E310" t="str">
            <v>A incluir</v>
          </cell>
        </row>
        <row r="311">
          <cell r="A311">
            <v>40703</v>
          </cell>
          <cell r="B311" t="str">
            <v>Canaleta de concreto, com forma retangular inclusive caiação - parede 12 cm</v>
          </cell>
          <cell r="C311" t="str">
            <v>m</v>
          </cell>
          <cell r="D311" t="str">
            <v>187,89</v>
          </cell>
          <cell r="E311">
            <v>0</v>
          </cell>
        </row>
        <row r="312">
          <cell r="A312">
            <v>40671</v>
          </cell>
          <cell r="B312" t="str">
            <v>Canaleta de concreto retangular (0,130m³/m) inclusive caiação</v>
          </cell>
          <cell r="C312" t="str">
            <v>m</v>
          </cell>
          <cell r="D312" t="str">
            <v>232,85</v>
          </cell>
          <cell r="E312">
            <v>0</v>
          </cell>
        </row>
        <row r="313">
          <cell r="A313">
            <v>41016</v>
          </cell>
          <cell r="B313" t="str">
            <v>Canaleta de concreto (0,130m³/m) forma trapezoidal inclusive caiação</v>
          </cell>
          <cell r="C313" t="str">
            <v>m</v>
          </cell>
          <cell r="D313" t="str">
            <v>170,21</v>
          </cell>
          <cell r="E313" t="str">
            <v>A incluir</v>
          </cell>
        </row>
        <row r="314">
          <cell r="A314">
            <v>40952</v>
          </cell>
          <cell r="B314" t="str">
            <v>Cerca de tela de arame galvanizado h -&gt; 1,20 m</v>
          </cell>
          <cell r="C314" t="str">
            <v>m²</v>
          </cell>
          <cell r="D314" t="str">
            <v>28,31</v>
          </cell>
          <cell r="E314">
            <v>0</v>
          </cell>
        </row>
        <row r="315">
          <cell r="A315">
            <v>40953</v>
          </cell>
          <cell r="B315" t="str">
            <v>Cerca de tela galvanizada fio 12 malha 3"x3", com altura de 1,80 m</v>
          </cell>
          <cell r="C315" t="str">
            <v>m</v>
          </cell>
          <cell r="D315" t="str">
            <v>67,93</v>
          </cell>
          <cell r="E315" t="str">
            <v>A incluir</v>
          </cell>
        </row>
        <row r="316">
          <cell r="A316">
            <v>40708</v>
          </cell>
          <cell r="B316" t="str">
            <v>Cerca em tela revestida em PVC com mourões de concreto, 10 x 10 x 2,40 m, fornecimento e execução</v>
          </cell>
          <cell r="C316" t="str">
            <v>m²</v>
          </cell>
          <cell r="D316" t="str">
            <v>68,25</v>
          </cell>
          <cell r="E316">
            <v>0</v>
          </cell>
        </row>
        <row r="317">
          <cell r="A317">
            <v>40377</v>
          </cell>
          <cell r="B317" t="str">
            <v>Chapisco com argamassa de cimento e areia no traço 1:3</v>
          </cell>
          <cell r="C317" t="str">
            <v>m²</v>
          </cell>
          <cell r="D317" t="str">
            <v>5,06</v>
          </cell>
          <cell r="E317">
            <v>0</v>
          </cell>
        </row>
        <row r="318">
          <cell r="A318">
            <v>40378</v>
          </cell>
          <cell r="B318" t="str">
            <v>Chapisco com argamassa de cimento e pedrisco no traço 1:4</v>
          </cell>
          <cell r="C318" t="str">
            <v>m²</v>
          </cell>
          <cell r="D318" t="str">
            <v>7,80</v>
          </cell>
          <cell r="E318">
            <v>0</v>
          </cell>
        </row>
        <row r="319">
          <cell r="A319">
            <v>41389</v>
          </cell>
          <cell r="B319" t="str">
            <v>Colchão drenante de areia para fundação de aterros, exclusive o fornecimento de areia</v>
          </cell>
          <cell r="C319" t="str">
            <v>m³</v>
          </cell>
          <cell r="D319" t="str">
            <v>4,10</v>
          </cell>
          <cell r="E319">
            <v>0</v>
          </cell>
        </row>
        <row r="320">
          <cell r="A320">
            <v>40715</v>
          </cell>
          <cell r="B320" t="str">
            <v>Colchão drenante de areia para fundação de aterros, inclusive fornecimento e transporte da areia</v>
          </cell>
          <cell r="C320" t="str">
            <v>m³</v>
          </cell>
          <cell r="D320" t="str">
            <v>77,02</v>
          </cell>
          <cell r="E320" t="str">
            <v>A incluir</v>
          </cell>
        </row>
        <row r="321">
          <cell r="A321">
            <v>40716</v>
          </cell>
          <cell r="B321" t="str">
            <v>Colchão drenante de brita 1 inclusive fornecimento, espalhamento, compactação e transporte da brita</v>
          </cell>
          <cell r="C321" t="str">
            <v>m³</v>
          </cell>
          <cell r="D321" t="str">
            <v>94,97</v>
          </cell>
          <cell r="E321" t="str">
            <v>A incluir</v>
          </cell>
        </row>
        <row r="322">
          <cell r="A322">
            <v>40717</v>
          </cell>
          <cell r="B322" t="str">
            <v>Colchão drenante de brita 2 inclusive fornecimento, espalhamento, compactação e transporte da brita</v>
          </cell>
          <cell r="C322" t="str">
            <v>m³</v>
          </cell>
          <cell r="D322" t="str">
            <v>92,25</v>
          </cell>
          <cell r="E322" t="str">
            <v>A incluir</v>
          </cell>
        </row>
        <row r="323">
          <cell r="A323">
            <v>40718</v>
          </cell>
          <cell r="B323" t="str">
            <v>Colchão drenante de brita 3 inclusive fornecimento, espalhamento, compactação e transporte da brita</v>
          </cell>
          <cell r="C323" t="str">
            <v>m³</v>
          </cell>
          <cell r="D323" t="str">
            <v>100,15</v>
          </cell>
          <cell r="E323" t="str">
            <v>A incluir</v>
          </cell>
        </row>
        <row r="324">
          <cell r="A324">
            <v>40652</v>
          </cell>
          <cell r="B324" t="str">
            <v>Coleta drenante (1,00x1,00) m c/ geotêxtil não tecido RT 16kn/m, inclusive transporte da brita</v>
          </cell>
          <cell r="C324" t="str">
            <v>m</v>
          </cell>
          <cell r="D324" t="str">
            <v>303,02</v>
          </cell>
          <cell r="E324" t="str">
            <v>A incluir</v>
          </cell>
        </row>
        <row r="325">
          <cell r="A325">
            <v>41090</v>
          </cell>
          <cell r="B325" t="str">
            <v>Concreto armado, dosado para resist. 20 Mpa, incluindo 60kg aço CA-50A, mão de obra p/ corte, dobragem e montagem, exclusive forma</v>
          </cell>
          <cell r="C325" t="str">
            <v>m³</v>
          </cell>
          <cell r="D325" t="str">
            <v>793,41</v>
          </cell>
          <cell r="E325">
            <v>0</v>
          </cell>
        </row>
        <row r="326">
          <cell r="A326">
            <v>40350</v>
          </cell>
          <cell r="B326" t="str">
            <v>Concreto ciclópico com 70% concreto 10,0 MPa e 30% de pedra de mão, tudo incluído</v>
          </cell>
          <cell r="C326" t="str">
            <v>m³</v>
          </cell>
          <cell r="D326" t="str">
            <v>372,02</v>
          </cell>
          <cell r="E326" t="str">
            <v>A incluir</v>
          </cell>
        </row>
        <row r="327">
          <cell r="A327">
            <v>40351</v>
          </cell>
          <cell r="B327" t="str">
            <v>Concreto ciclópico com 70% concreto 15,0 MPa e 30% de pedra de mão, tudo incluído</v>
          </cell>
          <cell r="C327" t="str">
            <v>m³</v>
          </cell>
          <cell r="D327" t="str">
            <v>410,60</v>
          </cell>
          <cell r="E327" t="str">
            <v>A incluir</v>
          </cell>
        </row>
        <row r="328">
          <cell r="A328">
            <v>40353</v>
          </cell>
          <cell r="B328" t="str">
            <v>Concreto ciclópico com 70% concreto 20,0 MPa e 30% de pedra de mão, tudo incluído</v>
          </cell>
          <cell r="C328" t="str">
            <v>m³</v>
          </cell>
          <cell r="D328" t="str">
            <v>429,91</v>
          </cell>
          <cell r="E328" t="str">
            <v>A incluir</v>
          </cell>
        </row>
        <row r="329">
          <cell r="A329">
            <v>40383</v>
          </cell>
          <cell r="B329" t="str">
            <v>Concreto de Cim.Port. com equip peq.porte (custo SICRO/DNIT)</v>
          </cell>
          <cell r="C329" t="str">
            <v>m³</v>
          </cell>
          <cell r="D329" t="str">
            <v>449,85</v>
          </cell>
          <cell r="E329">
            <v>0</v>
          </cell>
        </row>
        <row r="330">
          <cell r="A330">
            <v>40349</v>
          </cell>
          <cell r="B330" t="str">
            <v>Concreto de regularização, tudo incluído</v>
          </cell>
          <cell r="C330" t="str">
            <v>m³</v>
          </cell>
          <cell r="D330" t="str">
            <v>399,48</v>
          </cell>
          <cell r="E330" t="str">
            <v>A incluir</v>
          </cell>
        </row>
        <row r="331">
          <cell r="A331">
            <v>40358</v>
          </cell>
          <cell r="B331" t="str">
            <v>Concreto estrutural fck -&gt; 15,0 MPa, tudo incluído</v>
          </cell>
          <cell r="C331" t="str">
            <v>m³</v>
          </cell>
          <cell r="D331" t="str">
            <v>544,99</v>
          </cell>
          <cell r="E331" t="str">
            <v>A incluir</v>
          </cell>
        </row>
        <row r="332">
          <cell r="A332">
            <v>40361</v>
          </cell>
          <cell r="B332" t="str">
            <v>Concreto estrutural fck -&gt; 20,0 MPa com plastificante, tudo incluído</v>
          </cell>
          <cell r="C332" t="str">
            <v>m³</v>
          </cell>
          <cell r="D332" t="str">
            <v>574,76</v>
          </cell>
          <cell r="E332" t="str">
            <v>A incluir</v>
          </cell>
        </row>
        <row r="333">
          <cell r="A333">
            <v>40360</v>
          </cell>
          <cell r="B333" t="str">
            <v>Concreto estrutural fck -&gt; 20,0 MPa, tudo incluído</v>
          </cell>
          <cell r="C333" t="str">
            <v>m³</v>
          </cell>
          <cell r="D333" t="str">
            <v>572,58</v>
          </cell>
          <cell r="E333" t="str">
            <v>A incluir</v>
          </cell>
        </row>
        <row r="334">
          <cell r="A334">
            <v>40363</v>
          </cell>
          <cell r="B334" t="str">
            <v>Concreto estrutural fck -&gt; 25,0 MPa com plastificante, tudo incluído</v>
          </cell>
          <cell r="C334" t="str">
            <v>m³</v>
          </cell>
          <cell r="D334" t="str">
            <v>604,37</v>
          </cell>
          <cell r="E334" t="str">
            <v>A incluir</v>
          </cell>
        </row>
        <row r="335">
          <cell r="A335">
            <v>40362</v>
          </cell>
          <cell r="B335" t="str">
            <v>Concreto estrutural fck -&gt; 25,0 MPa, inclusive fornecimento e transporte do cimento, areia e pedra britada</v>
          </cell>
          <cell r="C335" t="str">
            <v>m³</v>
          </cell>
          <cell r="D335" t="str">
            <v>601,93</v>
          </cell>
          <cell r="E335" t="str">
            <v>A incluir</v>
          </cell>
        </row>
        <row r="336">
          <cell r="A336">
            <v>40368</v>
          </cell>
          <cell r="B336" t="str">
            <v>Concreto estrutural fck -&gt; 30,0 MPa com micro-silica e Sikacrete BR ou equivalente</v>
          </cell>
          <cell r="C336" t="str">
            <v>m³</v>
          </cell>
          <cell r="D336" t="str">
            <v>744,76</v>
          </cell>
          <cell r="E336" t="str">
            <v>A incluir</v>
          </cell>
        </row>
        <row r="337">
          <cell r="A337">
            <v>40365</v>
          </cell>
          <cell r="B337" t="str">
            <v>Concreto estrutural fck -&gt; 30,0 MPa com plastificante</v>
          </cell>
          <cell r="C337" t="str">
            <v>m³</v>
          </cell>
          <cell r="D337" t="str">
            <v>631,63</v>
          </cell>
          <cell r="E337" t="str">
            <v>A incluir</v>
          </cell>
        </row>
        <row r="338">
          <cell r="A338">
            <v>40364</v>
          </cell>
          <cell r="B338" t="str">
            <v>Concreto estrutural fck -&gt; 30,0 MPa, tudo incluído</v>
          </cell>
          <cell r="C338" t="str">
            <v>m³</v>
          </cell>
          <cell r="D338" t="str">
            <v>628,95</v>
          </cell>
          <cell r="E338" t="str">
            <v>A incluir</v>
          </cell>
        </row>
        <row r="339">
          <cell r="A339">
            <v>40369</v>
          </cell>
          <cell r="B339" t="str">
            <v>Concreto estrutural fck -&gt; 35,0 MPa com micro-silica e Sikacrete BR ou equivalente</v>
          </cell>
          <cell r="C339" t="str">
            <v>m³</v>
          </cell>
          <cell r="D339" t="str">
            <v>784,49</v>
          </cell>
          <cell r="E339" t="str">
            <v>A incluir</v>
          </cell>
        </row>
        <row r="340">
          <cell r="A340">
            <v>40371</v>
          </cell>
          <cell r="B340" t="str">
            <v>Concreto submerso fck -&gt; 20,0 MPa, tudo incluído</v>
          </cell>
          <cell r="C340" t="str">
            <v>m³</v>
          </cell>
          <cell r="D340" t="str">
            <v>1.111,71</v>
          </cell>
          <cell r="E340" t="str">
            <v>A incluir</v>
          </cell>
        </row>
        <row r="341">
          <cell r="A341">
            <v>41205</v>
          </cell>
          <cell r="B341" t="str">
            <v>Conjunto Moto-bomba submersível de 15CV, fornecimento e assentamento</v>
          </cell>
          <cell r="C341" t="str">
            <v>un</v>
          </cell>
          <cell r="D341" t="str">
            <v>32.264,69</v>
          </cell>
          <cell r="E341">
            <v>0</v>
          </cell>
        </row>
        <row r="342">
          <cell r="A342">
            <v>40467</v>
          </cell>
          <cell r="B342" t="str">
            <v>Corpo BDTC (grota) diâmetro 0,60 m CA-1 MF exclusive escavação e reaterro, inclusive transporte do tubo</v>
          </cell>
          <cell r="C342" t="str">
            <v>m</v>
          </cell>
          <cell r="D342" t="str">
            <v>275,01</v>
          </cell>
          <cell r="E342" t="str">
            <v>A incluir</v>
          </cell>
        </row>
        <row r="343">
          <cell r="A343">
            <v>40468</v>
          </cell>
          <cell r="B343" t="str">
            <v>Corpo BDTC (grota) diâmetro 0,60 m CA-1 PB exclusive escavação e reaterro, inclusive transporte do tubo</v>
          </cell>
          <cell r="C343" t="str">
            <v>m</v>
          </cell>
          <cell r="D343" t="str">
            <v>285,45</v>
          </cell>
          <cell r="E343" t="str">
            <v>A incluir</v>
          </cell>
        </row>
        <row r="344">
          <cell r="A344">
            <v>40469</v>
          </cell>
          <cell r="B344" t="str">
            <v>Corpo BDTC (grota) diâmetro 0,60 m CA-2 MF exclusive escavação e reaterro, inclusive transporte do tubo</v>
          </cell>
          <cell r="C344" t="str">
            <v>m</v>
          </cell>
          <cell r="D344" t="str">
            <v>278,89</v>
          </cell>
          <cell r="E344" t="str">
            <v>A incluir</v>
          </cell>
        </row>
        <row r="345">
          <cell r="A345">
            <v>40470</v>
          </cell>
          <cell r="B345" t="str">
            <v>Corpo BDTC (grota) diâmetro 0,60 m CA-2 PB exclusive escavação e reaterro, inclusive transporte do tubo</v>
          </cell>
          <cell r="C345" t="str">
            <v>m</v>
          </cell>
          <cell r="D345" t="str">
            <v>285,58</v>
          </cell>
          <cell r="E345" t="str">
            <v>A incluir</v>
          </cell>
        </row>
        <row r="346">
          <cell r="A346">
            <v>40471</v>
          </cell>
          <cell r="B346" t="str">
            <v>Corpo BDTC (grota) diâmetro 0,80 m CA-1 MF exclusive escavação e reaterro, inclusive transporte do tubo</v>
          </cell>
          <cell r="C346" t="str">
            <v>m</v>
          </cell>
          <cell r="D346" t="str">
            <v>571,90</v>
          </cell>
          <cell r="E346" t="str">
            <v>A incluir</v>
          </cell>
        </row>
        <row r="347">
          <cell r="A347">
            <v>40472</v>
          </cell>
          <cell r="B347" t="str">
            <v>Corpo BDTC (grota) diâmetro 0,80 m CA-1 PB exclusive escavação e reaterro, inclusive transporte do tubo</v>
          </cell>
          <cell r="C347" t="str">
            <v>m</v>
          </cell>
          <cell r="D347" t="str">
            <v>585,46</v>
          </cell>
          <cell r="E347" t="str">
            <v>A incluir</v>
          </cell>
        </row>
        <row r="348">
          <cell r="A348">
            <v>40473</v>
          </cell>
          <cell r="B348" t="str">
            <v>Corpo BDTC (grota) diâmetro 0,80 m CA-2 MF exclusive escavação e reaterro, inclusive transporte do tubo</v>
          </cell>
          <cell r="C348" t="str">
            <v>m</v>
          </cell>
          <cell r="D348" t="str">
            <v>591,34</v>
          </cell>
          <cell r="E348" t="str">
            <v>A incluir</v>
          </cell>
        </row>
        <row r="349">
          <cell r="A349">
            <v>40474</v>
          </cell>
          <cell r="B349" t="str">
            <v>Corpo BDTC (grota) diâmetro 0,80 m CA-2 PB exclusive escavação e reaterro, inclusive transporte do tubo</v>
          </cell>
          <cell r="C349" t="str">
            <v>m</v>
          </cell>
          <cell r="D349" t="str">
            <v>619,29</v>
          </cell>
          <cell r="E349" t="str">
            <v>A incluir</v>
          </cell>
        </row>
        <row r="350">
          <cell r="A350">
            <v>40475</v>
          </cell>
          <cell r="B350" t="str">
            <v>Corpo BDTC (grota) diâmetro 1,00 m CA-1 MF exclusive escavação e reaterro, inclusive transporte do tubo</v>
          </cell>
          <cell r="C350" t="str">
            <v>m</v>
          </cell>
          <cell r="D350" t="str">
            <v>731,45</v>
          </cell>
          <cell r="E350" t="str">
            <v>A incluir</v>
          </cell>
        </row>
        <row r="351">
          <cell r="A351">
            <v>40476</v>
          </cell>
          <cell r="B351" t="str">
            <v>Corpo BDTC (grota) diâmetro 1,00 m CA-1 PB exclusive escavação e reaterro, inclusive transporte do tubo</v>
          </cell>
          <cell r="C351" t="str">
            <v>m</v>
          </cell>
          <cell r="D351" t="str">
            <v>748,35</v>
          </cell>
          <cell r="E351" t="str">
            <v>A incluir</v>
          </cell>
        </row>
        <row r="352">
          <cell r="A352">
            <v>40477</v>
          </cell>
          <cell r="B352" t="str">
            <v>Corpo BDTC (grota) diâmetro 1,00 m CA-2 MF exclusive escavação e reaterro, inclusive transporte do tubo</v>
          </cell>
          <cell r="C352" t="str">
            <v>m</v>
          </cell>
          <cell r="D352" t="str">
            <v>757,37</v>
          </cell>
          <cell r="E352" t="str">
            <v>A incluir</v>
          </cell>
        </row>
        <row r="353">
          <cell r="A353">
            <v>40478</v>
          </cell>
          <cell r="B353" t="str">
            <v>Corpo BDTC (grota) diâmetro 1,00 m CA-2 PB exclusive escavação e reaterro, inclusive transporte do tubo</v>
          </cell>
          <cell r="C353" t="str">
            <v>m</v>
          </cell>
          <cell r="D353" t="str">
            <v>788,48</v>
          </cell>
          <cell r="E353" t="str">
            <v>A incluir</v>
          </cell>
        </row>
        <row r="354">
          <cell r="A354">
            <v>40479</v>
          </cell>
          <cell r="B354" t="str">
            <v>Corpo BDTC (grota) diâmetro 1,00 m CA-3 MF exclusive escavação e reaterro, inclusive transporte do tubo</v>
          </cell>
          <cell r="C354" t="str">
            <v>m</v>
          </cell>
          <cell r="D354" t="str">
            <v>828,67</v>
          </cell>
          <cell r="E354" t="str">
            <v>A incluir</v>
          </cell>
        </row>
        <row r="355">
          <cell r="A355">
            <v>40480</v>
          </cell>
          <cell r="B355" t="str">
            <v>Corpo BDTC (grota) diâmetro 1,20 m CA-1 MF exclusive escavação e reaterro, inclusive transporte do tubo</v>
          </cell>
          <cell r="C355" t="str">
            <v>m</v>
          </cell>
          <cell r="D355" t="str">
            <v>1.086,36</v>
          </cell>
          <cell r="E355" t="str">
            <v>A incluir</v>
          </cell>
        </row>
        <row r="356">
          <cell r="A356">
            <v>40481</v>
          </cell>
          <cell r="B356" t="str">
            <v>Corpo BDTC (grota) diâmetro 1,20 m CA-1 PB exclusive escavação e reaterro, inclusive transporte do tubo</v>
          </cell>
          <cell r="C356" t="str">
            <v>m</v>
          </cell>
          <cell r="D356" t="str">
            <v>1.118,33</v>
          </cell>
          <cell r="E356" t="str">
            <v>A incluir</v>
          </cell>
        </row>
        <row r="357">
          <cell r="A357">
            <v>40482</v>
          </cell>
          <cell r="B357" t="str">
            <v>Corpo BDTC (grota) diâmetro 1,20 m CA-2 MF exclusive escavação e reaterro, inclusive transporte do tubo</v>
          </cell>
          <cell r="C357" t="str">
            <v>m</v>
          </cell>
          <cell r="D357" t="str">
            <v>1.125,25</v>
          </cell>
          <cell r="E357" t="str">
            <v>A incluir</v>
          </cell>
        </row>
        <row r="358">
          <cell r="A358">
            <v>40483</v>
          </cell>
          <cell r="B358" t="str">
            <v>Corpo BDTC (grota) diâmetro 1,20 m CA-2 PB exclusive escavação e reaterro, inclusive transporte do tubo</v>
          </cell>
          <cell r="C358" t="str">
            <v>m</v>
          </cell>
          <cell r="D358" t="str">
            <v>1.191,36</v>
          </cell>
          <cell r="E358" t="str">
            <v>A incluir</v>
          </cell>
        </row>
        <row r="359">
          <cell r="A359">
            <v>40484</v>
          </cell>
          <cell r="B359" t="str">
            <v>Corpo BDTC (grota) diâmetro 1,20 m CA-3 MF exclusive escavação e reaterro, inclusive transporte do tubo</v>
          </cell>
          <cell r="C359" t="str">
            <v>m</v>
          </cell>
          <cell r="D359" t="str">
            <v>1.157,66</v>
          </cell>
          <cell r="E359" t="str">
            <v>A incluir</v>
          </cell>
        </row>
        <row r="360">
          <cell r="A360">
            <v>40485</v>
          </cell>
          <cell r="B360" t="str">
            <v>Corpo BDTC (grota) diâmetro 1,50 m CA-1 MF exclusive escavação e reaterro, inclusive transporte do tubo</v>
          </cell>
          <cell r="C360" t="str">
            <v>m</v>
          </cell>
          <cell r="D360" t="str">
            <v>1.815,07</v>
          </cell>
          <cell r="E360" t="str">
            <v>A incluir</v>
          </cell>
        </row>
        <row r="361">
          <cell r="A361">
            <v>40486</v>
          </cell>
          <cell r="B361" t="str">
            <v>Corpo BDTC (grota) diâmetro 1,50 m CA-1 PB exclusive escavação e reaterro, inclusive transporte do tubo</v>
          </cell>
          <cell r="C361" t="str">
            <v>m</v>
          </cell>
          <cell r="D361" t="str">
            <v>1.587,76</v>
          </cell>
          <cell r="E361" t="str">
            <v>A incluir</v>
          </cell>
        </row>
        <row r="362">
          <cell r="A362">
            <v>40487</v>
          </cell>
          <cell r="B362" t="str">
            <v>Corpo BDTC (grota) diâmetro 1,50 m CA-2 MF exclusive escavação e reaterro, inclusive transporte do tubo</v>
          </cell>
          <cell r="C362" t="str">
            <v>m</v>
          </cell>
          <cell r="D362" t="str">
            <v>1.892,85</v>
          </cell>
          <cell r="E362" t="str">
            <v>A incluir</v>
          </cell>
        </row>
        <row r="363">
          <cell r="A363">
            <v>40488</v>
          </cell>
          <cell r="B363" t="str">
            <v>Corpo BDTC (grota) diâmetro 1,50 m CA-2 PB exclusive escavação e reaterro, inclusive transporte do tubo</v>
          </cell>
          <cell r="C363" t="str">
            <v>m</v>
          </cell>
          <cell r="D363" t="str">
            <v>1.686,95</v>
          </cell>
          <cell r="E363" t="str">
            <v>A incluir</v>
          </cell>
        </row>
        <row r="364">
          <cell r="A364">
            <v>40489</v>
          </cell>
          <cell r="B364" t="str">
            <v>Corpo BDTC (grota) diâmetro 1,50 m CA-3 MF exclusive escavação e reaterro, inclusive transporte do tubo</v>
          </cell>
          <cell r="C364" t="str">
            <v>m</v>
          </cell>
          <cell r="D364" t="str">
            <v>1.452,11</v>
          </cell>
          <cell r="E364" t="str">
            <v>A incluir</v>
          </cell>
        </row>
        <row r="365">
          <cell r="A365">
            <v>40417</v>
          </cell>
          <cell r="B365" t="str">
            <v>Corpo BSTC diâmetro 0,20 m C.S. MF inclusive escavação, reaterro e transporte do tubo</v>
          </cell>
          <cell r="C365" t="str">
            <v>m</v>
          </cell>
          <cell r="D365" t="str">
            <v>80,66</v>
          </cell>
          <cell r="E365" t="str">
            <v>A incluir</v>
          </cell>
        </row>
        <row r="366">
          <cell r="A366">
            <v>40418</v>
          </cell>
          <cell r="B366" t="str">
            <v>Corpo BSTC diâmetro 0,20 m C.S. PB inclusive escavação, reaterro e transporte do tubo</v>
          </cell>
          <cell r="C366" t="str">
            <v>m</v>
          </cell>
          <cell r="D366" t="str">
            <v>80,66</v>
          </cell>
          <cell r="E366" t="str">
            <v>A incluir</v>
          </cell>
        </row>
        <row r="367">
          <cell r="A367">
            <v>40419</v>
          </cell>
          <cell r="B367" t="str">
            <v>Corpo BSTC diâmetro 0,30 m C.S. MF inclusive escavação, reaterro e transporte do tubo</v>
          </cell>
          <cell r="C367" t="str">
            <v>m</v>
          </cell>
          <cell r="D367" t="str">
            <v>101,30</v>
          </cell>
          <cell r="E367" t="str">
            <v>A incluir</v>
          </cell>
        </row>
        <row r="368">
          <cell r="A368">
            <v>40420</v>
          </cell>
          <cell r="B368" t="str">
            <v>Corpo BSTC diâmetro 0,30 m C.S. PB inclusive escavação, reaterro e transporte do tubo</v>
          </cell>
          <cell r="C368" t="str">
            <v>m</v>
          </cell>
          <cell r="D368" t="str">
            <v>104,67</v>
          </cell>
          <cell r="E368" t="str">
            <v>A incluir</v>
          </cell>
        </row>
        <row r="369">
          <cell r="A369">
            <v>40422</v>
          </cell>
          <cell r="B369" t="str">
            <v>Corpo BSTC diâmetro 0,40 m C.S. MF inclusive escavação, reaterro e transporte do tubo</v>
          </cell>
          <cell r="C369" t="str">
            <v>m</v>
          </cell>
          <cell r="D369" t="str">
            <v>134,40</v>
          </cell>
          <cell r="E369" t="str">
            <v>A incluir</v>
          </cell>
        </row>
        <row r="370">
          <cell r="A370">
            <v>40423</v>
          </cell>
          <cell r="B370" t="str">
            <v>Corpo BSTC diâmetro 0,40 m C.S. PB inclusive escavação, reaterro e transporte do tubo</v>
          </cell>
          <cell r="C370" t="str">
            <v>m</v>
          </cell>
          <cell r="D370" t="str">
            <v>137,55</v>
          </cell>
          <cell r="E370" t="str">
            <v>A incluir</v>
          </cell>
        </row>
        <row r="371">
          <cell r="A371">
            <v>40426</v>
          </cell>
          <cell r="B371" t="str">
            <v>Corpo BSTC diâmetro 0,60 m C.S. MF inclusive escavação, reaterro e transporte do tubo</v>
          </cell>
          <cell r="C371" t="str">
            <v>m</v>
          </cell>
          <cell r="D371" t="str">
            <v>219,16</v>
          </cell>
          <cell r="E371" t="str">
            <v>A incluir</v>
          </cell>
        </row>
        <row r="372">
          <cell r="A372">
            <v>40427</v>
          </cell>
          <cell r="B372" t="str">
            <v>Corpo BSTC diâmetro 0,60 m C.S. PB inclusive escavação, reaterro e transporte do tubo</v>
          </cell>
          <cell r="C372" t="str">
            <v>m</v>
          </cell>
          <cell r="D372" t="str">
            <v>224,16</v>
          </cell>
          <cell r="E372" t="str">
            <v>A incluir</v>
          </cell>
        </row>
        <row r="373">
          <cell r="A373">
            <v>40421</v>
          </cell>
          <cell r="B373" t="str">
            <v>Corpo BSTC (greide) diâmetro 0,30 m CA-1 MF inclusive escavação, reaterro e transporte do tubo</v>
          </cell>
          <cell r="C373" t="str">
            <v>m</v>
          </cell>
          <cell r="D373" t="str">
            <v>103,89</v>
          </cell>
          <cell r="E373" t="str">
            <v>A incluir</v>
          </cell>
        </row>
        <row r="374">
          <cell r="A374">
            <v>40424</v>
          </cell>
          <cell r="B374" t="str">
            <v>Corpo BSTC (greide) diâmetro 0,40 m CA-1 MF inclusive escavação, reaterro e transporte do tubo</v>
          </cell>
          <cell r="C374" t="str">
            <v>m</v>
          </cell>
          <cell r="D374" t="str">
            <v>143,47</v>
          </cell>
          <cell r="E374" t="str">
            <v>A incluir</v>
          </cell>
        </row>
        <row r="375">
          <cell r="A375">
            <v>40425</v>
          </cell>
          <cell r="B375" t="str">
            <v>Corpo BSTC (greide) diâmetro 0,40 m CA-2 MF inclusive escavação, reaterro e transporte do tubo</v>
          </cell>
          <cell r="C375" t="str">
            <v>m</v>
          </cell>
          <cell r="D375" t="str">
            <v>148,65</v>
          </cell>
          <cell r="E375" t="str">
            <v>A incluir</v>
          </cell>
        </row>
        <row r="376">
          <cell r="A376">
            <v>40428</v>
          </cell>
          <cell r="B376" t="str">
            <v>Corpo BSTC (greide) diâmetro 0,60 m CA-1 MF inclusive escavação, reaterro e transporte do tubo</v>
          </cell>
          <cell r="C376" t="str">
            <v>m</v>
          </cell>
          <cell r="D376" t="str">
            <v>223,70</v>
          </cell>
          <cell r="E376" t="str">
            <v>A incluir</v>
          </cell>
        </row>
        <row r="377">
          <cell r="A377">
            <v>40429</v>
          </cell>
          <cell r="B377" t="str">
            <v>Corpo BSTC (greide) diâmetro 0,60 m CA-1 PB inclusive escavação, reaterro e transporte do tubo</v>
          </cell>
          <cell r="C377" t="str">
            <v>m</v>
          </cell>
          <cell r="D377" t="str">
            <v>228,92</v>
          </cell>
          <cell r="E377" t="str">
            <v>A incluir</v>
          </cell>
        </row>
        <row r="378">
          <cell r="A378">
            <v>40430</v>
          </cell>
          <cell r="B378" t="str">
            <v>Corpo BSTC (greide) diâmetro 0,60 m CA-2 MF inclusive escavação, reaterro e transporte do tubo</v>
          </cell>
          <cell r="C378" t="str">
            <v>m</v>
          </cell>
          <cell r="D378" t="str">
            <v>225,64</v>
          </cell>
          <cell r="E378" t="str">
            <v>A incluir</v>
          </cell>
        </row>
        <row r="379">
          <cell r="A379">
            <v>40431</v>
          </cell>
          <cell r="B379" t="str">
            <v>Corpo BSTC (greide) diâmetro 0,60 m CA-2 PB inclusive escavação, reaterro e transporte do tubo</v>
          </cell>
          <cell r="C379" t="str">
            <v>m</v>
          </cell>
          <cell r="D379" t="str">
            <v>228,99</v>
          </cell>
          <cell r="E379" t="str">
            <v>A incluir</v>
          </cell>
        </row>
        <row r="380">
          <cell r="A380">
            <v>40432</v>
          </cell>
          <cell r="B380" t="str">
            <v>Corpo BSTC (greide) diâmetro 0,80 m CA-1 MF inclusive escavação, reaterro e transporte do tubo</v>
          </cell>
          <cell r="C380" t="str">
            <v>m</v>
          </cell>
          <cell r="D380" t="str">
            <v>440,35</v>
          </cell>
          <cell r="E380" t="str">
            <v>A incluir</v>
          </cell>
        </row>
        <row r="381">
          <cell r="A381">
            <v>40433</v>
          </cell>
          <cell r="B381" t="str">
            <v>Corpo BSTC (greide) diâmetro 0,80 m CA-1 PB inclusive escavação, reaterro e transporte do tubo</v>
          </cell>
          <cell r="C381" t="str">
            <v>m</v>
          </cell>
          <cell r="D381" t="str">
            <v>447,13</v>
          </cell>
          <cell r="E381" t="str">
            <v>A incluir</v>
          </cell>
        </row>
        <row r="382">
          <cell r="A382">
            <v>40434</v>
          </cell>
          <cell r="B382" t="str">
            <v>Corpo BSTC (greide) diâmetro 0,80 m CA-2 MF inclusive escavação, reaterro e transporte do tubo</v>
          </cell>
          <cell r="C382" t="str">
            <v>m</v>
          </cell>
          <cell r="D382" t="str">
            <v>450,07</v>
          </cell>
          <cell r="E382" t="str">
            <v>A incluir</v>
          </cell>
        </row>
        <row r="383">
          <cell r="A383">
            <v>40435</v>
          </cell>
          <cell r="B383" t="str">
            <v>Corpo BSTC (greide) diâmetro 0,80 m CA-2 PB inclusive escavação, reaterro e transporte do tubo</v>
          </cell>
          <cell r="C383" t="str">
            <v>m</v>
          </cell>
          <cell r="D383" t="str">
            <v>464,04</v>
          </cell>
          <cell r="E383" t="str">
            <v>A incluir</v>
          </cell>
        </row>
        <row r="384">
          <cell r="A384">
            <v>40436</v>
          </cell>
          <cell r="B384" t="str">
            <v>Corpo BSTC (greide) diâmetro 1,00 m CA-1 MF inclusive escavação, reaterro e transporte do tubo</v>
          </cell>
          <cell r="C384" t="str">
            <v>m</v>
          </cell>
          <cell r="D384" t="str">
            <v>592,91</v>
          </cell>
          <cell r="E384" t="str">
            <v>A incluir</v>
          </cell>
        </row>
        <row r="385">
          <cell r="A385">
            <v>40437</v>
          </cell>
          <cell r="B385" t="str">
            <v>Corpo BSTC (greide) diâmetro 1,00 m CA-1 PB inclusive escavação, reaterro e transporte do tubo</v>
          </cell>
          <cell r="C385" t="str">
            <v>m</v>
          </cell>
          <cell r="D385" t="str">
            <v>601,36</v>
          </cell>
          <cell r="E385" t="str">
            <v>A incluir</v>
          </cell>
        </row>
        <row r="386">
          <cell r="A386">
            <v>40438</v>
          </cell>
          <cell r="B386" t="str">
            <v>Corpo BSTC (greide) diâmetro 1,00 m CA-2 MF inclusive escavação, reaterro e transporte do tubo</v>
          </cell>
          <cell r="C386" t="str">
            <v>m</v>
          </cell>
          <cell r="D386" t="str">
            <v>605,87</v>
          </cell>
          <cell r="E386" t="str">
            <v>A incluir</v>
          </cell>
        </row>
        <row r="387">
          <cell r="A387">
            <v>40439</v>
          </cell>
          <cell r="B387" t="str">
            <v>Corpo BSTC (greide) diâmetro 1,00 m CA-2 PB inclusive escavação, reaterro e transporte do tubo</v>
          </cell>
          <cell r="C387" t="str">
            <v>m</v>
          </cell>
          <cell r="D387" t="str">
            <v>621,43</v>
          </cell>
          <cell r="E387" t="str">
            <v>A incluir</v>
          </cell>
        </row>
        <row r="388">
          <cell r="A388">
            <v>40440</v>
          </cell>
          <cell r="B388" t="str">
            <v>Corpo BSTC (greide) diâmetro 1,20 m CA-1 MF inclusive escavação, reaterro e transporte do tubo</v>
          </cell>
          <cell r="C388" t="str">
            <v>m</v>
          </cell>
          <cell r="D388" t="str">
            <v>841,32</v>
          </cell>
          <cell r="E388" t="str">
            <v>A incluir</v>
          </cell>
        </row>
        <row r="389">
          <cell r="A389">
            <v>40441</v>
          </cell>
          <cell r="B389" t="str">
            <v>Corpo BSTC (greide) diâmetro 1,20 m CA-1 PB inclusive escavação, reaterro e transporte do tubo</v>
          </cell>
          <cell r="C389" t="str">
            <v>m</v>
          </cell>
          <cell r="D389" t="str">
            <v>857,30</v>
          </cell>
          <cell r="E389" t="str">
            <v>A incluir</v>
          </cell>
        </row>
        <row r="390">
          <cell r="A390">
            <v>40442</v>
          </cell>
          <cell r="B390" t="str">
            <v>Corpo BSTC (greide) diâmetro 1,20 m CA-2 MF inclusive escavação, reaterro e transporte do tubo</v>
          </cell>
          <cell r="C390" t="str">
            <v>m</v>
          </cell>
          <cell r="D390" t="str">
            <v>860,76</v>
          </cell>
          <cell r="E390" t="str">
            <v>A incluir</v>
          </cell>
        </row>
        <row r="391">
          <cell r="A391">
            <v>40443</v>
          </cell>
          <cell r="B391" t="str">
            <v>Corpo BSTC (greide) diâmetro 1,20 m CA-2 PB inclusive escavação, reaterro e transporte do tubo</v>
          </cell>
          <cell r="C391" t="str">
            <v>m</v>
          </cell>
          <cell r="D391" t="str">
            <v>893,82</v>
          </cell>
          <cell r="E391" t="str">
            <v>A incluir</v>
          </cell>
        </row>
        <row r="392">
          <cell r="A392">
            <v>40444</v>
          </cell>
          <cell r="B392" t="str">
            <v>Corpo BSTC (grota) diâmetro 0,60 m CA-1 MF exclusive escavação e reaterro, inclusive transporte do tubo</v>
          </cell>
          <cell r="C392" t="str">
            <v>m</v>
          </cell>
          <cell r="D392" t="str">
            <v>138,79</v>
          </cell>
          <cell r="E392" t="str">
            <v>A incluir</v>
          </cell>
        </row>
        <row r="393">
          <cell r="A393">
            <v>40445</v>
          </cell>
          <cell r="B393" t="str">
            <v>Corpo BSTC (grota) diâmetro 0,60 m CA-1 PB exclusive escavação e reaterro, inclusive transporte do tubo</v>
          </cell>
          <cell r="C393" t="str">
            <v>m</v>
          </cell>
          <cell r="D393" t="str">
            <v>144,01</v>
          </cell>
          <cell r="E393" t="str">
            <v>A incluir</v>
          </cell>
        </row>
        <row r="394">
          <cell r="A394">
            <v>40446</v>
          </cell>
          <cell r="B394" t="str">
            <v>Corpo BSTC (grota) diâmetro 0,60 m CA-2 MF exclusive escavação e reaterro, inclusive transporte do tubo</v>
          </cell>
          <cell r="C394" t="str">
            <v>m</v>
          </cell>
          <cell r="D394" t="str">
            <v>140,73</v>
          </cell>
          <cell r="E394" t="str">
            <v>A incluir</v>
          </cell>
        </row>
        <row r="395">
          <cell r="A395">
            <v>40447</v>
          </cell>
          <cell r="B395" t="str">
            <v>Corpo BSTC (grota) diâmetro 0,60 m CA-2 PB exclusive escavação e reaterro, inclusive transporte do tubo</v>
          </cell>
          <cell r="C395" t="str">
            <v>m</v>
          </cell>
          <cell r="D395" t="str">
            <v>144,08</v>
          </cell>
          <cell r="E395" t="str">
            <v>A incluir</v>
          </cell>
        </row>
        <row r="396">
          <cell r="A396">
            <v>40448</v>
          </cell>
          <cell r="B396" t="str">
            <v>Corpo BSTC (grota) diâmetro 0,80 m CA-1 MF exclusive escavação e reaterro, inclusive transporte do tubo</v>
          </cell>
          <cell r="C396" t="str">
            <v>m</v>
          </cell>
          <cell r="D396" t="str">
            <v>320,48</v>
          </cell>
          <cell r="E396" t="str">
            <v>A incluir</v>
          </cell>
        </row>
        <row r="397">
          <cell r="A397">
            <v>40449</v>
          </cell>
          <cell r="B397" t="str">
            <v>Corpo BSTC (grota) diâmetro 0,80 m CA-1 PB exclusive escavação e reaterro, inclusive transporte do tubo</v>
          </cell>
          <cell r="C397" t="str">
            <v>m</v>
          </cell>
          <cell r="D397" t="str">
            <v>327,26</v>
          </cell>
          <cell r="E397" t="str">
            <v>A incluir</v>
          </cell>
        </row>
        <row r="398">
          <cell r="A398">
            <v>40450</v>
          </cell>
          <cell r="B398" t="str">
            <v>Corpo BSTC (grota) diâmetro 0,80 m CA-2 MF exclusive escavação e reaterro, inclusive transporte do tubo</v>
          </cell>
          <cell r="C398" t="str">
            <v>m</v>
          </cell>
          <cell r="D398" t="str">
            <v>330,20</v>
          </cell>
          <cell r="E398" t="str">
            <v>A incluir</v>
          </cell>
        </row>
        <row r="399">
          <cell r="A399">
            <v>40451</v>
          </cell>
          <cell r="B399" t="str">
            <v>Corpo BSTC (grota) diâmetro 0,80 m CA-2 PB exclusive escavação e reaterro, inclusive transporte do tubo</v>
          </cell>
          <cell r="C399" t="str">
            <v>m</v>
          </cell>
          <cell r="D399" t="str">
            <v>344,18</v>
          </cell>
          <cell r="E399" t="str">
            <v>A incluir</v>
          </cell>
        </row>
        <row r="400">
          <cell r="A400">
            <v>40452</v>
          </cell>
          <cell r="B400" t="str">
            <v>Corpo BSTC (grota) diâmetro 1,00 m CA-1 MF exclusive escavação e reaterro, inclusive transporte do tubo</v>
          </cell>
          <cell r="C400" t="str">
            <v>m</v>
          </cell>
          <cell r="D400" t="str">
            <v>399,54</v>
          </cell>
          <cell r="E400" t="str">
            <v>A incluir</v>
          </cell>
        </row>
        <row r="401">
          <cell r="A401">
            <v>40453</v>
          </cell>
          <cell r="B401" t="str">
            <v>Corpo BSTC (grota) diâmetro 1,00 m CA-1 PB exclusive escavação e reaterro, inclusive transporte do tubo</v>
          </cell>
          <cell r="C401" t="str">
            <v>m</v>
          </cell>
          <cell r="D401" t="str">
            <v>407,99</v>
          </cell>
          <cell r="E401" t="str">
            <v>A incluir</v>
          </cell>
        </row>
        <row r="402">
          <cell r="A402">
            <v>40454</v>
          </cell>
          <cell r="B402" t="str">
            <v>Corpo BSTC (grota) diâmetro 1,00 m CA-2 MF exclusive escavação e reaterro, inclusive transporte do tubo</v>
          </cell>
          <cell r="C402" t="str">
            <v>m</v>
          </cell>
          <cell r="D402" t="str">
            <v>412,50</v>
          </cell>
          <cell r="E402" t="str">
            <v>A incluir</v>
          </cell>
        </row>
        <row r="403">
          <cell r="A403">
            <v>40455</v>
          </cell>
          <cell r="B403" t="str">
            <v>Corpo BSTC (grota) diâmetro 1,00 m CA-2 PB exclusive escavação e reaterro, inclusive transporte do tubo</v>
          </cell>
          <cell r="C403" t="str">
            <v>m</v>
          </cell>
          <cell r="D403" t="str">
            <v>428,06</v>
          </cell>
          <cell r="E403" t="str">
            <v>A incluir</v>
          </cell>
        </row>
        <row r="404">
          <cell r="A404">
            <v>40456</v>
          </cell>
          <cell r="B404" t="str">
            <v>Corpo BSTC (grota) diâmetro 1,00 m CA-3 MF exclusive escavação e reaterro, inclusive transporte do tubo</v>
          </cell>
          <cell r="C404" t="str">
            <v>m</v>
          </cell>
          <cell r="D404" t="str">
            <v>448,15</v>
          </cell>
          <cell r="E404" t="str">
            <v>A incluir</v>
          </cell>
        </row>
        <row r="405">
          <cell r="A405">
            <v>40457</v>
          </cell>
          <cell r="B405" t="str">
            <v>Corpo BSTC (grota) diâmetro 1,20 m CA-1 MF exclusive escavação e reaterro, inclusive transporte do tubo</v>
          </cell>
          <cell r="C405" t="str">
            <v>m</v>
          </cell>
          <cell r="D405" t="str">
            <v>579,57</v>
          </cell>
          <cell r="E405" t="str">
            <v>A incluir</v>
          </cell>
        </row>
        <row r="406">
          <cell r="A406">
            <v>40458</v>
          </cell>
          <cell r="B406" t="str">
            <v>Corpo BSTC (grota) diâmetro 1,20 m CA-1 PB exclusive escavação e reaterro, inclusive transporte do tubo</v>
          </cell>
          <cell r="C406" t="str">
            <v>m</v>
          </cell>
          <cell r="D406" t="str">
            <v>595,55</v>
          </cell>
          <cell r="E406" t="str">
            <v>A incluir</v>
          </cell>
        </row>
        <row r="407">
          <cell r="A407">
            <v>40459</v>
          </cell>
          <cell r="B407" t="str">
            <v>Corpo BSTC (grota) diâmetro 1,20 m CA-2 MF exclusive escavação e reaterro, inclusive transporte do tubo</v>
          </cell>
          <cell r="C407" t="str">
            <v>m</v>
          </cell>
          <cell r="D407" t="str">
            <v>599,02</v>
          </cell>
          <cell r="E407" t="str">
            <v>A incluir</v>
          </cell>
        </row>
        <row r="408">
          <cell r="A408">
            <v>40460</v>
          </cell>
          <cell r="B408" t="str">
            <v>Corpo BSTC (grota) diâmetro 1,20 m CA-2 PB exclusive escavação e reaterro, inclusive transporte do tubo</v>
          </cell>
          <cell r="C408" t="str">
            <v>m</v>
          </cell>
          <cell r="D408" t="str">
            <v>632,07</v>
          </cell>
          <cell r="E408" t="str">
            <v>A incluir</v>
          </cell>
        </row>
        <row r="409">
          <cell r="A409">
            <v>40461</v>
          </cell>
          <cell r="B409" t="str">
            <v>Corpo BSTC (grota) diâmetro 1,20 m CA-3 MF exclusive escavação e reaterro, inclusive transporte do tubo</v>
          </cell>
          <cell r="C409" t="str">
            <v>m</v>
          </cell>
          <cell r="D409" t="str">
            <v>615,22</v>
          </cell>
          <cell r="E409" t="str">
            <v>A incluir</v>
          </cell>
        </row>
        <row r="410">
          <cell r="A410">
            <v>40462</v>
          </cell>
          <cell r="B410" t="str">
            <v>Corpo BSTC (grota) diâmetro 1,50 m CA-1 MF exclusive escavação e reaterro, inclusive transporte do tubo</v>
          </cell>
          <cell r="C410" t="str">
            <v>m</v>
          </cell>
          <cell r="D410" t="str">
            <v>941,34</v>
          </cell>
          <cell r="E410" t="str">
            <v>A incluir</v>
          </cell>
        </row>
        <row r="411">
          <cell r="A411">
            <v>40463</v>
          </cell>
          <cell r="B411" t="str">
            <v>Corpo BSTC (grota) diâmetro 1,50 m CA-1 PB exclusive escavação e reaterro, inclusive transporte do tubo</v>
          </cell>
          <cell r="C411" t="str">
            <v>m</v>
          </cell>
          <cell r="D411" t="str">
            <v>827,68</v>
          </cell>
          <cell r="E411" t="str">
            <v>A incluir</v>
          </cell>
        </row>
        <row r="412">
          <cell r="A412">
            <v>40464</v>
          </cell>
          <cell r="B412" t="str">
            <v>Corpo BSTC (grota) diâmetro 1,50 m CA-2 MF exclusive escavação e reaterro, inclusive transporte do tubo</v>
          </cell>
          <cell r="C412" t="str">
            <v>m</v>
          </cell>
          <cell r="D412" t="str">
            <v>980,23</v>
          </cell>
          <cell r="E412" t="str">
            <v>A incluir</v>
          </cell>
        </row>
        <row r="413">
          <cell r="A413">
            <v>40465</v>
          </cell>
          <cell r="B413" t="str">
            <v>Corpo BSTC (grota) diâmetro 1,50 m CA-2 PB exclusive escavação e reaterro, inclusive transporte do tubo</v>
          </cell>
          <cell r="C413" t="str">
            <v>m</v>
          </cell>
          <cell r="D413" t="str">
            <v>877,28</v>
          </cell>
          <cell r="E413" t="str">
            <v>A incluir</v>
          </cell>
        </row>
        <row r="414">
          <cell r="A414">
            <v>40466</v>
          </cell>
          <cell r="B414" t="str">
            <v>Corpo BSTC (grota) diâmetro 1,50 m CA-3 MF exclusive escavação e reaterro, inclusive transporte do tubo</v>
          </cell>
          <cell r="C414" t="str">
            <v>m</v>
          </cell>
          <cell r="D414" t="str">
            <v>759,86</v>
          </cell>
          <cell r="E414" t="str">
            <v>A incluir</v>
          </cell>
        </row>
        <row r="415">
          <cell r="A415">
            <v>40490</v>
          </cell>
          <cell r="B415" t="str">
            <v>Corpo BTTC (grota) diâmetro 0,60 m CA-1 MF exclusive escavação e reaterro, inclusive transporte do tubo</v>
          </cell>
          <cell r="C415" t="str">
            <v>m</v>
          </cell>
          <cell r="D415" t="str">
            <v>413,81</v>
          </cell>
          <cell r="E415" t="str">
            <v>A incluir</v>
          </cell>
        </row>
        <row r="416">
          <cell r="A416">
            <v>40491</v>
          </cell>
          <cell r="B416" t="str">
            <v>Corpo BTTC (grota) diâmetro 0,60 m CA-1 PB exclusive escavação e reaterro, inclusive transporte do tubo</v>
          </cell>
          <cell r="C416" t="str">
            <v>m</v>
          </cell>
          <cell r="D416" t="str">
            <v>429,49</v>
          </cell>
          <cell r="E416" t="str">
            <v>A incluir</v>
          </cell>
        </row>
        <row r="417">
          <cell r="A417">
            <v>40492</v>
          </cell>
          <cell r="B417" t="str">
            <v>Corpo BTTC (grota) diâmetro 0,60 m CA-2 MF exclusive escavação e reaterro, inclusive transporte do tubo</v>
          </cell>
          <cell r="C417" t="str">
            <v>m</v>
          </cell>
          <cell r="D417" t="str">
            <v>419,65</v>
          </cell>
          <cell r="E417" t="str">
            <v>A incluir</v>
          </cell>
        </row>
        <row r="418">
          <cell r="A418">
            <v>40493</v>
          </cell>
          <cell r="B418" t="str">
            <v>Corpo BTTC (grota) diâmetro 0,60 m CA-2 PB exclusive escavação e reaterro, inclusive transporte do tubo</v>
          </cell>
          <cell r="C418" t="str">
            <v>m</v>
          </cell>
          <cell r="D418" t="str">
            <v>429,68</v>
          </cell>
          <cell r="E418" t="str">
            <v>A incluir</v>
          </cell>
        </row>
        <row r="419">
          <cell r="A419">
            <v>40494</v>
          </cell>
          <cell r="B419" t="str">
            <v>Corpo BTTC (grota) diâmetro 0,80 m CA-1 MF exclusive escavação e reaterro, inclusive transporte do tubo</v>
          </cell>
          <cell r="C419" t="str">
            <v>m</v>
          </cell>
          <cell r="D419" t="str">
            <v>826,17</v>
          </cell>
          <cell r="E419" t="str">
            <v>A incluir</v>
          </cell>
        </row>
        <row r="420">
          <cell r="A420">
            <v>40495</v>
          </cell>
          <cell r="B420" t="str">
            <v>Corpo BTTC (grota) diâmetro 0,80 m CA-1 PB exclusive escavação e reaterro, inclusive transporte do tubo</v>
          </cell>
          <cell r="C420" t="str">
            <v>m</v>
          </cell>
          <cell r="D420" t="str">
            <v>846,50</v>
          </cell>
          <cell r="E420" t="str">
            <v>A incluir</v>
          </cell>
        </row>
        <row r="421">
          <cell r="A421">
            <v>40496</v>
          </cell>
          <cell r="B421" t="str">
            <v>Corpo BTTC (grota) diâmetro 0,80 m CA-2 MF exclusive escavação e reaterro, inclusive transporte do tubo</v>
          </cell>
          <cell r="C421" t="str">
            <v>m</v>
          </cell>
          <cell r="D421" t="str">
            <v>855,33</v>
          </cell>
          <cell r="E421" t="str">
            <v>A incluir</v>
          </cell>
        </row>
        <row r="422">
          <cell r="A422">
            <v>40497</v>
          </cell>
          <cell r="B422" t="str">
            <v>Corpo BTTC (grota) diâmetro 0,80 m CA-2 PB exclusive escavação e reaterro, inclusive transporte do tubo</v>
          </cell>
          <cell r="C422" t="str">
            <v>m</v>
          </cell>
          <cell r="D422" t="str">
            <v>897,25</v>
          </cell>
          <cell r="E422" t="str">
            <v>A incluir</v>
          </cell>
        </row>
        <row r="423">
          <cell r="A423">
            <v>40498</v>
          </cell>
          <cell r="B423" t="str">
            <v>Corpo BTTC (grota) diâmetro 1,00 m CA-1 MF exclusive escavação e reaterro, inclusive transporte do tubo</v>
          </cell>
          <cell r="C423" t="str">
            <v>m</v>
          </cell>
          <cell r="D423" t="str">
            <v>1.063,35</v>
          </cell>
          <cell r="E423" t="str">
            <v>A incluir</v>
          </cell>
        </row>
        <row r="424">
          <cell r="A424">
            <v>40499</v>
          </cell>
          <cell r="B424" t="str">
            <v>Corpo BTTC (grota) diâmetro 1,00 m CA-1 PB exclusive escavação e reaterro, inclusive transporte do tubo</v>
          </cell>
          <cell r="C424" t="str">
            <v>m</v>
          </cell>
          <cell r="D424" t="str">
            <v>1.088,71</v>
          </cell>
          <cell r="E424" t="str">
            <v>A incluir</v>
          </cell>
        </row>
        <row r="425">
          <cell r="A425">
            <v>40500</v>
          </cell>
          <cell r="B425" t="str">
            <v>Corpo BTTC (grota) diâmetro 1,00 m CA-2 MF exclusive escavação e reaterro, inclusive transporte do tubo</v>
          </cell>
          <cell r="C425" t="str">
            <v>m</v>
          </cell>
          <cell r="D425" t="str">
            <v>1.102,24</v>
          </cell>
          <cell r="E425" t="str">
            <v>A incluir</v>
          </cell>
        </row>
        <row r="426">
          <cell r="A426">
            <v>40501</v>
          </cell>
          <cell r="B426" t="str">
            <v>Corpo BTTC (grota) diâmetro 1,00 m CA-2 PB exclusive escavação e reaterro, inclusive transporte do tubo</v>
          </cell>
          <cell r="C426" t="str">
            <v>m</v>
          </cell>
          <cell r="D426" t="str">
            <v>1.148,91</v>
          </cell>
          <cell r="E426" t="str">
            <v>A incluir</v>
          </cell>
        </row>
        <row r="427">
          <cell r="A427">
            <v>40502</v>
          </cell>
          <cell r="B427" t="str">
            <v>Corpo BTTC (grota) diâmetro 1,00 m CA-3 MF exclusive escavação e reaterro, inclusive transporte do tubo</v>
          </cell>
          <cell r="C427" t="str">
            <v>m</v>
          </cell>
          <cell r="D427" t="str">
            <v>1.209,18</v>
          </cell>
          <cell r="E427" t="str">
            <v>A incluir</v>
          </cell>
        </row>
        <row r="428">
          <cell r="A428">
            <v>40503</v>
          </cell>
          <cell r="B428" t="str">
            <v>Corpo BTTC (grota) diâmetro 1,20 m CA-1 MF exclusive escavação e reaterro, inclusive transporte do tubo</v>
          </cell>
          <cell r="C428" t="str">
            <v>m</v>
          </cell>
          <cell r="D428" t="str">
            <v>1.603,45</v>
          </cell>
          <cell r="E428" t="str">
            <v>A incluir</v>
          </cell>
        </row>
        <row r="429">
          <cell r="A429">
            <v>40504</v>
          </cell>
          <cell r="B429" t="str">
            <v>Corpo BTTC (grota) diâmetro 1,20 m CA-1 PB exclusive escavação e reaterro, inclusive transporte do tubo</v>
          </cell>
          <cell r="C429" t="str">
            <v>m</v>
          </cell>
          <cell r="D429" t="str">
            <v>1.651,40</v>
          </cell>
          <cell r="E429" t="str">
            <v>A incluir</v>
          </cell>
        </row>
        <row r="430">
          <cell r="A430">
            <v>40505</v>
          </cell>
          <cell r="B430" t="str">
            <v>Corpo BTTC (grota) diâmetro 1,20 m CA-2 MF exclusive escavação e reaterro, inclusive transporte do tubo</v>
          </cell>
          <cell r="C430" t="str">
            <v>m</v>
          </cell>
          <cell r="D430" t="str">
            <v>1.661,79</v>
          </cell>
          <cell r="E430" t="str">
            <v>A incluir</v>
          </cell>
        </row>
        <row r="431">
          <cell r="A431">
            <v>40506</v>
          </cell>
          <cell r="B431" t="str">
            <v>Corpo BTTC (grota) diâmetro 1,20 m CA-2 PB exclusive escavação e reaterro, inclusive transporte do tubo</v>
          </cell>
          <cell r="C431" t="str">
            <v>m</v>
          </cell>
          <cell r="D431" t="str">
            <v>1.760,95</v>
          </cell>
          <cell r="E431" t="str">
            <v>A incluir</v>
          </cell>
        </row>
        <row r="432">
          <cell r="A432">
            <v>40507</v>
          </cell>
          <cell r="B432" t="str">
            <v>Corpo BTTC (grota) diâmetro 1,20 m CA-3 MF exclusive escavação e reaterro, inclusive transporte do tubo</v>
          </cell>
          <cell r="C432" t="str">
            <v>m</v>
          </cell>
          <cell r="D432" t="str">
            <v>1.710,40</v>
          </cell>
          <cell r="E432" t="str">
            <v>A incluir</v>
          </cell>
        </row>
        <row r="433">
          <cell r="A433">
            <v>40508</v>
          </cell>
          <cell r="B433" t="str">
            <v>Corpo BTTC (grota) diâmetro 1,50 m CA-1 MF exclusive escavação e reaterro, inclusive transporte do tubo</v>
          </cell>
          <cell r="C433" t="str">
            <v>m</v>
          </cell>
          <cell r="D433" t="str">
            <v>2.688,81</v>
          </cell>
          <cell r="E433" t="str">
            <v>A incluir</v>
          </cell>
        </row>
        <row r="434">
          <cell r="A434">
            <v>40509</v>
          </cell>
          <cell r="B434" t="str">
            <v>Corpo BTTC (grota) diâmetro 1,50 m CA-1 PB exclusive escavação e reaterro, inclusive transporte do tubo</v>
          </cell>
          <cell r="C434" t="str">
            <v>m</v>
          </cell>
          <cell r="D434" t="str">
            <v>2.347,83</v>
          </cell>
          <cell r="E434" t="str">
            <v>A incluir</v>
          </cell>
        </row>
        <row r="435">
          <cell r="A435">
            <v>40510</v>
          </cell>
          <cell r="B435" t="str">
            <v>Corpo BTTC (grota) diâmetro 1,50 m CA-2 MF exclusive escavação e reaterro, inclusive transporte do tubo</v>
          </cell>
          <cell r="C435" t="str">
            <v>m</v>
          </cell>
          <cell r="D435" t="str">
            <v>2.805,47</v>
          </cell>
          <cell r="E435" t="str">
            <v>A incluir</v>
          </cell>
        </row>
        <row r="436">
          <cell r="A436">
            <v>40511</v>
          </cell>
          <cell r="B436" t="str">
            <v>Corpo BTTC (grota) diâmetro 1,50 m CA-2 PB exclusive escavação e reaterro, inclusive transporte do tubo</v>
          </cell>
          <cell r="C436" t="str">
            <v>m</v>
          </cell>
          <cell r="D436" t="str">
            <v>2.496,62</v>
          </cell>
          <cell r="E436" t="str">
            <v>A incluir</v>
          </cell>
        </row>
        <row r="437">
          <cell r="A437">
            <v>40512</v>
          </cell>
          <cell r="B437" t="str">
            <v>Corpo BTTC (grota) diâmetro 1,50 m CA-3 MF exclusive escavação e reaterro, inclusive transporte do tubo</v>
          </cell>
          <cell r="C437" t="str">
            <v>m</v>
          </cell>
          <cell r="D437" t="str">
            <v>2.144,36</v>
          </cell>
          <cell r="E437" t="str">
            <v>A incluir</v>
          </cell>
        </row>
        <row r="438">
          <cell r="A438">
            <v>40586</v>
          </cell>
          <cell r="B438" t="str">
            <v>Corpo de BDCC 1,50 x 1,50 m projeto DNIT para H &lt; -&gt; 2,50 m</v>
          </cell>
          <cell r="C438" t="str">
            <v>m</v>
          </cell>
          <cell r="D438" t="str">
            <v>3.704,96</v>
          </cell>
          <cell r="E438">
            <v>0</v>
          </cell>
        </row>
        <row r="439">
          <cell r="A439">
            <v>40592</v>
          </cell>
          <cell r="B439" t="str">
            <v>Corpo de BDCC 1,50 x 1,50 m projeto DNIT para 2,50 &lt; H &lt; 5,00 m</v>
          </cell>
          <cell r="C439" t="str">
            <v>m</v>
          </cell>
          <cell r="D439" t="str">
            <v>3.867,78</v>
          </cell>
          <cell r="E439">
            <v>0</v>
          </cell>
        </row>
        <row r="440">
          <cell r="A440">
            <v>40598</v>
          </cell>
          <cell r="B440" t="str">
            <v>Corpo de BDCC 2,00 x 1,20 m -tudo incluido conforme projeto</v>
          </cell>
          <cell r="C440" t="str">
            <v>m</v>
          </cell>
          <cell r="D440" t="str">
            <v>5.390,62</v>
          </cell>
          <cell r="E440">
            <v>0</v>
          </cell>
        </row>
        <row r="441">
          <cell r="A441">
            <v>40587</v>
          </cell>
          <cell r="B441" t="str">
            <v>Corpo de BDCC 2,00 x 2,00 m projeto DNIT para H &lt; -&gt; 2,50 m</v>
          </cell>
          <cell r="C441" t="str">
            <v>m</v>
          </cell>
          <cell r="D441" t="str">
            <v>5.326,40</v>
          </cell>
          <cell r="E441">
            <v>0</v>
          </cell>
        </row>
        <row r="442">
          <cell r="A442">
            <v>40593</v>
          </cell>
          <cell r="B442" t="str">
            <v>Corpo de BDCC 2,00 x 2,00 m projeto DNIT para 2,50 &lt; H &lt;5,00 m</v>
          </cell>
          <cell r="C442" t="str">
            <v>m</v>
          </cell>
          <cell r="D442" t="str">
            <v>5.885,26</v>
          </cell>
          <cell r="E442">
            <v>0</v>
          </cell>
        </row>
        <row r="443">
          <cell r="A443">
            <v>40588</v>
          </cell>
          <cell r="B443" t="str">
            <v>Corpo de BDCC 2,00 x 3,00 m projeto DNIT para H &lt; -&gt; 2,50 m</v>
          </cell>
          <cell r="C443" t="str">
            <v>m</v>
          </cell>
          <cell r="D443" t="str">
            <v>7.584,32</v>
          </cell>
          <cell r="E443">
            <v>0</v>
          </cell>
        </row>
        <row r="444">
          <cell r="A444">
            <v>40594</v>
          </cell>
          <cell r="B444" t="str">
            <v>Corpo de BDCC 2,00 x 3,00 m projeto DNIT para 2,50 &lt; H &lt; 5,00 m</v>
          </cell>
          <cell r="C444" t="str">
            <v>m</v>
          </cell>
          <cell r="D444" t="str">
            <v>8.845,71</v>
          </cell>
          <cell r="E444">
            <v>0</v>
          </cell>
        </row>
        <row r="445">
          <cell r="A445">
            <v>40599</v>
          </cell>
          <cell r="B445" t="str">
            <v>Corpo de BDCC 2,50 x 2,00 m - tudo incluído conforme projeto</v>
          </cell>
          <cell r="C445" t="str">
            <v>m</v>
          </cell>
          <cell r="D445" t="str">
            <v>7.780,04</v>
          </cell>
          <cell r="E445">
            <v>0</v>
          </cell>
        </row>
        <row r="446">
          <cell r="A446">
            <v>40589</v>
          </cell>
          <cell r="B446" t="str">
            <v>Corpo de BDCC 2,50 x 2,50 m projeto DNIT para H &lt; -&gt; 2,50 m</v>
          </cell>
          <cell r="C446" t="str">
            <v>m</v>
          </cell>
          <cell r="D446" t="str">
            <v>7.150,71</v>
          </cell>
          <cell r="E446">
            <v>0</v>
          </cell>
        </row>
        <row r="447">
          <cell r="A447">
            <v>40595</v>
          </cell>
          <cell r="B447" t="str">
            <v>Corpo de BDCC 2,50 x 2,50 m projeto DNIT para 2,50 &lt; H &lt; 5,00 m</v>
          </cell>
          <cell r="C447" t="str">
            <v>m</v>
          </cell>
          <cell r="D447" t="str">
            <v>7.992,77</v>
          </cell>
          <cell r="E447">
            <v>0</v>
          </cell>
        </row>
        <row r="448">
          <cell r="A448">
            <v>40590</v>
          </cell>
          <cell r="B448" t="str">
            <v>Corpo de BDCC 2,50 x 3,00 m projeto DNIT para H &lt; -&gt; 2,50 m</v>
          </cell>
          <cell r="C448" t="str">
            <v>m</v>
          </cell>
          <cell r="D448" t="str">
            <v>8.668,85</v>
          </cell>
          <cell r="E448">
            <v>0</v>
          </cell>
        </row>
        <row r="449">
          <cell r="A449">
            <v>40596</v>
          </cell>
          <cell r="B449" t="str">
            <v>Corpo de BDCC 2,50 x 3,00 m projeto DNIT para 2,50 &lt; H &lt; 5,00 m</v>
          </cell>
          <cell r="C449" t="str">
            <v>m</v>
          </cell>
          <cell r="D449" t="str">
            <v>9.600,72</v>
          </cell>
          <cell r="E449">
            <v>0</v>
          </cell>
        </row>
        <row r="450">
          <cell r="A450">
            <v>40591</v>
          </cell>
          <cell r="B450" t="str">
            <v>Corpo de BDCC 3,00 x 3,00 m projeto DNIT para H &lt; -&gt; 2,50 m</v>
          </cell>
          <cell r="C450" t="str">
            <v>m</v>
          </cell>
          <cell r="D450" t="str">
            <v>9.513,20</v>
          </cell>
          <cell r="E450">
            <v>0</v>
          </cell>
        </row>
        <row r="451">
          <cell r="A451">
            <v>40597</v>
          </cell>
          <cell r="B451" t="str">
            <v>Corpo de BDCC 3,00 x 3,00 m projeto DNIT para 2,50 &lt; H &lt; 5,00 m</v>
          </cell>
          <cell r="C451" t="str">
            <v>m</v>
          </cell>
          <cell r="D451" t="str">
            <v>10.270,19</v>
          </cell>
          <cell r="E451">
            <v>0</v>
          </cell>
        </row>
        <row r="452">
          <cell r="A452">
            <v>40573</v>
          </cell>
          <cell r="B452" t="str">
            <v>Corpo de BSCC 1,50 x 1,50 m projeto DNIT para H &lt; -&gt; 2,50 m</v>
          </cell>
          <cell r="C452" t="str">
            <v>m</v>
          </cell>
          <cell r="D452" t="str">
            <v>2.250,89</v>
          </cell>
          <cell r="E452">
            <v>0</v>
          </cell>
        </row>
        <row r="453">
          <cell r="A453">
            <v>40579</v>
          </cell>
          <cell r="B453" t="str">
            <v>Corpo de BSCC 1,50 x 1,50 m projeto DNIT para 2,50 &lt; H &lt; 5,00 m</v>
          </cell>
          <cell r="C453" t="str">
            <v>m</v>
          </cell>
          <cell r="D453" t="str">
            <v>2.373,00</v>
          </cell>
          <cell r="E453">
            <v>0</v>
          </cell>
        </row>
        <row r="454">
          <cell r="A454">
            <v>41113</v>
          </cell>
          <cell r="B454" t="str">
            <v>Corpo de BSCC 2,00 x 2,00 m projeto DNIT para 5,00 &lt; H &lt; 7,50 m</v>
          </cell>
          <cell r="C454" t="str">
            <v>m</v>
          </cell>
          <cell r="D454" t="str">
            <v>3.868,50</v>
          </cell>
          <cell r="E454">
            <v>0</v>
          </cell>
        </row>
        <row r="455">
          <cell r="A455">
            <v>40574</v>
          </cell>
          <cell r="B455" t="str">
            <v>Corpo de BSCC 2,00 x 2,00 m projeto DNIT para H &lt; -&gt; 2,50 m</v>
          </cell>
          <cell r="C455" t="str">
            <v>m</v>
          </cell>
          <cell r="D455" t="str">
            <v>3.182,22</v>
          </cell>
          <cell r="E455">
            <v>0</v>
          </cell>
        </row>
        <row r="456">
          <cell r="A456">
            <v>40580</v>
          </cell>
          <cell r="B456" t="str">
            <v>Corpo de BSCC 2,00 x 2,00 m projeto DNIT para 2,50 &lt; H &lt; 5,00 m</v>
          </cell>
          <cell r="C456" t="str">
            <v>m</v>
          </cell>
          <cell r="D456" t="str">
            <v>3.583,58</v>
          </cell>
          <cell r="E456">
            <v>0</v>
          </cell>
        </row>
        <row r="457">
          <cell r="A457">
            <v>40575</v>
          </cell>
          <cell r="B457" t="str">
            <v>Corpo de BSCC 2,00 x 3,00 m projeto DNIT para H &lt; -&gt; 2,50 m</v>
          </cell>
          <cell r="C457" t="str">
            <v>m</v>
          </cell>
          <cell r="D457" t="str">
            <v>4.615,92</v>
          </cell>
          <cell r="E457">
            <v>0</v>
          </cell>
        </row>
        <row r="458">
          <cell r="A458">
            <v>40581</v>
          </cell>
          <cell r="B458" t="str">
            <v>Corpo de BSCC 2,00 x 3,00 m projeto DNIT para 2,50 &lt; H &lt; 5,00 m</v>
          </cell>
          <cell r="C458" t="str">
            <v>m</v>
          </cell>
          <cell r="D458" t="str">
            <v>5.815,26</v>
          </cell>
          <cell r="E458">
            <v>0</v>
          </cell>
        </row>
        <row r="459">
          <cell r="A459">
            <v>40576</v>
          </cell>
          <cell r="B459" t="str">
            <v>Corpo de BSCC 2,50 x 2,50 m projeto DNIT para H &lt; -&gt; 2,50 m</v>
          </cell>
          <cell r="C459" t="str">
            <v>m</v>
          </cell>
          <cell r="D459" t="str">
            <v>4.523,32</v>
          </cell>
          <cell r="E459">
            <v>0</v>
          </cell>
        </row>
        <row r="460">
          <cell r="A460">
            <v>40582</v>
          </cell>
          <cell r="B460" t="str">
            <v>Corpo de BSCC 2,50 x 2,50 m projeto DNIT para 2,50 &lt; H &lt; 5,00 m</v>
          </cell>
          <cell r="C460" t="str">
            <v>m</v>
          </cell>
          <cell r="D460" t="str">
            <v>4.954,78</v>
          </cell>
          <cell r="E460">
            <v>0</v>
          </cell>
        </row>
        <row r="461">
          <cell r="A461">
            <v>40577</v>
          </cell>
          <cell r="B461" t="str">
            <v>Corpo de BSCC 2,50 x 3,00 m projeto DNIT para H &lt; -&gt; 2,50 m</v>
          </cell>
          <cell r="C461" t="str">
            <v>m</v>
          </cell>
          <cell r="D461" t="str">
            <v>5.680,80</v>
          </cell>
          <cell r="E461">
            <v>0</v>
          </cell>
        </row>
        <row r="462">
          <cell r="A462">
            <v>40583</v>
          </cell>
          <cell r="B462" t="str">
            <v>Corpo de BSCC 2,50 x 3,00 m projeto DNIT para 2,50 &lt; H &lt; 5,00 m</v>
          </cell>
          <cell r="C462" t="str">
            <v>m</v>
          </cell>
          <cell r="D462" t="str">
            <v>6.771,44</v>
          </cell>
          <cell r="E462">
            <v>0</v>
          </cell>
        </row>
        <row r="463">
          <cell r="A463">
            <v>40578</v>
          </cell>
          <cell r="B463" t="str">
            <v>Corpo de BSCC 3,00 x 3,00 m projeto DNIT para H &lt; -&gt; 2,50 m</v>
          </cell>
          <cell r="C463" t="str">
            <v>m</v>
          </cell>
          <cell r="D463" t="str">
            <v>6.187,46</v>
          </cell>
          <cell r="E463">
            <v>0</v>
          </cell>
        </row>
        <row r="464">
          <cell r="A464">
            <v>40584</v>
          </cell>
          <cell r="B464" t="str">
            <v>Corpo de BSCC 3,00 x 3,00 m projeto DNIT para 2,50 &lt; H &lt; 5,00 m</v>
          </cell>
          <cell r="C464" t="str">
            <v>m</v>
          </cell>
          <cell r="D464" t="str">
            <v>7.075,21</v>
          </cell>
          <cell r="E464">
            <v>0</v>
          </cell>
        </row>
        <row r="465">
          <cell r="A465">
            <v>40601</v>
          </cell>
          <cell r="B465" t="str">
            <v>Corpo de BTCC 1,50 x 1,50 m projeto DNIT para H &lt; -&gt; 2,50 m</v>
          </cell>
          <cell r="C465" t="str">
            <v>m</v>
          </cell>
          <cell r="D465" t="str">
            <v>5.198,81</v>
          </cell>
          <cell r="E465">
            <v>0</v>
          </cell>
        </row>
        <row r="466">
          <cell r="A466">
            <v>40607</v>
          </cell>
          <cell r="B466" t="str">
            <v>Corpo de BTCC 1,50 x 1,50 m projeto DNIT para 2,50 &lt; H &lt; 5,00 m</v>
          </cell>
          <cell r="C466" t="str">
            <v>m</v>
          </cell>
          <cell r="D466" t="str">
            <v>5.500,01</v>
          </cell>
          <cell r="E466">
            <v>0</v>
          </cell>
        </row>
        <row r="467">
          <cell r="A467">
            <v>40602</v>
          </cell>
          <cell r="B467" t="str">
            <v>Corpo de BTCC 2,00 x 2,00 m projeto DNIT para H &lt; -&gt; 2,50 m</v>
          </cell>
          <cell r="C467" t="str">
            <v>m</v>
          </cell>
          <cell r="D467" t="str">
            <v>7.563,96</v>
          </cell>
          <cell r="E467">
            <v>0</v>
          </cell>
        </row>
        <row r="468">
          <cell r="A468">
            <v>40608</v>
          </cell>
          <cell r="B468" t="str">
            <v>Corpo de BTCC 2,00 x 2,00 m projeto DNIT para 2,50 &lt; H &lt; 5,00 m</v>
          </cell>
          <cell r="C468" t="str">
            <v>m</v>
          </cell>
          <cell r="D468" t="str">
            <v>8.079,68</v>
          </cell>
          <cell r="E468">
            <v>0</v>
          </cell>
        </row>
        <row r="469">
          <cell r="A469">
            <v>40603</v>
          </cell>
          <cell r="B469" t="str">
            <v>Corpo de BTCC 2,00 x 3,00 m projeto DNIT para H &lt; -&gt; 2,50 m</v>
          </cell>
          <cell r="C469" t="str">
            <v>m</v>
          </cell>
          <cell r="D469" t="str">
            <v>11.001,02</v>
          </cell>
          <cell r="E469">
            <v>0</v>
          </cell>
        </row>
        <row r="470">
          <cell r="A470">
            <v>40609</v>
          </cell>
          <cell r="B470" t="str">
            <v>Corpo de BTCC 2,00 x 3,00 m projeto DNIT para 2,50 &lt; H &lt; 5,00 m</v>
          </cell>
          <cell r="C470" t="str">
            <v>m</v>
          </cell>
          <cell r="D470" t="str">
            <v>12.455,99</v>
          </cell>
          <cell r="E470">
            <v>0</v>
          </cell>
        </row>
        <row r="471">
          <cell r="A471">
            <v>40604</v>
          </cell>
          <cell r="B471" t="str">
            <v>Corpo de BTCC 2,50 x 2,50 m projeto DNIT para H &lt; -&gt; 2,50 m</v>
          </cell>
          <cell r="C471" t="str">
            <v>m</v>
          </cell>
          <cell r="D471" t="str">
            <v>9.907,19</v>
          </cell>
          <cell r="E471">
            <v>0</v>
          </cell>
        </row>
        <row r="472">
          <cell r="A472">
            <v>40610</v>
          </cell>
          <cell r="B472" t="str">
            <v>Corpo de BTCC 2,50 x 2,50 m projeto DNIT para 2,50 &lt; H &lt; 5,00 m</v>
          </cell>
          <cell r="C472" t="str">
            <v>m</v>
          </cell>
          <cell r="D472" t="str">
            <v>11.106,93</v>
          </cell>
          <cell r="E472">
            <v>0</v>
          </cell>
        </row>
        <row r="473">
          <cell r="A473">
            <v>40605</v>
          </cell>
          <cell r="B473" t="str">
            <v>Corpo de BTCC 2,50 x 3,00 m projeto DNIT para H &lt; -&gt; 2,50 m</v>
          </cell>
          <cell r="C473" t="str">
            <v>m</v>
          </cell>
          <cell r="D473" t="str">
            <v>12.306,26</v>
          </cell>
          <cell r="E473">
            <v>0</v>
          </cell>
        </row>
        <row r="474">
          <cell r="A474">
            <v>40611</v>
          </cell>
          <cell r="B474" t="str">
            <v>Corpo de BTCC 2,50 x 3,00 m projeto DNIT para 2,50 &lt; H &lt; 5,00 m</v>
          </cell>
          <cell r="C474" t="str">
            <v>m</v>
          </cell>
          <cell r="D474" t="str">
            <v>13.932,36</v>
          </cell>
          <cell r="E474">
            <v>0</v>
          </cell>
        </row>
        <row r="475">
          <cell r="A475">
            <v>40606</v>
          </cell>
          <cell r="B475" t="str">
            <v>Corpo de BTCC 3,00 x 3,00 m projeto DNIT para H &lt; -&gt; 2,50 m</v>
          </cell>
          <cell r="C475" t="str">
            <v>m</v>
          </cell>
          <cell r="D475" t="str">
            <v>13.235,39</v>
          </cell>
          <cell r="E475">
            <v>0</v>
          </cell>
        </row>
        <row r="476">
          <cell r="A476">
            <v>40612</v>
          </cell>
          <cell r="B476" t="str">
            <v>Corpo de BTCC 3,00 x 3,00 m projeto DNIT para 2,50 &lt; H &lt; 5,00 m</v>
          </cell>
          <cell r="C476" t="str">
            <v>m</v>
          </cell>
          <cell r="D476" t="str">
            <v>14.821,12</v>
          </cell>
          <cell r="E476">
            <v>0</v>
          </cell>
        </row>
        <row r="477">
          <cell r="A477">
            <v>40305</v>
          </cell>
          <cell r="B477" t="str">
            <v>Corta-rio (escavação mecânica em material de 1ª cat.) H -&gt; 1,50 a 3,00 m</v>
          </cell>
          <cell r="C477" t="str">
            <v>m³</v>
          </cell>
          <cell r="D477" t="str">
            <v>11,16</v>
          </cell>
          <cell r="E477">
            <v>0</v>
          </cell>
        </row>
        <row r="478">
          <cell r="A478">
            <v>40306</v>
          </cell>
          <cell r="B478" t="str">
            <v>Corta-rio (escavação mecânica em material de 2ª cat.) H -&gt; 1,50 a 3,00 m</v>
          </cell>
          <cell r="C478" t="str">
            <v>m³</v>
          </cell>
          <cell r="D478" t="str">
            <v>22,33</v>
          </cell>
          <cell r="E478">
            <v>0</v>
          </cell>
        </row>
        <row r="479">
          <cell r="A479">
            <v>40307</v>
          </cell>
          <cell r="B479" t="str">
            <v>Corta-rio (escavação mecânica em material de 3º cat.) H -&gt; 0,00 a 1,50 m</v>
          </cell>
          <cell r="C479" t="str">
            <v>m³</v>
          </cell>
          <cell r="D479" t="str">
            <v>97,19</v>
          </cell>
          <cell r="E479">
            <v>0</v>
          </cell>
        </row>
        <row r="480">
          <cell r="A480">
            <v>41049</v>
          </cell>
          <cell r="B480" t="str">
            <v>Corte e esmerilhamento de pontas de tubo de ferro fundido DN 500 a 200mm</v>
          </cell>
          <cell r="C480" t="str">
            <v>m</v>
          </cell>
          <cell r="D480" t="str">
            <v>15,68</v>
          </cell>
          <cell r="E480">
            <v>0</v>
          </cell>
        </row>
        <row r="481">
          <cell r="A481">
            <v>41124</v>
          </cell>
          <cell r="B481" t="str">
            <v>Curva 90° de PVC, junta elástica PBA, D-&gt;75mm, fornecimento e assentamento</v>
          </cell>
          <cell r="C481" t="str">
            <v>un</v>
          </cell>
          <cell r="D481" t="str">
            <v>52,79</v>
          </cell>
          <cell r="E481">
            <v>0</v>
          </cell>
        </row>
        <row r="482">
          <cell r="A482">
            <v>40372</v>
          </cell>
          <cell r="B482" t="str">
            <v>Demolição manual alvenaria tijolo furado assentado com argamassa</v>
          </cell>
          <cell r="C482" t="str">
            <v>m³</v>
          </cell>
          <cell r="D482" t="str">
            <v>154,89</v>
          </cell>
          <cell r="E482">
            <v>0</v>
          </cell>
        </row>
        <row r="483">
          <cell r="A483">
            <v>40374</v>
          </cell>
          <cell r="B483" t="str">
            <v>Demolição manual de concreto armado</v>
          </cell>
          <cell r="C483" t="str">
            <v>m³</v>
          </cell>
          <cell r="D483" t="str">
            <v>228,55</v>
          </cell>
          <cell r="E483">
            <v>0</v>
          </cell>
        </row>
        <row r="484">
          <cell r="A484">
            <v>40373</v>
          </cell>
          <cell r="B484" t="str">
            <v>Demolição manual de concreto simples ou ciclópico</v>
          </cell>
          <cell r="C484" t="str">
            <v>m³</v>
          </cell>
          <cell r="D484" t="str">
            <v>201,66</v>
          </cell>
          <cell r="E484">
            <v>0</v>
          </cell>
        </row>
        <row r="485">
          <cell r="A485">
            <v>40375</v>
          </cell>
          <cell r="B485" t="str">
            <v>Demolição mecânica de concreto</v>
          </cell>
          <cell r="C485" t="str">
            <v>m³</v>
          </cell>
          <cell r="D485" t="str">
            <v>131,36</v>
          </cell>
          <cell r="E485">
            <v>0</v>
          </cell>
        </row>
        <row r="486">
          <cell r="A486">
            <v>40678</v>
          </cell>
          <cell r="B486" t="str">
            <v>Descida d'água concreto armado (calha) c/ caiação (DSA-01A) canal</v>
          </cell>
          <cell r="C486" t="str">
            <v>m</v>
          </cell>
          <cell r="D486" t="str">
            <v>326,31</v>
          </cell>
          <cell r="E486">
            <v>0</v>
          </cell>
        </row>
        <row r="487">
          <cell r="A487">
            <v>40679</v>
          </cell>
          <cell r="B487" t="str">
            <v>Descida d'água concreto armado (calha) c/ caiação (DSA-01A) dispersor</v>
          </cell>
          <cell r="C487" t="str">
            <v>un</v>
          </cell>
          <cell r="D487" t="str">
            <v>649,34</v>
          </cell>
          <cell r="E487">
            <v>0</v>
          </cell>
        </row>
        <row r="488">
          <cell r="A488">
            <v>40684</v>
          </cell>
          <cell r="B488" t="str">
            <v>Descida d'água concreto armado (degraus) c/ caiação (DSA-03A) apoio</v>
          </cell>
          <cell r="C488" t="str">
            <v>un</v>
          </cell>
          <cell r="D488" t="str">
            <v>712,39</v>
          </cell>
          <cell r="E488">
            <v>0</v>
          </cell>
        </row>
        <row r="489">
          <cell r="A489">
            <v>40683</v>
          </cell>
          <cell r="B489" t="str">
            <v>Descida d'água concreto armado (degraus) c/ caiação (DSA-03A) degrau</v>
          </cell>
          <cell r="C489" t="str">
            <v>m</v>
          </cell>
          <cell r="D489" t="str">
            <v>341,51</v>
          </cell>
          <cell r="E489">
            <v>0</v>
          </cell>
        </row>
        <row r="490">
          <cell r="A490">
            <v>40685</v>
          </cell>
          <cell r="B490" t="str">
            <v>Descida d'água concreto armado (degraus) c/ caiação (DSA-03A) dispersor</v>
          </cell>
          <cell r="C490" t="str">
            <v>un</v>
          </cell>
          <cell r="D490" t="str">
            <v>619,76</v>
          </cell>
          <cell r="E490">
            <v>0</v>
          </cell>
        </row>
        <row r="491">
          <cell r="A491">
            <v>40686</v>
          </cell>
          <cell r="B491" t="str">
            <v>Descida d'água concreto armado DP-1 (calha) c/ caiação</v>
          </cell>
          <cell r="C491" t="str">
            <v>m</v>
          </cell>
          <cell r="D491" t="str">
            <v>446,10</v>
          </cell>
          <cell r="E491">
            <v>0</v>
          </cell>
        </row>
        <row r="492">
          <cell r="A492">
            <v>40687</v>
          </cell>
          <cell r="B492" t="str">
            <v>Descida d'água concreto armado DP-1 (degraus) c/ caiação</v>
          </cell>
          <cell r="C492" t="str">
            <v>m</v>
          </cell>
          <cell r="D492" t="str">
            <v>425,74</v>
          </cell>
          <cell r="E492">
            <v>0</v>
          </cell>
        </row>
        <row r="493">
          <cell r="A493">
            <v>40676</v>
          </cell>
          <cell r="B493" t="str">
            <v>Descida d'água concreto simples (calha) c/ caiação (DSA-01) canal</v>
          </cell>
          <cell r="C493" t="str">
            <v>m</v>
          </cell>
          <cell r="D493" t="str">
            <v>269,33</v>
          </cell>
          <cell r="E493">
            <v>0</v>
          </cell>
        </row>
        <row r="494">
          <cell r="A494">
            <v>40677</v>
          </cell>
          <cell r="B494" t="str">
            <v>Descida d'água concreto simples (calha) c/ caiação (DSA-01) dispersor</v>
          </cell>
          <cell r="C494" t="str">
            <v>un</v>
          </cell>
          <cell r="D494" t="str">
            <v>584,21</v>
          </cell>
          <cell r="E494">
            <v>0</v>
          </cell>
        </row>
        <row r="495">
          <cell r="A495">
            <v>40681</v>
          </cell>
          <cell r="B495" t="str">
            <v>Descida d'água concreto simples (degraus) c/ caiação (DSA-03) apoio</v>
          </cell>
          <cell r="C495" t="str">
            <v>un</v>
          </cell>
          <cell r="D495" t="str">
            <v>664,78</v>
          </cell>
          <cell r="E495">
            <v>0</v>
          </cell>
        </row>
        <row r="496">
          <cell r="A496">
            <v>40680</v>
          </cell>
          <cell r="B496" t="str">
            <v>Descida d'água concreto simples (degraus) c/ caiação (DSA-03) degrau</v>
          </cell>
          <cell r="C496" t="str">
            <v>m</v>
          </cell>
          <cell r="D496" t="str">
            <v>325,22</v>
          </cell>
          <cell r="E496">
            <v>0</v>
          </cell>
        </row>
        <row r="497">
          <cell r="A497">
            <v>40682</v>
          </cell>
          <cell r="B497" t="str">
            <v>Descida d'água concreto simples (degraus) c/ caiação (DSA-03) dispersor</v>
          </cell>
          <cell r="C497" t="str">
            <v>un</v>
          </cell>
          <cell r="D497" t="str">
            <v>579,05</v>
          </cell>
          <cell r="E497">
            <v>0</v>
          </cell>
        </row>
        <row r="498">
          <cell r="A498">
            <v>41189</v>
          </cell>
          <cell r="B498" t="str">
            <v>Deslocamento de cerca de tela galvanizada fio 12 malha 3" x 3"</v>
          </cell>
          <cell r="C498" t="str">
            <v>m</v>
          </cell>
          <cell r="D498" t="str">
            <v>32,55</v>
          </cell>
          <cell r="E498" t="str">
            <v>A incluir</v>
          </cell>
        </row>
        <row r="499">
          <cell r="A499">
            <v>40728</v>
          </cell>
          <cell r="B499" t="str">
            <v>Dissipador de energia aplicado a saída d'água tipo DP-1</v>
          </cell>
          <cell r="C499" t="str">
            <v>un</v>
          </cell>
          <cell r="D499" t="str">
            <v>305,21</v>
          </cell>
          <cell r="E499" t="str">
            <v>A incluir</v>
          </cell>
        </row>
        <row r="500">
          <cell r="A500">
            <v>40732</v>
          </cell>
          <cell r="B500" t="str">
            <v>Dissipador de energia aplicado a saída de bueiro/descida d'agua de aterro (DEB-01)</v>
          </cell>
          <cell r="C500" t="str">
            <v>un</v>
          </cell>
          <cell r="D500" t="str">
            <v>546,75</v>
          </cell>
          <cell r="E500" t="str">
            <v>A incluir</v>
          </cell>
        </row>
        <row r="501">
          <cell r="A501">
            <v>40733</v>
          </cell>
          <cell r="B501" t="str">
            <v>Dissipador de energia aplicado a saída de bueiro/descida d'água de aterro (DEB-02)</v>
          </cell>
          <cell r="C501" t="str">
            <v>un</v>
          </cell>
          <cell r="D501" t="str">
            <v>1.349,60</v>
          </cell>
          <cell r="E501" t="str">
            <v>A incluir</v>
          </cell>
        </row>
        <row r="502">
          <cell r="A502">
            <v>40734</v>
          </cell>
          <cell r="B502" t="str">
            <v>Dissipador de energia aplicado a saída de bueiro/descida d'água de aterro (DEB-03)</v>
          </cell>
          <cell r="C502" t="str">
            <v>un</v>
          </cell>
          <cell r="D502" t="str">
            <v>2.112,77</v>
          </cell>
          <cell r="E502" t="str">
            <v>A incluir</v>
          </cell>
        </row>
        <row r="503">
          <cell r="A503">
            <v>40735</v>
          </cell>
          <cell r="B503" t="str">
            <v>Dissipador de energia aplicado a saída de bueiro/descida d'água de aterro (DEB-04)</v>
          </cell>
          <cell r="C503" t="str">
            <v>un</v>
          </cell>
          <cell r="D503" t="str">
            <v>3.051,74</v>
          </cell>
          <cell r="E503" t="str">
            <v>A incluir</v>
          </cell>
        </row>
        <row r="504">
          <cell r="A504">
            <v>40736</v>
          </cell>
          <cell r="B504" t="str">
            <v>Dissipador de energia aplicado a saída de bueiro/descida d'água de aterro (DEB-05)</v>
          </cell>
          <cell r="C504" t="str">
            <v>un</v>
          </cell>
          <cell r="D504" t="str">
            <v>4.104,20</v>
          </cell>
          <cell r="E504" t="str">
            <v>A incluir</v>
          </cell>
        </row>
        <row r="505">
          <cell r="A505">
            <v>40737</v>
          </cell>
          <cell r="B505" t="str">
            <v>Dissipador de energia aplicado a saída de bueiro/descida d'água de aterro (DEB-06)</v>
          </cell>
          <cell r="C505" t="str">
            <v>un</v>
          </cell>
          <cell r="D505" t="str">
            <v>6.519,18</v>
          </cell>
          <cell r="E505" t="str">
            <v>A incluir</v>
          </cell>
        </row>
        <row r="506">
          <cell r="A506">
            <v>40738</v>
          </cell>
          <cell r="B506" t="str">
            <v>Dissipador de energia aplicado a saída de bueiro/descida d'água de aterro (DEB-07)</v>
          </cell>
          <cell r="C506" t="str">
            <v>un</v>
          </cell>
          <cell r="D506" t="str">
            <v>4.176,03</v>
          </cell>
          <cell r="E506" t="str">
            <v>A incluir</v>
          </cell>
        </row>
        <row r="507">
          <cell r="A507">
            <v>40739</v>
          </cell>
          <cell r="B507" t="str">
            <v>Dissipador de energia aplicado a saída de bueiro/descida d'água de aterro (DEB-08)</v>
          </cell>
          <cell r="C507" t="str">
            <v>un</v>
          </cell>
          <cell r="D507" t="str">
            <v>5.620,04</v>
          </cell>
          <cell r="E507" t="str">
            <v>A incluir</v>
          </cell>
        </row>
        <row r="508">
          <cell r="A508">
            <v>40740</v>
          </cell>
          <cell r="B508" t="str">
            <v>Dissipador de energia aplicado a saída de bueiro/descida d'água de aterro (DEB-09)</v>
          </cell>
          <cell r="C508" t="str">
            <v>un</v>
          </cell>
          <cell r="D508" t="str">
            <v>8.711,00</v>
          </cell>
          <cell r="E508" t="str">
            <v>A incluir</v>
          </cell>
        </row>
        <row r="509">
          <cell r="A509">
            <v>40741</v>
          </cell>
          <cell r="B509" t="str">
            <v>Dissipador de energia aplicado a saída de bueiro/descida d'água de aterro (DEB-10)</v>
          </cell>
          <cell r="C509" t="str">
            <v>un</v>
          </cell>
          <cell r="D509" t="str">
            <v>5.306,23</v>
          </cell>
          <cell r="E509" t="str">
            <v>A incluir</v>
          </cell>
        </row>
        <row r="510">
          <cell r="A510">
            <v>40742</v>
          </cell>
          <cell r="B510" t="str">
            <v>Dissipador de energia aplicado a saída de bueiro/descida d'água de aterro (DEB-12)</v>
          </cell>
          <cell r="C510" t="str">
            <v>un</v>
          </cell>
          <cell r="D510" t="str">
            <v>10.901,13</v>
          </cell>
          <cell r="E510" t="str">
            <v>A incluir</v>
          </cell>
        </row>
        <row r="511">
          <cell r="A511">
            <v>40729</v>
          </cell>
          <cell r="B511" t="str">
            <v>Dissipador de energia aplicado a saída de sarjeta/valeta (DES-01)</v>
          </cell>
          <cell r="C511" t="str">
            <v>un</v>
          </cell>
          <cell r="D511" t="str">
            <v>256,61</v>
          </cell>
          <cell r="E511" t="str">
            <v>A incluir</v>
          </cell>
        </row>
        <row r="512">
          <cell r="A512">
            <v>40730</v>
          </cell>
          <cell r="B512" t="str">
            <v>Dissipador de energia aplicado a saída de sarjeta/valeta (DES-02)</v>
          </cell>
          <cell r="C512" t="str">
            <v>un</v>
          </cell>
          <cell r="D512" t="str">
            <v>305,21</v>
          </cell>
          <cell r="E512" t="str">
            <v>A incluir</v>
          </cell>
        </row>
        <row r="513">
          <cell r="A513">
            <v>40731</v>
          </cell>
          <cell r="B513" t="str">
            <v>Dissipador de energia aplicado a saída de sarjeta/valeta (DES-03)</v>
          </cell>
          <cell r="C513" t="str">
            <v>un</v>
          </cell>
          <cell r="D513" t="str">
            <v>363,92</v>
          </cell>
          <cell r="E513" t="str">
            <v>A incluir</v>
          </cell>
        </row>
        <row r="514">
          <cell r="A514">
            <v>40650</v>
          </cell>
          <cell r="B514" t="str">
            <v>Dreno de alívio de pavimento (DP - DAP - 01), com utilização de geotêxtil não tecido RT 07 kn/m, inclusive transporte da brita</v>
          </cell>
          <cell r="C514" t="str">
            <v>m</v>
          </cell>
          <cell r="D514" t="str">
            <v>45,62</v>
          </cell>
          <cell r="E514" t="str">
            <v>A incluir</v>
          </cell>
        </row>
        <row r="515">
          <cell r="A515">
            <v>40637</v>
          </cell>
          <cell r="B515" t="str">
            <v>Dreno de PVC D -&gt; 100 mm</v>
          </cell>
          <cell r="C515" t="str">
            <v>m</v>
          </cell>
          <cell r="D515" t="str">
            <v>27,04</v>
          </cell>
          <cell r="E515">
            <v>0</v>
          </cell>
        </row>
        <row r="516">
          <cell r="A516">
            <v>40636</v>
          </cell>
          <cell r="B516" t="str">
            <v>Dreno de PVC D -&gt; 50 mm</v>
          </cell>
          <cell r="C516" t="str">
            <v>m</v>
          </cell>
          <cell r="D516" t="str">
            <v>16,25</v>
          </cell>
          <cell r="E516">
            <v>0</v>
          </cell>
        </row>
        <row r="517">
          <cell r="A517">
            <v>40712</v>
          </cell>
          <cell r="B517" t="str">
            <v>Dreno Longitudinal tipo Trincheira Drenante, H -&gt; 0,90 m com tubo poroso tipo PEAD de diâm -&gt; 110 mm, incluindo esc. em mat. 1ª cat.</v>
          </cell>
          <cell r="C517" t="str">
            <v>m</v>
          </cell>
          <cell r="D517" t="str">
            <v>80,72</v>
          </cell>
          <cell r="E517" t="str">
            <v>A incluir</v>
          </cell>
        </row>
        <row r="518">
          <cell r="A518">
            <v>40713</v>
          </cell>
          <cell r="B518" t="str">
            <v>Dreno Longitudinal tipo Trincheira Drenante, H -&gt; 0,90 m com tubo poroso tipo PEAD de diâm -&gt; 110 mm, incluindo esc. mat. 3ª cat.</v>
          </cell>
          <cell r="C518" t="str">
            <v>m</v>
          </cell>
          <cell r="D518" t="str">
            <v>100,42</v>
          </cell>
          <cell r="E518" t="str">
            <v>A incluir</v>
          </cell>
        </row>
        <row r="519">
          <cell r="A519">
            <v>41262</v>
          </cell>
          <cell r="B519" t="str">
            <v>Dreno Longitudinal tipo Trincheira Drenante, H-&gt;0,40m c/ tubo poroso tipo PEAD d-&gt;65mm, inclus. esc. em mat. 1ª cat.e geotêxtil não tecido RT 07 kN/m</v>
          </cell>
          <cell r="C519" t="str">
            <v>m</v>
          </cell>
          <cell r="D519" t="str">
            <v>77,01</v>
          </cell>
          <cell r="E519">
            <v>0</v>
          </cell>
        </row>
        <row r="520">
          <cell r="A520">
            <v>41259</v>
          </cell>
          <cell r="B520" t="str">
            <v>Dreno ou Barbacã em tubo PVC, diâmetro de 2"</v>
          </cell>
          <cell r="C520" t="str">
            <v>m</v>
          </cell>
          <cell r="D520" t="str">
            <v>14,49</v>
          </cell>
          <cell r="E520">
            <v>0</v>
          </cell>
        </row>
        <row r="521">
          <cell r="A521">
            <v>40640</v>
          </cell>
          <cell r="B521" t="str">
            <v>Dreno profundo com enchimento de areia, escavação em material 1ª categoria, inclusive transporte da areia</v>
          </cell>
          <cell r="C521" t="str">
            <v>m</v>
          </cell>
          <cell r="D521" t="str">
            <v>86,33</v>
          </cell>
          <cell r="E521" t="str">
            <v>A incluir</v>
          </cell>
        </row>
        <row r="522">
          <cell r="A522">
            <v>40642</v>
          </cell>
          <cell r="B522" t="str">
            <v>Dreno profundo com enchimento de brita e areia (1:1) escavação em material 1ª categoria, inclusive transporte da areia e da brita</v>
          </cell>
          <cell r="C522" t="str">
            <v>m</v>
          </cell>
          <cell r="D522" t="str">
            <v>90,00</v>
          </cell>
          <cell r="E522" t="str">
            <v>A incluir</v>
          </cell>
        </row>
        <row r="523">
          <cell r="A523">
            <v>40643</v>
          </cell>
          <cell r="B523" t="str">
            <v>Dreno profundo com enchimento de brita e areia (1:1) escavação em material 2ª categoria, inclusive transporte da areia e da brita</v>
          </cell>
          <cell r="C523" t="str">
            <v>m</v>
          </cell>
          <cell r="D523" t="str">
            <v>96,34</v>
          </cell>
          <cell r="E523" t="str">
            <v>A incluir</v>
          </cell>
        </row>
        <row r="524">
          <cell r="A524">
            <v>40641</v>
          </cell>
          <cell r="B524" t="str">
            <v>Dreno profundo com enchimento de brita, escavação em material 1ª categoria, inclusive transporte da brita</v>
          </cell>
          <cell r="C524" t="str">
            <v>m</v>
          </cell>
          <cell r="D524" t="str">
            <v>87,88</v>
          </cell>
          <cell r="E524" t="str">
            <v>A incluir</v>
          </cell>
        </row>
        <row r="525">
          <cell r="A525">
            <v>40648</v>
          </cell>
          <cell r="B525" t="str">
            <v>Dreno profundo com tubo poroso, D -&gt; 0,20 m com enchimento de brita e areia, escavação em material 2ª categoria, inclusive transp.da areia, brita, tubo</v>
          </cell>
          <cell r="C525" t="str">
            <v>m</v>
          </cell>
          <cell r="D525" t="str">
            <v>115,34</v>
          </cell>
          <cell r="E525" t="str">
            <v>A incluir</v>
          </cell>
        </row>
        <row r="526">
          <cell r="A526">
            <v>40649</v>
          </cell>
          <cell r="B526" t="str">
            <v>Dreno profundo com tubo poroso, D -&gt; 0,20 m com enchimento de brita, escavação em material 3ª categoria (DPR-01), inclusive transporte da brita, tubo</v>
          </cell>
          <cell r="C526" t="str">
            <v>m</v>
          </cell>
          <cell r="D526" t="str">
            <v>86,63</v>
          </cell>
          <cell r="E526" t="str">
            <v>A incluir</v>
          </cell>
        </row>
        <row r="527">
          <cell r="A527">
            <v>40645</v>
          </cell>
          <cell r="B527" t="str">
            <v>Dreno profundo D -&gt; 0,10 m c/ enchim. brita, areia (1:1) escav. mat. 3º categ.incl. transp. areia, brita c/ geotêxtil não tecido res.long. mín 16kn/m</v>
          </cell>
          <cell r="C527" t="str">
            <v>m</v>
          </cell>
          <cell r="D527" t="str">
            <v>181,81</v>
          </cell>
          <cell r="E527" t="str">
            <v>A incluir</v>
          </cell>
        </row>
        <row r="528">
          <cell r="A528">
            <v>40644</v>
          </cell>
          <cell r="B528" t="str">
            <v>Dreno profundo D -&gt; 0,10 m c/enchim. brita e areia (1:1) escav.mat. 1º categ., inclus.transp.areia, brita,c/ geotêxtil não tecido res.long. mín 16 kn/m</v>
          </cell>
          <cell r="C528" t="str">
            <v>m</v>
          </cell>
          <cell r="D528" t="str">
            <v>116,53</v>
          </cell>
          <cell r="E528" t="str">
            <v>A incluir</v>
          </cell>
        </row>
        <row r="529">
          <cell r="A529">
            <v>40646</v>
          </cell>
          <cell r="B529" t="str">
            <v>Dreno profundo D -&gt; 0,20 m com enchimento de areia, escavação em material 1ª categoria (DPS-01), inclusive transporte da areia e do tubo</v>
          </cell>
          <cell r="C529" t="str">
            <v>m</v>
          </cell>
          <cell r="D529" t="str">
            <v>110,72</v>
          </cell>
          <cell r="E529" t="str">
            <v>A incluir</v>
          </cell>
        </row>
        <row r="530">
          <cell r="A530">
            <v>40647</v>
          </cell>
          <cell r="B530" t="str">
            <v>Dreno profundo D -&gt; 0,20 m com enchimento de brita e areia, escavação em material 1ª categoria, inclusive transporte da brita e da areia</v>
          </cell>
          <cell r="C530" t="str">
            <v>m</v>
          </cell>
          <cell r="D530" t="str">
            <v>109,00</v>
          </cell>
          <cell r="E530" t="str">
            <v>A incluir</v>
          </cell>
        </row>
        <row r="531">
          <cell r="A531">
            <v>40704</v>
          </cell>
          <cell r="B531" t="str">
            <v>Dreno profundo em solo com tubo PVC perfur. D-&gt;0,10 m, envolto por geotêxtil não tecido RT16 kn/m, preenchim. c/ brita, incl. transporte</v>
          </cell>
          <cell r="C531" t="str">
            <v>m</v>
          </cell>
          <cell r="D531" t="str">
            <v>80,13</v>
          </cell>
          <cell r="E531" t="str">
            <v>A incluir</v>
          </cell>
        </row>
        <row r="532">
          <cell r="A532">
            <v>41107</v>
          </cell>
          <cell r="B532" t="str">
            <v>Dreno profundo para corte em solo, com enchimento em brita revestido com geotextil não tecido RT 16 kn/m, inclusive transporte da brita</v>
          </cell>
          <cell r="C532" t="str">
            <v>m</v>
          </cell>
          <cell r="D532" t="str">
            <v>110,44</v>
          </cell>
          <cell r="E532" t="str">
            <v>A incluir</v>
          </cell>
        </row>
        <row r="533">
          <cell r="A533">
            <v>40638</v>
          </cell>
          <cell r="B533" t="str">
            <v>Dreno sub-horizontal D -&gt; 50 mm em PVC, com geotêxtil não tecido RT 16 kn/m, exclusive transportes</v>
          </cell>
          <cell r="C533" t="str">
            <v>m</v>
          </cell>
          <cell r="D533" t="str">
            <v>370,57</v>
          </cell>
          <cell r="E533">
            <v>0</v>
          </cell>
        </row>
        <row r="534">
          <cell r="A534">
            <v>41188</v>
          </cell>
          <cell r="B534" t="str">
            <v>Dreno sub-horizontal D-&gt;50mm em PVC (escavação em alteração de rocha), inclusive geotêxtil não tecido RT 16 kn/m, exclusive transportes</v>
          </cell>
          <cell r="C534" t="str">
            <v>m</v>
          </cell>
          <cell r="D534" t="str">
            <v>564,18</v>
          </cell>
          <cell r="E534">
            <v>0</v>
          </cell>
        </row>
        <row r="535">
          <cell r="A535">
            <v>41187</v>
          </cell>
          <cell r="B535" t="str">
            <v>Dreno sub-horizontal D-&gt;50mm em PVC (escavação em rocha sã), inlusive geotêxtil não tecido RT 16 kn/m, exclusive transportes</v>
          </cell>
          <cell r="C535" t="str">
            <v>m</v>
          </cell>
          <cell r="D535" t="str">
            <v>736,20</v>
          </cell>
          <cell r="E535">
            <v>0</v>
          </cell>
        </row>
        <row r="536">
          <cell r="A536">
            <v>40705</v>
          </cell>
          <cell r="B536" t="str">
            <v>Dreno sub-superficial rocha (h-&gt;0,55m) c/ tubo PVC perfur. d-&gt;0,10m, env. por geotêxtil16kn/m,preenc.c/ brita,inclus.transp. dreno, exclus transp.brita</v>
          </cell>
          <cell r="C536" t="str">
            <v>m</v>
          </cell>
          <cell r="D536" t="str">
            <v>64,06</v>
          </cell>
          <cell r="E536" t="str">
            <v>A incluir</v>
          </cell>
        </row>
        <row r="537">
          <cell r="A537">
            <v>40639</v>
          </cell>
          <cell r="B537" t="str">
            <v>Dreno vertical D -&gt; 75 mm em PVC, com geotêxtil não tecido resistência longitudinal 16 kn/m</v>
          </cell>
          <cell r="C537" t="str">
            <v>m</v>
          </cell>
          <cell r="D537" t="str">
            <v>376,35</v>
          </cell>
          <cell r="E537">
            <v>0</v>
          </cell>
        </row>
        <row r="538">
          <cell r="A538">
            <v>41227</v>
          </cell>
          <cell r="B538" t="str">
            <v>Eletroduto de ferro galvanizado DN 4", inclusive conexões, exclusive escavação e reaterro, fornecimento e assentamento</v>
          </cell>
          <cell r="C538" t="str">
            <v>m</v>
          </cell>
          <cell r="D538" t="str">
            <v>90,32</v>
          </cell>
          <cell r="E538">
            <v>0</v>
          </cell>
        </row>
        <row r="539">
          <cell r="A539">
            <v>40951</v>
          </cell>
          <cell r="B539" t="str">
            <v>Eletroduto para rede de lógica, inclusive conexões</v>
          </cell>
          <cell r="C539" t="str">
            <v>m</v>
          </cell>
          <cell r="D539" t="str">
            <v>17,04</v>
          </cell>
          <cell r="E539">
            <v>0</v>
          </cell>
        </row>
        <row r="540">
          <cell r="A540">
            <v>41121</v>
          </cell>
          <cell r="B540" t="str">
            <v>Eletroduto PVC diâmetro 75mm, fornecimento e assentamento</v>
          </cell>
          <cell r="C540" t="str">
            <v>m</v>
          </cell>
          <cell r="D540" t="str">
            <v>21,14</v>
          </cell>
          <cell r="E540">
            <v>0</v>
          </cell>
        </row>
        <row r="541">
          <cell r="A541">
            <v>41120</v>
          </cell>
          <cell r="B541" t="str">
            <v>Eletroduto PVC rígido roscável diâm. 50mm, fornecimento e assentamento</v>
          </cell>
          <cell r="C541" t="str">
            <v>m</v>
          </cell>
          <cell r="D541" t="str">
            <v>10,75</v>
          </cell>
          <cell r="E541">
            <v>0</v>
          </cell>
        </row>
        <row r="542">
          <cell r="A542">
            <v>41128</v>
          </cell>
          <cell r="B542" t="str">
            <v>Eletroduto tipo Kanaflex diâmetro 1 1/4", fornecimento e assentamento</v>
          </cell>
          <cell r="C542" t="str">
            <v>m</v>
          </cell>
          <cell r="D542" t="str">
            <v>10,95</v>
          </cell>
          <cell r="E542">
            <v>0</v>
          </cell>
        </row>
        <row r="543">
          <cell r="A543">
            <v>41129</v>
          </cell>
          <cell r="B543" t="str">
            <v>Eletroduto tipo Kanaflex diâmetro 1 1/2", fornecimento e assentamento</v>
          </cell>
          <cell r="C543" t="str">
            <v>m</v>
          </cell>
          <cell r="D543" t="str">
            <v>13,72</v>
          </cell>
          <cell r="E543">
            <v>0</v>
          </cell>
        </row>
        <row r="544">
          <cell r="A544">
            <v>41131</v>
          </cell>
          <cell r="B544" t="str">
            <v>Eletroduto tipo Kanaflex diâmetro 2", fornecimento e assentamento</v>
          </cell>
          <cell r="C544" t="str">
            <v>m</v>
          </cell>
          <cell r="D544" t="str">
            <v>17,15</v>
          </cell>
          <cell r="E544">
            <v>0</v>
          </cell>
        </row>
        <row r="545">
          <cell r="A545">
            <v>41130</v>
          </cell>
          <cell r="B545" t="str">
            <v>Eletroduto tipo Kanaflex diâmetro 4", fornecimento e assentamento</v>
          </cell>
          <cell r="C545" t="str">
            <v>m</v>
          </cell>
          <cell r="D545" t="str">
            <v>29,84</v>
          </cell>
          <cell r="E545">
            <v>0</v>
          </cell>
        </row>
        <row r="546">
          <cell r="A546">
            <v>40997</v>
          </cell>
          <cell r="B546" t="str">
            <v>Enrocamento de pedra arrumada com pá carregadeira e escavadeira, inclusive fornecimento, exclusive transporte da pedra</v>
          </cell>
          <cell r="C546" t="str">
            <v>m³</v>
          </cell>
          <cell r="D546" t="str">
            <v>75,17</v>
          </cell>
          <cell r="E546">
            <v>0</v>
          </cell>
        </row>
        <row r="547">
          <cell r="A547">
            <v>40724</v>
          </cell>
          <cell r="B547" t="str">
            <v>Enrocamento de pedra de mão arrumada exclusive transporte</v>
          </cell>
          <cell r="C547" t="str">
            <v>m³</v>
          </cell>
          <cell r="D547" t="str">
            <v>129,99</v>
          </cell>
          <cell r="E547">
            <v>0</v>
          </cell>
        </row>
        <row r="548">
          <cell r="A548">
            <v>40722</v>
          </cell>
          <cell r="B548" t="str">
            <v>Enrocamento de pedra jogada exclusive fornecimento e transporte (utilização de material considerado em medição)</v>
          </cell>
          <cell r="C548" t="str">
            <v>m³</v>
          </cell>
          <cell r="D548" t="str">
            <v>8,02</v>
          </cell>
          <cell r="E548">
            <v>0</v>
          </cell>
        </row>
        <row r="549">
          <cell r="A549">
            <v>40998</v>
          </cell>
          <cell r="B549" t="str">
            <v>Enrocamento de pedra jogada exclusive o fornecimento e transporte da pedra</v>
          </cell>
          <cell r="C549" t="str">
            <v>m³</v>
          </cell>
          <cell r="D549" t="str">
            <v>8,86</v>
          </cell>
          <cell r="E549">
            <v>0</v>
          </cell>
        </row>
        <row r="550">
          <cell r="A550">
            <v>40723</v>
          </cell>
          <cell r="B550" t="str">
            <v>Enrocamento de pedra jogada inclusive fornecimento, exclusive transporte da pedra</v>
          </cell>
          <cell r="C550" t="str">
            <v>m³</v>
          </cell>
          <cell r="D550" t="str">
            <v>52,92</v>
          </cell>
          <cell r="E550">
            <v>0</v>
          </cell>
        </row>
        <row r="551">
          <cell r="A551">
            <v>40335</v>
          </cell>
          <cell r="B551" t="str">
            <v>Ensecadeira dupla de madeira esp.-&gt; 5 cm com 1 reaproveitamento</v>
          </cell>
          <cell r="C551" t="str">
            <v>m²</v>
          </cell>
          <cell r="D551" t="str">
            <v>494,07</v>
          </cell>
          <cell r="E551" t="str">
            <v>A incluir</v>
          </cell>
        </row>
        <row r="552">
          <cell r="A552">
            <v>40334</v>
          </cell>
          <cell r="B552" t="str">
            <v>Ensecadeira dupla de madeira esp.-&gt; 5 cm sem reaproveitamento, tudo incluído</v>
          </cell>
          <cell r="C552" t="str">
            <v>m²</v>
          </cell>
          <cell r="D552" t="str">
            <v>710,29</v>
          </cell>
          <cell r="E552" t="str">
            <v>A incluir</v>
          </cell>
        </row>
        <row r="553">
          <cell r="A553">
            <v>40333</v>
          </cell>
          <cell r="B553" t="str">
            <v>Ensecadeira simples de madeira esp.-&gt; 5 cm com 1 reaproveitamento, inclusive transporte das madeiras</v>
          </cell>
          <cell r="C553" t="str">
            <v>m²</v>
          </cell>
          <cell r="D553" t="str">
            <v>247,03</v>
          </cell>
          <cell r="E553" t="str">
            <v>A incluir</v>
          </cell>
        </row>
        <row r="554">
          <cell r="A554">
            <v>40332</v>
          </cell>
          <cell r="B554" t="str">
            <v>Ensecadeira simples de madeira esp.-&gt; 5 cm sem reaproveitamento, inclusive transporte das madeiras</v>
          </cell>
          <cell r="C554" t="str">
            <v>m²</v>
          </cell>
          <cell r="D554" t="str">
            <v>355,14</v>
          </cell>
          <cell r="E554" t="str">
            <v>A incluir</v>
          </cell>
        </row>
        <row r="555">
          <cell r="A555">
            <v>40675</v>
          </cell>
          <cell r="B555" t="str">
            <v>Entrada para descida d'agua DP-1 (calha/degraus) inclusive caiação</v>
          </cell>
          <cell r="C555" t="str">
            <v>un</v>
          </cell>
          <cell r="D555" t="str">
            <v>189,41</v>
          </cell>
          <cell r="E555">
            <v>0</v>
          </cell>
        </row>
        <row r="556">
          <cell r="A556">
            <v>40673</v>
          </cell>
          <cell r="B556" t="str">
            <v>Entrada para descida d'água EDA-01</v>
          </cell>
          <cell r="C556" t="str">
            <v>un</v>
          </cell>
          <cell r="D556" t="str">
            <v>68,63</v>
          </cell>
          <cell r="E556">
            <v>0</v>
          </cell>
        </row>
        <row r="557">
          <cell r="A557">
            <v>40674</v>
          </cell>
          <cell r="B557" t="str">
            <v>Entrada para descida d'água EDA-02</v>
          </cell>
          <cell r="C557" t="str">
            <v>un</v>
          </cell>
          <cell r="D557" t="str">
            <v>73,15</v>
          </cell>
          <cell r="E557">
            <v>0</v>
          </cell>
        </row>
        <row r="558">
          <cell r="A558">
            <v>41037</v>
          </cell>
          <cell r="B558" t="str">
            <v>Escada de madeira executada sobre terreno inclinado, com 80 cm de largura mínima</v>
          </cell>
          <cell r="C558" t="str">
            <v>m</v>
          </cell>
          <cell r="D558" t="str">
            <v>53,99</v>
          </cell>
          <cell r="E558">
            <v>0</v>
          </cell>
        </row>
        <row r="559">
          <cell r="A559">
            <v>40258</v>
          </cell>
          <cell r="B559" t="str">
            <v>Escavação manual em mat. 1ª cat. H-&gt; 0,00 a 1,50 m</v>
          </cell>
          <cell r="C559" t="str">
            <v>m³</v>
          </cell>
          <cell r="D559" t="str">
            <v>48,36</v>
          </cell>
          <cell r="E559">
            <v>0</v>
          </cell>
        </row>
        <row r="560">
          <cell r="A560">
            <v>40261</v>
          </cell>
          <cell r="B560" t="str">
            <v>Escavação manual em mat. 1ª cat. H-&gt; 0,00 a 1,50 m com esgotamento</v>
          </cell>
          <cell r="C560" t="str">
            <v>m³</v>
          </cell>
          <cell r="D560" t="str">
            <v>55,11</v>
          </cell>
          <cell r="E560">
            <v>0</v>
          </cell>
        </row>
        <row r="561">
          <cell r="A561">
            <v>40259</v>
          </cell>
          <cell r="B561" t="str">
            <v>Escavação manual em mat. 1ª cat. H-&gt; 1,50 a 3,00 m</v>
          </cell>
          <cell r="C561" t="str">
            <v>m³</v>
          </cell>
          <cell r="D561" t="str">
            <v>71,25</v>
          </cell>
          <cell r="E561">
            <v>0</v>
          </cell>
        </row>
        <row r="562">
          <cell r="A562">
            <v>40262</v>
          </cell>
          <cell r="B562" t="str">
            <v>Escavação manual em mat. 1ª cat. H-&gt; 1,50 a 3,00 m com esgotamento</v>
          </cell>
          <cell r="C562" t="str">
            <v>m³</v>
          </cell>
          <cell r="D562" t="str">
            <v>78,01</v>
          </cell>
          <cell r="E562">
            <v>0</v>
          </cell>
        </row>
        <row r="563">
          <cell r="A563">
            <v>40260</v>
          </cell>
          <cell r="B563" t="str">
            <v>Escavação manual em mat. 1ª cat. H-&gt; 3,00 a 4,50 m</v>
          </cell>
          <cell r="C563" t="str">
            <v>m³</v>
          </cell>
          <cell r="D563" t="str">
            <v>105,59</v>
          </cell>
          <cell r="E563">
            <v>0</v>
          </cell>
        </row>
        <row r="564">
          <cell r="A564">
            <v>40263</v>
          </cell>
          <cell r="B564" t="str">
            <v>Escavação manual em mat. 1ª cat. H-&gt; 3,00 a 4,50 m com esgotamento</v>
          </cell>
          <cell r="C564" t="str">
            <v>m³</v>
          </cell>
          <cell r="D564" t="str">
            <v>112,35</v>
          </cell>
          <cell r="E564">
            <v>0</v>
          </cell>
        </row>
        <row r="565">
          <cell r="A565">
            <v>40267</v>
          </cell>
          <cell r="B565" t="str">
            <v>Escavação manual em mat. 2ª cat. H-&gt; 0,00 a 1,50 m com esgotamento</v>
          </cell>
          <cell r="C565" t="str">
            <v>m³</v>
          </cell>
          <cell r="D565" t="str">
            <v>117,40</v>
          </cell>
          <cell r="E565">
            <v>0</v>
          </cell>
        </row>
        <row r="566">
          <cell r="A566">
            <v>40264</v>
          </cell>
          <cell r="B566" t="str">
            <v>Escavação manual em mat. 2ª cat. H-&gt; 0,00 a 1,50 m sem detonação</v>
          </cell>
          <cell r="C566" t="str">
            <v>m³</v>
          </cell>
          <cell r="D566" t="str">
            <v>110,65</v>
          </cell>
          <cell r="E566">
            <v>0</v>
          </cell>
        </row>
        <row r="567">
          <cell r="A567">
            <v>40268</v>
          </cell>
          <cell r="B567" t="str">
            <v>Escavação manual em mat. 2ª cat. H-&gt; 1,50 a 3,00 m com esgotamento</v>
          </cell>
          <cell r="C567" t="str">
            <v>m³</v>
          </cell>
          <cell r="D567" t="str">
            <v>144,34</v>
          </cell>
          <cell r="E567">
            <v>0</v>
          </cell>
        </row>
        <row r="568">
          <cell r="A568">
            <v>40265</v>
          </cell>
          <cell r="B568" t="str">
            <v>Escavação manual em mat. 2ª cat. H-&gt; 1,50 a 3,00 m sem detonação</v>
          </cell>
          <cell r="C568" t="str">
            <v>m³</v>
          </cell>
          <cell r="D568" t="str">
            <v>137,58</v>
          </cell>
          <cell r="E568">
            <v>0</v>
          </cell>
        </row>
        <row r="569">
          <cell r="A569">
            <v>40269</v>
          </cell>
          <cell r="B569" t="str">
            <v>Escavação manual em mat. 2ª cat. H-&gt; 3,00 a 4,50 m com esgotamento</v>
          </cell>
          <cell r="C569" t="str">
            <v>m³</v>
          </cell>
          <cell r="D569" t="str">
            <v>250,96</v>
          </cell>
          <cell r="E569">
            <v>0</v>
          </cell>
        </row>
        <row r="570">
          <cell r="A570">
            <v>40266</v>
          </cell>
          <cell r="B570" t="str">
            <v>Escavação manual em mat. 2ª cat. H-&gt; 3,00 a 4,50 m sem detonação</v>
          </cell>
          <cell r="C570" t="str">
            <v>m³</v>
          </cell>
          <cell r="D570" t="str">
            <v>244,20</v>
          </cell>
          <cell r="E570">
            <v>0</v>
          </cell>
        </row>
        <row r="571">
          <cell r="A571">
            <v>40276</v>
          </cell>
          <cell r="B571" t="str">
            <v>Escavação manual em mat. 3ª cat. H-&gt; 0,00 a 1,50 m, a fogo</v>
          </cell>
          <cell r="C571" t="str">
            <v>m³</v>
          </cell>
          <cell r="D571" t="str">
            <v>318,72</v>
          </cell>
          <cell r="E571">
            <v>0</v>
          </cell>
        </row>
        <row r="572">
          <cell r="A572">
            <v>40256</v>
          </cell>
          <cell r="B572" t="str">
            <v>Escavação manual furos, valetas mat. 1ª cat. H-&gt; 0,00 a 1,50 m (dim. reduz.)</v>
          </cell>
          <cell r="C572" t="str">
            <v>m³</v>
          </cell>
          <cell r="D572" t="str">
            <v>71,25</v>
          </cell>
          <cell r="E572">
            <v>0</v>
          </cell>
        </row>
        <row r="573">
          <cell r="A573">
            <v>40257</v>
          </cell>
          <cell r="B573" t="str">
            <v>Escavação manual furos, valetas mat. 2ª cat. H-&gt; 0,00 a 1,50 m sem detonação (dim. reduz.)</v>
          </cell>
          <cell r="C573" t="str">
            <v>m³</v>
          </cell>
          <cell r="D573" t="str">
            <v>164,69</v>
          </cell>
          <cell r="E573">
            <v>0</v>
          </cell>
        </row>
        <row r="574">
          <cell r="A574">
            <v>41192</v>
          </cell>
          <cell r="B574" t="str">
            <v>Escavação mecânica de valas em material de 1ª categoria, 3,00 a 4,50m, com esgotamento, carga do material, transporte do material para bota-fora</v>
          </cell>
          <cell r="C574" t="str">
            <v>m³</v>
          </cell>
          <cell r="D574" t="str">
            <v>188,00</v>
          </cell>
          <cell r="E574" t="str">
            <v>A incluir</v>
          </cell>
        </row>
        <row r="575">
          <cell r="A575">
            <v>41198</v>
          </cell>
          <cell r="B575" t="str">
            <v>Escavação mecânica de valas em 1ª categoria, profundidade de 4,50 a 6,00m com esgotamento, transp. DMT-&gt;20km, descarga e espalhamento</v>
          </cell>
          <cell r="C575" t="str">
            <v>m³</v>
          </cell>
          <cell r="D575" t="str">
            <v>189,70</v>
          </cell>
          <cell r="E575" t="str">
            <v>A incluir</v>
          </cell>
        </row>
        <row r="576">
          <cell r="A576">
            <v>40282</v>
          </cell>
          <cell r="B576" t="str">
            <v>Escavação mecânica em material de 1ª cat. H-&gt; 0,00 a 1,50 m</v>
          </cell>
          <cell r="C576" t="str">
            <v>m³</v>
          </cell>
          <cell r="D576" t="str">
            <v>10,15</v>
          </cell>
          <cell r="E576">
            <v>0</v>
          </cell>
        </row>
        <row r="577">
          <cell r="A577">
            <v>40285</v>
          </cell>
          <cell r="B577" t="str">
            <v>Escavação mecânica em material de 1ª cat. H-&gt; 0,00 a 1,50 m com esgotamento</v>
          </cell>
          <cell r="C577" t="str">
            <v>m³</v>
          </cell>
          <cell r="D577" t="str">
            <v>16,90</v>
          </cell>
          <cell r="E577">
            <v>0</v>
          </cell>
        </row>
        <row r="578">
          <cell r="A578">
            <v>40283</v>
          </cell>
          <cell r="B578" t="str">
            <v>Escavação mecânica em material de 1ª cat. H-&gt; 1,50 a 3,00 m</v>
          </cell>
          <cell r="C578" t="str">
            <v>m³</v>
          </cell>
          <cell r="D578" t="str">
            <v>11,16</v>
          </cell>
          <cell r="E578">
            <v>0</v>
          </cell>
        </row>
        <row r="579">
          <cell r="A579">
            <v>40286</v>
          </cell>
          <cell r="B579" t="str">
            <v>Escavação mecânica em material de 1ª cat. H-&gt; 1,50 a 3,00 m com esgotamento</v>
          </cell>
          <cell r="C579" t="str">
            <v>m³</v>
          </cell>
          <cell r="D579" t="str">
            <v>17,91</v>
          </cell>
          <cell r="E579">
            <v>0</v>
          </cell>
        </row>
        <row r="580">
          <cell r="A580">
            <v>40284</v>
          </cell>
          <cell r="B580" t="str">
            <v>Escavação mecânica em material de 1ª cat. H-&gt; 3,00 a 4,50 m</v>
          </cell>
          <cell r="C580" t="str">
            <v>m³</v>
          </cell>
          <cell r="D580" t="str">
            <v>13,13</v>
          </cell>
          <cell r="E580">
            <v>0</v>
          </cell>
        </row>
        <row r="581">
          <cell r="A581">
            <v>40287</v>
          </cell>
          <cell r="B581" t="str">
            <v>Escavação mecânica em material de 1º cat. H-&gt; 3,00 a 4,50 m com esgotamento</v>
          </cell>
          <cell r="C581" t="str">
            <v>m³</v>
          </cell>
          <cell r="D581" t="str">
            <v>19,88</v>
          </cell>
          <cell r="E581">
            <v>0</v>
          </cell>
        </row>
        <row r="582">
          <cell r="A582">
            <v>40288</v>
          </cell>
          <cell r="B582" t="str">
            <v>Escavação mecânica em material de 2ª cat. H-&gt; 0,00 a 1,50 m</v>
          </cell>
          <cell r="C582" t="str">
            <v>m³</v>
          </cell>
          <cell r="D582" t="str">
            <v>18,60</v>
          </cell>
          <cell r="E582">
            <v>0</v>
          </cell>
        </row>
        <row r="583">
          <cell r="A583">
            <v>40291</v>
          </cell>
          <cell r="B583" t="str">
            <v>Escavação mecânica em material de 2ª cat. H-&gt; 0,00 a 1,50 m com esgotamento</v>
          </cell>
          <cell r="C583" t="str">
            <v>m³</v>
          </cell>
          <cell r="D583" t="str">
            <v>25,35</v>
          </cell>
          <cell r="E583">
            <v>0</v>
          </cell>
        </row>
        <row r="584">
          <cell r="A584">
            <v>40289</v>
          </cell>
          <cell r="B584" t="str">
            <v>Escavação mecânica em material de 2ª cat. H-&gt; 1,50 a 3,00 m</v>
          </cell>
          <cell r="C584" t="str">
            <v>m³</v>
          </cell>
          <cell r="D584" t="str">
            <v>22,33</v>
          </cell>
          <cell r="E584">
            <v>0</v>
          </cell>
        </row>
        <row r="585">
          <cell r="A585">
            <v>40292</v>
          </cell>
          <cell r="B585" t="str">
            <v>Escavação mecânica em material de 2ª cat. H-&gt; 1,50 a 3,00 m com esgotamento</v>
          </cell>
          <cell r="C585" t="str">
            <v>m³</v>
          </cell>
          <cell r="D585" t="str">
            <v>29,08</v>
          </cell>
          <cell r="E585">
            <v>0</v>
          </cell>
        </row>
        <row r="586">
          <cell r="A586">
            <v>40290</v>
          </cell>
          <cell r="B586" t="str">
            <v>Escavação mecânica em material de 2ª cat. H-&gt; 3,00 a 4,50 m</v>
          </cell>
          <cell r="C586" t="str">
            <v>m³</v>
          </cell>
          <cell r="D586" t="str">
            <v>27,90</v>
          </cell>
          <cell r="E586">
            <v>0</v>
          </cell>
        </row>
        <row r="587">
          <cell r="A587">
            <v>40293</v>
          </cell>
          <cell r="B587" t="str">
            <v>Escavação mecânica em material de 2º cat. H-&gt; 3,00 a 4,50 m com esgotamento</v>
          </cell>
          <cell r="C587" t="str">
            <v>m³</v>
          </cell>
          <cell r="D587" t="str">
            <v>34,66</v>
          </cell>
          <cell r="E587">
            <v>0</v>
          </cell>
        </row>
        <row r="588">
          <cell r="A588">
            <v>40294</v>
          </cell>
          <cell r="B588" t="str">
            <v>Escavação mecânica em material de 3ª cat. H-&gt; 0,00 a 1,50 m</v>
          </cell>
          <cell r="C588" t="str">
            <v>m³</v>
          </cell>
          <cell r="D588" t="str">
            <v>97,19</v>
          </cell>
          <cell r="E588">
            <v>0</v>
          </cell>
        </row>
        <row r="589">
          <cell r="A589">
            <v>40297</v>
          </cell>
          <cell r="B589" t="str">
            <v>Escavação mecânica em material de 3ª cat. H-&gt; 0,00 a 1,50 m com esgotamento</v>
          </cell>
          <cell r="C589" t="str">
            <v>m³</v>
          </cell>
          <cell r="D589" t="str">
            <v>103,95</v>
          </cell>
          <cell r="E589">
            <v>0</v>
          </cell>
        </row>
        <row r="590">
          <cell r="A590">
            <v>40295</v>
          </cell>
          <cell r="B590" t="str">
            <v>Escavação mecânica em material de 3ª cat. H-&gt; 1,50 a 3,00 m</v>
          </cell>
          <cell r="C590" t="str">
            <v>m³</v>
          </cell>
          <cell r="D590" t="str">
            <v>109,43</v>
          </cell>
          <cell r="E590">
            <v>0</v>
          </cell>
        </row>
        <row r="591">
          <cell r="A591">
            <v>40298</v>
          </cell>
          <cell r="B591" t="str">
            <v>Escavação mecânica em material de 3ª cat. H-&gt; 1,50 a 3,00 m com esgotamento</v>
          </cell>
          <cell r="C591" t="str">
            <v>m³</v>
          </cell>
          <cell r="D591" t="str">
            <v>116,18</v>
          </cell>
          <cell r="E591">
            <v>0</v>
          </cell>
        </row>
        <row r="592">
          <cell r="A592">
            <v>40296</v>
          </cell>
          <cell r="B592" t="str">
            <v>Escavação mecânica em material de 3ª cat. H-&gt; 3,00 a 4,50 m</v>
          </cell>
          <cell r="C592" t="str">
            <v>m³</v>
          </cell>
          <cell r="D592" t="str">
            <v>131,79</v>
          </cell>
          <cell r="E592">
            <v>0</v>
          </cell>
        </row>
        <row r="593">
          <cell r="A593">
            <v>40299</v>
          </cell>
          <cell r="B593" t="str">
            <v>Escavação mecânica em material de 3ª cat. H-&gt; 3,00 a 4,50 m com esgotamento</v>
          </cell>
          <cell r="C593" t="str">
            <v>m³</v>
          </cell>
          <cell r="D593" t="str">
            <v>138,54</v>
          </cell>
          <cell r="E593">
            <v>0</v>
          </cell>
        </row>
        <row r="594">
          <cell r="A594">
            <v>40327</v>
          </cell>
          <cell r="B594" t="str">
            <v>Escoramento de cavas e valas, inclusive fornecimento e transportes das madeiras</v>
          </cell>
          <cell r="C594" t="str">
            <v>m²</v>
          </cell>
          <cell r="D594" t="str">
            <v>174,46</v>
          </cell>
          <cell r="E594" t="str">
            <v>A incluir</v>
          </cell>
        </row>
        <row r="595">
          <cell r="A595">
            <v>40328</v>
          </cell>
          <cell r="B595" t="str">
            <v>Escoramento e cimbramento (bueiro celular), inclusive fornecimento e transportes das madeiras</v>
          </cell>
          <cell r="C595" t="str">
            <v>m³</v>
          </cell>
          <cell r="D595" t="str">
            <v>105,38</v>
          </cell>
          <cell r="E595" t="str">
            <v>A incluir</v>
          </cell>
        </row>
        <row r="596">
          <cell r="A596">
            <v>0</v>
          </cell>
          <cell r="B596">
            <v>0</v>
          </cell>
          <cell r="C596">
            <v>0</v>
          </cell>
          <cell r="E596" t="e">
            <v>#N/A</v>
          </cell>
        </row>
        <row r="597">
          <cell r="A597">
            <v>43332</v>
          </cell>
          <cell r="B597" t="str">
            <v>Esgotamento de escavações para rebaixamento do nível dágua nos serviços de bueiros,galerias e outros, com conj. moto bomba</v>
          </cell>
          <cell r="C597" t="str">
            <v>mês</v>
          </cell>
          <cell r="D597" t="str">
            <v>4.966,26</v>
          </cell>
          <cell r="E597">
            <v>0</v>
          </cell>
        </row>
        <row r="598">
          <cell r="A598">
            <v>40316</v>
          </cell>
          <cell r="B598" t="str">
            <v>Forma especial de madeira para meio fio, inclusive fornecimento e transporte das madeiras</v>
          </cell>
          <cell r="C598" t="str">
            <v>m²</v>
          </cell>
          <cell r="D598" t="str">
            <v>66,96</v>
          </cell>
          <cell r="E598" t="str">
            <v>A incluir</v>
          </cell>
        </row>
        <row r="599">
          <cell r="A599">
            <v>40317</v>
          </cell>
          <cell r="B599" t="str">
            <v>Forma especial de madeira para sarjeta (gabarito), inclusive fornecimento e transporte da madeira</v>
          </cell>
          <cell r="C599" t="str">
            <v>m²</v>
          </cell>
          <cell r="D599" t="str">
            <v>58,03</v>
          </cell>
          <cell r="E599" t="str">
            <v>A incluir</v>
          </cell>
        </row>
        <row r="600">
          <cell r="A600">
            <v>40318</v>
          </cell>
          <cell r="B600" t="str">
            <v>Forma metálica para meio fio</v>
          </cell>
          <cell r="C600" t="str">
            <v>m²</v>
          </cell>
          <cell r="D600" t="str">
            <v>6,13</v>
          </cell>
          <cell r="E600">
            <v>0</v>
          </cell>
        </row>
        <row r="601">
          <cell r="A601">
            <v>40311</v>
          </cell>
          <cell r="B601" t="str">
            <v>Formas planas de madeira com 01 (um) reaproveitamento, inclusive fornecimento e transporte das madeiras</v>
          </cell>
          <cell r="C601" t="str">
            <v>m²</v>
          </cell>
          <cell r="D601" t="str">
            <v>95,23</v>
          </cell>
          <cell r="E601" t="str">
            <v>A incluir</v>
          </cell>
        </row>
        <row r="602">
          <cell r="A602">
            <v>40312</v>
          </cell>
          <cell r="B602" t="str">
            <v>Formas planas de madeira com 02 (dois) reaproveitamentos, inclusive fornecimento e transporte das madeiras</v>
          </cell>
          <cell r="C602" t="str">
            <v>m²</v>
          </cell>
          <cell r="D602" t="str">
            <v>78,87</v>
          </cell>
          <cell r="E602" t="str">
            <v>A incluir</v>
          </cell>
        </row>
        <row r="603">
          <cell r="A603">
            <v>40313</v>
          </cell>
          <cell r="B603" t="str">
            <v>Formas planas de madeira com 04 (quatro) reaproveitamentos, inclusive fornecimento e transporte das madeiras</v>
          </cell>
          <cell r="C603" t="str">
            <v>m²</v>
          </cell>
          <cell r="D603" t="str">
            <v>66,20</v>
          </cell>
          <cell r="E603" t="str">
            <v>A incluir</v>
          </cell>
        </row>
        <row r="604">
          <cell r="A604">
            <v>40310</v>
          </cell>
          <cell r="B604" t="str">
            <v>Formas planas de madeira sem reaproveitamento (forma perdida), inclusive fornecimento e transporte das madeiras</v>
          </cell>
          <cell r="C604" t="str">
            <v>m²</v>
          </cell>
          <cell r="D604" t="str">
            <v>141,82</v>
          </cell>
          <cell r="E604" t="str">
            <v>A incluir</v>
          </cell>
        </row>
        <row r="605">
          <cell r="A605">
            <v>40748</v>
          </cell>
          <cell r="B605" t="str">
            <v>Gabião manta/colchão, malha hex 6x8mm Zn-Al/PVC, e-&gt;2,8mm,h-&gt;0,23m, inclus.aquis./assentam. pedra mão, exclus. transp. p/ revestim. canal</v>
          </cell>
          <cell r="C605" t="str">
            <v>m²</v>
          </cell>
          <cell r="D605" t="str">
            <v>153,55</v>
          </cell>
          <cell r="E605">
            <v>0</v>
          </cell>
        </row>
        <row r="606">
          <cell r="A606">
            <v>41400</v>
          </cell>
          <cell r="B606" t="str">
            <v>Gabiões com caixas e sacos galvanizados, com geotêxtil não tecido RT 07 kN/m, incluisve transp. de madeira e pedra de mão</v>
          </cell>
          <cell r="C606" t="str">
            <v>m³</v>
          </cell>
          <cell r="D606" t="str">
            <v>318,31</v>
          </cell>
          <cell r="E606" t="str">
            <v>A incluir</v>
          </cell>
        </row>
        <row r="607">
          <cell r="A607">
            <v>40726</v>
          </cell>
          <cell r="B607" t="str">
            <v>Gabiões com caixas galvanizadas com utilização de geotêxtil não tecido RT 07 kN/m, inclus. transp. madeira e pedra mão</v>
          </cell>
          <cell r="C607" t="str">
            <v>m³</v>
          </cell>
          <cell r="D607" t="str">
            <v>303,03</v>
          </cell>
          <cell r="E607" t="str">
            <v>A incluir</v>
          </cell>
        </row>
        <row r="608">
          <cell r="A608">
            <v>40725</v>
          </cell>
          <cell r="B608" t="str">
            <v>Gabiões com caixas galvanizadas, sem manta</v>
          </cell>
          <cell r="C608" t="str">
            <v>m³</v>
          </cell>
          <cell r="D608" t="str">
            <v>299,73</v>
          </cell>
          <cell r="E608" t="str">
            <v>A incluir</v>
          </cell>
        </row>
        <row r="609">
          <cell r="A609">
            <v>41394</v>
          </cell>
          <cell r="B609" t="str">
            <v>Geogrelha com resistência londitudinal a tração 35 a 40 kN, resist. transversal a tração 30 kN, fornecimento e aplicação</v>
          </cell>
          <cell r="C609" t="str">
            <v>m²</v>
          </cell>
          <cell r="D609" t="str">
            <v>22,49</v>
          </cell>
          <cell r="E609">
            <v>0</v>
          </cell>
        </row>
        <row r="610">
          <cell r="A610">
            <v>41393</v>
          </cell>
          <cell r="B610" t="str">
            <v>Geogrelha com resistência londitudinal a tração 55 a 60 kN, resist. transversal a tração 30 kN, fornecimento e aplicação</v>
          </cell>
          <cell r="C610" t="str">
            <v>m²</v>
          </cell>
          <cell r="D610" t="str">
            <v>26,22</v>
          </cell>
          <cell r="E610">
            <v>0</v>
          </cell>
        </row>
        <row r="611">
          <cell r="A611">
            <v>41391</v>
          </cell>
          <cell r="B611" t="str">
            <v>Geogrelha com resistência longitudinal a tração 300 kN, resist. transversal a tração 30 kN, fornecimento e aplicação</v>
          </cell>
          <cell r="C611" t="str">
            <v>m²</v>
          </cell>
          <cell r="D611" t="str">
            <v>70,81</v>
          </cell>
          <cell r="E611">
            <v>0</v>
          </cell>
        </row>
        <row r="612">
          <cell r="A612">
            <v>41392</v>
          </cell>
          <cell r="B612" t="str">
            <v>Geogrelha com resistência longitudinal a tração 80 a 90 kN, resist. transversal a tração 30 kN, fornecimento e aplicação</v>
          </cell>
          <cell r="C612" t="str">
            <v>m²</v>
          </cell>
          <cell r="D612" t="str">
            <v>32,69</v>
          </cell>
          <cell r="E612">
            <v>0</v>
          </cell>
        </row>
        <row r="613">
          <cell r="A613">
            <v>41197</v>
          </cell>
          <cell r="B613" t="str">
            <v>Geogrelha monodirecional 200KN, fornecimento e assentamento</v>
          </cell>
          <cell r="C613" t="str">
            <v>m²</v>
          </cell>
          <cell r="D613" t="str">
            <v>54,70</v>
          </cell>
          <cell r="E613">
            <v>0</v>
          </cell>
        </row>
        <row r="614">
          <cell r="A614">
            <v>40709</v>
          </cell>
          <cell r="B614" t="str">
            <v>Geogrelha tecida bidirecional de polipropileno de alto módulo inicial c/ módulo de rigidez nominal -&gt; 400KN/m nas duas direções, fornecimento/aplicação</v>
          </cell>
          <cell r="C614" t="str">
            <v>m²</v>
          </cell>
          <cell r="D614" t="str">
            <v>18,97</v>
          </cell>
          <cell r="E614">
            <v>0</v>
          </cell>
        </row>
        <row r="615">
          <cell r="A615">
            <v>40721</v>
          </cell>
          <cell r="B615" t="str">
            <v>Lastro de brita, inclusive transporte da brita</v>
          </cell>
          <cell r="C615" t="str">
            <v>m³</v>
          </cell>
          <cell r="D615" t="str">
            <v>96,91</v>
          </cell>
          <cell r="E615" t="str">
            <v>A incluir</v>
          </cell>
        </row>
        <row r="616">
          <cell r="A616">
            <v>40396</v>
          </cell>
          <cell r="B616" t="str">
            <v>Limpeza e apicoamento manual de superfície de rocha</v>
          </cell>
          <cell r="C616" t="str">
            <v>m²</v>
          </cell>
          <cell r="D616" t="str">
            <v>26,80</v>
          </cell>
          <cell r="E616">
            <v>0</v>
          </cell>
        </row>
        <row r="617">
          <cell r="A617">
            <v>40744</v>
          </cell>
          <cell r="B617" t="str">
            <v>Limpeza e desobstrução de BDTC e BDCC</v>
          </cell>
          <cell r="C617" t="str">
            <v>m</v>
          </cell>
          <cell r="D617" t="str">
            <v>24,17</v>
          </cell>
          <cell r="E617">
            <v>0</v>
          </cell>
        </row>
        <row r="618">
          <cell r="A618">
            <v>40746</v>
          </cell>
          <cell r="B618" t="str">
            <v>Limpeza e desobstrução de BQTC</v>
          </cell>
          <cell r="C618" t="str">
            <v>m</v>
          </cell>
          <cell r="D618" t="str">
            <v>47,06</v>
          </cell>
          <cell r="E618">
            <v>0</v>
          </cell>
        </row>
        <row r="619">
          <cell r="A619">
            <v>40743</v>
          </cell>
          <cell r="B619" t="str">
            <v>Limpeza e desobstrução de BSTC e BSCC</v>
          </cell>
          <cell r="C619" t="str">
            <v>m</v>
          </cell>
          <cell r="D619" t="str">
            <v>12,72</v>
          </cell>
          <cell r="E619">
            <v>0</v>
          </cell>
        </row>
        <row r="620">
          <cell r="A620">
            <v>40745</v>
          </cell>
          <cell r="B620" t="str">
            <v>Limpeza e desobstrução de BTTC e BTCC</v>
          </cell>
          <cell r="C620" t="str">
            <v>m</v>
          </cell>
          <cell r="D620" t="str">
            <v>35,62</v>
          </cell>
          <cell r="E620">
            <v>0</v>
          </cell>
        </row>
        <row r="621">
          <cell r="A621">
            <v>40397</v>
          </cell>
          <cell r="B621" t="str">
            <v>Limpeza e preparo de superfície de aço</v>
          </cell>
          <cell r="C621" t="str">
            <v>m²</v>
          </cell>
          <cell r="D621" t="str">
            <v>70,12</v>
          </cell>
          <cell r="E621">
            <v>0</v>
          </cell>
        </row>
        <row r="622">
          <cell r="A622">
            <v>41221</v>
          </cell>
          <cell r="B622" t="str">
            <v>Lona plástica preta para isolamento de concretagem sobre solo, fornecimento e colocação</v>
          </cell>
          <cell r="C622" t="str">
            <v>m²</v>
          </cell>
          <cell r="D622" t="str">
            <v>3,30</v>
          </cell>
          <cell r="E622">
            <v>0</v>
          </cell>
        </row>
        <row r="623">
          <cell r="A623">
            <v>41401</v>
          </cell>
          <cell r="B623" t="str">
            <v>Manta Geotêxtil não tecida com resistência longitudinal a tração 10kN/m, fornecimento e aplicação</v>
          </cell>
          <cell r="C623" t="str">
            <v>m²</v>
          </cell>
          <cell r="D623" t="str">
            <v>5,97</v>
          </cell>
          <cell r="E623">
            <v>0</v>
          </cell>
        </row>
        <row r="624">
          <cell r="A624">
            <v>40714</v>
          </cell>
          <cell r="B624" t="str">
            <v>Manta Geotêxtil não tecida RT - 16 kn/m, fornecimento e aplicação</v>
          </cell>
          <cell r="C624" t="str">
            <v>m²</v>
          </cell>
          <cell r="D624" t="str">
            <v>8,50</v>
          </cell>
          <cell r="E624">
            <v>0</v>
          </cell>
        </row>
        <row r="625">
          <cell r="A625">
            <v>40660</v>
          </cell>
          <cell r="B625" t="str">
            <v>Meio fio de concreto DP-1, inclusive caiação</v>
          </cell>
          <cell r="C625" t="str">
            <v>m</v>
          </cell>
          <cell r="D625" t="str">
            <v>50,72</v>
          </cell>
          <cell r="E625">
            <v>0</v>
          </cell>
        </row>
        <row r="626">
          <cell r="A626">
            <v>40661</v>
          </cell>
          <cell r="B626" t="str">
            <v>Meio fio de concreto MFC 01, inclusive caiação</v>
          </cell>
          <cell r="C626" t="str">
            <v>m</v>
          </cell>
          <cell r="D626" t="str">
            <v>101,48</v>
          </cell>
          <cell r="E626">
            <v>0</v>
          </cell>
        </row>
        <row r="627">
          <cell r="A627">
            <v>40662</v>
          </cell>
          <cell r="B627" t="str">
            <v>Meio fio de concreto MFC 05, inclusive caiação</v>
          </cell>
          <cell r="C627" t="str">
            <v>m</v>
          </cell>
          <cell r="D627" t="str">
            <v>53,86</v>
          </cell>
          <cell r="E627">
            <v>0</v>
          </cell>
        </row>
        <row r="628">
          <cell r="A628">
            <v>40663</v>
          </cell>
          <cell r="B628" t="str">
            <v>Meio fio de concreto pré-moldado (12 x 30 x 15) cm, inclusive caiação e transporte do meio fio</v>
          </cell>
          <cell r="C628" t="str">
            <v>m</v>
          </cell>
          <cell r="D628" t="str">
            <v>45,65</v>
          </cell>
          <cell r="E628" t="str">
            <v>A incluir</v>
          </cell>
        </row>
        <row r="629">
          <cell r="A629">
            <v>41018</v>
          </cell>
          <cell r="B629" t="str">
            <v>Meio fio de concreto pré-moldado (1,20m x 0,12m x 0,15m x 0,30m), exclusive transporte</v>
          </cell>
          <cell r="C629" t="str">
            <v>m</v>
          </cell>
          <cell r="D629" t="str">
            <v>46,03</v>
          </cell>
          <cell r="E629">
            <v>0</v>
          </cell>
        </row>
        <row r="630">
          <cell r="A630">
            <v>40665</v>
          </cell>
          <cell r="B630" t="str">
            <v>Meio fio de pedra (fornecimento e assentamento), inclusive caiação e transporte do meio fio</v>
          </cell>
          <cell r="C630" t="str">
            <v>m</v>
          </cell>
          <cell r="D630" t="str">
            <v>48,27</v>
          </cell>
          <cell r="E630" t="str">
            <v>A incluir</v>
          </cell>
        </row>
        <row r="631">
          <cell r="A631">
            <v>40659</v>
          </cell>
          <cell r="B631" t="str">
            <v>Meio fio sarjeta de concreto tipo DP-1 (0,035 m³/m) inclusive caiação</v>
          </cell>
          <cell r="C631" t="str">
            <v>m</v>
          </cell>
          <cell r="D631" t="str">
            <v>46,23</v>
          </cell>
          <cell r="E631">
            <v>0</v>
          </cell>
        </row>
        <row r="632">
          <cell r="A632">
            <v>41024</v>
          </cell>
          <cell r="B632" t="str">
            <v>Montagem e desmontagem de escoramento tubular normal, em obras de arte na densidade de 5m de tubo por m³ de escoramento</v>
          </cell>
          <cell r="C632" t="str">
            <v>m</v>
          </cell>
          <cell r="D632" t="str">
            <v>15,71</v>
          </cell>
          <cell r="E632">
            <v>0</v>
          </cell>
        </row>
        <row r="633">
          <cell r="A633">
            <v>40657</v>
          </cell>
          <cell r="B633" t="str">
            <v>Mureta de corte em rocha</v>
          </cell>
          <cell r="C633" t="str">
            <v>m</v>
          </cell>
          <cell r="D633" t="str">
            <v>168,03</v>
          </cell>
          <cell r="E633">
            <v>0</v>
          </cell>
        </row>
        <row r="634">
          <cell r="A634">
            <v>41395</v>
          </cell>
          <cell r="B634" t="str">
            <v>Muro com Terramesh System ou similar, altura H&lt;-&gt; 4,00 metros (4 cx 1x1x4m), tudo incluído</v>
          </cell>
          <cell r="C634" t="str">
            <v>m²</v>
          </cell>
          <cell r="D634" t="str">
            <v>576,45</v>
          </cell>
          <cell r="E634" t="str">
            <v>A incluir</v>
          </cell>
        </row>
        <row r="635">
          <cell r="A635">
            <v>41396</v>
          </cell>
          <cell r="B635" t="str">
            <v>Muro com Terramesh System ou similar, altura 4,00 &lt; H &lt;-&gt; 5,00 metros (3 cx 1x1x4m e 4 cx 0,5x1x4m) , execução, tudo incluído</v>
          </cell>
          <cell r="C635" t="str">
            <v>m²</v>
          </cell>
          <cell r="D635" t="str">
            <v>675,64</v>
          </cell>
          <cell r="E635" t="str">
            <v>A incluir</v>
          </cell>
        </row>
        <row r="636">
          <cell r="A636">
            <v>41397</v>
          </cell>
          <cell r="B636" t="str">
            <v>Muro com Terramesh System ou similar, altura 5,00 &lt; H &lt;-&gt; 6,00 metros (4 cx 1x1x4m e 4 cx 0,5x1x4m) , tudo incluído</v>
          </cell>
          <cell r="C636" t="str">
            <v>m²</v>
          </cell>
          <cell r="D636" t="str">
            <v>660,98</v>
          </cell>
          <cell r="E636" t="str">
            <v>A incluir</v>
          </cell>
        </row>
        <row r="637">
          <cell r="A637">
            <v>41398</v>
          </cell>
          <cell r="B637" t="str">
            <v>Muro com Terramesh System ou similar, altura 6,00 &lt; H &lt;-&gt; 7,50 metros (3cx 1x1x4m, 2cx 1x1x5 e 5cx 0,5x1x6m), tudo incluído</v>
          </cell>
          <cell r="C637" t="str">
            <v>m²</v>
          </cell>
          <cell r="D637" t="str">
            <v>701,49</v>
          </cell>
          <cell r="E637" t="str">
            <v>A incluir</v>
          </cell>
        </row>
        <row r="638">
          <cell r="A638">
            <v>41399</v>
          </cell>
          <cell r="B638" t="str">
            <v>Muro com Terramesh System ou similar, altura 7,50 &lt; H &lt;-&gt; 9,00 metros (4 cx 1x1x4m, 2 cx 1x1x5, 3 cx 0,5x1x6m e 3cx 0,5x1x7), tudo incluído</v>
          </cell>
          <cell r="C638" t="str">
            <v>m²</v>
          </cell>
          <cell r="D638" t="str">
            <v>710,69</v>
          </cell>
          <cell r="E638" t="str">
            <v>A incluir</v>
          </cell>
        </row>
        <row r="639">
          <cell r="A639">
            <v>40654</v>
          </cell>
          <cell r="B639" t="str">
            <v>Muro de testa em concreto para saída de dreno profundo em rocha, inclusive transporte do tubo</v>
          </cell>
          <cell r="C639" t="str">
            <v>un</v>
          </cell>
          <cell r="D639" t="str">
            <v>524,14</v>
          </cell>
          <cell r="E639" t="str">
            <v>A incluir</v>
          </cell>
        </row>
        <row r="640">
          <cell r="A640">
            <v>40653</v>
          </cell>
          <cell r="B640" t="str">
            <v>Muro de testa em concreto para saída de dreno profundo em solo, inclusive transporte do tubo</v>
          </cell>
          <cell r="C640" t="str">
            <v>un</v>
          </cell>
          <cell r="D640" t="str">
            <v>580,05</v>
          </cell>
          <cell r="E640" t="str">
            <v>A incluir</v>
          </cell>
        </row>
        <row r="641">
          <cell r="A641">
            <v>41337</v>
          </cell>
          <cell r="B641" t="str">
            <v>Passagem d'água 1,10 x 1,00 - Canteiro</v>
          </cell>
          <cell r="C641" t="str">
            <v>un</v>
          </cell>
          <cell r="D641" t="str">
            <v>266,23</v>
          </cell>
          <cell r="E641" t="str">
            <v>A incluir</v>
          </cell>
        </row>
        <row r="642">
          <cell r="A642">
            <v>40719</v>
          </cell>
          <cell r="B642" t="str">
            <v>Pedra de mão para (concreto ciclópico ou alvenaria) rocha paga em medição</v>
          </cell>
          <cell r="C642" t="str">
            <v>m³</v>
          </cell>
          <cell r="D642" t="str">
            <v>41,09</v>
          </cell>
          <cell r="E642">
            <v>0</v>
          </cell>
        </row>
        <row r="643">
          <cell r="A643">
            <v>41019</v>
          </cell>
          <cell r="B643" t="str">
            <v>Perfuração rotativa inclinada, em rocha sã, com coroa de diamante, diâmetro N (75mm), inclusive deslocamento e posicionamento em cada furo.</v>
          </cell>
          <cell r="C643" t="str">
            <v>m</v>
          </cell>
          <cell r="D643" t="str">
            <v>524,15</v>
          </cell>
          <cell r="E643">
            <v>0</v>
          </cell>
        </row>
        <row r="644">
          <cell r="A644">
            <v>40557</v>
          </cell>
          <cell r="B644" t="str">
            <v>Pescoço de poço de visita H-&gt;0,30 m, diâm. -&gt; 0,60 m, fornecimento, assentamento e transporte</v>
          </cell>
          <cell r="C644" t="str">
            <v>un</v>
          </cell>
          <cell r="D644" t="str">
            <v>124,67</v>
          </cell>
          <cell r="E644" t="str">
            <v>A incluir</v>
          </cell>
        </row>
        <row r="645">
          <cell r="A645">
            <v>40391</v>
          </cell>
          <cell r="B645" t="str">
            <v>Pintura com nata de cimento</v>
          </cell>
          <cell r="C645" t="str">
            <v>m²</v>
          </cell>
          <cell r="D645" t="str">
            <v>4,53</v>
          </cell>
          <cell r="E645">
            <v>0</v>
          </cell>
        </row>
        <row r="646">
          <cell r="A646">
            <v>40380</v>
          </cell>
          <cell r="B646" t="str">
            <v>Pintura interna ou externa sobre ferro, com tinta a base de resina de borracha clorada</v>
          </cell>
          <cell r="C646" t="str">
            <v>m²</v>
          </cell>
          <cell r="D646" t="str">
            <v>41,27</v>
          </cell>
          <cell r="E646">
            <v>0</v>
          </cell>
        </row>
        <row r="647">
          <cell r="A647">
            <v>40399</v>
          </cell>
          <cell r="B647" t="str">
            <v>Placas pré-moldadas para passeio</v>
          </cell>
          <cell r="C647" t="str">
            <v>m²</v>
          </cell>
          <cell r="D647" t="str">
            <v>160,79</v>
          </cell>
          <cell r="E647">
            <v>0</v>
          </cell>
        </row>
        <row r="648">
          <cell r="A648">
            <v>41028</v>
          </cell>
          <cell r="B648" t="str">
            <v>Plataforma ou passarela de pinho de 1ª ou similar, 1" x 12"</v>
          </cell>
          <cell r="C648" t="str">
            <v>m²</v>
          </cell>
          <cell r="D648" t="str">
            <v>2,33</v>
          </cell>
          <cell r="E648">
            <v>0</v>
          </cell>
        </row>
        <row r="649">
          <cell r="A649">
            <v>41167</v>
          </cell>
          <cell r="B649" t="str">
            <v>Poço de visita em bloco pré-moldado para d-&gt;0,30 e 0,40m (0,80x0,80m)</v>
          </cell>
          <cell r="C649" t="str">
            <v>un</v>
          </cell>
          <cell r="D649" t="str">
            <v>2.096,37</v>
          </cell>
          <cell r="E649">
            <v>0</v>
          </cell>
        </row>
        <row r="650">
          <cell r="A650">
            <v>41168</v>
          </cell>
          <cell r="B650" t="str">
            <v>Poço de visita em bloco pré-moldado para d-&gt;0,60m (1,00x1,00m)</v>
          </cell>
          <cell r="C650" t="str">
            <v>un</v>
          </cell>
          <cell r="D650" t="str">
            <v>2.456,68</v>
          </cell>
          <cell r="E650">
            <v>0</v>
          </cell>
        </row>
        <row r="651">
          <cell r="A651">
            <v>40570</v>
          </cell>
          <cell r="B651" t="str">
            <v>Poço de visita para BDTC diam. 1,00 m - tudo incluido</v>
          </cell>
          <cell r="C651" t="str">
            <v>un</v>
          </cell>
          <cell r="D651" t="str">
            <v>9.161,72</v>
          </cell>
          <cell r="E651" t="str">
            <v>A incluir</v>
          </cell>
        </row>
        <row r="652">
          <cell r="A652">
            <v>41115</v>
          </cell>
          <cell r="B652" t="str">
            <v>Poço de Visita para BSTC diâm. 0,40m em blocos de concreto</v>
          </cell>
          <cell r="C652" t="str">
            <v>un</v>
          </cell>
          <cell r="D652" t="str">
            <v>1.154,69</v>
          </cell>
          <cell r="E652">
            <v>0</v>
          </cell>
        </row>
        <row r="653">
          <cell r="A653">
            <v>41116</v>
          </cell>
          <cell r="B653" t="str">
            <v>Poço de visita para BSTC diâm. 0,60m em blocos de concreto</v>
          </cell>
          <cell r="C653" t="str">
            <v>un</v>
          </cell>
          <cell r="D653" t="str">
            <v>1.542,88</v>
          </cell>
          <cell r="E653">
            <v>0</v>
          </cell>
        </row>
        <row r="654">
          <cell r="A654">
            <v>41117</v>
          </cell>
          <cell r="B654" t="str">
            <v>Poço de visita para BSTC diâm. 0,80m em blocos de concreto</v>
          </cell>
          <cell r="C654" t="str">
            <v>un</v>
          </cell>
          <cell r="D654" t="str">
            <v>1.920,54</v>
          </cell>
          <cell r="E654">
            <v>0</v>
          </cell>
        </row>
        <row r="655">
          <cell r="A655">
            <v>40572</v>
          </cell>
          <cell r="B655" t="str">
            <v>Poço de visita para BTTC diam. 1,20 m - tudo incluído</v>
          </cell>
          <cell r="C655" t="str">
            <v>un</v>
          </cell>
          <cell r="D655" t="str">
            <v>15.032,99</v>
          </cell>
          <cell r="E655" t="str">
            <v>A incluir</v>
          </cell>
        </row>
        <row r="656">
          <cell r="A656">
            <v>40553</v>
          </cell>
          <cell r="B656" t="str">
            <v>Poço de visita (tubo D-&gt;0,40 m) H-&gt;1,50 m com tampão F.F.A.P., inclusive escavação e transporte do tampão</v>
          </cell>
          <cell r="C656" t="str">
            <v>un</v>
          </cell>
          <cell r="D656" t="str">
            <v>3.291,35</v>
          </cell>
          <cell r="E656" t="str">
            <v>A incluir</v>
          </cell>
        </row>
        <row r="657">
          <cell r="A657">
            <v>40554</v>
          </cell>
          <cell r="B657" t="str">
            <v>Poço de visita (tubo D-&gt;0,60 m) H-&gt;1,70 m com tampão F.F.A.P., inclusive escavação e transporte do tampão</v>
          </cell>
          <cell r="C657" t="str">
            <v>un</v>
          </cell>
          <cell r="D657" t="str">
            <v>3.660,80</v>
          </cell>
          <cell r="E657" t="str">
            <v>A incluir</v>
          </cell>
        </row>
        <row r="658">
          <cell r="A658">
            <v>40555</v>
          </cell>
          <cell r="B658" t="str">
            <v>Poço de visita (tubo D-&gt;0,80 m) H-&gt;1,90 m com tampão F.F.A.P., inclusive escavação e transporte do tampão</v>
          </cell>
          <cell r="C658" t="str">
            <v>un</v>
          </cell>
          <cell r="D658" t="str">
            <v>4.030,22</v>
          </cell>
          <cell r="E658" t="str">
            <v>A incluir</v>
          </cell>
        </row>
        <row r="659">
          <cell r="A659">
            <v>40556</v>
          </cell>
          <cell r="B659" t="str">
            <v>Poço de visita (tubo D-&gt;1,00 m) H-&gt;2,10 m com tampão F.F.A.P., inclusive escavação e transporte do tampão</v>
          </cell>
          <cell r="C659" t="str">
            <v>un</v>
          </cell>
          <cell r="D659" t="str">
            <v>4.399,61</v>
          </cell>
          <cell r="E659" t="str">
            <v>A incluir</v>
          </cell>
        </row>
        <row r="660">
          <cell r="A660">
            <v>41086</v>
          </cell>
          <cell r="B660" t="str">
            <v>Preparo manual de talude, compreendendo acerto, raspagem eventual de até 0,30m de prof. e afastamento lateral</v>
          </cell>
          <cell r="C660" t="str">
            <v>m²</v>
          </cell>
          <cell r="D660" t="str">
            <v>8,14</v>
          </cell>
          <cell r="E660">
            <v>0</v>
          </cell>
        </row>
        <row r="661">
          <cell r="A661">
            <v>41021</v>
          </cell>
          <cell r="B661" t="str">
            <v>Preparo manual de terreno, compreendendo acerto raspagem até 25cm de profundidade e afastamento lateral do material excedente</v>
          </cell>
          <cell r="C661" t="str">
            <v>m²</v>
          </cell>
          <cell r="D661" t="str">
            <v>6,53</v>
          </cell>
          <cell r="E661">
            <v>0</v>
          </cell>
        </row>
        <row r="662">
          <cell r="A662">
            <v>40304</v>
          </cell>
          <cell r="B662" t="str">
            <v>Reaterro com areia, tudo incluído</v>
          </cell>
          <cell r="C662" t="str">
            <v>m³</v>
          </cell>
          <cell r="D662" t="str">
            <v>65,17</v>
          </cell>
          <cell r="E662" t="str">
            <v>A incluir</v>
          </cell>
        </row>
        <row r="663">
          <cell r="A663">
            <v>40302</v>
          </cell>
          <cell r="B663" t="str">
            <v>Reaterro de cavas c/ compactação manual (apiloamento)</v>
          </cell>
          <cell r="C663" t="str">
            <v>m³</v>
          </cell>
          <cell r="D663" t="str">
            <v>50,95</v>
          </cell>
          <cell r="E663">
            <v>0</v>
          </cell>
        </row>
        <row r="664">
          <cell r="A664">
            <v>40301</v>
          </cell>
          <cell r="B664" t="str">
            <v>Reaterro de cavas c/ compactação manual (apiloamento) (dim. reduz.)</v>
          </cell>
          <cell r="C664" t="str">
            <v>m³</v>
          </cell>
          <cell r="D664" t="str">
            <v>73,85</v>
          </cell>
          <cell r="E664">
            <v>0</v>
          </cell>
        </row>
        <row r="665">
          <cell r="A665">
            <v>40303</v>
          </cell>
          <cell r="B665" t="str">
            <v>Reaterro de cavas c/ compactação mecânica (compactador manual)</v>
          </cell>
          <cell r="C665" t="str">
            <v>m³</v>
          </cell>
          <cell r="D665" t="str">
            <v>32,67</v>
          </cell>
          <cell r="E665">
            <v>0</v>
          </cell>
        </row>
        <row r="666">
          <cell r="A666">
            <v>40559</v>
          </cell>
          <cell r="B666" t="str">
            <v>Recuperação de poço de visita inclusive fornecimento tampão F.F.A.P.</v>
          </cell>
          <cell r="C666" t="str">
            <v>un</v>
          </cell>
          <cell r="D666" t="str">
            <v>528,55</v>
          </cell>
          <cell r="E666" t="str">
            <v>A incluir</v>
          </cell>
        </row>
        <row r="667">
          <cell r="A667">
            <v>41339</v>
          </cell>
          <cell r="B667" t="str">
            <v>Rede de dutos 65mm (duplo), envelopada com brita 3</v>
          </cell>
          <cell r="C667" t="str">
            <v>m</v>
          </cell>
          <cell r="D667" t="str">
            <v>71,95</v>
          </cell>
          <cell r="E667">
            <v>0</v>
          </cell>
        </row>
        <row r="668">
          <cell r="A668">
            <v>41332</v>
          </cell>
          <cell r="B668" t="str">
            <v>Rede em PVC Vinilfort ou similar DN -&gt; 200mm</v>
          </cell>
          <cell r="C668" t="str">
            <v>m</v>
          </cell>
          <cell r="D668" t="str">
            <v>204,94</v>
          </cell>
          <cell r="E668">
            <v>0</v>
          </cell>
        </row>
        <row r="669">
          <cell r="A669">
            <v>41224</v>
          </cell>
          <cell r="B669" t="str">
            <v>Religação de rede de água em PVC DN 20mm, inclusive conexões</v>
          </cell>
          <cell r="C669" t="str">
            <v>m</v>
          </cell>
          <cell r="D669" t="str">
            <v>14,12</v>
          </cell>
          <cell r="E669">
            <v>0</v>
          </cell>
        </row>
        <row r="670">
          <cell r="A670">
            <v>41225</v>
          </cell>
          <cell r="B670" t="str">
            <v>Religação de rede de água em PVC DN 25mm, incluisve conexões</v>
          </cell>
          <cell r="C670" t="str">
            <v>m</v>
          </cell>
          <cell r="D670" t="str">
            <v>17,18</v>
          </cell>
          <cell r="E670">
            <v>0</v>
          </cell>
        </row>
        <row r="671">
          <cell r="A671">
            <v>41226</v>
          </cell>
          <cell r="B671" t="str">
            <v>Religação de rede de água em PVC DN 32mm, incluisve conexões</v>
          </cell>
          <cell r="C671" t="str">
            <v>m</v>
          </cell>
          <cell r="D671" t="str">
            <v>20,63</v>
          </cell>
          <cell r="E671">
            <v>0</v>
          </cell>
        </row>
        <row r="672">
          <cell r="A672">
            <v>41060</v>
          </cell>
          <cell r="B672" t="str">
            <v>Religação de rede de água em PVC DN 75mm, inclusive conexões</v>
          </cell>
          <cell r="C672" t="str">
            <v>m</v>
          </cell>
          <cell r="D672" t="str">
            <v>49,11</v>
          </cell>
          <cell r="E672">
            <v>0</v>
          </cell>
        </row>
        <row r="673">
          <cell r="A673">
            <v>41059</v>
          </cell>
          <cell r="B673" t="str">
            <v>Religação de rede de água em PVC PBA CL 15 DN 100mm, inclusive conexões</v>
          </cell>
          <cell r="C673" t="str">
            <v>m</v>
          </cell>
          <cell r="D673" t="str">
            <v>76,79</v>
          </cell>
          <cell r="E673">
            <v>0</v>
          </cell>
        </row>
        <row r="674">
          <cell r="A674">
            <v>40567</v>
          </cell>
          <cell r="B674" t="str">
            <v>Remanejamento de ligação e religação de redes de esgoto</v>
          </cell>
          <cell r="C674" t="str">
            <v>m</v>
          </cell>
          <cell r="D674" t="str">
            <v>62,58</v>
          </cell>
          <cell r="E674">
            <v>0</v>
          </cell>
        </row>
        <row r="675">
          <cell r="A675">
            <v>40747</v>
          </cell>
          <cell r="B675" t="str">
            <v>Remoção de bueiros existentes</v>
          </cell>
          <cell r="C675" t="str">
            <v>m</v>
          </cell>
          <cell r="D675" t="str">
            <v>99,27</v>
          </cell>
          <cell r="E675">
            <v>0</v>
          </cell>
        </row>
        <row r="676">
          <cell r="A676">
            <v>40727</v>
          </cell>
          <cell r="B676" t="str">
            <v>Rip-rap c/ argamassa cimento areia 1:6, inclusive aquisição e transporte dos materiais</v>
          </cell>
          <cell r="C676" t="str">
            <v>m³</v>
          </cell>
          <cell r="D676" t="str">
            <v>312,46</v>
          </cell>
          <cell r="E676" t="str">
            <v>A incluir</v>
          </cell>
        </row>
        <row r="677">
          <cell r="A677">
            <v>41264</v>
          </cell>
          <cell r="B677" t="str">
            <v>Rip-rap de areia inclusive escavação, transporte e fornecimento de materiais</v>
          </cell>
          <cell r="C677" t="str">
            <v>m³</v>
          </cell>
          <cell r="D677" t="str">
            <v>336,09</v>
          </cell>
          <cell r="E677" t="str">
            <v>A incluir</v>
          </cell>
        </row>
        <row r="678">
          <cell r="A678">
            <v>41239</v>
          </cell>
          <cell r="B678" t="str">
            <v>Rip-rap de solo e cimento (Traço 1:15)</v>
          </cell>
          <cell r="C678" t="str">
            <v>m³</v>
          </cell>
          <cell r="D678" t="str">
            <v>83,76</v>
          </cell>
          <cell r="E678">
            <v>0</v>
          </cell>
        </row>
        <row r="679">
          <cell r="A679">
            <v>40688</v>
          </cell>
          <cell r="B679" t="str">
            <v>Saída d'água concreto armado DP-1 c/ caiação</v>
          </cell>
          <cell r="C679" t="str">
            <v>un</v>
          </cell>
          <cell r="D679" t="str">
            <v>262,39</v>
          </cell>
          <cell r="E679">
            <v>0</v>
          </cell>
        </row>
        <row r="680">
          <cell r="A680">
            <v>40690</v>
          </cell>
          <cell r="B680" t="str">
            <v>Saída d'água concreto p/ aterro c/ caiação (SDA-01)</v>
          </cell>
          <cell r="C680" t="str">
            <v>un</v>
          </cell>
          <cell r="D680" t="str">
            <v>1.293,05</v>
          </cell>
          <cell r="E680">
            <v>0</v>
          </cell>
        </row>
        <row r="681">
          <cell r="A681">
            <v>40691</v>
          </cell>
          <cell r="B681" t="str">
            <v>Saída d'água concreto p/ aterro c/ caiação (SDA-02)</v>
          </cell>
          <cell r="C681" t="str">
            <v>un</v>
          </cell>
          <cell r="D681" t="str">
            <v>1.535,24</v>
          </cell>
          <cell r="E681">
            <v>0</v>
          </cell>
        </row>
        <row r="682">
          <cell r="A682">
            <v>40689</v>
          </cell>
          <cell r="B682" t="str">
            <v>Saída d'água concreto p/ corte c/ caiação (SDC-01)</v>
          </cell>
          <cell r="C682" t="str">
            <v>un</v>
          </cell>
          <cell r="D682" t="str">
            <v>666,22</v>
          </cell>
          <cell r="E682">
            <v>0</v>
          </cell>
        </row>
        <row r="683">
          <cell r="A683">
            <v>40666</v>
          </cell>
          <cell r="B683" t="str">
            <v>Sarjeta de concreto DP-1 (0,081 m³/m) calha triangular, inclusive caiação</v>
          </cell>
          <cell r="C683" t="str">
            <v>m</v>
          </cell>
          <cell r="D683" t="str">
            <v>76,83</v>
          </cell>
          <cell r="E683">
            <v>0</v>
          </cell>
        </row>
        <row r="684">
          <cell r="A684">
            <v>40667</v>
          </cell>
          <cell r="B684" t="str">
            <v>Sarjeta de concreto DP-2 (0,085 m³/m) calha triangular, inclusive caiação</v>
          </cell>
          <cell r="C684" t="str">
            <v>m</v>
          </cell>
          <cell r="D684" t="str">
            <v>80,26</v>
          </cell>
          <cell r="E684">
            <v>0</v>
          </cell>
        </row>
        <row r="685">
          <cell r="A685">
            <v>41180</v>
          </cell>
          <cell r="B685" t="str">
            <v>Sarjeta de concreto SCA 40/10</v>
          </cell>
          <cell r="C685" t="str">
            <v>m</v>
          </cell>
          <cell r="D685" t="str">
            <v>66,86</v>
          </cell>
          <cell r="E685" t="str">
            <v>A incluir</v>
          </cell>
        </row>
        <row r="686">
          <cell r="A686">
            <v>40668</v>
          </cell>
          <cell r="B686" t="str">
            <v>Sarjeta de concreto (SCA 70/15) calha triangular, inclusive caiação</v>
          </cell>
          <cell r="C686" t="str">
            <v>m</v>
          </cell>
          <cell r="D686" t="str">
            <v>90,01</v>
          </cell>
          <cell r="E686">
            <v>0</v>
          </cell>
        </row>
        <row r="687">
          <cell r="A687">
            <v>40982</v>
          </cell>
          <cell r="B687" t="str">
            <v>Sarjeta de concreto (SCA 90/10) calha triangular, inclusive caiação</v>
          </cell>
          <cell r="C687" t="str">
            <v>m</v>
          </cell>
          <cell r="D687" t="str">
            <v>161,36</v>
          </cell>
          <cell r="E687">
            <v>0</v>
          </cell>
        </row>
        <row r="688">
          <cell r="A688">
            <v>41336</v>
          </cell>
          <cell r="B688" t="str">
            <v>Sarjeta de concreto SCC 40/15</v>
          </cell>
          <cell r="C688" t="str">
            <v>m</v>
          </cell>
          <cell r="D688" t="str">
            <v>84,19</v>
          </cell>
          <cell r="E688" t="str">
            <v>A incluir</v>
          </cell>
        </row>
        <row r="689">
          <cell r="A689">
            <v>40669</v>
          </cell>
          <cell r="B689" t="str">
            <v>Sarjeta de concreto (STC - 02) calha triangular em corte/aterro, inclusive caiação</v>
          </cell>
          <cell r="C689" t="str">
            <v>m</v>
          </cell>
          <cell r="D689" t="str">
            <v>74,84</v>
          </cell>
          <cell r="E689">
            <v>0</v>
          </cell>
        </row>
        <row r="690">
          <cell r="A690">
            <v>40670</v>
          </cell>
          <cell r="B690" t="str">
            <v>Sarjeta de concreto (STC - 04) calha triangular de bancada em corte, inclusive caiação</v>
          </cell>
          <cell r="C690" t="str">
            <v>m</v>
          </cell>
          <cell r="D690" t="str">
            <v>55,24</v>
          </cell>
          <cell r="E690">
            <v>0</v>
          </cell>
        </row>
        <row r="691">
          <cell r="A691">
            <v>40560</v>
          </cell>
          <cell r="B691" t="str">
            <v>Tampa de concreto em grelha, fornecimento, assentamento e transporte</v>
          </cell>
          <cell r="C691" t="str">
            <v>un</v>
          </cell>
          <cell r="D691" t="str">
            <v>178,82</v>
          </cell>
          <cell r="E691" t="str">
            <v>A incluir</v>
          </cell>
        </row>
        <row r="692">
          <cell r="A692">
            <v>40558</v>
          </cell>
          <cell r="B692" t="str">
            <v>Tampão F.F.A.P. com 100 kg, fornecimento, assentamento e transporte</v>
          </cell>
          <cell r="C692" t="str">
            <v>un</v>
          </cell>
          <cell r="D692" t="str">
            <v>290,39</v>
          </cell>
          <cell r="E692" t="str">
            <v>A incluir</v>
          </cell>
        </row>
        <row r="693">
          <cell r="A693">
            <v>0</v>
          </cell>
          <cell r="B693">
            <v>0</v>
          </cell>
          <cell r="C693">
            <v>0</v>
          </cell>
          <cell r="E693" t="e">
            <v>#N/A</v>
          </cell>
        </row>
        <row r="694">
          <cell r="A694">
            <v>41029</v>
          </cell>
          <cell r="B694" t="str">
            <v>Tapume de vedação e proteção, executado com chapas de compensado resinado com 6mm de espessura, exclusive pintura</v>
          </cell>
          <cell r="C694" t="str">
            <v>m²</v>
          </cell>
          <cell r="D694" t="str">
            <v>32,16</v>
          </cell>
          <cell r="E694">
            <v>0</v>
          </cell>
        </row>
        <row r="695">
          <cell r="A695">
            <v>41040</v>
          </cell>
          <cell r="B695" t="str">
            <v>Tela de aço soldada Telcon Q-138 ou similar, fornecimento e assentamento.</v>
          </cell>
          <cell r="C695" t="str">
            <v>m²</v>
          </cell>
          <cell r="D695" t="str">
            <v>25,77</v>
          </cell>
          <cell r="E695">
            <v>0</v>
          </cell>
        </row>
        <row r="696">
          <cell r="A696">
            <v>42658</v>
          </cell>
          <cell r="B696" t="str">
            <v>Tela de aço soldada Telcon Q-196 ou similar, fornecimento e assentamento.</v>
          </cell>
          <cell r="C696" t="str">
            <v>m²</v>
          </cell>
          <cell r="D696" t="str">
            <v>30,80</v>
          </cell>
          <cell r="E696">
            <v>0</v>
          </cell>
        </row>
        <row r="697">
          <cell r="A697">
            <v>40655</v>
          </cell>
          <cell r="B697" t="str">
            <v>Terminal de dreno de alívio de pavimento (DP - TDA - 01)</v>
          </cell>
          <cell r="C697" t="str">
            <v>un</v>
          </cell>
          <cell r="D697" t="str">
            <v>293,63</v>
          </cell>
          <cell r="E697" t="str">
            <v>A incluir</v>
          </cell>
        </row>
        <row r="698">
          <cell r="A698">
            <v>41092</v>
          </cell>
          <cell r="B698" t="str">
            <v>Transporte de materiais encosta abaixo, serviço manual, inclusive carga e descarga</v>
          </cell>
          <cell r="C698" t="str">
            <v>t dam</v>
          </cell>
          <cell r="D698" t="str">
            <v>18,52</v>
          </cell>
          <cell r="E698">
            <v>0</v>
          </cell>
        </row>
        <row r="699">
          <cell r="A699">
            <v>41091</v>
          </cell>
          <cell r="B699" t="str">
            <v>Transporte de materiais encosta acima, serviço manual, inclusive carga e descarga</v>
          </cell>
          <cell r="C699" t="str">
            <v>t dam</v>
          </cell>
          <cell r="D699" t="str">
            <v>25,07</v>
          </cell>
          <cell r="E699">
            <v>0</v>
          </cell>
        </row>
        <row r="700">
          <cell r="A700">
            <v>40706</v>
          </cell>
          <cell r="B700" t="str">
            <v>Transposição de segmento de sarjeta - TSS 01, inclusive transporte do tubo de concreto</v>
          </cell>
          <cell r="C700" t="str">
            <v>m</v>
          </cell>
          <cell r="D700" t="str">
            <v>265,31</v>
          </cell>
          <cell r="E700" t="str">
            <v>A incluir</v>
          </cell>
        </row>
        <row r="701">
          <cell r="A701">
            <v>40651</v>
          </cell>
          <cell r="B701" t="str">
            <v>Trincheira drenante cega (0,50 x 1,70) m, inclusive transporte da brita c/ geotêxtil não tecido res.long. mín 16 kn/m</v>
          </cell>
          <cell r="C701" t="str">
            <v>m</v>
          </cell>
          <cell r="D701" t="str">
            <v>324,21</v>
          </cell>
          <cell r="E701" t="str">
            <v>A incluir</v>
          </cell>
        </row>
        <row r="702">
          <cell r="A702">
            <v>41122</v>
          </cell>
          <cell r="B702" t="str">
            <v>Tubo de PVC NBR 5648 diâmetro 50 mm, fornecimento e assentamento</v>
          </cell>
          <cell r="C702" t="str">
            <v>m</v>
          </cell>
          <cell r="D702" t="str">
            <v>15,36</v>
          </cell>
          <cell r="E702">
            <v>0</v>
          </cell>
        </row>
        <row r="703">
          <cell r="A703">
            <v>41123</v>
          </cell>
          <cell r="B703" t="str">
            <v>Tubo de PVC NBR 5648 diâmetro 75 mm, fornecimento e assentamento</v>
          </cell>
          <cell r="C703" t="str">
            <v>m</v>
          </cell>
          <cell r="D703" t="str">
            <v>22,46</v>
          </cell>
          <cell r="E703">
            <v>0</v>
          </cell>
        </row>
        <row r="704">
          <cell r="A704">
            <v>41126</v>
          </cell>
          <cell r="B704" t="str">
            <v>Tubo de PVC PBA diâmetro 300 mm, fornecimento e assentamento</v>
          </cell>
          <cell r="C704" t="str">
            <v>m</v>
          </cell>
          <cell r="D704" t="str">
            <v>177,93</v>
          </cell>
          <cell r="E704">
            <v>0</v>
          </cell>
        </row>
        <row r="705">
          <cell r="A705">
            <v>41125</v>
          </cell>
          <cell r="B705" t="str">
            <v>Tubo de PVC rígido série R diâmetro 100 mm, fornecimento e assentamento</v>
          </cell>
          <cell r="C705" t="str">
            <v>m</v>
          </cell>
          <cell r="D705" t="str">
            <v>20,72</v>
          </cell>
          <cell r="E705">
            <v>0</v>
          </cell>
        </row>
        <row r="706">
          <cell r="A706">
            <v>41119</v>
          </cell>
          <cell r="B706" t="str">
            <v>Tubo irrifort agropecuário diâmetro 32 mm, fornecimento e assentamento</v>
          </cell>
          <cell r="C706" t="str">
            <v>m</v>
          </cell>
          <cell r="D706" t="str">
            <v>5,75</v>
          </cell>
          <cell r="E706">
            <v>0</v>
          </cell>
        </row>
        <row r="707">
          <cell r="A707">
            <v>41114</v>
          </cell>
          <cell r="B707" t="str">
            <v>Tubo para irrigação linha fixa PN40 50 mm, fornecimento e assentamento</v>
          </cell>
          <cell r="C707" t="str">
            <v>m</v>
          </cell>
          <cell r="D707" t="str">
            <v>7,36</v>
          </cell>
          <cell r="E707">
            <v>0</v>
          </cell>
        </row>
        <row r="708">
          <cell r="A708">
            <v>41127</v>
          </cell>
          <cell r="B708" t="str">
            <v>Tubo PVC PBA diâmetro 150 mm, fornecimento e assentamento</v>
          </cell>
          <cell r="C708" t="str">
            <v>m</v>
          </cell>
          <cell r="D708" t="str">
            <v>32,73</v>
          </cell>
          <cell r="E708">
            <v>0</v>
          </cell>
        </row>
        <row r="709">
          <cell r="A709">
            <v>40707</v>
          </cell>
          <cell r="B709" t="str">
            <v>Tubos de ferro fundido diâmetro 0,90 m, assentamento</v>
          </cell>
          <cell r="C709" t="str">
            <v>m</v>
          </cell>
          <cell r="D709" t="str">
            <v>215,00</v>
          </cell>
          <cell r="E709" t="str">
            <v>A incluir</v>
          </cell>
        </row>
        <row r="710">
          <cell r="A710">
            <v>41118</v>
          </cell>
          <cell r="B710" t="str">
            <v>Tubos para irrigação Linha fixa PN40, diâmetro 75 mm, fornecimento e assentamento</v>
          </cell>
          <cell r="C710" t="str">
            <v>m</v>
          </cell>
          <cell r="D710" t="str">
            <v>10,70</v>
          </cell>
          <cell r="E710">
            <v>0</v>
          </cell>
        </row>
        <row r="711">
          <cell r="A711">
            <v>40702</v>
          </cell>
          <cell r="B711" t="str">
            <v>Valeta de pedra argamassada VPAR</v>
          </cell>
          <cell r="C711" t="str">
            <v>m³</v>
          </cell>
          <cell r="D711" t="str">
            <v>304,64</v>
          </cell>
          <cell r="E711" t="str">
            <v>A incluir</v>
          </cell>
        </row>
        <row r="712">
          <cell r="A712">
            <v>40701</v>
          </cell>
          <cell r="B712" t="str">
            <v>Valeta de pedra jogada VPJ, inclusive transporte da pedra</v>
          </cell>
          <cell r="C712" t="str">
            <v>m³</v>
          </cell>
          <cell r="D712" t="str">
            <v>129,98</v>
          </cell>
          <cell r="E712" t="str">
            <v>A incluir</v>
          </cell>
        </row>
        <row r="713">
          <cell r="A713">
            <v>40698</v>
          </cell>
          <cell r="B713" t="str">
            <v>Valeta de proteção de aterro enleivada (VPA-01 DNIT)</v>
          </cell>
          <cell r="C713" t="str">
            <v>m</v>
          </cell>
          <cell r="D713" t="str">
            <v>68,53</v>
          </cell>
          <cell r="E713" t="str">
            <v>A incluir</v>
          </cell>
        </row>
        <row r="714">
          <cell r="A714">
            <v>40700</v>
          </cell>
          <cell r="B714" t="str">
            <v>Valeta de proteção de aterro revestida em concreto (VPA-03 DNIT)</v>
          </cell>
          <cell r="C714" t="str">
            <v>m</v>
          </cell>
          <cell r="D714" t="str">
            <v>82,91</v>
          </cell>
          <cell r="E714" t="str">
            <v>A incluir</v>
          </cell>
        </row>
        <row r="715">
          <cell r="A715">
            <v>40696</v>
          </cell>
          <cell r="B715" t="str">
            <v>Valeta de proteção de aterro VPA 02 (revestida em concreto)</v>
          </cell>
          <cell r="C715" t="str">
            <v>m</v>
          </cell>
          <cell r="D715" t="str">
            <v>159,35</v>
          </cell>
          <cell r="E715" t="str">
            <v>A incluir</v>
          </cell>
        </row>
        <row r="716">
          <cell r="A716">
            <v>40695</v>
          </cell>
          <cell r="B716" t="str">
            <v>Valeta de proteção de aterro VPA-01 (escavação)</v>
          </cell>
          <cell r="C716" t="str">
            <v>m</v>
          </cell>
          <cell r="D716" t="str">
            <v>50,19</v>
          </cell>
          <cell r="E716">
            <v>0</v>
          </cell>
        </row>
        <row r="717">
          <cell r="A717">
            <v>40692</v>
          </cell>
          <cell r="B717" t="str">
            <v>Valeta de proteção de corte - desobstrução e limpeza</v>
          </cell>
          <cell r="C717" t="str">
            <v>m</v>
          </cell>
          <cell r="D717" t="str">
            <v>2,80</v>
          </cell>
          <cell r="E717">
            <v>0</v>
          </cell>
        </row>
        <row r="718">
          <cell r="A718">
            <v>40697</v>
          </cell>
          <cell r="B718" t="str">
            <v>Valeta de proteção de corte enleivada (VPC-01 DNIT)</v>
          </cell>
          <cell r="C718" t="str">
            <v>m</v>
          </cell>
          <cell r="D718" t="str">
            <v>67,12</v>
          </cell>
          <cell r="E718" t="str">
            <v>A incluir</v>
          </cell>
        </row>
        <row r="719">
          <cell r="A719">
            <v>40699</v>
          </cell>
          <cell r="B719" t="str">
            <v>Valeta de proteção de corte revestida em concreto VPC-03</v>
          </cell>
          <cell r="C719" t="str">
            <v>m</v>
          </cell>
          <cell r="D719" t="str">
            <v>185,05</v>
          </cell>
          <cell r="E719" t="str">
            <v>A incluir</v>
          </cell>
        </row>
        <row r="720">
          <cell r="A720">
            <v>40693</v>
          </cell>
          <cell r="B720" t="str">
            <v>Valeta de proteção de corte VPC-01 (escavação)</v>
          </cell>
          <cell r="C720" t="str">
            <v>m</v>
          </cell>
          <cell r="D720" t="str">
            <v>27,17</v>
          </cell>
          <cell r="E720">
            <v>0</v>
          </cell>
        </row>
        <row r="721">
          <cell r="A721">
            <v>40694</v>
          </cell>
          <cell r="B721" t="str">
            <v>Valeta de proteção de corte VPC-02 (revestida em grama)</v>
          </cell>
          <cell r="C721" t="str">
            <v>m</v>
          </cell>
          <cell r="D721" t="str">
            <v>55,98</v>
          </cell>
          <cell r="E721" t="str">
            <v>A incluir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e">
            <v>#N/A</v>
          </cell>
        </row>
        <row r="723">
          <cell r="A723" t="str">
            <v>Grupo de Serviço: 4 - MATERIAL BETUMINOSO</v>
          </cell>
          <cell r="B723">
            <v>0</v>
          </cell>
          <cell r="C723">
            <v>0</v>
          </cell>
          <cell r="E723" t="e">
            <v>#N/A</v>
          </cell>
        </row>
        <row r="724">
          <cell r="A724">
            <v>40972</v>
          </cell>
          <cell r="B724" t="str">
            <v>Bonificação de 20,93% sobre Materiais Betuminosos</v>
          </cell>
          <cell r="C724" t="str">
            <v>%</v>
          </cell>
          <cell r="D724" t="str">
            <v>0,00</v>
          </cell>
          <cell r="E724">
            <v>0</v>
          </cell>
        </row>
        <row r="725">
          <cell r="A725">
            <v>41405</v>
          </cell>
          <cell r="B725" t="str">
            <v>CAP FLEX 60/85, fornecimento</v>
          </cell>
          <cell r="C725" t="str">
            <v>t</v>
          </cell>
          <cell r="D725" t="str">
            <v>1.782,44</v>
          </cell>
          <cell r="E725">
            <v>0</v>
          </cell>
        </row>
        <row r="726">
          <cell r="A726">
            <v>41360</v>
          </cell>
          <cell r="B726" t="str">
            <v>CAP-50/70, fornecimento</v>
          </cell>
          <cell r="C726" t="str">
            <v>t</v>
          </cell>
          <cell r="D726" t="str">
            <v>1.307,23</v>
          </cell>
          <cell r="E726">
            <v>0</v>
          </cell>
        </row>
        <row r="727">
          <cell r="A727">
            <v>40968</v>
          </cell>
          <cell r="B727" t="str">
            <v>CM-30, fornecimento</v>
          </cell>
          <cell r="C727" t="str">
            <v>t</v>
          </cell>
          <cell r="D727" t="str">
            <v>2.099,09</v>
          </cell>
          <cell r="E727">
            <v>0</v>
          </cell>
        </row>
        <row r="728">
          <cell r="A728">
            <v>40976</v>
          </cell>
          <cell r="B728" t="str">
            <v>Dope, fornecimento</v>
          </cell>
          <cell r="C728" t="str">
            <v>t</v>
          </cell>
          <cell r="D728" t="str">
            <v>32.630,00</v>
          </cell>
          <cell r="E728">
            <v>0</v>
          </cell>
        </row>
        <row r="729">
          <cell r="A729">
            <v>42545</v>
          </cell>
          <cell r="B729" t="str">
            <v>Emulsão RL-1C- FLEX (Emulflex RL-1C-E), fornecimento</v>
          </cell>
          <cell r="C729" t="str">
            <v>t</v>
          </cell>
          <cell r="D729" t="str">
            <v>1.428,00</v>
          </cell>
          <cell r="E729">
            <v>0</v>
          </cell>
        </row>
        <row r="730">
          <cell r="A730">
            <v>40974</v>
          </cell>
          <cell r="B730" t="str">
            <v>Emulsão RM-1C, fornecimento</v>
          </cell>
          <cell r="C730" t="str">
            <v>t</v>
          </cell>
          <cell r="D730" t="str">
            <v>1.209,01</v>
          </cell>
          <cell r="E730">
            <v>0</v>
          </cell>
        </row>
        <row r="731">
          <cell r="A731">
            <v>40978</v>
          </cell>
          <cell r="B731" t="str">
            <v>Emulsão RR-1C FLEX (Emulflex RR-1C-E,) fornecimento</v>
          </cell>
          <cell r="C731" t="str">
            <v>t</v>
          </cell>
          <cell r="D731" t="str">
            <v>1.783,21</v>
          </cell>
          <cell r="E731">
            <v>0</v>
          </cell>
        </row>
        <row r="732">
          <cell r="A732">
            <v>40975</v>
          </cell>
          <cell r="B732" t="str">
            <v>Emulsão RR-1C, fornecimento</v>
          </cell>
          <cell r="C732" t="str">
            <v>t</v>
          </cell>
          <cell r="D732" t="str">
            <v>1.016,32</v>
          </cell>
          <cell r="E732">
            <v>0</v>
          </cell>
        </row>
        <row r="733">
          <cell r="A733">
            <v>40969</v>
          </cell>
          <cell r="B733" t="str">
            <v>Emulsão RR-2C, fornecimento</v>
          </cell>
          <cell r="C733" t="str">
            <v>t</v>
          </cell>
          <cell r="D733" t="str">
            <v>1.070,41</v>
          </cell>
          <cell r="E733">
            <v>0</v>
          </cell>
        </row>
        <row r="734">
          <cell r="A734">
            <v>40971</v>
          </cell>
          <cell r="B734" t="str">
            <v>Emulsão RR-2C-FLEX (Emulflex RR-2C-E), fornecimento</v>
          </cell>
          <cell r="C734" t="str">
            <v>t</v>
          </cell>
          <cell r="D734" t="str">
            <v>1.508,00</v>
          </cell>
          <cell r="E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e">
            <v>#N/A</v>
          </cell>
        </row>
        <row r="736">
          <cell r="A736" t="str">
            <v>Grupo de Serviço: 5 - OBRAS COMPLEMENTARES</v>
          </cell>
          <cell r="B736">
            <v>0</v>
          </cell>
          <cell r="C736">
            <v>0</v>
          </cell>
          <cell r="E736" t="e">
            <v>#N/A</v>
          </cell>
        </row>
        <row r="737">
          <cell r="A737">
            <v>40910</v>
          </cell>
          <cell r="B737" t="str">
            <v>Abrigo de Ônibus - Rodovia Rural - 3,40 m x 6,00 m</v>
          </cell>
          <cell r="C737" t="str">
            <v>un</v>
          </cell>
          <cell r="D737" t="str">
            <v>11.172,13</v>
          </cell>
          <cell r="E737" t="str">
            <v>A incluir</v>
          </cell>
        </row>
        <row r="738">
          <cell r="A738">
            <v>0</v>
          </cell>
          <cell r="B738">
            <v>0</v>
          </cell>
          <cell r="C738">
            <v>0</v>
          </cell>
          <cell r="E738" t="e">
            <v>#N/A</v>
          </cell>
        </row>
        <row r="739">
          <cell r="A739">
            <v>41362</v>
          </cell>
          <cell r="B739" t="str">
            <v>Abrigo de Ônibus Urbano - Padrão reduzido - 2,40 x 6,00 m</v>
          </cell>
          <cell r="C739" t="str">
            <v>un</v>
          </cell>
          <cell r="D739" t="str">
            <v>10.526,72</v>
          </cell>
          <cell r="E739">
            <v>0</v>
          </cell>
        </row>
        <row r="740">
          <cell r="A740">
            <v>43343</v>
          </cell>
          <cell r="B740" t="str">
            <v>Alvenaria de tijolos cerâmicos maciços aparentes 5x10x20cm,assent.c/argam.de cimento,cal hidratada CH1 e areia no traço 1:0,5:8,juntas de 10mm e esp.</v>
          </cell>
          <cell r="C740" t="str">
            <v>m²</v>
          </cell>
          <cell r="D740" t="str">
            <v>150,68</v>
          </cell>
          <cell r="E740">
            <v>0</v>
          </cell>
        </row>
        <row r="741">
          <cell r="A741">
            <v>41151</v>
          </cell>
          <cell r="B741" t="str">
            <v>Braço galvanizado 101mm - projeção 4,70m, fornecimento e instalação</v>
          </cell>
          <cell r="C741" t="str">
            <v>un</v>
          </cell>
          <cell r="D741" t="str">
            <v>1.783,54</v>
          </cell>
          <cell r="E741">
            <v>0</v>
          </cell>
        </row>
        <row r="742">
          <cell r="A742">
            <v>41346</v>
          </cell>
          <cell r="B742" t="str">
            <v>Cabo de cobre nú, seção 35 mm², fornecimento e colocação</v>
          </cell>
          <cell r="C742" t="str">
            <v>m</v>
          </cell>
          <cell r="D742" t="str">
            <v>23,60</v>
          </cell>
          <cell r="E742">
            <v>0</v>
          </cell>
        </row>
        <row r="743">
          <cell r="A743">
            <v>41150</v>
          </cell>
          <cell r="B743" t="str">
            <v>Cabo flexível 2 x 1,5 mm², fornecimento e instalação</v>
          </cell>
          <cell r="C743" t="str">
            <v>m</v>
          </cell>
          <cell r="D743" t="str">
            <v>5,15</v>
          </cell>
          <cell r="E743">
            <v>0</v>
          </cell>
        </row>
        <row r="744">
          <cell r="A744">
            <v>41149</v>
          </cell>
          <cell r="B744" t="str">
            <v>Cabo flexível 2 x 2,5 mm², fornecimento e instalação</v>
          </cell>
          <cell r="C744" t="str">
            <v>m</v>
          </cell>
          <cell r="D744" t="str">
            <v>6,01</v>
          </cell>
          <cell r="E744">
            <v>0</v>
          </cell>
        </row>
        <row r="745">
          <cell r="A745">
            <v>41410</v>
          </cell>
          <cell r="B745" t="str">
            <v>Cabo flexível 3 x 1,5 mm², fornecimento e instalação</v>
          </cell>
          <cell r="C745" t="str">
            <v>m</v>
          </cell>
          <cell r="D745" t="str">
            <v>5,72</v>
          </cell>
          <cell r="E745">
            <v>0</v>
          </cell>
        </row>
        <row r="746">
          <cell r="A746">
            <v>41148</v>
          </cell>
          <cell r="B746" t="str">
            <v>Cabo flexível 4 x 1,5 mm², fornecimento e instalação</v>
          </cell>
          <cell r="C746" t="str">
            <v>m</v>
          </cell>
          <cell r="D746" t="str">
            <v>6,65</v>
          </cell>
          <cell r="E746">
            <v>0</v>
          </cell>
        </row>
        <row r="747">
          <cell r="A747">
            <v>41152</v>
          </cell>
          <cell r="B747" t="str">
            <v>Caixa de passagem de concreto armado de 0,40 x 0,40 x 0,40m</v>
          </cell>
          <cell r="C747" t="str">
            <v>un</v>
          </cell>
          <cell r="D747" t="str">
            <v>402,50</v>
          </cell>
          <cell r="E747">
            <v>0</v>
          </cell>
        </row>
        <row r="748">
          <cell r="A748">
            <v>41004</v>
          </cell>
          <cell r="B748" t="str">
            <v>Caixa de passagem de eletroduto de lógica</v>
          </cell>
          <cell r="C748" t="str">
            <v>un</v>
          </cell>
          <cell r="D748" t="str">
            <v>844,56</v>
          </cell>
          <cell r="E748">
            <v>0</v>
          </cell>
        </row>
        <row r="749">
          <cell r="A749">
            <v>40911</v>
          </cell>
          <cell r="B749" t="str">
            <v>Calçada de concreto</v>
          </cell>
          <cell r="C749" t="str">
            <v>m²</v>
          </cell>
          <cell r="D749" t="str">
            <v>39,71</v>
          </cell>
          <cell r="E749" t="str">
            <v>A incluir</v>
          </cell>
        </row>
        <row r="750">
          <cell r="A750">
            <v>40915</v>
          </cell>
          <cell r="B750" t="str">
            <v>Calçada de concreto fck-&gt;15 MP, camurçado c/ argam. cimento e areia 1:4, lastro de brita e 8 cm de concreto, incl. preparo da caixa e transp. da brita</v>
          </cell>
          <cell r="C750" t="str">
            <v>m²</v>
          </cell>
          <cell r="D750" t="str">
            <v>89,92</v>
          </cell>
          <cell r="E750" t="str">
            <v>A incluir</v>
          </cell>
        </row>
        <row r="751">
          <cell r="A751">
            <v>40899</v>
          </cell>
          <cell r="B751" t="str">
            <v>Cerca de arame farpado 4 fios com mourões a cada 2,0 m, esticadores de madeira, a cada 20,0 m, inclusive transporte de mourão e arame farpado)</v>
          </cell>
          <cell r="C751" t="str">
            <v>m</v>
          </cell>
          <cell r="D751" t="str">
            <v>14,37</v>
          </cell>
          <cell r="E751" t="str">
            <v>A incluir</v>
          </cell>
        </row>
        <row r="752">
          <cell r="A752">
            <v>40900</v>
          </cell>
          <cell r="B752" t="str">
            <v>Cerca de arame farpado 4 fios com mourões a cada 1,0 m, esticadores de madeira, a cada 20,0 m, inclusive transporte de mourão e arame farpado</v>
          </cell>
          <cell r="C752" t="str">
            <v>m</v>
          </cell>
          <cell r="D752" t="str">
            <v>20,14</v>
          </cell>
          <cell r="E752" t="str">
            <v>A incluir</v>
          </cell>
        </row>
        <row r="753">
          <cell r="A753">
            <v>41365</v>
          </cell>
          <cell r="B753" t="str">
            <v>Cerca de arame farpado 4 fios com mourões, a cada 2,5 m, esticadores de madeira a cada 60,0m, inclusive transporte de arame farpado e mourão</v>
          </cell>
          <cell r="C753" t="str">
            <v>m</v>
          </cell>
          <cell r="D753" t="str">
            <v>16,32</v>
          </cell>
          <cell r="E753" t="str">
            <v>A incluir</v>
          </cell>
        </row>
        <row r="754">
          <cell r="A754">
            <v>41110</v>
          </cell>
          <cell r="B754" t="str">
            <v>Cerca de arame farpado 4 fios com mourões a cada 3,0 metros e sem esticadores, inclusive transporte de arame e mourão</v>
          </cell>
          <cell r="C754" t="str">
            <v>m</v>
          </cell>
          <cell r="D754" t="str">
            <v>14,02</v>
          </cell>
          <cell r="E754" t="str">
            <v>A incluir</v>
          </cell>
        </row>
        <row r="755">
          <cell r="A755">
            <v>40903</v>
          </cell>
          <cell r="B755" t="str">
            <v>Cerca de arame farpado 4 fios com postes cada 2,5 m, esticadores de concreto a cada 25,0 m</v>
          </cell>
          <cell r="C755" t="str">
            <v>m</v>
          </cell>
          <cell r="D755" t="str">
            <v>18,83</v>
          </cell>
          <cell r="E755" t="str">
            <v>A incluir</v>
          </cell>
        </row>
        <row r="756">
          <cell r="A756">
            <v>40904</v>
          </cell>
          <cell r="B756" t="str">
            <v>Cerca de arame farpado 8 fios com postes concreto 10 x 10 x 220 cm, a cada 1,5 m</v>
          </cell>
          <cell r="C756" t="str">
            <v>m</v>
          </cell>
          <cell r="D756" t="str">
            <v>39,86</v>
          </cell>
          <cell r="E756" t="str">
            <v>A incluir</v>
          </cell>
        </row>
        <row r="757">
          <cell r="A757">
            <v>40905</v>
          </cell>
          <cell r="B757" t="str">
            <v>Cerca de arame farpado 8 fios com postes triangulares 10 x 200 cm, a cada 2,5 m, mourão de concreto 10 x 10 x 220 cm, a cada 50,0 m</v>
          </cell>
          <cell r="C757" t="str">
            <v>m</v>
          </cell>
          <cell r="D757" t="str">
            <v>20,66</v>
          </cell>
          <cell r="E757" t="str">
            <v>A incluir</v>
          </cell>
        </row>
        <row r="758">
          <cell r="A758">
            <v>43330</v>
          </cell>
          <cell r="B758" t="str">
            <v>Cerca de arame farpado,4 fios ,mourões de madeira a cada 2,5 m e esticadores de concreto/madeira a cada 40m</v>
          </cell>
          <cell r="C758" t="str">
            <v>m</v>
          </cell>
          <cell r="D758" t="str">
            <v>25,47</v>
          </cell>
          <cell r="E758" t="str">
            <v>A incluir</v>
          </cell>
        </row>
        <row r="759">
          <cell r="A759">
            <v>40901</v>
          </cell>
          <cell r="B759" t="str">
            <v>Cerca de arame liso 4 fios com mourões cada 2,0 m, esticadores de madeira, a cada 20,0 m, inclusive transporte de mourão e arame liso</v>
          </cell>
          <cell r="C759" t="str">
            <v>m</v>
          </cell>
          <cell r="D759" t="str">
            <v>13,71</v>
          </cell>
          <cell r="E759" t="str">
            <v>A incluir</v>
          </cell>
        </row>
        <row r="760">
          <cell r="A760">
            <v>42475</v>
          </cell>
          <cell r="B760" t="str">
            <v>Concreto estrutural fck -&gt; 10,0 MPa, inclusive transportes areia, cimento e pedra britada</v>
          </cell>
          <cell r="C760" t="str">
            <v>m³</v>
          </cell>
          <cell r="D760" t="str">
            <v>489,88</v>
          </cell>
          <cell r="E760" t="str">
            <v>A incluir</v>
          </cell>
        </row>
        <row r="761">
          <cell r="A761">
            <v>40945</v>
          </cell>
          <cell r="B761" t="str">
            <v>Corrimão em eucalipto tratado</v>
          </cell>
          <cell r="C761" t="str">
            <v>m</v>
          </cell>
          <cell r="D761" t="str">
            <v>51,95</v>
          </cell>
          <cell r="E761" t="str">
            <v>A incluir</v>
          </cell>
        </row>
        <row r="762">
          <cell r="A762">
            <v>41109</v>
          </cell>
          <cell r="B762" t="str">
            <v>Demolição de cerca de madeira com 4 fios</v>
          </cell>
          <cell r="C762" t="str">
            <v>m</v>
          </cell>
          <cell r="D762" t="str">
            <v>2,13</v>
          </cell>
          <cell r="E762">
            <v>0</v>
          </cell>
        </row>
        <row r="763">
          <cell r="A763">
            <v>40164</v>
          </cell>
          <cell r="B763" t="str">
            <v>Demolição de edificações</v>
          </cell>
          <cell r="C763" t="str">
            <v>m²</v>
          </cell>
          <cell r="D763" t="str">
            <v>35,89</v>
          </cell>
          <cell r="E763">
            <v>0</v>
          </cell>
        </row>
        <row r="764">
          <cell r="A764">
            <v>40944</v>
          </cell>
          <cell r="B764" t="str">
            <v>Descida d'água em madeira e pedra de mão, tudo incluído</v>
          </cell>
          <cell r="C764" t="str">
            <v>m</v>
          </cell>
          <cell r="D764" t="str">
            <v>466,83</v>
          </cell>
          <cell r="E764" t="str">
            <v>A incluir</v>
          </cell>
        </row>
        <row r="765">
          <cell r="A765">
            <v>40902</v>
          </cell>
          <cell r="B765" t="str">
            <v>Deslocamento de cerca de madeira com 4 fios de arame</v>
          </cell>
          <cell r="C765" t="str">
            <v>m</v>
          </cell>
          <cell r="D765" t="str">
            <v>3,82</v>
          </cell>
          <cell r="E765">
            <v>0</v>
          </cell>
        </row>
        <row r="766">
          <cell r="A766">
            <v>41344</v>
          </cell>
          <cell r="B766" t="str">
            <v>Eletroduto de aço galv. 1 1/4" inclusive abertura e fechamento de rasgos em alvenaria, e luvas</v>
          </cell>
          <cell r="C766" t="str">
            <v>m</v>
          </cell>
          <cell r="D766" t="str">
            <v>61,75</v>
          </cell>
          <cell r="E766">
            <v>0</v>
          </cell>
        </row>
        <row r="767">
          <cell r="A767">
            <v>41345</v>
          </cell>
          <cell r="B767" t="str">
            <v>Eletroduto de PVC diâmetro de 4", fornecimento e instalação</v>
          </cell>
          <cell r="C767" t="str">
            <v>m</v>
          </cell>
          <cell r="D767" t="str">
            <v>90,37</v>
          </cell>
          <cell r="E767">
            <v>0</v>
          </cell>
        </row>
        <row r="768">
          <cell r="A768">
            <v>41242</v>
          </cell>
          <cell r="B768" t="str">
            <v>Estrutura de madeira para telha cerâmica ancorada em laje ou alvenaria</v>
          </cell>
          <cell r="C768" t="str">
            <v>m²</v>
          </cell>
          <cell r="D768" t="str">
            <v>69,50</v>
          </cell>
          <cell r="E768">
            <v>0</v>
          </cell>
        </row>
        <row r="769">
          <cell r="A769">
            <v>42476</v>
          </cell>
          <cell r="B769" t="str">
            <v>Fita isolante em rolo de 19 mm x 20 m, número 33 Scoth ou equivalente</v>
          </cell>
          <cell r="C769" t="str">
            <v>un</v>
          </cell>
          <cell r="D769" t="str">
            <v>34,26</v>
          </cell>
          <cell r="E769">
            <v>0</v>
          </cell>
        </row>
        <row r="770">
          <cell r="A770">
            <v>41136</v>
          </cell>
          <cell r="B770" t="str">
            <v>Haste cobreada para aterramento diâmetro 5/8" x 2,4m ( fornecimento e instalação)</v>
          </cell>
          <cell r="C770" t="str">
            <v>un</v>
          </cell>
          <cell r="D770" t="str">
            <v>111,00</v>
          </cell>
          <cell r="E770">
            <v>0</v>
          </cell>
        </row>
        <row r="771">
          <cell r="A771">
            <v>41135</v>
          </cell>
          <cell r="B771" t="str">
            <v>Isolador de Porcelana tipo roldana com rack 3 x 16, instalação</v>
          </cell>
          <cell r="C771" t="str">
            <v>un</v>
          </cell>
          <cell r="D771" t="str">
            <v>76,84</v>
          </cell>
          <cell r="E771">
            <v>0</v>
          </cell>
        </row>
        <row r="772">
          <cell r="A772">
            <v>40912</v>
          </cell>
          <cell r="B772" t="str">
            <v>Ladrilho hidráulico (argamassa cimento e areia 1:4), fornecimento e assentamento</v>
          </cell>
          <cell r="C772" t="str">
            <v>m²</v>
          </cell>
          <cell r="D772" t="str">
            <v>81,82</v>
          </cell>
          <cell r="E772" t="str">
            <v>A incluir</v>
          </cell>
        </row>
        <row r="773">
          <cell r="A773">
            <v>40908</v>
          </cell>
          <cell r="B773" t="str">
            <v>Mata-burro</v>
          </cell>
          <cell r="C773" t="str">
            <v>un</v>
          </cell>
          <cell r="D773" t="str">
            <v>7.337,26</v>
          </cell>
          <cell r="E773" t="str">
            <v>A incluir</v>
          </cell>
        </row>
        <row r="774">
          <cell r="A774">
            <v>40907</v>
          </cell>
          <cell r="B774" t="str">
            <v>Passagem de gado (boca)</v>
          </cell>
          <cell r="C774" t="str">
            <v>un</v>
          </cell>
          <cell r="D774" t="str">
            <v>12.416,16</v>
          </cell>
          <cell r="E774" t="str">
            <v>A incluir</v>
          </cell>
        </row>
        <row r="775">
          <cell r="A775">
            <v>40906</v>
          </cell>
          <cell r="B775" t="str">
            <v>Passagem de gado (sem guarda corpo)</v>
          </cell>
          <cell r="C775" t="str">
            <v>m</v>
          </cell>
          <cell r="D775" t="str">
            <v>3.591,38</v>
          </cell>
          <cell r="E775">
            <v>0</v>
          </cell>
        </row>
        <row r="776">
          <cell r="A776">
            <v>41240</v>
          </cell>
          <cell r="B776" t="str">
            <v>Passeio em concreto, largura 2,00m, acabamento em ladrilho hidráulico podotátil (L-&gt;0,40m)</v>
          </cell>
          <cell r="C776" t="str">
            <v>m²</v>
          </cell>
          <cell r="D776" t="str">
            <v>71,76</v>
          </cell>
          <cell r="E776" t="str">
            <v>A incluir</v>
          </cell>
        </row>
        <row r="777">
          <cell r="A777">
            <v>40946</v>
          </cell>
          <cell r="B777" t="str">
            <v>Passeio pavimentado em blocos de concreto esp.-&gt;6cm, colorido, resistência 35 MPa, colchão de areia 5cm, inclusive transporte dos blocos e da areia</v>
          </cell>
          <cell r="C777" t="str">
            <v>m²</v>
          </cell>
          <cell r="D777" t="str">
            <v>84,62</v>
          </cell>
          <cell r="E777" t="str">
            <v>A incluir</v>
          </cell>
        </row>
        <row r="778">
          <cell r="A778">
            <v>40942</v>
          </cell>
          <cell r="B778" t="str">
            <v>Pavimentação com pedra de mão (pé de moleque) argamassada</v>
          </cell>
          <cell r="C778" t="str">
            <v>m²</v>
          </cell>
          <cell r="D778" t="str">
            <v>33,25</v>
          </cell>
          <cell r="E778" t="str">
            <v>A incluir</v>
          </cell>
        </row>
        <row r="779">
          <cell r="A779">
            <v>41245</v>
          </cell>
          <cell r="B779" t="str">
            <v>Pintura com tinta a óleo em esquadria de ferros duas demãos</v>
          </cell>
          <cell r="C779" t="str">
            <v>m²</v>
          </cell>
          <cell r="D779" t="str">
            <v>34,55</v>
          </cell>
          <cell r="E779">
            <v>0</v>
          </cell>
        </row>
        <row r="780">
          <cell r="A780">
            <v>41404</v>
          </cell>
          <cell r="B780" t="str">
            <v>Pintura em estrutura metálica com tinta epoxídica inclusive primer</v>
          </cell>
          <cell r="C780" t="str">
            <v>m²</v>
          </cell>
          <cell r="D780" t="str">
            <v>32,66</v>
          </cell>
          <cell r="E780">
            <v>0</v>
          </cell>
        </row>
        <row r="781">
          <cell r="A781">
            <v>41244</v>
          </cell>
          <cell r="B781" t="str">
            <v>Pintura em látex acrílica em parede externa, sem massa corrida, três demãos</v>
          </cell>
          <cell r="C781" t="str">
            <v>m²</v>
          </cell>
          <cell r="D781" t="str">
            <v>20,13</v>
          </cell>
          <cell r="E781">
            <v>0</v>
          </cell>
        </row>
        <row r="782">
          <cell r="A782">
            <v>43328</v>
          </cell>
          <cell r="B782" t="str">
            <v>Pintura logomarca DER-ES em mourões de concreto ( baixo relevo )</v>
          </cell>
          <cell r="C782" t="str">
            <v>un</v>
          </cell>
          <cell r="D782" t="str">
            <v>9,94</v>
          </cell>
          <cell r="E782">
            <v>0</v>
          </cell>
        </row>
        <row r="783">
          <cell r="A783">
            <v>40909</v>
          </cell>
          <cell r="B783" t="str">
            <v>Porteira, confecção e colocação, inclusive fornecimento e transporte da madeira e chapa de aço</v>
          </cell>
          <cell r="C783" t="str">
            <v>un</v>
          </cell>
          <cell r="D783" t="str">
            <v>2.468,85</v>
          </cell>
          <cell r="E783" t="str">
            <v>A incluir</v>
          </cell>
        </row>
        <row r="784">
          <cell r="A784">
            <v>41237</v>
          </cell>
          <cell r="B784" t="str">
            <v>Poste de iluminação urbana com luminária tipo chapeú chinês</v>
          </cell>
          <cell r="C784" t="str">
            <v>un</v>
          </cell>
          <cell r="D784" t="str">
            <v>1.579,96</v>
          </cell>
          <cell r="E784" t="str">
            <v>A incluir</v>
          </cell>
        </row>
        <row r="785">
          <cell r="A785">
            <v>41140</v>
          </cell>
          <cell r="B785" t="str">
            <v>Poste galvanizado 101mm simples, fornecimento e instalação</v>
          </cell>
          <cell r="C785" t="str">
            <v>un</v>
          </cell>
          <cell r="D785" t="str">
            <v>1.123,63</v>
          </cell>
          <cell r="E785">
            <v>0</v>
          </cell>
        </row>
        <row r="786">
          <cell r="A786">
            <v>41139</v>
          </cell>
          <cell r="B786" t="str">
            <v>Poste galvanizado 114 mm - 1boca, fornecimento e instalação</v>
          </cell>
          <cell r="C786" t="str">
            <v>un</v>
          </cell>
          <cell r="D786" t="str">
            <v>1.632,89</v>
          </cell>
          <cell r="E786">
            <v>0</v>
          </cell>
        </row>
        <row r="787">
          <cell r="A787">
            <v>41138</v>
          </cell>
          <cell r="B787" t="str">
            <v>Poste galvanizado 114mm - 2 bocas, fornecimento e instalação</v>
          </cell>
          <cell r="C787" t="str">
            <v>un</v>
          </cell>
          <cell r="D787" t="str">
            <v>1.820,91</v>
          </cell>
          <cell r="E787">
            <v>0</v>
          </cell>
        </row>
        <row r="788">
          <cell r="A788">
            <v>41246</v>
          </cell>
          <cell r="B788" t="str">
            <v>Rampa de pedestres, com piso em ladrilho hidráulico podotátil</v>
          </cell>
          <cell r="C788" t="str">
            <v>m</v>
          </cell>
          <cell r="D788" t="str">
            <v>43,87</v>
          </cell>
          <cell r="E788" t="str">
            <v>A incluir</v>
          </cell>
        </row>
        <row r="789">
          <cell r="A789">
            <v>40943</v>
          </cell>
          <cell r="B789" t="str">
            <v>Rampa em pedra de mão (pé de moleque) argamassada e travada</v>
          </cell>
          <cell r="C789" t="str">
            <v>m</v>
          </cell>
          <cell r="D789" t="str">
            <v>40,58</v>
          </cell>
          <cell r="E789" t="str">
            <v>A incluir</v>
          </cell>
        </row>
        <row r="790">
          <cell r="A790">
            <v>40922</v>
          </cell>
          <cell r="B790" t="str">
            <v>Remoção de camada vegetal</v>
          </cell>
          <cell r="C790" t="str">
            <v>m³</v>
          </cell>
          <cell r="D790" t="str">
            <v>4,45</v>
          </cell>
          <cell r="E790">
            <v>0</v>
          </cell>
        </row>
        <row r="791">
          <cell r="A791">
            <v>40914</v>
          </cell>
          <cell r="B791" t="str">
            <v>Retirada de Defensa Metálica</v>
          </cell>
          <cell r="C791" t="str">
            <v>m</v>
          </cell>
          <cell r="D791" t="str">
            <v>13,58</v>
          </cell>
          <cell r="E791" t="str">
            <v>A incluir</v>
          </cell>
        </row>
        <row r="792">
          <cell r="A792">
            <v>40913</v>
          </cell>
          <cell r="B792" t="str">
            <v>Retirada e recolocação de alambrado</v>
          </cell>
          <cell r="C792" t="str">
            <v>m</v>
          </cell>
          <cell r="D792" t="str">
            <v>91,51</v>
          </cell>
          <cell r="E792">
            <v>0</v>
          </cell>
        </row>
        <row r="793">
          <cell r="A793">
            <v>41191</v>
          </cell>
          <cell r="B793" t="str">
            <v>Sistema cercamento tipo Gradil Nylofor 3DPintura Simples (preto, verde ou branco), # 50x200m, fio 5,0mm, L-&gt;2,50m, H-&gt;2,03m, incl. forn./chumb. postes</v>
          </cell>
          <cell r="C793" t="str">
            <v>m</v>
          </cell>
          <cell r="D793" t="str">
            <v>301,96</v>
          </cell>
          <cell r="E793" t="str">
            <v>A incluir</v>
          </cell>
        </row>
        <row r="794">
          <cell r="A794">
            <v>40947</v>
          </cell>
          <cell r="B794" t="str">
            <v>Sumidouro cilíndrico pré-moldado diam. 2,00m com 5 anéis inclusive escavação</v>
          </cell>
          <cell r="C794" t="str">
            <v>un</v>
          </cell>
          <cell r="D794" t="str">
            <v>3.003,63</v>
          </cell>
          <cell r="E794" t="str">
            <v>A incluir</v>
          </cell>
        </row>
        <row r="795">
          <cell r="A795">
            <v>43329</v>
          </cell>
          <cell r="B795" t="str">
            <v>Suporte de concreto armado ( 15x15x280 ) com logomarca pintada em baixo relevo</v>
          </cell>
          <cell r="C795" t="str">
            <v>un</v>
          </cell>
          <cell r="D795" t="str">
            <v>170,15</v>
          </cell>
          <cell r="E795" t="str">
            <v>A incluir</v>
          </cell>
        </row>
        <row r="796">
          <cell r="A796">
            <v>0</v>
          </cell>
          <cell r="B796">
            <v>0</v>
          </cell>
          <cell r="C796">
            <v>0</v>
          </cell>
          <cell r="E796" t="e">
            <v>#N/A</v>
          </cell>
        </row>
        <row r="797">
          <cell r="A797">
            <v>42050</v>
          </cell>
          <cell r="B797" t="str">
            <v>Tela de aço galvanizado ,em malha hexagonal de dupla torção, tipo 8,0cm x 10,0cm, com fios de diâmetro 2,7mm, tudo incluído, fornecimento e execução</v>
          </cell>
          <cell r="C797" t="str">
            <v>m²</v>
          </cell>
          <cell r="D797" t="str">
            <v>89,30</v>
          </cell>
          <cell r="E797" t="str">
            <v>A incluir</v>
          </cell>
        </row>
        <row r="798">
          <cell r="A798">
            <v>0</v>
          </cell>
          <cell r="B798">
            <v>0</v>
          </cell>
          <cell r="C798">
            <v>0</v>
          </cell>
          <cell r="E798" t="e">
            <v>#N/A</v>
          </cell>
        </row>
        <row r="799">
          <cell r="A799" t="str">
            <v>Grupo de Serviço: 8 - SERVIÇOS AMBIENTAIS</v>
          </cell>
          <cell r="B799">
            <v>0</v>
          </cell>
          <cell r="C799">
            <v>0</v>
          </cell>
          <cell r="E799" t="e">
            <v>#N/A</v>
          </cell>
        </row>
        <row r="800">
          <cell r="A800">
            <v>42203</v>
          </cell>
          <cell r="B800" t="str">
            <v>Arborização para paisagismo ( mudas viveiro de espera) com altura maior que 150 cm</v>
          </cell>
          <cell r="C800" t="str">
            <v>un</v>
          </cell>
          <cell r="D800" t="str">
            <v>106,40</v>
          </cell>
          <cell r="E800" t="str">
            <v>A incluir</v>
          </cell>
        </row>
        <row r="801">
          <cell r="A801">
            <v>42202</v>
          </cell>
          <cell r="B801" t="str">
            <v>Arborização para paisagismo (mudas viveiro de espera) com altura até 150 cm</v>
          </cell>
          <cell r="C801" t="str">
            <v>un</v>
          </cell>
          <cell r="D801" t="str">
            <v>85,33</v>
          </cell>
          <cell r="E801" t="str">
            <v>A incluir</v>
          </cell>
        </row>
        <row r="802">
          <cell r="A802">
            <v>42041</v>
          </cell>
          <cell r="B802" t="str">
            <v>Barreira de Siltagem com escoras de eucalipto, diâm. 0,10m e a altura 1,60m, espaçadas a cada 2,0 m, 1 reaproveitamento</v>
          </cell>
          <cell r="C802" t="str">
            <v>m</v>
          </cell>
          <cell r="D802" t="str">
            <v>20,45</v>
          </cell>
          <cell r="E802" t="str">
            <v>A incluir</v>
          </cell>
        </row>
        <row r="803">
          <cell r="A803">
            <v>42199</v>
          </cell>
          <cell r="B803" t="str">
            <v>Conformação manual de taludes</v>
          </cell>
          <cell r="C803" t="str">
            <v>m²</v>
          </cell>
          <cell r="D803" t="str">
            <v>1,29</v>
          </cell>
          <cell r="E803">
            <v>0</v>
          </cell>
        </row>
        <row r="804">
          <cell r="A804">
            <v>42210</v>
          </cell>
          <cell r="B804" t="str">
            <v>Grama em placas em taludes com estacas de madeira, fornecimento e plantio</v>
          </cell>
          <cell r="C804" t="str">
            <v>m²</v>
          </cell>
          <cell r="D804" t="str">
            <v>18,23</v>
          </cell>
          <cell r="E804" t="str">
            <v>A incluir</v>
          </cell>
        </row>
        <row r="805">
          <cell r="A805">
            <v>42206</v>
          </cell>
          <cell r="B805" t="str">
            <v>Grama em placas, fornecimento e plantio (sem fixação com estacas)</v>
          </cell>
          <cell r="C805" t="str">
            <v>m²</v>
          </cell>
          <cell r="D805" t="str">
            <v>14,19</v>
          </cell>
          <cell r="E805" t="str">
            <v>A incluir</v>
          </cell>
        </row>
        <row r="806">
          <cell r="A806">
            <v>42208</v>
          </cell>
          <cell r="B806" t="str">
            <v>Gramínea em leiva, extração</v>
          </cell>
          <cell r="C806" t="str">
            <v>m²</v>
          </cell>
          <cell r="D806" t="str">
            <v>1,52</v>
          </cell>
          <cell r="E806">
            <v>0</v>
          </cell>
        </row>
        <row r="807">
          <cell r="A807">
            <v>42209</v>
          </cell>
          <cell r="B807" t="str">
            <v>Gramínea em leiva, extração, plantio e transporte</v>
          </cell>
          <cell r="C807" t="str">
            <v>m²</v>
          </cell>
          <cell r="D807" t="str">
            <v>6,75</v>
          </cell>
          <cell r="E807" t="str">
            <v>A incluir</v>
          </cell>
        </row>
        <row r="808">
          <cell r="A808">
            <v>42207</v>
          </cell>
          <cell r="B808" t="str">
            <v>Gramíneas em sementes, fornecimento e plantio a lanço</v>
          </cell>
          <cell r="C808" t="str">
            <v>m²</v>
          </cell>
          <cell r="D808" t="str">
            <v>2,96</v>
          </cell>
          <cell r="E808">
            <v>0</v>
          </cell>
        </row>
        <row r="809">
          <cell r="A809">
            <v>42200</v>
          </cell>
          <cell r="B809" t="str">
            <v>Hidrossemeadura simples em taludes</v>
          </cell>
          <cell r="C809" t="str">
            <v>m²</v>
          </cell>
          <cell r="D809" t="str">
            <v>5,80</v>
          </cell>
          <cell r="E809">
            <v>0</v>
          </cell>
        </row>
        <row r="810">
          <cell r="A810">
            <v>42201</v>
          </cell>
          <cell r="B810" t="str">
            <v>Hidrossemeadura simples em terrenos planos</v>
          </cell>
          <cell r="C810" t="str">
            <v>m²</v>
          </cell>
          <cell r="D810" t="str">
            <v>4,44</v>
          </cell>
          <cell r="E810">
            <v>0</v>
          </cell>
        </row>
        <row r="811">
          <cell r="A811">
            <v>41247</v>
          </cell>
          <cell r="B811" t="str">
            <v>Recomposição de talude de corte com aterro de solo argiloso compactado, exclusive material de aterro</v>
          </cell>
          <cell r="C811" t="str">
            <v>m³</v>
          </cell>
          <cell r="D811" t="str">
            <v>49,76</v>
          </cell>
          <cell r="E811">
            <v>0</v>
          </cell>
        </row>
        <row r="812">
          <cell r="A812">
            <v>42204</v>
          </cell>
          <cell r="B812" t="str">
            <v>Reflorestamento com espécies nativas da mata atlântica, mudas em sacolas ou tubetes</v>
          </cell>
          <cell r="C812" t="str">
            <v>un</v>
          </cell>
          <cell r="D812" t="str">
            <v>31,83</v>
          </cell>
          <cell r="E812" t="str">
            <v>A incluir</v>
          </cell>
        </row>
        <row r="813">
          <cell r="A813">
            <v>42044</v>
          </cell>
          <cell r="B813" t="str">
            <v>Reunião de Comunicação Social inclusive material de consumo</v>
          </cell>
          <cell r="C813" t="str">
            <v>un</v>
          </cell>
          <cell r="D813" t="str">
            <v>4.564,14</v>
          </cell>
          <cell r="E813">
            <v>0</v>
          </cell>
        </row>
        <row r="814">
          <cell r="A814">
            <v>40102</v>
          </cell>
          <cell r="B814" t="str">
            <v>Revestimento vegetal com grama em placas, inclusive transporte de grama</v>
          </cell>
          <cell r="C814" t="str">
            <v>m²</v>
          </cell>
          <cell r="D814" t="str">
            <v>13,53</v>
          </cell>
          <cell r="E814" t="str">
            <v>A incluir</v>
          </cell>
        </row>
        <row r="815">
          <cell r="A815">
            <v>42039</v>
          </cell>
          <cell r="B815" t="str">
            <v>Revestimento vegetal por hidrossemeadura com manta de fibras vegetais</v>
          </cell>
          <cell r="C815" t="str">
            <v>m²</v>
          </cell>
          <cell r="D815" t="str">
            <v>15,58</v>
          </cell>
          <cell r="E815" t="str">
            <v>A incluir</v>
          </cell>
        </row>
        <row r="816">
          <cell r="A816">
            <v>42205</v>
          </cell>
          <cell r="B816" t="str">
            <v>Roçada para manutenção de mudas</v>
          </cell>
          <cell r="C816" t="str">
            <v>m²</v>
          </cell>
          <cell r="D816" t="str">
            <v>1,24</v>
          </cell>
          <cell r="E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e">
            <v>#N/A</v>
          </cell>
        </row>
        <row r="818">
          <cell r="A818" t="str">
            <v>Grupo de Serviço: 10 - SINALIZAÇÃO</v>
          </cell>
          <cell r="B818">
            <v>0</v>
          </cell>
          <cell r="C818">
            <v>0</v>
          </cell>
          <cell r="E818" t="e">
            <v>#N/A</v>
          </cell>
        </row>
        <row r="819">
          <cell r="A819">
            <v>41153</v>
          </cell>
          <cell r="B819" t="str">
            <v>Abraçadeira para fixação de semáforo em braço/coluna de diâmetro 101 ou 114 mm</v>
          </cell>
          <cell r="C819" t="str">
            <v>un</v>
          </cell>
          <cell r="D819" t="str">
            <v>63,29</v>
          </cell>
          <cell r="E819">
            <v>0</v>
          </cell>
        </row>
        <row r="820">
          <cell r="A820">
            <v>41409</v>
          </cell>
          <cell r="B820" t="str">
            <v>Anteparo 3 x 300 mm, fornecimento e instalação</v>
          </cell>
          <cell r="C820" t="str">
            <v>un</v>
          </cell>
          <cell r="D820" t="str">
            <v>310,20</v>
          </cell>
          <cell r="E820">
            <v>0</v>
          </cell>
        </row>
        <row r="821">
          <cell r="A821">
            <v>40928</v>
          </cell>
          <cell r="B821" t="str">
            <v>Balizador de concreto ( fornecimento e assentamento )</v>
          </cell>
          <cell r="C821" t="str">
            <v>un</v>
          </cell>
          <cell r="D821" t="str">
            <v>37,41</v>
          </cell>
          <cell r="E821" t="str">
            <v>A incluir</v>
          </cell>
        </row>
        <row r="822">
          <cell r="A822">
            <v>41408</v>
          </cell>
          <cell r="B822" t="str">
            <v>Botoeira com sinal sonoro, fornecimento e instalação</v>
          </cell>
          <cell r="C822" t="str">
            <v>un</v>
          </cell>
          <cell r="D822" t="str">
            <v>2.819,95</v>
          </cell>
          <cell r="E822">
            <v>0</v>
          </cell>
        </row>
        <row r="823">
          <cell r="A823">
            <v>41147</v>
          </cell>
          <cell r="B823" t="str">
            <v>Cabos para rede de dados (sincronismo) blindado 2 x 20 awg, fornecimento e instalação</v>
          </cell>
          <cell r="C823" t="str">
            <v>m</v>
          </cell>
          <cell r="D823" t="str">
            <v>8,25</v>
          </cell>
          <cell r="E823">
            <v>0</v>
          </cell>
        </row>
        <row r="824">
          <cell r="A824">
            <v>42046</v>
          </cell>
          <cell r="B824" t="str">
            <v>Cones para sinalização, fornecimento e colocação</v>
          </cell>
          <cell r="C824" t="str">
            <v>un</v>
          </cell>
          <cell r="D824" t="str">
            <v>16,48</v>
          </cell>
          <cell r="E824">
            <v>0</v>
          </cell>
        </row>
        <row r="825">
          <cell r="A825">
            <v>41407</v>
          </cell>
          <cell r="B825" t="str">
            <v>Controlador Eletrônico Microprocessado 4 fases, fornecimento e instalação</v>
          </cell>
          <cell r="C825" t="str">
            <v>un</v>
          </cell>
          <cell r="D825" t="str">
            <v>14.820,36</v>
          </cell>
          <cell r="E825">
            <v>0</v>
          </cell>
        </row>
        <row r="826">
          <cell r="A826">
            <v>41146</v>
          </cell>
          <cell r="B826" t="str">
            <v>Controlador Eletrônico Microprocessado 6/6 fases, fornecimento e instalação</v>
          </cell>
          <cell r="C826" t="str">
            <v>un</v>
          </cell>
          <cell r="D826" t="str">
            <v>15.857,26</v>
          </cell>
          <cell r="E826">
            <v>0</v>
          </cell>
        </row>
        <row r="827">
          <cell r="A827">
            <v>41017</v>
          </cell>
          <cell r="B827" t="str">
            <v>Defensa de concreto tipo New Jersey, fornecimento e colocação</v>
          </cell>
          <cell r="C827" t="str">
            <v>m</v>
          </cell>
          <cell r="D827" t="str">
            <v>429,68</v>
          </cell>
          <cell r="E827">
            <v>0</v>
          </cell>
        </row>
        <row r="828">
          <cell r="A828">
            <v>40929</v>
          </cell>
          <cell r="B828" t="str">
            <v>Defensa metálica (1 lâmina com espessura -&gt; 3 mm), fornecimento e colocação</v>
          </cell>
          <cell r="C828" t="str">
            <v>m</v>
          </cell>
          <cell r="D828" t="str">
            <v>246,08</v>
          </cell>
          <cell r="E828" t="str">
            <v>A incluir</v>
          </cell>
        </row>
        <row r="829">
          <cell r="A829">
            <v>41203</v>
          </cell>
          <cell r="B829" t="str">
            <v>Defensa metálica (2 lâminas com espessuras -&gt; 3mm) inclusive acessórios, fornecimento e colocação</v>
          </cell>
          <cell r="C829" t="str">
            <v>m</v>
          </cell>
          <cell r="D829" t="str">
            <v>486,61</v>
          </cell>
          <cell r="E829" t="str">
            <v>A incluir</v>
          </cell>
        </row>
        <row r="830">
          <cell r="A830">
            <v>42047</v>
          </cell>
          <cell r="B830" t="str">
            <v>Elementos de madeira para sinalização - cavaletes</v>
          </cell>
          <cell r="C830" t="str">
            <v>un</v>
          </cell>
          <cell r="D830" t="str">
            <v>43,60</v>
          </cell>
          <cell r="E830">
            <v>0</v>
          </cell>
        </row>
        <row r="831">
          <cell r="A831">
            <v>41145</v>
          </cell>
          <cell r="B831" t="str">
            <v>Grupo focal gradativo (semáforo com informação de tempo), fornecimento e instalação</v>
          </cell>
          <cell r="C831" t="str">
            <v>un</v>
          </cell>
          <cell r="D831" t="str">
            <v>9.436,41</v>
          </cell>
          <cell r="E831">
            <v>0</v>
          </cell>
        </row>
        <row r="832">
          <cell r="A832">
            <v>41141</v>
          </cell>
          <cell r="B832" t="str">
            <v>Grupo focal repetidor 2x200 mm, fornecimento e instalação</v>
          </cell>
          <cell r="C832" t="str">
            <v>un</v>
          </cell>
          <cell r="D832" t="str">
            <v>1.578,03</v>
          </cell>
          <cell r="E832">
            <v>0</v>
          </cell>
        </row>
        <row r="833">
          <cell r="A833">
            <v>41142</v>
          </cell>
          <cell r="B833" t="str">
            <v>Grupo focal repetidor 3x200 mm, fornecimento e instalação</v>
          </cell>
          <cell r="C833" t="str">
            <v>un</v>
          </cell>
          <cell r="D833" t="str">
            <v>2.610,74</v>
          </cell>
          <cell r="E833">
            <v>0</v>
          </cell>
        </row>
        <row r="834">
          <cell r="A834">
            <v>41143</v>
          </cell>
          <cell r="B834" t="str">
            <v>Grupo focal repetidor 3x300 mm, fornecimento e instalação</v>
          </cell>
          <cell r="C834" t="str">
            <v>un</v>
          </cell>
          <cell r="D834" t="str">
            <v>3.568,49</v>
          </cell>
          <cell r="E834">
            <v>0</v>
          </cell>
        </row>
        <row r="835">
          <cell r="A835">
            <v>43162</v>
          </cell>
          <cell r="B835" t="str">
            <v>Ondulação transversal em CBUQ</v>
          </cell>
          <cell r="C835" t="str">
            <v>m</v>
          </cell>
          <cell r="D835" t="str">
            <v>238,54</v>
          </cell>
          <cell r="E835" t="str">
            <v>A incluir</v>
          </cell>
        </row>
        <row r="836">
          <cell r="A836">
            <v>40931</v>
          </cell>
          <cell r="B836" t="str">
            <v>Ondulação transversal em concreto</v>
          </cell>
          <cell r="C836" t="str">
            <v>m²</v>
          </cell>
          <cell r="D836" t="str">
            <v>192,86</v>
          </cell>
          <cell r="E836" t="str">
            <v>A incluir</v>
          </cell>
        </row>
        <row r="837">
          <cell r="A837">
            <v>41526</v>
          </cell>
          <cell r="B837" t="str">
            <v>Pintura acrílica sobre capa asfáltica</v>
          </cell>
          <cell r="C837" t="str">
            <v>m²</v>
          </cell>
          <cell r="D837" t="str">
            <v>9,04</v>
          </cell>
          <cell r="E837" t="str">
            <v>A incluir</v>
          </cell>
        </row>
        <row r="838">
          <cell r="A838">
            <v>42524</v>
          </cell>
          <cell r="B838" t="str">
            <v>Pintura de setas e zebrados em material termoplástico - 5 anos ( por extrusão)</v>
          </cell>
          <cell r="C838" t="str">
            <v>m²</v>
          </cell>
          <cell r="D838" t="str">
            <v>71,36</v>
          </cell>
          <cell r="E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E839" t="e">
            <v>#N/A</v>
          </cell>
        </row>
        <row r="840">
          <cell r="A840">
            <v>40938</v>
          </cell>
          <cell r="B840" t="str">
            <v>Sinalização com chapa em alumínio revestida em película</v>
          </cell>
          <cell r="C840" t="str">
            <v>m²</v>
          </cell>
          <cell r="D840" t="str">
            <v>843,77</v>
          </cell>
          <cell r="E840">
            <v>0</v>
          </cell>
        </row>
        <row r="841">
          <cell r="A841">
            <v>40924</v>
          </cell>
          <cell r="B841" t="str">
            <v>Sinalização horizontal TMD-&gt;200, vida útil 2 a 3 anos, taxa-&gt;0,40 L/m²</v>
          </cell>
          <cell r="C841" t="str">
            <v>m²</v>
          </cell>
          <cell r="D841" t="str">
            <v>12,36</v>
          </cell>
          <cell r="E841" t="str">
            <v>A incluir</v>
          </cell>
        </row>
        <row r="842">
          <cell r="A842">
            <v>40925</v>
          </cell>
          <cell r="B842" t="str">
            <v>Sinalização horizontal TMD-&gt;400, vida útil 2 a 3 anos, taxa-&gt;0,60 L/m²</v>
          </cell>
          <cell r="C842" t="str">
            <v>m²</v>
          </cell>
          <cell r="D842" t="str">
            <v>16,10</v>
          </cell>
          <cell r="E842" t="str">
            <v>A incluir</v>
          </cell>
        </row>
        <row r="843">
          <cell r="A843">
            <v>40926</v>
          </cell>
          <cell r="B843" t="str">
            <v>Sinalização horizontal TMD-&gt;600, vida útil 2 a 3 anos, taxa-&gt;0,80 L/m²</v>
          </cell>
          <cell r="C843" t="str">
            <v>m²</v>
          </cell>
          <cell r="D843" t="str">
            <v>19,84</v>
          </cell>
          <cell r="E843" t="str">
            <v>A incluir</v>
          </cell>
        </row>
        <row r="844">
          <cell r="A844">
            <v>40927</v>
          </cell>
          <cell r="B844" t="str">
            <v>Sinalização horizontal TMD-&gt;600, vida útil 3 anos, taxa-&gt;3,0 kg/m² material termoplástico )</v>
          </cell>
          <cell r="C844" t="str">
            <v>m²</v>
          </cell>
          <cell r="D844" t="str">
            <v>40,13</v>
          </cell>
          <cell r="E844" t="str">
            <v>A incluir</v>
          </cell>
        </row>
        <row r="845">
          <cell r="A845">
            <v>41202</v>
          </cell>
          <cell r="B845" t="str">
            <v>Sinalização noturna ( fio com lâmpada e balde ), fornecimento e instalação</v>
          </cell>
          <cell r="C845" t="str">
            <v>m</v>
          </cell>
          <cell r="D845" t="str">
            <v>22,07</v>
          </cell>
          <cell r="E845">
            <v>0</v>
          </cell>
        </row>
        <row r="846">
          <cell r="A846">
            <v>40937</v>
          </cell>
          <cell r="B846" t="str">
            <v>Sinalização vertical com chapa em esmalte sintético</v>
          </cell>
          <cell r="C846" t="str">
            <v>m²</v>
          </cell>
          <cell r="D846" t="str">
            <v>369,95</v>
          </cell>
          <cell r="E846">
            <v>0</v>
          </cell>
        </row>
        <row r="847">
          <cell r="A847">
            <v>40939</v>
          </cell>
          <cell r="B847" t="str">
            <v>Sinalização vertical com chapa em poliéster (e-&gt;2,3mm) reforçada com fibra de vidro, inclusive suporte de madeira</v>
          </cell>
          <cell r="C847" t="str">
            <v>m²</v>
          </cell>
          <cell r="D847" t="str">
            <v>726,56</v>
          </cell>
          <cell r="E847">
            <v>0</v>
          </cell>
        </row>
        <row r="848">
          <cell r="A848">
            <v>40936</v>
          </cell>
          <cell r="B848" t="str">
            <v>Sinalização vertical com chapa revestida em película, inclusive suporte em madeira</v>
          </cell>
          <cell r="C848" t="str">
            <v>m²</v>
          </cell>
          <cell r="D848" t="str">
            <v>442,51</v>
          </cell>
          <cell r="E848">
            <v>0</v>
          </cell>
        </row>
        <row r="849">
          <cell r="A849">
            <v>40930</v>
          </cell>
          <cell r="B849" t="str">
            <v>Sonorizador</v>
          </cell>
          <cell r="C849" t="str">
            <v>m²</v>
          </cell>
          <cell r="D849" t="str">
            <v>191,33</v>
          </cell>
          <cell r="E849" t="str">
            <v>A incluir</v>
          </cell>
        </row>
        <row r="850">
          <cell r="A850">
            <v>41222</v>
          </cell>
          <cell r="B850" t="str">
            <v>Suporte de placa de sinalização vertical em madeira de 1ª qualidade, pintada, fornecimento e instalação</v>
          </cell>
          <cell r="C850" t="str">
            <v>un</v>
          </cell>
          <cell r="D850" t="str">
            <v>76,13</v>
          </cell>
          <cell r="E850">
            <v>0</v>
          </cell>
        </row>
        <row r="851">
          <cell r="A851">
            <v>40932</v>
          </cell>
          <cell r="B851" t="str">
            <v>Tacha refletiva monodirecional, fornecimento e aplicação</v>
          </cell>
          <cell r="C851" t="str">
            <v>un</v>
          </cell>
          <cell r="D851" t="str">
            <v>18,65</v>
          </cell>
          <cell r="E851">
            <v>0</v>
          </cell>
        </row>
        <row r="852">
          <cell r="A852">
            <v>40934</v>
          </cell>
          <cell r="B852" t="str">
            <v>Tacha refletiva birrefletorizada, fornecimento e aplicação</v>
          </cell>
          <cell r="C852" t="str">
            <v>un</v>
          </cell>
          <cell r="D852" t="str">
            <v>20,49</v>
          </cell>
          <cell r="E852">
            <v>0</v>
          </cell>
        </row>
        <row r="853">
          <cell r="A853">
            <v>40933</v>
          </cell>
          <cell r="B853" t="str">
            <v>Tachão refletivo monodirecional, fornecimento e aplicação</v>
          </cell>
          <cell r="C853" t="str">
            <v>un</v>
          </cell>
          <cell r="D853" t="str">
            <v>47,43</v>
          </cell>
          <cell r="E853">
            <v>0</v>
          </cell>
        </row>
        <row r="854">
          <cell r="A854">
            <v>40935</v>
          </cell>
          <cell r="B854" t="str">
            <v>Tachão refletivo birrefletorizado, fornecimento e aplicação</v>
          </cell>
          <cell r="C854" t="str">
            <v>un</v>
          </cell>
          <cell r="D854" t="str">
            <v>51,81</v>
          </cell>
          <cell r="E854">
            <v>0</v>
          </cell>
        </row>
        <row r="855">
          <cell r="A855">
            <v>41359</v>
          </cell>
          <cell r="B855" t="str">
            <v>Tela de proteção de segurança de PVC cor laranja com suporte para sinalização de obras</v>
          </cell>
          <cell r="C855" t="str">
            <v>m</v>
          </cell>
          <cell r="D855" t="str">
            <v>22,42</v>
          </cell>
          <cell r="E855" t="str">
            <v>A incluir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e">
            <v>#N/A</v>
          </cell>
        </row>
        <row r="857">
          <cell r="A857" t="str">
            <v>Grupo de Serviço: 12 - SERVIÇOS DIVERSOS</v>
          </cell>
          <cell r="B857">
            <v>0</v>
          </cell>
          <cell r="C857">
            <v>0</v>
          </cell>
          <cell r="E857" t="e">
            <v>#N/A</v>
          </cell>
        </row>
        <row r="858">
          <cell r="A858">
            <v>42878</v>
          </cell>
          <cell r="B858" t="str">
            <v>Aluguel de automóvel VW/ Gol (flex) 1,0 ou equivalente, inclusive combustível, sem motorista</v>
          </cell>
          <cell r="C858" t="str">
            <v>mês</v>
          </cell>
          <cell r="D858" t="str">
            <v>4.102,03</v>
          </cell>
          <cell r="E858">
            <v>0</v>
          </cell>
        </row>
        <row r="859">
          <cell r="A859">
            <v>42888</v>
          </cell>
          <cell r="B859" t="str">
            <v>Aluguel mensal de automóvel utilitário inclusive combustível, exclusive motorista</v>
          </cell>
          <cell r="C859" t="str">
            <v>mês</v>
          </cell>
          <cell r="D859" t="str">
            <v>5.580,57</v>
          </cell>
          <cell r="E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E860" t="e">
            <v>#N/A</v>
          </cell>
        </row>
        <row r="861">
          <cell r="A861" t="str">
            <v>Grupo de Serviço: 15 - CONSERVAÇÃO CORRETIVA ROTINEIRA</v>
          </cell>
          <cell r="B861">
            <v>0</v>
          </cell>
          <cell r="C861">
            <v>0</v>
          </cell>
          <cell r="E861" t="e">
            <v>#N/A</v>
          </cell>
        </row>
        <row r="862">
          <cell r="A862">
            <v>40981</v>
          </cell>
          <cell r="B862" t="str">
            <v>Aplicação de jato de ar comprimido para limpeza de trincas</v>
          </cell>
          <cell r="C862" t="str">
            <v>m²</v>
          </cell>
          <cell r="D862" t="str">
            <v>1,43</v>
          </cell>
          <cell r="E862">
            <v>0</v>
          </cell>
        </row>
        <row r="863">
          <cell r="A863">
            <v>40101</v>
          </cell>
          <cell r="B863" t="str">
            <v>Arborização (mudas de árvores com altura até 1,50 m)</v>
          </cell>
          <cell r="C863" t="str">
            <v>un</v>
          </cell>
          <cell r="D863" t="str">
            <v>131,92</v>
          </cell>
          <cell r="E863">
            <v>0</v>
          </cell>
        </row>
        <row r="864">
          <cell r="A864">
            <v>40110</v>
          </cell>
          <cell r="B864" t="str">
            <v>Base de solo estabilizada granulométricamente sem mistura inclusive escavação e carga</v>
          </cell>
          <cell r="C864" t="str">
            <v>m³</v>
          </cell>
          <cell r="D864" t="str">
            <v>29,07</v>
          </cell>
          <cell r="E864">
            <v>0</v>
          </cell>
        </row>
        <row r="865">
          <cell r="A865">
            <v>40137</v>
          </cell>
          <cell r="B865" t="str">
            <v>Boca de bueiro tubular em concreto ciclópico inclusive escavação, tudo incluído</v>
          </cell>
          <cell r="C865" t="str">
            <v>un</v>
          </cell>
          <cell r="D865" t="str">
            <v>1.449,84</v>
          </cell>
          <cell r="E865" t="str">
            <v>A incluir</v>
          </cell>
        </row>
        <row r="866">
          <cell r="A866">
            <v>40138</v>
          </cell>
          <cell r="B866" t="str">
            <v>Caixa coletora em concreto fck-&gt;10,0 MPa inclusive escavação, tudo incluído</v>
          </cell>
          <cell r="C866" t="str">
            <v>un</v>
          </cell>
          <cell r="D866" t="str">
            <v>2.460,50</v>
          </cell>
          <cell r="E866" t="str">
            <v>A incluir</v>
          </cell>
        </row>
        <row r="867">
          <cell r="A867">
            <v>43336</v>
          </cell>
          <cell r="B867" t="str">
            <v>Capina manual inclusive, limpeza</v>
          </cell>
          <cell r="C867" t="str">
            <v>m²</v>
          </cell>
          <cell r="D867" t="str">
            <v>1,07</v>
          </cell>
          <cell r="E867">
            <v>0</v>
          </cell>
        </row>
        <row r="868">
          <cell r="A868">
            <v>40980</v>
          </cell>
          <cell r="B868" t="str">
            <v>Carga manual de material de limpeza de galerias urbanas</v>
          </cell>
          <cell r="C868" t="str">
            <v>m³</v>
          </cell>
          <cell r="D868" t="str">
            <v>11,44</v>
          </cell>
          <cell r="E868">
            <v>0</v>
          </cell>
        </row>
        <row r="869">
          <cell r="A869">
            <v>40115</v>
          </cell>
          <cell r="B869" t="str">
            <v>CBUQ - Usinagem, aquisição e transporte dos materiais</v>
          </cell>
          <cell r="C869" t="str">
            <v>t</v>
          </cell>
          <cell r="D869" t="str">
            <v>202,32</v>
          </cell>
          <cell r="E869" t="str">
            <v>A incluir</v>
          </cell>
        </row>
        <row r="870">
          <cell r="A870">
            <v>40104</v>
          </cell>
          <cell r="B870" t="str">
            <v>Cerca com mourões de madeira, inclusive escavação e transporte de mourão e arame farpado</v>
          </cell>
          <cell r="C870" t="str">
            <v>m</v>
          </cell>
          <cell r="D870" t="str">
            <v>14,07</v>
          </cell>
          <cell r="E870" t="str">
            <v>A incluir</v>
          </cell>
        </row>
        <row r="871">
          <cell r="A871">
            <v>40143</v>
          </cell>
          <cell r="B871" t="str">
            <v>Colchão drenante de brita 1, inclusive fornecimento, espalhamento, compactação e transporte da brita</v>
          </cell>
          <cell r="C871" t="str">
            <v>m³</v>
          </cell>
          <cell r="D871" t="str">
            <v>96,34</v>
          </cell>
          <cell r="E871" t="str">
            <v>A incluir</v>
          </cell>
        </row>
        <row r="872">
          <cell r="A872">
            <v>40107</v>
          </cell>
          <cell r="B872" t="str">
            <v>Compactação de aterros 100% PN</v>
          </cell>
          <cell r="C872" t="str">
            <v>m³</v>
          </cell>
          <cell r="D872" t="str">
            <v>4,91</v>
          </cell>
          <cell r="E872">
            <v>0</v>
          </cell>
        </row>
        <row r="873">
          <cell r="A873">
            <v>40108</v>
          </cell>
          <cell r="B873" t="str">
            <v>Compactação de subleito</v>
          </cell>
          <cell r="C873" t="str">
            <v>m²</v>
          </cell>
          <cell r="D873" t="str">
            <v>2,37</v>
          </cell>
          <cell r="E873">
            <v>0</v>
          </cell>
        </row>
        <row r="874">
          <cell r="A874">
            <v>40081</v>
          </cell>
          <cell r="B874" t="str">
            <v>Conformação de taludes de corte</v>
          </cell>
          <cell r="C874" t="str">
            <v>m³</v>
          </cell>
          <cell r="D874" t="str">
            <v>7,60</v>
          </cell>
          <cell r="E874">
            <v>0</v>
          </cell>
        </row>
        <row r="875">
          <cell r="A875">
            <v>40136</v>
          </cell>
          <cell r="B875" t="str">
            <v>Corpo e berço de bueiro tubular, inclusive transporte do tubo</v>
          </cell>
          <cell r="C875" t="str">
            <v>m</v>
          </cell>
          <cell r="D875" t="str">
            <v>441,90</v>
          </cell>
          <cell r="E875" t="str">
            <v>A incluir</v>
          </cell>
        </row>
        <row r="876">
          <cell r="A876">
            <v>40096</v>
          </cell>
          <cell r="B876" t="str">
            <v>Defensas metálicas (espessura lâminas -&gt; 3 mm), inclusive fornecimento de materiais, substituição</v>
          </cell>
          <cell r="C876" t="str">
            <v>m</v>
          </cell>
          <cell r="D876" t="str">
            <v>316,24</v>
          </cell>
          <cell r="E876">
            <v>0</v>
          </cell>
        </row>
        <row r="877">
          <cell r="A877">
            <v>40134</v>
          </cell>
          <cell r="B877" t="str">
            <v>Demolição e remoção de estrutura de pavimento inclusive capa asfáltica</v>
          </cell>
          <cell r="C877" t="str">
            <v>m²</v>
          </cell>
          <cell r="D877" t="str">
            <v>4,30</v>
          </cell>
          <cell r="E877">
            <v>0</v>
          </cell>
        </row>
        <row r="878">
          <cell r="A878">
            <v>40105</v>
          </cell>
          <cell r="B878" t="str">
            <v>Desmatamento, destocamento e limpeza</v>
          </cell>
          <cell r="C878" t="str">
            <v>m²</v>
          </cell>
          <cell r="D878" t="str">
            <v>0,57</v>
          </cell>
          <cell r="E878">
            <v>0</v>
          </cell>
        </row>
        <row r="879">
          <cell r="A879">
            <v>40084</v>
          </cell>
          <cell r="B879" t="str">
            <v>Desobstrução manual de valetas</v>
          </cell>
          <cell r="C879" t="str">
            <v>m</v>
          </cell>
          <cell r="D879" t="str">
            <v>1,30</v>
          </cell>
          <cell r="E879">
            <v>0</v>
          </cell>
        </row>
        <row r="880">
          <cell r="A880">
            <v>40144</v>
          </cell>
          <cell r="B880" t="str">
            <v>Dreno profundo D-&gt;0,20 m com enchimento brita e areia, tudo incluído</v>
          </cell>
          <cell r="C880" t="str">
            <v>m</v>
          </cell>
          <cell r="D880" t="str">
            <v>125,97</v>
          </cell>
          <cell r="E880" t="str">
            <v>A incluir</v>
          </cell>
        </row>
        <row r="881">
          <cell r="A881">
            <v>40106</v>
          </cell>
          <cell r="B881" t="str">
            <v>Escavação, carga e transporte de material de 1º categoria</v>
          </cell>
          <cell r="C881" t="str">
            <v>m³</v>
          </cell>
          <cell r="D881" t="str">
            <v>9,22</v>
          </cell>
          <cell r="E881" t="str">
            <v>A incluir</v>
          </cell>
        </row>
        <row r="882">
          <cell r="A882">
            <v>40135</v>
          </cell>
          <cell r="B882" t="str">
            <v>Fresagem de pavimento asfáltico à frio, inclusive transporte do material</v>
          </cell>
          <cell r="C882" t="str">
            <v>m²</v>
          </cell>
          <cell r="D882" t="str">
            <v>10,29</v>
          </cell>
          <cell r="E882">
            <v>0</v>
          </cell>
        </row>
        <row r="883">
          <cell r="A883">
            <v>40111</v>
          </cell>
          <cell r="B883" t="str">
            <v>Imprimação inclusive fornecimento e transporte do CM-30</v>
          </cell>
          <cell r="C883" t="str">
            <v>m²</v>
          </cell>
          <cell r="D883" t="str">
            <v>4,10</v>
          </cell>
          <cell r="E883" t="str">
            <v>A incluir</v>
          </cell>
        </row>
        <row r="884">
          <cell r="A884">
            <v>40126</v>
          </cell>
          <cell r="B884" t="str">
            <v>Lama asfáltica (faixa I - ISSA) (tudo incluído)</v>
          </cell>
          <cell r="C884" t="str">
            <v>m²</v>
          </cell>
          <cell r="D884" t="str">
            <v>2,60</v>
          </cell>
          <cell r="E884" t="str">
            <v>A incluir</v>
          </cell>
        </row>
        <row r="885">
          <cell r="A885">
            <v>40127</v>
          </cell>
          <cell r="B885" t="str">
            <v>Lama asfáltica (faixa II - ISSA) (tudo incluído)</v>
          </cell>
          <cell r="C885" t="str">
            <v>m²</v>
          </cell>
          <cell r="D885" t="str">
            <v>3,47</v>
          </cell>
          <cell r="E885" t="str">
            <v>A incluir</v>
          </cell>
        </row>
        <row r="886">
          <cell r="A886">
            <v>40128</v>
          </cell>
          <cell r="B886" t="str">
            <v>Lama asfáltica (faixa III - ISSA) (tudo incluído)</v>
          </cell>
          <cell r="C886" t="str">
            <v>m²</v>
          </cell>
          <cell r="D886" t="str">
            <v>4,48</v>
          </cell>
          <cell r="E886" t="str">
            <v>A incluir</v>
          </cell>
        </row>
        <row r="887">
          <cell r="A887">
            <v>40129</v>
          </cell>
          <cell r="B887" t="str">
            <v>Lama asfáltica (faixa IV - ISSA) (tudo incluído)</v>
          </cell>
          <cell r="C887" t="str">
            <v>m²</v>
          </cell>
          <cell r="D887" t="str">
            <v>5,91</v>
          </cell>
          <cell r="E887" t="str">
            <v>A incluir</v>
          </cell>
        </row>
        <row r="888">
          <cell r="A888">
            <v>40085</v>
          </cell>
          <cell r="B888" t="str">
            <v>Limpeza de sarjeta e meio-fio</v>
          </cell>
          <cell r="C888" t="str">
            <v>m</v>
          </cell>
          <cell r="D888" t="str">
            <v>0,98</v>
          </cell>
          <cell r="E888">
            <v>0</v>
          </cell>
        </row>
        <row r="889">
          <cell r="A889">
            <v>40086</v>
          </cell>
          <cell r="B889" t="str">
            <v>Limpeza e desobstrução de bueiros</v>
          </cell>
          <cell r="C889" t="str">
            <v>m</v>
          </cell>
          <cell r="D889" t="str">
            <v>22,80</v>
          </cell>
          <cell r="E889">
            <v>0</v>
          </cell>
        </row>
        <row r="890">
          <cell r="A890">
            <v>40087</v>
          </cell>
          <cell r="B890" t="str">
            <v>Limpeza e desobstrução de caixa coletora</v>
          </cell>
          <cell r="C890" t="str">
            <v>un</v>
          </cell>
          <cell r="D890" t="str">
            <v>85,97</v>
          </cell>
          <cell r="E890">
            <v>0</v>
          </cell>
        </row>
        <row r="891">
          <cell r="A891">
            <v>40983</v>
          </cell>
          <cell r="B891" t="str">
            <v>Limpeza e desobstrução de rede de drenagem, utilizando caminhão equipado com conjunto de alta pressão e sucção</v>
          </cell>
          <cell r="C891" t="str">
            <v>m</v>
          </cell>
          <cell r="D891" t="str">
            <v>7,62</v>
          </cell>
          <cell r="E891">
            <v>0</v>
          </cell>
        </row>
        <row r="892">
          <cell r="A892">
            <v>40100</v>
          </cell>
          <cell r="B892" t="str">
            <v>Limpeza e pintura de guarda-corpo</v>
          </cell>
          <cell r="C892" t="str">
            <v>m</v>
          </cell>
          <cell r="D892" t="str">
            <v>71,40</v>
          </cell>
          <cell r="E892">
            <v>0</v>
          </cell>
        </row>
        <row r="893">
          <cell r="A893">
            <v>40141</v>
          </cell>
          <cell r="B893" t="str">
            <v>Meio-fio pré-moldado em concreto, inclusive caiação e transporte do meio-fio</v>
          </cell>
          <cell r="C893" t="str">
            <v>m</v>
          </cell>
          <cell r="D893" t="str">
            <v>45,65</v>
          </cell>
          <cell r="E893" t="str">
            <v>A incluir</v>
          </cell>
        </row>
        <row r="894">
          <cell r="A894">
            <v>40118</v>
          </cell>
          <cell r="B894" t="str">
            <v>Obturação de buracos com CBUQ (tudo incluído)</v>
          </cell>
          <cell r="C894" t="str">
            <v>m²</v>
          </cell>
          <cell r="D894" t="str">
            <v>52,60</v>
          </cell>
          <cell r="E894" t="str">
            <v>A incluir</v>
          </cell>
        </row>
        <row r="895">
          <cell r="A895">
            <v>40116</v>
          </cell>
          <cell r="B895" t="str">
            <v>Obturação de buracos com PMF (tudo incluído)</v>
          </cell>
          <cell r="C895" t="str">
            <v>m²</v>
          </cell>
          <cell r="D895" t="str">
            <v>47,97</v>
          </cell>
          <cell r="E895" t="str">
            <v>A incluir</v>
          </cell>
        </row>
        <row r="896">
          <cell r="A896">
            <v>40117</v>
          </cell>
          <cell r="B896" t="str">
            <v>Obturação de buracos com PMF usinado pelo DER-ES (tudo incluído)</v>
          </cell>
          <cell r="C896" t="str">
            <v>m²</v>
          </cell>
          <cell r="D896" t="str">
            <v>33,34</v>
          </cell>
          <cell r="E896" t="str">
            <v>A incluir</v>
          </cell>
        </row>
        <row r="897">
          <cell r="A897">
            <v>40148</v>
          </cell>
          <cell r="B897" t="str">
            <v>Pintura de dispositivos de drenagem</v>
          </cell>
          <cell r="C897" t="str">
            <v>m</v>
          </cell>
          <cell r="D897" t="str">
            <v>2,54</v>
          </cell>
          <cell r="E897">
            <v>0</v>
          </cell>
        </row>
        <row r="898">
          <cell r="A898">
            <v>40112</v>
          </cell>
          <cell r="B898" t="str">
            <v>Pintura de ligação, inclusive fornecimento e transporte da emulsão</v>
          </cell>
          <cell r="C898" t="str">
            <v>m²</v>
          </cell>
          <cell r="D898" t="str">
            <v>1,62</v>
          </cell>
          <cell r="E898" t="str">
            <v>A incluir</v>
          </cell>
        </row>
        <row r="899">
          <cell r="A899">
            <v>40149</v>
          </cell>
          <cell r="B899" t="str">
            <v>Pintura de pontes a base de cal</v>
          </cell>
          <cell r="C899" t="str">
            <v>m²</v>
          </cell>
          <cell r="D899" t="str">
            <v>5,25</v>
          </cell>
          <cell r="E899">
            <v>0</v>
          </cell>
        </row>
        <row r="900">
          <cell r="A900">
            <v>40094</v>
          </cell>
          <cell r="B900" t="str">
            <v>Placas de sinalização, assentamento</v>
          </cell>
          <cell r="C900" t="str">
            <v>m²</v>
          </cell>
          <cell r="D900" t="str">
            <v>69,61</v>
          </cell>
          <cell r="E900">
            <v>0</v>
          </cell>
        </row>
        <row r="901">
          <cell r="A901">
            <v>40095</v>
          </cell>
          <cell r="B901" t="str">
            <v>Placas de sinalização, inclusive materiais, substituição</v>
          </cell>
          <cell r="C901" t="str">
            <v>m²</v>
          </cell>
          <cell r="D901" t="str">
            <v>476,70</v>
          </cell>
          <cell r="E901" t="str">
            <v>A incluir</v>
          </cell>
        </row>
        <row r="902">
          <cell r="A902">
            <v>40114</v>
          </cell>
          <cell r="B902" t="str">
            <v>PMF - Usinagem, aquisição e transportes dos materiais</v>
          </cell>
          <cell r="C902" t="str">
            <v>t</v>
          </cell>
          <cell r="D902" t="str">
            <v>166,32</v>
          </cell>
          <cell r="E902" t="str">
            <v>A incluir</v>
          </cell>
        </row>
        <row r="903">
          <cell r="A903">
            <v>40130</v>
          </cell>
          <cell r="B903" t="str">
            <v>Recomposição de revestimento c/ CBUQ - Inclusive fornecimento e transporte dos materiais</v>
          </cell>
          <cell r="C903" t="str">
            <v>t</v>
          </cell>
          <cell r="D903" t="str">
            <v>220,87</v>
          </cell>
          <cell r="E903" t="str">
            <v>A incluir</v>
          </cell>
        </row>
        <row r="904">
          <cell r="A904">
            <v>40131</v>
          </cell>
          <cell r="B904" t="str">
            <v>Recomposição de revestimento c/ PMF - Inclusive fornecimento e transporte dos materiais</v>
          </cell>
          <cell r="C904" t="str">
            <v>t</v>
          </cell>
          <cell r="D904" t="str">
            <v>183,02</v>
          </cell>
          <cell r="E904" t="str">
            <v>A incluir</v>
          </cell>
        </row>
        <row r="905">
          <cell r="A905">
            <v>40083</v>
          </cell>
          <cell r="B905" t="str">
            <v>Recomposição de revestimento primário (tudo incluído)</v>
          </cell>
          <cell r="C905" t="str">
            <v>m²</v>
          </cell>
          <cell r="D905" t="str">
            <v>2,30</v>
          </cell>
          <cell r="E905" t="str">
            <v>A incluir</v>
          </cell>
        </row>
        <row r="906">
          <cell r="A906">
            <v>40079</v>
          </cell>
          <cell r="B906" t="str">
            <v>Recomposição mecânica de aterros</v>
          </cell>
          <cell r="C906" t="str">
            <v>m³</v>
          </cell>
          <cell r="D906" t="str">
            <v>20,09</v>
          </cell>
          <cell r="E906" t="str">
            <v>A incluir</v>
          </cell>
        </row>
        <row r="907">
          <cell r="A907">
            <v>40082</v>
          </cell>
          <cell r="B907" t="str">
            <v>Reconformação mecânica de plataforma (patrolamento)</v>
          </cell>
          <cell r="C907" t="str">
            <v>m²</v>
          </cell>
          <cell r="D907" t="str">
            <v>0,09</v>
          </cell>
          <cell r="E907">
            <v>0</v>
          </cell>
        </row>
        <row r="908">
          <cell r="A908">
            <v>40119</v>
          </cell>
          <cell r="B908" t="str">
            <v>Remendo com massa asfáltica fria (tudo incluído)</v>
          </cell>
          <cell r="C908" t="str">
            <v>m²</v>
          </cell>
          <cell r="D908" t="str">
            <v>23,30</v>
          </cell>
          <cell r="E908" t="str">
            <v>A incluir</v>
          </cell>
        </row>
        <row r="909">
          <cell r="A909">
            <v>40122</v>
          </cell>
          <cell r="B909" t="str">
            <v>Remendo com massa asfáltica fria (tudo incluído)</v>
          </cell>
          <cell r="C909" t="str">
            <v>t</v>
          </cell>
          <cell r="D909" t="str">
            <v>263,87</v>
          </cell>
          <cell r="E909" t="str">
            <v>A incluir</v>
          </cell>
        </row>
        <row r="910">
          <cell r="A910">
            <v>40120</v>
          </cell>
          <cell r="B910" t="str">
            <v>Remendo com massa asfáltica fria usinada pelo DER-ES (tudo incluído)</v>
          </cell>
          <cell r="C910" t="str">
            <v>m²</v>
          </cell>
          <cell r="D910" t="str">
            <v>8,67</v>
          </cell>
          <cell r="E910" t="str">
            <v>A incluir</v>
          </cell>
        </row>
        <row r="911">
          <cell r="A911">
            <v>40121</v>
          </cell>
          <cell r="B911" t="str">
            <v>Remendo com massa asfáltica quente (tudo incluído)</v>
          </cell>
          <cell r="C911" t="str">
            <v>m²</v>
          </cell>
          <cell r="D911" t="str">
            <v>27,93</v>
          </cell>
          <cell r="E911" t="str">
            <v>A incluir</v>
          </cell>
        </row>
        <row r="912">
          <cell r="A912">
            <v>40123</v>
          </cell>
          <cell r="B912" t="str">
            <v>Remendo com massa asfáltica quente (tudo incluído)</v>
          </cell>
          <cell r="C912" t="str">
            <v>t</v>
          </cell>
          <cell r="D912" t="str">
            <v>295,54</v>
          </cell>
          <cell r="E912" t="str">
            <v>A incluir</v>
          </cell>
        </row>
        <row r="913">
          <cell r="A913">
            <v>40080</v>
          </cell>
          <cell r="B913" t="str">
            <v>Remoção mecânica de barreiras</v>
          </cell>
          <cell r="C913" t="str">
            <v>m³</v>
          </cell>
          <cell r="D913" t="str">
            <v>1,43</v>
          </cell>
          <cell r="E913" t="str">
            <v>A incluir</v>
          </cell>
        </row>
        <row r="914">
          <cell r="A914">
            <v>40089</v>
          </cell>
          <cell r="B914" t="str">
            <v>Reparo de bueiros celulares (inclusive boca)</v>
          </cell>
          <cell r="C914" t="str">
            <v>un</v>
          </cell>
          <cell r="D914" t="str">
            <v>1.631,35</v>
          </cell>
          <cell r="E914" t="str">
            <v>A incluir</v>
          </cell>
        </row>
        <row r="915">
          <cell r="A915">
            <v>40088</v>
          </cell>
          <cell r="B915" t="str">
            <v>Reparo de bueiros tubulares</v>
          </cell>
          <cell r="C915" t="str">
            <v>un</v>
          </cell>
          <cell r="D915" t="str">
            <v>653,11</v>
          </cell>
          <cell r="E915" t="str">
            <v>A incluir</v>
          </cell>
        </row>
        <row r="916">
          <cell r="A916">
            <v>40092</v>
          </cell>
          <cell r="B916" t="str">
            <v>Reparo de caixa coletora</v>
          </cell>
          <cell r="C916" t="str">
            <v>un</v>
          </cell>
          <cell r="D916" t="str">
            <v>259,58</v>
          </cell>
          <cell r="E916" t="str">
            <v>A incluir</v>
          </cell>
        </row>
        <row r="917">
          <cell r="A917">
            <v>40078</v>
          </cell>
          <cell r="B917" t="str">
            <v>Reparo de cerca ( substituição de mourões, grampo e arame farpado), inclusive transportes de todos os materiais</v>
          </cell>
          <cell r="C917" t="str">
            <v>m</v>
          </cell>
          <cell r="D917" t="str">
            <v>6,39</v>
          </cell>
          <cell r="E917" t="str">
            <v>A incluir</v>
          </cell>
        </row>
        <row r="918">
          <cell r="A918">
            <v>40097</v>
          </cell>
          <cell r="B918" t="str">
            <v>Reparo de guarda-corpo</v>
          </cell>
          <cell r="C918" t="str">
            <v>m</v>
          </cell>
          <cell r="D918" t="str">
            <v>99,72</v>
          </cell>
          <cell r="E918">
            <v>0</v>
          </cell>
        </row>
        <row r="919">
          <cell r="A919">
            <v>40090</v>
          </cell>
          <cell r="B919" t="str">
            <v>Reparo de meio-fio, inclusive caiação</v>
          </cell>
          <cell r="C919" t="str">
            <v>m</v>
          </cell>
          <cell r="D919" t="str">
            <v>26,44</v>
          </cell>
          <cell r="E919" t="str">
            <v>A incluir</v>
          </cell>
        </row>
        <row r="920">
          <cell r="A920">
            <v>40099</v>
          </cell>
          <cell r="B920" t="str">
            <v>Reparo de muros de arrimo</v>
          </cell>
          <cell r="C920" t="str">
            <v>m³</v>
          </cell>
          <cell r="D920" t="str">
            <v>638,80</v>
          </cell>
          <cell r="E920" t="str">
            <v>A incluir</v>
          </cell>
        </row>
        <row r="921">
          <cell r="A921">
            <v>40091</v>
          </cell>
          <cell r="B921" t="str">
            <v>Reparo de sarjeta, inclusive caiação</v>
          </cell>
          <cell r="C921" t="str">
            <v>m</v>
          </cell>
          <cell r="D921" t="str">
            <v>35,73</v>
          </cell>
          <cell r="E921" t="str">
            <v>A incluir</v>
          </cell>
        </row>
        <row r="922">
          <cell r="A922">
            <v>40093</v>
          </cell>
          <cell r="B922" t="str">
            <v>Retirada de placas de sinalização</v>
          </cell>
          <cell r="C922" t="str">
            <v>m²</v>
          </cell>
          <cell r="D922" t="str">
            <v>63,62</v>
          </cell>
          <cell r="E922">
            <v>0</v>
          </cell>
        </row>
        <row r="923">
          <cell r="A923">
            <v>43353</v>
          </cell>
          <cell r="B923" t="str">
            <v>Roçada manual com roçadeira costal, ferramentas manuais, inclusive limpeza e remoção com retroescavadeira (conservação)</v>
          </cell>
          <cell r="C923" t="str">
            <v>m²</v>
          </cell>
          <cell r="D923" t="str">
            <v>0,54</v>
          </cell>
          <cell r="E923">
            <v>0</v>
          </cell>
        </row>
        <row r="924">
          <cell r="A924">
            <v>43337</v>
          </cell>
          <cell r="B924" t="str">
            <v>Roçada manual com roçadeira costal, ferramentas manuais, inclusive limpeza manual (conservação)</v>
          </cell>
          <cell r="C924" t="str">
            <v>m²</v>
          </cell>
          <cell r="D924" t="str">
            <v>0,46</v>
          </cell>
          <cell r="E924">
            <v>0</v>
          </cell>
        </row>
        <row r="925">
          <cell r="A925">
            <v>40077</v>
          </cell>
          <cell r="B925" t="str">
            <v>Roçada mecanizada</v>
          </cell>
          <cell r="C925" t="str">
            <v>m²</v>
          </cell>
          <cell r="D925" t="str">
            <v>0,16</v>
          </cell>
          <cell r="E925">
            <v>0</v>
          </cell>
        </row>
        <row r="926">
          <cell r="A926">
            <v>40142</v>
          </cell>
          <cell r="B926" t="str">
            <v>Sarjeta em concreto fck-&gt;10,0 MPa inclusive caiação, tudo incluído</v>
          </cell>
          <cell r="C926" t="str">
            <v>m</v>
          </cell>
          <cell r="D926" t="str">
            <v>81,84</v>
          </cell>
          <cell r="E926" t="str">
            <v>A incluir</v>
          </cell>
        </row>
        <row r="927">
          <cell r="A927">
            <v>40124</v>
          </cell>
          <cell r="B927" t="str">
            <v>Selagem de trincas, inclusive transporte de areia e emulsão</v>
          </cell>
          <cell r="C927" t="str">
            <v>m²</v>
          </cell>
          <cell r="D927" t="str">
            <v>6,81</v>
          </cell>
          <cell r="E927" t="str">
            <v>A incluir</v>
          </cell>
        </row>
        <row r="928">
          <cell r="A928">
            <v>40146</v>
          </cell>
          <cell r="B928" t="str">
            <v>Sinalização horizontal - taxa 0,6 l/m², tudo incluído</v>
          </cell>
          <cell r="C928" t="str">
            <v>m²</v>
          </cell>
          <cell r="D928" t="str">
            <v>15,46</v>
          </cell>
          <cell r="E928" t="str">
            <v>A incluir</v>
          </cell>
        </row>
        <row r="929">
          <cell r="A929">
            <v>40145</v>
          </cell>
          <cell r="B929" t="str">
            <v>Sinalização vertical, inclusive transporte de placa sinalização e madeira</v>
          </cell>
          <cell r="C929" t="str">
            <v>m²</v>
          </cell>
          <cell r="D929" t="str">
            <v>403,74</v>
          </cell>
          <cell r="E929" t="str">
            <v>A incluir</v>
          </cell>
        </row>
        <row r="930">
          <cell r="A930">
            <v>40109</v>
          </cell>
          <cell r="B930" t="str">
            <v>Sub-base de solo estabilizada granulométricamente sem mistura inclusive escavação e carga</v>
          </cell>
          <cell r="C930" t="str">
            <v>m³</v>
          </cell>
          <cell r="D930" t="str">
            <v>25,58</v>
          </cell>
          <cell r="E930">
            <v>0</v>
          </cell>
        </row>
        <row r="931">
          <cell r="A931">
            <v>40125</v>
          </cell>
          <cell r="B931" t="str">
            <v>Tapa-panela, inclusive transporte de material de 1ª categoria</v>
          </cell>
          <cell r="C931" t="str">
            <v>m²</v>
          </cell>
          <cell r="D931" t="str">
            <v>10,02</v>
          </cell>
          <cell r="E931" t="str">
            <v>A incluir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e">
            <v>#N/A</v>
          </cell>
        </row>
        <row r="933">
          <cell r="A933">
            <v>40113</v>
          </cell>
          <cell r="B933" t="str">
            <v>TSD - Tratamento superficial duplo incl. transporte dos materiais</v>
          </cell>
          <cell r="C933" t="str">
            <v>m²</v>
          </cell>
          <cell r="D933" t="str">
            <v>10,55</v>
          </cell>
          <cell r="E933" t="str">
            <v>A incluir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e">
            <v>#N/A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e">
            <v>#N/A</v>
          </cell>
        </row>
        <row r="936">
          <cell r="A936">
            <v>40140</v>
          </cell>
          <cell r="B936" t="str">
            <v>Valeta em concreto fck-&gt;10,0 MPa, tudo incluído</v>
          </cell>
          <cell r="C936" t="str">
            <v>m</v>
          </cell>
          <cell r="D936" t="str">
            <v>83,48</v>
          </cell>
          <cell r="E936" t="str">
            <v>A incluir</v>
          </cell>
        </row>
        <row r="937">
          <cell r="A937">
            <v>40139</v>
          </cell>
          <cell r="B937" t="str">
            <v>Valeta não revestida</v>
          </cell>
          <cell r="C937" t="str">
            <v>m</v>
          </cell>
          <cell r="D937" t="str">
            <v>8,06</v>
          </cell>
          <cell r="E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e">
            <v>#N/A</v>
          </cell>
        </row>
        <row r="939">
          <cell r="A939" t="str">
            <v>Grupo de Serviço: 18 - ALUGUEL DE EQUIPAMENTOS</v>
          </cell>
          <cell r="B939">
            <v>0</v>
          </cell>
          <cell r="C939">
            <v>0</v>
          </cell>
          <cell r="D939">
            <v>0</v>
          </cell>
          <cell r="E939" t="e">
            <v>#N/A</v>
          </cell>
        </row>
        <row r="940">
          <cell r="A940">
            <v>42186</v>
          </cell>
          <cell r="B940" t="str">
            <v>Aluguel mensal de barco de alumínio 4,20 m com motor 15 HP (equipamentos)</v>
          </cell>
          <cell r="C940" t="str">
            <v>mês</v>
          </cell>
          <cell r="D940" t="str">
            <v>2.356,67</v>
          </cell>
          <cell r="E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</row>
        <row r="942">
          <cell r="A942" t="str">
            <v>Grupo de Serviço: 23 - TRANSPORTE, CARGA E DESCARGA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Grupo de Serviço: 32 - INFRA E MESO-ESTRUTURA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</row>
        <row r="962">
          <cell r="A962">
            <v>41352</v>
          </cell>
          <cell r="B962" t="str">
            <v>Arrasamento estaca concreto D -&gt; 0,80 m com martelete pneumático</v>
          </cell>
          <cell r="C962" t="str">
            <v>un</v>
          </cell>
          <cell r="D962" t="str">
            <v>121,73</v>
          </cell>
          <cell r="E962">
            <v>0</v>
          </cell>
        </row>
        <row r="963">
          <cell r="A963">
            <v>41340</v>
          </cell>
          <cell r="B963" t="str">
            <v>Encamisamento metálico de estacas, diâmetro 380mm em chapa de 6.3mm, preenchido c/ concreto auto adensável (20MPa)</v>
          </cell>
          <cell r="C963" t="str">
            <v>m</v>
          </cell>
          <cell r="D963" t="str">
            <v>623,58</v>
          </cell>
          <cell r="E963">
            <v>0</v>
          </cell>
        </row>
        <row r="964">
          <cell r="A964">
            <v>40331</v>
          </cell>
          <cell r="B964" t="str">
            <v>Escoramento para blocos submersos, inclusive transporte da madeira</v>
          </cell>
          <cell r="C964" t="str">
            <v>m²</v>
          </cell>
          <cell r="D964" t="str">
            <v>74,58</v>
          </cell>
          <cell r="E964" t="str">
            <v>A incluir</v>
          </cell>
        </row>
        <row r="965">
          <cell r="A965">
            <v>40403</v>
          </cell>
          <cell r="B965" t="str">
            <v>Estaca de eucalipto D-&gt; 0,20 m, fornecimento, transporte, cravação e perda</v>
          </cell>
          <cell r="C965" t="str">
            <v>m</v>
          </cell>
          <cell r="D965" t="str">
            <v>150,29</v>
          </cell>
          <cell r="E965" t="str">
            <v>A incluir</v>
          </cell>
        </row>
        <row r="966">
          <cell r="A966">
            <v>40405</v>
          </cell>
          <cell r="B966" t="str">
            <v>Estaca metálica dupla exclusive fornecimento de trilhos</v>
          </cell>
          <cell r="C966" t="str">
            <v>m</v>
          </cell>
          <cell r="D966" t="str">
            <v>204,78</v>
          </cell>
          <cell r="E966">
            <v>0</v>
          </cell>
        </row>
        <row r="967">
          <cell r="A967">
            <v>40408</v>
          </cell>
          <cell r="B967" t="str">
            <v>Estaca metálica, fornecimento, transporte, perdas, solda, emenda, corte e cravação de TR- 68</v>
          </cell>
          <cell r="C967" t="str">
            <v>m</v>
          </cell>
          <cell r="D967" t="str">
            <v>404,76</v>
          </cell>
          <cell r="E967" t="str">
            <v>A incluir</v>
          </cell>
        </row>
        <row r="968">
          <cell r="A968">
            <v>40406</v>
          </cell>
          <cell r="B968" t="str">
            <v>Estaca metálica, fornecimento, transporte, perdas, solda, emenda, corte e cravação de trilho TR- 57</v>
          </cell>
          <cell r="C968" t="str">
            <v>m</v>
          </cell>
          <cell r="D968" t="str">
            <v>367,63</v>
          </cell>
          <cell r="E968" t="str">
            <v>A incluir</v>
          </cell>
        </row>
        <row r="969">
          <cell r="A969">
            <v>40407</v>
          </cell>
          <cell r="B969" t="str">
            <v>Estaca metálica, fornecimento, transporte, perdas, solda, emenda, corte e cravação de 2 TR- 57</v>
          </cell>
          <cell r="C969" t="str">
            <v>m</v>
          </cell>
          <cell r="D969" t="str">
            <v>633,73</v>
          </cell>
          <cell r="E969" t="str">
            <v>A incluir</v>
          </cell>
        </row>
        <row r="970">
          <cell r="A970">
            <v>40409</v>
          </cell>
          <cell r="B970" t="str">
            <v>Estaca metálica, fornecimento, transporte, perdas, solda, emenda, corte e cravação de 2 TR- 68</v>
          </cell>
          <cell r="C970" t="str">
            <v>m</v>
          </cell>
          <cell r="D970" t="str">
            <v>708,00</v>
          </cell>
          <cell r="E970" t="str">
            <v>A incluir</v>
          </cell>
        </row>
        <row r="971">
          <cell r="A971">
            <v>40404</v>
          </cell>
          <cell r="B971" t="str">
            <v>Estaca metálica simples exclusive fornecimento de trilhos</v>
          </cell>
          <cell r="C971" t="str">
            <v>m</v>
          </cell>
          <cell r="D971" t="str">
            <v>140,24</v>
          </cell>
          <cell r="E971">
            <v>0</v>
          </cell>
        </row>
        <row r="972">
          <cell r="A972">
            <v>42051</v>
          </cell>
          <cell r="B972" t="str">
            <v>Estaca raiz perfurada em rocha, diâm. 310mm com injeção de arg. incl. fornecimento de todos materiais</v>
          </cell>
          <cell r="C972" t="str">
            <v>m</v>
          </cell>
          <cell r="D972" t="str">
            <v>857,13</v>
          </cell>
          <cell r="E972" t="str">
            <v>A incluir</v>
          </cell>
        </row>
        <row r="973">
          <cell r="A973">
            <v>42052</v>
          </cell>
          <cell r="B973" t="str">
            <v>Estaca raiz perfurada em solo, diâm. 410mm com injeção de arg. incl. fornecimento de todos materiais</v>
          </cell>
          <cell r="C973" t="str">
            <v>m</v>
          </cell>
          <cell r="D973" t="str">
            <v>482,75</v>
          </cell>
          <cell r="E973" t="str">
            <v>A incluir</v>
          </cell>
        </row>
        <row r="974">
          <cell r="A974">
            <v>40410</v>
          </cell>
          <cell r="B974" t="str">
            <v>Estaca tipo Franki D -&gt; 520 mm</v>
          </cell>
          <cell r="C974" t="str">
            <v>m</v>
          </cell>
          <cell r="D974" t="str">
            <v>347,08</v>
          </cell>
          <cell r="E974" t="str">
            <v>A incluir</v>
          </cell>
        </row>
        <row r="975">
          <cell r="A975">
            <v>40309</v>
          </cell>
          <cell r="B975" t="str">
            <v>Formas planas de madeira sem reaproveitamento (fundações), inclusive fornecimento e transporte das madeiras</v>
          </cell>
          <cell r="C975" t="str">
            <v>m²</v>
          </cell>
          <cell r="D975" t="str">
            <v>162,06</v>
          </cell>
          <cell r="E975" t="str">
            <v>A incluir</v>
          </cell>
        </row>
        <row r="976">
          <cell r="A976">
            <v>41258</v>
          </cell>
          <cell r="B976" t="str">
            <v>Perfuração rotativa inclinada, em solo, com coroa de Widia, diâmetro 150mm</v>
          </cell>
          <cell r="C976" t="str">
            <v>m</v>
          </cell>
          <cell r="D976" t="str">
            <v>177,74</v>
          </cell>
          <cell r="E976">
            <v>0</v>
          </cell>
        </row>
        <row r="977">
          <cell r="A977">
            <v>41034</v>
          </cell>
          <cell r="B977" t="str">
            <v>Perfuração rotativa inclinada, em solo, com coroa de Widia, diâmetro 75mm</v>
          </cell>
          <cell r="C977" t="str">
            <v>m</v>
          </cell>
          <cell r="D977" t="str">
            <v>136,72</v>
          </cell>
          <cell r="E977">
            <v>0</v>
          </cell>
        </row>
        <row r="978">
          <cell r="A978">
            <v>41026</v>
          </cell>
          <cell r="B978" t="str">
            <v>Perfuração rotativa vertical, em solo, com coroa de Widia ou similar, diâmetro H(99mm), inclusive deslocamento e posicionamento em cada furo</v>
          </cell>
          <cell r="C978" t="str">
            <v>m</v>
          </cell>
          <cell r="D978" t="str">
            <v>113,84</v>
          </cell>
          <cell r="E978">
            <v>0</v>
          </cell>
        </row>
        <row r="979">
          <cell r="A979">
            <v>41022</v>
          </cell>
          <cell r="B979" t="str">
            <v>Perfuração rotativa vertical, em solo, com coroa de Widia ou similar, diâmetro N(75mm), inclusive deslocamento e posicionamento em cada furo</v>
          </cell>
          <cell r="C979" t="str">
            <v>m</v>
          </cell>
          <cell r="D979" t="str">
            <v>106,25</v>
          </cell>
          <cell r="E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e">
            <v>#N/A</v>
          </cell>
        </row>
        <row r="981">
          <cell r="A981" t="str">
            <v>Grupo de Serviço: 33 - SUPER-ESTRUTURA</v>
          </cell>
          <cell r="B981">
            <v>0</v>
          </cell>
          <cell r="C981">
            <v>0</v>
          </cell>
          <cell r="E981" t="e">
            <v>#N/A</v>
          </cell>
        </row>
        <row r="982">
          <cell r="A982">
            <v>41403</v>
          </cell>
          <cell r="B982" t="str">
            <v>Passarela metálica p/ pontes rodoviárias com 1,0m de largura, piso em chapa xadez esp 1/4", em perfis laminados, inclusive pintura</v>
          </cell>
          <cell r="C982" t="str">
            <v>m</v>
          </cell>
          <cell r="D982" t="str">
            <v>750,14</v>
          </cell>
          <cell r="E982">
            <v>0</v>
          </cell>
        </row>
        <row r="983">
          <cell r="A983">
            <v>40398</v>
          </cell>
          <cell r="B983" t="str">
            <v>Placas pré-moldadas para forma de tabuleiro de ponte</v>
          </cell>
          <cell r="C983" t="str">
            <v>m²</v>
          </cell>
          <cell r="D983" t="str">
            <v>160,79</v>
          </cell>
          <cell r="E983">
            <v>0</v>
          </cell>
        </row>
        <row r="984">
          <cell r="A984">
            <v>41036</v>
          </cell>
          <cell r="B984" t="str">
            <v>Remoção de superestrutura de pontes com auxilio de guindaste para 40 toneladas</v>
          </cell>
          <cell r="C984" t="str">
            <v>t</v>
          </cell>
          <cell r="D984" t="str">
            <v>97,57</v>
          </cell>
          <cell r="E984">
            <v>0</v>
          </cell>
        </row>
        <row r="985">
          <cell r="A985">
            <v>41194</v>
          </cell>
          <cell r="B985" t="str">
            <v>Sistema de Macaqueamento para super-estrutura de pontes (4 macacos)</v>
          </cell>
          <cell r="C985" t="str">
            <v>un</v>
          </cell>
          <cell r="D985" t="str">
            <v>4.396,82</v>
          </cell>
          <cell r="E985">
            <v>0</v>
          </cell>
        </row>
        <row r="986">
          <cell r="A986">
            <v>41423</v>
          </cell>
          <cell r="B986" t="str">
            <v>Tabuleiro em vigas pré-moldadas CL.45, com ou sem laje entre vigas, vão de 10,00 m, inclusive descarga e assentamento das vigas</v>
          </cell>
          <cell r="C986" t="str">
            <v>m²</v>
          </cell>
          <cell r="D986" t="str">
            <v>2.920,39</v>
          </cell>
          <cell r="E986">
            <v>0</v>
          </cell>
        </row>
        <row r="987">
          <cell r="A987">
            <v>41424</v>
          </cell>
          <cell r="B987" t="str">
            <v>Tabuleiro em vigas pré-moldadas CL.45, com ou sem laje entre vigas, vão de 11,00 m, inclusive descarga e assentamento das vigas</v>
          </cell>
          <cell r="C987" t="str">
            <v>m²</v>
          </cell>
          <cell r="D987" t="str">
            <v>2.866,46</v>
          </cell>
          <cell r="E987">
            <v>0</v>
          </cell>
        </row>
        <row r="988">
          <cell r="A988">
            <v>41425</v>
          </cell>
          <cell r="B988" t="str">
            <v>Tabuleiro em vigas pré-moldadas CL.45, com ou sem laje entre vigas, vão de 12,00 m, inclusive descarga e assentamento das vigas</v>
          </cell>
          <cell r="C988" t="str">
            <v>m²</v>
          </cell>
          <cell r="D988" t="str">
            <v>3.158,68</v>
          </cell>
          <cell r="E988">
            <v>0</v>
          </cell>
        </row>
        <row r="989">
          <cell r="A989">
            <v>41426</v>
          </cell>
          <cell r="B989" t="str">
            <v>Tabuleiro em vigas pré-moldadas CL.45, com ou sem laje entre vigas, vão de 13,00 m, inclusive descarga e assentamento das vigas</v>
          </cell>
          <cell r="C989" t="str">
            <v>m²</v>
          </cell>
          <cell r="D989" t="str">
            <v>3.299,56</v>
          </cell>
          <cell r="E989">
            <v>0</v>
          </cell>
        </row>
        <row r="990">
          <cell r="A990">
            <v>41428</v>
          </cell>
          <cell r="B990" t="str">
            <v>Tabuleiro em vigas pré-moldadas CL.45, com ou sem laje entre vigas, vão de 15,00 m, inclusive descarga e assentamento das vigas</v>
          </cell>
          <cell r="C990" t="str">
            <v>m²</v>
          </cell>
          <cell r="D990" t="str">
            <v>3.418,99</v>
          </cell>
          <cell r="E990">
            <v>0</v>
          </cell>
        </row>
        <row r="991">
          <cell r="A991">
            <v>41417</v>
          </cell>
          <cell r="B991" t="str">
            <v>Tabuleiro em vigas pré-moldadas CL.45, com ou sem laje entre vigas, vão de 4,00 m, inclusive descarga e assentamento das vigas</v>
          </cell>
          <cell r="C991" t="str">
            <v>m²</v>
          </cell>
          <cell r="D991" t="str">
            <v>2.264,55</v>
          </cell>
          <cell r="E991">
            <v>0</v>
          </cell>
        </row>
        <row r="992">
          <cell r="A992">
            <v>41418</v>
          </cell>
          <cell r="B992" t="str">
            <v>Tabuleiro em vigas pré-moldadas CL.45, com ou sem laje entre vigas, vão de 5,00 m, inclusive descarga e assentamento das vigas</v>
          </cell>
          <cell r="C992" t="str">
            <v>m²</v>
          </cell>
          <cell r="D992" t="str">
            <v>2.306,27</v>
          </cell>
          <cell r="E992">
            <v>0</v>
          </cell>
        </row>
        <row r="993">
          <cell r="A993">
            <v>41419</v>
          </cell>
          <cell r="B993" t="str">
            <v>Tabuleiro em vigas pré-moldadas CL.45, com ou sem laje entre vigas, vão de 6,00 m, inclusive descarga e assentamento das vigas</v>
          </cell>
          <cell r="C993" t="str">
            <v>m²</v>
          </cell>
          <cell r="D993" t="str">
            <v>2.367,48</v>
          </cell>
          <cell r="E993">
            <v>0</v>
          </cell>
        </row>
        <row r="994">
          <cell r="A994">
            <v>41420</v>
          </cell>
          <cell r="B994" t="str">
            <v>Tabuleiro em vigas pré-moldadas CL.45, com ou sem laje entre vigas, vão de 7,00 m, inclusive descarga e assentamento das vigas</v>
          </cell>
          <cell r="C994" t="str">
            <v>m²</v>
          </cell>
          <cell r="D994" t="str">
            <v>2.657,25</v>
          </cell>
          <cell r="E994">
            <v>0</v>
          </cell>
        </row>
        <row r="995">
          <cell r="A995">
            <v>41421</v>
          </cell>
          <cell r="B995" t="str">
            <v>Tabuleiro em vigas pré-moldadas CL.45, com ou sem laje entre vigas, vão de 8,00 m, inclusive descarga e assentamento das vigas</v>
          </cell>
          <cell r="C995" t="str">
            <v>m²</v>
          </cell>
          <cell r="D995" t="str">
            <v>2.844,54</v>
          </cell>
          <cell r="E995">
            <v>0</v>
          </cell>
        </row>
        <row r="996">
          <cell r="A996">
            <v>41422</v>
          </cell>
          <cell r="B996" t="str">
            <v>Tabuleiro em vigas pré-moldadas CL.45, com ou sem laje entre vigas, vão de 9,00 m, inclusive descarga e assentamento das vigas</v>
          </cell>
          <cell r="C996" t="str">
            <v>m²</v>
          </cell>
          <cell r="D996" t="str">
            <v>2.934,40</v>
          </cell>
          <cell r="E996">
            <v>0</v>
          </cell>
        </row>
        <row r="997">
          <cell r="A997">
            <v>41427</v>
          </cell>
          <cell r="B997" t="str">
            <v>Tabuleiro em vigas pré-moldadas CL.45, com ou sem laje entre vigas, vão 14,00 m, inclusive descarga e assentamento das vigas</v>
          </cell>
          <cell r="C997" t="str">
            <v>m²</v>
          </cell>
          <cell r="D997" t="str">
            <v>3.383,08</v>
          </cell>
          <cell r="E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e">
            <v>#N/A</v>
          </cell>
        </row>
        <row r="999">
          <cell r="A999" t="str">
            <v>Grupo de Serviço: 37 - OBRAS DE ARTE ESPECIAIS</v>
          </cell>
          <cell r="B999">
            <v>0</v>
          </cell>
          <cell r="C999">
            <v>0</v>
          </cell>
          <cell r="E999" t="e">
            <v>#N/A</v>
          </cell>
        </row>
        <row r="1000">
          <cell r="A1000">
            <v>40381</v>
          </cell>
          <cell r="B1000" t="str">
            <v>Acabamento em concreto fresco (15,0 MPA), para pavimento, inclusive endurecedor químico de superfície</v>
          </cell>
          <cell r="C1000" t="str">
            <v>m²</v>
          </cell>
          <cell r="D1000" t="str">
            <v>18,36</v>
          </cell>
          <cell r="E1000">
            <v>0</v>
          </cell>
        </row>
        <row r="1001">
          <cell r="A1001">
            <v>41260</v>
          </cell>
          <cell r="B1001" t="str">
            <v>Acessório para tirante protendido de aço Rocsolo ou similar diâmetro 29,3 mm</v>
          </cell>
          <cell r="C1001" t="str">
            <v>un</v>
          </cell>
          <cell r="D1001" t="str">
            <v>726,57</v>
          </cell>
          <cell r="E1001" t="str">
            <v>A incluir</v>
          </cell>
        </row>
        <row r="1002">
          <cell r="A1002">
            <v>41045</v>
          </cell>
          <cell r="B1002" t="str">
            <v>Acessório para tirante protendido de aço ST 85/105</v>
          </cell>
          <cell r="C1002" t="str">
            <v>un</v>
          </cell>
          <cell r="D1002" t="str">
            <v>726,57</v>
          </cell>
          <cell r="E1002" t="str">
            <v>A incluir</v>
          </cell>
        </row>
        <row r="1003">
          <cell r="A1003">
            <v>0</v>
          </cell>
          <cell r="B1003">
            <v>0</v>
          </cell>
          <cell r="C1003">
            <v>0</v>
          </cell>
          <cell r="E1003" t="e">
            <v>#N/A</v>
          </cell>
        </row>
        <row r="1004">
          <cell r="A1004">
            <v>40387</v>
          </cell>
          <cell r="B1004" t="str">
            <v>Aparelho de apoio de neoprene fretado, fornecimento e assentamento, inclusive grauteamento e transporte do neoprene</v>
          </cell>
          <cell r="C1004" t="str">
            <v>dm³</v>
          </cell>
          <cell r="D1004" t="str">
            <v>130,16</v>
          </cell>
          <cell r="E1004" t="str">
            <v>A incluir</v>
          </cell>
        </row>
        <row r="1005">
          <cell r="A1005">
            <v>40339</v>
          </cell>
          <cell r="B1005" t="str">
            <v>Cantoneiras (2 1/2" x 2 1/2" x 5/16") para extremidade de laje, fornecimento, montagem e pintura</v>
          </cell>
          <cell r="C1005" t="str">
            <v>m</v>
          </cell>
          <cell r="D1005" t="str">
            <v>62,28</v>
          </cell>
          <cell r="E1005">
            <v>0</v>
          </cell>
        </row>
        <row r="1006">
          <cell r="A1006">
            <v>40379</v>
          </cell>
          <cell r="B1006" t="str">
            <v>Chapas de aço SAC 41 de 1/4" para passarelas, fornecimento, soldagem e montagem</v>
          </cell>
          <cell r="C1006" t="str">
            <v>kg</v>
          </cell>
          <cell r="D1006" t="str">
            <v>7,99</v>
          </cell>
          <cell r="E1006" t="str">
            <v>A incluir</v>
          </cell>
        </row>
        <row r="1007">
          <cell r="A1007">
            <v>42875</v>
          </cell>
          <cell r="B1007" t="str">
            <v>Chumbador de aço de 25 mm, inclusive proteção anticorrosiva, exclusive a injeção e a perfuração</v>
          </cell>
          <cell r="C1007" t="str">
            <v>m</v>
          </cell>
          <cell r="D1007" t="str">
            <v>34,85</v>
          </cell>
          <cell r="E1007">
            <v>0</v>
          </cell>
        </row>
        <row r="1008">
          <cell r="A1008">
            <v>40991</v>
          </cell>
          <cell r="B1008" t="str">
            <v>Colagem das mantas de borracha nos berços de apoio das placas, com Sikadur 32 ou equivalente, fornecimento e aplicação</v>
          </cell>
          <cell r="C1008" t="str">
            <v>kg</v>
          </cell>
          <cell r="D1008" t="str">
            <v>87,92</v>
          </cell>
          <cell r="E1008">
            <v>0</v>
          </cell>
        </row>
        <row r="1009">
          <cell r="A1009">
            <v>40382</v>
          </cell>
          <cell r="B1009" t="str">
            <v>Concreto projetado com cimento especial</v>
          </cell>
          <cell r="C1009" t="str">
            <v>m³</v>
          </cell>
          <cell r="D1009" t="str">
            <v>641,12</v>
          </cell>
          <cell r="E1009">
            <v>0</v>
          </cell>
        </row>
        <row r="1010">
          <cell r="A1010">
            <v>42660</v>
          </cell>
          <cell r="B1010" t="str">
            <v>Concreto projetado com cimento especial, inclusive aditivo de pega Sigunit STM-35 AF</v>
          </cell>
          <cell r="C1010" t="str">
            <v>m³</v>
          </cell>
          <cell r="D1010" t="str">
            <v>661,11</v>
          </cell>
          <cell r="E1010">
            <v>0</v>
          </cell>
        </row>
        <row r="1011">
          <cell r="A1011">
            <v>40401</v>
          </cell>
          <cell r="B1011" t="str">
            <v>Cone de ancoragem de cabo de aço com 12 cordoalhas de 1/2", inclusive protensão dos cabos</v>
          </cell>
          <cell r="C1011" t="str">
            <v>un</v>
          </cell>
          <cell r="D1011" t="str">
            <v>1.756,11</v>
          </cell>
          <cell r="E1011" t="str">
            <v>A incluir</v>
          </cell>
        </row>
        <row r="1012">
          <cell r="A1012">
            <v>41200</v>
          </cell>
          <cell r="B1012" t="str">
            <v>Conectores diâmetro 16mm (h-&gt;10cm), fornecimento e soldagem</v>
          </cell>
          <cell r="C1012" t="str">
            <v>un</v>
          </cell>
          <cell r="D1012" t="str">
            <v>22,14</v>
          </cell>
          <cell r="E1012">
            <v>0</v>
          </cell>
        </row>
        <row r="1013">
          <cell r="A1013">
            <v>42876</v>
          </cell>
          <cell r="B1013" t="str">
            <v>Escoramento contínuo de cavas em estaca prancha de largura até 4000 mm</v>
          </cell>
          <cell r="C1013" t="str">
            <v>m²</v>
          </cell>
          <cell r="D1013" t="str">
            <v>95,34</v>
          </cell>
          <cell r="E1013">
            <v>0</v>
          </cell>
        </row>
        <row r="1014">
          <cell r="A1014">
            <v>42239</v>
          </cell>
          <cell r="B1014" t="str">
            <v>Escoramento de O.A.E. diretamente sobre o solo, inclusive fornecimento e transporte das madeiras</v>
          </cell>
          <cell r="C1014" t="str">
            <v>m³</v>
          </cell>
          <cell r="D1014" t="str">
            <v>127,33</v>
          </cell>
          <cell r="E1014" t="str">
            <v>A incluir</v>
          </cell>
        </row>
        <row r="1015">
          <cell r="A1015">
            <v>40329</v>
          </cell>
          <cell r="B1015" t="str">
            <v>Escoramento e cimbramento (pontes e pontilhões), inclusive fornecimento e transporte das madeiras</v>
          </cell>
          <cell r="C1015" t="str">
            <v>m³</v>
          </cell>
          <cell r="D1015" t="str">
            <v>149,47</v>
          </cell>
          <cell r="E1015" t="str">
            <v>A incluir</v>
          </cell>
        </row>
        <row r="1016">
          <cell r="A1016">
            <v>41195</v>
          </cell>
          <cell r="B1016" t="str">
            <v>Estrutura metálica provisória para macaqueamento de laje de ponte</v>
          </cell>
          <cell r="C1016" t="str">
            <v>kg</v>
          </cell>
          <cell r="D1016" t="str">
            <v>7,85</v>
          </cell>
          <cell r="E1016">
            <v>0</v>
          </cell>
        </row>
        <row r="1017">
          <cell r="A1017">
            <v>40315</v>
          </cell>
          <cell r="B1017" t="str">
            <v>Formas curvas de madeira sem reutilização, inclusive fornecimento e transporte das madeiras</v>
          </cell>
          <cell r="C1017" t="str">
            <v>m²</v>
          </cell>
          <cell r="D1017" t="str">
            <v>254,24</v>
          </cell>
          <cell r="E1017" t="str">
            <v>A incluir</v>
          </cell>
        </row>
        <row r="1018">
          <cell r="A1018">
            <v>40314</v>
          </cell>
          <cell r="B1018" t="str">
            <v>Formas planas de madeira com 05 (cinco) utilizações (guarda-corpo de pontes), inclusive fornecimento e transportes das madeiras</v>
          </cell>
          <cell r="C1018" t="str">
            <v>m²</v>
          </cell>
          <cell r="D1018" t="str">
            <v>99,12</v>
          </cell>
          <cell r="E1018" t="str">
            <v>A incluir</v>
          </cell>
        </row>
        <row r="1019">
          <cell r="A1019">
            <v>40321</v>
          </cell>
          <cell r="B1019" t="str">
            <v>Formas planas de madeirit meso e superestrutura com 1 reaproveitamento esp. -&gt; 14 mm, inclusive fornecimento e transporte das madeiras</v>
          </cell>
          <cell r="C1019" t="str">
            <v>m²</v>
          </cell>
          <cell r="D1019" t="str">
            <v>70,22</v>
          </cell>
          <cell r="E1019" t="str">
            <v>A incluir</v>
          </cell>
        </row>
        <row r="1020">
          <cell r="A1020">
            <v>40323</v>
          </cell>
          <cell r="B1020" t="str">
            <v>Formas planas de madeirit meso e superestrutura com 1 reaproveitamento esp. -&gt; 17 mm, inclusive fornecimento e transporte das madeiras</v>
          </cell>
          <cell r="C1020" t="str">
            <v>m²</v>
          </cell>
          <cell r="D1020" t="str">
            <v>73,88</v>
          </cell>
          <cell r="E1020" t="str">
            <v>A incluir</v>
          </cell>
        </row>
        <row r="1021">
          <cell r="A1021">
            <v>40324</v>
          </cell>
          <cell r="B1021" t="str">
            <v>Formas planas de madeirit meso e superestrutura com 2 reaproveitamentos esp. -&gt; 17 mm, inclusive fornecimento e transporte das madeiras</v>
          </cell>
          <cell r="C1021" t="str">
            <v>m²</v>
          </cell>
          <cell r="D1021" t="str">
            <v>63,79</v>
          </cell>
          <cell r="E1021" t="str">
            <v>A incluir</v>
          </cell>
        </row>
        <row r="1022">
          <cell r="A1022">
            <v>40325</v>
          </cell>
          <cell r="B1022" t="str">
            <v>Formas planas de madeirit meso e superestrutura com 4 reaproveitamentos esp. -&gt; 17 mm, inclusive fornecimento e transporte das madeiras</v>
          </cell>
          <cell r="C1022" t="str">
            <v>m²</v>
          </cell>
          <cell r="D1022" t="str">
            <v>55,06</v>
          </cell>
          <cell r="E1022" t="str">
            <v>A incluir</v>
          </cell>
        </row>
        <row r="1023">
          <cell r="A1023">
            <v>40319</v>
          </cell>
          <cell r="B1023" t="str">
            <v>Formas planas de madeirit meso e superestrutura sem reaproveitamento esp. -&gt; 10 mm, inclusive fornecimento e transporte das madeiras</v>
          </cell>
          <cell r="C1023" t="str">
            <v>m²</v>
          </cell>
          <cell r="D1023" t="str">
            <v>88,69</v>
          </cell>
          <cell r="E1023" t="str">
            <v>A incluir</v>
          </cell>
        </row>
        <row r="1024">
          <cell r="A1024">
            <v>40320</v>
          </cell>
          <cell r="B1024" t="str">
            <v>Formas planas de madeirit meso e superestrutura sem reaproveitamento esp. -&gt; 14 mm, inclusive fornecimento e transporte das madeiras</v>
          </cell>
          <cell r="C1024" t="str">
            <v>m²</v>
          </cell>
          <cell r="D1024" t="str">
            <v>99,63</v>
          </cell>
          <cell r="E1024" t="str">
            <v>A incluir</v>
          </cell>
        </row>
        <row r="1025">
          <cell r="A1025">
            <v>40322</v>
          </cell>
          <cell r="B1025" t="str">
            <v>Formas planas de madeirit meso e superestrutura sem reaproveitamento esp. -&gt; 17 mm, inclusive fornecimento e transporte das madeiras</v>
          </cell>
          <cell r="C1025" t="str">
            <v>m²</v>
          </cell>
          <cell r="D1025" t="str">
            <v>105,82</v>
          </cell>
          <cell r="E1025" t="str">
            <v>A incluir</v>
          </cell>
        </row>
        <row r="1026">
          <cell r="A1026">
            <v>40342</v>
          </cell>
          <cell r="B1026" t="str">
            <v>Furação, fornecimento e fixação de grampos diam.16 mm com resina epoxi (prof. 50 cm)</v>
          </cell>
          <cell r="C1026" t="str">
            <v>un</v>
          </cell>
          <cell r="D1026" t="str">
            <v>32,18</v>
          </cell>
          <cell r="E1026">
            <v>0</v>
          </cell>
        </row>
        <row r="1027">
          <cell r="A1027">
            <v>40338</v>
          </cell>
          <cell r="B1027" t="str">
            <v>Furação, fornecimento e fixação de grampos 10 mm com resina epoxi</v>
          </cell>
          <cell r="C1027" t="str">
            <v>un</v>
          </cell>
          <cell r="D1027" t="str">
            <v>22,95</v>
          </cell>
          <cell r="E1027">
            <v>0</v>
          </cell>
        </row>
        <row r="1028">
          <cell r="A1028">
            <v>40341</v>
          </cell>
          <cell r="B1028" t="str">
            <v>Furação, fornecimento e fixação de grampos 12,5 mm com resina epoxi em vigas pré-moldadas</v>
          </cell>
          <cell r="C1028" t="str">
            <v>un</v>
          </cell>
          <cell r="D1028" t="str">
            <v>6,28</v>
          </cell>
          <cell r="E1028">
            <v>0</v>
          </cell>
        </row>
        <row r="1029">
          <cell r="A1029">
            <v>40416</v>
          </cell>
          <cell r="B1029" t="str">
            <v>Guarda corpo em toras de eucalipto conf. projeto</v>
          </cell>
          <cell r="C1029" t="str">
            <v>m</v>
          </cell>
          <cell r="D1029" t="str">
            <v>246,40</v>
          </cell>
          <cell r="E1029">
            <v>0</v>
          </cell>
        </row>
        <row r="1030">
          <cell r="A1030">
            <v>40389</v>
          </cell>
          <cell r="B1030" t="str">
            <v>Guarda corpo metálico</v>
          </cell>
          <cell r="C1030" t="str">
            <v>m</v>
          </cell>
          <cell r="D1030" t="str">
            <v>62,98</v>
          </cell>
          <cell r="E1030">
            <v>0</v>
          </cell>
        </row>
        <row r="1031">
          <cell r="A1031">
            <v>40388</v>
          </cell>
          <cell r="B1031" t="str">
            <v>Guarda corpo padrão (tipo DNIT)</v>
          </cell>
          <cell r="C1031" t="str">
            <v>m</v>
          </cell>
          <cell r="D1031" t="str">
            <v>234,78</v>
          </cell>
          <cell r="E1031">
            <v>0</v>
          </cell>
        </row>
        <row r="1032">
          <cell r="A1032">
            <v>41232</v>
          </cell>
          <cell r="B1032" t="str">
            <v>Hidrojateamento de superfícies de concreto</v>
          </cell>
          <cell r="C1032" t="str">
            <v>m²</v>
          </cell>
          <cell r="D1032" t="str">
            <v>10,00</v>
          </cell>
          <cell r="E1032">
            <v>0</v>
          </cell>
        </row>
        <row r="1033">
          <cell r="A1033">
            <v>40402</v>
          </cell>
          <cell r="B1033" t="str">
            <v>Hidrojateamento de superfícies metálicas</v>
          </cell>
          <cell r="C1033" t="str">
            <v>m²</v>
          </cell>
          <cell r="D1033" t="str">
            <v>10,57</v>
          </cell>
          <cell r="E1033">
            <v>0</v>
          </cell>
        </row>
        <row r="1034">
          <cell r="A1034">
            <v>41033</v>
          </cell>
          <cell r="B1034" t="str">
            <v>Injeção de calda de cimento para chumbamento de tirantes</v>
          </cell>
          <cell r="C1034" t="str">
            <v>sc</v>
          </cell>
          <cell r="D1034" t="str">
            <v>44,77</v>
          </cell>
          <cell r="E1034">
            <v>0</v>
          </cell>
        </row>
        <row r="1035">
          <cell r="A1035">
            <v>41233</v>
          </cell>
          <cell r="B1035" t="str">
            <v>Injeção de epoxi em fissuras, inclusive preparo e montagem de bicos de injeção</v>
          </cell>
          <cell r="C1035" t="str">
            <v>kg</v>
          </cell>
          <cell r="D1035" t="str">
            <v>565,69</v>
          </cell>
          <cell r="E1035">
            <v>0</v>
          </cell>
        </row>
        <row r="1036">
          <cell r="A1036">
            <v>40386</v>
          </cell>
          <cell r="B1036" t="str">
            <v>Junta de cantoneira L de 4" x 4" x 3/8"</v>
          </cell>
          <cell r="C1036" t="str">
            <v>m</v>
          </cell>
          <cell r="D1036" t="str">
            <v>127,01</v>
          </cell>
          <cell r="E1036" t="str">
            <v>A incluir</v>
          </cell>
        </row>
        <row r="1037">
          <cell r="A1037">
            <v>41199</v>
          </cell>
          <cell r="B1037" t="str">
            <v>Junta de dilatação elástica pré-moldada p/ concreto, tipo fungenband em perfil O-12 de PVC alta densidade, Uniontech ou equival. fornecim./colocação</v>
          </cell>
          <cell r="C1037" t="str">
            <v>m</v>
          </cell>
          <cell r="D1037" t="str">
            <v>38,39</v>
          </cell>
          <cell r="E1037">
            <v>0</v>
          </cell>
        </row>
        <row r="1038">
          <cell r="A1038">
            <v>42529</v>
          </cell>
          <cell r="B1038" t="str">
            <v>Junta perfil elastomérico de vedação p/pontes c/abertura média de 25mm ± 10 mm, inclus. lábios poliméricos-Marca Ref JEENE-JJ2540 VV (constr.)</v>
          </cell>
          <cell r="C1038" t="str">
            <v>m</v>
          </cell>
          <cell r="D1038" t="str">
            <v>713,61</v>
          </cell>
          <cell r="E1038">
            <v>0</v>
          </cell>
        </row>
        <row r="1039">
          <cell r="A1039">
            <v>40384</v>
          </cell>
          <cell r="B1039" t="str">
            <v>Junta perfil elastomérico de vedação p/pontes c/abertura média de 50 mm ± 25 mm, inclus.lábios poliméricos-Marca Ref.JEENE mod.JJ-5070 (constr.)</v>
          </cell>
          <cell r="C1039" t="str">
            <v>m</v>
          </cell>
          <cell r="D1039" t="str">
            <v>1.278,15</v>
          </cell>
          <cell r="E1039">
            <v>0</v>
          </cell>
        </row>
        <row r="1040">
          <cell r="A1040">
            <v>40385</v>
          </cell>
          <cell r="B1040" t="str">
            <v>Junta perfil elastomérico de vedação p/pontes c/abertura média de 50mm ± 25mm,inclus.lábios poliméricos-Marca Ref JEENE mod.JJ-5070 VV(substituição)</v>
          </cell>
          <cell r="C1040" t="str">
            <v>m</v>
          </cell>
          <cell r="D1040" t="str">
            <v>1.311,64</v>
          </cell>
          <cell r="E1040">
            <v>0</v>
          </cell>
        </row>
        <row r="1041">
          <cell r="A1041">
            <v>40393</v>
          </cell>
          <cell r="B1041" t="str">
            <v>Perfuração de concreto</v>
          </cell>
          <cell r="C1041" t="str">
            <v>m</v>
          </cell>
          <cell r="D1041" t="str">
            <v>15,43</v>
          </cell>
          <cell r="E1041">
            <v>0</v>
          </cell>
        </row>
        <row r="1042">
          <cell r="A1042">
            <v>40394</v>
          </cell>
          <cell r="B1042" t="str">
            <v>Perfuração de rocha para fixação de chumbadores</v>
          </cell>
          <cell r="C1042" t="str">
            <v>m</v>
          </cell>
          <cell r="D1042" t="str">
            <v>18,12</v>
          </cell>
          <cell r="E1042">
            <v>0</v>
          </cell>
        </row>
        <row r="1043">
          <cell r="A1043">
            <v>40390</v>
          </cell>
          <cell r="B1043" t="str">
            <v>Pintura a cal em pontes (2 demãos)</v>
          </cell>
          <cell r="C1043" t="str">
            <v>m²</v>
          </cell>
          <cell r="D1043" t="str">
            <v>3,61</v>
          </cell>
          <cell r="E1043">
            <v>0</v>
          </cell>
        </row>
        <row r="1044">
          <cell r="A1044">
            <v>42256</v>
          </cell>
          <cell r="B1044" t="str">
            <v>Ponte provisoria para movimentação de equipamentos de execução de fundação composta de passadiço de madeira sobre estacas de madeira</v>
          </cell>
          <cell r="C1044" t="str">
            <v>m²</v>
          </cell>
          <cell r="D1044" t="str">
            <v>3.267,73</v>
          </cell>
          <cell r="E1044" t="str">
            <v>A incluir</v>
          </cell>
        </row>
        <row r="1045">
          <cell r="A1045">
            <v>40400</v>
          </cell>
          <cell r="B1045" t="str">
            <v>Preparo e colocação de 12 cordoalhas de 1/2" (Aço CP-190 RB) nas formas, inclusive injeção de nata de cimento</v>
          </cell>
          <cell r="C1045" t="str">
            <v>kg</v>
          </cell>
          <cell r="D1045" t="str">
            <v>11,20</v>
          </cell>
          <cell r="E1045" t="str">
            <v>A incluir</v>
          </cell>
        </row>
        <row r="1046">
          <cell r="A1046">
            <v>41201</v>
          </cell>
          <cell r="B1046" t="str">
            <v>Recuperação estrutural com uso de argamassa polimérica (espessura média-&gt;3,5cm)</v>
          </cell>
          <cell r="C1046" t="str">
            <v>m²</v>
          </cell>
          <cell r="D1046" t="str">
            <v>644,15</v>
          </cell>
          <cell r="E1046">
            <v>0</v>
          </cell>
        </row>
        <row r="1047">
          <cell r="A1047">
            <v>41035</v>
          </cell>
          <cell r="B1047" t="str">
            <v>Tirante de Aço CA-50, diâmetro de 25mm (1"), para comprimentos até 6m</v>
          </cell>
          <cell r="C1047" t="str">
            <v>m</v>
          </cell>
          <cell r="D1047" t="str">
            <v>82,62</v>
          </cell>
          <cell r="E1047">
            <v>0</v>
          </cell>
        </row>
        <row r="1048">
          <cell r="A1048">
            <v>41263</v>
          </cell>
          <cell r="B1048" t="str">
            <v>Tirante de aço Rocsolo ou similar, diâmetro 29,3mm, incluindo fornecimento da barra e da bainha proteção anticorrosiva, preparo e colocação no furo</v>
          </cell>
          <cell r="C1048" t="str">
            <v>m</v>
          </cell>
          <cell r="D1048" t="str">
            <v>149,30</v>
          </cell>
          <cell r="E1048">
            <v>0</v>
          </cell>
        </row>
        <row r="1049">
          <cell r="A1049">
            <v>41089</v>
          </cell>
          <cell r="B1049" t="str">
            <v>Tirante de aço ST 50/55, para carga trab. até 22 t, diam.32mm, incluindo fornecimento da bainha proteção anticorrosiva, preparo e colocação no furo.</v>
          </cell>
          <cell r="C1049" t="str">
            <v>m</v>
          </cell>
          <cell r="D1049" t="str">
            <v>148,85</v>
          </cell>
          <cell r="E1049">
            <v>0</v>
          </cell>
        </row>
        <row r="1050">
          <cell r="A1050">
            <v>41039</v>
          </cell>
          <cell r="B1050" t="str">
            <v>Tirante de aço ST 85/105, incluindo fornecimento da barra e da bainha proteção anticorrosiva, preparo e colocação no furo</v>
          </cell>
          <cell r="C1050" t="str">
            <v>m</v>
          </cell>
          <cell r="D1050" t="str">
            <v>157,25</v>
          </cell>
          <cell r="E1050">
            <v>0</v>
          </cell>
        </row>
        <row r="1051">
          <cell r="A1051">
            <v>41030</v>
          </cell>
          <cell r="B1051" t="str">
            <v>Tirante protendido em Aço GEWI 50/55 ou similar, diâmetro de 32mm</v>
          </cell>
          <cell r="C1051" t="str">
            <v>m</v>
          </cell>
          <cell r="D1051" t="str">
            <v>140,05</v>
          </cell>
          <cell r="E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E1052" t="e">
            <v>#N/A</v>
          </cell>
        </row>
        <row r="1053">
          <cell r="A1053" t="str">
            <v>Grupo de Serviço: 44 - MATERIAIS</v>
          </cell>
          <cell r="B1053">
            <v>0</v>
          </cell>
          <cell r="C1053">
            <v>0</v>
          </cell>
          <cell r="D1053">
            <v>0</v>
          </cell>
          <cell r="E1053" t="e">
            <v>#N/A</v>
          </cell>
        </row>
        <row r="1054">
          <cell r="A1054">
            <v>42045</v>
          </cell>
          <cell r="B1054" t="str">
            <v>Aquisição de solo de jazida comercial (saibreira)</v>
          </cell>
          <cell r="C1054" t="str">
            <v>m³</v>
          </cell>
          <cell r="D1054" t="str">
            <v>4,19</v>
          </cell>
          <cell r="E1054">
            <v>0</v>
          </cell>
        </row>
        <row r="1055">
          <cell r="A1055">
            <v>42043</v>
          </cell>
          <cell r="B1055" t="str">
            <v>Bonificação de 20,93% sobre aquisição de materiais</v>
          </cell>
          <cell r="C1055" t="str">
            <v>%</v>
          </cell>
          <cell r="D1055" t="str">
            <v>0,00</v>
          </cell>
          <cell r="E1055">
            <v>0</v>
          </cell>
        </row>
        <row r="1056">
          <cell r="A1056">
            <v>0</v>
          </cell>
          <cell r="B1056">
            <v>0</v>
          </cell>
          <cell r="C1056">
            <v>0</v>
          </cell>
          <cell r="E1056" t="e">
            <v>#N/A</v>
          </cell>
        </row>
        <row r="1057">
          <cell r="A1057" t="str">
            <v>Grupo de Serviço: 61 - TERRAPLENAGEM - VIAS URBANAS</v>
          </cell>
          <cell r="B1057">
            <v>0</v>
          </cell>
          <cell r="C1057">
            <v>0</v>
          </cell>
          <cell r="E1057" t="e">
            <v>#N/A</v>
          </cell>
        </row>
        <row r="1058">
          <cell r="A1058">
            <v>42512</v>
          </cell>
          <cell r="B1058" t="str">
            <v>Carga de material de 1ª categoria em Vias Urbanas</v>
          </cell>
          <cell r="C1058" t="str">
            <v>m³</v>
          </cell>
          <cell r="D1058" t="str">
            <v>2,91</v>
          </cell>
          <cell r="E1058">
            <v>0</v>
          </cell>
        </row>
        <row r="1059">
          <cell r="A1059">
            <v>42513</v>
          </cell>
          <cell r="B1059" t="str">
            <v>Carga de material de 2ª categoria (solo, areia, brita, excl. rocha escavada) em Vias Urbanas</v>
          </cell>
          <cell r="C1059" t="str">
            <v>m³</v>
          </cell>
          <cell r="D1059" t="str">
            <v>3,78</v>
          </cell>
          <cell r="E1059">
            <v>0</v>
          </cell>
        </row>
        <row r="1060">
          <cell r="A1060">
            <v>42514</v>
          </cell>
          <cell r="B1060" t="str">
            <v>Carga de material de 3ª categoria (rocha) em Vias Urbanas</v>
          </cell>
          <cell r="C1060" t="str">
            <v>m³</v>
          </cell>
          <cell r="D1060" t="str">
            <v>5,72</v>
          </cell>
          <cell r="E1060">
            <v>0</v>
          </cell>
        </row>
        <row r="1061">
          <cell r="A1061">
            <v>43349</v>
          </cell>
          <cell r="B1061" t="str">
            <v>Compactação de aterros 100% PI em Vias Urbanas</v>
          </cell>
          <cell r="C1061" t="str">
            <v>m³</v>
          </cell>
          <cell r="D1061" t="str">
            <v>6,14</v>
          </cell>
          <cell r="E1061">
            <v>0</v>
          </cell>
        </row>
        <row r="1062">
          <cell r="A1062">
            <v>42515</v>
          </cell>
          <cell r="B1062" t="str">
            <v>Compactação de aterros 100% PN em Vias Urbanas</v>
          </cell>
          <cell r="C1062" t="str">
            <v>m³</v>
          </cell>
          <cell r="D1062" t="str">
            <v>4,74</v>
          </cell>
          <cell r="E1062">
            <v>0</v>
          </cell>
        </row>
        <row r="1063">
          <cell r="A1063">
            <v>42523</v>
          </cell>
          <cell r="B1063" t="str">
            <v>Escalonamento de taludes com escavadeira em Vias Urbanas</v>
          </cell>
          <cell r="C1063" t="str">
            <v>m³</v>
          </cell>
          <cell r="D1063" t="str">
            <v>7,49</v>
          </cell>
          <cell r="E1063">
            <v>0</v>
          </cell>
        </row>
        <row r="1064">
          <cell r="A1064">
            <v>42525</v>
          </cell>
          <cell r="B1064" t="str">
            <v>Escavação a fogo em material de 3ª categoria, rocha viva, a céu aberto, perfuração a ar comprimido em Vias Urbanas</v>
          </cell>
          <cell r="C1064" t="str">
            <v>m³</v>
          </cell>
          <cell r="D1064" t="str">
            <v>59,37</v>
          </cell>
          <cell r="E1064">
            <v>0</v>
          </cell>
        </row>
        <row r="1065">
          <cell r="A1065">
            <v>42576</v>
          </cell>
          <cell r="B1065" t="str">
            <v>Escavação, carga de material de 3ª categoria (fogo controlado) em Vias Urbanas</v>
          </cell>
          <cell r="C1065" t="str">
            <v>m³</v>
          </cell>
          <cell r="D1065" t="str">
            <v>94,74</v>
          </cell>
          <cell r="E1065">
            <v>0</v>
          </cell>
        </row>
        <row r="1066">
          <cell r="A1066">
            <v>42577</v>
          </cell>
          <cell r="B1066" t="str">
            <v>Escavação e carga de material de barreira (remoção) em Vias Urbanas</v>
          </cell>
          <cell r="C1066" t="str">
            <v>m³</v>
          </cell>
          <cell r="D1066" t="str">
            <v>7,44</v>
          </cell>
          <cell r="E1066">
            <v>0</v>
          </cell>
        </row>
        <row r="1067">
          <cell r="A1067">
            <v>42578</v>
          </cell>
          <cell r="B1067" t="str">
            <v>Escavação e carga de material de 1ª categoria com escavadeira em Vias Urbanas</v>
          </cell>
          <cell r="C1067" t="str">
            <v>m³</v>
          </cell>
          <cell r="D1067" t="str">
            <v>3,17</v>
          </cell>
          <cell r="E1067">
            <v>0</v>
          </cell>
        </row>
        <row r="1068">
          <cell r="A1068">
            <v>42580</v>
          </cell>
          <cell r="B1068" t="str">
            <v>Escavação e carga de material de 2ª categoria com escavadeira em Vias Urbanas</v>
          </cell>
          <cell r="C1068" t="str">
            <v>m³</v>
          </cell>
          <cell r="D1068" t="str">
            <v>4,69</v>
          </cell>
          <cell r="E1068">
            <v>0</v>
          </cell>
        </row>
        <row r="1069">
          <cell r="A1069">
            <v>42582</v>
          </cell>
          <cell r="B1069" t="str">
            <v>Escavação e carga de material de 3ª categoria (H bancada &gt;1,0 m) em Vias Urbanas</v>
          </cell>
          <cell r="C1069" t="str">
            <v>m³</v>
          </cell>
          <cell r="D1069" t="str">
            <v>41,61</v>
          </cell>
          <cell r="E1069">
            <v>0</v>
          </cell>
        </row>
        <row r="1070">
          <cell r="A1070">
            <v>42586</v>
          </cell>
          <cell r="B1070" t="str">
            <v>Fragmentação de rocha (fogacheamento) em Vias Urbanas</v>
          </cell>
          <cell r="C1070" t="str">
            <v>m³</v>
          </cell>
          <cell r="D1070" t="str">
            <v>54,54</v>
          </cell>
          <cell r="E1070">
            <v>0</v>
          </cell>
        </row>
        <row r="1071">
          <cell r="A1071">
            <v>42587</v>
          </cell>
          <cell r="B1071" t="str">
            <v>Limpeza de acostamento em Vias Urbanas</v>
          </cell>
          <cell r="C1071" t="str">
            <v>m²</v>
          </cell>
          <cell r="D1071" t="str">
            <v>0,67</v>
          </cell>
          <cell r="E1071">
            <v>0</v>
          </cell>
        </row>
        <row r="1072">
          <cell r="A1072">
            <v>42590</v>
          </cell>
          <cell r="B1072" t="str">
            <v>Limpeza e desmatamento em área alagada (pântano) com ferr. man., incl. moto serra em Vias Urbanas</v>
          </cell>
          <cell r="C1072" t="str">
            <v>m²</v>
          </cell>
          <cell r="D1072" t="str">
            <v>8,06</v>
          </cell>
          <cell r="E1072">
            <v>0</v>
          </cell>
        </row>
        <row r="1073">
          <cell r="A1073">
            <v>42591</v>
          </cell>
          <cell r="B1073" t="str">
            <v>Pré-fissuramento de taludes de rocha em Vias Urbanas</v>
          </cell>
          <cell r="C1073" t="str">
            <v>m²</v>
          </cell>
          <cell r="D1073" t="str">
            <v>31,70</v>
          </cell>
          <cell r="E1073">
            <v>0</v>
          </cell>
        </row>
        <row r="1074">
          <cell r="A1074">
            <v>42592</v>
          </cell>
          <cell r="B1074" t="str">
            <v>Recomposição vegetal de jazidas, empréstimos e bota-fora em Vias Urbanas</v>
          </cell>
          <cell r="C1074" t="str">
            <v>m²</v>
          </cell>
          <cell r="D1074" t="str">
            <v>13,93</v>
          </cell>
          <cell r="E1074" t="str">
            <v>A incluir</v>
          </cell>
        </row>
        <row r="1075">
          <cell r="A1075">
            <v>42593</v>
          </cell>
          <cell r="B1075" t="str">
            <v>Remoção de solos moles, incluindo carregamento mecânico com escavadeira hidráulica em Vias Urbanas</v>
          </cell>
          <cell r="C1075" t="str">
            <v>m³</v>
          </cell>
          <cell r="D1075" t="str">
            <v>24,30</v>
          </cell>
          <cell r="E1075">
            <v>0</v>
          </cell>
        </row>
        <row r="1076">
          <cell r="A1076">
            <v>42596</v>
          </cell>
          <cell r="B1076" t="str">
            <v>Transporte horizontal com trator de lâmina de material de 1ª cat. DMTaté 50m em Vias Urbanas</v>
          </cell>
          <cell r="C1076" t="str">
            <v>m³</v>
          </cell>
          <cell r="D1076" t="str">
            <v>5,27</v>
          </cell>
          <cell r="E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E1077" t="e">
            <v>#N/A</v>
          </cell>
        </row>
        <row r="1078">
          <cell r="A1078" t="str">
            <v>Grupo de Serviço: 62 - PAVIMENTAÇÃO - VIAS URBANAS</v>
          </cell>
          <cell r="B1078">
            <v>0</v>
          </cell>
          <cell r="C1078">
            <v>0</v>
          </cell>
          <cell r="E1078" t="e">
            <v>#N/A</v>
          </cell>
        </row>
        <row r="1079">
          <cell r="A1079">
            <v>42483</v>
          </cell>
          <cell r="B1079" t="str">
            <v>Base de brita graduada, inclusive fornecimento, exclusive transporte da brita em Vias Urbanas</v>
          </cell>
          <cell r="C1079" t="str">
            <v>m³</v>
          </cell>
          <cell r="D1079" t="str">
            <v>108,79</v>
          </cell>
          <cell r="E1079">
            <v>0</v>
          </cell>
        </row>
        <row r="1080">
          <cell r="A1080">
            <v>42695</v>
          </cell>
          <cell r="B1080" t="str">
            <v>Base de brita 1, inclusive fornecimento, exclusive transporte da brita em Vias Urbanas</v>
          </cell>
          <cell r="C1080" t="str">
            <v>m³</v>
          </cell>
          <cell r="D1080" t="str">
            <v>105,98</v>
          </cell>
          <cell r="E1080">
            <v>0</v>
          </cell>
        </row>
        <row r="1081">
          <cell r="A1081">
            <v>42481</v>
          </cell>
          <cell r="B1081" t="str">
            <v>Base de solo brita, 50% em peso, inclusive fornecimento, exclusive transporte da brita em Vias Urbanas</v>
          </cell>
          <cell r="C1081" t="str">
            <v>m³</v>
          </cell>
          <cell r="D1081" t="str">
            <v>73,15</v>
          </cell>
          <cell r="E1081">
            <v>0</v>
          </cell>
        </row>
        <row r="1082">
          <cell r="A1082">
            <v>42508</v>
          </cell>
          <cell r="B1082" t="str">
            <v>CBUQ (massa asfáltica) inclusive fornecimento e transporte comercial do CAP, em Vias Urbanas</v>
          </cell>
          <cell r="C1082" t="str">
            <v>t</v>
          </cell>
          <cell r="D1082" t="str">
            <v>212,55</v>
          </cell>
          <cell r="E1082" t="str">
            <v>A incluir</v>
          </cell>
        </row>
        <row r="1083">
          <cell r="A1083">
            <v>42496</v>
          </cell>
          <cell r="B1083" t="str">
            <v>Demolição e remoção de pavimento asfáltico em Vias Urbanas</v>
          </cell>
          <cell r="C1083" t="str">
            <v>m²</v>
          </cell>
          <cell r="D1083" t="str">
            <v>3,15</v>
          </cell>
          <cell r="E1083">
            <v>0</v>
          </cell>
        </row>
        <row r="1084">
          <cell r="A1084">
            <v>41133</v>
          </cell>
          <cell r="B1084" t="str">
            <v>Fresagem de pavimento asfáltico a frio, esp. até 15cm, exclusive transporte de materiais, em Vias Urbanas</v>
          </cell>
          <cell r="C1084" t="str">
            <v>m²</v>
          </cell>
          <cell r="D1084" t="str">
            <v>10,03</v>
          </cell>
          <cell r="E1084">
            <v>0</v>
          </cell>
        </row>
        <row r="1085">
          <cell r="A1085">
            <v>42479</v>
          </cell>
          <cell r="B1085" t="str">
            <v>Fresagem de pavimento asfáltico a frio, esp-&gt;5cm, exclusive transporte de materiais em Vias Urbanas</v>
          </cell>
          <cell r="C1085" t="str">
            <v>m²</v>
          </cell>
          <cell r="D1085" t="str">
            <v>7,03</v>
          </cell>
          <cell r="E1085">
            <v>0</v>
          </cell>
        </row>
        <row r="1086">
          <cell r="A1086">
            <v>43333</v>
          </cell>
          <cell r="B1086" t="str">
            <v>Imprimação exclusive fornecimento e transporte comercial do material betuminoso em Vias Urbanas</v>
          </cell>
          <cell r="C1086" t="str">
            <v>m²</v>
          </cell>
          <cell r="D1086" t="str">
            <v>0,98</v>
          </cell>
          <cell r="E1086">
            <v>0</v>
          </cell>
        </row>
        <row r="1087">
          <cell r="A1087">
            <v>42484</v>
          </cell>
          <cell r="B1087" t="str">
            <v>Imprimação inclusive fornecimento e transporte comercial do material betuminoso em Vias Urbanas</v>
          </cell>
          <cell r="C1087" t="str">
            <v>m²</v>
          </cell>
          <cell r="D1087" t="str">
            <v>4,23</v>
          </cell>
          <cell r="E1087" t="str">
            <v>A incluir</v>
          </cell>
        </row>
        <row r="1088">
          <cell r="A1088">
            <v>42497</v>
          </cell>
          <cell r="B1088" t="str">
            <v>Micro revestimento asfáltico à frio inclusive fornecimento e transporte comercial do material betuminoso, em Vias Urbanas</v>
          </cell>
          <cell r="C1088" t="str">
            <v>m²</v>
          </cell>
          <cell r="D1088" t="str">
            <v>10,91</v>
          </cell>
          <cell r="E1088" t="str">
            <v>A incluir</v>
          </cell>
        </row>
        <row r="1089">
          <cell r="A1089">
            <v>42493</v>
          </cell>
          <cell r="B1089" t="str">
            <v>Obturação de buracos c/ CBUQ inclusive fornecimento e transporte comercial dos materiais betuminosos em Vias Urbanas</v>
          </cell>
          <cell r="C1089" t="str">
            <v>m²</v>
          </cell>
          <cell r="D1089" t="str">
            <v>62,26</v>
          </cell>
          <cell r="E1089" t="str">
            <v>A incluir</v>
          </cell>
        </row>
        <row r="1090">
          <cell r="A1090">
            <v>42494</v>
          </cell>
          <cell r="B1090" t="str">
            <v>Obturação de buracos c/ CBUQ inclusive fornecimento e transporte dos materiais betuminosos em Vias Urbanas</v>
          </cell>
          <cell r="C1090" t="str">
            <v>t</v>
          </cell>
          <cell r="D1090" t="str">
            <v>321,62</v>
          </cell>
          <cell r="E1090" t="str">
            <v>A incluir</v>
          </cell>
        </row>
        <row r="1091">
          <cell r="A1091">
            <v>42498</v>
          </cell>
          <cell r="B1091" t="str">
            <v>Pavimentação com blocos de concreto (35 MPa), esp.-&gt;06cm, sobre colchão areia esp.-&gt;5cm, inclusive fornecim. e transporte blocos e areia, Vias Urbanas</v>
          </cell>
          <cell r="C1091" t="str">
            <v>m²</v>
          </cell>
          <cell r="D1091" t="str">
            <v>69,62</v>
          </cell>
          <cell r="E1091" t="str">
            <v>A incluir</v>
          </cell>
        </row>
        <row r="1092">
          <cell r="A1092">
            <v>42499</v>
          </cell>
          <cell r="B1092" t="str">
            <v>Pavimentação com blocos de concreto (35 MPa), esp.-&gt;08cm, sobre colchão de areia 5cm, inclusive fornecim. e transporte blocos e areia, em Vias Urbanas</v>
          </cell>
          <cell r="C1092" t="str">
            <v>m²</v>
          </cell>
          <cell r="D1092" t="str">
            <v>77,63</v>
          </cell>
          <cell r="E1092" t="str">
            <v>A incluir</v>
          </cell>
        </row>
        <row r="1093">
          <cell r="A1093">
            <v>42500</v>
          </cell>
          <cell r="B1093" t="str">
            <v>Pavimentação com blocos de concreto (35 MPa), esp.-&gt;10cm, sobre colchão de areia esp.-&gt;5cm, inclusive fornecim.e transporte blocos e areia,Vias Urbanas</v>
          </cell>
          <cell r="C1093" t="str">
            <v>m²</v>
          </cell>
          <cell r="D1093" t="str">
            <v>93,94</v>
          </cell>
          <cell r="E1093" t="str">
            <v>A incluir</v>
          </cell>
        </row>
        <row r="1094">
          <cell r="A1094">
            <v>42501</v>
          </cell>
          <cell r="B1094" t="str">
            <v>Pavimentação com paralelepípedo, colchão areia 5cm, inclusive fornecimento e transporte do paralelepípedo e areia, em Vias Urbanas</v>
          </cell>
          <cell r="C1094" t="str">
            <v>m²</v>
          </cell>
          <cell r="D1094" t="str">
            <v>90,81</v>
          </cell>
          <cell r="E1094" t="str">
            <v>A incluir</v>
          </cell>
        </row>
        <row r="1095">
          <cell r="A1095">
            <v>42502</v>
          </cell>
          <cell r="B1095" t="str">
            <v>Pavimentação com paralelepípedo sobre colchão pó de pedra esp.-&gt;5cm, inclusive fornecimento e transporte do paralelepípedo e pó de pedra, Vias Urbanas</v>
          </cell>
          <cell r="C1095" t="str">
            <v>m²</v>
          </cell>
          <cell r="D1095" t="str">
            <v>89,50</v>
          </cell>
          <cell r="E1095" t="str">
            <v>A incluir</v>
          </cell>
        </row>
        <row r="1096">
          <cell r="A1096">
            <v>42503</v>
          </cell>
          <cell r="B1096" t="str">
            <v>Pavimentação com pedra portuguesa, inclusive fornecimento e transporte do cimento, areia e pedra portuguesa em Vias Urbanas</v>
          </cell>
          <cell r="C1096" t="str">
            <v>m²</v>
          </cell>
          <cell r="D1096" t="str">
            <v>113,19</v>
          </cell>
          <cell r="E1096" t="str">
            <v>A incluir</v>
          </cell>
        </row>
        <row r="1097">
          <cell r="A1097">
            <v>43334</v>
          </cell>
          <cell r="B1097" t="str">
            <v>Pintura de ligação exclusive fornecimento e transporte comercial do material betuminoso em Vias Urbanas</v>
          </cell>
          <cell r="C1097" t="str">
            <v>m²</v>
          </cell>
          <cell r="D1097" t="str">
            <v>0,81</v>
          </cell>
          <cell r="E1097">
            <v>0</v>
          </cell>
        </row>
        <row r="1098">
          <cell r="A1098">
            <v>42485</v>
          </cell>
          <cell r="B1098" t="str">
            <v>Pintura de ligação inclusive fornecimento e transporte comercial do material betuminoso em Vias Urbanas</v>
          </cell>
          <cell r="C1098" t="str">
            <v>m²</v>
          </cell>
          <cell r="D1098" t="str">
            <v>1,75</v>
          </cell>
          <cell r="E1098" t="str">
            <v>A incluir</v>
          </cell>
        </row>
        <row r="1099">
          <cell r="A1099">
            <v>42478</v>
          </cell>
          <cell r="B1099" t="str">
            <v>Regularização e compactação do sub-leito (100% P.N.) H-&gt;0,15m em Vias Urbanas</v>
          </cell>
          <cell r="C1099" t="str">
            <v>m²</v>
          </cell>
          <cell r="D1099" t="str">
            <v>2,94</v>
          </cell>
          <cell r="E1099">
            <v>0</v>
          </cell>
        </row>
        <row r="1100">
          <cell r="A1100">
            <v>42477</v>
          </cell>
          <cell r="B1100" t="str">
            <v>Regularização e compactação do sub-leito (100% P.N.) H-&gt;0,20m Vias Urbanas</v>
          </cell>
          <cell r="C1100" t="str">
            <v>m²</v>
          </cell>
          <cell r="D1100" t="str">
            <v>3,88</v>
          </cell>
          <cell r="E1100">
            <v>0</v>
          </cell>
        </row>
        <row r="1101">
          <cell r="A1101">
            <v>42495</v>
          </cell>
          <cell r="B1101" t="str">
            <v>Remoção de capa asfáltica em TSS, TSD, ou TST exclusive transporte em Vias Urbanas</v>
          </cell>
          <cell r="C1101" t="str">
            <v>m²</v>
          </cell>
          <cell r="D1101" t="str">
            <v>0,98</v>
          </cell>
          <cell r="E1101">
            <v>0</v>
          </cell>
        </row>
        <row r="1102">
          <cell r="A1102">
            <v>42507</v>
          </cell>
          <cell r="B1102" t="str">
            <v>Remoção de meio fio em Vias Urbanas</v>
          </cell>
          <cell r="C1102" t="str">
            <v>m</v>
          </cell>
          <cell r="D1102" t="str">
            <v>20,14</v>
          </cell>
          <cell r="E1102">
            <v>0</v>
          </cell>
        </row>
        <row r="1103">
          <cell r="A1103">
            <v>42505</v>
          </cell>
          <cell r="B1103" t="str">
            <v>Remoção de pavimentação poliédrica em Vias Urbanas</v>
          </cell>
          <cell r="C1103" t="str">
            <v>m²</v>
          </cell>
          <cell r="D1103" t="str">
            <v>16,28</v>
          </cell>
          <cell r="E1103">
            <v>0</v>
          </cell>
        </row>
        <row r="1104">
          <cell r="A1104">
            <v>42504</v>
          </cell>
          <cell r="B1104" t="str">
            <v>Remoção e reassentamento de blocos de concreto, inclusive perdas em Vias Urbanas</v>
          </cell>
          <cell r="C1104" t="str">
            <v>m²</v>
          </cell>
          <cell r="D1104" t="str">
            <v>41,39</v>
          </cell>
          <cell r="E1104" t="str">
            <v>A incluir</v>
          </cell>
        </row>
        <row r="1105">
          <cell r="A1105">
            <v>42506</v>
          </cell>
          <cell r="B1105" t="str">
            <v>Remoção e reassentamento de paralelepípedos, inclusive perdas em Vias Urbanas</v>
          </cell>
          <cell r="C1105" t="str">
            <v>m²</v>
          </cell>
          <cell r="D1105" t="str">
            <v>41,07</v>
          </cell>
          <cell r="E1105" t="str">
            <v>A incluir</v>
          </cell>
        </row>
        <row r="1106">
          <cell r="A1106">
            <v>42482</v>
          </cell>
          <cell r="B1106" t="str">
            <v>Sub-base de brita graduada, inclusive fornecimento e transporte da brita em Vias Urbanas</v>
          </cell>
          <cell r="C1106" t="str">
            <v>m³</v>
          </cell>
          <cell r="D1106" t="str">
            <v>104,09</v>
          </cell>
          <cell r="E1106" t="str">
            <v>A incluir</v>
          </cell>
        </row>
        <row r="1107">
          <cell r="A1107">
            <v>42702</v>
          </cell>
          <cell r="B1107" t="str">
            <v>Sub-base de brita 1, inclusive fornecimento, exclusive transporte da brita em Vias Urbanas</v>
          </cell>
          <cell r="C1107" t="str">
            <v>m³</v>
          </cell>
          <cell r="D1107" t="str">
            <v>105,98</v>
          </cell>
          <cell r="E1107">
            <v>0</v>
          </cell>
        </row>
        <row r="1108">
          <cell r="A1108">
            <v>42480</v>
          </cell>
          <cell r="B1108" t="str">
            <v>Sub-base solo brita, 50% em peso, inclusive fornecimento e transporte da brita em Vias Urbanas</v>
          </cell>
          <cell r="C1108" t="str">
            <v>m³</v>
          </cell>
          <cell r="D1108" t="str">
            <v>73,15</v>
          </cell>
          <cell r="E1108" t="str">
            <v>A incluir</v>
          </cell>
        </row>
        <row r="1109">
          <cell r="A1109">
            <v>42489</v>
          </cell>
          <cell r="B1109" t="str">
            <v>T.S.B.D. com capa selante, executado com Multidistribuidor inclusive fornecimento e transporte da emulsão, areia, brita e lavagem da brita -V. Urbanas</v>
          </cell>
          <cell r="C1109" t="str">
            <v>m²</v>
          </cell>
          <cell r="D1109" t="str">
            <v>9,83</v>
          </cell>
          <cell r="E1109" t="str">
            <v>A incluir</v>
          </cell>
        </row>
        <row r="1110">
          <cell r="A1110">
            <v>42487</v>
          </cell>
          <cell r="B1110" t="str">
            <v>T.S.B.D. com capa selante inclusive fornec. areia/brita/emulsão, transporte comerc. emulsão e lavagem brita, exclus. transp. areia e brita - V.Urbana</v>
          </cell>
          <cell r="C1110" t="str">
            <v>m²</v>
          </cell>
          <cell r="D1110" t="str">
            <v>13,41</v>
          </cell>
          <cell r="E1110" t="str">
            <v>A incluir</v>
          </cell>
        </row>
        <row r="1111">
          <cell r="A1111">
            <v>42847</v>
          </cell>
          <cell r="B1111" t="str">
            <v>T.S.B.D. com capa selante inclusive fornec.areia/brita/emulsão, transp.comercial emulsão e lavagem brita, exclus. transp. areia e brita- Vias Urbanas</v>
          </cell>
          <cell r="C1111" t="str">
            <v>m²</v>
          </cell>
          <cell r="D1111" t="str">
            <v>14,42</v>
          </cell>
          <cell r="E1111" t="str">
            <v>A incluir</v>
          </cell>
        </row>
        <row r="1112">
          <cell r="A1112">
            <v>42486</v>
          </cell>
          <cell r="B1112" t="str">
            <v>T.S.B.D. sem capa selante, inclusive fornecimento e transporte comercial do material betuminoso e lavagem da brita em Vias Urbanas</v>
          </cell>
          <cell r="C1112" t="str">
            <v>m²</v>
          </cell>
          <cell r="D1112" t="str">
            <v>9,33</v>
          </cell>
          <cell r="E1112" t="str">
            <v>A incluir</v>
          </cell>
        </row>
        <row r="1113">
          <cell r="A1113">
            <v>42488</v>
          </cell>
          <cell r="B1113" t="str">
            <v>T.S.B.D. sem capa selante executado com Multidistribuidor excl. forn.e transp. com. da emulsão, inclus. fornecim., transp.e lavagem brita, V.Urbanas</v>
          </cell>
          <cell r="C1113" t="str">
            <v>m²</v>
          </cell>
          <cell r="D1113" t="str">
            <v>7,24</v>
          </cell>
          <cell r="E1113" t="str">
            <v>A incluir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e">
            <v>#N/A</v>
          </cell>
        </row>
        <row r="1115">
          <cell r="A1115" t="str">
            <v>Grupo de Serviço: 63 - OBRAS DE ARTE CORRENTES E DRENAGEM - VIAS URBANAS</v>
          </cell>
          <cell r="B1115">
            <v>0</v>
          </cell>
          <cell r="C1115">
            <v>0</v>
          </cell>
          <cell r="E1115" t="e">
            <v>#N/A</v>
          </cell>
        </row>
        <row r="1116">
          <cell r="A1116">
            <v>42601</v>
          </cell>
          <cell r="B1116" t="str">
            <v>Alvenaria de bloco (39 x 19 x 09) cm espessura 09 cm em Vias Urbanas, inclusive transporte, areia, cimento e bloco</v>
          </cell>
          <cell r="C1116" t="str">
            <v>m²</v>
          </cell>
          <cell r="D1116" t="str">
            <v>49,27</v>
          </cell>
          <cell r="E1116" t="str">
            <v>A incluir</v>
          </cell>
        </row>
        <row r="1117">
          <cell r="A1117">
            <v>43602</v>
          </cell>
          <cell r="B1117" t="str">
            <v>Alvenaria de bloco (39 x 19 x 19) cm espessura 19 cm em Vias Urbanas</v>
          </cell>
          <cell r="C1117" t="str">
            <v>m²</v>
          </cell>
          <cell r="D1117" t="str">
            <v>75,82</v>
          </cell>
          <cell r="E1117" t="str">
            <v>A incluir</v>
          </cell>
        </row>
        <row r="1118">
          <cell r="A1118">
            <v>42602</v>
          </cell>
          <cell r="B1118" t="str">
            <v>Alvenaria de bloco (39 x 19 x 19) cm espessura 19 cm, inclusive transporte de areia, cimento e bloco em Vias Urbanas</v>
          </cell>
          <cell r="C1118" t="str">
            <v>m²</v>
          </cell>
          <cell r="D1118" t="str">
            <v>82,12</v>
          </cell>
          <cell r="E1118" t="str">
            <v>A incluir</v>
          </cell>
        </row>
        <row r="1119">
          <cell r="A1119">
            <v>42603</v>
          </cell>
          <cell r="B1119" t="str">
            <v>Alvenaria de lajota (20 x 20 x 10) cm espessura 10 cm , inclusive transporte de areia, lajota e cimento, em Vias Urbanas</v>
          </cell>
          <cell r="C1119" t="str">
            <v>m²</v>
          </cell>
          <cell r="D1119" t="str">
            <v>57,38</v>
          </cell>
          <cell r="E1119" t="str">
            <v>A incluir</v>
          </cell>
        </row>
        <row r="1120">
          <cell r="A1120">
            <v>42604</v>
          </cell>
          <cell r="B1120" t="str">
            <v>Alvenaria de pedra de mão (junta seca), inclusive transporte da pedra em Vias Urbanas</v>
          </cell>
          <cell r="C1120" t="str">
            <v>m³</v>
          </cell>
          <cell r="D1120" t="str">
            <v>221,42</v>
          </cell>
          <cell r="E1120" t="str">
            <v>A incluir</v>
          </cell>
        </row>
        <row r="1121">
          <cell r="A1121">
            <v>42605</v>
          </cell>
          <cell r="B1121" t="str">
            <v>Alvenaria de pedra de mão argamassada (argamassa cimento areia 1:4) inclusive transporte da pedra de mão, em Vias Urbanas</v>
          </cell>
          <cell r="C1121" t="str">
            <v>m³</v>
          </cell>
          <cell r="D1121" t="str">
            <v>326,36</v>
          </cell>
          <cell r="E1121" t="str">
            <v>A incluir</v>
          </cell>
        </row>
        <row r="1122">
          <cell r="A1122">
            <v>42606</v>
          </cell>
          <cell r="B1122" t="str">
            <v>Andaime de madeira para altura até 7 m, compreendendo montagem e desmontagem em Vias Urbanas</v>
          </cell>
          <cell r="C1122" t="str">
            <v>m³</v>
          </cell>
          <cell r="D1122" t="str">
            <v>19,79</v>
          </cell>
          <cell r="E1122">
            <v>0</v>
          </cell>
        </row>
        <row r="1123">
          <cell r="A1123">
            <v>42607</v>
          </cell>
          <cell r="B1123" t="str">
            <v>Andaime suspenso em madeira, inclusive montagem e desmontagem em Vias Urbanas</v>
          </cell>
          <cell r="C1123" t="str">
            <v>m²</v>
          </cell>
          <cell r="D1123" t="str">
            <v>113,69</v>
          </cell>
          <cell r="E1123">
            <v>0</v>
          </cell>
        </row>
        <row r="1124">
          <cell r="A1124">
            <v>42608</v>
          </cell>
          <cell r="B1124" t="str">
            <v>Apicoamento manual de superfície de concreto em Vias Urbanas</v>
          </cell>
          <cell r="C1124" t="str">
            <v>m²</v>
          </cell>
          <cell r="D1124" t="str">
            <v>20,44</v>
          </cell>
          <cell r="E1124">
            <v>0</v>
          </cell>
        </row>
        <row r="1125">
          <cell r="A1125">
            <v>42609</v>
          </cell>
          <cell r="B1125" t="str">
            <v>Apiloamento manual em Vias Urbanas</v>
          </cell>
          <cell r="C1125" t="str">
            <v>m³</v>
          </cell>
          <cell r="D1125" t="str">
            <v>42,94</v>
          </cell>
          <cell r="E1125">
            <v>0</v>
          </cell>
        </row>
        <row r="1126">
          <cell r="A1126">
            <v>42611</v>
          </cell>
          <cell r="B1126" t="str">
            <v>Argamassa cimento e areia traço 1:4 em Vias Urbanas</v>
          </cell>
          <cell r="C1126" t="str">
            <v>m³</v>
          </cell>
          <cell r="D1126" t="str">
            <v>486,15</v>
          </cell>
          <cell r="E1126" t="str">
            <v>A incluir</v>
          </cell>
        </row>
        <row r="1127">
          <cell r="A1127">
            <v>42612</v>
          </cell>
          <cell r="B1127" t="str">
            <v>Argamassa cimento (nata) em Vias Urbanas</v>
          </cell>
          <cell r="C1127" t="str">
            <v>m³</v>
          </cell>
          <cell r="D1127" t="str">
            <v>978,36</v>
          </cell>
          <cell r="E1127" t="str">
            <v>A incluir</v>
          </cell>
        </row>
        <row r="1128">
          <cell r="A1128">
            <v>42613</v>
          </cell>
          <cell r="B1128" t="str">
            <v>Argamassa de cimento e areia, traço 1:4, consumo de cimento 400 kg/m³ em Vias Urbanas</v>
          </cell>
          <cell r="C1128" t="str">
            <v>m³</v>
          </cell>
          <cell r="D1128" t="str">
            <v>506,37</v>
          </cell>
          <cell r="E1128" t="str">
            <v>A incluir</v>
          </cell>
        </row>
        <row r="1129">
          <cell r="A1129">
            <v>42615</v>
          </cell>
          <cell r="B1129" t="str">
            <v>Berço de concreto ciclópico para BDTC diâmetro 0,60 m em Via Urbanas</v>
          </cell>
          <cell r="C1129" t="str">
            <v>m</v>
          </cell>
          <cell r="D1129" t="str">
            <v>240,45</v>
          </cell>
          <cell r="E1129" t="str">
            <v>A incluir</v>
          </cell>
        </row>
        <row r="1130">
          <cell r="A1130">
            <v>41173</v>
          </cell>
          <cell r="B1130" t="str">
            <v>Berço em brita para BSTC diâm. -&gt; 0,30 m em Vias Urbanas</v>
          </cell>
          <cell r="C1130" t="str">
            <v>m</v>
          </cell>
          <cell r="D1130" t="str">
            <v>14,77</v>
          </cell>
          <cell r="E1130" t="str">
            <v>A incluir</v>
          </cell>
        </row>
        <row r="1131">
          <cell r="A1131">
            <v>41174</v>
          </cell>
          <cell r="B1131" t="str">
            <v>Berço em brita para BSTC diâm. -&gt; 0,40 m em Vias Urbanas</v>
          </cell>
          <cell r="C1131" t="str">
            <v>m</v>
          </cell>
          <cell r="D1131" t="str">
            <v>15,75</v>
          </cell>
          <cell r="E1131" t="str">
            <v>A incluir</v>
          </cell>
        </row>
        <row r="1132">
          <cell r="A1132">
            <v>41175</v>
          </cell>
          <cell r="B1132" t="str">
            <v>Berço em brita para BSTC diâm. -&gt; 0,60 m em Vias Urbanas</v>
          </cell>
          <cell r="C1132" t="str">
            <v>m</v>
          </cell>
          <cell r="D1132" t="str">
            <v>19,62</v>
          </cell>
          <cell r="E1132" t="str">
            <v>A incluir</v>
          </cell>
        </row>
        <row r="1133">
          <cell r="A1133">
            <v>41176</v>
          </cell>
          <cell r="B1133" t="str">
            <v>Berço em brita para BSTC diam. -&gt; 0,80 m em Vias Urbanas</v>
          </cell>
          <cell r="C1133" t="str">
            <v>m</v>
          </cell>
          <cell r="D1133" t="str">
            <v>29,30</v>
          </cell>
          <cell r="E1133" t="str">
            <v>A incluir</v>
          </cell>
        </row>
        <row r="1134">
          <cell r="A1134">
            <v>42635</v>
          </cell>
          <cell r="B1134" t="str">
            <v>Boca de BDCC 2,00 x 1,20m conforme projeto em Vias Urbanas</v>
          </cell>
          <cell r="C1134" t="str">
            <v>un</v>
          </cell>
          <cell r="D1134" t="str">
            <v>12.418,42</v>
          </cell>
          <cell r="E1134">
            <v>0</v>
          </cell>
        </row>
        <row r="1135">
          <cell r="A1135">
            <v>40628</v>
          </cell>
          <cell r="B1135" t="str">
            <v>Boca de BDCC 2,00 x 2,50 m em Vias Urbanas</v>
          </cell>
          <cell r="C1135" t="str">
            <v>un</v>
          </cell>
          <cell r="D1135" t="str">
            <v>25.027,41</v>
          </cell>
          <cell r="E1135">
            <v>0</v>
          </cell>
        </row>
        <row r="1136">
          <cell r="A1136">
            <v>40619</v>
          </cell>
          <cell r="B1136" t="str">
            <v>Boca de BSCC 2,50 x 2,50 m, projeto DNIT em Vias Urbanas</v>
          </cell>
          <cell r="C1136" t="str">
            <v>un</v>
          </cell>
          <cell r="D1136" t="str">
            <v>23.234,41</v>
          </cell>
          <cell r="E1136">
            <v>0</v>
          </cell>
        </row>
        <row r="1137">
          <cell r="A1137">
            <v>41087</v>
          </cell>
          <cell r="B1137" t="str">
            <v>Boca de lobo simples em blocos pré-moldados CR(0,40 x 0,80 m) em Vias Urbanas</v>
          </cell>
          <cell r="C1137" t="str">
            <v>un</v>
          </cell>
          <cell r="D1137" t="str">
            <v>1.203,26</v>
          </cell>
          <cell r="E1137">
            <v>0</v>
          </cell>
        </row>
        <row r="1138">
          <cell r="A1138">
            <v>42676</v>
          </cell>
          <cell r="B1138" t="str">
            <v>Bueiro Metálico BSTM - D-&gt; 3,00 m - T.L. com tratamento epóxi e-&gt;2,7 mm -método não destrutivo em Vias Urbanas</v>
          </cell>
          <cell r="C1138" t="str">
            <v>m</v>
          </cell>
          <cell r="D1138" t="str">
            <v>9.530,74</v>
          </cell>
          <cell r="E1138" t="str">
            <v>A incluir</v>
          </cell>
        </row>
        <row r="1139">
          <cell r="A1139">
            <v>42677</v>
          </cell>
          <cell r="B1139" t="str">
            <v>Bueiro Metálico BSTM - D-&gt;3,05m - MP-152 com tratamento epóxi e-&gt;2,7mm - método destrutivo, inclusive lastro de brita em Vias Urbanas</v>
          </cell>
          <cell r="C1139" t="str">
            <v>m</v>
          </cell>
          <cell r="D1139" t="str">
            <v>6.209,75</v>
          </cell>
          <cell r="E1139" t="str">
            <v>A incluir</v>
          </cell>
        </row>
        <row r="1140">
          <cell r="A1140">
            <v>42678</v>
          </cell>
          <cell r="B1140" t="str">
            <v>Caiação de meio fios, sarjetas, etc. em Vias Urbanas</v>
          </cell>
          <cell r="C1140" t="str">
            <v>m²</v>
          </cell>
          <cell r="D1140" t="str">
            <v>5,78</v>
          </cell>
          <cell r="E1140">
            <v>0</v>
          </cell>
        </row>
        <row r="1141">
          <cell r="A1141">
            <v>41159</v>
          </cell>
          <cell r="B1141" t="str">
            <v>Caixa Boca de Lobo em bloco pré-moldado de concreto para diâm.-&gt;1,00m (1,30 x 1,30m) em Vias Urbanas</v>
          </cell>
          <cell r="C1141" t="str">
            <v>un</v>
          </cell>
          <cell r="D1141" t="str">
            <v>2.798,19</v>
          </cell>
          <cell r="E1141">
            <v>0</v>
          </cell>
        </row>
        <row r="1142">
          <cell r="A1142">
            <v>41144</v>
          </cell>
          <cell r="B1142" t="str">
            <v>Caixa Boca de Lobo em bloco pré-moldado para diâm. -&gt; 0,60m (1,00 x 1,00m) CBL2 (Vias Urbanas)</v>
          </cell>
          <cell r="C1142" t="str">
            <v>un</v>
          </cell>
          <cell r="D1142" t="str">
            <v>2.054,28</v>
          </cell>
          <cell r="E1142">
            <v>0</v>
          </cell>
        </row>
        <row r="1143">
          <cell r="A1143">
            <v>41158</v>
          </cell>
          <cell r="B1143" t="str">
            <v>Caixa Boca de Lobo em bloco pré-moldado para diâm. -&gt; 0,80m (1,20 x 1,20m) (Vias Urbanas)</v>
          </cell>
          <cell r="C1143" t="str">
            <v>un</v>
          </cell>
          <cell r="D1143" t="str">
            <v>2.399,04</v>
          </cell>
          <cell r="E1143">
            <v>0</v>
          </cell>
        </row>
        <row r="1144">
          <cell r="A1144">
            <v>41160</v>
          </cell>
          <cell r="B1144" t="str">
            <v>Caixa Boca de Lobo em bloco pré-moldado para diâm. -&gt; 1,20m(1,50 x 1,50m) (Vias Urbanas)</v>
          </cell>
          <cell r="C1144" t="str">
            <v>un</v>
          </cell>
          <cell r="D1144" t="str">
            <v>3.563,96</v>
          </cell>
          <cell r="E1144">
            <v>0</v>
          </cell>
        </row>
        <row r="1145">
          <cell r="A1145">
            <v>41101</v>
          </cell>
          <cell r="B1145" t="str">
            <v>Caixa Boca de Lobo em bloco pré-moldado para diâm.-&gt; 0,30m e 0,40m (0,80 x 0,80m) (Vias Urbanas)</v>
          </cell>
          <cell r="C1145" t="str">
            <v>un</v>
          </cell>
          <cell r="D1145" t="str">
            <v>1.721,44</v>
          </cell>
          <cell r="E1145">
            <v>0</v>
          </cell>
        </row>
        <row r="1146">
          <cell r="A1146">
            <v>42679</v>
          </cell>
          <cell r="B1146" t="str">
            <v>Caixa Boca de Lobo em bloco pré-moldado 1,20 x 1,20m em Vias Urbanas</v>
          </cell>
          <cell r="C1146" t="str">
            <v>un</v>
          </cell>
          <cell r="D1146" t="str">
            <v>3.855,70</v>
          </cell>
          <cell r="E1146">
            <v>0</v>
          </cell>
        </row>
        <row r="1147">
          <cell r="A1147">
            <v>42680</v>
          </cell>
          <cell r="B1147" t="str">
            <v>Caixa coletora concreto armado H-&gt; 2,00m, inclusive escavação em Vias Urbanas</v>
          </cell>
          <cell r="C1147" t="str">
            <v>un</v>
          </cell>
          <cell r="D1147" t="str">
            <v>4.045,77</v>
          </cell>
          <cell r="E1147">
            <v>0</v>
          </cell>
        </row>
        <row r="1148">
          <cell r="A1148">
            <v>42681</v>
          </cell>
          <cell r="B1148" t="str">
            <v>Caixa coletora concreto armado H-&gt; 2,50m, inclusive escavação em Vias Urbanas</v>
          </cell>
          <cell r="C1148" t="str">
            <v>un</v>
          </cell>
          <cell r="D1148" t="str">
            <v>4.970,50</v>
          </cell>
          <cell r="E1148">
            <v>0</v>
          </cell>
        </row>
        <row r="1149">
          <cell r="A1149">
            <v>42682</v>
          </cell>
          <cell r="B1149" t="str">
            <v>Caixa coletora em bloco pré-moldado para d-&gt;0,60m (1,00 x 1,00m) em Vias Urbanas</v>
          </cell>
          <cell r="C1149" t="str">
            <v>un</v>
          </cell>
          <cell r="D1149" t="str">
            <v>1.943,97</v>
          </cell>
          <cell r="E1149" t="str">
            <v>A incluir</v>
          </cell>
        </row>
        <row r="1150">
          <cell r="A1150">
            <v>41334</v>
          </cell>
          <cell r="B1150" t="str">
            <v>Caixa coletora em bloco pré-moldado para d-&gt;0,80m (1,20 x 1,20m) em Vias Urbanas</v>
          </cell>
          <cell r="C1150" t="str">
            <v>un</v>
          </cell>
          <cell r="D1150" t="str">
            <v>2.452,72</v>
          </cell>
          <cell r="E1150" t="str">
            <v>A incluir</v>
          </cell>
        </row>
        <row r="1151">
          <cell r="A1151">
            <v>42683</v>
          </cell>
          <cell r="B1151" t="str">
            <v>Caixa de concreto para BSTC diâmetro 0,40 m H-&gt;1,60 m em Vias Urbanas</v>
          </cell>
          <cell r="C1151" t="str">
            <v>un</v>
          </cell>
          <cell r="D1151" t="str">
            <v>1.882,69</v>
          </cell>
          <cell r="E1151" t="str">
            <v>A incluir</v>
          </cell>
        </row>
        <row r="1152">
          <cell r="A1152">
            <v>42684</v>
          </cell>
          <cell r="B1152" t="str">
            <v>Caixa de concreto para BSTC diâmetro 0,60m H-&gt;2,00m em Vias Urbanas</v>
          </cell>
          <cell r="C1152" t="str">
            <v>un</v>
          </cell>
          <cell r="D1152" t="str">
            <v>2.926,48</v>
          </cell>
          <cell r="E1152" t="str">
            <v>A incluir</v>
          </cell>
        </row>
        <row r="1153">
          <cell r="A1153">
            <v>42685</v>
          </cell>
          <cell r="B1153" t="str">
            <v>Caixa de concreto para BSTC diâmetro 0,80m H-&gt;2,50m em Vias Urbanas</v>
          </cell>
          <cell r="C1153" t="str">
            <v>un</v>
          </cell>
          <cell r="D1153" t="str">
            <v>3.631,98</v>
          </cell>
          <cell r="E1153" t="str">
            <v>A incluir</v>
          </cell>
        </row>
        <row r="1154">
          <cell r="A1154">
            <v>42686</v>
          </cell>
          <cell r="B1154" t="str">
            <v>Caixa de concreto para BSTC diâmetro 1,00m H-&gt;3,00m em Vias Urbanas</v>
          </cell>
          <cell r="C1154" t="str">
            <v>un</v>
          </cell>
          <cell r="D1154" t="str">
            <v>4.313,03</v>
          </cell>
          <cell r="E1154" t="str">
            <v>A incluir</v>
          </cell>
        </row>
        <row r="1155">
          <cell r="A1155">
            <v>41162</v>
          </cell>
          <cell r="B1155" t="str">
            <v>Caixa de passagem em bloco pré-moldado para d-&gt;0,30 e 0,40m (0,80x0,80m) em Vias Urbanas</v>
          </cell>
          <cell r="C1155" t="str">
            <v>un</v>
          </cell>
          <cell r="D1155" t="str">
            <v>1.809,44</v>
          </cell>
          <cell r="E1155">
            <v>0</v>
          </cell>
        </row>
        <row r="1156">
          <cell r="A1156">
            <v>41163</v>
          </cell>
          <cell r="B1156" t="str">
            <v>Caixa de passagem em bloco pré-moldado para d-&gt;0,60m (1,00x1,00m) em Vias Urbanas</v>
          </cell>
          <cell r="C1156" t="str">
            <v>un</v>
          </cell>
          <cell r="D1156" t="str">
            <v>2.169,74</v>
          </cell>
          <cell r="E1156">
            <v>0</v>
          </cell>
        </row>
        <row r="1157">
          <cell r="A1157">
            <v>41164</v>
          </cell>
          <cell r="B1157" t="str">
            <v>Caixa de passagem em bloco pré-moldado para d-&gt;0,80m (1,20 x 1,20m) em Vias Urbanas</v>
          </cell>
          <cell r="C1157" t="str">
            <v>un</v>
          </cell>
          <cell r="D1157" t="str">
            <v>2.646,33</v>
          </cell>
          <cell r="E1157">
            <v>0</v>
          </cell>
        </row>
        <row r="1158">
          <cell r="A1158">
            <v>41165</v>
          </cell>
          <cell r="B1158" t="str">
            <v>Caixa de passagem em bloco pré-moldado para d-&gt;1,00m (1,30 x 1,30m) em Vias Urbanas</v>
          </cell>
          <cell r="C1158" t="str">
            <v>un</v>
          </cell>
          <cell r="D1158" t="str">
            <v>2.955,09</v>
          </cell>
          <cell r="E1158">
            <v>0</v>
          </cell>
        </row>
        <row r="1159">
          <cell r="A1159">
            <v>41166</v>
          </cell>
          <cell r="B1159" t="str">
            <v>Caixa de passagem em bloco pré-moldado para d-&gt;1,20m (1,50 x 1,50m) em Vias Urbanas</v>
          </cell>
          <cell r="C1159" t="str">
            <v>un</v>
          </cell>
          <cell r="D1159" t="str">
            <v>3.623,66</v>
          </cell>
          <cell r="E1159">
            <v>0</v>
          </cell>
        </row>
        <row r="1160">
          <cell r="A1160">
            <v>42687</v>
          </cell>
          <cell r="B1160" t="str">
            <v>Caixa de passagem para tubos de D-&gt;0,40m H-&gt;1,10m em Vias Urbanas</v>
          </cell>
          <cell r="C1160" t="str">
            <v>un</v>
          </cell>
          <cell r="D1160" t="str">
            <v>1.249,38</v>
          </cell>
          <cell r="E1160">
            <v>0</v>
          </cell>
        </row>
        <row r="1161">
          <cell r="A1161">
            <v>42688</v>
          </cell>
          <cell r="B1161" t="str">
            <v>Caixa de passagem para tubos de D-&gt;0,60m H-&gt;1,30m em Vias Urbanas</v>
          </cell>
          <cell r="C1161" t="str">
            <v>un</v>
          </cell>
          <cell r="D1161" t="str">
            <v>1.576,00</v>
          </cell>
          <cell r="E1161">
            <v>0</v>
          </cell>
        </row>
        <row r="1162">
          <cell r="A1162">
            <v>42689</v>
          </cell>
          <cell r="B1162" t="str">
            <v>Caixa de passagem para tubos de D-&gt;0,80m H-&gt;1,50m em Vias Urbanas</v>
          </cell>
          <cell r="C1162" t="str">
            <v>un</v>
          </cell>
          <cell r="D1162" t="str">
            <v>1.978,52</v>
          </cell>
          <cell r="E1162">
            <v>0</v>
          </cell>
        </row>
        <row r="1163">
          <cell r="A1163">
            <v>42690</v>
          </cell>
          <cell r="B1163" t="str">
            <v>Caixa de passagem para tubos de D-&gt;1,00m H-&gt;1,80m em Vias Urbanas</v>
          </cell>
          <cell r="C1163" t="str">
            <v>un</v>
          </cell>
          <cell r="D1163" t="str">
            <v>3.137,14</v>
          </cell>
          <cell r="E1163">
            <v>0</v>
          </cell>
        </row>
        <row r="1164">
          <cell r="A1164">
            <v>42691</v>
          </cell>
          <cell r="B1164" t="str">
            <v>Caixa de passagem (2,50 x 2,50m) em Vias Urbanas</v>
          </cell>
          <cell r="C1164" t="str">
            <v>un</v>
          </cell>
          <cell r="D1164" t="str">
            <v>6.970,61</v>
          </cell>
          <cell r="E1164" t="str">
            <v>A incluir</v>
          </cell>
        </row>
        <row r="1165">
          <cell r="A1165">
            <v>42693</v>
          </cell>
          <cell r="B1165" t="str">
            <v>Caixa para rede de dutos dimensões 100 x100 x100 cm, em Vias Urbanas</v>
          </cell>
          <cell r="C1165" t="str">
            <v>m</v>
          </cell>
          <cell r="D1165" t="str">
            <v>3.427,76</v>
          </cell>
          <cell r="E1165">
            <v>0</v>
          </cell>
        </row>
        <row r="1166">
          <cell r="A1166">
            <v>42692</v>
          </cell>
          <cell r="B1166" t="str">
            <v>Caixa para rede de dutos dimensões 60 x 60 x 60 cm, em Vias Urbanas</v>
          </cell>
          <cell r="C1166" t="str">
            <v>un</v>
          </cell>
          <cell r="D1166" t="str">
            <v>553,54</v>
          </cell>
          <cell r="E1166">
            <v>0</v>
          </cell>
        </row>
        <row r="1167">
          <cell r="A1167">
            <v>41085</v>
          </cell>
          <cell r="B1167" t="str">
            <v>Caixa ralo com grelha de concreto em blocos pré-moldados - CRG - Vias Urbanas</v>
          </cell>
          <cell r="C1167" t="str">
            <v>un</v>
          </cell>
          <cell r="D1167" t="str">
            <v>1.245,14</v>
          </cell>
          <cell r="E1167">
            <v>0</v>
          </cell>
        </row>
        <row r="1168">
          <cell r="A1168">
            <v>42694</v>
          </cell>
          <cell r="B1168" t="str">
            <v>Caixa ralo de elementos pré-moldados em concreto (tudo incluído) em Vias Urbanas</v>
          </cell>
          <cell r="C1168" t="str">
            <v>un</v>
          </cell>
          <cell r="D1168" t="str">
            <v>684,53</v>
          </cell>
          <cell r="E1168" t="str">
            <v>A incluir</v>
          </cell>
        </row>
        <row r="1169">
          <cell r="A1169">
            <v>41241</v>
          </cell>
          <cell r="B1169" t="str">
            <v>Caixa ralo em blocos pré-moldados e grelha articulada em FFA em Vias Urbanas</v>
          </cell>
          <cell r="C1169" t="str">
            <v>un</v>
          </cell>
          <cell r="D1169" t="str">
            <v>1.203,95</v>
          </cell>
          <cell r="E1169" t="str">
            <v>A incluir</v>
          </cell>
        </row>
        <row r="1170">
          <cell r="A1170">
            <v>42697</v>
          </cell>
          <cell r="B1170" t="str">
            <v>Canaleta com grelha DP-1, inclusive transporte da grelha em Vias Urbanas</v>
          </cell>
          <cell r="C1170" t="str">
            <v>m</v>
          </cell>
          <cell r="D1170" t="str">
            <v>563,57</v>
          </cell>
          <cell r="E1170" t="str">
            <v>A incluir</v>
          </cell>
        </row>
        <row r="1171">
          <cell r="A1171">
            <v>42698</v>
          </cell>
          <cell r="B1171" t="str">
            <v>Canaleta de concreto, com forma retangular inclusive caiação - parede 12 cm em Vias Urbanas</v>
          </cell>
          <cell r="C1171" t="str">
            <v>m</v>
          </cell>
          <cell r="D1171" t="str">
            <v>183,06</v>
          </cell>
          <cell r="E1171" t="str">
            <v>A incluir</v>
          </cell>
        </row>
        <row r="1172">
          <cell r="A1172">
            <v>42699</v>
          </cell>
          <cell r="B1172" t="str">
            <v>Canaleta de concreto retangular (0,130m³/m) inclusive caiação em Vias Urbanas</v>
          </cell>
          <cell r="C1172" t="str">
            <v>m</v>
          </cell>
          <cell r="D1172" t="str">
            <v>232,85</v>
          </cell>
          <cell r="E1172">
            <v>0</v>
          </cell>
        </row>
        <row r="1173">
          <cell r="A1173">
            <v>42700</v>
          </cell>
          <cell r="B1173" t="str">
            <v>Canaleta de concreto (0,130m³/m) forma trapezoidal inclusive caiação em Vias Urbanas</v>
          </cell>
          <cell r="C1173" t="str">
            <v>m</v>
          </cell>
          <cell r="D1173" t="str">
            <v>162,46</v>
          </cell>
          <cell r="E1173" t="str">
            <v>A incluir</v>
          </cell>
        </row>
        <row r="1174">
          <cell r="A1174">
            <v>42701</v>
          </cell>
          <cell r="B1174" t="str">
            <v>Cerca de tela de arame galvanizado h-&gt;1,20m em Vias Urbanas</v>
          </cell>
          <cell r="C1174" t="str">
            <v>m²</v>
          </cell>
          <cell r="D1174" t="str">
            <v>29,77</v>
          </cell>
          <cell r="E1174">
            <v>0</v>
          </cell>
        </row>
        <row r="1175">
          <cell r="A1175">
            <v>42703</v>
          </cell>
          <cell r="B1175" t="str">
            <v>Cerca em tela revestida em PVC com mourões de concreto, fornecimento e execução em Vias Urbanas</v>
          </cell>
          <cell r="C1175" t="str">
            <v>m²</v>
          </cell>
          <cell r="D1175" t="str">
            <v>73,08</v>
          </cell>
          <cell r="E1175">
            <v>0</v>
          </cell>
        </row>
        <row r="1176">
          <cell r="A1176">
            <v>42704</v>
          </cell>
          <cell r="B1176" t="str">
            <v>Chapisco com argamassa de cimento e areia 1:3 em Vias Urbanas</v>
          </cell>
          <cell r="C1176" t="str">
            <v>m²</v>
          </cell>
          <cell r="D1176" t="str">
            <v>5,70</v>
          </cell>
          <cell r="E1176">
            <v>0</v>
          </cell>
        </row>
        <row r="1177">
          <cell r="A1177">
            <v>42705</v>
          </cell>
          <cell r="B1177" t="str">
            <v>Chapisco com argamassa de cimento e pedrisco 1:4 em Vias Urbanas</v>
          </cell>
          <cell r="C1177" t="str">
            <v>m²</v>
          </cell>
          <cell r="D1177" t="str">
            <v>8,98</v>
          </cell>
          <cell r="E1177">
            <v>0</v>
          </cell>
        </row>
        <row r="1178">
          <cell r="A1178">
            <v>42706</v>
          </cell>
          <cell r="B1178" t="str">
            <v>Colchão drenante de areia para fundação de aterros, exclusive o fornecimento de areia em Vias Urbanas</v>
          </cell>
          <cell r="C1178" t="str">
            <v>m³</v>
          </cell>
          <cell r="D1178" t="str">
            <v>4,93</v>
          </cell>
          <cell r="E1178">
            <v>0</v>
          </cell>
        </row>
        <row r="1179">
          <cell r="A1179">
            <v>42707</v>
          </cell>
          <cell r="B1179" t="str">
            <v>Colchão drenante de areia para fundação de aterros, inclusive fornecimento e transporte da areia em Vias Urbanas</v>
          </cell>
          <cell r="C1179" t="str">
            <v>m³</v>
          </cell>
          <cell r="D1179" t="str">
            <v>77,85</v>
          </cell>
          <cell r="E1179" t="str">
            <v>A incluir</v>
          </cell>
        </row>
        <row r="1180">
          <cell r="A1180">
            <v>42708</v>
          </cell>
          <cell r="B1180" t="str">
            <v>Colchão drenante de brita 1 inclusive fornecimento, espalhamento, compactação e transporte da brita em Vias Urbanas</v>
          </cell>
          <cell r="C1180" t="str">
            <v>m³</v>
          </cell>
          <cell r="D1180" t="str">
            <v>95,93</v>
          </cell>
          <cell r="E1180" t="str">
            <v>A incluir</v>
          </cell>
        </row>
        <row r="1181">
          <cell r="A1181">
            <v>42709</v>
          </cell>
          <cell r="B1181" t="str">
            <v>Colchão drenante de brita 2 inclusive fornecimento, espalhamento, compactação e transporte da brita em Vias Urbanas</v>
          </cell>
          <cell r="C1181" t="str">
            <v>m³</v>
          </cell>
          <cell r="D1181" t="str">
            <v>93,21</v>
          </cell>
          <cell r="E1181" t="str">
            <v>A incluir</v>
          </cell>
        </row>
        <row r="1182">
          <cell r="A1182">
            <v>42710</v>
          </cell>
          <cell r="B1182" t="str">
            <v>Colchão drenante de brita 3 inclusive fornecimento, espalhamento, compactação e transporte da brita em Vias Urbanas</v>
          </cell>
          <cell r="C1182" t="str">
            <v>m³</v>
          </cell>
          <cell r="D1182" t="str">
            <v>101,11</v>
          </cell>
          <cell r="E1182" t="str">
            <v>A incluir</v>
          </cell>
        </row>
        <row r="1183">
          <cell r="A1183">
            <v>42711</v>
          </cell>
          <cell r="B1183" t="str">
            <v>Coleta drenante (1,00x1,00) m c/ geotêxtil não tecido RT 16kn/m, inclusive transporte da brita em Vias Urbanas</v>
          </cell>
          <cell r="C1183" t="str">
            <v>m</v>
          </cell>
          <cell r="D1183" t="str">
            <v>348,39</v>
          </cell>
          <cell r="E1183" t="str">
            <v>A incluir</v>
          </cell>
        </row>
        <row r="1184">
          <cell r="A1184">
            <v>42712</v>
          </cell>
          <cell r="B1184" t="str">
            <v>Concreto armado, dosado para resist. 20 Mpa, incluindo 60 kg aço CA-50 A, mão de obra p/ corte, dobragem e montagem, exclusive forma em Vias Urbanas</v>
          </cell>
          <cell r="C1184" t="str">
            <v>m³</v>
          </cell>
          <cell r="D1184" t="str">
            <v>826,90</v>
          </cell>
          <cell r="E1184">
            <v>0</v>
          </cell>
        </row>
        <row r="1185">
          <cell r="A1185">
            <v>42714</v>
          </cell>
          <cell r="B1185" t="str">
            <v>Concreto de regularização em Vias Urbanas</v>
          </cell>
          <cell r="C1185" t="str">
            <v>m³</v>
          </cell>
          <cell r="D1185" t="str">
            <v>437,22</v>
          </cell>
          <cell r="E1185" t="str">
            <v>A incluir</v>
          </cell>
        </row>
        <row r="1186">
          <cell r="A1186">
            <v>42717</v>
          </cell>
          <cell r="B1186" t="str">
            <v>Concreto estrutural fck -&gt; 20,0 MPa com plastificante em Vias Urbanas</v>
          </cell>
          <cell r="C1186" t="str">
            <v>m³</v>
          </cell>
          <cell r="D1186" t="str">
            <v>621,14</v>
          </cell>
          <cell r="E1186" t="str">
            <v>A incluir</v>
          </cell>
        </row>
        <row r="1187">
          <cell r="A1187">
            <v>42716</v>
          </cell>
          <cell r="B1187" t="str">
            <v>Concreto estrutural fck -&gt; 20,0 MPa em Vias Urbanas</v>
          </cell>
          <cell r="C1187" t="str">
            <v>m³</v>
          </cell>
          <cell r="D1187" t="str">
            <v>618,97</v>
          </cell>
          <cell r="E1187" t="str">
            <v>A incluir</v>
          </cell>
        </row>
        <row r="1188">
          <cell r="A1188">
            <v>42719</v>
          </cell>
          <cell r="B1188" t="str">
            <v>Concreto estrutural fck -&gt; 25,0 MPa com plastificante em Vias Urbanas</v>
          </cell>
          <cell r="C1188" t="str">
            <v>m³</v>
          </cell>
          <cell r="D1188" t="str">
            <v>650,75</v>
          </cell>
          <cell r="E1188" t="str">
            <v>A incluir</v>
          </cell>
        </row>
        <row r="1189">
          <cell r="A1189">
            <v>42718</v>
          </cell>
          <cell r="B1189" t="str">
            <v>Concreto estrutural fck -&gt; 25,0 MPa em Vias Urbanas</v>
          </cell>
          <cell r="C1189" t="str">
            <v>m³</v>
          </cell>
          <cell r="D1189" t="str">
            <v>648,31</v>
          </cell>
          <cell r="E1189" t="str">
            <v>A incluir</v>
          </cell>
        </row>
        <row r="1190">
          <cell r="A1190">
            <v>42722</v>
          </cell>
          <cell r="B1190" t="str">
            <v>Concreto estrutural fck -&gt; 30,0 MPa com micro-silica e Sikacrete BR ou equivalente em Vias Urbanas</v>
          </cell>
          <cell r="C1190" t="str">
            <v>m³</v>
          </cell>
          <cell r="D1190" t="str">
            <v>791,14</v>
          </cell>
          <cell r="E1190" t="str">
            <v>A incluir</v>
          </cell>
        </row>
        <row r="1191">
          <cell r="A1191">
            <v>42721</v>
          </cell>
          <cell r="B1191" t="str">
            <v>Concreto estrutural fck -&gt; 30,0 MPa com plastificante em Vias Urbanas</v>
          </cell>
          <cell r="C1191" t="str">
            <v>m³</v>
          </cell>
          <cell r="D1191" t="str">
            <v>678,01</v>
          </cell>
          <cell r="E1191" t="str">
            <v>A incluir</v>
          </cell>
        </row>
        <row r="1192">
          <cell r="A1192">
            <v>42720</v>
          </cell>
          <cell r="B1192" t="str">
            <v>Concreto estrutural fck -&gt; 30,0 MPa em Vias Urbanas</v>
          </cell>
          <cell r="C1192" t="str">
            <v>m³</v>
          </cell>
          <cell r="D1192" t="str">
            <v>675,33</v>
          </cell>
          <cell r="E1192" t="str">
            <v>A incluir</v>
          </cell>
        </row>
        <row r="1193">
          <cell r="A1193">
            <v>42723</v>
          </cell>
          <cell r="B1193" t="str">
            <v>Concreto estrutural fck -&gt; 35,0 MPa com micro-silica e Sikacrete ou equivalente em Vias Urbanas</v>
          </cell>
          <cell r="C1193" t="str">
            <v>m³</v>
          </cell>
          <cell r="D1193" t="str">
            <v>758,29</v>
          </cell>
          <cell r="E1193" t="str">
            <v>A incluir</v>
          </cell>
        </row>
        <row r="1194">
          <cell r="A1194">
            <v>42724</v>
          </cell>
          <cell r="B1194" t="str">
            <v>Concreto submerso fck -&gt; 20,0 MPa em Vias Urbanas</v>
          </cell>
          <cell r="C1194" t="str">
            <v>m³</v>
          </cell>
          <cell r="D1194" t="str">
            <v>1.262,58</v>
          </cell>
          <cell r="E1194" t="str">
            <v>A incluir</v>
          </cell>
        </row>
        <row r="1195">
          <cell r="A1195">
            <v>42725</v>
          </cell>
          <cell r="B1195" t="str">
            <v>Conjunto Moto-bomba submersível de 15CV, fornecimento e assentamento em Vias Urbanas</v>
          </cell>
          <cell r="C1195" t="str">
            <v>un</v>
          </cell>
          <cell r="D1195" t="str">
            <v>32.382,53</v>
          </cell>
          <cell r="E1195">
            <v>0</v>
          </cell>
        </row>
        <row r="1196">
          <cell r="A1196">
            <v>42726</v>
          </cell>
          <cell r="B1196" t="str">
            <v>Corpo BDTC (grota) diâmetro 0,60 m CA-1 MF exclusive escavação e reaterro, inclusive transporte do tubo em Vias Urbanas</v>
          </cell>
          <cell r="C1196" t="str">
            <v>m</v>
          </cell>
          <cell r="D1196" t="str">
            <v>294,00</v>
          </cell>
          <cell r="E1196" t="str">
            <v>A incluir</v>
          </cell>
        </row>
        <row r="1197">
          <cell r="A1197">
            <v>42727</v>
          </cell>
          <cell r="B1197" t="str">
            <v>Corpo BDTC (grota) diâmetro 0,60 m CA-1 PB exclusive escavação e reaterro, inclusive transporte do tubo em Vias Urbanas</v>
          </cell>
          <cell r="C1197" t="str">
            <v>m</v>
          </cell>
          <cell r="D1197" t="str">
            <v>304,44</v>
          </cell>
          <cell r="E1197" t="str">
            <v>A incluir</v>
          </cell>
        </row>
        <row r="1198">
          <cell r="A1198">
            <v>42728</v>
          </cell>
          <cell r="B1198" t="str">
            <v>Corpo BDTC (grota) diâmetro 0,60 m CA-2 MF exclusive escavação e reaterro, inclusive transporte do tubo em Vias Urbanas</v>
          </cell>
          <cell r="C1198" t="str">
            <v>m</v>
          </cell>
          <cell r="D1198" t="str">
            <v>297,88</v>
          </cell>
          <cell r="E1198" t="str">
            <v>A incluir</v>
          </cell>
        </row>
        <row r="1199">
          <cell r="A1199">
            <v>42729</v>
          </cell>
          <cell r="B1199" t="str">
            <v>Corpo BDTC (grota) diâmetro 0,60 m CA-2 PB exclusive escavação e reaterro, inclusive transporte do tubo em Vias Urbanas</v>
          </cell>
          <cell r="C1199" t="str">
            <v>m</v>
          </cell>
          <cell r="D1199" t="str">
            <v>304,57</v>
          </cell>
          <cell r="E1199" t="str">
            <v>A incluir</v>
          </cell>
        </row>
        <row r="1200">
          <cell r="A1200">
            <v>42730</v>
          </cell>
          <cell r="B1200" t="str">
            <v>Corpo BDTC (grota) diâmetro 0,80 m CA-1 MF exclusive escavação e reaterro, inclusive transporte do tubo em Vias Urbanas</v>
          </cell>
          <cell r="C1200" t="str">
            <v>m</v>
          </cell>
          <cell r="D1200" t="str">
            <v>620,62</v>
          </cell>
          <cell r="E1200" t="str">
            <v>A incluir</v>
          </cell>
        </row>
        <row r="1201">
          <cell r="A1201">
            <v>42731</v>
          </cell>
          <cell r="B1201" t="str">
            <v>Corpo BDTC (grota) diâmetro 0,80 m CA-1 PB exclusive escavação e reaterro, inclusive transporte do tubo em Vias Urbanas</v>
          </cell>
          <cell r="C1201" t="str">
            <v>m</v>
          </cell>
          <cell r="D1201" t="str">
            <v>634,18</v>
          </cell>
          <cell r="E1201" t="str">
            <v>A incluir</v>
          </cell>
        </row>
        <row r="1202">
          <cell r="A1202">
            <v>42732</v>
          </cell>
          <cell r="B1202" t="str">
            <v>Corpo BDTC (grota) diâmetro 0,80 m CA-2 MF exclusive escavação e reaterro, inclusive transporte do tubo em Vias Urbanas</v>
          </cell>
          <cell r="C1202" t="str">
            <v>m</v>
          </cell>
          <cell r="D1202" t="str">
            <v>640,07</v>
          </cell>
          <cell r="E1202" t="str">
            <v>A incluir</v>
          </cell>
        </row>
        <row r="1203">
          <cell r="A1203">
            <v>42733</v>
          </cell>
          <cell r="B1203" t="str">
            <v>Corpo BDTC (grota) diâmetro 0,80 m CA-2 PB exclusive escavação e reaterro, inclusive transporte do tubo em Vias Urbanas</v>
          </cell>
          <cell r="C1203" t="str">
            <v>m</v>
          </cell>
          <cell r="D1203" t="str">
            <v>668,02</v>
          </cell>
          <cell r="E1203" t="str">
            <v>A incluir</v>
          </cell>
        </row>
        <row r="1204">
          <cell r="A1204">
            <v>42734</v>
          </cell>
          <cell r="B1204" t="str">
            <v>Corpo BDTC (grota) diâmetro 1,00 m CA-1 MF exclusive escavação e reaterro, inclusive transporte do tubo em Vias Urbanas</v>
          </cell>
          <cell r="C1204" t="str">
            <v>m</v>
          </cell>
          <cell r="D1204" t="str">
            <v>786,32</v>
          </cell>
          <cell r="E1204" t="str">
            <v>A incluir</v>
          </cell>
        </row>
        <row r="1205">
          <cell r="A1205">
            <v>42735</v>
          </cell>
          <cell r="B1205" t="str">
            <v>Corpo BDTC (grota) diâmetro 1,00 m CA-1 PB exclusive escavação e reaterro, inclusive transporte do tubo em Vias Urbanas</v>
          </cell>
          <cell r="C1205" t="str">
            <v>m</v>
          </cell>
          <cell r="D1205" t="str">
            <v>748,35</v>
          </cell>
          <cell r="E1205" t="str">
            <v>A incluir</v>
          </cell>
        </row>
        <row r="1206">
          <cell r="A1206">
            <v>42736</v>
          </cell>
          <cell r="B1206" t="str">
            <v>Corpo BDTC (grota) diâmetro 1,00 m CA-2 MF exclusive escavação e reaterro, inclusive transporte do tubo em Vias Urbanas</v>
          </cell>
          <cell r="C1206" t="str">
            <v>m</v>
          </cell>
          <cell r="D1206" t="str">
            <v>812,24</v>
          </cell>
          <cell r="E1206" t="str">
            <v>A incluir</v>
          </cell>
        </row>
        <row r="1207">
          <cell r="A1207">
            <v>42737</v>
          </cell>
          <cell r="B1207" t="str">
            <v>Corpo BDTC (grota) diâmetro 1,00 m CA-2 PB exclusive escavação e reaterro, inclusive transporte do tubo em Vias Urbanas</v>
          </cell>
          <cell r="C1207" t="str">
            <v>m</v>
          </cell>
          <cell r="D1207" t="str">
            <v>843,35</v>
          </cell>
          <cell r="E1207" t="str">
            <v>A incluir</v>
          </cell>
        </row>
        <row r="1208">
          <cell r="A1208">
            <v>42738</v>
          </cell>
          <cell r="B1208" t="str">
            <v>Corpo BDTC (grota) diâmetro 1,00 m CA-3 MF exclusive escavação e reaterro, inclusive transporte do tubo em Vias Urbanas</v>
          </cell>
          <cell r="C1208" t="str">
            <v>m</v>
          </cell>
          <cell r="D1208" t="str">
            <v>883,54</v>
          </cell>
          <cell r="E1208" t="str">
            <v>A incluir</v>
          </cell>
        </row>
        <row r="1209">
          <cell r="A1209">
            <v>42739</v>
          </cell>
          <cell r="B1209" t="str">
            <v>Corpo BDTC (grota) diâmetro 1,20 m CA-1 MF exclusive escavação e reaterro, inclusive transporte do tubo em Vias Urbanas</v>
          </cell>
          <cell r="C1209" t="str">
            <v>m</v>
          </cell>
          <cell r="D1209" t="str">
            <v>1.186,37</v>
          </cell>
          <cell r="E1209" t="str">
            <v>A incluir</v>
          </cell>
        </row>
        <row r="1210">
          <cell r="A1210">
            <v>42740</v>
          </cell>
          <cell r="B1210" t="str">
            <v>Corpo BDTC (grota) diâmetro 1,20 m CA-2 MF exclusive escavação e reaterro, inclusive transporte do tubo em Vias Urbanas</v>
          </cell>
          <cell r="C1210" t="str">
            <v>m</v>
          </cell>
          <cell r="D1210" t="str">
            <v>1.193,29</v>
          </cell>
          <cell r="E1210" t="str">
            <v>A incluir</v>
          </cell>
        </row>
        <row r="1211">
          <cell r="A1211">
            <v>42741</v>
          </cell>
          <cell r="B1211" t="str">
            <v>Corpo BDTC (grota) diâmetro 1,20 m CA-2 PB exclusive escavação e reaterro, inclusive transporte do tubo em Vias Urbanas</v>
          </cell>
          <cell r="C1211" t="str">
            <v>m</v>
          </cell>
          <cell r="D1211" t="str">
            <v>1.259,40</v>
          </cell>
          <cell r="E1211" t="str">
            <v>A incluir</v>
          </cell>
        </row>
        <row r="1212">
          <cell r="A1212">
            <v>42742</v>
          </cell>
          <cell r="B1212" t="str">
            <v>Corpo BDTC (grota) diâmetro 1,20 m CA-3 MF exclusive escavação e reaterro, inclusive transporte do tubo em Vias Urbanas</v>
          </cell>
          <cell r="C1212" t="str">
            <v>m</v>
          </cell>
          <cell r="D1212" t="str">
            <v>1.225,70</v>
          </cell>
          <cell r="E1212" t="str">
            <v>A incluir</v>
          </cell>
        </row>
        <row r="1213">
          <cell r="A1213">
            <v>42743</v>
          </cell>
          <cell r="B1213" t="str">
            <v>Corpo BDTC (grota) diâmetro 1,50 m CA-1 MF exclusive escavação e reaterro, inclusive transporte do tubo em Vias Urbanas</v>
          </cell>
          <cell r="C1213" t="str">
            <v>m</v>
          </cell>
          <cell r="D1213" t="str">
            <v>1.899,46</v>
          </cell>
          <cell r="E1213" t="str">
            <v>A incluir</v>
          </cell>
        </row>
        <row r="1214">
          <cell r="A1214">
            <v>42744</v>
          </cell>
          <cell r="B1214" t="str">
            <v>Corpo BDTC (grota) diâmetro 1,50 m CA-1 PB exclusive escavação e reaterro, inclusive transporte do tubo em Vias Urbanas</v>
          </cell>
          <cell r="C1214" t="str">
            <v>m</v>
          </cell>
          <cell r="D1214" t="str">
            <v>1.672,14</v>
          </cell>
          <cell r="E1214" t="str">
            <v>A incluir</v>
          </cell>
        </row>
        <row r="1215">
          <cell r="A1215">
            <v>42745</v>
          </cell>
          <cell r="B1215" t="str">
            <v>Corpo BDTC (grota) diâmetro 1,50 m CA-2 MF exclusive escavação e reaterro, inclusive transporte do tubo em Vias Urbanas</v>
          </cell>
          <cell r="C1215" t="str">
            <v>m</v>
          </cell>
          <cell r="D1215" t="str">
            <v>1.977,24</v>
          </cell>
          <cell r="E1215" t="str">
            <v>A incluir</v>
          </cell>
        </row>
        <row r="1216">
          <cell r="A1216">
            <v>42746</v>
          </cell>
          <cell r="B1216" t="str">
            <v>Corpo BDTC (grota) diâmetro 1,50 m CA-2 PB exclusive escavação e reaterro, inclusive transporte do tubo em Vias Urbanas</v>
          </cell>
          <cell r="C1216" t="str">
            <v>m</v>
          </cell>
          <cell r="D1216" t="str">
            <v>1.771,34</v>
          </cell>
          <cell r="E1216" t="str">
            <v>A incluir</v>
          </cell>
        </row>
        <row r="1217">
          <cell r="A1217">
            <v>42747</v>
          </cell>
          <cell r="B1217" t="str">
            <v>Corpo BDTC (grota) diâmetro 1,50 m CA-3 MF exclusive escavação e reaterro, inclusive transporte do tubo em Vias Urbanas</v>
          </cell>
          <cell r="C1217" t="str">
            <v>m</v>
          </cell>
          <cell r="D1217" t="str">
            <v>1.536,50</v>
          </cell>
          <cell r="E1217" t="str">
            <v>A incluir</v>
          </cell>
        </row>
        <row r="1218">
          <cell r="A1218">
            <v>42748</v>
          </cell>
          <cell r="B1218" t="str">
            <v>Corpo BSTC diâmetro 0,20 m C.S. MF inclusive escavação, reaterro e transporte do tubo em Vias Urbanas</v>
          </cell>
          <cell r="C1218" t="str">
            <v>m</v>
          </cell>
          <cell r="D1218" t="str">
            <v>83,81</v>
          </cell>
          <cell r="E1218" t="str">
            <v>A incluir</v>
          </cell>
        </row>
        <row r="1219">
          <cell r="A1219">
            <v>42749</v>
          </cell>
          <cell r="B1219" t="str">
            <v>Corpo BSTC diâmetro 0,20 m C.S. PB inclusive escavação, reaterro e transporte do tubo em Vias Urbanas</v>
          </cell>
          <cell r="C1219" t="str">
            <v>m</v>
          </cell>
          <cell r="D1219" t="str">
            <v>83,81</v>
          </cell>
          <cell r="E1219" t="str">
            <v>A incluir</v>
          </cell>
        </row>
        <row r="1220">
          <cell r="A1220">
            <v>42750</v>
          </cell>
          <cell r="B1220" t="str">
            <v>Corpo BSTC diâmetro 0,30 m C.S. MF inclusive escavação, reaterro e transporte do tubo em Vias Urbanas</v>
          </cell>
          <cell r="C1220" t="str">
            <v>m</v>
          </cell>
          <cell r="D1220" t="str">
            <v>105,89</v>
          </cell>
          <cell r="E1220" t="str">
            <v>A incluir</v>
          </cell>
        </row>
        <row r="1221">
          <cell r="A1221">
            <v>42751</v>
          </cell>
          <cell r="B1221" t="str">
            <v>Corpo BSTC diâmetro 0,30 m C.S. PB inclusive escavação, reaterro e transporte do tubo em Vias Urbanas</v>
          </cell>
          <cell r="C1221" t="str">
            <v>m</v>
          </cell>
          <cell r="D1221" t="str">
            <v>109,26</v>
          </cell>
          <cell r="E1221" t="str">
            <v>A incluir</v>
          </cell>
        </row>
        <row r="1222">
          <cell r="A1222">
            <v>42752</v>
          </cell>
          <cell r="B1222" t="str">
            <v>Corpo BSTC diâmetro 0,40 m C.S. MF inclusive escavação, reaterro e transporte do tubo em Vias Urbanas</v>
          </cell>
          <cell r="C1222" t="str">
            <v>m</v>
          </cell>
          <cell r="D1222" t="str">
            <v>141,29</v>
          </cell>
          <cell r="E1222" t="str">
            <v>A incluir</v>
          </cell>
        </row>
        <row r="1223">
          <cell r="A1223">
            <v>42753</v>
          </cell>
          <cell r="B1223" t="str">
            <v>Corpo BSTC diâmetro 0,40 m C.S. PB inclusive escavação, reaterro e transporte do tubo em Vias Urbanas</v>
          </cell>
          <cell r="C1223" t="str">
            <v>m</v>
          </cell>
          <cell r="D1223" t="str">
            <v>144,44</v>
          </cell>
          <cell r="E1223" t="str">
            <v>A incluir</v>
          </cell>
        </row>
        <row r="1224">
          <cell r="A1224">
            <v>42754</v>
          </cell>
          <cell r="B1224" t="str">
            <v>Corpo BSTC diâmetro 0,60 m C.S. MF inclusive escavação, reaterro e transporte do tubo em Vias Urbanas</v>
          </cell>
          <cell r="C1224" t="str">
            <v>m</v>
          </cell>
          <cell r="D1224" t="str">
            <v>228,92</v>
          </cell>
          <cell r="E1224" t="str">
            <v>A incluir</v>
          </cell>
        </row>
        <row r="1225">
          <cell r="A1225">
            <v>42755</v>
          </cell>
          <cell r="B1225" t="str">
            <v>Corpo BSTC diâmetro 0,60 m C.S. PB inclusive escavação, reaterro e transporte do tubo em Vias Urbanas</v>
          </cell>
          <cell r="C1225" t="str">
            <v>m</v>
          </cell>
          <cell r="D1225" t="str">
            <v>233,93</v>
          </cell>
          <cell r="E1225" t="str">
            <v>A incluir</v>
          </cell>
        </row>
        <row r="1226">
          <cell r="A1226">
            <v>42756</v>
          </cell>
          <cell r="B1226" t="str">
            <v>Corpo BSTC (greide) diâmetro 0,30 m CA-1 MF inclusive escavação, reaterro e transporte do tubo em Vias Urbanas</v>
          </cell>
          <cell r="C1226" t="str">
            <v>m</v>
          </cell>
          <cell r="D1226" t="str">
            <v>108,48</v>
          </cell>
          <cell r="E1226" t="str">
            <v>A incluir</v>
          </cell>
        </row>
        <row r="1227">
          <cell r="A1227">
            <v>42757</v>
          </cell>
          <cell r="B1227" t="str">
            <v>Corpo BSTC (greide) diâmetro 0,40 m CA-1 MF inclusive escavação, reaterro e transporte do tubo em Vias Urbanas</v>
          </cell>
          <cell r="C1227" t="str">
            <v>m</v>
          </cell>
          <cell r="D1227" t="str">
            <v>150,37</v>
          </cell>
          <cell r="E1227" t="str">
            <v>A incluir</v>
          </cell>
        </row>
        <row r="1228">
          <cell r="A1228">
            <v>42759</v>
          </cell>
          <cell r="B1228" t="str">
            <v>Corpo BSTC (greide) diâmetro 0,40 m CA-2 MF inclusive escavação, reaterro e transporte do tubo em Vias Urbanas</v>
          </cell>
          <cell r="C1228" t="str">
            <v>m</v>
          </cell>
          <cell r="D1228" t="str">
            <v>155,55</v>
          </cell>
          <cell r="E1228" t="str">
            <v>A incluir</v>
          </cell>
        </row>
        <row r="1229">
          <cell r="A1229">
            <v>42760</v>
          </cell>
          <cell r="B1229" t="str">
            <v>Corpo BSTC (greide) diâmetro 0,60 m CA-1 MF inclusive escavação, reaterro e transporte do tubo em Vias Urbanas</v>
          </cell>
          <cell r="C1229" t="str">
            <v>m</v>
          </cell>
          <cell r="D1229" t="str">
            <v>233,46</v>
          </cell>
          <cell r="E1229" t="str">
            <v>A incluir</v>
          </cell>
        </row>
        <row r="1230">
          <cell r="A1230">
            <v>42761</v>
          </cell>
          <cell r="B1230" t="str">
            <v>Corpo BSTC (greide) diâmetro 0,60 m CA-1 PB inclusive escavação, reaterro e transporte do tubo em Vias Urbanas</v>
          </cell>
          <cell r="C1230" t="str">
            <v>m</v>
          </cell>
          <cell r="D1230" t="str">
            <v>238,68</v>
          </cell>
          <cell r="E1230" t="str">
            <v>A incluir</v>
          </cell>
        </row>
        <row r="1231">
          <cell r="A1231">
            <v>42762</v>
          </cell>
          <cell r="B1231" t="str">
            <v>Corpo BSTC (greide) diâmetro 0,60 m CA-2 MF inclusive escavação, reaterro e transporte do tubo em Vias Urbanas</v>
          </cell>
          <cell r="C1231" t="str">
            <v>m</v>
          </cell>
          <cell r="D1231" t="str">
            <v>235,40</v>
          </cell>
          <cell r="E1231" t="str">
            <v>A incluir</v>
          </cell>
        </row>
        <row r="1232">
          <cell r="A1232">
            <v>42763</v>
          </cell>
          <cell r="B1232" t="str">
            <v>Corpo BSTC (greide) diâmetro 0,60 m CA-2 PB inclusive escavação, reaterro e transporte do tubo em Vias Urbanas</v>
          </cell>
          <cell r="C1232" t="str">
            <v>m</v>
          </cell>
          <cell r="D1232" t="str">
            <v>238,75</v>
          </cell>
          <cell r="E1232" t="str">
            <v>A incluir</v>
          </cell>
        </row>
        <row r="1233">
          <cell r="A1233">
            <v>42764</v>
          </cell>
          <cell r="B1233" t="str">
            <v>Corpo BSTC (greide) diâmetro 0,80 m CA-1 MF inclusive escavação, reaterro e transporte do tubo em Vias Urbanas</v>
          </cell>
          <cell r="C1233" t="str">
            <v>m</v>
          </cell>
          <cell r="D1233" t="str">
            <v>471,78</v>
          </cell>
          <cell r="E1233" t="str">
            <v>A incluir</v>
          </cell>
        </row>
        <row r="1234">
          <cell r="A1234">
            <v>42765</v>
          </cell>
          <cell r="B1234" t="str">
            <v>Corpo BSTC (greide) diâmetro 0,80 m CA-1 PB inclusive escavação, reaterro e transporte do tubo em Vias Urbanas</v>
          </cell>
          <cell r="C1234" t="str">
            <v>m</v>
          </cell>
          <cell r="D1234" t="str">
            <v>478,56</v>
          </cell>
          <cell r="E1234" t="str">
            <v>A incluir</v>
          </cell>
        </row>
        <row r="1235">
          <cell r="A1235">
            <v>42766</v>
          </cell>
          <cell r="B1235" t="str">
            <v>Corpo BSTC (greide) diâmetro 0,80 m CA-2 MF inclusive escavação, reaterro e transporte do tubo em Vias Urbanas</v>
          </cell>
          <cell r="C1235" t="str">
            <v>m</v>
          </cell>
          <cell r="D1235" t="str">
            <v>481,51</v>
          </cell>
          <cell r="E1235" t="str">
            <v>A incluir</v>
          </cell>
        </row>
        <row r="1236">
          <cell r="A1236">
            <v>42767</v>
          </cell>
          <cell r="B1236" t="str">
            <v>Corpo BSTC (greide) diâmetro 0,80 m CA-2 PB inclusive escavação, reaterro e transporte do tubo em Vias Urbanas</v>
          </cell>
          <cell r="C1236" t="str">
            <v>m</v>
          </cell>
          <cell r="D1236" t="str">
            <v>495,48</v>
          </cell>
          <cell r="E1236" t="str">
            <v>A incluir</v>
          </cell>
        </row>
        <row r="1237">
          <cell r="A1237">
            <v>42768</v>
          </cell>
          <cell r="B1237" t="str">
            <v>Corpo BSTC (greide) diâmetro 1,00 m CA-1 MF inclusive escavação, reaterro e transporte do tubo em Vias Urbanas</v>
          </cell>
          <cell r="C1237" t="str">
            <v>m</v>
          </cell>
          <cell r="D1237" t="str">
            <v>627,27</v>
          </cell>
          <cell r="E1237" t="str">
            <v>A incluir</v>
          </cell>
        </row>
        <row r="1238">
          <cell r="A1238">
            <v>42769</v>
          </cell>
          <cell r="B1238" t="str">
            <v>Corpo BSTC (greide) diâmetro 1,00 m CA-1 PB inclusive escavação, reaterro e transporte do tubo em Vias Urbanas</v>
          </cell>
          <cell r="C1238" t="str">
            <v>m</v>
          </cell>
          <cell r="D1238" t="str">
            <v>635,73</v>
          </cell>
          <cell r="E1238" t="str">
            <v>A incluir</v>
          </cell>
        </row>
        <row r="1239">
          <cell r="A1239">
            <v>42770</v>
          </cell>
          <cell r="B1239" t="str">
            <v>Corpo BSTC (greide) diâmetro 1,00 m CA-2 MF inclusive escavação, reaterro e transporte do tubo em Vias Urbanas</v>
          </cell>
          <cell r="C1239" t="str">
            <v>m</v>
          </cell>
          <cell r="D1239" t="str">
            <v>640,24</v>
          </cell>
          <cell r="E1239" t="str">
            <v>A incluir</v>
          </cell>
        </row>
        <row r="1240">
          <cell r="A1240">
            <v>42771</v>
          </cell>
          <cell r="B1240" t="str">
            <v>Corpo BSTC (greide) diâmetro 1,00 m CA-2 PB inclusive escavação, reaterro e transporte do tubo em Vias Urbanas</v>
          </cell>
          <cell r="C1240" t="str">
            <v>m</v>
          </cell>
          <cell r="D1240" t="str">
            <v>655,79</v>
          </cell>
          <cell r="E1240" t="str">
            <v>A incluir</v>
          </cell>
        </row>
        <row r="1241">
          <cell r="A1241">
            <v>42772</v>
          </cell>
          <cell r="B1241" t="str">
            <v>Corpo BSTC (greide) diâmetro 1,20 m CA-1 MF inclusive escavação, reaterro e transporte do tubo em Vias Urbanas</v>
          </cell>
          <cell r="C1241" t="str">
            <v>m</v>
          </cell>
          <cell r="D1241" t="str">
            <v>882,79</v>
          </cell>
          <cell r="E1241" t="str">
            <v>A incluir</v>
          </cell>
        </row>
        <row r="1242">
          <cell r="A1242">
            <v>42773</v>
          </cell>
          <cell r="B1242" t="str">
            <v>Corpo BSTC (greide) diâmetro 1,20 m CA-1 PB inclusive escavação, reaterro e transporte do tubo em Vias Urbanas</v>
          </cell>
          <cell r="C1242" t="str">
            <v>m</v>
          </cell>
          <cell r="D1242" t="str">
            <v>898,77</v>
          </cell>
          <cell r="E1242" t="str">
            <v>A incluir</v>
          </cell>
        </row>
        <row r="1243">
          <cell r="A1243">
            <v>42774</v>
          </cell>
          <cell r="B1243" t="str">
            <v>Corpo BSTC (greide) diâmetro 1,20 m CA-2 MF inclusive escavação, reaterro e transporte do tubo, em Vias Urbanas</v>
          </cell>
          <cell r="C1243" t="str">
            <v>m</v>
          </cell>
          <cell r="D1243" t="str">
            <v>902,23</v>
          </cell>
          <cell r="E1243" t="str">
            <v>A incluir</v>
          </cell>
        </row>
        <row r="1244">
          <cell r="A1244">
            <v>42775</v>
          </cell>
          <cell r="B1244" t="str">
            <v>Corpo BSTC (greide) diâmetro 1,20 m CA-2 PB inclusive escavação, reaterro e transporte do tubo em Vias Urbanas</v>
          </cell>
          <cell r="C1244" t="str">
            <v>m</v>
          </cell>
          <cell r="D1244" t="str">
            <v>935,29</v>
          </cell>
          <cell r="E1244" t="str">
            <v>A incluir</v>
          </cell>
        </row>
        <row r="1245">
          <cell r="A1245">
            <v>42776</v>
          </cell>
          <cell r="B1245" t="str">
            <v>Corpo BSTC (grota) diâmetro 0,60 m CA-1 MF exclusive escavação e reaterro, inclusive transporte do tubo em Vias Urbanas</v>
          </cell>
          <cell r="C1245" t="str">
            <v>m</v>
          </cell>
          <cell r="D1245" t="str">
            <v>148,55</v>
          </cell>
          <cell r="E1245" t="str">
            <v>A incluir</v>
          </cell>
        </row>
        <row r="1246">
          <cell r="A1246">
            <v>42777</v>
          </cell>
          <cell r="B1246" t="str">
            <v>Corpo BSTC (grota) diâmetro 0,60 m CA-1 PB exclusive escavação e reaterro, inclusive transporte do tubo em Vias Urbanas</v>
          </cell>
          <cell r="C1246" t="str">
            <v>m</v>
          </cell>
          <cell r="D1246" t="str">
            <v>153,78</v>
          </cell>
          <cell r="E1246" t="str">
            <v>A incluir</v>
          </cell>
        </row>
        <row r="1247">
          <cell r="A1247">
            <v>42778</v>
          </cell>
          <cell r="B1247" t="str">
            <v>Corpo BSTC (grota) diâmetro 0,60 m CA-2 MF exclusive escavação e reaterro, inclusive transporte do tubo em Vias Urbanas</v>
          </cell>
          <cell r="C1247" t="str">
            <v>m</v>
          </cell>
          <cell r="D1247" t="str">
            <v>150,50</v>
          </cell>
          <cell r="E1247" t="str">
            <v>A incluir</v>
          </cell>
        </row>
        <row r="1248">
          <cell r="A1248">
            <v>42779</v>
          </cell>
          <cell r="B1248" t="str">
            <v>Corpo BSTC (grota) diâmetro 0,60 m CA-2 PB exclusive escavação e reaterro, inclusive transporte do tubo em Vias Urbanas</v>
          </cell>
          <cell r="C1248" t="str">
            <v>m</v>
          </cell>
          <cell r="D1248" t="str">
            <v>153,84</v>
          </cell>
          <cell r="E1248" t="str">
            <v>A incluir</v>
          </cell>
        </row>
        <row r="1249">
          <cell r="A1249">
            <v>42780</v>
          </cell>
          <cell r="B1249" t="str">
            <v>Corpo BSTC (grota) diâmetro 0,80 m CA-1 MF exclusive escavação e reaterro, inclusive transporte do tubo em Vias Urbanas</v>
          </cell>
          <cell r="C1249" t="str">
            <v>m</v>
          </cell>
          <cell r="D1249" t="str">
            <v>351,91</v>
          </cell>
          <cell r="E1249" t="str">
            <v>A incluir</v>
          </cell>
        </row>
        <row r="1250">
          <cell r="A1250">
            <v>42781</v>
          </cell>
          <cell r="B1250" t="str">
            <v>Corpo BSTC (grota) diâmetro 0,80 m CA-1 PB exclusive escavação e reaterro, inclusive transporte do tubo em Vias Urbanas</v>
          </cell>
          <cell r="C1250" t="str">
            <v>m</v>
          </cell>
          <cell r="D1250" t="str">
            <v>358,69</v>
          </cell>
          <cell r="E1250" t="str">
            <v>A incluir</v>
          </cell>
        </row>
        <row r="1251">
          <cell r="A1251">
            <v>42782</v>
          </cell>
          <cell r="B1251" t="str">
            <v>Corpo BSTC (grota) diâmetro 0,80 m CA-2 MF exclusive escavação e reaterro, inclusive transporte do tubo em Vias Urbanas</v>
          </cell>
          <cell r="C1251" t="str">
            <v>m</v>
          </cell>
          <cell r="D1251" t="str">
            <v>361,64</v>
          </cell>
          <cell r="E1251" t="str">
            <v>A incluir</v>
          </cell>
        </row>
        <row r="1252">
          <cell r="A1252">
            <v>42783</v>
          </cell>
          <cell r="B1252" t="str">
            <v>Corpo BSTC (grota) diâmetro 0,80 m CA-2 PB exclusive escavação e reaterro, inclusive transporte do tubo em Vias Urbanas</v>
          </cell>
          <cell r="C1252" t="str">
            <v>m</v>
          </cell>
          <cell r="D1252" t="str">
            <v>375,61</v>
          </cell>
          <cell r="E1252" t="str">
            <v>A incluir</v>
          </cell>
        </row>
        <row r="1253">
          <cell r="A1253">
            <v>42784</v>
          </cell>
          <cell r="B1253" t="str">
            <v>Corpo BSTC (grota) diâmetro 1,00 m CA-1 MF exclusive escavação e reaterro, inclusive transporte do tubo em Vias Urbanas</v>
          </cell>
          <cell r="C1253" t="str">
            <v>m</v>
          </cell>
          <cell r="D1253" t="str">
            <v>433,91</v>
          </cell>
          <cell r="E1253" t="str">
            <v>A incluir</v>
          </cell>
        </row>
        <row r="1254">
          <cell r="A1254">
            <v>42785</v>
          </cell>
          <cell r="B1254" t="str">
            <v>Corpo BSTC (grota) diâmetro 1,00 m CA-1 PB exclusive escavação e reaterro, inclusive transporte do tubo em Vias Urbanas</v>
          </cell>
          <cell r="C1254" t="str">
            <v>m</v>
          </cell>
          <cell r="D1254" t="str">
            <v>442,36</v>
          </cell>
          <cell r="E1254" t="str">
            <v>A incluir</v>
          </cell>
        </row>
        <row r="1255">
          <cell r="A1255">
            <v>42786</v>
          </cell>
          <cell r="B1255" t="str">
            <v>Corpo BSTC (grota) diâmetro 1,00 m CA-2 MF exclusive escavação e reaterro, inclusive transporte do tubo em Vias Urbanas</v>
          </cell>
          <cell r="C1255" t="str">
            <v>m</v>
          </cell>
          <cell r="D1255" t="str">
            <v>446,87</v>
          </cell>
          <cell r="E1255" t="str">
            <v>A incluir</v>
          </cell>
        </row>
        <row r="1256">
          <cell r="A1256">
            <v>42787</v>
          </cell>
          <cell r="B1256" t="str">
            <v>Corpo BSTC (grota) diâmetro 1,00 m CA-2 PB exclusive escavação e reaterro, inclusive transporte do tubo em Vias Urbanas</v>
          </cell>
          <cell r="C1256" t="str">
            <v>m</v>
          </cell>
          <cell r="D1256" t="str">
            <v>462,42</v>
          </cell>
          <cell r="E1256" t="str">
            <v>A incluir</v>
          </cell>
        </row>
        <row r="1257">
          <cell r="A1257">
            <v>42788</v>
          </cell>
          <cell r="B1257" t="str">
            <v>Corpo BSTC (grota) diâmetro 1,00 m CA-3 MF exclusive escavação e reaterro, inclusive transporte do tubo em Vias Urbanas</v>
          </cell>
          <cell r="C1257" t="str">
            <v>m</v>
          </cell>
          <cell r="D1257" t="str">
            <v>482,52</v>
          </cell>
          <cell r="E1257" t="str">
            <v>A incluir</v>
          </cell>
        </row>
        <row r="1258">
          <cell r="A1258">
            <v>42789</v>
          </cell>
          <cell r="B1258" t="str">
            <v>Corpo BSTC (grota) diâmetro 1,20 m CA-1 MF exclusive escavação e reaterro, inclusive transporte do tubo em Vias Urbanas</v>
          </cell>
          <cell r="C1258" t="str">
            <v>m</v>
          </cell>
          <cell r="D1258" t="str">
            <v>621,04</v>
          </cell>
          <cell r="E1258" t="str">
            <v>A incluir</v>
          </cell>
        </row>
        <row r="1259">
          <cell r="A1259">
            <v>42790</v>
          </cell>
          <cell r="B1259" t="str">
            <v>Corpo BSTC (grota) diâmetro 1,20 m CA-1 PB exclusive escavação e reaterro, inclusive transporte do tubo em Vias Urbanas</v>
          </cell>
          <cell r="C1259" t="str">
            <v>m</v>
          </cell>
          <cell r="D1259" t="str">
            <v>637,02</v>
          </cell>
          <cell r="E1259" t="str">
            <v>A incluir</v>
          </cell>
        </row>
        <row r="1260">
          <cell r="A1260">
            <v>42791</v>
          </cell>
          <cell r="B1260" t="str">
            <v>Corpo BSTC (grota) diâmetro 1,20 m CA-2 MF exclusive escavação e reaterro, inclusive transporte do tubo em Vias Urbanas</v>
          </cell>
          <cell r="C1260" t="str">
            <v>m</v>
          </cell>
          <cell r="D1260" t="str">
            <v>640,48</v>
          </cell>
          <cell r="E1260" t="str">
            <v>A incluir</v>
          </cell>
        </row>
        <row r="1261">
          <cell r="A1261">
            <v>42792</v>
          </cell>
          <cell r="B1261" t="str">
            <v>Corpo BSTC (grota) diâmetro 1,20 m CA-2 PB exclusive escavação e reaterro, inclusive transporte do tubo em Vias Urbanas</v>
          </cell>
          <cell r="C1261" t="str">
            <v>m</v>
          </cell>
          <cell r="D1261" t="str">
            <v>673,54</v>
          </cell>
          <cell r="E1261" t="str">
            <v>A incluir</v>
          </cell>
        </row>
        <row r="1262">
          <cell r="A1262">
            <v>42793</v>
          </cell>
          <cell r="B1262" t="str">
            <v>Corpo BSTC (grota) diâmetro 1,20 m CA-3 MF exclusive escavação e reaterro, inclusive transporte do tubo em Vias Urbanas</v>
          </cell>
          <cell r="C1262" t="str">
            <v>m</v>
          </cell>
          <cell r="D1262" t="str">
            <v>656,69</v>
          </cell>
          <cell r="E1262" t="str">
            <v>A incluir</v>
          </cell>
        </row>
        <row r="1263">
          <cell r="A1263">
            <v>42794</v>
          </cell>
          <cell r="B1263" t="str">
            <v>Corpo BSTC (grota) diâmetro 1,50 m CA-1 MF exclusive escavação e reaterro, inclusive transporte do tubo em Vias Urbanas</v>
          </cell>
          <cell r="C1263" t="str">
            <v>m</v>
          </cell>
          <cell r="D1263" t="str">
            <v>990,46</v>
          </cell>
          <cell r="E1263" t="str">
            <v>A incluir</v>
          </cell>
        </row>
        <row r="1264">
          <cell r="A1264">
            <v>42758</v>
          </cell>
          <cell r="B1264" t="str">
            <v>Corpo BSTC (grota) diâmetro 1,50 m CA-1 PB exclusive escavação e reaterro, inclusive transporte do tubo em Vias Urbanas</v>
          </cell>
          <cell r="C1264" t="str">
            <v>m</v>
          </cell>
          <cell r="D1264" t="str">
            <v>876,80</v>
          </cell>
          <cell r="E1264" t="str">
            <v>A incluir</v>
          </cell>
        </row>
        <row r="1265">
          <cell r="A1265">
            <v>42795</v>
          </cell>
          <cell r="B1265" t="str">
            <v>Corpo BSTC (grota) diâmetro 1,50 m CA-2 MF exclusive escavação e reaterro, inclusive transporte do tubo em Vias Urbanas</v>
          </cell>
          <cell r="C1265" t="str">
            <v>m</v>
          </cell>
          <cell r="D1265" t="str">
            <v>1.029,35</v>
          </cell>
          <cell r="E1265" t="str">
            <v>A incluir</v>
          </cell>
        </row>
        <row r="1266">
          <cell r="A1266">
            <v>42796</v>
          </cell>
          <cell r="B1266" t="str">
            <v>Corpo BSTC (grota) diâmetro 1,50 m CA-2 PB exclusive escavação e reaterro, inclusive transporte do tubo em Vias Urbanas</v>
          </cell>
          <cell r="C1266" t="str">
            <v>m</v>
          </cell>
          <cell r="D1266" t="str">
            <v>926,40</v>
          </cell>
          <cell r="E1266" t="str">
            <v>A incluir</v>
          </cell>
        </row>
        <row r="1267">
          <cell r="A1267">
            <v>42797</v>
          </cell>
          <cell r="B1267" t="str">
            <v>Corpo BSTC (grota) diâmetro 1,50 m CA-3 MF exclusive escavação e reaterro, inclusive transporte do tubo em Vias Urbanas</v>
          </cell>
          <cell r="C1267" t="str">
            <v>m</v>
          </cell>
          <cell r="D1267" t="str">
            <v>808,98</v>
          </cell>
          <cell r="E1267" t="str">
            <v>A incluir</v>
          </cell>
        </row>
        <row r="1268">
          <cell r="A1268">
            <v>42798</v>
          </cell>
          <cell r="B1268" t="str">
            <v>Corpo BTTC (grota) diâmetro 0,60 m CA-1 MF exclusive escavação e reaterro, inclusive transporte do tubo em Vias Urbanas</v>
          </cell>
          <cell r="C1268" t="str">
            <v>m</v>
          </cell>
          <cell r="D1268" t="str">
            <v>442,58</v>
          </cell>
          <cell r="E1268" t="str">
            <v>A incluir</v>
          </cell>
        </row>
        <row r="1269">
          <cell r="A1269">
            <v>42799</v>
          </cell>
          <cell r="B1269" t="str">
            <v>Corpo BTTC (grota) diâmetro 0,60 m CA-1 PB exclusive escavação e reaterro, inclusive transporte do tubo em Vias Urbanas</v>
          </cell>
          <cell r="C1269" t="str">
            <v>m</v>
          </cell>
          <cell r="D1269" t="str">
            <v>458,25</v>
          </cell>
          <cell r="E1269" t="str">
            <v>A incluir</v>
          </cell>
        </row>
        <row r="1270">
          <cell r="A1270">
            <v>42800</v>
          </cell>
          <cell r="B1270" t="str">
            <v>Corpo BTTC (grota) diâmetro 0,60 m CA-2 MF exclusive escavação e reaterro, inclusive transporte do tubo em Vias Urbanas</v>
          </cell>
          <cell r="C1270" t="str">
            <v>m</v>
          </cell>
          <cell r="D1270" t="str">
            <v>448,41</v>
          </cell>
          <cell r="E1270" t="str">
            <v>A incluir</v>
          </cell>
        </row>
        <row r="1271">
          <cell r="A1271">
            <v>42801</v>
          </cell>
          <cell r="B1271" t="str">
            <v>Corpo BTTC (grota) diâmetro 0,60 m CA-2 PB exclusive escavação e reaterro, inclusive transporte do tubo em Vias Urbanas</v>
          </cell>
          <cell r="C1271" t="str">
            <v>m</v>
          </cell>
          <cell r="D1271" t="str">
            <v>458,44</v>
          </cell>
          <cell r="E1271" t="str">
            <v>A incluir</v>
          </cell>
        </row>
        <row r="1272">
          <cell r="A1272">
            <v>42802</v>
          </cell>
          <cell r="B1272" t="str">
            <v>Corpo BTTC (grota) diâmetro 0,80 m CA-1 MF exclusive escavação e reaterro, inclusive transporte do tubo em Vias Urbanas</v>
          </cell>
          <cell r="C1272" t="str">
            <v>m</v>
          </cell>
          <cell r="D1272" t="str">
            <v>892,77</v>
          </cell>
          <cell r="E1272" t="str">
            <v>A incluir</v>
          </cell>
        </row>
        <row r="1273">
          <cell r="A1273">
            <v>42803</v>
          </cell>
          <cell r="B1273" t="str">
            <v>Corpo BTTC (grota) diâmetro 0,80 m CA-1 PB exclusive escavação e reaterro, inclusive transporte do tubo em Vias Urbanas</v>
          </cell>
          <cell r="C1273" t="str">
            <v>m</v>
          </cell>
          <cell r="D1273" t="str">
            <v>913,11</v>
          </cell>
          <cell r="E1273" t="str">
            <v>A incluir</v>
          </cell>
        </row>
        <row r="1274">
          <cell r="A1274">
            <v>42804</v>
          </cell>
          <cell r="B1274" t="str">
            <v>Corpo BTTC (grota) diâmetro 0,80 m CA-2 MF exclusive escavação e reaterro, inclusive transporte do tubo em Vias Urbanas</v>
          </cell>
          <cell r="C1274" t="str">
            <v>m</v>
          </cell>
          <cell r="D1274" t="str">
            <v>921,94</v>
          </cell>
          <cell r="E1274" t="str">
            <v>A incluir</v>
          </cell>
        </row>
        <row r="1275">
          <cell r="A1275">
            <v>42805</v>
          </cell>
          <cell r="B1275" t="str">
            <v>Corpo BTTC (grota) diâmetro 0,80 m CA-2 PB exclusive escavação e reaterro, inclusive transporte do tubo em Vias Urbanas</v>
          </cell>
          <cell r="C1275" t="str">
            <v>m</v>
          </cell>
          <cell r="D1275" t="str">
            <v>963,86</v>
          </cell>
          <cell r="E1275" t="str">
            <v>A incluir</v>
          </cell>
        </row>
        <row r="1276">
          <cell r="A1276">
            <v>42806</v>
          </cell>
          <cell r="B1276" t="str">
            <v>Corpo BTTC (grota) diâmetro 1,00 m CA-1 MF exclusive escavação e reaterro, inclusive transporte do tubo em Vias Urbanas</v>
          </cell>
          <cell r="C1276" t="str">
            <v>m</v>
          </cell>
          <cell r="D1276" t="str">
            <v>1.138,73</v>
          </cell>
          <cell r="E1276" t="str">
            <v>A incluir</v>
          </cell>
        </row>
        <row r="1277">
          <cell r="A1277">
            <v>42807</v>
          </cell>
          <cell r="B1277" t="str">
            <v>Corpo BTTC (grota) diâmetro 1,00 m CA-1 PB exclusive escavação e reaterro, inclusive transporte do tubo em Vias Urbanas</v>
          </cell>
          <cell r="C1277" t="str">
            <v>m</v>
          </cell>
          <cell r="D1277" t="str">
            <v>1.164,09</v>
          </cell>
          <cell r="E1277" t="str">
            <v>A incluir</v>
          </cell>
        </row>
        <row r="1278">
          <cell r="A1278">
            <v>42808</v>
          </cell>
          <cell r="B1278" t="str">
            <v>Corpo BTTC (grota) diâmetro 1,00 m CA-2 MF exclusive escavação e reaterro, inclusive transporte do tubo em Vias Urbanas</v>
          </cell>
          <cell r="C1278" t="str">
            <v>m</v>
          </cell>
          <cell r="D1278" t="str">
            <v>1.177,62</v>
          </cell>
          <cell r="E1278" t="str">
            <v>A incluir</v>
          </cell>
        </row>
        <row r="1279">
          <cell r="A1279">
            <v>42809</v>
          </cell>
          <cell r="B1279" t="str">
            <v>Corpo BTTC (grota) diâmetro 1,00 m CA-2 PB exclusive escavação e reaterro, inclusive transporte do tubo em Vias Urbanas</v>
          </cell>
          <cell r="C1279" t="str">
            <v>m</v>
          </cell>
          <cell r="D1279" t="str">
            <v>1.224,29</v>
          </cell>
          <cell r="E1279" t="str">
            <v>A incluir</v>
          </cell>
        </row>
        <row r="1280">
          <cell r="A1280">
            <v>42810</v>
          </cell>
          <cell r="B1280" t="str">
            <v>Corpo BTTC (grota) diâmetro 1,00 m CA-3 MF exclusive escavação e reaterro, inclusive transporte do tubo em Vias Urbanas</v>
          </cell>
          <cell r="C1280" t="str">
            <v>m</v>
          </cell>
          <cell r="D1280" t="str">
            <v>1.284,56</v>
          </cell>
          <cell r="E1280" t="str">
            <v>A incluir</v>
          </cell>
        </row>
        <row r="1281">
          <cell r="A1281">
            <v>42811</v>
          </cell>
          <cell r="B1281" t="str">
            <v>Corpo BTTC (grota) diâmetro 1,20 m CA-1 MF exclusive escavação e reaterro, inclusive transporte do tubo em Vias Urbanas</v>
          </cell>
          <cell r="C1281" t="str">
            <v>m</v>
          </cell>
          <cell r="D1281" t="str">
            <v>1.700,18</v>
          </cell>
          <cell r="E1281" t="str">
            <v>A incluir</v>
          </cell>
        </row>
        <row r="1282">
          <cell r="A1282">
            <v>42812</v>
          </cell>
          <cell r="B1282" t="str">
            <v>Corpo BTTC (grota) diâmetro 1,20 m CA-1 PB exclusive escavação e reaterro, inclusive transporte do tubo em Vias Urbanas</v>
          </cell>
          <cell r="C1282" t="str">
            <v>m</v>
          </cell>
          <cell r="D1282" t="str">
            <v>1.748,13</v>
          </cell>
          <cell r="E1282" t="str">
            <v>A incluir</v>
          </cell>
        </row>
        <row r="1283">
          <cell r="A1283">
            <v>42813</v>
          </cell>
          <cell r="B1283" t="str">
            <v>Corpo BTTC (grota) diâmetro 1,20 m CA-2 MF exclusive escavação e reaterro, inclusive transporte do tubo em Vias Urbanas</v>
          </cell>
          <cell r="C1283" t="str">
            <v>m</v>
          </cell>
          <cell r="D1283" t="str">
            <v>1.758,52</v>
          </cell>
          <cell r="E1283" t="str">
            <v>A incluir</v>
          </cell>
        </row>
        <row r="1284">
          <cell r="A1284">
            <v>42814</v>
          </cell>
          <cell r="B1284" t="str">
            <v>Corpo BTTC (grota) diâmetro 1,20 m CA-2 PB exclusive escavação e reaterro, inclusive transporte do tubo em Vias Urbanas</v>
          </cell>
          <cell r="C1284" t="str">
            <v>m</v>
          </cell>
          <cell r="D1284" t="str">
            <v>1.857,68</v>
          </cell>
          <cell r="E1284" t="str">
            <v>A incluir</v>
          </cell>
        </row>
        <row r="1285">
          <cell r="A1285">
            <v>42815</v>
          </cell>
          <cell r="B1285" t="str">
            <v>Corpo BTTC (grota) diâmetro 1,20 m CA-3 MF exclusive escavação e reaterro, inclusive transporte do tubo em Vias Urbanas</v>
          </cell>
          <cell r="C1285" t="str">
            <v>m</v>
          </cell>
          <cell r="D1285" t="str">
            <v>1.807,13</v>
          </cell>
          <cell r="E1285" t="str">
            <v>A incluir</v>
          </cell>
        </row>
        <row r="1286">
          <cell r="A1286">
            <v>42816</v>
          </cell>
          <cell r="B1286" t="str">
            <v>Corpo BTTC (grota) diâmetro 1,50 m CA-1 MF exclusive escavação e reaterro, inclusive transporte do tubo em Vias Urbanas</v>
          </cell>
          <cell r="C1286" t="str">
            <v>m</v>
          </cell>
          <cell r="D1286" t="str">
            <v>2.808,47</v>
          </cell>
          <cell r="E1286" t="str">
            <v>A incluir</v>
          </cell>
        </row>
        <row r="1287">
          <cell r="A1287">
            <v>42817</v>
          </cell>
          <cell r="B1287" t="str">
            <v>Corpo BTTC (grota) diâmetro 1,50 m CA-1 PB exclusive escavação e reaterro, inclusive transporte do tubo em Vias Urbanas</v>
          </cell>
          <cell r="C1287" t="str">
            <v>m</v>
          </cell>
          <cell r="D1287" t="str">
            <v>2.467,49</v>
          </cell>
          <cell r="E1287" t="str">
            <v>A incluir</v>
          </cell>
        </row>
        <row r="1288">
          <cell r="A1288">
            <v>42818</v>
          </cell>
          <cell r="B1288" t="str">
            <v>Corpo BTTC (grota) diâmetro 1,50 m CA-2 MF exclusive escavação e reaterro, inclusive transporte do tubo em Vias Urbanas</v>
          </cell>
          <cell r="C1288" t="str">
            <v>m</v>
          </cell>
          <cell r="D1288" t="str">
            <v>2.925,13</v>
          </cell>
          <cell r="E1288" t="str">
            <v>A incluir</v>
          </cell>
        </row>
        <row r="1289">
          <cell r="A1289">
            <v>42819</v>
          </cell>
          <cell r="B1289" t="str">
            <v>Corpo BTTC (grota) diâmetro 1,50 m CA-2 PB exclusive escavação e reaterro, inclusive transporte do tubo em Vias Urbanas</v>
          </cell>
          <cell r="C1289" t="str">
            <v>m</v>
          </cell>
          <cell r="D1289" t="str">
            <v>2.616,28</v>
          </cell>
          <cell r="E1289" t="str">
            <v>A incluir</v>
          </cell>
        </row>
        <row r="1290">
          <cell r="A1290">
            <v>42820</v>
          </cell>
          <cell r="B1290" t="str">
            <v>Corpo BTTC (grota) diâmetro 1,50 m CA-3 MF exclusive escavação e reaterro, inclusive transporte do tubo em Vias Urbanas</v>
          </cell>
          <cell r="C1290" t="str">
            <v>m</v>
          </cell>
          <cell r="D1290" t="str">
            <v>2.264,02</v>
          </cell>
          <cell r="E1290" t="str">
            <v>A incluir</v>
          </cell>
        </row>
        <row r="1291">
          <cell r="A1291">
            <v>41321</v>
          </cell>
          <cell r="B1291" t="str">
            <v>Corpo de BDCC 1,00 x 1,00 m em Vias Urbanas</v>
          </cell>
          <cell r="C1291" t="str">
            <v>m</v>
          </cell>
          <cell r="D1291" t="str">
            <v>4.995,62</v>
          </cell>
          <cell r="E1291">
            <v>0</v>
          </cell>
        </row>
        <row r="1292">
          <cell r="A1292">
            <v>42821</v>
          </cell>
          <cell r="B1292" t="str">
            <v>Corpo de BDCC 1,50 x 1,50 m projeto DNIT para H &lt; -&gt; 2,50 m em Vias Urbanas</v>
          </cell>
          <cell r="C1292" t="str">
            <v>m</v>
          </cell>
          <cell r="D1292" t="str">
            <v>3.732,72</v>
          </cell>
          <cell r="E1292">
            <v>0</v>
          </cell>
        </row>
        <row r="1293">
          <cell r="A1293">
            <v>42822</v>
          </cell>
          <cell r="B1293" t="str">
            <v>Corpo de BDCC 1,50 x 1,50 m projeto DNIT para 2,50 &lt; H &lt; 5,00 m em Vias Urbanas</v>
          </cell>
          <cell r="C1293" t="str">
            <v>m</v>
          </cell>
          <cell r="D1293" t="str">
            <v>3.895,53</v>
          </cell>
          <cell r="E1293">
            <v>0</v>
          </cell>
        </row>
        <row r="1294">
          <cell r="A1294">
            <v>42823</v>
          </cell>
          <cell r="B1294" t="str">
            <v>Corpo de BDCC 2,00 x 1,20 m -tudo incluido conforme projeto em Vias Urbanas</v>
          </cell>
          <cell r="C1294" t="str">
            <v>m</v>
          </cell>
          <cell r="D1294" t="str">
            <v>5.418,37</v>
          </cell>
          <cell r="E1294">
            <v>0</v>
          </cell>
        </row>
        <row r="1295">
          <cell r="A1295">
            <v>42824</v>
          </cell>
          <cell r="B1295" t="str">
            <v>Corpo de BDCC 2,00 x 2,00 m projeto DNIT para H &lt; -&gt; 2,50 m em Vias Urbanas</v>
          </cell>
          <cell r="C1295" t="str">
            <v>m</v>
          </cell>
          <cell r="D1295" t="str">
            <v>5.354,15</v>
          </cell>
          <cell r="E1295">
            <v>0</v>
          </cell>
        </row>
        <row r="1296">
          <cell r="A1296">
            <v>42825</v>
          </cell>
          <cell r="B1296" t="str">
            <v>Corpo de BDCC 2,00 x 2,00 m projeto DNIT para 2,50 &lt; H &lt; 5,00 m em Vias Urbanas</v>
          </cell>
          <cell r="C1296" t="str">
            <v>m</v>
          </cell>
          <cell r="D1296" t="str">
            <v>5.940,78</v>
          </cell>
          <cell r="E1296">
            <v>0</v>
          </cell>
        </row>
        <row r="1297">
          <cell r="A1297">
            <v>40600</v>
          </cell>
          <cell r="B1297" t="str">
            <v>Corpo de BDCC 2,00 x 2,50 m em Vias Urbanas</v>
          </cell>
          <cell r="C1297" t="str">
            <v>m</v>
          </cell>
          <cell r="D1297" t="str">
            <v>7.969,44</v>
          </cell>
          <cell r="E1297">
            <v>0</v>
          </cell>
        </row>
        <row r="1298">
          <cell r="A1298">
            <v>42827</v>
          </cell>
          <cell r="B1298" t="str">
            <v>Corpo de BDCC 2,00 x 3,00 m projeto DNIT p/ 2,50 &lt; H &lt; 5,00 m em Vias Urbanas</v>
          </cell>
          <cell r="C1298" t="str">
            <v>m</v>
          </cell>
          <cell r="D1298" t="str">
            <v>8.901,23</v>
          </cell>
          <cell r="E1298">
            <v>0</v>
          </cell>
        </row>
        <row r="1299">
          <cell r="A1299">
            <v>42826</v>
          </cell>
          <cell r="B1299" t="str">
            <v>Corpo de BDCC 2,00 x 3,00 m projeto DNIT para H &lt; -&gt; 2,50 m em Vias Urbanas</v>
          </cell>
          <cell r="C1299" t="str">
            <v>m</v>
          </cell>
          <cell r="D1299" t="str">
            <v>7.639,84</v>
          </cell>
          <cell r="E1299">
            <v>0</v>
          </cell>
        </row>
        <row r="1300">
          <cell r="A1300">
            <v>42828</v>
          </cell>
          <cell r="B1300" t="str">
            <v>Corpo de BDCC 2,50 x 2,00m - tudo incluído conforme projeto em Vias Urbanas</v>
          </cell>
          <cell r="C1300" t="str">
            <v>m</v>
          </cell>
          <cell r="D1300" t="str">
            <v>7.807,79</v>
          </cell>
          <cell r="E1300">
            <v>0</v>
          </cell>
        </row>
        <row r="1301">
          <cell r="A1301">
            <v>42830</v>
          </cell>
          <cell r="B1301" t="str">
            <v>Corpo de BDCC 2,50 x 2,50 m projeto DNIT p/ 2,50&lt; H &lt;5,00 m em Vias Urbanas</v>
          </cell>
          <cell r="C1301" t="str">
            <v>m</v>
          </cell>
          <cell r="D1301" t="str">
            <v>8.048,29</v>
          </cell>
          <cell r="E1301">
            <v>0</v>
          </cell>
        </row>
        <row r="1302">
          <cell r="A1302">
            <v>42829</v>
          </cell>
          <cell r="B1302" t="str">
            <v>Corpo de BDCC 2,50 x 2,50 m projeto DNIT para H&lt;-&gt;2,50m em Vias Urbanas</v>
          </cell>
          <cell r="C1302" t="str">
            <v>m</v>
          </cell>
          <cell r="D1302" t="str">
            <v>7.206,23</v>
          </cell>
          <cell r="E1302">
            <v>0</v>
          </cell>
        </row>
        <row r="1303">
          <cell r="A1303">
            <v>42831</v>
          </cell>
          <cell r="B1303" t="str">
            <v>Corpo de BDCC 2,50 x 3,00 m projeto DNIT p/ H &lt;-&gt; 2,50 m em Vias Urbanas</v>
          </cell>
          <cell r="C1303" t="str">
            <v>m</v>
          </cell>
          <cell r="D1303" t="str">
            <v>8.724,37</v>
          </cell>
          <cell r="E1303">
            <v>0</v>
          </cell>
        </row>
        <row r="1304">
          <cell r="A1304">
            <v>42832</v>
          </cell>
          <cell r="B1304" t="str">
            <v>Corpo de BDCC 2,50 x 3,00 m projeto DNIT p/ 2,50 &lt; H &lt; 5,00 m em Vias Urbanas</v>
          </cell>
          <cell r="C1304" t="str">
            <v>m</v>
          </cell>
          <cell r="D1304" t="str">
            <v>9.656,24</v>
          </cell>
          <cell r="E1304">
            <v>0</v>
          </cell>
        </row>
        <row r="1305">
          <cell r="A1305">
            <v>42834</v>
          </cell>
          <cell r="B1305" t="str">
            <v>Corpo de BDCC 3,00 x 3,00 m projeto DNIT p/ 2,50 &lt; H &lt; 5,00 m em Vias Urbanas</v>
          </cell>
          <cell r="C1305" t="str">
            <v>m</v>
          </cell>
          <cell r="D1305" t="str">
            <v>10.325,71</v>
          </cell>
          <cell r="E1305">
            <v>0</v>
          </cell>
        </row>
        <row r="1306">
          <cell r="A1306">
            <v>42833</v>
          </cell>
          <cell r="B1306" t="str">
            <v>Corpo de BDCC 3,00 x 3,00 m projeto DNIT para H &lt;-&gt; 2,50 m em Vias Urbanas</v>
          </cell>
          <cell r="C1306" t="str">
            <v>m</v>
          </cell>
          <cell r="D1306" t="str">
            <v>9.568,72</v>
          </cell>
          <cell r="E1306">
            <v>0</v>
          </cell>
        </row>
        <row r="1307">
          <cell r="A1307">
            <v>42835</v>
          </cell>
          <cell r="B1307" t="str">
            <v>Corpo de BSCC 1,50 x 1,50 m projeto DNIT p/ H &lt;-&gt; 2,50 m em Vias Urbanas</v>
          </cell>
          <cell r="C1307" t="str">
            <v>m</v>
          </cell>
          <cell r="D1307" t="str">
            <v>2.268,70</v>
          </cell>
          <cell r="E1307">
            <v>0</v>
          </cell>
        </row>
        <row r="1308">
          <cell r="A1308">
            <v>42836</v>
          </cell>
          <cell r="B1308" t="str">
            <v>Corpo de BSCC 1,50x1,50m projeto DNIT p/ 2,50&lt; H &lt;5,00m em Vias Urbanas</v>
          </cell>
          <cell r="C1308" t="str">
            <v>m</v>
          </cell>
          <cell r="D1308" t="str">
            <v>2.390,81</v>
          </cell>
          <cell r="E1308">
            <v>0</v>
          </cell>
        </row>
        <row r="1309">
          <cell r="A1309">
            <v>42837</v>
          </cell>
          <cell r="B1309" t="str">
            <v>Corpo de BSCC 2,00 x 2,00m projeto DNIT para 5,00 &lt; H &lt; 7,50 m em Vias Urbanas</v>
          </cell>
          <cell r="C1309" t="str">
            <v>m</v>
          </cell>
          <cell r="D1309" t="str">
            <v>3.896,26</v>
          </cell>
          <cell r="E1309">
            <v>0</v>
          </cell>
        </row>
        <row r="1310">
          <cell r="A1310">
            <v>42838</v>
          </cell>
          <cell r="B1310" t="str">
            <v>Corpo de BSCC 2,00x2,00m projeto DNIT p/ H&lt;-&gt;2,50m em Vias Urbanas</v>
          </cell>
          <cell r="C1310" t="str">
            <v>m</v>
          </cell>
          <cell r="D1310" t="str">
            <v>3.209,97</v>
          </cell>
          <cell r="E1310">
            <v>0</v>
          </cell>
        </row>
        <row r="1311">
          <cell r="A1311">
            <v>42839</v>
          </cell>
          <cell r="B1311" t="str">
            <v>Corpo de BSCC 2,00x2,00m projeto DNIT p/ 2,50&lt; H &lt;5,00m em Vias Urbanas</v>
          </cell>
          <cell r="C1311" t="str">
            <v>m</v>
          </cell>
          <cell r="D1311" t="str">
            <v>3.611,33</v>
          </cell>
          <cell r="E1311">
            <v>0</v>
          </cell>
        </row>
        <row r="1312">
          <cell r="A1312">
            <v>42840</v>
          </cell>
          <cell r="B1312" t="str">
            <v>Corpo de BSCC 2,00x3,00m projeto DNIT p/ H&lt;-&gt;2,50m em Vias Urbanas</v>
          </cell>
          <cell r="C1312" t="str">
            <v>m</v>
          </cell>
          <cell r="D1312" t="str">
            <v>4.643,68</v>
          </cell>
          <cell r="E1312">
            <v>0</v>
          </cell>
        </row>
        <row r="1313">
          <cell r="A1313">
            <v>42841</v>
          </cell>
          <cell r="B1313" t="str">
            <v>Corpo de BSCC 2,00x3,00m projeto DNIT p/ 2,50&lt; H &lt;5,00m em Vias Urbanas</v>
          </cell>
          <cell r="C1313" t="str">
            <v>m</v>
          </cell>
          <cell r="D1313" t="str">
            <v>5.843,02</v>
          </cell>
          <cell r="E1313">
            <v>0</v>
          </cell>
        </row>
        <row r="1314">
          <cell r="A1314">
            <v>40585</v>
          </cell>
          <cell r="B1314" t="str">
            <v>Corpo de BSCC 2,50 x 2,50 m, para H &lt; -&gt; 2,50 m em Vias Urbanas</v>
          </cell>
          <cell r="C1314" t="str">
            <v>m</v>
          </cell>
          <cell r="D1314" t="str">
            <v>4.988,39</v>
          </cell>
          <cell r="E1314">
            <v>0</v>
          </cell>
        </row>
        <row r="1315">
          <cell r="A1315">
            <v>42843</v>
          </cell>
          <cell r="B1315" t="str">
            <v>Corpo de BSCC 2,50x2,50m projeto DNIT para 2,50&lt; H &lt;5,00m em Vias Urbanas</v>
          </cell>
          <cell r="C1315" t="str">
            <v>m</v>
          </cell>
          <cell r="D1315" t="str">
            <v>4.982,53</v>
          </cell>
          <cell r="E1315">
            <v>0</v>
          </cell>
        </row>
        <row r="1316">
          <cell r="A1316">
            <v>42844</v>
          </cell>
          <cell r="B1316" t="str">
            <v>Corpo de BSCC 2,50x3,00m projeto DNIT para H&lt;-&gt;2,50m em Vias Urbanas</v>
          </cell>
          <cell r="C1316" t="str">
            <v>m</v>
          </cell>
          <cell r="D1316" t="str">
            <v>5.736,32</v>
          </cell>
          <cell r="E1316">
            <v>0</v>
          </cell>
        </row>
        <row r="1317">
          <cell r="A1317">
            <v>42845</v>
          </cell>
          <cell r="B1317" t="str">
            <v>Corpo de BSCC 2,50x3,00m projeto DNIT para 2,50&lt; H &lt;5,00m em Vias Urbanas</v>
          </cell>
          <cell r="C1317" t="str">
            <v>m</v>
          </cell>
          <cell r="D1317" t="str">
            <v>6.826,96</v>
          </cell>
          <cell r="E1317">
            <v>0</v>
          </cell>
        </row>
        <row r="1318">
          <cell r="A1318">
            <v>41179</v>
          </cell>
          <cell r="B1318" t="str">
            <v>Corpo de BSCC 3,00x1,50 para 2,50m&lt; H &lt; 5,00m , em Vias Urbanas</v>
          </cell>
          <cell r="C1318" t="str">
            <v>m</v>
          </cell>
          <cell r="D1318" t="str">
            <v>5.939,28</v>
          </cell>
          <cell r="E1318">
            <v>0</v>
          </cell>
        </row>
        <row r="1319">
          <cell r="A1319">
            <v>42842</v>
          </cell>
          <cell r="B1319" t="str">
            <v>Corpo de BSCC 3,00x3,00m projeto DNIT para H&lt;-&gt;2,50m em Vias Urbanas</v>
          </cell>
          <cell r="C1319" t="str">
            <v>m</v>
          </cell>
          <cell r="D1319" t="str">
            <v>6.242,98</v>
          </cell>
          <cell r="E1319">
            <v>0</v>
          </cell>
        </row>
        <row r="1320">
          <cell r="A1320">
            <v>42848</v>
          </cell>
          <cell r="B1320" t="str">
            <v>Corpo de BSCC 3,00x3,00m projeto DNIT para 2,50&lt; H &lt;5,00m em Vias Urbanas</v>
          </cell>
          <cell r="C1320" t="str">
            <v>m</v>
          </cell>
          <cell r="D1320" t="str">
            <v>7.130,73</v>
          </cell>
          <cell r="E1320">
            <v>0</v>
          </cell>
        </row>
        <row r="1321">
          <cell r="A1321">
            <v>42849</v>
          </cell>
          <cell r="B1321" t="str">
            <v>Corpo de BTCC 1,50 x 1,50 m projeto DNIT para H &lt;-&gt; 2,50 m em Vias Urbanas</v>
          </cell>
          <cell r="C1321" t="str">
            <v>m</v>
          </cell>
          <cell r="D1321" t="str">
            <v>5.226,56</v>
          </cell>
          <cell r="E1321">
            <v>0</v>
          </cell>
        </row>
        <row r="1322">
          <cell r="A1322">
            <v>42850</v>
          </cell>
          <cell r="B1322" t="str">
            <v>Corpo de BTCC 1,50 x 1,50 m projeto DNIT para 2,50 &lt; H &lt; 5,00 m em Vias Urbanas</v>
          </cell>
          <cell r="C1322" t="str">
            <v>m</v>
          </cell>
          <cell r="D1322" t="str">
            <v>5.527,77</v>
          </cell>
          <cell r="E1322">
            <v>0</v>
          </cell>
        </row>
        <row r="1323">
          <cell r="A1323">
            <v>42851</v>
          </cell>
          <cell r="B1323" t="str">
            <v>Corpo de BTCC 2,00 x 2,00 m projeto DNIT para H &lt;-&gt; 2,50 m em Vias Urbanas</v>
          </cell>
          <cell r="C1323" t="str">
            <v>m</v>
          </cell>
          <cell r="D1323" t="str">
            <v>7.619,48</v>
          </cell>
          <cell r="E1323">
            <v>0</v>
          </cell>
        </row>
        <row r="1324">
          <cell r="A1324">
            <v>42852</v>
          </cell>
          <cell r="B1324" t="str">
            <v>Corpo de BTCC 2,00 x 2,00 m projeto DNIT para 2,50 &lt; H &lt; 5,00 m em Vias Urbanas</v>
          </cell>
          <cell r="C1324" t="str">
            <v>m</v>
          </cell>
          <cell r="D1324" t="str">
            <v>8.107,43</v>
          </cell>
          <cell r="E1324">
            <v>0</v>
          </cell>
        </row>
        <row r="1325">
          <cell r="A1325">
            <v>42853</v>
          </cell>
          <cell r="B1325" t="str">
            <v>Corpo de BTCC 2,00 x 3,00 m projeto DNIT para H &lt; -&gt; 2,50 m em Vias Urbanas</v>
          </cell>
          <cell r="C1325" t="str">
            <v>m</v>
          </cell>
          <cell r="D1325" t="str">
            <v>11.056,54</v>
          </cell>
          <cell r="E1325">
            <v>0</v>
          </cell>
        </row>
        <row r="1326">
          <cell r="A1326">
            <v>42854</v>
          </cell>
          <cell r="B1326" t="str">
            <v>Corpo de BTCC 2,00 x 3,00 m projeto DNIT para 2,50 &lt; H &lt; 5,00 m em Vias Urbanas</v>
          </cell>
          <cell r="C1326" t="str">
            <v>m</v>
          </cell>
          <cell r="D1326" t="str">
            <v>12.511,51</v>
          </cell>
          <cell r="E1326">
            <v>0</v>
          </cell>
        </row>
        <row r="1327">
          <cell r="A1327">
            <v>42855</v>
          </cell>
          <cell r="B1327" t="str">
            <v>Corpo de BTCC 2,50 x 2,50 m projeto DNIT para H &lt; -&gt; 2,50 m em Vias Urbanas</v>
          </cell>
          <cell r="C1327" t="str">
            <v>m</v>
          </cell>
          <cell r="D1327" t="str">
            <v>9.962,71</v>
          </cell>
          <cell r="E1327">
            <v>0</v>
          </cell>
        </row>
        <row r="1328">
          <cell r="A1328">
            <v>42856</v>
          </cell>
          <cell r="B1328" t="str">
            <v>Corpo de BTCC 2,50 x 2,50 m projeto DNIT para 2,50 &lt; H &lt; 5,00 m em Vias Urbanas</v>
          </cell>
          <cell r="C1328" t="str">
            <v>m</v>
          </cell>
          <cell r="D1328" t="str">
            <v>11.162,45</v>
          </cell>
          <cell r="E1328">
            <v>0</v>
          </cell>
        </row>
        <row r="1329">
          <cell r="A1329">
            <v>42858</v>
          </cell>
          <cell r="B1329" t="str">
            <v>Corpo de BTCC 2,50 x 3,00 m projeto DNIT para H &lt; -&gt; 2,50 m em Vias Urbanas</v>
          </cell>
          <cell r="C1329" t="str">
            <v>m</v>
          </cell>
          <cell r="D1329" t="str">
            <v>12.361,78</v>
          </cell>
          <cell r="E1329">
            <v>0</v>
          </cell>
        </row>
        <row r="1330">
          <cell r="A1330">
            <v>42857</v>
          </cell>
          <cell r="B1330" t="str">
            <v>Corpo de BTCC 2,50 x 3,00 m projeto DNIT para H &lt; -&gt; 2,50 m em vias Urbanas</v>
          </cell>
          <cell r="C1330" t="str">
            <v>m</v>
          </cell>
          <cell r="D1330" t="str">
            <v>12.361,78</v>
          </cell>
          <cell r="E1330">
            <v>0</v>
          </cell>
        </row>
        <row r="1331">
          <cell r="A1331">
            <v>42859</v>
          </cell>
          <cell r="B1331" t="str">
            <v>Corpo de BTCC 2,50 x 3,00 m projeto DNIT para 2,50 &lt; H &lt; 5,00 m em Vias Urbanas</v>
          </cell>
          <cell r="C1331" t="str">
            <v>m</v>
          </cell>
          <cell r="D1331" t="str">
            <v>13.987,88</v>
          </cell>
          <cell r="E1331">
            <v>0</v>
          </cell>
        </row>
        <row r="1332">
          <cell r="A1332">
            <v>42860</v>
          </cell>
          <cell r="B1332" t="str">
            <v>Corpo de BTCC 3,00 x 3,00 m projeto DNIT para H &lt; -&gt; 2,50 m em Vias Urbanas</v>
          </cell>
          <cell r="C1332" t="str">
            <v>m</v>
          </cell>
          <cell r="D1332" t="str">
            <v>13.290,91</v>
          </cell>
          <cell r="E1332">
            <v>0</v>
          </cell>
        </row>
        <row r="1333">
          <cell r="A1333">
            <v>42861</v>
          </cell>
          <cell r="B1333" t="str">
            <v>Corpo de BTCC 3,00 x 3,00 m projeto DNIT para 2,50 &lt; H &lt; 5,00 m em Vias Urbanas</v>
          </cell>
          <cell r="C1333" t="str">
            <v>m</v>
          </cell>
          <cell r="D1333" t="str">
            <v>14.876,64</v>
          </cell>
          <cell r="E1333">
            <v>0</v>
          </cell>
        </row>
        <row r="1334">
          <cell r="A1334">
            <v>42862</v>
          </cell>
          <cell r="B1334" t="str">
            <v>Corta-rio (escavação mecânica em material de 1ª cat.) H-&gt;1,50 a 3,00 m em Vias Urbanas</v>
          </cell>
          <cell r="C1334" t="str">
            <v>m³</v>
          </cell>
          <cell r="D1334" t="str">
            <v>13,45</v>
          </cell>
          <cell r="E1334">
            <v>0</v>
          </cell>
        </row>
        <row r="1335">
          <cell r="A1335">
            <v>42863</v>
          </cell>
          <cell r="B1335" t="str">
            <v>Corta-rio (escavação mecânica em material de 2ª cat.) H-&gt;1,50 a 3,00m em Vias Urbanas</v>
          </cell>
          <cell r="C1335" t="str">
            <v>m³</v>
          </cell>
          <cell r="D1335" t="str">
            <v>26,91</v>
          </cell>
          <cell r="E1335">
            <v>0</v>
          </cell>
        </row>
        <row r="1336">
          <cell r="A1336">
            <v>42864</v>
          </cell>
          <cell r="B1336" t="str">
            <v>Corta-rio (escavação mecânica em material de 3º cat.) H-&gt;0,00 a 1,50m em Vias Urbanas</v>
          </cell>
          <cell r="C1336" t="str">
            <v>m³</v>
          </cell>
          <cell r="D1336" t="str">
            <v>113,98</v>
          </cell>
          <cell r="E1336">
            <v>0</v>
          </cell>
        </row>
        <row r="1337">
          <cell r="A1337">
            <v>42865</v>
          </cell>
          <cell r="B1337" t="str">
            <v>Corte e esmerilhamento de pontas de tubo de ferro fundido DN 500 a 200mm em Vias Urbanas</v>
          </cell>
          <cell r="C1337" t="str">
            <v>m</v>
          </cell>
          <cell r="D1337" t="str">
            <v>18,90</v>
          </cell>
          <cell r="E1337">
            <v>0</v>
          </cell>
        </row>
        <row r="1338">
          <cell r="A1338">
            <v>42866</v>
          </cell>
          <cell r="B1338" t="str">
            <v>Curva 90° de PVC, junta elástica PBA, D-&gt;75mm, fornecimento e assentamento em Vias Urbanas</v>
          </cell>
          <cell r="C1338" t="str">
            <v>un</v>
          </cell>
          <cell r="D1338" t="str">
            <v>53,07</v>
          </cell>
          <cell r="E1338">
            <v>0</v>
          </cell>
        </row>
        <row r="1339">
          <cell r="A1339">
            <v>42867</v>
          </cell>
          <cell r="B1339" t="str">
            <v>Demolição manual alvenaria tijolo furado assentado com argamassa em Vias Urbanas</v>
          </cell>
          <cell r="C1339" t="str">
            <v>m³</v>
          </cell>
          <cell r="D1339" t="str">
            <v>168,36</v>
          </cell>
          <cell r="E1339">
            <v>0</v>
          </cell>
        </row>
        <row r="1340">
          <cell r="A1340">
            <v>42868</v>
          </cell>
          <cell r="B1340" t="str">
            <v>Demolição manual de concreto armado em Vias Urbanas</v>
          </cell>
          <cell r="C1340" t="str">
            <v>m³</v>
          </cell>
          <cell r="D1340" t="str">
            <v>248,42</v>
          </cell>
          <cell r="E1340">
            <v>0</v>
          </cell>
        </row>
        <row r="1341">
          <cell r="A1341">
            <v>42869</v>
          </cell>
          <cell r="B1341" t="str">
            <v>Demolição manual de concreto simples ou ciclópico em Vias Urbanas</v>
          </cell>
          <cell r="C1341" t="str">
            <v>m³</v>
          </cell>
          <cell r="D1341" t="str">
            <v>219,19</v>
          </cell>
          <cell r="E1341">
            <v>0</v>
          </cell>
        </row>
        <row r="1342">
          <cell r="A1342">
            <v>42870</v>
          </cell>
          <cell r="B1342" t="str">
            <v>Demolição mecânica de concreto em Vias Urbanas</v>
          </cell>
          <cell r="C1342" t="str">
            <v>m³</v>
          </cell>
          <cell r="D1342" t="str">
            <v>158,26</v>
          </cell>
          <cell r="E1342">
            <v>0</v>
          </cell>
        </row>
        <row r="1343">
          <cell r="A1343">
            <v>42880</v>
          </cell>
          <cell r="B1343" t="str">
            <v>Descida d'água concreto simples (degraus) c/ caiação (DSA-03) apoio em Vias Urbanas</v>
          </cell>
          <cell r="C1343" t="str">
            <v>un</v>
          </cell>
          <cell r="D1343" t="str">
            <v>664,78</v>
          </cell>
          <cell r="E1343">
            <v>0</v>
          </cell>
        </row>
        <row r="1344">
          <cell r="A1344">
            <v>42883</v>
          </cell>
          <cell r="B1344" t="str">
            <v>Deslocamento de cerca de tela galvanizada fio 12 malha 3" x 3", em Vias Urbanas</v>
          </cell>
          <cell r="C1344" t="str">
            <v>m</v>
          </cell>
          <cell r="D1344" t="str">
            <v>34,81</v>
          </cell>
          <cell r="E1344" t="str">
            <v>A incluir</v>
          </cell>
        </row>
        <row r="1345">
          <cell r="A1345">
            <v>42899</v>
          </cell>
          <cell r="B1345" t="str">
            <v>Dreno de alívio de pavimento (DP - DAP - 01), com tubo PVC d-&gt;50mm, geotêxtil não tecido RT 07 kN/m inclusive transporte da brita em Vias Urbanas</v>
          </cell>
          <cell r="C1345" t="str">
            <v>m</v>
          </cell>
          <cell r="D1345" t="str">
            <v>49,02</v>
          </cell>
          <cell r="E1345" t="str">
            <v>A incluir</v>
          </cell>
        </row>
        <row r="1346">
          <cell r="A1346">
            <v>42901</v>
          </cell>
          <cell r="B1346" t="str">
            <v>Dreno de PVC D -&gt; 100 mm em Vias Urbanas</v>
          </cell>
          <cell r="C1346" t="str">
            <v>m</v>
          </cell>
          <cell r="D1346" t="str">
            <v>29,67</v>
          </cell>
          <cell r="E1346">
            <v>0</v>
          </cell>
        </row>
        <row r="1347">
          <cell r="A1347">
            <v>42900</v>
          </cell>
          <cell r="B1347" t="str">
            <v>Dreno de PVC D -&gt; 50 mm em Vias Urbanas</v>
          </cell>
          <cell r="C1347" t="str">
            <v>m</v>
          </cell>
          <cell r="D1347" t="str">
            <v>17,82</v>
          </cell>
          <cell r="E1347">
            <v>0</v>
          </cell>
        </row>
        <row r="1348">
          <cell r="A1348">
            <v>41185</v>
          </cell>
          <cell r="B1348" t="str">
            <v>Dreno em PVC perfurado diâm. -&gt; 100 mm, em Vias Urbanas</v>
          </cell>
          <cell r="C1348" t="str">
            <v>m</v>
          </cell>
          <cell r="D1348" t="str">
            <v>11,61</v>
          </cell>
          <cell r="E1348" t="str">
            <v>A incluir</v>
          </cell>
        </row>
        <row r="1349">
          <cell r="A1349">
            <v>42903</v>
          </cell>
          <cell r="B1349" t="str">
            <v>Dreno Longitudinal tipo Trincheira Drenante, H -&gt; 0,90 m com tubo poroso tipo PEAD d -&gt;110 mm, incluindo esc. mat. 3ª cat. em Vias Urbanas</v>
          </cell>
          <cell r="C1349" t="str">
            <v>m</v>
          </cell>
          <cell r="D1349" t="str">
            <v>102,93</v>
          </cell>
          <cell r="E1349" t="str">
            <v>A incluir</v>
          </cell>
        </row>
        <row r="1350">
          <cell r="A1350">
            <v>42904</v>
          </cell>
          <cell r="B1350" t="str">
            <v>Dreno Longitudinal tipo Trincheira Drenante, H -&gt; 0,90 m com tubo poroso tipo PEAD d-&gt;110 mm, inclusive esc. em mat. 1ª cat. em Vias Urbanas</v>
          </cell>
          <cell r="C1350" t="str">
            <v>m</v>
          </cell>
          <cell r="D1350" t="str">
            <v>81,90</v>
          </cell>
          <cell r="E1350" t="str">
            <v>A incluir</v>
          </cell>
        </row>
        <row r="1351">
          <cell r="A1351">
            <v>42902</v>
          </cell>
          <cell r="B1351" t="str">
            <v>Dreno Longitudinal tipo Trincheira Drenante, H-&gt;0,40m c/tubo poroso PEAD d -&gt; 65 mm, incl. esc. mat. 1ª cat., geotêxtil não tecido RT 07kN/m, V. Urbanas</v>
          </cell>
          <cell r="C1351" t="str">
            <v>m</v>
          </cell>
          <cell r="D1351" t="str">
            <v>82,44</v>
          </cell>
          <cell r="E1351">
            <v>0</v>
          </cell>
        </row>
        <row r="1352">
          <cell r="A1352">
            <v>42905</v>
          </cell>
          <cell r="B1352" t="str">
            <v>Dreno ou Barbacã em tubo PVC, diâmetro de 2" em Vias Urbanas</v>
          </cell>
          <cell r="C1352" t="str">
            <v>m</v>
          </cell>
          <cell r="D1352" t="str">
            <v>15,60</v>
          </cell>
          <cell r="E1352">
            <v>0</v>
          </cell>
        </row>
        <row r="1353">
          <cell r="A1353">
            <v>43120</v>
          </cell>
          <cell r="B1353" t="str">
            <v>Dreno profundo com enchimento de areia, escavação em material 1ª categoria, inclusive transporte da areia, em vias Urbanas</v>
          </cell>
          <cell r="C1353" t="str">
            <v>m</v>
          </cell>
          <cell r="D1353" t="str">
            <v>92,07</v>
          </cell>
          <cell r="E1353" t="str">
            <v>A incluir</v>
          </cell>
        </row>
        <row r="1354">
          <cell r="A1354">
            <v>42906</v>
          </cell>
          <cell r="B1354" t="str">
            <v>Dreno profundo com enchimento de brita e areia (1:1) escavação em material 1ª categoria, inclusive transporte da areia e da brita em Vias Urbanas</v>
          </cell>
          <cell r="C1354" t="str">
            <v>m</v>
          </cell>
          <cell r="D1354" t="str">
            <v>96,91</v>
          </cell>
          <cell r="E1354" t="str">
            <v>A incluir</v>
          </cell>
        </row>
        <row r="1355">
          <cell r="A1355">
            <v>42907</v>
          </cell>
          <cell r="B1355" t="str">
            <v>Dreno profundo com enchimento de brita e areia (1:1) escavação em material 2ª categoria, inclusive transporte da areia e da brita em Vias Urbanas</v>
          </cell>
          <cell r="C1355" t="str">
            <v>m</v>
          </cell>
          <cell r="D1355" t="str">
            <v>103,25</v>
          </cell>
          <cell r="E1355" t="str">
            <v>A incluir</v>
          </cell>
        </row>
        <row r="1356">
          <cell r="A1356">
            <v>42908</v>
          </cell>
          <cell r="B1356" t="str">
            <v>Dreno profundo com enchimento de brita, escavação em material 1ª categoria, inclusive transporte da brita em Vias Urbanas</v>
          </cell>
          <cell r="C1356" t="str">
            <v>m</v>
          </cell>
          <cell r="D1356" t="str">
            <v>94,79</v>
          </cell>
          <cell r="E1356" t="str">
            <v>A incluir</v>
          </cell>
        </row>
        <row r="1357">
          <cell r="A1357">
            <v>43122</v>
          </cell>
          <cell r="B1357" t="str">
            <v>Dreno profundo com tubo poroso, D-&gt;0,20 m com enchim. de brita, escav. material 3ª categoria (DPR-01), inclus. transporte brita e tubo, Vias Urbanas</v>
          </cell>
          <cell r="C1357" t="str">
            <v>m</v>
          </cell>
          <cell r="D1357" t="str">
            <v>92,33</v>
          </cell>
          <cell r="E1357" t="str">
            <v>A incluir</v>
          </cell>
        </row>
        <row r="1358">
          <cell r="A1358">
            <v>42913</v>
          </cell>
          <cell r="B1358" t="str">
            <v>Dreno profundo com tubo poroso, D-&gt;0,20m com enchim. de brita e areia, escav. material 2ª categoria, inclusi. transp. areia,brita e tubo Vias Urbanas</v>
          </cell>
          <cell r="C1358" t="str">
            <v>m</v>
          </cell>
          <cell r="D1358" t="str">
            <v>121,04</v>
          </cell>
          <cell r="E1358" t="str">
            <v>A incluir</v>
          </cell>
        </row>
        <row r="1359">
          <cell r="A1359">
            <v>42910</v>
          </cell>
          <cell r="B1359" t="str">
            <v>Dreno profundo D-&gt;0,10m c/ enchim.brita, areia (1:1) escav. em mat. 3ª categoria, incl.geotêxtil não tecido RT 16kn/m, e transp. brita, areia V.Urbanas</v>
          </cell>
          <cell r="C1359" t="str">
            <v>m</v>
          </cell>
          <cell r="D1359" t="str">
            <v>189,59</v>
          </cell>
          <cell r="E1359" t="str">
            <v>A incluir</v>
          </cell>
        </row>
        <row r="1360">
          <cell r="A1360">
            <v>42909</v>
          </cell>
          <cell r="B1360" t="str">
            <v>Dreno profundo D-&gt;0,10m c/ enchim.brita,areia (1:1) escav.mat. 1ª categoria, incl. geotêxtil não tecido RT16 kn/m e transp. areia,brita- Vias Urbanas</v>
          </cell>
          <cell r="C1360" t="str">
            <v>m</v>
          </cell>
          <cell r="D1360" t="str">
            <v>124,31</v>
          </cell>
          <cell r="E1360" t="str">
            <v>A incluir</v>
          </cell>
        </row>
        <row r="1361">
          <cell r="A1361">
            <v>42911</v>
          </cell>
          <cell r="B1361" t="str">
            <v>Dreno profundo D-&gt;0,20m com enchimento de areia, escavação em material 1ª categoria (DPS-01), inclusive transporte da areia e do tubo em Vias Urbanas</v>
          </cell>
          <cell r="C1361" t="str">
            <v>m</v>
          </cell>
          <cell r="D1361" t="str">
            <v>116,43</v>
          </cell>
          <cell r="E1361" t="str">
            <v>A incluir</v>
          </cell>
        </row>
        <row r="1362">
          <cell r="A1362">
            <v>42912</v>
          </cell>
          <cell r="B1362" t="str">
            <v>Dreno profundo D-&gt;0,20m com enchimento de brita e areia, escavação em material 1ª categoria, inclusive transporte da brita e da areia, em Vias Urbanas</v>
          </cell>
          <cell r="C1362" t="str">
            <v>m</v>
          </cell>
          <cell r="D1362" t="str">
            <v>114,70</v>
          </cell>
          <cell r="E1362" t="str">
            <v>A incluir</v>
          </cell>
        </row>
        <row r="1363">
          <cell r="A1363">
            <v>42915</v>
          </cell>
          <cell r="B1363" t="str">
            <v>Dreno profundo para corte em solo, com enchimento em brita revestido com geotêxtil não tecido RT-16, inclusive transporte da brita em Vias Urbanas</v>
          </cell>
          <cell r="C1363" t="str">
            <v>m</v>
          </cell>
          <cell r="D1363" t="str">
            <v>117,35</v>
          </cell>
          <cell r="E1363" t="str">
            <v>A incluir</v>
          </cell>
        </row>
        <row r="1364">
          <cell r="A1364">
            <v>42914</v>
          </cell>
          <cell r="B1364" t="str">
            <v>Dreno profundo solo c/tubo PVC perfur. D-&gt;0,10 m envolto geotêxtil não tecidoRT16kn/mpreench.c/brita, inclus.transp.dreno exclus transp.brita V Urbanas</v>
          </cell>
          <cell r="C1364" t="str">
            <v>m</v>
          </cell>
          <cell r="D1364" t="str">
            <v>82,13</v>
          </cell>
          <cell r="E1364" t="str">
            <v>A incluir</v>
          </cell>
        </row>
        <row r="1365">
          <cell r="A1365">
            <v>42917</v>
          </cell>
          <cell r="B1365" t="str">
            <v>Dreno sub-horizontal D -&gt; 50 mm em PVC inclus. escavação em alteração de rocha, geotêxtil não tecido RT-16 exclusive transp. em Vias Urbanas</v>
          </cell>
          <cell r="C1365" t="str">
            <v>m</v>
          </cell>
          <cell r="D1365" t="str">
            <v>605,65</v>
          </cell>
          <cell r="E1365">
            <v>0</v>
          </cell>
        </row>
        <row r="1366">
          <cell r="A1366">
            <v>42918</v>
          </cell>
          <cell r="B1366" t="str">
            <v>Dreno sub-horizontal D -&gt; 50 mm em PVC inclus.escavação em rocha sã, geotêxtil não tecido RT-16, exclusive transportes em Vias Urbanas</v>
          </cell>
          <cell r="C1366" t="str">
            <v>m</v>
          </cell>
          <cell r="D1366" t="str">
            <v>775,34</v>
          </cell>
          <cell r="E1366">
            <v>0</v>
          </cell>
        </row>
        <row r="1367">
          <cell r="A1367">
            <v>42916</v>
          </cell>
          <cell r="B1367" t="str">
            <v>Dreno sub-horizontal D-&gt;50 mm inclusive geotêxtil não tecido RT 16 kn/m, em PVC, exclusive transportes em Vias Urbanas</v>
          </cell>
          <cell r="C1367" t="str">
            <v>m</v>
          </cell>
          <cell r="D1367" t="str">
            <v>442,21</v>
          </cell>
          <cell r="E1367">
            <v>0</v>
          </cell>
        </row>
        <row r="1368">
          <cell r="A1368">
            <v>42919</v>
          </cell>
          <cell r="B1368" t="str">
            <v>Dreno sub-superficial rocha (h-&gt;0,55m) c/tubo PVC perfur.d-&gt;0,10m, env. geotêxtil RT-16, preenc.c/ brita, incl. transp. dreno, excl. transp brita-V. Urb</v>
          </cell>
          <cell r="C1368" t="str">
            <v>m</v>
          </cell>
          <cell r="D1368" t="str">
            <v>66,05</v>
          </cell>
          <cell r="E1368" t="str">
            <v>A incluir</v>
          </cell>
        </row>
        <row r="1369">
          <cell r="A1369">
            <v>42920</v>
          </cell>
          <cell r="B1369" t="str">
            <v>Dreno vertical D -&gt; 75 mm em PVC, inclusive geotêxtil não tecido RT-16, exclusive transportes, em Vias Urbanas</v>
          </cell>
          <cell r="C1369" t="str">
            <v>m</v>
          </cell>
          <cell r="D1369" t="str">
            <v>448,00</v>
          </cell>
          <cell r="E1369">
            <v>0</v>
          </cell>
        </row>
        <row r="1370">
          <cell r="A1370">
            <v>42921</v>
          </cell>
          <cell r="B1370" t="str">
            <v>Eletroduto de ferro galvanizado DN 4" , inclusive conexões, exclusive escavação e reaterro, fornecimento e assentamento, em Vias Urbanas</v>
          </cell>
          <cell r="C1370" t="str">
            <v>m</v>
          </cell>
          <cell r="D1370" t="str">
            <v>93,42</v>
          </cell>
          <cell r="E1370">
            <v>0</v>
          </cell>
        </row>
        <row r="1371">
          <cell r="A1371">
            <v>42922</v>
          </cell>
          <cell r="B1371" t="str">
            <v>Eletroduto para rede de lógica, inclusive conexões, em Vias Urbanas</v>
          </cell>
          <cell r="C1371" t="str">
            <v>m</v>
          </cell>
          <cell r="D1371" t="str">
            <v>18,78</v>
          </cell>
          <cell r="E1371">
            <v>0</v>
          </cell>
        </row>
        <row r="1372">
          <cell r="A1372">
            <v>42923</v>
          </cell>
          <cell r="B1372" t="str">
            <v>Eletroduto PVC diâmetro 75mm, fornecimento e assentamento em Vias Urbanas</v>
          </cell>
          <cell r="C1372" t="str">
            <v>m</v>
          </cell>
          <cell r="D1372" t="str">
            <v>21,75</v>
          </cell>
          <cell r="E1372">
            <v>0</v>
          </cell>
        </row>
        <row r="1373">
          <cell r="A1373">
            <v>42924</v>
          </cell>
          <cell r="B1373" t="str">
            <v>Eletroduto PVC rígido roscável diâm. 50 mm, fornecimento e assentamento em Vias Urbanas</v>
          </cell>
          <cell r="C1373" t="str">
            <v>m</v>
          </cell>
          <cell r="D1373" t="str">
            <v>11,36</v>
          </cell>
          <cell r="E1373">
            <v>0</v>
          </cell>
        </row>
        <row r="1374">
          <cell r="A1374">
            <v>42925</v>
          </cell>
          <cell r="B1374" t="str">
            <v>Eletroduto tipo Kanaflex diâmetro 1 1/4", fornecimento e assentamento em Vias Urbanas</v>
          </cell>
          <cell r="C1374" t="str">
            <v>m</v>
          </cell>
          <cell r="D1374" t="str">
            <v>11,56</v>
          </cell>
          <cell r="E1374">
            <v>0</v>
          </cell>
        </row>
        <row r="1375">
          <cell r="A1375">
            <v>42926</v>
          </cell>
          <cell r="B1375" t="str">
            <v>Eletroduto tipo Kanaflex diâmetro 1 1/2", fornecimento e assentamento em Vias Urbanas</v>
          </cell>
          <cell r="C1375" t="str">
            <v>m</v>
          </cell>
          <cell r="D1375" t="str">
            <v>14,33</v>
          </cell>
          <cell r="E1375">
            <v>0</v>
          </cell>
        </row>
        <row r="1376">
          <cell r="A1376">
            <v>42927</v>
          </cell>
          <cell r="B1376" t="str">
            <v>Eletroduto tipo Kanaflex diâmetro 2", fornecimento e assentamento em Vias Urbanas</v>
          </cell>
          <cell r="C1376" t="str">
            <v>m</v>
          </cell>
          <cell r="D1376" t="str">
            <v>17,75</v>
          </cell>
          <cell r="E1376">
            <v>0</v>
          </cell>
        </row>
        <row r="1377">
          <cell r="A1377">
            <v>42928</v>
          </cell>
          <cell r="B1377" t="str">
            <v>Eletroduto tipo Kanaflex diâmetro 4", fornecimento e assentamento em Vias Urbanas</v>
          </cell>
          <cell r="C1377" t="str">
            <v>m</v>
          </cell>
          <cell r="D1377" t="str">
            <v>30,45</v>
          </cell>
          <cell r="E1377">
            <v>0</v>
          </cell>
        </row>
        <row r="1378">
          <cell r="A1378">
            <v>42942</v>
          </cell>
          <cell r="B1378" t="str">
            <v>Escada de madeira executada sobre terreno inclinado, com 80 cm de largura mínima em Vias Urbanas</v>
          </cell>
          <cell r="C1378" t="str">
            <v>m</v>
          </cell>
          <cell r="D1378" t="str">
            <v>59,55</v>
          </cell>
          <cell r="E1378">
            <v>0</v>
          </cell>
        </row>
        <row r="1379">
          <cell r="A1379">
            <v>42944</v>
          </cell>
          <cell r="B1379" t="str">
            <v>Escavação manual em mat. 1ª cat. H-&gt; 0,00 a 1,50 m c/ esgotamento em Vias Urbanas</v>
          </cell>
          <cell r="C1379" t="str">
            <v>m³</v>
          </cell>
          <cell r="D1379" t="str">
            <v>55,70</v>
          </cell>
          <cell r="E1379">
            <v>0</v>
          </cell>
        </row>
        <row r="1380">
          <cell r="A1380">
            <v>42943</v>
          </cell>
          <cell r="B1380" t="str">
            <v>Escavação manual em mat. 1ª cat. H-&gt; 0,00 a 1,50 m em Vias Urbanas</v>
          </cell>
          <cell r="C1380" t="str">
            <v>m³</v>
          </cell>
          <cell r="D1380" t="str">
            <v>52,56</v>
          </cell>
          <cell r="E1380">
            <v>0</v>
          </cell>
        </row>
        <row r="1381">
          <cell r="A1381">
            <v>42946</v>
          </cell>
          <cell r="B1381" t="str">
            <v>Escavação manual em mat. 1ª cat. H-&gt; 1,50 a 3,00 m c/ esgotamento em Vias Urbanas</v>
          </cell>
          <cell r="C1381" t="str">
            <v>m³</v>
          </cell>
          <cell r="D1381" t="str">
            <v>78,59</v>
          </cell>
          <cell r="E1381">
            <v>0</v>
          </cell>
        </row>
        <row r="1382">
          <cell r="A1382">
            <v>42945</v>
          </cell>
          <cell r="B1382" t="str">
            <v>Escavação manual em mat. 1ª cat. H-&gt; 1,50 a 3,00 m em Vias Urbanas</v>
          </cell>
          <cell r="C1382" t="str">
            <v>m³</v>
          </cell>
          <cell r="D1382" t="str">
            <v>77,45</v>
          </cell>
          <cell r="E1382">
            <v>0</v>
          </cell>
        </row>
        <row r="1383">
          <cell r="A1383">
            <v>42948</v>
          </cell>
          <cell r="B1383" t="str">
            <v>Escavação manual em mat. 1ª cat. H-&gt; 3,00 a 4,50 m c/ esgotamento, em Vias Urbanas</v>
          </cell>
          <cell r="C1383" t="str">
            <v>m³</v>
          </cell>
          <cell r="D1383" t="str">
            <v>112,93</v>
          </cell>
          <cell r="E1383">
            <v>0</v>
          </cell>
        </row>
        <row r="1384">
          <cell r="A1384">
            <v>42947</v>
          </cell>
          <cell r="B1384" t="str">
            <v>Escavação manual em mat. 1ª cat. H-&gt; 3,00 a 4,50 m, em Vias Urbanas</v>
          </cell>
          <cell r="C1384" t="str">
            <v>m³</v>
          </cell>
          <cell r="D1384" t="str">
            <v>114,77</v>
          </cell>
          <cell r="E1384">
            <v>0</v>
          </cell>
        </row>
        <row r="1385">
          <cell r="A1385">
            <v>42949</v>
          </cell>
          <cell r="B1385" t="str">
            <v>Escavação manual em mat. 2ª cat. H-&gt; 0,00 a 1,50 m c/ esgotamento, em Vias Urbanas</v>
          </cell>
          <cell r="C1385" t="str">
            <v>m³</v>
          </cell>
          <cell r="D1385" t="str">
            <v>117,98</v>
          </cell>
          <cell r="E1385">
            <v>0</v>
          </cell>
        </row>
        <row r="1386">
          <cell r="A1386">
            <v>42950</v>
          </cell>
          <cell r="B1386" t="str">
            <v>Escavação manual em mat. 2ª cat. H-&gt; 0,00 a 1,50 m s/ detonação, em Vias Urbanas</v>
          </cell>
          <cell r="C1386" t="str">
            <v>m³</v>
          </cell>
          <cell r="D1386" t="str">
            <v>120,27</v>
          </cell>
          <cell r="E1386">
            <v>0</v>
          </cell>
        </row>
        <row r="1387">
          <cell r="A1387">
            <v>42951</v>
          </cell>
          <cell r="B1387" t="str">
            <v>Escavação manual em mat. 2ª cat. H-&gt; 1,50 a 3,00 m c/ esgotamento, em Vias Urbanas</v>
          </cell>
          <cell r="C1387" t="str">
            <v>m³</v>
          </cell>
          <cell r="D1387" t="str">
            <v>144,92</v>
          </cell>
          <cell r="E1387">
            <v>0</v>
          </cell>
        </row>
        <row r="1388">
          <cell r="A1388">
            <v>42952</v>
          </cell>
          <cell r="B1388" t="str">
            <v>Escavação manual em mat. 2ª cat. H-&gt; 1,50 a 3,00 m s/ detonação, em Vias Urbanas</v>
          </cell>
          <cell r="C1388" t="str">
            <v>m³</v>
          </cell>
          <cell r="D1388" t="str">
            <v>149,54</v>
          </cell>
          <cell r="E1388">
            <v>0</v>
          </cell>
        </row>
        <row r="1389">
          <cell r="A1389">
            <v>42953</v>
          </cell>
          <cell r="B1389" t="str">
            <v>Escavação manual em mat. 2ª cat. H-&gt; 3,00 a 4,50 m c/ esgotamento, em Vias Urbanas</v>
          </cell>
          <cell r="C1389" t="str">
            <v>m³</v>
          </cell>
          <cell r="D1389" t="str">
            <v>251,54</v>
          </cell>
          <cell r="E1389">
            <v>0</v>
          </cell>
        </row>
        <row r="1390">
          <cell r="A1390">
            <v>42954</v>
          </cell>
          <cell r="B1390" t="str">
            <v>Escavação manual em mat. 2ª cat. H-&gt; 3,00 a 4,50 m s/ detonação, em Vias Urbanas</v>
          </cell>
          <cell r="C1390" t="str">
            <v>m³</v>
          </cell>
          <cell r="D1390" t="str">
            <v>265,44</v>
          </cell>
          <cell r="E1390">
            <v>0</v>
          </cell>
        </row>
        <row r="1391">
          <cell r="A1391">
            <v>42955</v>
          </cell>
          <cell r="B1391" t="str">
            <v>Escavação manual em mat. 3ª cat. H-&gt; 0,00 a 1,50 m, a fogo, em Vias Urbanas</v>
          </cell>
          <cell r="C1391" t="str">
            <v>m³</v>
          </cell>
          <cell r="D1391" t="str">
            <v>335,26</v>
          </cell>
          <cell r="E1391">
            <v>0</v>
          </cell>
        </row>
        <row r="1392">
          <cell r="A1392">
            <v>42956</v>
          </cell>
          <cell r="B1392" t="str">
            <v>Escavação manual furos, valetas mat. 1ª cat. H-&gt; 0,00 a 1,50 m (dim. reduz.), em Vias Urbanas</v>
          </cell>
          <cell r="C1392" t="str">
            <v>m³</v>
          </cell>
          <cell r="D1392" t="str">
            <v>77,45</v>
          </cell>
          <cell r="E1392">
            <v>0</v>
          </cell>
        </row>
        <row r="1393">
          <cell r="A1393">
            <v>42957</v>
          </cell>
          <cell r="B1393" t="str">
            <v>Escavação manual furos, valetas mat. 2ª cat. H-&gt; 0,00 a 1,50 m s/detonação (dim. reduz.), em Vias Urbanas</v>
          </cell>
          <cell r="C1393" t="str">
            <v>m³</v>
          </cell>
          <cell r="D1393" t="str">
            <v>179,00</v>
          </cell>
          <cell r="E1393">
            <v>0</v>
          </cell>
        </row>
        <row r="1394">
          <cell r="A1394">
            <v>42958</v>
          </cell>
          <cell r="B1394" t="str">
            <v>Escavação mecânica de valas em material de 1ª categoria, 3,00 a 4,50 m, c/ esgotamento, carga do material, transp. material p/ bota-fora -Vias Urbanas</v>
          </cell>
          <cell r="C1394" t="str">
            <v>m³</v>
          </cell>
          <cell r="D1394" t="str">
            <v>203,20</v>
          </cell>
          <cell r="E1394" t="str">
            <v>A incluir</v>
          </cell>
        </row>
        <row r="1395">
          <cell r="A1395">
            <v>42959</v>
          </cell>
          <cell r="B1395" t="str">
            <v>Escavação mecânica de valas em 1ª categoria, profundidade de 4,50 a 6,00 m com esgotamento, transp. DMT-&gt;20km, descarga e espalhamento, em Vias Urbanas</v>
          </cell>
          <cell r="C1395" t="str">
            <v>m³</v>
          </cell>
          <cell r="D1395" t="str">
            <v>205,04</v>
          </cell>
          <cell r="E1395" t="str">
            <v>A incluir</v>
          </cell>
        </row>
        <row r="1396">
          <cell r="A1396">
            <v>42961</v>
          </cell>
          <cell r="B1396" t="str">
            <v>Escavação mecânica em material de 1ª cat. H-&gt; 0,00 a 1,50 m c/ esgotamento, em Vias Urbanas</v>
          </cell>
          <cell r="C1396" t="str">
            <v>m³</v>
          </cell>
          <cell r="D1396" t="str">
            <v>17,48</v>
          </cell>
          <cell r="E1396">
            <v>0</v>
          </cell>
        </row>
        <row r="1397">
          <cell r="A1397">
            <v>42962</v>
          </cell>
          <cell r="B1397" t="str">
            <v>Escavação mecânica em material de 1ª cat. H-&gt; 0,00 a 1,50 m c/ esgotamento, em Vias Urbanas</v>
          </cell>
          <cell r="C1397" t="str">
            <v>m³</v>
          </cell>
          <cell r="D1397" t="str">
            <v>17,48</v>
          </cell>
          <cell r="E1397">
            <v>0</v>
          </cell>
        </row>
        <row r="1398">
          <cell r="A1398">
            <v>42960</v>
          </cell>
          <cell r="B1398" t="str">
            <v>Escavação mecânica em material de 1ª cat. H-&gt; 0,00 a 1,50 m, em Vias Urbanas</v>
          </cell>
          <cell r="C1398" t="str">
            <v>m³</v>
          </cell>
          <cell r="D1398" t="str">
            <v>11,16</v>
          </cell>
          <cell r="E1398">
            <v>0</v>
          </cell>
        </row>
        <row r="1399">
          <cell r="A1399">
            <v>42964</v>
          </cell>
          <cell r="B1399" t="str">
            <v>Escavação mecânica em material de 1ª cat. H-&gt; 1,50 a 3,00 m c/ esgotamento, em Vias Urbanas</v>
          </cell>
          <cell r="C1399" t="str">
            <v>m³</v>
          </cell>
          <cell r="D1399" t="str">
            <v>18,49</v>
          </cell>
          <cell r="E1399">
            <v>0</v>
          </cell>
        </row>
        <row r="1400">
          <cell r="A1400">
            <v>42963</v>
          </cell>
          <cell r="B1400" t="str">
            <v>Escavação mecânica em material de 1ª cat. H-&gt; 1,50 a 3,00 m, em Vias Urbanas</v>
          </cell>
          <cell r="C1400" t="str">
            <v>m³</v>
          </cell>
          <cell r="D1400" t="str">
            <v>12,13</v>
          </cell>
          <cell r="E1400">
            <v>0</v>
          </cell>
        </row>
        <row r="1401">
          <cell r="A1401">
            <v>42966</v>
          </cell>
          <cell r="B1401" t="str">
            <v>Escavação mecânica em material de 1º cat. H-&gt; 3,00 a 4,50 m c/ esgotamento, em Vias Urbanas</v>
          </cell>
          <cell r="C1401" t="str">
            <v>m³</v>
          </cell>
          <cell r="D1401" t="str">
            <v>20,46</v>
          </cell>
          <cell r="E1401">
            <v>0</v>
          </cell>
        </row>
        <row r="1402">
          <cell r="A1402">
            <v>42965</v>
          </cell>
          <cell r="B1402" t="str">
            <v>Escavação mecânica em material de 1ª cat. H-&gt; 3,00 a 4,50 m, em Vias Urbanas</v>
          </cell>
          <cell r="C1402" t="str">
            <v>m³</v>
          </cell>
          <cell r="D1402" t="str">
            <v>14,09</v>
          </cell>
          <cell r="E1402">
            <v>0</v>
          </cell>
        </row>
        <row r="1403">
          <cell r="A1403">
            <v>42968</v>
          </cell>
          <cell r="B1403" t="str">
            <v>Escavação mecânica em material de 2ª cat. H-&gt; 0,00 a 1,50 m c/ esgotamento, em Vias Urbanas</v>
          </cell>
          <cell r="C1403" t="str">
            <v>m³</v>
          </cell>
          <cell r="D1403" t="str">
            <v>25,93</v>
          </cell>
          <cell r="E1403">
            <v>0</v>
          </cell>
        </row>
        <row r="1404">
          <cell r="A1404">
            <v>42967</v>
          </cell>
          <cell r="B1404" t="str">
            <v>Escavação mecânica em material de 2ª cat. H-&gt; 0,00 a 1,50 m, em Vias Urbanas</v>
          </cell>
          <cell r="C1404" t="str">
            <v>m³</v>
          </cell>
          <cell r="D1404" t="str">
            <v>20,30</v>
          </cell>
          <cell r="E1404">
            <v>0</v>
          </cell>
        </row>
        <row r="1405">
          <cell r="A1405">
            <v>42970</v>
          </cell>
          <cell r="B1405" t="str">
            <v>Escavação mecânica em material de 2ª cat. H-&gt; 1,50 a 3,00 m c/ esgotamento, em Vias Urbanas</v>
          </cell>
          <cell r="C1405" t="str">
            <v>m³</v>
          </cell>
          <cell r="D1405" t="str">
            <v>29,67</v>
          </cell>
          <cell r="E1405">
            <v>0</v>
          </cell>
        </row>
        <row r="1406">
          <cell r="A1406">
            <v>42969</v>
          </cell>
          <cell r="B1406" t="str">
            <v>Escavação mecânica em material de 2ª cat. H-&gt; 1,50 a 3,00 m, em Vias Urbanas</v>
          </cell>
          <cell r="C1406" t="str">
            <v>m³</v>
          </cell>
          <cell r="D1406" t="str">
            <v>24,26</v>
          </cell>
          <cell r="E1406">
            <v>0</v>
          </cell>
        </row>
        <row r="1407">
          <cell r="A1407">
            <v>42973</v>
          </cell>
          <cell r="B1407" t="str">
            <v>Escavação mecânica em material de 2ª cat. H-&gt; 3,00 a 4,50 m c/ esgotamento, em Vias Urbanas</v>
          </cell>
          <cell r="C1407" t="str">
            <v>m³</v>
          </cell>
          <cell r="D1407" t="str">
            <v>35,24</v>
          </cell>
          <cell r="E1407">
            <v>0</v>
          </cell>
        </row>
        <row r="1408">
          <cell r="A1408">
            <v>42979</v>
          </cell>
          <cell r="B1408" t="str">
            <v>Escavação mecânica em material de 2º cat. H-&gt; 3,00 a 4,50 m c/ esgotamento em Vias Urbanas</v>
          </cell>
          <cell r="C1408" t="str">
            <v>m³</v>
          </cell>
          <cell r="D1408" t="str">
            <v>35,24</v>
          </cell>
          <cell r="E1408">
            <v>0</v>
          </cell>
        </row>
        <row r="1409">
          <cell r="A1409">
            <v>42971</v>
          </cell>
          <cell r="B1409" t="str">
            <v>Escavação mecânica em material de 2ª cat. H-&gt; 3,00 a 4,50 m, em Vias Urbanas</v>
          </cell>
          <cell r="C1409" t="str">
            <v>m³</v>
          </cell>
          <cell r="D1409" t="str">
            <v>30,38</v>
          </cell>
          <cell r="E1409">
            <v>0</v>
          </cell>
        </row>
        <row r="1410">
          <cell r="A1410">
            <v>42981</v>
          </cell>
          <cell r="B1410" t="str">
            <v>Escoramento de cavas e valas, inclusive fornecimento e transporte das madeiras, em Vias Urbanas</v>
          </cell>
          <cell r="C1410" t="str">
            <v>m²</v>
          </cell>
          <cell r="D1410" t="str">
            <v>180,22</v>
          </cell>
          <cell r="E1410" t="str">
            <v>A incluir</v>
          </cell>
        </row>
        <row r="1411">
          <cell r="A1411">
            <v>42982</v>
          </cell>
          <cell r="B1411" t="str">
            <v>Escoramento e cimbramento (bueiro celular), inclusive fornecimento e transporte das madeiras, em Vias Urbanas</v>
          </cell>
          <cell r="C1411" t="str">
            <v>m³</v>
          </cell>
          <cell r="D1411" t="str">
            <v>121,38</v>
          </cell>
          <cell r="E1411" t="str">
            <v>A incluir</v>
          </cell>
        </row>
        <row r="1412">
          <cell r="A1412">
            <v>0</v>
          </cell>
          <cell r="B1412">
            <v>0</v>
          </cell>
          <cell r="C1412">
            <v>0</v>
          </cell>
          <cell r="E1412" t="e">
            <v>#N/A</v>
          </cell>
        </row>
        <row r="1413">
          <cell r="A1413">
            <v>42987</v>
          </cell>
          <cell r="B1413" t="str">
            <v>Forma especial de madeira para meio fio, inclusive fornecimento e transporte das madeiras em Vias Urbanas</v>
          </cell>
          <cell r="C1413" t="str">
            <v>m²</v>
          </cell>
          <cell r="D1413" t="str">
            <v>71,11</v>
          </cell>
          <cell r="E1413" t="str">
            <v>A incluir</v>
          </cell>
        </row>
        <row r="1414">
          <cell r="A1414">
            <v>42988</v>
          </cell>
          <cell r="B1414" t="str">
            <v>Forma especial de madeira para sarjeta (gabarito), inclusive fornecimento e transporte das madeiras, em Vias Urbanas</v>
          </cell>
          <cell r="C1414" t="str">
            <v>m²</v>
          </cell>
          <cell r="D1414" t="str">
            <v>60,80</v>
          </cell>
          <cell r="E1414" t="str">
            <v>A incluir</v>
          </cell>
        </row>
        <row r="1415">
          <cell r="A1415">
            <v>42989</v>
          </cell>
          <cell r="B1415" t="str">
            <v>Forma metálica para meio fio, em Vias Urbanas</v>
          </cell>
          <cell r="C1415" t="str">
            <v>m²</v>
          </cell>
          <cell r="D1415" t="str">
            <v>6,96</v>
          </cell>
          <cell r="E1415">
            <v>0</v>
          </cell>
        </row>
        <row r="1416">
          <cell r="A1416">
            <v>42991</v>
          </cell>
          <cell r="B1416" t="str">
            <v>Formas planas de madeira com 01 (um) reaproveitamento, inclusive fornecimento e transporte das madeiras, em Vias Urbanas</v>
          </cell>
          <cell r="C1416" t="str">
            <v>m²</v>
          </cell>
          <cell r="D1416" t="str">
            <v>104,18</v>
          </cell>
          <cell r="E1416" t="str">
            <v>A incluir</v>
          </cell>
        </row>
        <row r="1417">
          <cell r="A1417">
            <v>42992</v>
          </cell>
          <cell r="B1417" t="str">
            <v>Formas planas de madeira com 02 (dois) reaproveitamentos, inclusive fornecimento e transporte das madeiras, em Vias Urbanas</v>
          </cell>
          <cell r="C1417" t="str">
            <v>m²</v>
          </cell>
          <cell r="D1417" t="str">
            <v>86,95</v>
          </cell>
          <cell r="E1417" t="str">
            <v>A incluir</v>
          </cell>
        </row>
        <row r="1418">
          <cell r="A1418">
            <v>42993</v>
          </cell>
          <cell r="B1418" t="str">
            <v>Formas planas de madeira com 04 (quatro) reaproveitamentos, inclusive fornecimento e transporte das madeiras, em Vias Urbanas</v>
          </cell>
          <cell r="C1418" t="str">
            <v>m²</v>
          </cell>
          <cell r="D1418" t="str">
            <v>72,56</v>
          </cell>
          <cell r="E1418" t="str">
            <v>A incluir</v>
          </cell>
        </row>
        <row r="1419">
          <cell r="A1419">
            <v>42994</v>
          </cell>
          <cell r="B1419" t="str">
            <v>Formas planas de madeira sem reaproveitamento (forma perdida), inclusive fornecimento e transporte das madeiras em Vias Urbanas</v>
          </cell>
          <cell r="C1419" t="str">
            <v>m²</v>
          </cell>
          <cell r="D1419" t="str">
            <v>153,40</v>
          </cell>
          <cell r="E1419" t="str">
            <v>A incluir</v>
          </cell>
        </row>
        <row r="1420">
          <cell r="A1420">
            <v>43070</v>
          </cell>
          <cell r="B1420" t="str">
            <v>Gabião manta/colchão, p/ revest. canal em malha hex 6x8mm Zn-Al/PVC, e-&gt;2,8mm,h-&gt;0,23m, inclus.aquis./assentam. pedra mão, exclus. transp., Vias Urbanas</v>
          </cell>
          <cell r="C1420" t="str">
            <v>m²</v>
          </cell>
          <cell r="D1420" t="str">
            <v>162,73</v>
          </cell>
          <cell r="E1420">
            <v>0</v>
          </cell>
        </row>
        <row r="1421">
          <cell r="A1421">
            <v>42995</v>
          </cell>
          <cell r="B1421" t="str">
            <v>Gabiões com caixas e sacos galvanizados, com geotêxtil não tecido RT 07 kN/m, em Vias Urbanas</v>
          </cell>
          <cell r="C1421" t="str">
            <v>m³</v>
          </cell>
          <cell r="D1421" t="str">
            <v>325,46</v>
          </cell>
          <cell r="E1421" t="str">
            <v>A incluir</v>
          </cell>
        </row>
        <row r="1422">
          <cell r="A1422">
            <v>42996</v>
          </cell>
          <cell r="B1422" t="str">
            <v>Gabiões com caixas galvanizadas, sem manta, em Vias Urbanas</v>
          </cell>
          <cell r="C1422" t="str">
            <v>m³</v>
          </cell>
          <cell r="D1422" t="str">
            <v>306,87</v>
          </cell>
          <cell r="E1422" t="str">
            <v>A incluir</v>
          </cell>
        </row>
        <row r="1423">
          <cell r="A1423">
            <v>43012</v>
          </cell>
          <cell r="B1423" t="str">
            <v>Geotêxtil não tecido RT-16 kn/m, fornecimento e aplicação em Vias Urbanas</v>
          </cell>
          <cell r="C1423" t="str">
            <v>m²</v>
          </cell>
          <cell r="D1423" t="str">
            <v>8,62</v>
          </cell>
          <cell r="E1423">
            <v>0</v>
          </cell>
        </row>
        <row r="1424">
          <cell r="A1424">
            <v>43011</v>
          </cell>
          <cell r="B1424" t="str">
            <v>Geotêxtil não-tecido com resistência longitudinal a tração 10kN/m, fornecimento e aplicação em Vias Urbanas</v>
          </cell>
          <cell r="C1424" t="str">
            <v>m²</v>
          </cell>
          <cell r="D1424" t="str">
            <v>6,11</v>
          </cell>
          <cell r="E1424">
            <v>0</v>
          </cell>
        </row>
        <row r="1425">
          <cell r="A1425">
            <v>43003</v>
          </cell>
          <cell r="B1425" t="str">
            <v>Lastro de brita, inclusive transporte da brita em Vias Urbanas</v>
          </cell>
          <cell r="C1425" t="str">
            <v>m³</v>
          </cell>
          <cell r="D1425" t="str">
            <v>103,93</v>
          </cell>
          <cell r="E1425" t="str">
            <v>A incluir</v>
          </cell>
        </row>
        <row r="1426">
          <cell r="A1426">
            <v>43004</v>
          </cell>
          <cell r="B1426" t="str">
            <v>Limpeza e apicoamento manual de superfície de rocha em Vias Urbanas</v>
          </cell>
          <cell r="C1426" t="str">
            <v>m²</v>
          </cell>
          <cell r="D1426" t="str">
            <v>32,29</v>
          </cell>
          <cell r="E1426">
            <v>0</v>
          </cell>
        </row>
        <row r="1427">
          <cell r="A1427">
            <v>43005</v>
          </cell>
          <cell r="B1427" t="str">
            <v>Limpeza e desobstrução de BDTC e BDCC em Vias Urbanas</v>
          </cell>
          <cell r="C1427" t="str">
            <v>m</v>
          </cell>
          <cell r="D1427" t="str">
            <v>29,11</v>
          </cell>
          <cell r="E1427">
            <v>0</v>
          </cell>
        </row>
        <row r="1428">
          <cell r="A1428">
            <v>43006</v>
          </cell>
          <cell r="B1428" t="str">
            <v>Limpeza e desobstrução de BQTC em Vias Urbanas</v>
          </cell>
          <cell r="C1428" t="str">
            <v>m</v>
          </cell>
          <cell r="D1428" t="str">
            <v>47,06</v>
          </cell>
          <cell r="E1428">
            <v>0</v>
          </cell>
        </row>
        <row r="1429">
          <cell r="A1429">
            <v>43007</v>
          </cell>
          <cell r="B1429" t="str">
            <v>Limpeza e desobstrução de BSTC e BSCC em Vias Urbanas</v>
          </cell>
          <cell r="C1429" t="str">
            <v>m</v>
          </cell>
          <cell r="D1429" t="str">
            <v>15,33</v>
          </cell>
          <cell r="E1429">
            <v>0</v>
          </cell>
        </row>
        <row r="1430">
          <cell r="A1430">
            <v>43008</v>
          </cell>
          <cell r="B1430" t="str">
            <v>Limpeza e desobstrução de BTTC e BTCC em Vias Urbanas</v>
          </cell>
          <cell r="C1430" t="str">
            <v>m</v>
          </cell>
          <cell r="D1430" t="str">
            <v>42,90</v>
          </cell>
          <cell r="E1430">
            <v>0</v>
          </cell>
        </row>
        <row r="1431">
          <cell r="A1431">
            <v>43009</v>
          </cell>
          <cell r="B1431" t="str">
            <v>Limpeza e preparo de superfície de aço em Vias Urbanas</v>
          </cell>
          <cell r="C1431" t="str">
            <v>m²</v>
          </cell>
          <cell r="D1431" t="str">
            <v>84,49</v>
          </cell>
          <cell r="E1431">
            <v>0</v>
          </cell>
        </row>
        <row r="1432">
          <cell r="A1432">
            <v>43018</v>
          </cell>
          <cell r="B1432" t="str">
            <v>Meio fio de concreto pré-moldado (12 x 30 x 15) cm, inclusive caiação e transporte do meio fio em Vias Urbanas</v>
          </cell>
          <cell r="C1432" t="str">
            <v>m</v>
          </cell>
          <cell r="D1432" t="str">
            <v>49,97</v>
          </cell>
          <cell r="E1432" t="str">
            <v>A incluir</v>
          </cell>
        </row>
        <row r="1433">
          <cell r="A1433">
            <v>43016</v>
          </cell>
          <cell r="B1433" t="str">
            <v>Meio fio de concreto pré-moldado (1,20 m x 0,12 m x 0,15 m x 0,30 m),exclusive transporte, em Vias Urbanas</v>
          </cell>
          <cell r="C1433" t="str">
            <v>m</v>
          </cell>
          <cell r="D1433" t="str">
            <v>50,34</v>
          </cell>
          <cell r="E1433">
            <v>0</v>
          </cell>
        </row>
        <row r="1434">
          <cell r="A1434">
            <v>43019</v>
          </cell>
          <cell r="B1434" t="str">
            <v>Meio fio de pedra (fornecimento e assentamento), inclusive caiação e transporte do meio fio em Vias Urbanas</v>
          </cell>
          <cell r="C1434" t="str">
            <v>m</v>
          </cell>
          <cell r="D1434" t="str">
            <v>52,87</v>
          </cell>
          <cell r="E1434" t="str">
            <v>A incluir</v>
          </cell>
        </row>
        <row r="1435">
          <cell r="A1435">
            <v>43026</v>
          </cell>
          <cell r="B1435" t="str">
            <v>Montagem e desmontagem de escoramento tubular normal, em obras de arte na densidade de 5m de tubo por m³ de escoramento em Vias Urbanas</v>
          </cell>
          <cell r="C1435" t="str">
            <v>m</v>
          </cell>
          <cell r="D1435" t="str">
            <v>18,92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E1436" t="e">
            <v>#N/A</v>
          </cell>
        </row>
        <row r="1437">
          <cell r="A1437">
            <v>43033</v>
          </cell>
          <cell r="B1437" t="str">
            <v>Muro de testa em concreto para saída de dreno profundo em rocha, inclusive transporte do tubo em Vias Urbanas</v>
          </cell>
          <cell r="C1437" t="str">
            <v>un</v>
          </cell>
          <cell r="D1437" t="str">
            <v>987,39</v>
          </cell>
          <cell r="E1437" t="str">
            <v>A incluir</v>
          </cell>
        </row>
        <row r="1438">
          <cell r="A1438">
            <v>43037</v>
          </cell>
          <cell r="B1438" t="str">
            <v>Pedra de mão p/ (concreto ciclópico ou alvenaria) rocha paga em medição em Vias Urbanas</v>
          </cell>
          <cell r="C1438" t="str">
            <v>m³</v>
          </cell>
          <cell r="D1438" t="str">
            <v>46,00</v>
          </cell>
          <cell r="E1438">
            <v>0</v>
          </cell>
        </row>
        <row r="1439">
          <cell r="A1439">
            <v>43038</v>
          </cell>
          <cell r="B1439" t="str">
            <v>Pescoço de poço de visita H-&gt;0,30m, diâm. -&gt; 0,60 m, fornecimento, assentamento e transporte em Vias Urbanas</v>
          </cell>
          <cell r="C1439" t="str">
            <v>un</v>
          </cell>
          <cell r="D1439" t="str">
            <v>130,97</v>
          </cell>
          <cell r="E1439" t="str">
            <v>A incluir</v>
          </cell>
        </row>
        <row r="1440">
          <cell r="A1440">
            <v>43039</v>
          </cell>
          <cell r="B1440" t="str">
            <v>Pintura com nata de cimento em Vias Urbanas</v>
          </cell>
          <cell r="C1440" t="str">
            <v>m²</v>
          </cell>
          <cell r="D1440" t="str">
            <v>5,21</v>
          </cell>
          <cell r="E1440">
            <v>0</v>
          </cell>
        </row>
        <row r="1441">
          <cell r="A1441">
            <v>43040</v>
          </cell>
          <cell r="B1441" t="str">
            <v>Pintura interna ou externa sobre ferro, com tinta a base de resina de borracha clorada em Vias Urbanas</v>
          </cell>
          <cell r="C1441" t="str">
            <v>m²</v>
          </cell>
          <cell r="D1441" t="str">
            <v>43,58</v>
          </cell>
          <cell r="E1441">
            <v>0</v>
          </cell>
        </row>
        <row r="1442">
          <cell r="A1442">
            <v>43042</v>
          </cell>
          <cell r="B1442" t="str">
            <v>Plataforma ou passarela de pinho de 1ª ou similar, 1" x 12", em Vias Urbanas</v>
          </cell>
          <cell r="C1442" t="str">
            <v>m²</v>
          </cell>
          <cell r="D1442" t="str">
            <v>2,60</v>
          </cell>
          <cell r="E1442">
            <v>0</v>
          </cell>
        </row>
        <row r="1443">
          <cell r="A1443">
            <v>43043</v>
          </cell>
          <cell r="B1443" t="str">
            <v>Poço de visita em bloco pré-moldado para d-&gt;0,30 e 0,40 m (0,80 x 0,8 0m), em Vias Urbanas</v>
          </cell>
          <cell r="C1443" t="str">
            <v>un</v>
          </cell>
          <cell r="D1443" t="str">
            <v>2.104,82</v>
          </cell>
          <cell r="E1443">
            <v>0</v>
          </cell>
        </row>
        <row r="1444">
          <cell r="A1444">
            <v>43044</v>
          </cell>
          <cell r="B1444" t="str">
            <v>Poço de visita em bloco pré-moldado para d-&gt;0,60 m (1,00 x 1,00 m), em Vias Urbanas</v>
          </cell>
          <cell r="C1444" t="str">
            <v>un</v>
          </cell>
          <cell r="D1444" t="str">
            <v>2.465,13</v>
          </cell>
          <cell r="E1444">
            <v>0</v>
          </cell>
        </row>
        <row r="1445">
          <cell r="A1445">
            <v>41169</v>
          </cell>
          <cell r="B1445" t="str">
            <v>Poço de visita em bloco pré-moldado para d-&gt;0,80m (1,20x1,20m), em Vias Urbanas</v>
          </cell>
          <cell r="C1445" t="str">
            <v>un</v>
          </cell>
          <cell r="D1445" t="str">
            <v>2.941,71</v>
          </cell>
          <cell r="E1445">
            <v>0</v>
          </cell>
        </row>
        <row r="1446">
          <cell r="A1446">
            <v>41170</v>
          </cell>
          <cell r="B1446" t="str">
            <v>Poço de visita em bloco pré-moldado para d-&gt;1,00m (1,30x1,30m) (Vias Urbanas)</v>
          </cell>
          <cell r="C1446" t="str">
            <v>un</v>
          </cell>
          <cell r="D1446" t="str">
            <v>3.250,48</v>
          </cell>
          <cell r="E1446">
            <v>0</v>
          </cell>
        </row>
        <row r="1447">
          <cell r="A1447">
            <v>41171</v>
          </cell>
          <cell r="B1447" t="str">
            <v>Poço de visita em bloco pré-moldado para d-&gt;1,20m (1,50x1,50m), em Vias Urbanas</v>
          </cell>
          <cell r="C1447" t="str">
            <v>un</v>
          </cell>
          <cell r="D1447" t="str">
            <v>3.910,60</v>
          </cell>
          <cell r="E1447">
            <v>0</v>
          </cell>
        </row>
        <row r="1448">
          <cell r="A1448">
            <v>43046</v>
          </cell>
          <cell r="B1448" t="str">
            <v>Poço de Visita para BSTC diâm. 0,40 m em blocos de concreto, em Vias Urbanas</v>
          </cell>
          <cell r="C1448" t="str">
            <v>un</v>
          </cell>
          <cell r="D1448" t="str">
            <v>1.180,92</v>
          </cell>
          <cell r="E1448">
            <v>0</v>
          </cell>
        </row>
        <row r="1449">
          <cell r="A1449">
            <v>43047</v>
          </cell>
          <cell r="B1449" t="str">
            <v>Poço de visita para BSTC diâm. 0,60 m em blocos de concreto, em Vias Urbanas</v>
          </cell>
          <cell r="C1449" t="str">
            <v>un</v>
          </cell>
          <cell r="D1449" t="str">
            <v>1.569,11</v>
          </cell>
          <cell r="E1449">
            <v>0</v>
          </cell>
        </row>
        <row r="1450">
          <cell r="A1450">
            <v>43048</v>
          </cell>
          <cell r="B1450" t="str">
            <v>Poço de visita para BSTC diâm. 0,80 m em blocos de concreto, em Vias Urbanas</v>
          </cell>
          <cell r="C1450" t="str">
            <v>un</v>
          </cell>
          <cell r="D1450" t="str">
            <v>1.946,78</v>
          </cell>
          <cell r="E1450">
            <v>0</v>
          </cell>
        </row>
        <row r="1451">
          <cell r="A1451">
            <v>43050</v>
          </cell>
          <cell r="B1451" t="str">
            <v>Poço de visita (tubo D-&gt;0,40 m) H-&gt;1,50 m com tampão F.F.A.P., inclusive escavação e transporte do tampão, em Vias Urbanas</v>
          </cell>
          <cell r="C1451" t="str">
            <v>un</v>
          </cell>
          <cell r="D1451" t="str">
            <v>3.298,68</v>
          </cell>
          <cell r="E1451" t="str">
            <v>A incluir</v>
          </cell>
        </row>
        <row r="1452">
          <cell r="A1452">
            <v>43051</v>
          </cell>
          <cell r="B1452" t="str">
            <v>Poço de visita (tubo D-&gt;0,60 m) H-&gt;1,70 m com tampão F.F.A.P., inclusive escavação e transporte do tampão, em Vias Urbanas</v>
          </cell>
          <cell r="C1452" t="str">
            <v>un</v>
          </cell>
          <cell r="D1452" t="str">
            <v>3.668,12</v>
          </cell>
          <cell r="E1452" t="str">
            <v>A incluir</v>
          </cell>
        </row>
        <row r="1453">
          <cell r="A1453">
            <v>43052</v>
          </cell>
          <cell r="B1453" t="str">
            <v>Poço de visita (tubo D-&gt;0,80 m) H-&gt;1,90 m com tampão F.F.A.P., inclusive escavação e transporte do tampão, em Vias Urbanas</v>
          </cell>
          <cell r="C1453" t="str">
            <v>un</v>
          </cell>
          <cell r="D1453" t="str">
            <v>4.037,54</v>
          </cell>
          <cell r="E1453" t="str">
            <v>A incluir</v>
          </cell>
        </row>
        <row r="1454">
          <cell r="A1454">
            <v>43053</v>
          </cell>
          <cell r="B1454" t="str">
            <v>Poço de visita (tubo D-&gt;1,00 m) H-&gt;2,10 m com tampão F.F.A.P., inclusive escavação e transporte do tampão, em Vias Urbanas</v>
          </cell>
          <cell r="C1454" t="str">
            <v>un</v>
          </cell>
          <cell r="D1454" t="str">
            <v>4.406,94</v>
          </cell>
          <cell r="E1454" t="str">
            <v>A incluir</v>
          </cell>
        </row>
        <row r="1455">
          <cell r="A1455">
            <v>43054</v>
          </cell>
          <cell r="B1455" t="str">
            <v>Preparo manual de talude, compreendendo acerto, raspagem eventual de até 0,30 m de prof. e afastamento lateral, em Vias Urbanas</v>
          </cell>
          <cell r="C1455" t="str">
            <v>m²</v>
          </cell>
          <cell r="D1455" t="str">
            <v>8,84</v>
          </cell>
          <cell r="E1455">
            <v>0</v>
          </cell>
        </row>
        <row r="1456">
          <cell r="A1456">
            <v>43055</v>
          </cell>
          <cell r="B1456" t="str">
            <v>Preparo manual de terreno, compreendendo acerto raspagem até 25 cm de profundidade e afastamento lateral do material excedente, em Vias Urbanas</v>
          </cell>
          <cell r="C1456" t="str">
            <v>m²</v>
          </cell>
          <cell r="D1456" t="str">
            <v>7,09</v>
          </cell>
          <cell r="E1456">
            <v>0</v>
          </cell>
        </row>
        <row r="1457">
          <cell r="A1457">
            <v>43056</v>
          </cell>
          <cell r="B1457" t="str">
            <v>Reaterro com areia, tudo incluído, em Vias Urbanas</v>
          </cell>
          <cell r="C1457" t="str">
            <v>m³</v>
          </cell>
          <cell r="D1457" t="str">
            <v>66,39</v>
          </cell>
          <cell r="E1457" t="str">
            <v>A incluir</v>
          </cell>
        </row>
        <row r="1458">
          <cell r="A1458">
            <v>43058</v>
          </cell>
          <cell r="B1458" t="str">
            <v>Reaterro de cavas c/ compactação manual (apiloamento) (dim. reduz.), em Vias Urbanas</v>
          </cell>
          <cell r="C1458" t="str">
            <v>m³</v>
          </cell>
          <cell r="D1458" t="str">
            <v>80,26</v>
          </cell>
          <cell r="E1458">
            <v>0</v>
          </cell>
        </row>
        <row r="1459">
          <cell r="A1459">
            <v>43057</v>
          </cell>
          <cell r="B1459" t="str">
            <v>Reaterro de cavas c/ compactação manual (apiloamento) em Vias Urbanas</v>
          </cell>
          <cell r="C1459" t="str">
            <v>m³</v>
          </cell>
          <cell r="D1459" t="str">
            <v>55,37</v>
          </cell>
          <cell r="E1459">
            <v>0</v>
          </cell>
        </row>
        <row r="1460">
          <cell r="A1460">
            <v>43059</v>
          </cell>
          <cell r="B1460" t="str">
            <v>Reaterro de cavas c/ compactação mecânica (compactador manual), em Vias Urbanas</v>
          </cell>
          <cell r="C1460" t="str">
            <v>m³</v>
          </cell>
          <cell r="D1460" t="str">
            <v>35,51</v>
          </cell>
          <cell r="E1460">
            <v>0</v>
          </cell>
        </row>
        <row r="1461">
          <cell r="A1461">
            <v>43060</v>
          </cell>
          <cell r="B1461" t="str">
            <v>Recuperação de poço de visita inclusive fornecimento tampão F.F.A.P., em Vias Urbanas</v>
          </cell>
          <cell r="C1461" t="str">
            <v>un</v>
          </cell>
          <cell r="D1461" t="str">
            <v>530,25</v>
          </cell>
          <cell r="E1461" t="str">
            <v>A incluir</v>
          </cell>
        </row>
        <row r="1462">
          <cell r="A1462">
            <v>41183</v>
          </cell>
          <cell r="B1462" t="str">
            <v>Rede de dutos - Vias Urbanas</v>
          </cell>
          <cell r="C1462" t="str">
            <v>m</v>
          </cell>
          <cell r="D1462" t="str">
            <v>69,36</v>
          </cell>
          <cell r="E1462">
            <v>0</v>
          </cell>
        </row>
        <row r="1463">
          <cell r="A1463">
            <v>43061</v>
          </cell>
          <cell r="B1463" t="str">
            <v>Rede de dutos 65mm (duplo), envelopada com brita 3, em Vias Urbanas</v>
          </cell>
          <cell r="C1463" t="str">
            <v>m</v>
          </cell>
          <cell r="D1463" t="str">
            <v>76,27</v>
          </cell>
          <cell r="E1463">
            <v>0</v>
          </cell>
        </row>
        <row r="1464">
          <cell r="A1464">
            <v>43062</v>
          </cell>
          <cell r="B1464" t="str">
            <v>Rede em PVC Vinilfort ou similar DN -&gt; 200 mm, em Vias Urbanas</v>
          </cell>
          <cell r="C1464" t="str">
            <v>m</v>
          </cell>
          <cell r="D1464" t="str">
            <v>208,04</v>
          </cell>
          <cell r="E1464">
            <v>0</v>
          </cell>
        </row>
        <row r="1465">
          <cell r="A1465">
            <v>43064</v>
          </cell>
          <cell r="B1465" t="str">
            <v>Religação de rede de água em PVC DN 20 mm, inclusive conexões, em Vias Urbanas</v>
          </cell>
          <cell r="C1465" t="str">
            <v>m</v>
          </cell>
          <cell r="D1465" t="str">
            <v>16,29</v>
          </cell>
          <cell r="E1465">
            <v>0</v>
          </cell>
        </row>
        <row r="1466">
          <cell r="A1466">
            <v>43065</v>
          </cell>
          <cell r="B1466" t="str">
            <v>Religação de rede de água em PVC DN 25 mm, inclusive conexões, em Vias Urbanas</v>
          </cell>
          <cell r="C1466" t="str">
            <v>m</v>
          </cell>
          <cell r="D1466" t="str">
            <v>19,66</v>
          </cell>
          <cell r="E1466">
            <v>0</v>
          </cell>
        </row>
        <row r="1467">
          <cell r="A1467">
            <v>43066</v>
          </cell>
          <cell r="B1467" t="str">
            <v>Religação de rede de água em PVC DN 32 mm, inclusive conexões, em Vias Urbanas</v>
          </cell>
          <cell r="C1467" t="str">
            <v>m</v>
          </cell>
          <cell r="D1467" t="str">
            <v>25,08</v>
          </cell>
          <cell r="E1467">
            <v>0</v>
          </cell>
        </row>
        <row r="1468">
          <cell r="A1468">
            <v>43067</v>
          </cell>
          <cell r="B1468" t="str">
            <v>Religação de rede de água em PVC DN 75 mm, inclusive conexões, em Vias Urbanas</v>
          </cell>
          <cell r="C1468" t="str">
            <v>m</v>
          </cell>
          <cell r="D1468" t="str">
            <v>52,21</v>
          </cell>
          <cell r="E1468">
            <v>0</v>
          </cell>
        </row>
        <row r="1469">
          <cell r="A1469">
            <v>43063</v>
          </cell>
          <cell r="B1469" t="str">
            <v>Religação de rede de água em PVC PBA CL 15 DN 100 mm, inclusive conexões, em Vias Urbanas</v>
          </cell>
          <cell r="C1469" t="str">
            <v>m</v>
          </cell>
          <cell r="D1469" t="str">
            <v>79,89</v>
          </cell>
          <cell r="E1469">
            <v>0</v>
          </cell>
        </row>
        <row r="1470">
          <cell r="A1470">
            <v>43068</v>
          </cell>
          <cell r="B1470" t="str">
            <v>Remanejamento de ligação e religação de redes de esgoto, em Vias Urbanas</v>
          </cell>
          <cell r="C1470" t="str">
            <v>m</v>
          </cell>
          <cell r="D1470" t="str">
            <v>65,20</v>
          </cell>
          <cell r="E1470">
            <v>0</v>
          </cell>
        </row>
        <row r="1471">
          <cell r="A1471">
            <v>43069</v>
          </cell>
          <cell r="B1471" t="str">
            <v>Remoção de bueiros existentes, em Vias Urbanas</v>
          </cell>
          <cell r="C1471" t="str">
            <v>m</v>
          </cell>
          <cell r="D1471" t="str">
            <v>119,59</v>
          </cell>
          <cell r="E1471" t="str">
            <v>A incluir</v>
          </cell>
        </row>
        <row r="1472">
          <cell r="A1472">
            <v>43071</v>
          </cell>
          <cell r="B1472" t="str">
            <v>Rip-rap c/ argamassa cimento areia 1:6, inclusive aquisição e transporte dos materiais, em Vias Urbanas</v>
          </cell>
          <cell r="C1472" t="str">
            <v>m³</v>
          </cell>
          <cell r="D1472" t="str">
            <v>324,47</v>
          </cell>
          <cell r="E1472" t="str">
            <v>A incluir</v>
          </cell>
        </row>
        <row r="1473">
          <cell r="A1473">
            <v>43078</v>
          </cell>
          <cell r="B1473" t="str">
            <v>Sarjeta de concreto DP-1 (0,081 m³/m) calha triangular, inclusive caiação, em Vias Urbanas</v>
          </cell>
          <cell r="C1473" t="str">
            <v>m</v>
          </cell>
          <cell r="D1473" t="str">
            <v>79,74</v>
          </cell>
          <cell r="E1473">
            <v>0</v>
          </cell>
        </row>
        <row r="1474">
          <cell r="A1474">
            <v>43079</v>
          </cell>
          <cell r="B1474" t="str">
            <v>Sarjeta de concreto DP-2 (0,085 m³/m) calha triangular, inclusive caiação, em Vias Urbanas</v>
          </cell>
          <cell r="C1474" t="str">
            <v>m</v>
          </cell>
          <cell r="D1474" t="str">
            <v>83,18</v>
          </cell>
          <cell r="E1474">
            <v>0</v>
          </cell>
        </row>
        <row r="1475">
          <cell r="A1475">
            <v>43080</v>
          </cell>
          <cell r="B1475" t="str">
            <v>Sarjeta de concreto SCA 40/10 - em Vias Urbanas</v>
          </cell>
          <cell r="C1475" t="str">
            <v>m</v>
          </cell>
          <cell r="D1475" t="str">
            <v>69,77</v>
          </cell>
          <cell r="E1475" t="str">
            <v>A incluir</v>
          </cell>
        </row>
        <row r="1476">
          <cell r="A1476">
            <v>43081</v>
          </cell>
          <cell r="B1476" t="str">
            <v>Sarjeta de concreto (SCA 70/15) calha triangular, inclusive caiação, em Vias Urbanas</v>
          </cell>
          <cell r="C1476" t="str">
            <v>m</v>
          </cell>
          <cell r="D1476" t="str">
            <v>92,93</v>
          </cell>
          <cell r="E1476">
            <v>0</v>
          </cell>
        </row>
        <row r="1477">
          <cell r="A1477">
            <v>43085</v>
          </cell>
          <cell r="B1477" t="str">
            <v>Sarjeta de concreto (SCA 90/10) calha triangular, inclusive caiação, em Vias Urbanas</v>
          </cell>
          <cell r="C1477" t="str">
            <v>m</v>
          </cell>
          <cell r="D1477" t="str">
            <v>164,88</v>
          </cell>
          <cell r="E1477">
            <v>0</v>
          </cell>
        </row>
        <row r="1478">
          <cell r="A1478">
            <v>43083</v>
          </cell>
          <cell r="B1478" t="str">
            <v>Sarjeta de concreto (STC - 02) calha triangular em corte/aterro, inclusive caiação, em Vias Urbanas</v>
          </cell>
          <cell r="C1478" t="str">
            <v>m</v>
          </cell>
          <cell r="D1478" t="str">
            <v>77,76</v>
          </cell>
          <cell r="E1478">
            <v>0</v>
          </cell>
        </row>
        <row r="1479">
          <cell r="A1479">
            <v>43084</v>
          </cell>
          <cell r="B1479" t="str">
            <v>Sarjeta de concreto (STC - 04) calha triangular de bancada em corte, inclusive caiação, em Vias Urbanas</v>
          </cell>
          <cell r="C1479" t="str">
            <v>m</v>
          </cell>
          <cell r="D1479" t="str">
            <v>58,16</v>
          </cell>
          <cell r="E1479">
            <v>0</v>
          </cell>
        </row>
        <row r="1480">
          <cell r="A1480">
            <v>43086</v>
          </cell>
          <cell r="B1480" t="str">
            <v>Tampa de concreto em grelha, fornecimento, assentamento e transporte, em Vias Urbanas</v>
          </cell>
          <cell r="C1480" t="str">
            <v>un</v>
          </cell>
          <cell r="D1480" t="str">
            <v>180,00</v>
          </cell>
          <cell r="E1480" t="str">
            <v>A incluir</v>
          </cell>
        </row>
        <row r="1481">
          <cell r="A1481">
            <v>43087</v>
          </cell>
          <cell r="B1481" t="str">
            <v>Tampão F.F.A.P. com 100 kg, fornecimento, assentamento e transporte em Vias Urbanas</v>
          </cell>
          <cell r="C1481" t="str">
            <v>un</v>
          </cell>
          <cell r="D1481" t="str">
            <v>292,87</v>
          </cell>
          <cell r="E1481" t="str">
            <v>A incluir</v>
          </cell>
        </row>
        <row r="1482">
          <cell r="A1482">
            <v>43089</v>
          </cell>
          <cell r="B1482" t="str">
            <v>Tapume de vedação e proteção, executado com chapas de compensado resinado com 6 mm de espessura, exclusive pintura, em Vias Urbanas</v>
          </cell>
          <cell r="C1482" t="str">
            <v>m²</v>
          </cell>
          <cell r="D1482" t="str">
            <v>36,15</v>
          </cell>
          <cell r="E1482">
            <v>0</v>
          </cell>
        </row>
        <row r="1483">
          <cell r="A1483">
            <v>43090</v>
          </cell>
          <cell r="B1483" t="str">
            <v>Tela de aço soldada Telcon Q-138 ou similar, fornecimento e assentamento em Vias Urbanas</v>
          </cell>
          <cell r="C1483" t="str">
            <v>m²</v>
          </cell>
          <cell r="D1483" t="str">
            <v>28,00</v>
          </cell>
          <cell r="E1483">
            <v>0</v>
          </cell>
        </row>
        <row r="1484">
          <cell r="A1484">
            <v>43088</v>
          </cell>
          <cell r="B1484" t="str">
            <v>Tapume com tela em PVC, na cor laranja para proteção de segurança em Vias Urbanas</v>
          </cell>
          <cell r="C1484" t="str">
            <v>m</v>
          </cell>
          <cell r="D1484" t="str">
            <v>22,80</v>
          </cell>
          <cell r="E1484" t="str">
            <v>A incluir</v>
          </cell>
        </row>
        <row r="1485">
          <cell r="A1485">
            <v>43091</v>
          </cell>
          <cell r="B1485" t="str">
            <v>Terminal de dreno de alívio de pavimento (DP - TDA - 01) em Vias Urbanas</v>
          </cell>
          <cell r="C1485" t="str">
            <v>un</v>
          </cell>
          <cell r="D1485" t="str">
            <v>324,02</v>
          </cell>
          <cell r="E1485" t="str">
            <v>A incluir</v>
          </cell>
        </row>
        <row r="1486">
          <cell r="A1486">
            <v>43092</v>
          </cell>
          <cell r="B1486" t="str">
            <v>Transporte de materiais encosta abaixo, serviço manual, inclusive carga e descarga em Vias Urbanas</v>
          </cell>
          <cell r="C1486" t="str">
            <v>t dam</v>
          </cell>
          <cell r="D1486" t="str">
            <v>20,13</v>
          </cell>
          <cell r="E1486">
            <v>0</v>
          </cell>
        </row>
        <row r="1487">
          <cell r="A1487">
            <v>43093</v>
          </cell>
          <cell r="B1487" t="str">
            <v>Transporte de materiais encosta acima, serviço manual, inclusive carga e descarga em Vias Urbanas</v>
          </cell>
          <cell r="C1487" t="str">
            <v>t dam</v>
          </cell>
          <cell r="D1487" t="str">
            <v>27,24</v>
          </cell>
          <cell r="E1487">
            <v>0</v>
          </cell>
        </row>
        <row r="1488">
          <cell r="A1488">
            <v>43094</v>
          </cell>
          <cell r="B1488" t="str">
            <v>Transposição de segmento de sarjeta - TSS 01, inclusive transporte do tubo de concreto em Vias Urbanas</v>
          </cell>
          <cell r="C1488" t="str">
            <v>m</v>
          </cell>
          <cell r="D1488" t="str">
            <v>274,81</v>
          </cell>
          <cell r="E1488" t="str">
            <v>A incluir</v>
          </cell>
        </row>
        <row r="1489">
          <cell r="A1489">
            <v>43095</v>
          </cell>
          <cell r="B1489" t="str">
            <v>Trincheira drenante cega (0,50 x 1,70) m, com utilização de geotêxtil não tecido Rt-16 kn/m, inclusive transporte da brita em Vias Urbanas</v>
          </cell>
          <cell r="C1489" t="str">
            <v>m</v>
          </cell>
          <cell r="D1489" t="str">
            <v>369,58</v>
          </cell>
          <cell r="E1489" t="str">
            <v>A incluir</v>
          </cell>
        </row>
        <row r="1490">
          <cell r="A1490">
            <v>43096</v>
          </cell>
          <cell r="B1490" t="str">
            <v>Trincheira drenante em madeira em Vias Urbanas</v>
          </cell>
          <cell r="C1490" t="str">
            <v>m</v>
          </cell>
          <cell r="D1490" t="str">
            <v>479,61</v>
          </cell>
          <cell r="E1490">
            <v>0</v>
          </cell>
        </row>
        <row r="1491">
          <cell r="A1491">
            <v>43098</v>
          </cell>
          <cell r="B1491" t="str">
            <v>Tubo de PVC NBR 5648 diâmetro 50 mm, fornecimento e assentamento em Vias Urbanas</v>
          </cell>
          <cell r="C1491" t="str">
            <v>m</v>
          </cell>
          <cell r="D1491" t="str">
            <v>15,97</v>
          </cell>
          <cell r="E1491">
            <v>0</v>
          </cell>
        </row>
        <row r="1492">
          <cell r="A1492">
            <v>43097</v>
          </cell>
          <cell r="B1492" t="str">
            <v>Tubo de PVC NBR 5648 diâmetro 75 mm, fornecimento e assentamento em Vias Urbanas</v>
          </cell>
          <cell r="C1492" t="str">
            <v>m</v>
          </cell>
          <cell r="D1492" t="str">
            <v>23,07</v>
          </cell>
          <cell r="E1492">
            <v>0</v>
          </cell>
        </row>
        <row r="1493">
          <cell r="A1493">
            <v>43099</v>
          </cell>
          <cell r="B1493" t="str">
            <v>Tubo de PVC PBA diâmetro 300 mm, fornecimento e assentamento em Vias Urbanas</v>
          </cell>
          <cell r="C1493" t="str">
            <v>m</v>
          </cell>
          <cell r="D1493" t="str">
            <v>178,53</v>
          </cell>
          <cell r="E1493">
            <v>0</v>
          </cell>
        </row>
        <row r="1494">
          <cell r="A1494">
            <v>43100</v>
          </cell>
          <cell r="B1494" t="str">
            <v>Tubo de PVC rígido série R diâmetro 100 mm, fornecimento e assentamento em Vias Urbanas</v>
          </cell>
          <cell r="C1494" t="str">
            <v>m</v>
          </cell>
          <cell r="D1494" t="str">
            <v>21,33</v>
          </cell>
          <cell r="E1494">
            <v>0</v>
          </cell>
        </row>
        <row r="1495">
          <cell r="A1495">
            <v>43101</v>
          </cell>
          <cell r="B1495" t="str">
            <v>Tubo irrifort agropecuário diâmetro 32 mm, fornecimento e assentamento em Vias Urbanas</v>
          </cell>
          <cell r="C1495" t="str">
            <v>m</v>
          </cell>
          <cell r="D1495" t="str">
            <v>6,36</v>
          </cell>
          <cell r="E1495">
            <v>0</v>
          </cell>
        </row>
        <row r="1496">
          <cell r="A1496">
            <v>43102</v>
          </cell>
          <cell r="B1496" t="str">
            <v>Tubo para irrigação linha fixa PN40 50 mm, fornecimento e assentamento em Vias Urbanas</v>
          </cell>
          <cell r="C1496" t="str">
            <v>m</v>
          </cell>
          <cell r="D1496" t="str">
            <v>7,97</v>
          </cell>
          <cell r="E1496">
            <v>0</v>
          </cell>
        </row>
        <row r="1497">
          <cell r="A1497">
            <v>43103</v>
          </cell>
          <cell r="B1497" t="str">
            <v>Tubo PVC PBA diâmetro 150 mm, fornecimento e assentamento em Vias Urbanas</v>
          </cell>
          <cell r="C1497" t="str">
            <v>m</v>
          </cell>
          <cell r="D1497" t="str">
            <v>33,34</v>
          </cell>
          <cell r="E1497">
            <v>0</v>
          </cell>
        </row>
        <row r="1498">
          <cell r="A1498">
            <v>42614</v>
          </cell>
          <cell r="B1498" t="str">
            <v>Tubos de ferro fundido diâmetro 0,90 m, assentamento em Vias Urbanas</v>
          </cell>
          <cell r="C1498" t="str">
            <v>m</v>
          </cell>
          <cell r="D1498" t="str">
            <v>217,23</v>
          </cell>
          <cell r="E1498" t="str">
            <v>A incluir</v>
          </cell>
        </row>
        <row r="1499">
          <cell r="A1499">
            <v>43104</v>
          </cell>
          <cell r="B1499" t="str">
            <v>Tubos para irrigação Linha fixa PN40, diâmetro 75 mm, fornecimento e assentamento em Vias Urbanas</v>
          </cell>
          <cell r="C1499" t="str">
            <v>m</v>
          </cell>
          <cell r="D1499" t="str">
            <v>11,31</v>
          </cell>
          <cell r="E1499">
            <v>0</v>
          </cell>
        </row>
        <row r="1500">
          <cell r="A1500">
            <v>43105</v>
          </cell>
          <cell r="B1500" t="str">
            <v>Valeta de pedra argamassada VPAR em Vias Urbanas</v>
          </cell>
          <cell r="C1500" t="str">
            <v>m³</v>
          </cell>
          <cell r="D1500" t="str">
            <v>304,64</v>
          </cell>
          <cell r="E1500" t="str">
            <v>A incluir</v>
          </cell>
        </row>
        <row r="1501">
          <cell r="A1501">
            <v>43106</v>
          </cell>
          <cell r="B1501" t="str">
            <v>Valeta de pedra jogada VPJ, inclusive transporte da pedra em Vias Urbanas</v>
          </cell>
          <cell r="C1501" t="str">
            <v>m³</v>
          </cell>
          <cell r="D1501" t="str">
            <v>144,34</v>
          </cell>
          <cell r="E1501" t="str">
            <v>A incluir</v>
          </cell>
        </row>
        <row r="1502">
          <cell r="A1502">
            <v>43111</v>
          </cell>
          <cell r="B1502" t="str">
            <v>Valeta de proteção de corte - desobstrução e limpeza em Vias Urbanas</v>
          </cell>
          <cell r="C1502" t="str">
            <v>m</v>
          </cell>
          <cell r="D1502" t="str">
            <v>3,04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 t="e">
            <v>#N/A</v>
          </cell>
        </row>
        <row r="1504">
          <cell r="A1504" t="str">
            <v>Grupo de Serviço: 139 - INSTALAÇÃO DE CANTEIRO, MOBILIZAÇÃO E DESMOBILIZAÇÃO</v>
          </cell>
          <cell r="B1504">
            <v>0</v>
          </cell>
          <cell r="C1504">
            <v>0</v>
          </cell>
          <cell r="E1504" t="e">
            <v>#N/A</v>
          </cell>
        </row>
        <row r="1505">
          <cell r="A1505">
            <v>41578</v>
          </cell>
          <cell r="B1505" t="str">
            <v>Aluguel de container p/ escritório c/ ar condicionado e banheiro, isolam.térmico e acústico, 2 luminárias, janela de vidro, tomada p/ comput. e telef.</v>
          </cell>
          <cell r="C1505" t="str">
            <v>mês</v>
          </cell>
          <cell r="D1505" t="str">
            <v>1.065,13</v>
          </cell>
          <cell r="E1505">
            <v>0</v>
          </cell>
        </row>
        <row r="1506">
          <cell r="A1506">
            <v>42511</v>
          </cell>
          <cell r="B1506" t="str">
            <v>Aluguel de container p/ escritório com ar condicionado, isolamento term/acust., 2 luminárias, janela de vidro, tomadas computador e telefone</v>
          </cell>
          <cell r="C1506" t="str">
            <v>mês</v>
          </cell>
          <cell r="D1506" t="str">
            <v>893,57</v>
          </cell>
          <cell r="E1506">
            <v>0</v>
          </cell>
        </row>
        <row r="1507">
          <cell r="A1507">
            <v>41579</v>
          </cell>
          <cell r="B1507" t="str">
            <v>Aluguel de container para almoxarifado</v>
          </cell>
          <cell r="C1507" t="str">
            <v>mês</v>
          </cell>
          <cell r="D1507" t="str">
            <v>582,46</v>
          </cell>
          <cell r="E1507">
            <v>0</v>
          </cell>
        </row>
        <row r="1508">
          <cell r="A1508">
            <v>41494</v>
          </cell>
          <cell r="B1508" t="str">
            <v>Aluguel de container tipo cozinha com isolamento térmico e acústico, 2 luminárias, piso especial e janela</v>
          </cell>
          <cell r="C1508" t="str">
            <v>mês</v>
          </cell>
          <cell r="D1508" t="str">
            <v>799,38</v>
          </cell>
          <cell r="E1508">
            <v>0</v>
          </cell>
        </row>
        <row r="1509">
          <cell r="A1509">
            <v>41678</v>
          </cell>
          <cell r="B1509" t="str">
            <v>Aluguel de container tipo refeitório simples, c/ 1 aparelho de ar condicionado, 2 luminárias e 2 janelas de vidro</v>
          </cell>
          <cell r="C1509" t="str">
            <v>mês</v>
          </cell>
          <cell r="D1509" t="str">
            <v>963,57</v>
          </cell>
          <cell r="E1509">
            <v>0</v>
          </cell>
        </row>
        <row r="1510">
          <cell r="A1510">
            <v>41455</v>
          </cell>
          <cell r="B1510" t="str">
            <v>Aluguel de container tipo refeitório (2 unidades acopladas), c/ 2 aparelhos de ar condicionado, 4 lumináriase 4 janelas de vidro</v>
          </cell>
          <cell r="C1510" t="str">
            <v>mês</v>
          </cell>
          <cell r="D1510" t="str">
            <v>1.989,82</v>
          </cell>
          <cell r="E1510">
            <v>0</v>
          </cell>
        </row>
        <row r="1511">
          <cell r="A1511">
            <v>41456</v>
          </cell>
          <cell r="B1511" t="str">
            <v>Aluguel de container tipo refeitório (3 unidades acopladas), c/ 3 aparelhos de ar condiocionado, 6 luminárias e 6 janelas de vidro</v>
          </cell>
          <cell r="C1511" t="str">
            <v>mês</v>
          </cell>
          <cell r="D1511" t="str">
            <v>4.601,86</v>
          </cell>
          <cell r="E1511">
            <v>0</v>
          </cell>
        </row>
        <row r="1512">
          <cell r="A1512">
            <v>41580</v>
          </cell>
          <cell r="B1512" t="str">
            <v>Aluguel de container tipo sanitário com 3 vasos sanitários, lavatório, mictório, 5 chuveiros, 2 venezianas e piso especial</v>
          </cell>
          <cell r="C1512" t="str">
            <v>mês</v>
          </cell>
          <cell r="D1512" t="str">
            <v>768,27</v>
          </cell>
          <cell r="E1512">
            <v>0</v>
          </cell>
        </row>
        <row r="1513">
          <cell r="A1513">
            <v>41454</v>
          </cell>
          <cell r="B1513" t="str">
            <v>Aluguel de container tipo vestiário, 2 luminárias, piso especial e janela</v>
          </cell>
          <cell r="C1513" t="str">
            <v>mês</v>
          </cell>
          <cell r="D1513" t="str">
            <v>574,68</v>
          </cell>
          <cell r="E1513">
            <v>0</v>
          </cell>
        </row>
        <row r="1514">
          <cell r="A1514">
            <v>41498</v>
          </cell>
          <cell r="B1514" t="str">
            <v>Barracão com sanitário, em chapa compensada 12 mm e pont. 8x8cm, piso cimentado e cobertura em telha de fibroc. 6mm, incl. ponto de luz e cx. inspeção</v>
          </cell>
          <cell r="C1514" t="str">
            <v>m²</v>
          </cell>
          <cell r="D1514" t="str">
            <v>664,74</v>
          </cell>
          <cell r="E1514">
            <v>0</v>
          </cell>
        </row>
        <row r="1515">
          <cell r="A1515">
            <v>41531</v>
          </cell>
          <cell r="B1515" t="str">
            <v>Barracão em chapa compensada 12mm e pont. 8x8cm, piso cimentado e cobertura de telhas fibrocimento 6mm, incl. ponto de luz</v>
          </cell>
          <cell r="C1515" t="str">
            <v>m²</v>
          </cell>
          <cell r="D1515" t="str">
            <v>516,34</v>
          </cell>
          <cell r="E1515">
            <v>0</v>
          </cell>
        </row>
        <row r="1516">
          <cell r="A1516">
            <v>41557</v>
          </cell>
          <cell r="B1516" t="str">
            <v>Canaleta de concreto retangular com grelha em barra de aço</v>
          </cell>
          <cell r="C1516" t="str">
            <v>m</v>
          </cell>
          <cell r="D1516" t="str">
            <v>153,81</v>
          </cell>
          <cell r="E1516">
            <v>0</v>
          </cell>
        </row>
        <row r="1517">
          <cell r="A1517">
            <v>41506</v>
          </cell>
          <cell r="B1517" t="str">
            <v>Cobertura nova de telhas onduladas de fibrocimento 6,0mm, inclusive cumeeiras e acessórios de fixação</v>
          </cell>
          <cell r="C1517" t="str">
            <v>m²</v>
          </cell>
          <cell r="D1517" t="str">
            <v>43,63</v>
          </cell>
          <cell r="E1517">
            <v>0</v>
          </cell>
        </row>
        <row r="1518">
          <cell r="A1518">
            <v>41505</v>
          </cell>
          <cell r="B1518" t="str">
            <v>Estrutura de madeira lei para telhado de telha ondulada de fibroc. esp. 6mm, c/ pontaletes e caibros, incl. com cupinicida, excl. telhas</v>
          </cell>
          <cell r="C1518" t="str">
            <v>m²</v>
          </cell>
          <cell r="D1518" t="str">
            <v>72,82</v>
          </cell>
          <cell r="E1518">
            <v>0</v>
          </cell>
        </row>
        <row r="1519">
          <cell r="A1519">
            <v>41528</v>
          </cell>
          <cell r="B1519" t="str">
            <v>Galpão em peças de madeira 8x8cm e contravent. de 5x7cm, cobertura de telhas de fibroc. de 6mm, incl. ponto e cabo de alimentação da máquina</v>
          </cell>
          <cell r="C1519" t="str">
            <v>m²</v>
          </cell>
          <cell r="D1519" t="str">
            <v>237,20</v>
          </cell>
          <cell r="E1519">
            <v>0</v>
          </cell>
        </row>
        <row r="1520">
          <cell r="A1520">
            <v>41546</v>
          </cell>
          <cell r="B1520" t="str">
            <v>Mobilização e desmobilização de caminhão basculante (máximo)</v>
          </cell>
          <cell r="C1520" t="str">
            <v>h</v>
          </cell>
          <cell r="D1520" t="str">
            <v>190,78</v>
          </cell>
          <cell r="E1520">
            <v>0</v>
          </cell>
        </row>
        <row r="1521">
          <cell r="A1521">
            <v>41545</v>
          </cell>
          <cell r="B1521" t="str">
            <v>Mobilização e desmobilização de caminhão carroceria (máximo)</v>
          </cell>
          <cell r="C1521" t="str">
            <v>h</v>
          </cell>
          <cell r="D1521" t="str">
            <v>160,40</v>
          </cell>
          <cell r="E1521">
            <v>0</v>
          </cell>
        </row>
        <row r="1522">
          <cell r="A1522">
            <v>41547</v>
          </cell>
          <cell r="B1522" t="str">
            <v>Mobilização e desmobilização de caminhão tanque (6.000 L) (máximo)</v>
          </cell>
          <cell r="C1522" t="str">
            <v>h</v>
          </cell>
          <cell r="D1522" t="str">
            <v>159,21</v>
          </cell>
          <cell r="E1522">
            <v>0</v>
          </cell>
        </row>
        <row r="1523">
          <cell r="A1523">
            <v>41497</v>
          </cell>
          <cell r="B1523" t="str">
            <v>Mobilização e desmobilização de container acima de 150 km</v>
          </cell>
          <cell r="C1523" t="str">
            <v>un</v>
          </cell>
          <cell r="D1523" t="str">
            <v>2.155,83</v>
          </cell>
          <cell r="E1523">
            <v>0</v>
          </cell>
        </row>
        <row r="1524">
          <cell r="A1524">
            <v>41495</v>
          </cell>
          <cell r="B1524" t="str">
            <v>Mobilização e desmobilização de container até 50 km</v>
          </cell>
          <cell r="C1524" t="str">
            <v>un</v>
          </cell>
          <cell r="D1524" t="str">
            <v>1.101,84</v>
          </cell>
          <cell r="E1524">
            <v>0</v>
          </cell>
        </row>
        <row r="1525">
          <cell r="A1525">
            <v>41496</v>
          </cell>
          <cell r="B1525" t="str">
            <v>Mobilização e desmobilização de container de 51 km até 150 km</v>
          </cell>
          <cell r="C1525" t="str">
            <v>un</v>
          </cell>
          <cell r="D1525" t="str">
            <v>1.245,58</v>
          </cell>
          <cell r="E1525">
            <v>0</v>
          </cell>
        </row>
        <row r="1526">
          <cell r="A1526">
            <v>41544</v>
          </cell>
          <cell r="B1526" t="str">
            <v>Mobilização e desmobilização de equipamentos com carreta prancha (máximo)</v>
          </cell>
          <cell r="C1526" t="str">
            <v>h</v>
          </cell>
          <cell r="D1526" t="str">
            <v>304,25</v>
          </cell>
          <cell r="E1526">
            <v>0</v>
          </cell>
        </row>
        <row r="1527">
          <cell r="A1527">
            <v>41500</v>
          </cell>
          <cell r="B1527" t="str">
            <v>Placa de obra nas dimensões de 3,0 x 6,0 m, padrão DER-ES</v>
          </cell>
          <cell r="C1527" t="str">
            <v>m²</v>
          </cell>
          <cell r="D1527" t="str">
            <v>278,47</v>
          </cell>
          <cell r="E1527">
            <v>0</v>
          </cell>
        </row>
        <row r="1528">
          <cell r="A1528">
            <v>41501</v>
          </cell>
          <cell r="B1528" t="str">
            <v>Rede de água c/ padrão de entrada d'água diâm. 3/4" conf. CESAN, incl. tubos e conexões p/ aliment., distrib., extravas. e limp., cons. o padrão a 25m</v>
          </cell>
          <cell r="C1528" t="str">
            <v>m</v>
          </cell>
          <cell r="D1528" t="str">
            <v>30,52</v>
          </cell>
          <cell r="E1528">
            <v>0</v>
          </cell>
        </row>
        <row r="1529">
          <cell r="A1529">
            <v>41499</v>
          </cell>
          <cell r="B1529" t="str">
            <v>Rede de esgoto, contendo fossa e filtro, incl. tubos e conexões de ligação entre caixas, considerando distância de 25m</v>
          </cell>
          <cell r="C1529" t="str">
            <v>m</v>
          </cell>
          <cell r="D1529" t="str">
            <v>280,28</v>
          </cell>
          <cell r="E1529">
            <v>0</v>
          </cell>
        </row>
        <row r="1530">
          <cell r="A1530">
            <v>41503</v>
          </cell>
          <cell r="B1530" t="str">
            <v>Rede de luz, incl. padrão entr. energia trifás. cabo ligação até barracões, quadro distrib., disj. e chave de força, cons. 20m entre padrão entr.e QDG</v>
          </cell>
          <cell r="C1530" t="str">
            <v>m</v>
          </cell>
          <cell r="D1530" t="str">
            <v>364,40</v>
          </cell>
          <cell r="E1530">
            <v>0</v>
          </cell>
        </row>
        <row r="1531">
          <cell r="A1531">
            <v>41530</v>
          </cell>
          <cell r="B1531" t="str">
            <v>Refeitório c/ paredes chapa de comp. 12mm e pont. 8x8cm, piso ciment. e cob. telhas fibroc. 6mm, incl. ponto de luz e cx. de insp. (1,21m²/func/turno)</v>
          </cell>
          <cell r="C1531" t="str">
            <v>m²</v>
          </cell>
          <cell r="D1531" t="str">
            <v>445,73</v>
          </cell>
          <cell r="E1531">
            <v>0</v>
          </cell>
        </row>
        <row r="1532">
          <cell r="A1532">
            <v>41527</v>
          </cell>
          <cell r="B1532" t="str">
            <v>Reservatório de fibra de vidro de 1000 L, incl. suporte em madeira de 7x12cm, elevado de 4m</v>
          </cell>
          <cell r="C1532" t="str">
            <v>un</v>
          </cell>
          <cell r="D1532" t="str">
            <v>1.459,20</v>
          </cell>
          <cell r="E1532">
            <v>0</v>
          </cell>
        </row>
        <row r="1533">
          <cell r="A1533">
            <v>41529</v>
          </cell>
          <cell r="B1533" t="str">
            <v>Sanitário e vestiário de 40/60 func., c/ 33,90m², paredes chapa compens. 12mm e pont. 8x8cm, piso ciment., cobert. telha fibroc., incl. luz e cx. insp</v>
          </cell>
          <cell r="C1533" t="str">
            <v>un</v>
          </cell>
          <cell r="D1533" t="str">
            <v>23.077,34</v>
          </cell>
          <cell r="E1533">
            <v>0</v>
          </cell>
        </row>
        <row r="1534">
          <cell r="A1534">
            <v>41555</v>
          </cell>
          <cell r="B1534" t="str">
            <v>Sistema separador de água e óleo</v>
          </cell>
          <cell r="C1534" t="str">
            <v>un</v>
          </cell>
          <cell r="D1534" t="str">
            <v>5.174,95</v>
          </cell>
          <cell r="E1534">
            <v>0</v>
          </cell>
        </row>
        <row r="1535">
          <cell r="A1535">
            <v>41502</v>
          </cell>
          <cell r="B1535" t="str">
            <v>Tapume de chapa de compensado resinado esp. 6mm, 2,20 x 1,10m dispondo de abertura e portão. com 2,20m de altura, incl. pintura</v>
          </cell>
          <cell r="C1535" t="str">
            <v>m</v>
          </cell>
          <cell r="D1535" t="str">
            <v>221,83</v>
          </cell>
          <cell r="E1535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16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3.53125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5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Compos DER"/>
      <sheetName val="Compos lug"/>
      <sheetName val="Plan1"/>
      <sheetName val="P - COMPARATIVO"/>
      <sheetName val="Quantidades 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199 - Tabela Referencial Junho 2015 com desoneração</v>
          </cell>
          <cell r="B1">
            <v>0</v>
          </cell>
          <cell r="C1">
            <v>0</v>
          </cell>
          <cell r="D1">
            <v>0</v>
          </cell>
          <cell r="E1" t="str">
            <v>DataBase:Junho/2015</v>
          </cell>
        </row>
        <row r="2">
          <cell r="A2" t="str">
            <v>Valores com BDI de 29,63%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Serviço</v>
          </cell>
          <cell r="C3" t="str">
            <v>Unidade</v>
          </cell>
          <cell r="D3" t="str">
            <v>Preço Unitário</v>
          </cell>
          <cell r="E3" t="str">
            <v>Transporte</v>
          </cell>
        </row>
        <row r="4">
          <cell r="A4" t="str">
            <v>Grupo de Serviço: 1 - TERRAPLENAGEM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43339</v>
          </cell>
          <cell r="B5" t="str">
            <v>Capina manual inclusive limpeza</v>
          </cell>
          <cell r="C5" t="str">
            <v>m²</v>
          </cell>
          <cell r="D5" t="str">
            <v>0,53</v>
          </cell>
          <cell r="E5">
            <v>0</v>
          </cell>
        </row>
        <row r="6">
          <cell r="A6">
            <v>41099</v>
          </cell>
          <cell r="B6" t="str">
            <v>Carga de escoria de aciaria de vagão ferroviário supervisionado</v>
          </cell>
          <cell r="C6" t="str">
            <v>m³</v>
          </cell>
          <cell r="D6" t="str">
            <v>4,78</v>
          </cell>
          <cell r="E6">
            <v>0</v>
          </cell>
        </row>
        <row r="7">
          <cell r="A7">
            <v>40224</v>
          </cell>
          <cell r="B7" t="str">
            <v>Carga de material de 1ª categoria</v>
          </cell>
          <cell r="C7" t="str">
            <v>m³</v>
          </cell>
          <cell r="D7" t="str">
            <v>2,48</v>
          </cell>
          <cell r="E7">
            <v>0</v>
          </cell>
        </row>
        <row r="8">
          <cell r="A8">
            <v>40225</v>
          </cell>
          <cell r="B8" t="str">
            <v>Carga de material de 2ª categoria (solo, areia, brita, excl. rocha escavada)</v>
          </cell>
          <cell r="C8" t="str">
            <v>m³</v>
          </cell>
          <cell r="D8" t="str">
            <v>3,20</v>
          </cell>
          <cell r="E8">
            <v>0</v>
          </cell>
        </row>
        <row r="9">
          <cell r="A9">
            <v>40226</v>
          </cell>
          <cell r="B9" t="str">
            <v>Carga de material de 3ª categoria (rocha)</v>
          </cell>
          <cell r="C9" t="str">
            <v>m³</v>
          </cell>
          <cell r="D9" t="str">
            <v>4,78</v>
          </cell>
          <cell r="E9">
            <v>0</v>
          </cell>
        </row>
        <row r="10">
          <cell r="A10">
            <v>40996</v>
          </cell>
          <cell r="B10" t="str">
            <v>Carga, transporte e espalhamento de material decapado para ser usado como manutenção do Caminho de Serviço(DMT-&gt;0,500KM)</v>
          </cell>
          <cell r="C10" t="str">
            <v>m³</v>
          </cell>
          <cell r="D10" t="str">
            <v>4,60</v>
          </cell>
          <cell r="E10">
            <v>0</v>
          </cell>
        </row>
        <row r="11">
          <cell r="A11">
            <v>40229</v>
          </cell>
          <cell r="B11" t="str">
            <v>Compactação de aterros em rocha</v>
          </cell>
          <cell r="C11" t="str">
            <v>m³</v>
          </cell>
          <cell r="D11" t="str">
            <v>5,21</v>
          </cell>
          <cell r="E11">
            <v>0</v>
          </cell>
        </row>
        <row r="12">
          <cell r="A12">
            <v>43340</v>
          </cell>
          <cell r="B12" t="str">
            <v>Compactação de aterros 100% P.I.</v>
          </cell>
          <cell r="C12" t="str">
            <v>m³</v>
          </cell>
          <cell r="D12" t="str">
            <v>5,09</v>
          </cell>
          <cell r="E12">
            <v>0</v>
          </cell>
        </row>
        <row r="13">
          <cell r="A13">
            <v>40228</v>
          </cell>
          <cell r="B13" t="str">
            <v>Compactação de aterros 100% PN</v>
          </cell>
          <cell r="C13" t="str">
            <v>m³</v>
          </cell>
          <cell r="D13" t="str">
            <v>3,95</v>
          </cell>
          <cell r="E13">
            <v>0</v>
          </cell>
        </row>
        <row r="14">
          <cell r="A14">
            <v>42227</v>
          </cell>
          <cell r="B14" t="str">
            <v>Decapagem de pedreira, 1ª categoria, com escavadeira</v>
          </cell>
          <cell r="C14" t="str">
            <v>m³</v>
          </cell>
          <cell r="D14" t="str">
            <v>3,72</v>
          </cell>
          <cell r="E14">
            <v>0</v>
          </cell>
        </row>
        <row r="15">
          <cell r="A15">
            <v>40994</v>
          </cell>
          <cell r="B15" t="str">
            <v>Decapagem de pedreira, 1ª categoria, com trator de esteiras</v>
          </cell>
          <cell r="C15" t="str">
            <v>m³</v>
          </cell>
          <cell r="D15" t="str">
            <v>4,52</v>
          </cell>
          <cell r="E15">
            <v>0</v>
          </cell>
        </row>
        <row r="16">
          <cell r="A16">
            <v>42940</v>
          </cell>
          <cell r="B16" t="str">
            <v>Demolição de material de 3ª categoria com fio diamantado</v>
          </cell>
          <cell r="C16" t="str">
            <v>m³</v>
          </cell>
          <cell r="D16" t="str">
            <v>188,30</v>
          </cell>
          <cell r="E16">
            <v>0</v>
          </cell>
        </row>
        <row r="17">
          <cell r="A17">
            <v>41047</v>
          </cell>
          <cell r="B17" t="str">
            <v>Demolição de rocha a frio, até altura de 3,0m, com argamassa expansiva, inclusive remoção com escavadeira</v>
          </cell>
          <cell r="C17" t="str">
            <v>m³</v>
          </cell>
          <cell r="D17" t="str">
            <v>337,50</v>
          </cell>
          <cell r="E17">
            <v>0</v>
          </cell>
        </row>
        <row r="18">
          <cell r="A18">
            <v>41048</v>
          </cell>
          <cell r="B18" t="str">
            <v>Demolição de rocha a frio até 3 metros com utilização de argamassa expansiva, inclusive remoção com trator de esteiras</v>
          </cell>
          <cell r="C18" t="str">
            <v>m³</v>
          </cell>
          <cell r="D18" t="str">
            <v>301,64</v>
          </cell>
          <cell r="E18">
            <v>0</v>
          </cell>
        </row>
        <row r="19">
          <cell r="A19">
            <v>40217</v>
          </cell>
          <cell r="B19" t="str">
            <v>Desmonte de rocha</v>
          </cell>
          <cell r="C19" t="str">
            <v>m³</v>
          </cell>
          <cell r="D19" t="str">
            <v>34,01</v>
          </cell>
          <cell r="E19">
            <v>0</v>
          </cell>
        </row>
        <row r="20">
          <cell r="A20">
            <v>40172</v>
          </cell>
          <cell r="B20" t="str">
            <v>Destocamento de árvores com diâmetro &gt; 30 cm, com trator de esteira</v>
          </cell>
          <cell r="C20" t="str">
            <v>un</v>
          </cell>
          <cell r="D20" t="str">
            <v>20,92</v>
          </cell>
          <cell r="E20">
            <v>0</v>
          </cell>
        </row>
        <row r="21">
          <cell r="A21">
            <v>40171</v>
          </cell>
          <cell r="B21" t="str">
            <v>Destocamento de árvores com diâmetro de 15 a 30 cm, com trator de esteira</v>
          </cell>
          <cell r="C21" t="str">
            <v>un</v>
          </cell>
          <cell r="D21" t="str">
            <v>10,46</v>
          </cell>
          <cell r="E21">
            <v>0</v>
          </cell>
        </row>
        <row r="22">
          <cell r="A22">
            <v>42225</v>
          </cell>
          <cell r="B22" t="str">
            <v>Escalonamento de taludes com escavadeira</v>
          </cell>
          <cell r="C22" t="str">
            <v>m³</v>
          </cell>
          <cell r="D22" t="str">
            <v>6,23</v>
          </cell>
          <cell r="E22">
            <v>0</v>
          </cell>
        </row>
        <row r="23">
          <cell r="A23">
            <v>40178</v>
          </cell>
          <cell r="B23" t="str">
            <v>Escalonamento de taludes, com trator de esteiras</v>
          </cell>
          <cell r="C23" t="str">
            <v>m³</v>
          </cell>
          <cell r="D23" t="str">
            <v>6,44</v>
          </cell>
          <cell r="E23">
            <v>0</v>
          </cell>
        </row>
        <row r="24">
          <cell r="A24">
            <v>40179</v>
          </cell>
          <cell r="B24" t="str">
            <v>Escavação, carga e transporte de material de 1ª cat. até 200 m com moto-escavo-transportador</v>
          </cell>
          <cell r="C24" t="str">
            <v>m³</v>
          </cell>
          <cell r="D24" t="str">
            <v>10,16</v>
          </cell>
          <cell r="E24">
            <v>0</v>
          </cell>
        </row>
        <row r="25">
          <cell r="A25">
            <v>40184</v>
          </cell>
          <cell r="B25" t="str">
            <v>Escavação, carga e transporte de material de 1ª cat. 1000 a 1200 m com moto-escavo-transportador</v>
          </cell>
          <cell r="C25" t="str">
            <v>m³</v>
          </cell>
          <cell r="D25" t="str">
            <v>17,61</v>
          </cell>
          <cell r="E25">
            <v>0</v>
          </cell>
        </row>
        <row r="26">
          <cell r="A26">
            <v>40180</v>
          </cell>
          <cell r="B26" t="str">
            <v>Escavação, carga e transporte de material de 1ª cat. 200 a 400 m com moto-escavo-transportador</v>
          </cell>
          <cell r="C26" t="str">
            <v>m³</v>
          </cell>
          <cell r="D26" t="str">
            <v>11,67</v>
          </cell>
          <cell r="E26">
            <v>0</v>
          </cell>
        </row>
        <row r="27">
          <cell r="A27">
            <v>40181</v>
          </cell>
          <cell r="B27" t="str">
            <v>Escavação, carga e transporte de material de 1ª cat. 400 a 600 m com moto-escavo-transportador</v>
          </cell>
          <cell r="C27" t="str">
            <v>m³</v>
          </cell>
          <cell r="D27" t="str">
            <v>13,09</v>
          </cell>
          <cell r="E27">
            <v>0</v>
          </cell>
        </row>
        <row r="28">
          <cell r="A28">
            <v>40182</v>
          </cell>
          <cell r="B28" t="str">
            <v>Escavação, carga e transporte de material de 1ª cat. 600 a 800 m com moto-escavo-transportador</v>
          </cell>
          <cell r="C28" t="str">
            <v>m³</v>
          </cell>
          <cell r="D28" t="str">
            <v>15,01</v>
          </cell>
          <cell r="E28">
            <v>0</v>
          </cell>
        </row>
        <row r="29">
          <cell r="A29">
            <v>40183</v>
          </cell>
          <cell r="B29" t="str">
            <v>Escavação, carga e transporte de material de 1ª cat. 800 a 1000 m com moto-escavo-transportador</v>
          </cell>
          <cell r="C29" t="str">
            <v>m³</v>
          </cell>
          <cell r="D29" t="str">
            <v>15,84</v>
          </cell>
          <cell r="E29">
            <v>0</v>
          </cell>
        </row>
        <row r="30">
          <cell r="A30">
            <v>40191</v>
          </cell>
          <cell r="B30" t="str">
            <v>Escavação, carga e transporte de material de 2ª cat. até 200 m com moto-escavo-transportador</v>
          </cell>
          <cell r="C30" t="str">
            <v>m³</v>
          </cell>
          <cell r="D30" t="str">
            <v>15,49</v>
          </cell>
          <cell r="E30">
            <v>0</v>
          </cell>
        </row>
        <row r="31">
          <cell r="A31">
            <v>40196</v>
          </cell>
          <cell r="B31" t="str">
            <v>Escavação, carga e transporte de material de 2ª cat. 1000 a 1200 m com moto-escavo-transportador</v>
          </cell>
          <cell r="C31" t="str">
            <v>m³</v>
          </cell>
          <cell r="D31" t="str">
            <v>24,31</v>
          </cell>
          <cell r="E31">
            <v>0</v>
          </cell>
        </row>
        <row r="32">
          <cell r="A32">
            <v>40192</v>
          </cell>
          <cell r="B32" t="str">
            <v>Escavação, carga e transporte de material de 2ª cat. 200 a 400 m com moto-escavo-transportador</v>
          </cell>
          <cell r="C32" t="str">
            <v>m³</v>
          </cell>
          <cell r="D32" t="str">
            <v>16,74</v>
          </cell>
          <cell r="E32">
            <v>0</v>
          </cell>
        </row>
        <row r="33">
          <cell r="A33">
            <v>40193</v>
          </cell>
          <cell r="B33" t="str">
            <v>Escavação, carga e transporte de material de 2ª cat. 400 a 600 m com moto-escavo-transportador</v>
          </cell>
          <cell r="C33" t="str">
            <v>m³</v>
          </cell>
          <cell r="D33" t="str">
            <v>18,27</v>
          </cell>
          <cell r="E33">
            <v>0</v>
          </cell>
        </row>
        <row r="34">
          <cell r="A34">
            <v>40194</v>
          </cell>
          <cell r="B34" t="str">
            <v>Escavação, carga e transporte de material de 2ª cat. 600 a 800 m com moto-escavo-transportador</v>
          </cell>
          <cell r="C34" t="str">
            <v>m³</v>
          </cell>
          <cell r="D34" t="str">
            <v>20,89</v>
          </cell>
          <cell r="E34">
            <v>0</v>
          </cell>
        </row>
        <row r="35">
          <cell r="A35">
            <v>40195</v>
          </cell>
          <cell r="B35" t="str">
            <v>Escavação, carga e transporte de material de 2ª cat. 800 a 1000 m com moto-escavo-transportador</v>
          </cell>
          <cell r="C35" t="str">
            <v>m³</v>
          </cell>
          <cell r="D35" t="str">
            <v>22,28</v>
          </cell>
          <cell r="E35">
            <v>0</v>
          </cell>
        </row>
        <row r="36">
          <cell r="A36">
            <v>40220</v>
          </cell>
          <cell r="B36" t="str">
            <v>Escavação e carga de material de barreira (remoção)</v>
          </cell>
          <cell r="C36" t="str">
            <v>m³</v>
          </cell>
          <cell r="D36" t="str">
            <v>7,63</v>
          </cell>
          <cell r="E36">
            <v>0</v>
          </cell>
        </row>
        <row r="37">
          <cell r="A37">
            <v>40230</v>
          </cell>
          <cell r="B37" t="str">
            <v>Escavação e carga de material de 1ª categoria com escavadeira</v>
          </cell>
          <cell r="C37" t="str">
            <v>m³</v>
          </cell>
          <cell r="D37" t="str">
            <v>2,64</v>
          </cell>
          <cell r="E37">
            <v>0</v>
          </cell>
        </row>
        <row r="38">
          <cell r="A38">
            <v>40221</v>
          </cell>
          <cell r="B38" t="str">
            <v>Escavação e carga de material de 1ª categoria, com trator de esteira e pá carregadeira</v>
          </cell>
          <cell r="C38" t="str">
            <v>m³</v>
          </cell>
          <cell r="D38" t="str">
            <v>6,50</v>
          </cell>
          <cell r="E38">
            <v>0</v>
          </cell>
        </row>
        <row r="39">
          <cell r="A39">
            <v>40231</v>
          </cell>
          <cell r="B39" t="str">
            <v>Escavação e carga de material de 2ª categoria com escavadeira</v>
          </cell>
          <cell r="C39" t="str">
            <v>m³</v>
          </cell>
          <cell r="D39" t="str">
            <v>3,90</v>
          </cell>
          <cell r="E39">
            <v>0</v>
          </cell>
        </row>
        <row r="40">
          <cell r="A40">
            <v>40222</v>
          </cell>
          <cell r="B40" t="str">
            <v>Escavação e carga de material de 2ª categoria, com trator de esteira e pá carregadeira</v>
          </cell>
          <cell r="C40" t="str">
            <v>m³</v>
          </cell>
          <cell r="D40" t="str">
            <v>9,56</v>
          </cell>
          <cell r="E40">
            <v>0</v>
          </cell>
        </row>
        <row r="41">
          <cell r="A41">
            <v>40216</v>
          </cell>
          <cell r="B41" t="str">
            <v>Escavação e carga de material de 3ª categoria (fogo controlado)</v>
          </cell>
          <cell r="C41" t="str">
            <v>m³</v>
          </cell>
          <cell r="D41" t="str">
            <v>80,20</v>
          </cell>
          <cell r="E41">
            <v>0</v>
          </cell>
        </row>
        <row r="42">
          <cell r="A42">
            <v>40223</v>
          </cell>
          <cell r="B42" t="str">
            <v>Escavação e carga de material de 3ª categoria (H bancada &gt;1,0 m)</v>
          </cell>
          <cell r="C42" t="str">
            <v>m³</v>
          </cell>
          <cell r="D42" t="str">
            <v>33,09</v>
          </cell>
          <cell r="E42">
            <v>0</v>
          </cell>
        </row>
        <row r="43">
          <cell r="A43">
            <v>43335</v>
          </cell>
          <cell r="B43" t="str">
            <v>Espalhamento / regularização / compactação de material em bota-fora</v>
          </cell>
          <cell r="C43" t="str">
            <v>m³</v>
          </cell>
          <cell r="D43" t="str">
            <v>2,13</v>
          </cell>
          <cell r="E43">
            <v>0</v>
          </cell>
        </row>
        <row r="44">
          <cell r="A44">
            <v>42547</v>
          </cell>
          <cell r="B44" t="str">
            <v>Espalhamento de material de 1ª categoria com motoniveladora</v>
          </cell>
          <cell r="C44" t="str">
            <v>m³</v>
          </cell>
          <cell r="D44" t="str">
            <v>1,36</v>
          </cell>
          <cell r="E44">
            <v>0</v>
          </cell>
        </row>
        <row r="45">
          <cell r="A45">
            <v>40177</v>
          </cell>
          <cell r="B45" t="str">
            <v>Espalhamento de material de 1ª categoria com trator de esteiras</v>
          </cell>
          <cell r="C45" t="str">
            <v>m³</v>
          </cell>
          <cell r="D45" t="str">
            <v>3,62</v>
          </cell>
          <cell r="E45">
            <v>0</v>
          </cell>
        </row>
        <row r="46">
          <cell r="A46">
            <v>41056</v>
          </cell>
          <cell r="B46" t="str">
            <v>Forro de regularização sobre plataforma de enrocamento para tráfego de caminhões, inclusive fornecimento do pó de pedra e da pedra demão</v>
          </cell>
          <cell r="C46" t="str">
            <v>m³</v>
          </cell>
          <cell r="D46" t="str">
            <v>72,76</v>
          </cell>
          <cell r="E46">
            <v>0</v>
          </cell>
        </row>
        <row r="47">
          <cell r="A47">
            <v>40218</v>
          </cell>
          <cell r="B47" t="str">
            <v>Fragmentação de rocha (fogacheamento)</v>
          </cell>
          <cell r="C47" t="str">
            <v>m³</v>
          </cell>
          <cell r="D47" t="str">
            <v>47,47</v>
          </cell>
          <cell r="E47">
            <v>0</v>
          </cell>
        </row>
        <row r="48">
          <cell r="A48">
            <v>40170</v>
          </cell>
          <cell r="B48" t="str">
            <v>Limpeza de acostamento</v>
          </cell>
          <cell r="C48" t="str">
            <v>m²</v>
          </cell>
          <cell r="D48" t="str">
            <v>0,54</v>
          </cell>
          <cell r="E48">
            <v>0</v>
          </cell>
        </row>
        <row r="49">
          <cell r="A49">
            <v>40167</v>
          </cell>
          <cell r="B49" t="str">
            <v>Limpeza, desmatamento e destocamento de árvores com diâmetro até 15 cm, com trator de esteira</v>
          </cell>
          <cell r="C49" t="str">
            <v>m²</v>
          </cell>
          <cell r="D49" t="str">
            <v>0,40</v>
          </cell>
          <cell r="E49">
            <v>0</v>
          </cell>
        </row>
        <row r="50">
          <cell r="A50">
            <v>40168</v>
          </cell>
          <cell r="B50" t="str">
            <v>Limpeza, desmatamento e destocamento de jazida com remoçao 15 cm solo orgânico</v>
          </cell>
          <cell r="C50" t="str">
            <v>m²</v>
          </cell>
          <cell r="D50" t="str">
            <v>1,91</v>
          </cell>
          <cell r="E50">
            <v>0</v>
          </cell>
        </row>
        <row r="51">
          <cell r="A51">
            <v>40169</v>
          </cell>
          <cell r="B51" t="str">
            <v>Limpeza e desmatamento em área alagada (pântano) com ferramentas manuais, inclusive moto serra</v>
          </cell>
          <cell r="C51" t="str">
            <v>m²</v>
          </cell>
          <cell r="D51" t="str">
            <v>6,70</v>
          </cell>
          <cell r="E51">
            <v>0</v>
          </cell>
        </row>
        <row r="52">
          <cell r="A52">
            <v>40219</v>
          </cell>
          <cell r="B52" t="str">
            <v>Pré-fissuramento de taludes de rocha</v>
          </cell>
          <cell r="C52" t="str">
            <v>m²</v>
          </cell>
          <cell r="D52" t="str">
            <v>25,73</v>
          </cell>
          <cell r="E52">
            <v>0</v>
          </cell>
        </row>
        <row r="53">
          <cell r="A53">
            <v>41095</v>
          </cell>
          <cell r="B53" t="str">
            <v>Remoção de solos moles, incluindo carregamento mecânico com escavadeira hidráulica</v>
          </cell>
          <cell r="C53" t="str">
            <v>m³</v>
          </cell>
          <cell r="D53" t="str">
            <v>19,41</v>
          </cell>
          <cell r="E53">
            <v>0</v>
          </cell>
        </row>
        <row r="54">
          <cell r="A54">
            <v>43352</v>
          </cell>
          <cell r="B54" t="str">
            <v>Roçada manual com roçadeira costal, ferramentas manuais, inclusive limpeza e remoção com retroescavadeira</v>
          </cell>
          <cell r="C54" t="str">
            <v>m²</v>
          </cell>
          <cell r="D54" t="str">
            <v>0,44</v>
          </cell>
          <cell r="E54">
            <v>0</v>
          </cell>
        </row>
        <row r="55">
          <cell r="A55">
            <v>43338</v>
          </cell>
          <cell r="B55" t="str">
            <v>Roçada manual com roçadeira costal, ferramentas manuais, inclusive limpeza manual</v>
          </cell>
          <cell r="C55" t="str">
            <v>m²</v>
          </cell>
          <cell r="D55" t="str">
            <v>0,37</v>
          </cell>
          <cell r="E55">
            <v>0</v>
          </cell>
        </row>
        <row r="56">
          <cell r="A56">
            <v>40166</v>
          </cell>
          <cell r="B56" t="str">
            <v>Roçada mecânica</v>
          </cell>
          <cell r="C56" t="str">
            <v>m²</v>
          </cell>
          <cell r="D56" t="str">
            <v>0,14</v>
          </cell>
          <cell r="E56">
            <v>0</v>
          </cell>
        </row>
        <row r="57">
          <cell r="A57">
            <v>41326</v>
          </cell>
          <cell r="B57" t="str">
            <v>Transporte horizontal com trator de lâmina de material de 1ª cat. DMTaté 50m</v>
          </cell>
          <cell r="C57" t="str">
            <v>m³</v>
          </cell>
          <cell r="D57" t="str">
            <v>4,38</v>
          </cell>
          <cell r="E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e">
            <v>#N/A</v>
          </cell>
        </row>
        <row r="59">
          <cell r="A59" t="str">
            <v>Grupo de Serviço: 2 - PAVIMENTAÇÃO</v>
          </cell>
          <cell r="B59">
            <v>0</v>
          </cell>
          <cell r="C59">
            <v>0</v>
          </cell>
          <cell r="E59" t="e">
            <v>#N/A</v>
          </cell>
        </row>
        <row r="60">
          <cell r="A60">
            <v>40801</v>
          </cell>
          <cell r="B60" t="str">
            <v>Base com mistura de argila, areia e escória de aciaria, 30%,30%,40%, inclusive fornecim. transp.areia e escória, exclusive fornecim. transp. da argila</v>
          </cell>
          <cell r="C60" t="str">
            <v>m³</v>
          </cell>
          <cell r="D60" t="str">
            <v>81,78</v>
          </cell>
          <cell r="E60" t="str">
            <v>A incluir</v>
          </cell>
        </row>
        <row r="61">
          <cell r="A61">
            <v>40799</v>
          </cell>
          <cell r="B61" t="str">
            <v>Base com mistura de argila, areia e escória de aciaria, 50%,20%,30%, inclusive fornecim.e transp. areia e escória, exclusive fornecim. e transp.argila</v>
          </cell>
          <cell r="C61" t="str">
            <v>m³</v>
          </cell>
          <cell r="D61" t="str">
            <v>64,14</v>
          </cell>
          <cell r="E61" t="str">
            <v>A incluir</v>
          </cell>
        </row>
        <row r="62">
          <cell r="A62">
            <v>40793</v>
          </cell>
          <cell r="B62" t="str">
            <v>Base com mistura de argila 30%, pó de pedra 30% e brita 40%, inclusive fornecimento e transporte do pó de pedra e da brita</v>
          </cell>
          <cell r="C62" t="str">
            <v>m³</v>
          </cell>
          <cell r="D62" t="str">
            <v>76,39</v>
          </cell>
          <cell r="E62" t="str">
            <v>A incluir</v>
          </cell>
        </row>
        <row r="63">
          <cell r="A63">
            <v>40797</v>
          </cell>
          <cell r="B63" t="str">
            <v>Base com mistura de argila 70% e escória de aciaria 30%, inclusive fornecim. e transporte da escória, exclusive fornecimento e transporte da argila</v>
          </cell>
          <cell r="C63" t="str">
            <v>m³</v>
          </cell>
          <cell r="D63" t="str">
            <v>40,40</v>
          </cell>
          <cell r="E63" t="str">
            <v>A incluir</v>
          </cell>
        </row>
        <row r="64">
          <cell r="A64">
            <v>41157</v>
          </cell>
          <cell r="B64" t="str">
            <v>Base com mistura de Saibro, Argila e Brita, 45%, 15% e 40%, exclusive transporte</v>
          </cell>
          <cell r="C64" t="str">
            <v>m³</v>
          </cell>
          <cell r="D64" t="str">
            <v>46,96</v>
          </cell>
          <cell r="E64">
            <v>0</v>
          </cell>
        </row>
        <row r="65">
          <cell r="A65">
            <v>40795</v>
          </cell>
          <cell r="B65" t="str">
            <v>Base com mistura de solo 80% e areia 20%, inclusive transporte da areia</v>
          </cell>
          <cell r="C65" t="str">
            <v>m³</v>
          </cell>
          <cell r="D65" t="str">
            <v>38,44</v>
          </cell>
          <cell r="E65" t="str">
            <v>A incluir</v>
          </cell>
        </row>
        <row r="66">
          <cell r="A66">
            <v>40787</v>
          </cell>
          <cell r="B66" t="str">
            <v>Base de brita graduada, inclusive fornecimento e transporte da brita</v>
          </cell>
          <cell r="C66" t="str">
            <v>m³</v>
          </cell>
          <cell r="D66" t="str">
            <v>104,09</v>
          </cell>
          <cell r="E66" t="str">
            <v>A incluir</v>
          </cell>
        </row>
        <row r="67">
          <cell r="A67">
            <v>40812</v>
          </cell>
          <cell r="B67" t="str">
            <v>Base de brita graduada, inclusive fornecimento, exclusive transporte da brita</v>
          </cell>
          <cell r="C67" t="str">
            <v>m³</v>
          </cell>
          <cell r="D67" t="str">
            <v>104,09</v>
          </cell>
          <cell r="E67">
            <v>0</v>
          </cell>
        </row>
        <row r="68">
          <cell r="A68">
            <v>42673</v>
          </cell>
          <cell r="B68" t="str">
            <v>Base de brita 1, inclusive fornecimento, exclusive transporte da brita</v>
          </cell>
          <cell r="C68" t="str">
            <v>m³</v>
          </cell>
          <cell r="D68" t="str">
            <v>101,27</v>
          </cell>
          <cell r="E68">
            <v>0</v>
          </cell>
        </row>
        <row r="69">
          <cell r="A69">
            <v>40803</v>
          </cell>
          <cell r="B69" t="str">
            <v>Base de escória de aciaria, inclusive fornecimento e transporte da escória</v>
          </cell>
          <cell r="C69" t="str">
            <v>m³</v>
          </cell>
          <cell r="D69" t="str">
            <v>85,41</v>
          </cell>
          <cell r="E69" t="str">
            <v>A incluir</v>
          </cell>
        </row>
        <row r="70">
          <cell r="A70">
            <v>41406</v>
          </cell>
          <cell r="B70" t="str">
            <v>Base de escória/argila na proporção 80:20, inclusive aquisição e transporte da escória, exclusive argila</v>
          </cell>
          <cell r="C70" t="str">
            <v>m³</v>
          </cell>
          <cell r="D70" t="str">
            <v>73,00</v>
          </cell>
          <cell r="E70" t="str">
            <v>A incluir</v>
          </cell>
        </row>
        <row r="71">
          <cell r="A71">
            <v>41100</v>
          </cell>
          <cell r="B71" t="str">
            <v>Base de escória/solo na proporção 75:25, inclusive fornecimento da escória, exceto fornecimento do solo e transporte do solo e escória</v>
          </cell>
          <cell r="C71" t="str">
            <v>m³</v>
          </cell>
          <cell r="D71" t="str">
            <v>69,75</v>
          </cell>
          <cell r="E71">
            <v>0</v>
          </cell>
        </row>
        <row r="72">
          <cell r="A72">
            <v>40979</v>
          </cell>
          <cell r="B72" t="str">
            <v>Base de solo brita, 20% em peso, inclusive fornecim. da brita, exclusive transporte da brita e do solo (100% P.IM)</v>
          </cell>
          <cell r="C72" t="str">
            <v>m³</v>
          </cell>
          <cell r="D72" t="str">
            <v>42,02</v>
          </cell>
          <cell r="E72">
            <v>0</v>
          </cell>
        </row>
        <row r="73">
          <cell r="A73">
            <v>40815</v>
          </cell>
          <cell r="B73" t="str">
            <v>Base de solo brita, 40% em peso, inclusive fornecimento, exclusive transporte da brita</v>
          </cell>
          <cell r="C73" t="str">
            <v>m³</v>
          </cell>
          <cell r="D73" t="str">
            <v>55,85</v>
          </cell>
          <cell r="E73">
            <v>0</v>
          </cell>
        </row>
        <row r="74">
          <cell r="A74">
            <v>40809</v>
          </cell>
          <cell r="B74" t="str">
            <v>Base de solo brita, 50% em peso, inclusive fornecimento, exclusive transporte da brita</v>
          </cell>
          <cell r="C74" t="str">
            <v>m³</v>
          </cell>
          <cell r="D74" t="str">
            <v>65,17</v>
          </cell>
          <cell r="E74">
            <v>0</v>
          </cell>
        </row>
        <row r="75">
          <cell r="A75">
            <v>40810</v>
          </cell>
          <cell r="B75" t="str">
            <v>Base de solo brita, 70% em peso, inclusive fornecimento, exclusive transporte da brita</v>
          </cell>
          <cell r="C75" t="str">
            <v>m³</v>
          </cell>
          <cell r="D75" t="str">
            <v>83,88</v>
          </cell>
          <cell r="E75">
            <v>0</v>
          </cell>
        </row>
        <row r="76">
          <cell r="A76">
            <v>41097</v>
          </cell>
          <cell r="B76" t="str">
            <v>Base de solo brita, 80% em peso, inclusive fornecimento e transporte da brita</v>
          </cell>
          <cell r="C76" t="str">
            <v>m³</v>
          </cell>
          <cell r="D76" t="str">
            <v>95,18</v>
          </cell>
          <cell r="E76" t="str">
            <v>A incluir</v>
          </cell>
        </row>
        <row r="77">
          <cell r="A77">
            <v>41364</v>
          </cell>
          <cell r="B77" t="str">
            <v>Base estabilizada granulométricamente. com mistura de escória de aciaria 80% e argila exceto fornecimento da argila e transporte da argila e escória</v>
          </cell>
          <cell r="C77" t="str">
            <v>m³</v>
          </cell>
          <cell r="D77" t="str">
            <v>73,00</v>
          </cell>
          <cell r="E77">
            <v>0</v>
          </cell>
        </row>
        <row r="78">
          <cell r="A78">
            <v>40777</v>
          </cell>
          <cell r="B78" t="str">
            <v>Base solo brita, 20% em peso, inclusive fornecimento e transporte da brita</v>
          </cell>
          <cell r="C78" t="str">
            <v>m³</v>
          </cell>
          <cell r="D78" t="str">
            <v>37,34</v>
          </cell>
          <cell r="E78" t="str">
            <v>A incluir</v>
          </cell>
        </row>
        <row r="79">
          <cell r="A79">
            <v>40779</v>
          </cell>
          <cell r="B79" t="str">
            <v>Base solo brita, 30% em peso, inclusive fornecimento e transporte da brita</v>
          </cell>
          <cell r="C79" t="str">
            <v>m³</v>
          </cell>
          <cell r="D79" t="str">
            <v>44,60</v>
          </cell>
          <cell r="E79" t="str">
            <v>A incluir</v>
          </cell>
        </row>
        <row r="80">
          <cell r="A80">
            <v>40781</v>
          </cell>
          <cell r="B80" t="str">
            <v>Base solo brita, 50% em peso, inclusive fornecimento e transporte da brita</v>
          </cell>
          <cell r="C80" t="str">
            <v>m³</v>
          </cell>
          <cell r="D80" t="str">
            <v>65,17</v>
          </cell>
          <cell r="E80" t="str">
            <v>A incluir</v>
          </cell>
        </row>
        <row r="81">
          <cell r="A81">
            <v>40783</v>
          </cell>
          <cell r="B81" t="str">
            <v>Base solo brita, 70% em peso, inclusive fornecimento e transporte da brita</v>
          </cell>
          <cell r="C81" t="str">
            <v>m³</v>
          </cell>
          <cell r="D81" t="str">
            <v>83,88</v>
          </cell>
          <cell r="E81" t="str">
            <v>A incluir</v>
          </cell>
        </row>
        <row r="82">
          <cell r="A82">
            <v>41366</v>
          </cell>
          <cell r="B82" t="str">
            <v>Base solo brita, 80% em peso, inclusive fornecimento, exclusive transporte da brita</v>
          </cell>
          <cell r="C82" t="str">
            <v>m³</v>
          </cell>
          <cell r="D82" t="str">
            <v>95,18</v>
          </cell>
          <cell r="E82">
            <v>0</v>
          </cell>
        </row>
        <row r="83">
          <cell r="A83">
            <v>40834</v>
          </cell>
          <cell r="B83" t="str">
            <v>Capa selante (emulsão e areia) exclusive fornecimento e transporte comercial da emulsão, inclusive transporte da areia</v>
          </cell>
          <cell r="C83" t="str">
            <v>m²</v>
          </cell>
          <cell r="D83" t="str">
            <v>1,51</v>
          </cell>
          <cell r="E83" t="str">
            <v>A incluir</v>
          </cell>
        </row>
        <row r="84">
          <cell r="A84">
            <v>40835</v>
          </cell>
          <cell r="B84" t="str">
            <v>Capa selante (emulsão e areia) inclusive fornecimento e transporte comercial da emulsão</v>
          </cell>
          <cell r="C84" t="str">
            <v>m²</v>
          </cell>
          <cell r="D84" t="str">
            <v>2,20</v>
          </cell>
          <cell r="E84" t="str">
            <v>A incluir</v>
          </cell>
        </row>
        <row r="85">
          <cell r="A85">
            <v>40841</v>
          </cell>
          <cell r="B85" t="str">
            <v>CBUQ (camada pronta - binder) exclusive fornecimento e transportes do CAP e massa, inclusive fornecimento e transporte da brita e pó de pedra</v>
          </cell>
          <cell r="C85" t="str">
            <v>t</v>
          </cell>
          <cell r="D85" t="str">
            <v>94,72</v>
          </cell>
          <cell r="E85" t="str">
            <v>A incluir</v>
          </cell>
        </row>
        <row r="86">
          <cell r="A86">
            <v>40842</v>
          </cell>
          <cell r="B86" t="str">
            <v>CBUQ (camada pronta - binder) inclusive fornecimento e transporte comercial do CAP, exclusive transporte da massa</v>
          </cell>
          <cell r="C86" t="str">
            <v>t</v>
          </cell>
          <cell r="D86" t="str">
            <v>209,06</v>
          </cell>
          <cell r="E86" t="str">
            <v>A incluir</v>
          </cell>
        </row>
        <row r="87">
          <cell r="A87">
            <v>40843</v>
          </cell>
          <cell r="B87" t="str">
            <v>CBUQ (camada pronta - capa) exclusive fornecimento e transportes do CAP e massa</v>
          </cell>
          <cell r="C87" t="str">
            <v>t</v>
          </cell>
          <cell r="D87" t="str">
            <v>97,98</v>
          </cell>
          <cell r="E87" t="str">
            <v>A incluir</v>
          </cell>
        </row>
        <row r="88">
          <cell r="A88">
            <v>40844</v>
          </cell>
          <cell r="B88" t="str">
            <v>CBUQ (camada pronta - capa) inclusive fornecimento e transporte comercial do CAP, exclusive transporte da massa</v>
          </cell>
          <cell r="C88" t="str">
            <v>t</v>
          </cell>
          <cell r="D88" t="str">
            <v>221,86</v>
          </cell>
          <cell r="E88" t="str">
            <v>A incluir</v>
          </cell>
        </row>
        <row r="89">
          <cell r="A89">
            <v>41112</v>
          </cell>
          <cell r="B89" t="str">
            <v>CBUQ (camada pronta Faixa "B" para revestimento) exclusive fornecimento do CAP e transp. de todos os materiais</v>
          </cell>
          <cell r="C89" t="str">
            <v>t</v>
          </cell>
          <cell r="D89" t="str">
            <v>92,85</v>
          </cell>
          <cell r="E89" t="str">
            <v>A incluir</v>
          </cell>
        </row>
        <row r="90">
          <cell r="A90">
            <v>43342</v>
          </cell>
          <cell r="B90" t="str">
            <v>CBUQ (camada pronta-faixa "C") , exclusive fornecimento do CAP e transporte de todos os materiais (traço padrão areia e brita)</v>
          </cell>
          <cell r="C90" t="str">
            <v>t</v>
          </cell>
          <cell r="D90" t="str">
            <v>99,90</v>
          </cell>
          <cell r="E90" t="str">
            <v>A incluir</v>
          </cell>
        </row>
        <row r="91">
          <cell r="A91">
            <v>40878</v>
          </cell>
          <cell r="B91" t="str">
            <v>CBUQ (camada pronta-faixa"C") exclusive fornecimento.do CAP e transporte de todos os materiais</v>
          </cell>
          <cell r="C91" t="str">
            <v>t</v>
          </cell>
          <cell r="D91" t="str">
            <v>98,54</v>
          </cell>
          <cell r="E91" t="str">
            <v>A incluir</v>
          </cell>
        </row>
        <row r="92">
          <cell r="A92">
            <v>40845</v>
          </cell>
          <cell r="B92" t="str">
            <v>CBUQ (massa asfáltica) exclusive fornecimento e transporte comercial do CAP</v>
          </cell>
          <cell r="C92" t="str">
            <v>t</v>
          </cell>
          <cell r="D92" t="str">
            <v>78,45</v>
          </cell>
          <cell r="E92" t="str">
            <v>A incluir</v>
          </cell>
        </row>
        <row r="93">
          <cell r="A93">
            <v>40846</v>
          </cell>
          <cell r="B93" t="str">
            <v>CBUQ (massa asfáltica) inclusive fornecimento e transporte comercial do CAP</v>
          </cell>
          <cell r="C93" t="str">
            <v>t</v>
          </cell>
          <cell r="D93" t="str">
            <v>202,32</v>
          </cell>
          <cell r="E93" t="str">
            <v>A incluir</v>
          </cell>
        </row>
        <row r="94">
          <cell r="A94">
            <v>40879</v>
          </cell>
          <cell r="B94" t="str">
            <v>CBUQ (massa asfáltica-faixa"C") exclusive fornecimento CAP e transporte de todos os materiais</v>
          </cell>
          <cell r="C94" t="str">
            <v>t</v>
          </cell>
          <cell r="D94" t="str">
            <v>79,00</v>
          </cell>
          <cell r="E94">
            <v>0</v>
          </cell>
        </row>
        <row r="95">
          <cell r="A95">
            <v>40877</v>
          </cell>
          <cell r="B95" t="str">
            <v>CBUQ (massa fina - faixa"D") exclusive fornecimento do CAP e transp.de todos os materiais</v>
          </cell>
          <cell r="C95" t="str">
            <v>t</v>
          </cell>
          <cell r="D95" t="str">
            <v>96,82</v>
          </cell>
          <cell r="E95" t="str">
            <v>A incluir</v>
          </cell>
        </row>
        <row r="96">
          <cell r="A96">
            <v>43341</v>
          </cell>
          <cell r="B96" t="str">
            <v>CBUQ (massa fina-faixa"D"), exclusive fornecimento do CAP e transporte de todos os materiais (traço padrão areia e brita)</v>
          </cell>
          <cell r="C96" t="str">
            <v>t</v>
          </cell>
          <cell r="D96" t="str">
            <v>98,47</v>
          </cell>
          <cell r="E96" t="str">
            <v>A incluir</v>
          </cell>
        </row>
        <row r="97">
          <cell r="A97">
            <v>40867</v>
          </cell>
          <cell r="B97" t="str">
            <v>Demolição e remoção de pavimento asfáltico</v>
          </cell>
          <cell r="C97" t="str">
            <v>m²</v>
          </cell>
          <cell r="D97" t="str">
            <v>2,20</v>
          </cell>
          <cell r="E97">
            <v>0</v>
          </cell>
        </row>
        <row r="98">
          <cell r="A98">
            <v>40763</v>
          </cell>
          <cell r="B98" t="str">
            <v>Escarificação de base H -&gt; 0,10m e capa asfáltica</v>
          </cell>
          <cell r="C98" t="str">
            <v>m²</v>
          </cell>
          <cell r="D98" t="str">
            <v>0,68</v>
          </cell>
          <cell r="E98">
            <v>0</v>
          </cell>
        </row>
        <row r="99">
          <cell r="A99">
            <v>40765</v>
          </cell>
          <cell r="B99" t="str">
            <v>Escarificação e compactação de base (100% P.I.) H-&gt;0,20m</v>
          </cell>
          <cell r="C99" t="str">
            <v>m²</v>
          </cell>
          <cell r="D99" t="str">
            <v>4,96</v>
          </cell>
          <cell r="E99">
            <v>0</v>
          </cell>
        </row>
        <row r="100">
          <cell r="A100">
            <v>40757</v>
          </cell>
          <cell r="B100" t="str">
            <v>Estabilização granulométrica de solo s/ mistura 100% P.I.</v>
          </cell>
          <cell r="C100" t="str">
            <v>m³</v>
          </cell>
          <cell r="D100" t="str">
            <v>15,08</v>
          </cell>
          <cell r="E100">
            <v>0</v>
          </cell>
        </row>
        <row r="101">
          <cell r="A101">
            <v>40758</v>
          </cell>
          <cell r="B101" t="str">
            <v>Estabilização granulométrica de solo s/ mistura 100% P.M.</v>
          </cell>
          <cell r="C101" t="str">
            <v>m³</v>
          </cell>
          <cell r="D101" t="str">
            <v>16,25</v>
          </cell>
          <cell r="E101">
            <v>0</v>
          </cell>
        </row>
        <row r="102">
          <cell r="A102">
            <v>40761</v>
          </cell>
          <cell r="B102" t="str">
            <v>Estabilização granulométrica de solos c/ mistura de areia na pista 100% P.M. (80%, 20%) exclusive transporte</v>
          </cell>
          <cell r="C102" t="str">
            <v>m³</v>
          </cell>
          <cell r="D102" t="str">
            <v>38,82</v>
          </cell>
          <cell r="E102">
            <v>0</v>
          </cell>
        </row>
        <row r="103">
          <cell r="A103">
            <v>40759</v>
          </cell>
          <cell r="B103" t="str">
            <v>Estabilização granulométrica de solos c/ mistura na pista 100 % P.I.</v>
          </cell>
          <cell r="C103" t="str">
            <v>m³</v>
          </cell>
          <cell r="D103" t="str">
            <v>16,56</v>
          </cell>
          <cell r="E103">
            <v>0</v>
          </cell>
        </row>
        <row r="104">
          <cell r="A104">
            <v>40760</v>
          </cell>
          <cell r="B104" t="str">
            <v>Estabilização granulométrica de solos c/ mistura na pista 100% P.M.</v>
          </cell>
          <cell r="C104" t="str">
            <v>m³</v>
          </cell>
          <cell r="D104" t="str">
            <v>17,03</v>
          </cell>
          <cell r="E104">
            <v>0</v>
          </cell>
        </row>
        <row r="105">
          <cell r="A105">
            <v>41069</v>
          </cell>
          <cell r="B105" t="str">
            <v>Fresagem de pavimento asfáltico a frio, esp. até 15cm, exclusive transporte de materiais</v>
          </cell>
          <cell r="C105" t="str">
            <v>m²</v>
          </cell>
          <cell r="D105" t="str">
            <v>7,58</v>
          </cell>
          <cell r="E105">
            <v>0</v>
          </cell>
        </row>
        <row r="106">
          <cell r="A106">
            <v>40985</v>
          </cell>
          <cell r="B106" t="str">
            <v>Fresagem de pavimento asfáltico a frio, esp-&gt;5cm, exclusive transporte de materiais</v>
          </cell>
          <cell r="C106" t="str">
            <v>m²</v>
          </cell>
          <cell r="D106" t="str">
            <v>6,57</v>
          </cell>
          <cell r="E106">
            <v>0</v>
          </cell>
        </row>
        <row r="107">
          <cell r="A107">
            <v>40868</v>
          </cell>
          <cell r="B107" t="str">
            <v>Fresagem de pavimento asfáltico a frio, esp.-&gt;5cm inclusive transporte do material</v>
          </cell>
          <cell r="C107" t="str">
            <v>m²</v>
          </cell>
          <cell r="D107" t="str">
            <v>10,29</v>
          </cell>
          <cell r="E107">
            <v>0</v>
          </cell>
        </row>
        <row r="108">
          <cell r="A108">
            <v>40816</v>
          </cell>
          <cell r="B108" t="str">
            <v>Imprimação exclusive fornecimento e transporte comercial do material betuminoso</v>
          </cell>
          <cell r="C108" t="str">
            <v>m²</v>
          </cell>
          <cell r="D108" t="str">
            <v>0,68</v>
          </cell>
          <cell r="E108">
            <v>0</v>
          </cell>
        </row>
        <row r="109">
          <cell r="A109">
            <v>40817</v>
          </cell>
          <cell r="B109" t="str">
            <v>Imprimação inclusive fornecimento e transporte comercial do material betuminoso</v>
          </cell>
          <cell r="C109" t="str">
            <v>m²</v>
          </cell>
          <cell r="D109" t="str">
            <v>3,94</v>
          </cell>
          <cell r="E109" t="str">
            <v>A incluir</v>
          </cell>
        </row>
        <row r="110">
          <cell r="A110">
            <v>40850</v>
          </cell>
          <cell r="B110" t="str">
            <v>Lama asfáltica (faixa I - ISSA) exclusive fornecimento e transporte comercial da emulsão</v>
          </cell>
          <cell r="C110" t="str">
            <v>m²</v>
          </cell>
          <cell r="D110" t="str">
            <v>1,32</v>
          </cell>
          <cell r="E110" t="str">
            <v>A incluir</v>
          </cell>
        </row>
        <row r="111">
          <cell r="A111">
            <v>40851</v>
          </cell>
          <cell r="B111" t="str">
            <v>Lama asfáltica (faixa I - ISSA) inclusive fornecimento e transporte comercial da emulsão</v>
          </cell>
          <cell r="C111" t="str">
            <v>m²</v>
          </cell>
          <cell r="D111" t="str">
            <v>2,60</v>
          </cell>
          <cell r="E111" t="str">
            <v>A incluir</v>
          </cell>
        </row>
        <row r="112">
          <cell r="A112">
            <v>40852</v>
          </cell>
          <cell r="B112" t="str">
            <v>Lama asfáltica (faixa II - ISSA) exclusive fornecimento e transporte comercial da emulsão</v>
          </cell>
          <cell r="C112" t="str">
            <v>m²</v>
          </cell>
          <cell r="D112" t="str">
            <v>1,43</v>
          </cell>
          <cell r="E112" t="str">
            <v>A incluir</v>
          </cell>
        </row>
        <row r="113">
          <cell r="A113">
            <v>40853</v>
          </cell>
          <cell r="B113" t="str">
            <v>Lama asfáltica (faixa II - ISSA) inclusive fornecimento e transporte comercial da emulsão</v>
          </cell>
          <cell r="C113" t="str">
            <v>m²</v>
          </cell>
          <cell r="D113" t="str">
            <v>3,47</v>
          </cell>
          <cell r="E113" t="str">
            <v>A incluir</v>
          </cell>
        </row>
        <row r="114">
          <cell r="A114">
            <v>40854</v>
          </cell>
          <cell r="B114" t="str">
            <v>Lama asfáltica (faixa III - ISSA) exclusive fornecimento e transporte comercial da emulsão</v>
          </cell>
          <cell r="C114" t="str">
            <v>m²</v>
          </cell>
          <cell r="D114" t="str">
            <v>1,52</v>
          </cell>
          <cell r="E114" t="str">
            <v>A incluir</v>
          </cell>
        </row>
        <row r="115">
          <cell r="A115">
            <v>40855</v>
          </cell>
          <cell r="B115" t="str">
            <v>Lama asfáltica (faixa III - ISSA) inclusive fornecimento e transporte comercial da emulsão</v>
          </cell>
          <cell r="C115" t="str">
            <v>m²</v>
          </cell>
          <cell r="D115" t="str">
            <v>4,48</v>
          </cell>
          <cell r="E115" t="str">
            <v>A incluir</v>
          </cell>
        </row>
        <row r="116">
          <cell r="A116">
            <v>40856</v>
          </cell>
          <cell r="B116" t="str">
            <v>Lama asfáltica (faixa IV - ISSA) exclusive fornecimento e transporte comercial da emulsão</v>
          </cell>
          <cell r="C116" t="str">
            <v>m²</v>
          </cell>
          <cell r="D116" t="str">
            <v>1,84</v>
          </cell>
          <cell r="E116" t="str">
            <v>A incluir</v>
          </cell>
        </row>
        <row r="117">
          <cell r="A117">
            <v>40857</v>
          </cell>
          <cell r="B117" t="str">
            <v>Lama asfáltica (faixa IV - ISSA) inclusive fornecimento e transporte comercial da emulsão</v>
          </cell>
          <cell r="C117" t="str">
            <v>m²</v>
          </cell>
          <cell r="D117" t="str">
            <v>5,91</v>
          </cell>
          <cell r="E117" t="str">
            <v>A incluir</v>
          </cell>
        </row>
        <row r="118">
          <cell r="A118">
            <v>40894</v>
          </cell>
          <cell r="B118" t="str">
            <v>Meio fio (assentamento), inclusive caiação</v>
          </cell>
          <cell r="C118" t="str">
            <v>m</v>
          </cell>
          <cell r="D118" t="str">
            <v>24,37</v>
          </cell>
          <cell r="E118">
            <v>0</v>
          </cell>
        </row>
        <row r="119">
          <cell r="A119">
            <v>40895</v>
          </cell>
          <cell r="B119" t="str">
            <v>Meio fio (remoção e reassentamento), inclusive caiação</v>
          </cell>
          <cell r="C119" t="str">
            <v>m</v>
          </cell>
          <cell r="D119" t="str">
            <v>42,92</v>
          </cell>
          <cell r="E119">
            <v>0</v>
          </cell>
        </row>
        <row r="120">
          <cell r="A120">
            <v>40869</v>
          </cell>
          <cell r="B120" t="str">
            <v>Micro revestimento asfáltico à frio exclusive fornecimento e transporte comercial do material betuminoso</v>
          </cell>
          <cell r="C120" t="str">
            <v>m²</v>
          </cell>
          <cell r="D120" t="str">
            <v>4,61</v>
          </cell>
          <cell r="E120" t="str">
            <v>A incluir</v>
          </cell>
        </row>
        <row r="121">
          <cell r="A121">
            <v>40881</v>
          </cell>
          <cell r="B121" t="str">
            <v>Micro revestimento asfáltico à frio exclusive fornecimento emulsão e transp. de todos os materiais</v>
          </cell>
          <cell r="C121" t="str">
            <v>m²</v>
          </cell>
          <cell r="D121" t="str">
            <v>4,61</v>
          </cell>
          <cell r="E121">
            <v>0</v>
          </cell>
        </row>
        <row r="122">
          <cell r="A122">
            <v>40870</v>
          </cell>
          <cell r="B122" t="str">
            <v>Micro revestimento asfáltico à frio inclusive fornecimento e transporte comercial do material betuminoso</v>
          </cell>
          <cell r="C122" t="str">
            <v>m²</v>
          </cell>
          <cell r="D122" t="str">
            <v>9,82</v>
          </cell>
          <cell r="E122" t="str">
            <v>A incluir</v>
          </cell>
        </row>
        <row r="123">
          <cell r="A123">
            <v>40860</v>
          </cell>
          <cell r="B123" t="str">
            <v>Obturação de buracos c/ CBUQ exclusive fornecimento e transporte comercial dos materiais betuminosos</v>
          </cell>
          <cell r="C123" t="str">
            <v>m²</v>
          </cell>
          <cell r="D123" t="str">
            <v>36,87</v>
          </cell>
          <cell r="E123" t="str">
            <v>A incluir</v>
          </cell>
        </row>
        <row r="124">
          <cell r="A124">
            <v>40864</v>
          </cell>
          <cell r="B124" t="str">
            <v>Obturação de buracos c/ CBUQ exclusive fornecimento e transporte dos materiais betuminosos</v>
          </cell>
          <cell r="C124" t="str">
            <v>t</v>
          </cell>
          <cell r="D124" t="str">
            <v>378,54</v>
          </cell>
          <cell r="E124" t="str">
            <v>A incluir</v>
          </cell>
        </row>
        <row r="125">
          <cell r="A125">
            <v>40861</v>
          </cell>
          <cell r="B125" t="str">
            <v>Obturação de buracos c/ CBUQ inclusive fornecimento e transporte comercial dos materiais betuminosos</v>
          </cell>
          <cell r="C125" t="str">
            <v>m²</v>
          </cell>
          <cell r="D125" t="str">
            <v>52,60</v>
          </cell>
          <cell r="E125" t="str">
            <v>A incluir</v>
          </cell>
        </row>
        <row r="126">
          <cell r="A126">
            <v>40865</v>
          </cell>
          <cell r="B126" t="str">
            <v>Obturação de buracos c/ CBUQ inclusive fornecimento e transporte dos materiais betuminosos</v>
          </cell>
          <cell r="C126" t="str">
            <v>t</v>
          </cell>
          <cell r="D126" t="str">
            <v>520,72</v>
          </cell>
          <cell r="E126" t="str">
            <v>A incluir</v>
          </cell>
        </row>
        <row r="127">
          <cell r="A127">
            <v>40880</v>
          </cell>
          <cell r="B127" t="str">
            <v>Obturação de buracos c/ CBUQ-faixa "C", exclusive forn.do CAP e transporte de todos os materiais</v>
          </cell>
          <cell r="C127" t="str">
            <v>m²</v>
          </cell>
          <cell r="D127" t="str">
            <v>40,41</v>
          </cell>
          <cell r="E127">
            <v>0</v>
          </cell>
        </row>
        <row r="128">
          <cell r="A128">
            <v>40858</v>
          </cell>
          <cell r="B128" t="str">
            <v>Obturação de buracos c/ PMF exclusive fornecimento e transporte comercial da emulsão</v>
          </cell>
          <cell r="C128" t="str">
            <v>m²</v>
          </cell>
          <cell r="D128" t="str">
            <v>33,70</v>
          </cell>
          <cell r="E128" t="str">
            <v>A incluir</v>
          </cell>
        </row>
        <row r="129">
          <cell r="A129">
            <v>40862</v>
          </cell>
          <cell r="B129" t="str">
            <v>Obturação de buracos c/ PMF exclusive fornecimento e transporte dos materiais betuminosos</v>
          </cell>
          <cell r="C129" t="str">
            <v>t</v>
          </cell>
          <cell r="D129" t="str">
            <v>345,37</v>
          </cell>
          <cell r="E129" t="str">
            <v>A incluir</v>
          </cell>
        </row>
        <row r="130">
          <cell r="A130">
            <v>40859</v>
          </cell>
          <cell r="B130" t="str">
            <v>Obturação de buracos c/ PMF inclusive fornecimento e transporte comercial da emulsão</v>
          </cell>
          <cell r="C130" t="str">
            <v>m²</v>
          </cell>
          <cell r="D130" t="str">
            <v>47,34</v>
          </cell>
          <cell r="E130" t="str">
            <v>A incluir</v>
          </cell>
        </row>
        <row r="131">
          <cell r="A131">
            <v>40863</v>
          </cell>
          <cell r="B131" t="str">
            <v>Obturação de buracos c/ PMF inclusive fornecimento e transporte dos materiais betuminosos</v>
          </cell>
          <cell r="C131" t="str">
            <v>t</v>
          </cell>
          <cell r="D131" t="str">
            <v>489,05</v>
          </cell>
          <cell r="E131" t="str">
            <v>A incluir</v>
          </cell>
        </row>
        <row r="132">
          <cell r="A132">
            <v>40883</v>
          </cell>
          <cell r="B132" t="str">
            <v>Pavimentação com blocos de concreto (35 MPa), esp.-&gt; 06 cm, sobre colchão areia esp.-&gt; 5 cm, inclusive fornecimento e transporte dos blocos e areia</v>
          </cell>
          <cell r="C132" t="str">
            <v>m²</v>
          </cell>
          <cell r="D132" t="str">
            <v>64,72</v>
          </cell>
          <cell r="E132" t="str">
            <v>A incluir</v>
          </cell>
        </row>
        <row r="133">
          <cell r="A133">
            <v>40885</v>
          </cell>
          <cell r="B133" t="str">
            <v>Pavimentação com blocos de concreto (35 MPa), esp. -&gt; 10 cm, sobre colchão areia esp.-&gt; 5cm, inclusive fornecimento e transporte dos blocos e areia</v>
          </cell>
          <cell r="C133" t="str">
            <v>m²</v>
          </cell>
          <cell r="D133" t="str">
            <v>89,04</v>
          </cell>
          <cell r="E133" t="str">
            <v>A incluir</v>
          </cell>
        </row>
        <row r="134">
          <cell r="A134">
            <v>40897</v>
          </cell>
          <cell r="B134" t="str">
            <v>Pavimentação com blocos de concreto (35 MPa), esp.-&gt; 06cm, sobre colchão areia esp.-&gt;5cm, inclusive fornecim. do bloco e areia, exclus. transp.materiais</v>
          </cell>
          <cell r="C134" t="str">
            <v>m²</v>
          </cell>
          <cell r="D134" t="str">
            <v>64,72</v>
          </cell>
          <cell r="E134">
            <v>0</v>
          </cell>
        </row>
        <row r="135">
          <cell r="A135">
            <v>40884</v>
          </cell>
          <cell r="B135" t="str">
            <v>Pavimentação com blocos de concreto (35 MPa), esp.-&gt; 08 cm, colchão areia esp.-&gt; 5cm, inclusive fornecimento e transporte dos blocos e areia</v>
          </cell>
          <cell r="C135" t="str">
            <v>m²</v>
          </cell>
          <cell r="D135" t="str">
            <v>72,73</v>
          </cell>
          <cell r="E135" t="str">
            <v>A incluir</v>
          </cell>
        </row>
        <row r="136">
          <cell r="A136">
            <v>40898</v>
          </cell>
          <cell r="B136" t="str">
            <v>Pavimentação com blocos de concreto (35 MPa) esp.-&gt;08 cm,colchão areia esp.-&gt;5cm, inclusive fornecim. do bloco e areia, exclusive transp. blocos e areia</v>
          </cell>
          <cell r="C136" t="str">
            <v>m²</v>
          </cell>
          <cell r="D136" t="str">
            <v>72,73</v>
          </cell>
          <cell r="E136">
            <v>0</v>
          </cell>
        </row>
        <row r="137">
          <cell r="A137">
            <v>40896</v>
          </cell>
          <cell r="B137" t="str">
            <v>Pavimentação com blocos de concreto (35MPa), esp.-&gt;10 cm, sobre colchão de areia esp.-&gt;5cm, inclusive fornecim. do bloco e areia , exclusive transportes</v>
          </cell>
          <cell r="C137" t="str">
            <v>m²</v>
          </cell>
          <cell r="D137" t="str">
            <v>89,04</v>
          </cell>
          <cell r="E137">
            <v>0</v>
          </cell>
        </row>
        <row r="138">
          <cell r="A138">
            <v>40886</v>
          </cell>
          <cell r="B138" t="str">
            <v>Pavimentação com paralelepípedo, sobre colchão areia esp.-&gt; 5cm, inclus. fornecimento e transport. da areia, exclus. fornecim. e transp. paralelepípedo</v>
          </cell>
          <cell r="C138" t="str">
            <v>m²</v>
          </cell>
          <cell r="D138" t="str">
            <v>27,58</v>
          </cell>
          <cell r="E138" t="str">
            <v>A incluir</v>
          </cell>
        </row>
        <row r="139">
          <cell r="A139">
            <v>40887</v>
          </cell>
          <cell r="B139" t="str">
            <v>Pavimentação com paralelepípedo, sobre colchão areia esp.-&gt; 5cm, inclusive fornecimento e transporte do paralelepípedo e areia</v>
          </cell>
          <cell r="C139" t="str">
            <v>m²</v>
          </cell>
          <cell r="D139" t="str">
            <v>85,91</v>
          </cell>
          <cell r="E139" t="str">
            <v>A incluir</v>
          </cell>
        </row>
        <row r="140">
          <cell r="A140">
            <v>40888</v>
          </cell>
          <cell r="B140" t="str">
            <v>Pavimentação com paralelepípedo, sobre colchão pó de pedra esp.-&gt; 5cm, inclusive fornecimento e transporte do paralelepípedo e pó de pedra</v>
          </cell>
          <cell r="C140" t="str">
            <v>m²</v>
          </cell>
          <cell r="D140" t="str">
            <v>84,60</v>
          </cell>
          <cell r="E140" t="str">
            <v>A incluir</v>
          </cell>
        </row>
        <row r="141">
          <cell r="A141">
            <v>40889</v>
          </cell>
          <cell r="B141" t="str">
            <v>Pavimentação com pedra portuguesa, inclusive fornecimento e transporte da pedra portuguesa, cimento e areia</v>
          </cell>
          <cell r="C141" t="str">
            <v>m²</v>
          </cell>
          <cell r="D141" t="str">
            <v>104,42</v>
          </cell>
          <cell r="E141" t="str">
            <v>A incluir</v>
          </cell>
        </row>
        <row r="142">
          <cell r="A142">
            <v>40818</v>
          </cell>
          <cell r="B142" t="str">
            <v>Pintura de ligação exclusive fornecimento e transporte comercial do material betuminoso</v>
          </cell>
          <cell r="C142" t="str">
            <v>m²</v>
          </cell>
          <cell r="D142" t="str">
            <v>0,57</v>
          </cell>
          <cell r="E142">
            <v>0</v>
          </cell>
        </row>
        <row r="143">
          <cell r="A143">
            <v>40819</v>
          </cell>
          <cell r="B143" t="str">
            <v>Pintura de ligação inclusive fornecimento e transporte comercial do material betuminoso</v>
          </cell>
          <cell r="C143" t="str">
            <v>m²</v>
          </cell>
          <cell r="D143" t="str">
            <v>1,50</v>
          </cell>
          <cell r="E143" t="str">
            <v>A incluir</v>
          </cell>
        </row>
        <row r="144">
          <cell r="A144">
            <v>40872</v>
          </cell>
          <cell r="B144" t="str">
            <v>PMF camada pronta exclusive fornecimento e transporte comercial da emulsão</v>
          </cell>
          <cell r="C144" t="str">
            <v>t</v>
          </cell>
          <cell r="D144" t="str">
            <v>63,75</v>
          </cell>
          <cell r="E144" t="str">
            <v>A incluir</v>
          </cell>
        </row>
        <row r="145">
          <cell r="A145">
            <v>40836</v>
          </cell>
          <cell r="B145" t="str">
            <v>PMF (massa asfáltica) exclusive fornecimento e transporte comercial da emulsão</v>
          </cell>
          <cell r="C145" t="str">
            <v>t</v>
          </cell>
          <cell r="D145" t="str">
            <v>45,27</v>
          </cell>
          <cell r="E145" t="str">
            <v>A incluir</v>
          </cell>
        </row>
        <row r="146">
          <cell r="A146">
            <v>40837</v>
          </cell>
          <cell r="B146" t="str">
            <v>PMF (massa asfáltica) inclusive fornecimento e transporte comercial da emulsão</v>
          </cell>
          <cell r="C146" t="str">
            <v>t</v>
          </cell>
          <cell r="D146" t="str">
            <v>170,65</v>
          </cell>
          <cell r="E146" t="str">
            <v>A incluir</v>
          </cell>
        </row>
        <row r="147">
          <cell r="A147">
            <v>41076</v>
          </cell>
          <cell r="B147" t="str">
            <v>Pó de pedra, fornecimento</v>
          </cell>
          <cell r="C147" t="str">
            <v>m³</v>
          </cell>
          <cell r="D147" t="str">
            <v>46,66</v>
          </cell>
          <cell r="E147">
            <v>0</v>
          </cell>
        </row>
        <row r="148">
          <cell r="A148">
            <v>41556</v>
          </cell>
          <cell r="B148" t="str">
            <v>Pó de pedra, fornecimento e espalhamento</v>
          </cell>
          <cell r="C148" t="str">
            <v>m³</v>
          </cell>
          <cell r="D148" t="str">
            <v>50,29</v>
          </cell>
          <cell r="E148" t="str">
            <v>A incluir</v>
          </cell>
        </row>
        <row r="149">
          <cell r="A149">
            <v>43345</v>
          </cell>
          <cell r="B149" t="str">
            <v>Produção de brita no canteiro, exclusive o desmonte e fragmentação de rocha</v>
          </cell>
          <cell r="C149" t="str">
            <v>m³</v>
          </cell>
          <cell r="D149" t="str">
            <v>24,97</v>
          </cell>
          <cell r="E149">
            <v>0</v>
          </cell>
        </row>
        <row r="150">
          <cell r="A150">
            <v>40720</v>
          </cell>
          <cell r="B150" t="str">
            <v>Produção de brita no canteiro, inclusive o desmonte e fragmentação de rocha</v>
          </cell>
          <cell r="C150" t="str">
            <v>m³</v>
          </cell>
          <cell r="D150" t="str">
            <v>59,61</v>
          </cell>
          <cell r="E150">
            <v>0</v>
          </cell>
        </row>
        <row r="151">
          <cell r="A151">
            <v>41070</v>
          </cell>
          <cell r="B151" t="str">
            <v>Reciclagem de pavimento (base) c/ adição de 20% de brita1, 10% de brita 0 e 2% de cimento, inclusive fornecimento e transportes dos materiais</v>
          </cell>
          <cell r="C151" t="str">
            <v>m³</v>
          </cell>
          <cell r="D151" t="str">
            <v>86,96</v>
          </cell>
          <cell r="E151" t="str">
            <v>A incluir</v>
          </cell>
        </row>
        <row r="152">
          <cell r="A152">
            <v>41134</v>
          </cell>
          <cell r="B152" t="str">
            <v>Reciclagem de pavimento (base) c/ adição de 20% de brita1, 10% de brita0 e 2% de cimento, inclusive fornecimento e transportes dos materiais</v>
          </cell>
          <cell r="C152" t="str">
            <v>m³</v>
          </cell>
          <cell r="D152" t="str">
            <v>87,82</v>
          </cell>
          <cell r="E152" t="str">
            <v>A incluir</v>
          </cell>
        </row>
        <row r="153">
          <cell r="A153">
            <v>40984</v>
          </cell>
          <cell r="B153" t="str">
            <v>Reciclagem de pavimento (Base existente + CBUQ) sem adição de materiais</v>
          </cell>
          <cell r="C153" t="str">
            <v>m³</v>
          </cell>
          <cell r="D153" t="str">
            <v>38,69</v>
          </cell>
          <cell r="E153">
            <v>0</v>
          </cell>
        </row>
        <row r="154">
          <cell r="A154">
            <v>41330</v>
          </cell>
          <cell r="B154" t="str">
            <v>Reciclagem de pavimento (base existente + T.S.D.) c/ adição de 3% de cimento e 15% de brita, inclusive fornecimento e transporte dos materiais</v>
          </cell>
          <cell r="C154" t="str">
            <v>m³</v>
          </cell>
          <cell r="D154" t="str">
            <v>74,40</v>
          </cell>
          <cell r="E154" t="str">
            <v>A incluir</v>
          </cell>
        </row>
        <row r="155">
          <cell r="A155">
            <v>41356</v>
          </cell>
          <cell r="B155" t="str">
            <v>Reciclagem de pavimento (Base existente + T.S.D.) c/ adição de 30% de brita, inclusive fornecimento e transporte da brita</v>
          </cell>
          <cell r="C155" t="str">
            <v>m³</v>
          </cell>
          <cell r="D155" t="str">
            <v>84,57</v>
          </cell>
          <cell r="E155" t="str">
            <v>A incluir</v>
          </cell>
        </row>
        <row r="156">
          <cell r="A156">
            <v>40774</v>
          </cell>
          <cell r="B156" t="str">
            <v>Reciclagem de pavimento (Base existente + T.S.D.) c/ adição de 30% de brita, inclusive fornecimento, exclusive transporte da brita</v>
          </cell>
          <cell r="C156" t="str">
            <v>m³</v>
          </cell>
          <cell r="D156" t="str">
            <v>84,57</v>
          </cell>
          <cell r="E156">
            <v>0</v>
          </cell>
        </row>
        <row r="157">
          <cell r="A157">
            <v>40768</v>
          </cell>
          <cell r="B157" t="str">
            <v>Reciclagem de pavimento (Base existente + T.S.D.) com adição de 20% de brita, inclusive fornecimento e transporte da brita.</v>
          </cell>
          <cell r="C157" t="str">
            <v>m³</v>
          </cell>
          <cell r="D157" t="str">
            <v>75,25</v>
          </cell>
          <cell r="E157" t="str">
            <v>A incluir</v>
          </cell>
        </row>
        <row r="158">
          <cell r="A158">
            <v>40767</v>
          </cell>
          <cell r="B158" t="str">
            <v>Reciclagem de pavimento (Base existente + T.S.D.) com adição de 3% de cimento, inclusive fornecimento e tarnsporte do cimento</v>
          </cell>
          <cell r="C158" t="str">
            <v>m³</v>
          </cell>
          <cell r="D158" t="str">
            <v>79,11</v>
          </cell>
          <cell r="E158" t="str">
            <v>A incluir</v>
          </cell>
        </row>
        <row r="159">
          <cell r="A159">
            <v>40769</v>
          </cell>
          <cell r="B159" t="str">
            <v>Reciclagem de pavimento (Base existente + T.S.D.) com adição de 40% de brita, inclusive fornecimento e transporte da brita.</v>
          </cell>
          <cell r="C159" t="str">
            <v>m³</v>
          </cell>
          <cell r="D159" t="str">
            <v>93,87</v>
          </cell>
          <cell r="E159" t="str">
            <v>A incluir</v>
          </cell>
        </row>
        <row r="160">
          <cell r="A160">
            <v>40766</v>
          </cell>
          <cell r="B160" t="str">
            <v>Reciclagem de pavimento (Base existente + T.S.D.) sem adição de materiais</v>
          </cell>
          <cell r="C160" t="str">
            <v>m³</v>
          </cell>
          <cell r="D160" t="str">
            <v>42,22</v>
          </cell>
          <cell r="E160">
            <v>0</v>
          </cell>
        </row>
        <row r="161">
          <cell r="A161">
            <v>40771</v>
          </cell>
          <cell r="B161" t="str">
            <v>Reciclagem de pavimento (Base existente+TSD) com adição de Ligante Betuminoso, inclusive fornecimento e transporte da emulsão</v>
          </cell>
          <cell r="C161" t="str">
            <v>m³</v>
          </cell>
          <cell r="D161" t="str">
            <v>145,35</v>
          </cell>
          <cell r="E161" t="str">
            <v>A incluir</v>
          </cell>
        </row>
        <row r="162">
          <cell r="A162">
            <v>40773</v>
          </cell>
          <cell r="B162" t="str">
            <v>Reciclagem de pavimento com adição de 2% de cimento, inclusive fornecimento e transporte do cimento</v>
          </cell>
          <cell r="C162" t="str">
            <v>m³</v>
          </cell>
          <cell r="D162" t="str">
            <v>66,66</v>
          </cell>
          <cell r="E162" t="str">
            <v>A incluir</v>
          </cell>
        </row>
        <row r="163">
          <cell r="A163">
            <v>40775</v>
          </cell>
          <cell r="B163" t="str">
            <v>Reciclagem de pavimento(Base existente + T.S.D.) com adição de 40% de brita, inclusive fornecimento, exclusive transporte da brita</v>
          </cell>
          <cell r="C163" t="str">
            <v>m³</v>
          </cell>
          <cell r="D163" t="str">
            <v>93,87</v>
          </cell>
          <cell r="E163">
            <v>0</v>
          </cell>
        </row>
        <row r="164">
          <cell r="A164">
            <v>40762</v>
          </cell>
          <cell r="B164" t="str">
            <v>Recuperação de base de acostamento exclusive transporte do material (solo)</v>
          </cell>
          <cell r="C164" t="str">
            <v>m²</v>
          </cell>
          <cell r="D164" t="str">
            <v>5,05</v>
          </cell>
          <cell r="E164">
            <v>0</v>
          </cell>
        </row>
        <row r="165">
          <cell r="A165">
            <v>40804</v>
          </cell>
          <cell r="B165" t="str">
            <v>Recuperação de base de acostamentos, inclusive fornecimento e transporte da brita</v>
          </cell>
          <cell r="C165" t="str">
            <v>m²</v>
          </cell>
          <cell r="D165" t="str">
            <v>8,75</v>
          </cell>
          <cell r="E165" t="str">
            <v>A incluir</v>
          </cell>
        </row>
        <row r="166">
          <cell r="A166">
            <v>40811</v>
          </cell>
          <cell r="B166" t="str">
            <v>Reestabilização da base com adição de 50% de brita, inclusive fonecimento, exclusive transporte da brita</v>
          </cell>
          <cell r="C166" t="str">
            <v>m³</v>
          </cell>
          <cell r="D166" t="str">
            <v>62,11</v>
          </cell>
          <cell r="E166">
            <v>0</v>
          </cell>
        </row>
        <row r="167">
          <cell r="A167">
            <v>42211</v>
          </cell>
          <cell r="B167" t="str">
            <v>Reestabilização de base com adição de 50% de brita, inclusive fornecimento e transporte da brita</v>
          </cell>
          <cell r="C167" t="str">
            <v>m³</v>
          </cell>
          <cell r="D167" t="str">
            <v>62,11</v>
          </cell>
          <cell r="E167" t="str">
            <v>A incluir</v>
          </cell>
        </row>
        <row r="168">
          <cell r="A168">
            <v>40756</v>
          </cell>
          <cell r="B168" t="str">
            <v>Reforço do sub leito 100% P.I.</v>
          </cell>
          <cell r="C168" t="str">
            <v>m³</v>
          </cell>
          <cell r="D168" t="str">
            <v>13,52</v>
          </cell>
          <cell r="E168">
            <v>0</v>
          </cell>
        </row>
        <row r="169">
          <cell r="A169">
            <v>40753</v>
          </cell>
          <cell r="B169" t="str">
            <v>Regularização e compactação do sub-leito (100% P.I.) H -&gt; 0,15 m</v>
          </cell>
          <cell r="C169" t="str">
            <v>m²</v>
          </cell>
          <cell r="D169" t="str">
            <v>3,03</v>
          </cell>
          <cell r="E169">
            <v>0</v>
          </cell>
        </row>
        <row r="170">
          <cell r="A170">
            <v>40754</v>
          </cell>
          <cell r="B170" t="str">
            <v>Regularização e compactação do sub-leito (100% P.I.) H -&gt; 0,20 m</v>
          </cell>
          <cell r="C170" t="str">
            <v>m²</v>
          </cell>
          <cell r="D170" t="str">
            <v>4,04</v>
          </cell>
          <cell r="E170">
            <v>0</v>
          </cell>
        </row>
        <row r="171">
          <cell r="A171">
            <v>40751</v>
          </cell>
          <cell r="B171" t="str">
            <v>Regularização e compactação do sub-leito (100% P.N.) H -&gt; 0,15m</v>
          </cell>
          <cell r="C171" t="str">
            <v>m²</v>
          </cell>
          <cell r="D171" t="str">
            <v>2,72</v>
          </cell>
          <cell r="E171">
            <v>0</v>
          </cell>
        </row>
        <row r="172">
          <cell r="A172">
            <v>40752</v>
          </cell>
          <cell r="B172" t="str">
            <v>Regularização e compactação do sub-leito (100% P.N.) H -&gt; 0,20 m</v>
          </cell>
          <cell r="C172" t="str">
            <v>m²</v>
          </cell>
          <cell r="D172" t="str">
            <v>3,62</v>
          </cell>
          <cell r="E172">
            <v>0</v>
          </cell>
        </row>
        <row r="173">
          <cell r="A173">
            <v>40866</v>
          </cell>
          <cell r="B173" t="str">
            <v>Remoção de capa asfáltica em TSS, TSD, ou TST exclusive transporte</v>
          </cell>
          <cell r="C173" t="str">
            <v>m²</v>
          </cell>
          <cell r="D173" t="str">
            <v>0,68</v>
          </cell>
          <cell r="E173">
            <v>0</v>
          </cell>
        </row>
        <row r="174">
          <cell r="A174">
            <v>40893</v>
          </cell>
          <cell r="B174" t="str">
            <v>Remoção de meio fio</v>
          </cell>
          <cell r="C174" t="str">
            <v>m</v>
          </cell>
          <cell r="D174" t="str">
            <v>18,53</v>
          </cell>
          <cell r="E174">
            <v>0</v>
          </cell>
        </row>
        <row r="175">
          <cell r="A175">
            <v>40891</v>
          </cell>
          <cell r="B175" t="str">
            <v>Remoção de pavimentação poliédrica</v>
          </cell>
          <cell r="C175" t="str">
            <v>m²</v>
          </cell>
          <cell r="D175" t="str">
            <v>14,98</v>
          </cell>
          <cell r="E175">
            <v>0</v>
          </cell>
        </row>
        <row r="176">
          <cell r="A176">
            <v>40890</v>
          </cell>
          <cell r="B176" t="str">
            <v>Remoção e reassentamento de blocos de concreto, inclusive perdas</v>
          </cell>
          <cell r="C176" t="str">
            <v>m²</v>
          </cell>
          <cell r="D176" t="str">
            <v>53,51</v>
          </cell>
          <cell r="E176" t="str">
            <v>A incluir</v>
          </cell>
        </row>
        <row r="177">
          <cell r="A177">
            <v>40892</v>
          </cell>
          <cell r="B177" t="str">
            <v>Remoção e reassentamento de paralelepípedos, inclusive perdas, colchão de areia e transportes de areia e paralelepípedo</v>
          </cell>
          <cell r="C177" t="str">
            <v>m²</v>
          </cell>
          <cell r="D177" t="str">
            <v>53,20</v>
          </cell>
          <cell r="E177" t="str">
            <v>A incluir</v>
          </cell>
        </row>
        <row r="178">
          <cell r="A178">
            <v>40749</v>
          </cell>
          <cell r="B178" t="str">
            <v>Revestimento em estradas vicinais (saibro)</v>
          </cell>
          <cell r="C178" t="str">
            <v>m²</v>
          </cell>
          <cell r="D178" t="str">
            <v>0,14</v>
          </cell>
          <cell r="E178">
            <v>0</v>
          </cell>
        </row>
        <row r="179">
          <cell r="A179">
            <v>40750</v>
          </cell>
          <cell r="B179" t="str">
            <v>Revestimento primário, espalhamento e compactação (espessura até 0,15m)</v>
          </cell>
          <cell r="C179" t="str">
            <v>m²</v>
          </cell>
          <cell r="D179" t="str">
            <v>0,66</v>
          </cell>
          <cell r="E179">
            <v>0</v>
          </cell>
        </row>
        <row r="180">
          <cell r="A180">
            <v>40792</v>
          </cell>
          <cell r="B180" t="str">
            <v>Sub-base c/ mistura de argila 30%, pó de pedra 30% e brita 40%, inclusive fornecimento e transporte do pó de pedra e da brita</v>
          </cell>
          <cell r="C180" t="str">
            <v>m³</v>
          </cell>
          <cell r="D180" t="str">
            <v>76,39</v>
          </cell>
          <cell r="E180" t="str">
            <v>A incluir</v>
          </cell>
        </row>
        <row r="181">
          <cell r="A181">
            <v>40794</v>
          </cell>
          <cell r="B181" t="str">
            <v>Sub-base c/ mistura de solo 80% e areia 20%, inclusive transporte da areia</v>
          </cell>
          <cell r="C181" t="str">
            <v>m³</v>
          </cell>
          <cell r="D181" t="str">
            <v>38,44</v>
          </cell>
          <cell r="E181" t="str">
            <v>A incluir</v>
          </cell>
        </row>
        <row r="182">
          <cell r="A182">
            <v>40796</v>
          </cell>
          <cell r="B182" t="str">
            <v>Sub-base com mistura de argila 70% e escória de aciaria 30%, inclusive fornecim. e transporte da escória, exceto fornecimento e transporte da argila</v>
          </cell>
          <cell r="C182" t="str">
            <v>m³</v>
          </cell>
          <cell r="D182" t="str">
            <v>40,40</v>
          </cell>
          <cell r="E182" t="str">
            <v>A incluir</v>
          </cell>
        </row>
        <row r="183">
          <cell r="A183">
            <v>41098</v>
          </cell>
          <cell r="B183" t="str">
            <v>Sub-base com solo/escória na proporção 70:30, inclusive fornecimento da escória, exceto fornecimento do solo e transporte do solo e escória</v>
          </cell>
          <cell r="C183" t="str">
            <v>m³</v>
          </cell>
          <cell r="D183" t="str">
            <v>40,40</v>
          </cell>
          <cell r="E183">
            <v>0</v>
          </cell>
        </row>
        <row r="184">
          <cell r="A184">
            <v>40786</v>
          </cell>
          <cell r="B184" t="str">
            <v>Sub-base de brita graduada, inclusive fornecimento e transporte da brita</v>
          </cell>
          <cell r="C184" t="str">
            <v>m³</v>
          </cell>
          <cell r="D184" t="str">
            <v>104,09</v>
          </cell>
          <cell r="E184" t="str">
            <v>A incluir</v>
          </cell>
        </row>
        <row r="185">
          <cell r="A185">
            <v>43327</v>
          </cell>
          <cell r="B185" t="str">
            <v>Sub-base de brita graduada, inclusive fornecimento, exclusive transporte da brita</v>
          </cell>
          <cell r="C185" t="str">
            <v>m³</v>
          </cell>
          <cell r="D185" t="str">
            <v>104,09</v>
          </cell>
          <cell r="E185">
            <v>0</v>
          </cell>
        </row>
        <row r="186">
          <cell r="A186">
            <v>42675</v>
          </cell>
          <cell r="B186" t="str">
            <v>Sub-base de brita 1, inclusive fornecimento, exclusive transporte da brita</v>
          </cell>
          <cell r="C186" t="str">
            <v>m³</v>
          </cell>
          <cell r="D186" t="str">
            <v>101,27</v>
          </cell>
          <cell r="E186">
            <v>0</v>
          </cell>
        </row>
        <row r="187">
          <cell r="A187">
            <v>40802</v>
          </cell>
          <cell r="B187" t="str">
            <v>Sub-base de escória de aciaria, inclusive fornecimento e transporte da escória</v>
          </cell>
          <cell r="C187" t="str">
            <v>m³</v>
          </cell>
          <cell r="D187" t="str">
            <v>85,41</v>
          </cell>
          <cell r="E187" t="str">
            <v>A incluir</v>
          </cell>
        </row>
        <row r="188">
          <cell r="A188">
            <v>41074</v>
          </cell>
          <cell r="B188" t="str">
            <v>Sub-base de solo brita, 50% em peso, inclusive fornecimento, exclusive transporte da brita</v>
          </cell>
          <cell r="C188" t="str">
            <v>m³</v>
          </cell>
          <cell r="D188" t="str">
            <v>62,84</v>
          </cell>
          <cell r="E188">
            <v>0</v>
          </cell>
        </row>
        <row r="189">
          <cell r="A189">
            <v>40776</v>
          </cell>
          <cell r="B189" t="str">
            <v>Sub-base solo brita, 20% em peso, inclusive fornecimento e transporte da brita.</v>
          </cell>
          <cell r="C189" t="str">
            <v>m³</v>
          </cell>
          <cell r="D189" t="str">
            <v>37,34</v>
          </cell>
          <cell r="E189" t="str">
            <v>A incluir</v>
          </cell>
        </row>
        <row r="190">
          <cell r="A190">
            <v>40778</v>
          </cell>
          <cell r="B190" t="str">
            <v>Sub-base solo brita, 30% em peso, inclusive fornecimento e transporte da brita</v>
          </cell>
          <cell r="C190" t="str">
            <v>m³</v>
          </cell>
          <cell r="D190" t="str">
            <v>44,60</v>
          </cell>
          <cell r="E190" t="str">
            <v>A incluir</v>
          </cell>
        </row>
        <row r="191">
          <cell r="A191">
            <v>40780</v>
          </cell>
          <cell r="B191" t="str">
            <v>Sub-base solo brita, 50% em peso, inclusive fornecimento e transporte da brita</v>
          </cell>
          <cell r="C191" t="str">
            <v>m³</v>
          </cell>
          <cell r="D191" t="str">
            <v>65,17</v>
          </cell>
          <cell r="E191" t="str">
            <v>A incluir</v>
          </cell>
        </row>
        <row r="192">
          <cell r="A192">
            <v>40782</v>
          </cell>
          <cell r="B192" t="str">
            <v>Sub-base solo brita, 70% em peso, inclusive fornecimento e transporte da brita</v>
          </cell>
          <cell r="C192" t="str">
            <v>m³</v>
          </cell>
          <cell r="D192" t="str">
            <v>83,88</v>
          </cell>
          <cell r="E192" t="str">
            <v>A incluir</v>
          </cell>
        </row>
        <row r="193">
          <cell r="A193">
            <v>40830</v>
          </cell>
          <cell r="B193" t="str">
            <v>T.S.B.D. com capa selante exclusive fornecimento e transporte comercial da emulsão, inclusive lavagem da brita e transporte da areia e brita</v>
          </cell>
          <cell r="C193" t="str">
            <v>m²</v>
          </cell>
          <cell r="D193" t="str">
            <v>6,48</v>
          </cell>
          <cell r="E193" t="str">
            <v>A incluir</v>
          </cell>
        </row>
        <row r="194">
          <cell r="A194">
            <v>40873</v>
          </cell>
          <cell r="B194" t="str">
            <v>T.S.B.D. com capa selante, executado c/ Multidistribuidor exclus. forn. e transp. com. da emulsão, inclus. lavagem brita e transp. comerc.areia, brita</v>
          </cell>
          <cell r="C194" t="str">
            <v>m²</v>
          </cell>
          <cell r="D194" t="str">
            <v>5,27</v>
          </cell>
          <cell r="E194" t="str">
            <v>A incluir</v>
          </cell>
        </row>
        <row r="195">
          <cell r="A195">
            <v>40876</v>
          </cell>
          <cell r="B195" t="str">
            <v>T.S.B.D. com capa selante executado c/ Multidistribuidor,inclus.fornec.areia/brita e lavagem brita, excl.fornec.da emulsão e trnasp.todos os materiais</v>
          </cell>
          <cell r="C195" t="str">
            <v>m²</v>
          </cell>
          <cell r="D195" t="str">
            <v>5,71</v>
          </cell>
          <cell r="E195">
            <v>0</v>
          </cell>
        </row>
        <row r="196">
          <cell r="A196">
            <v>41363</v>
          </cell>
          <cell r="B196" t="str">
            <v>T.S.B.D. com capa selante, executado com Multidistribuidor inclusive fornecimento, transporte comercial dos materiais e lavagem da brita</v>
          </cell>
          <cell r="C196" t="str">
            <v>m²</v>
          </cell>
          <cell r="D196" t="str">
            <v>8,40</v>
          </cell>
          <cell r="E196" t="str">
            <v>A incluir</v>
          </cell>
        </row>
        <row r="197">
          <cell r="A197">
            <v>40831</v>
          </cell>
          <cell r="B197" t="str">
            <v>T.S.B.D. com capa selante inclusive fornecimento e transporte comercial dos materiais e lavagem da brita</v>
          </cell>
          <cell r="C197" t="str">
            <v>m²</v>
          </cell>
          <cell r="D197" t="str">
            <v>11,74</v>
          </cell>
          <cell r="E197" t="str">
            <v>A incluir</v>
          </cell>
        </row>
        <row r="198">
          <cell r="A198">
            <v>40827</v>
          </cell>
          <cell r="B198" t="str">
            <v>T.S.B.D. sem capa selante, inclusive fornecimento e transporte comercial dos materiais e lavagem de brita</v>
          </cell>
          <cell r="C198" t="str">
            <v>m²</v>
          </cell>
          <cell r="D198" t="str">
            <v>7,85</v>
          </cell>
          <cell r="E198" t="str">
            <v>A incluir</v>
          </cell>
        </row>
        <row r="199">
          <cell r="A199">
            <v>40828</v>
          </cell>
          <cell r="B199" t="str">
            <v>T.S.B.D. sem capa selante exclusive fornecimento e transporte comercial da emulsão, inclusive lavagem e transporte comercial da brita</v>
          </cell>
          <cell r="C199" t="str">
            <v>m²</v>
          </cell>
          <cell r="D199" t="str">
            <v>5,88</v>
          </cell>
          <cell r="E199" t="str">
            <v>A incluir</v>
          </cell>
        </row>
        <row r="200">
          <cell r="A200">
            <v>40874</v>
          </cell>
          <cell r="B200" t="str">
            <v>T.S.B.D. sem capa selante, executado c/ Multidistribuidor exclusive fornec.e transp. comercial da emulsão, inclusive lavagem e transp. comerc.da brita</v>
          </cell>
          <cell r="C200" t="str">
            <v>m²</v>
          </cell>
          <cell r="D200" t="str">
            <v>5,80</v>
          </cell>
          <cell r="E200" t="str">
            <v>A incluir</v>
          </cell>
        </row>
        <row r="201">
          <cell r="A201">
            <v>40875</v>
          </cell>
          <cell r="B201" t="str">
            <v>T.S.B.D. sem capa selante executado com Multidistribuidor excl. forn. da emulsão e transp. comerciais da emulsão e da brita, inclus. lavagem da brita</v>
          </cell>
          <cell r="C201" t="str">
            <v>m²</v>
          </cell>
          <cell r="D201" t="str">
            <v>5,57</v>
          </cell>
          <cell r="E201">
            <v>0</v>
          </cell>
        </row>
        <row r="202">
          <cell r="A202">
            <v>40829</v>
          </cell>
          <cell r="B202" t="str">
            <v>T.S.B.D. sem capa selante inclusive fornecimento e transporte comercial dos materiais e lavagem da brita</v>
          </cell>
          <cell r="C202" t="str">
            <v>m²</v>
          </cell>
          <cell r="D202" t="str">
            <v>10,73</v>
          </cell>
          <cell r="E202" t="str">
            <v>A incluir</v>
          </cell>
        </row>
        <row r="203">
          <cell r="A203">
            <v>40824</v>
          </cell>
          <cell r="B203" t="str">
            <v>T.S.B.S. com capa selante exclusive fornecimento e transporte comercial da emulsão, inclusive lavagem e transporte comercial da brita</v>
          </cell>
          <cell r="C203" t="str">
            <v>m²</v>
          </cell>
          <cell r="D203" t="str">
            <v>3,70</v>
          </cell>
          <cell r="E203" t="str">
            <v>A incluir</v>
          </cell>
        </row>
        <row r="204">
          <cell r="A204">
            <v>40825</v>
          </cell>
          <cell r="B204" t="str">
            <v>T.S.B.S. com capa selante inclusive fornecimento e transporte comercial dos materiais e lavagem da brita</v>
          </cell>
          <cell r="C204" t="str">
            <v>m²</v>
          </cell>
          <cell r="D204" t="str">
            <v>5,67</v>
          </cell>
          <cell r="E204" t="str">
            <v>A incluir</v>
          </cell>
        </row>
        <row r="205">
          <cell r="A205">
            <v>40820</v>
          </cell>
          <cell r="B205" t="str">
            <v>T.S.B.S. exclusive fornecimento e transporte comercial do material betuminoso, inclusive fornecimento, transporte e lavagem da brita</v>
          </cell>
          <cell r="C205" t="str">
            <v>m²</v>
          </cell>
          <cell r="D205" t="str">
            <v>3,38</v>
          </cell>
          <cell r="E205" t="str">
            <v>A incluir</v>
          </cell>
        </row>
        <row r="206">
          <cell r="A206">
            <v>40821</v>
          </cell>
          <cell r="B206" t="str">
            <v>T.S.B.S. inclusive fornecimento e transporte comercial dos materiais e lavagem da brita</v>
          </cell>
          <cell r="C206" t="str">
            <v>m²</v>
          </cell>
          <cell r="D206" t="str">
            <v>5,35</v>
          </cell>
          <cell r="E206" t="str">
            <v>A incluir</v>
          </cell>
        </row>
        <row r="207">
          <cell r="A207">
            <v>40840</v>
          </cell>
          <cell r="B207" t="str">
            <v>Usinagem de concreto betuminoso usinado a quente (CBUQ), inclusive transporte comercial do oleo combustível</v>
          </cell>
          <cell r="C207" t="str">
            <v>t</v>
          </cell>
          <cell r="D207" t="str">
            <v>37,46</v>
          </cell>
          <cell r="E207" t="str">
            <v>A incluir</v>
          </cell>
        </row>
        <row r="208">
          <cell r="A208">
            <v>43331</v>
          </cell>
          <cell r="B208" t="str">
            <v>Usinagem de mistura de solo brita</v>
          </cell>
          <cell r="C208" t="str">
            <v>m³</v>
          </cell>
          <cell r="D208" t="str">
            <v>5,25</v>
          </cell>
          <cell r="E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e">
            <v>#N/A</v>
          </cell>
        </row>
        <row r="210">
          <cell r="A210" t="str">
            <v>Grupo de Serviço: 3 - OBRAS DE ARTE CORRENTES E DRENAGEM</v>
          </cell>
          <cell r="B210">
            <v>0</v>
          </cell>
          <cell r="C210">
            <v>0</v>
          </cell>
          <cell r="D210">
            <v>0</v>
          </cell>
          <cell r="E210" t="e">
            <v>#N/A</v>
          </cell>
        </row>
        <row r="211">
          <cell r="A211">
            <v>100394</v>
          </cell>
          <cell r="B211" t="str">
            <v>Aço CA-25, fornecimento, dobragem e colocação nas formas</v>
          </cell>
          <cell r="C211" t="str">
            <v>kg</v>
          </cell>
          <cell r="D211" t="str">
            <v>8,33</v>
          </cell>
          <cell r="E211">
            <v>0</v>
          </cell>
        </row>
        <row r="212">
          <cell r="A212">
            <v>40376</v>
          </cell>
          <cell r="B212" t="str">
            <v>Aço CA-50, fornecimento, dobragem e colocação nas formas (preço médio das bitolas)</v>
          </cell>
          <cell r="C212" t="str">
            <v>kg</v>
          </cell>
          <cell r="D212" t="str">
            <v>8,14</v>
          </cell>
          <cell r="E212">
            <v>0</v>
          </cell>
        </row>
        <row r="213">
          <cell r="A213">
            <v>43351</v>
          </cell>
          <cell r="B213" t="str">
            <v>Aço CA-50 grossa, diâmetro de 12.5 a 25 mm, fornecimento, dobragem e colocação nas formas</v>
          </cell>
          <cell r="C213" t="str">
            <v>kg</v>
          </cell>
          <cell r="D213" t="str">
            <v>8,43</v>
          </cell>
          <cell r="E213">
            <v>0</v>
          </cell>
        </row>
        <row r="214">
          <cell r="A214">
            <v>43350</v>
          </cell>
          <cell r="B214" t="str">
            <v>Aço CA-50 média, diâmetro de 6.3 a 10 mm, fornecimento, dobragem e colocação nas formas</v>
          </cell>
          <cell r="C214" t="str">
            <v>kg</v>
          </cell>
          <cell r="D214" t="str">
            <v>7,79</v>
          </cell>
          <cell r="E214">
            <v>0</v>
          </cell>
        </row>
        <row r="215">
          <cell r="A215">
            <v>41261</v>
          </cell>
          <cell r="B215" t="str">
            <v>Aço CA-60 fina, diâmetro de 4.2 a 5.0 mm, fornecimento, dobragem e colocação nas formas</v>
          </cell>
          <cell r="C215" t="str">
            <v>kg</v>
          </cell>
          <cell r="D215" t="str">
            <v>7,59</v>
          </cell>
          <cell r="E215">
            <v>0</v>
          </cell>
        </row>
        <row r="216">
          <cell r="A216">
            <v>41023</v>
          </cell>
          <cell r="B216" t="str">
            <v>Aluguel mensal de escoramento tubular com tubos metálicos com até 10 metros de altura</v>
          </cell>
          <cell r="C216" t="str">
            <v>m</v>
          </cell>
          <cell r="D216" t="str">
            <v>123,01</v>
          </cell>
          <cell r="E216">
            <v>0</v>
          </cell>
        </row>
        <row r="217">
          <cell r="A217">
            <v>41575</v>
          </cell>
          <cell r="B217" t="str">
            <v>Alvenaria de bloco (39 x 19 x 09) cm espessura 09 cm, inclusive transporte da areia, cimento e bloco</v>
          </cell>
          <cell r="C217" t="str">
            <v>m²</v>
          </cell>
          <cell r="D217" t="str">
            <v>45,05</v>
          </cell>
          <cell r="E217" t="str">
            <v>A incluir</v>
          </cell>
        </row>
        <row r="218">
          <cell r="A218">
            <v>40346</v>
          </cell>
          <cell r="B218" t="str">
            <v>Alvenaria de bloco (39 x 19 x 19) cm espessura 19 cm, inclusive fornecimento e transporte do bloco, areia e cimento</v>
          </cell>
          <cell r="C218" t="str">
            <v>m²</v>
          </cell>
          <cell r="D218" t="str">
            <v>75,82</v>
          </cell>
          <cell r="E218" t="str">
            <v>A incluir</v>
          </cell>
        </row>
        <row r="219">
          <cell r="A219">
            <v>40345</v>
          </cell>
          <cell r="B219" t="str">
            <v>Alvenaria de lajota (20 x 20 x 10) cm espessura 10 cm, inclusive transporte de areia, lajota e cimento</v>
          </cell>
          <cell r="C219" t="str">
            <v>m²</v>
          </cell>
          <cell r="D219" t="str">
            <v>52,87</v>
          </cell>
          <cell r="E219" t="str">
            <v>A incluir</v>
          </cell>
        </row>
        <row r="220">
          <cell r="A220">
            <v>40343</v>
          </cell>
          <cell r="B220" t="str">
            <v>Alvenaria de pedra de mão argamassada (argamassa cimento areia 1:4), inclusive transporte da pedra</v>
          </cell>
          <cell r="C220" t="str">
            <v>m³</v>
          </cell>
          <cell r="D220" t="str">
            <v>304,64</v>
          </cell>
          <cell r="E220" t="str">
            <v>A incluir</v>
          </cell>
        </row>
        <row r="221">
          <cell r="A221">
            <v>40344</v>
          </cell>
          <cell r="B221" t="str">
            <v>Alvenaria de pedra de mão (junta seca), inclusive transporte da pedra</v>
          </cell>
          <cell r="C221" t="str">
            <v>m³</v>
          </cell>
          <cell r="D221" t="str">
            <v>205,26</v>
          </cell>
          <cell r="E221" t="str">
            <v>A incluir</v>
          </cell>
        </row>
        <row r="222">
          <cell r="A222">
            <v>41027</v>
          </cell>
          <cell r="B222" t="str">
            <v>Andaime de madeira para altura até 7 m, compreendendo montagem e desmontagem</v>
          </cell>
          <cell r="C222" t="str">
            <v>m³</v>
          </cell>
          <cell r="D222" t="str">
            <v>18,08</v>
          </cell>
          <cell r="E222">
            <v>0</v>
          </cell>
        </row>
        <row r="223">
          <cell r="A223">
            <v>40337</v>
          </cell>
          <cell r="B223" t="str">
            <v>Andaime suspenso em madeira, inclusive montagem e desmontagem</v>
          </cell>
          <cell r="C223" t="str">
            <v>m²</v>
          </cell>
          <cell r="D223" t="str">
            <v>109,58</v>
          </cell>
          <cell r="E223">
            <v>0</v>
          </cell>
        </row>
        <row r="224">
          <cell r="A224">
            <v>40395</v>
          </cell>
          <cell r="B224" t="str">
            <v>Apicoamento manual de superfície de concreto</v>
          </cell>
          <cell r="C224" t="str">
            <v>m²</v>
          </cell>
          <cell r="D224" t="str">
            <v>18,80</v>
          </cell>
          <cell r="E224">
            <v>0</v>
          </cell>
        </row>
        <row r="225">
          <cell r="A225">
            <v>40300</v>
          </cell>
          <cell r="B225" t="str">
            <v>Apiloamento manual</v>
          </cell>
          <cell r="C225" t="str">
            <v>m³</v>
          </cell>
          <cell r="D225" t="str">
            <v>39,51</v>
          </cell>
          <cell r="E225">
            <v>0</v>
          </cell>
        </row>
        <row r="226">
          <cell r="A226">
            <v>40348</v>
          </cell>
          <cell r="B226" t="str">
            <v>Argamassa cimento e areia traço 1:4, tudo incluído</v>
          </cell>
          <cell r="C226" t="str">
            <v>m³</v>
          </cell>
          <cell r="D226" t="str">
            <v>457,34</v>
          </cell>
          <cell r="E226" t="str">
            <v>A incluir</v>
          </cell>
        </row>
        <row r="227">
          <cell r="A227">
            <v>40347</v>
          </cell>
          <cell r="B227" t="str">
            <v>Argamassa cimento (nata), inclusive transporte de cimento</v>
          </cell>
          <cell r="C227" t="str">
            <v>m³</v>
          </cell>
          <cell r="D227" t="str">
            <v>949,56</v>
          </cell>
          <cell r="E227" t="str">
            <v>A incluir</v>
          </cell>
        </row>
        <row r="228">
          <cell r="A228">
            <v>41415</v>
          </cell>
          <cell r="B228" t="str">
            <v>Argamassa de cimento e areia, traço 1:4, consumo de cimento 400 kg/m³</v>
          </cell>
          <cell r="C228" t="str">
            <v>m³</v>
          </cell>
          <cell r="D228" t="str">
            <v>477,56</v>
          </cell>
          <cell r="E228" t="str">
            <v>A incluir</v>
          </cell>
        </row>
        <row r="229">
          <cell r="A229">
            <v>42257</v>
          </cell>
          <cell r="B229" t="str">
            <v>Aterro com areia, exceto fornecimento da areia</v>
          </cell>
          <cell r="C229" t="str">
            <v>m³</v>
          </cell>
          <cell r="D229" t="str">
            <v>5,57</v>
          </cell>
          <cell r="E229">
            <v>0</v>
          </cell>
        </row>
        <row r="230">
          <cell r="A230">
            <v>40519</v>
          </cell>
          <cell r="B230" t="str">
            <v>Berço de concreto ciclópico para BDTC diâmetro 0,60 m</v>
          </cell>
          <cell r="C230" t="str">
            <v>m</v>
          </cell>
          <cell r="D230" t="str">
            <v>240,45</v>
          </cell>
          <cell r="E230" t="str">
            <v>A incluir</v>
          </cell>
        </row>
        <row r="231">
          <cell r="A231">
            <v>40520</v>
          </cell>
          <cell r="B231" t="str">
            <v>Berço de concreto ciclópico para BDTC diâmetro 0,80 m</v>
          </cell>
          <cell r="C231" t="str">
            <v>m</v>
          </cell>
          <cell r="D231" t="str">
            <v>376,56</v>
          </cell>
          <cell r="E231" t="str">
            <v>A incluir</v>
          </cell>
        </row>
        <row r="232">
          <cell r="A232">
            <v>40521</v>
          </cell>
          <cell r="B232" t="str">
            <v>Berço de concreto ciclópico para BDTC diâmetro 1,00 m</v>
          </cell>
          <cell r="C232" t="str">
            <v>m</v>
          </cell>
          <cell r="D232" t="str">
            <v>542,63</v>
          </cell>
          <cell r="E232" t="str">
            <v>A incluir</v>
          </cell>
        </row>
        <row r="233">
          <cell r="A233">
            <v>40522</v>
          </cell>
          <cell r="B233" t="str">
            <v>Berço de concreto ciclópico para BDTC diâmetro 1,20 m</v>
          </cell>
          <cell r="C233" t="str">
            <v>m</v>
          </cell>
          <cell r="D233" t="str">
            <v>733,34</v>
          </cell>
          <cell r="E233" t="str">
            <v>A incluir</v>
          </cell>
        </row>
        <row r="234">
          <cell r="A234">
            <v>40523</v>
          </cell>
          <cell r="B234" t="str">
            <v>Berço de concreto ciclópico para BDTC diâmetro 1,50 m</v>
          </cell>
          <cell r="C234" t="str">
            <v>m</v>
          </cell>
          <cell r="D234" t="str">
            <v>1.060,01</v>
          </cell>
          <cell r="E234" t="str">
            <v>A incluir</v>
          </cell>
        </row>
        <row r="235">
          <cell r="A235">
            <v>40513</v>
          </cell>
          <cell r="B235" t="str">
            <v>Berço de concreto ciclópico para BSTC diâmetro 0,40 m</v>
          </cell>
          <cell r="C235" t="str">
            <v>m</v>
          </cell>
          <cell r="D235" t="str">
            <v>84,79</v>
          </cell>
          <cell r="E235" t="str">
            <v>A incluir</v>
          </cell>
        </row>
        <row r="236">
          <cell r="A236">
            <v>40514</v>
          </cell>
          <cell r="B236" t="str">
            <v>Berço de concreto ciclópico para BSTC diâmetro 0,60 m</v>
          </cell>
          <cell r="C236" t="str">
            <v>m</v>
          </cell>
          <cell r="D236" t="str">
            <v>142,72</v>
          </cell>
          <cell r="E236" t="str">
            <v>A incluir</v>
          </cell>
        </row>
        <row r="237">
          <cell r="A237">
            <v>40515</v>
          </cell>
          <cell r="B237" t="str">
            <v>Berço de concreto ciclópico para BSTC diâmetro 0,80 m</v>
          </cell>
          <cell r="C237" t="str">
            <v>m</v>
          </cell>
          <cell r="D237" t="str">
            <v>218,06</v>
          </cell>
          <cell r="E237" t="str">
            <v>A incluir</v>
          </cell>
        </row>
        <row r="238">
          <cell r="A238">
            <v>40516</v>
          </cell>
          <cell r="B238" t="str">
            <v>Berço de concreto ciclópico para BSTC diâmetro 1,00 m</v>
          </cell>
          <cell r="C238" t="str">
            <v>m</v>
          </cell>
          <cell r="D238" t="str">
            <v>308,16</v>
          </cell>
          <cell r="E238" t="str">
            <v>A incluir</v>
          </cell>
        </row>
        <row r="239">
          <cell r="A239">
            <v>40517</v>
          </cell>
          <cell r="B239" t="str">
            <v>Berço de concreto ciclópico para BSTC diâmetro 1,20 m</v>
          </cell>
          <cell r="C239" t="str">
            <v>m</v>
          </cell>
          <cell r="D239" t="str">
            <v>411,01</v>
          </cell>
          <cell r="E239" t="str">
            <v>A incluir</v>
          </cell>
        </row>
        <row r="240">
          <cell r="A240">
            <v>40518</v>
          </cell>
          <cell r="B240" t="str">
            <v>Berço de concreto ciclópico para BSTC diâmetro 1,50 m</v>
          </cell>
          <cell r="C240" t="str">
            <v>m</v>
          </cell>
          <cell r="D240" t="str">
            <v>584,94</v>
          </cell>
          <cell r="E240" t="str">
            <v>A incluir</v>
          </cell>
        </row>
        <row r="241">
          <cell r="A241">
            <v>40524</v>
          </cell>
          <cell r="B241" t="str">
            <v>Berço de concreto ciclópico para BTTC diâmetro 0,60 m</v>
          </cell>
          <cell r="C241" t="str">
            <v>m</v>
          </cell>
          <cell r="D241" t="str">
            <v>336,53</v>
          </cell>
          <cell r="E241" t="str">
            <v>A incluir</v>
          </cell>
        </row>
        <row r="242">
          <cell r="A242">
            <v>40525</v>
          </cell>
          <cell r="B242" t="str">
            <v>Berço de concreto ciclópico para BTTC diâmetro 0,80 m</v>
          </cell>
          <cell r="C242" t="str">
            <v>m</v>
          </cell>
          <cell r="D242" t="str">
            <v>535,87</v>
          </cell>
          <cell r="E242" t="str">
            <v>A incluir</v>
          </cell>
        </row>
        <row r="243">
          <cell r="A243">
            <v>40526</v>
          </cell>
          <cell r="B243" t="str">
            <v>Berço de concreto ciclópico para BTTC diâmetro 1,00 m</v>
          </cell>
          <cell r="C243" t="str">
            <v>m</v>
          </cell>
          <cell r="D243" t="str">
            <v>776,66</v>
          </cell>
          <cell r="E243" t="str">
            <v>A incluir</v>
          </cell>
        </row>
        <row r="244">
          <cell r="A244">
            <v>40527</v>
          </cell>
          <cell r="B244" t="str">
            <v>Berço de concreto ciclópico para BTTC diâmetro 1,20 m</v>
          </cell>
          <cell r="C244" t="str">
            <v>m</v>
          </cell>
          <cell r="D244" t="str">
            <v>1.055,66</v>
          </cell>
          <cell r="E244" t="str">
            <v>A incluir</v>
          </cell>
        </row>
        <row r="245">
          <cell r="A245">
            <v>40528</v>
          </cell>
          <cell r="B245" t="str">
            <v>Berço de concreto ciclópico para BTTC diâmetro 1,50 m</v>
          </cell>
          <cell r="C245" t="str">
            <v>m</v>
          </cell>
          <cell r="D245" t="str">
            <v>1.535,07</v>
          </cell>
          <cell r="E245" t="str">
            <v>A incluir</v>
          </cell>
        </row>
        <row r="246">
          <cell r="A246">
            <v>41177</v>
          </cell>
          <cell r="B246" t="str">
            <v>Berço em brita para BSTC diâm. -&gt; 1,00 m</v>
          </cell>
          <cell r="C246" t="str">
            <v>m</v>
          </cell>
          <cell r="D246" t="str">
            <v>34,15</v>
          </cell>
          <cell r="E246" t="str">
            <v>A incluir</v>
          </cell>
        </row>
        <row r="247">
          <cell r="A247">
            <v>100391</v>
          </cell>
          <cell r="B247" t="str">
            <v>Berço em brita para BSTC diâm. -&gt; 1,20 m</v>
          </cell>
          <cell r="C247" t="str">
            <v>m</v>
          </cell>
          <cell r="D247" t="str">
            <v>38,03</v>
          </cell>
          <cell r="E247" t="str">
            <v>A incluir</v>
          </cell>
        </row>
        <row r="248">
          <cell r="A248">
            <v>41172</v>
          </cell>
          <cell r="B248" t="str">
            <v>Berço em concreto ciclópico para BSTC diâm. -&gt; 0,30m</v>
          </cell>
          <cell r="C248" t="str">
            <v>m</v>
          </cell>
          <cell r="D248" t="str">
            <v>73,31</v>
          </cell>
          <cell r="E248" t="str">
            <v>A incluir</v>
          </cell>
        </row>
        <row r="249">
          <cell r="A249">
            <v>40620</v>
          </cell>
          <cell r="B249" t="str">
            <v>Boca de BDCC 1,50 x 1,50 m projeto DNIT</v>
          </cell>
          <cell r="C249" t="str">
            <v>un</v>
          </cell>
          <cell r="D249" t="str">
            <v>12.758,78</v>
          </cell>
          <cell r="E249">
            <v>0</v>
          </cell>
        </row>
        <row r="250">
          <cell r="A250">
            <v>40626</v>
          </cell>
          <cell r="B250" t="str">
            <v>Boca de BDCC 2,00 x 1,20 m conforme projeto</v>
          </cell>
          <cell r="C250" t="str">
            <v>un</v>
          </cell>
          <cell r="D250" t="str">
            <v>12.362,90</v>
          </cell>
          <cell r="E250">
            <v>0</v>
          </cell>
        </row>
        <row r="251">
          <cell r="A251">
            <v>40621</v>
          </cell>
          <cell r="B251" t="str">
            <v>Boca de BDCC 2,00 x 2,00 m projeto DNIT</v>
          </cell>
          <cell r="C251" t="str">
            <v>un</v>
          </cell>
          <cell r="D251" t="str">
            <v>19.456,99</v>
          </cell>
          <cell r="E251">
            <v>0</v>
          </cell>
        </row>
        <row r="252">
          <cell r="A252">
            <v>40622</v>
          </cell>
          <cell r="B252" t="str">
            <v>Boca de BDCC 2,00 x 3,00 m projeto DNIT</v>
          </cell>
          <cell r="C252" t="str">
            <v>un</v>
          </cell>
          <cell r="D252" t="str">
            <v>30.071,59</v>
          </cell>
          <cell r="E252">
            <v>0</v>
          </cell>
        </row>
        <row r="253">
          <cell r="A253">
            <v>40627</v>
          </cell>
          <cell r="B253" t="str">
            <v>Boca de BDCC 2,50 x 2,00 m conforme projeto</v>
          </cell>
          <cell r="C253" t="str">
            <v>un</v>
          </cell>
          <cell r="D253" t="str">
            <v>22.763,98</v>
          </cell>
          <cell r="E253">
            <v>0</v>
          </cell>
        </row>
        <row r="254">
          <cell r="A254">
            <v>40623</v>
          </cell>
          <cell r="B254" t="str">
            <v>Boca de BDCC 2,50 x 2,50 m projeto DNIT</v>
          </cell>
          <cell r="C254" t="str">
            <v>un</v>
          </cell>
          <cell r="D254" t="str">
            <v>27.009,90</v>
          </cell>
          <cell r="E254">
            <v>0</v>
          </cell>
        </row>
        <row r="255">
          <cell r="A255">
            <v>40624</v>
          </cell>
          <cell r="B255" t="str">
            <v>Boca de BDCC 2,50 x 3,00 m projeto DNIT</v>
          </cell>
          <cell r="C255" t="str">
            <v>un</v>
          </cell>
          <cell r="D255" t="str">
            <v>34.074,51</v>
          </cell>
          <cell r="E255">
            <v>0</v>
          </cell>
        </row>
        <row r="256">
          <cell r="A256">
            <v>40625</v>
          </cell>
          <cell r="B256" t="str">
            <v>Boca de BDCC 3,00 x 3,00 m projeto DNIT</v>
          </cell>
          <cell r="C256" t="str">
            <v>un</v>
          </cell>
          <cell r="D256" t="str">
            <v>38.345,61</v>
          </cell>
          <cell r="E256">
            <v>0</v>
          </cell>
        </row>
        <row r="257">
          <cell r="A257">
            <v>40613</v>
          </cell>
          <cell r="B257" t="str">
            <v>Boca de BSCC 1,50 x 1,50 m projeto DNIT</v>
          </cell>
          <cell r="C257" t="str">
            <v>un</v>
          </cell>
          <cell r="D257" t="str">
            <v>11.172,44</v>
          </cell>
          <cell r="E257">
            <v>0</v>
          </cell>
        </row>
        <row r="258">
          <cell r="A258">
            <v>40614</v>
          </cell>
          <cell r="B258" t="str">
            <v>Boca de BSCC 2,00 x 2,00 m projeto DNIT</v>
          </cell>
          <cell r="C258" t="str">
            <v>un</v>
          </cell>
          <cell r="D258" t="str">
            <v>17.102,48</v>
          </cell>
          <cell r="E258">
            <v>0</v>
          </cell>
        </row>
        <row r="259">
          <cell r="A259">
            <v>40615</v>
          </cell>
          <cell r="B259" t="str">
            <v>Boca de BSCC 2,00 x 3,00 m projeto DNIT</v>
          </cell>
          <cell r="C259" t="str">
            <v>un</v>
          </cell>
          <cell r="D259" t="str">
            <v>25.548,07</v>
          </cell>
          <cell r="E259">
            <v>0</v>
          </cell>
        </row>
        <row r="260">
          <cell r="A260">
            <v>40616</v>
          </cell>
          <cell r="B260" t="str">
            <v>Boca de BSCC 2,50 x 2,50 m projeto DNIT</v>
          </cell>
          <cell r="C260" t="str">
            <v>un</v>
          </cell>
          <cell r="D260" t="str">
            <v>22.513,33</v>
          </cell>
          <cell r="E260">
            <v>0</v>
          </cell>
        </row>
        <row r="261">
          <cell r="A261">
            <v>40617</v>
          </cell>
          <cell r="B261" t="str">
            <v>Boca de BSCC 2,50 x 3,00 m projeto DNIT</v>
          </cell>
          <cell r="C261" t="str">
            <v>un</v>
          </cell>
          <cell r="D261" t="str">
            <v>28.544,47</v>
          </cell>
          <cell r="E261">
            <v>0</v>
          </cell>
        </row>
        <row r="262">
          <cell r="A262">
            <v>40618</v>
          </cell>
          <cell r="B262" t="str">
            <v>Boca de BSCC 3,00 x 3,00 m projeto DNIT</v>
          </cell>
          <cell r="C262" t="str">
            <v>un</v>
          </cell>
          <cell r="D262" t="str">
            <v>32.061,76</v>
          </cell>
          <cell r="E262">
            <v>0</v>
          </cell>
        </row>
        <row r="263">
          <cell r="A263">
            <v>40629</v>
          </cell>
          <cell r="B263" t="str">
            <v>Boca de BTCC 1,50 x 1,50 m projeto DNIT</v>
          </cell>
          <cell r="C263" t="str">
            <v>un</v>
          </cell>
          <cell r="D263" t="str">
            <v>15.773,52</v>
          </cell>
          <cell r="E263">
            <v>0</v>
          </cell>
        </row>
        <row r="264">
          <cell r="A264">
            <v>40630</v>
          </cell>
          <cell r="B264" t="str">
            <v>Boca de BTCC 2,00 x 2,00 m projeto DNIT</v>
          </cell>
          <cell r="C264" t="str">
            <v>un</v>
          </cell>
          <cell r="D264" t="str">
            <v>23.752,90</v>
          </cell>
          <cell r="E264">
            <v>0</v>
          </cell>
        </row>
        <row r="265">
          <cell r="A265">
            <v>40631</v>
          </cell>
          <cell r="B265" t="str">
            <v>Boca de BTCC 2,00 x 3,00 m projeto DNIT</v>
          </cell>
          <cell r="C265" t="str">
            <v>un</v>
          </cell>
          <cell r="D265" t="str">
            <v>35.694,57</v>
          </cell>
          <cell r="E265">
            <v>0</v>
          </cell>
        </row>
        <row r="266">
          <cell r="A266">
            <v>40632</v>
          </cell>
          <cell r="B266" t="str">
            <v>Boca de BTCC 2,50 x 2,50 m projeto DNIT</v>
          </cell>
          <cell r="C266" t="str">
            <v>un</v>
          </cell>
          <cell r="D266" t="str">
            <v>32.966,78</v>
          </cell>
          <cell r="E266">
            <v>0</v>
          </cell>
        </row>
        <row r="267">
          <cell r="A267">
            <v>40633</v>
          </cell>
          <cell r="B267" t="str">
            <v>Boca de BTCC 2,50 x 3,00 m projeto DNIT</v>
          </cell>
          <cell r="C267" t="str">
            <v>un</v>
          </cell>
          <cell r="D267" t="str">
            <v>40.571,86</v>
          </cell>
          <cell r="E267">
            <v>0</v>
          </cell>
        </row>
        <row r="268">
          <cell r="A268">
            <v>40634</v>
          </cell>
          <cell r="B268" t="str">
            <v>Boca de BTCC 3,00 x 3,00 m projeto DNIT</v>
          </cell>
          <cell r="C268" t="str">
            <v>un</v>
          </cell>
          <cell r="D268" t="str">
            <v>46.023,10</v>
          </cell>
          <cell r="E268">
            <v>0</v>
          </cell>
        </row>
        <row r="269">
          <cell r="A269">
            <v>40535</v>
          </cell>
          <cell r="B269" t="str">
            <v>Boca de concreto ciclópico para BDTC diâmetro 0,60 m</v>
          </cell>
          <cell r="C269" t="str">
            <v>un</v>
          </cell>
          <cell r="D269" t="str">
            <v>1.226,37</v>
          </cell>
          <cell r="E269" t="str">
            <v>A incluir</v>
          </cell>
        </row>
        <row r="270">
          <cell r="A270">
            <v>40536</v>
          </cell>
          <cell r="B270" t="str">
            <v>Boca de concreto ciclópico para BDTC diâmetro 0,80 m</v>
          </cell>
          <cell r="C270" t="str">
            <v>un</v>
          </cell>
          <cell r="D270" t="str">
            <v>2.032,46</v>
          </cell>
          <cell r="E270" t="str">
            <v>A incluir</v>
          </cell>
        </row>
        <row r="271">
          <cell r="A271">
            <v>40537</v>
          </cell>
          <cell r="B271" t="str">
            <v>Boca de concreto ciclópico para BDTC diâmetro 1,00 m</v>
          </cell>
          <cell r="C271" t="str">
            <v>un</v>
          </cell>
          <cell r="D271" t="str">
            <v>3.759,30</v>
          </cell>
          <cell r="E271" t="str">
            <v>A incluir</v>
          </cell>
        </row>
        <row r="272">
          <cell r="A272">
            <v>40538</v>
          </cell>
          <cell r="B272" t="str">
            <v>Boca de concreto ciclópico para BDTC diâmetro 1,20 m</v>
          </cell>
          <cell r="C272" t="str">
            <v>un</v>
          </cell>
          <cell r="D272" t="str">
            <v>5.428,15</v>
          </cell>
          <cell r="E272" t="str">
            <v>A incluir</v>
          </cell>
        </row>
        <row r="273">
          <cell r="A273">
            <v>40539</v>
          </cell>
          <cell r="B273" t="str">
            <v>Boca de concreto ciclópico para BDTC diâmetro 1,50 m</v>
          </cell>
          <cell r="C273" t="str">
            <v>un</v>
          </cell>
          <cell r="D273" t="str">
            <v>9.539,69</v>
          </cell>
          <cell r="E273" t="str">
            <v>A incluir</v>
          </cell>
        </row>
        <row r="274">
          <cell r="A274">
            <v>40529</v>
          </cell>
          <cell r="B274" t="str">
            <v>Boca de concreto ciclópico para BSTC diâmetro 0,40 m</v>
          </cell>
          <cell r="C274" t="str">
            <v>un</v>
          </cell>
          <cell r="D274" t="str">
            <v>351,97</v>
          </cell>
          <cell r="E274" t="str">
            <v>A incluir</v>
          </cell>
        </row>
        <row r="275">
          <cell r="A275">
            <v>40530</v>
          </cell>
          <cell r="B275" t="str">
            <v>Boca de concreto ciclópico para BSTC diâmetro 0,60 m</v>
          </cell>
          <cell r="C275" t="str">
            <v>un</v>
          </cell>
          <cell r="D275" t="str">
            <v>1.061,07</v>
          </cell>
          <cell r="E275" t="str">
            <v>A incluir</v>
          </cell>
        </row>
        <row r="276">
          <cell r="A276">
            <v>40531</v>
          </cell>
          <cell r="B276" t="str">
            <v>Boca de concreto ciclópico para BSTC diâmetro 0,80 m</v>
          </cell>
          <cell r="C276" t="str">
            <v>un</v>
          </cell>
          <cell r="D276" t="str">
            <v>1.759,76</v>
          </cell>
          <cell r="E276" t="str">
            <v>A incluir</v>
          </cell>
        </row>
        <row r="277">
          <cell r="A277">
            <v>40532</v>
          </cell>
          <cell r="B277" t="str">
            <v>Boca de concreto ciclópico para BSTC diâmetro 1,00 m</v>
          </cell>
          <cell r="C277" t="str">
            <v>un</v>
          </cell>
          <cell r="D277" t="str">
            <v>2.701,43</v>
          </cell>
          <cell r="E277" t="str">
            <v>A incluir</v>
          </cell>
        </row>
        <row r="278">
          <cell r="A278">
            <v>40533</v>
          </cell>
          <cell r="B278" t="str">
            <v>Boca de concreto ciclópico para BSTC diâmetro 1,20 m</v>
          </cell>
          <cell r="C278" t="str">
            <v>un</v>
          </cell>
          <cell r="D278" t="str">
            <v>3.889,63</v>
          </cell>
          <cell r="E278" t="str">
            <v>A incluir</v>
          </cell>
        </row>
        <row r="279">
          <cell r="A279">
            <v>40534</v>
          </cell>
          <cell r="B279" t="str">
            <v>Boca de concreto ciclópico para BSTC diâmetro 1,50 m</v>
          </cell>
          <cell r="C279" t="str">
            <v>un</v>
          </cell>
          <cell r="D279" t="str">
            <v>7.005,34</v>
          </cell>
          <cell r="E279" t="str">
            <v>A incluir</v>
          </cell>
        </row>
        <row r="280">
          <cell r="A280">
            <v>40540</v>
          </cell>
          <cell r="B280" t="str">
            <v>Boca de concreto ciclópico para BTTC diâmetro 0,60 m</v>
          </cell>
          <cell r="C280" t="str">
            <v>un</v>
          </cell>
          <cell r="D280" t="str">
            <v>1.530,51</v>
          </cell>
          <cell r="E280" t="str">
            <v>A incluir</v>
          </cell>
        </row>
        <row r="281">
          <cell r="A281">
            <v>40541</v>
          </cell>
          <cell r="B281" t="str">
            <v>Boca de concreto ciclópico para BTTC diâmetro 0,80 m</v>
          </cell>
          <cell r="C281" t="str">
            <v>un</v>
          </cell>
          <cell r="D281" t="str">
            <v>2.495,09</v>
          </cell>
          <cell r="E281" t="str">
            <v>A incluir</v>
          </cell>
        </row>
        <row r="282">
          <cell r="A282">
            <v>40542</v>
          </cell>
          <cell r="B282" t="str">
            <v>Boca de concreto ciclópico para BTTC diâmetro 1,00 m</v>
          </cell>
          <cell r="C282" t="str">
            <v>un</v>
          </cell>
          <cell r="D282" t="str">
            <v>4.817,18</v>
          </cell>
          <cell r="E282" t="str">
            <v>A incluir</v>
          </cell>
        </row>
        <row r="283">
          <cell r="A283">
            <v>40543</v>
          </cell>
          <cell r="B283" t="str">
            <v>Boca de concreto ciclópico para BTTC diâmetro 1,20 m</v>
          </cell>
          <cell r="C283" t="str">
            <v>un</v>
          </cell>
          <cell r="D283" t="str">
            <v>6.965,87</v>
          </cell>
          <cell r="E283" t="str">
            <v>A incluir</v>
          </cell>
        </row>
        <row r="284">
          <cell r="A284">
            <v>40544</v>
          </cell>
          <cell r="B284" t="str">
            <v>Boca de concreto ciclópico para BTTC diâmetro 1,50 m</v>
          </cell>
          <cell r="C284" t="str">
            <v>un</v>
          </cell>
          <cell r="D284" t="str">
            <v>12.120,58</v>
          </cell>
          <cell r="E284" t="str">
            <v>A incluir</v>
          </cell>
        </row>
        <row r="285">
          <cell r="A285">
            <v>40565</v>
          </cell>
          <cell r="B285" t="str">
            <v>Boca de lobo simples</v>
          </cell>
          <cell r="C285" t="str">
            <v>un</v>
          </cell>
          <cell r="D285" t="str">
            <v>2.747,52</v>
          </cell>
          <cell r="E285">
            <v>0</v>
          </cell>
        </row>
        <row r="286">
          <cell r="A286">
            <v>40656</v>
          </cell>
          <cell r="B286" t="str">
            <v>Boca de saída de dreno profundo BSD-01</v>
          </cell>
          <cell r="C286" t="str">
            <v>un</v>
          </cell>
          <cell r="D286" t="str">
            <v>223,83</v>
          </cell>
          <cell r="E286" t="str">
            <v>A incluir</v>
          </cell>
        </row>
        <row r="287">
          <cell r="A287">
            <v>41102</v>
          </cell>
          <cell r="B287" t="str">
            <v>BSCC (pré-moldado) 1,50 x 1,50 x 1,00m CL 45t, inclusive transporte do Anel de Bueiro Celular Pré-moldado</v>
          </cell>
          <cell r="C287" t="str">
            <v>m</v>
          </cell>
          <cell r="D287" t="str">
            <v>4.207,99</v>
          </cell>
          <cell r="E287" t="str">
            <v>A incluir</v>
          </cell>
        </row>
        <row r="288">
          <cell r="A288">
            <v>41103</v>
          </cell>
          <cell r="B288" t="str">
            <v>BSCC (pré-moldado) 2,00 x 2,00 x 1,00m CL 45t, inclusive transporte de Anel de Bueiro Celular Pré-moldado</v>
          </cell>
          <cell r="C288" t="str">
            <v>m</v>
          </cell>
          <cell r="D288" t="str">
            <v>5.626,65</v>
          </cell>
          <cell r="E288" t="str">
            <v>A incluir</v>
          </cell>
        </row>
        <row r="289">
          <cell r="A289">
            <v>41104</v>
          </cell>
          <cell r="B289" t="str">
            <v>BSCC (pré-moldado) 2,50 x 2,50 x 1,00m CL 45t, inclusive transporte de Anel de Bueiro Celular Pré-moldado</v>
          </cell>
          <cell r="C289" t="str">
            <v>m</v>
          </cell>
          <cell r="D289" t="str">
            <v>5.940,74</v>
          </cell>
          <cell r="E289" t="str">
            <v>A incluir</v>
          </cell>
        </row>
        <row r="290">
          <cell r="A290">
            <v>41155</v>
          </cell>
          <cell r="B290" t="str">
            <v>BSCC (pré-moldado) 3,00 x 3,00 x 1,00m CL 45t, inclusive transporte de Anel de Bueiro Celular Pré-moldado</v>
          </cell>
          <cell r="C290" t="str">
            <v>m</v>
          </cell>
          <cell r="D290" t="str">
            <v>7.926,62</v>
          </cell>
          <cell r="E290" t="str">
            <v>A incluir</v>
          </cell>
        </row>
        <row r="291">
          <cell r="A291">
            <v>40635</v>
          </cell>
          <cell r="B291" t="str">
            <v>Bueiro Metálico BSTM - D -&gt; 3,00 m - T.L. com tratamento epóxi e -&gt; 2,7 mm - método não destrutivo</v>
          </cell>
          <cell r="C291" t="str">
            <v>m</v>
          </cell>
          <cell r="D291" t="str">
            <v>8.931,85</v>
          </cell>
          <cell r="E291" t="str">
            <v>A incluir</v>
          </cell>
        </row>
        <row r="292">
          <cell r="A292">
            <v>42230</v>
          </cell>
          <cell r="B292" t="str">
            <v>Bueiro Metálico BSTM - D-&gt;3,05m - MP-152 com tratamento epóxi e-&gt;2,7mm - método destrutivo, inclusive lastro de brita</v>
          </cell>
          <cell r="C292" t="str">
            <v>m</v>
          </cell>
          <cell r="D292" t="str">
            <v>6.095,90</v>
          </cell>
          <cell r="E292" t="str">
            <v>A incluir</v>
          </cell>
        </row>
        <row r="293">
          <cell r="A293">
            <v>40658</v>
          </cell>
          <cell r="B293" t="str">
            <v>Caiação de meio fios, sarjetas, etc</v>
          </cell>
          <cell r="C293" t="str">
            <v>m²</v>
          </cell>
          <cell r="D293" t="str">
            <v>4,84</v>
          </cell>
          <cell r="E293">
            <v>0</v>
          </cell>
        </row>
        <row r="294">
          <cell r="A294">
            <v>41161</v>
          </cell>
          <cell r="B294" t="str">
            <v>Caixa Boca de Lobo em bloco pré-moldado 1,20 x 1,20m</v>
          </cell>
          <cell r="C294" t="str">
            <v>un</v>
          </cell>
          <cell r="D294" t="str">
            <v>3.850,15</v>
          </cell>
          <cell r="E294">
            <v>0</v>
          </cell>
        </row>
        <row r="295">
          <cell r="A295">
            <v>40563</v>
          </cell>
          <cell r="B295" t="str">
            <v>Caixa coletora concreto armado H-&gt; 2,00 m, inclusive escavação</v>
          </cell>
          <cell r="C295" t="str">
            <v>un</v>
          </cell>
          <cell r="D295" t="str">
            <v>4.040,03</v>
          </cell>
          <cell r="E295">
            <v>0</v>
          </cell>
        </row>
        <row r="296">
          <cell r="A296">
            <v>40564</v>
          </cell>
          <cell r="B296" t="str">
            <v>Caixa coletora concreto armado H-&gt; 2,50 m, inclusive escavação</v>
          </cell>
          <cell r="C296" t="str">
            <v>un</v>
          </cell>
          <cell r="D296" t="str">
            <v>4.964,76</v>
          </cell>
          <cell r="E296">
            <v>0</v>
          </cell>
        </row>
        <row r="297">
          <cell r="A297">
            <v>41333</v>
          </cell>
          <cell r="B297" t="str">
            <v>Caixa coletora em bloco pré-moldado para d-&gt;0,60m (1,00 x 1,00m)</v>
          </cell>
          <cell r="C297" t="str">
            <v>un</v>
          </cell>
          <cell r="D297" t="str">
            <v>1.938,42</v>
          </cell>
          <cell r="E297" t="str">
            <v>A incluir</v>
          </cell>
        </row>
        <row r="298">
          <cell r="A298">
            <v>40545</v>
          </cell>
          <cell r="B298" t="str">
            <v>Caixa de concreto para BSTC diâmetro 0,40 m H-&gt;1,60 m</v>
          </cell>
          <cell r="C298" t="str">
            <v>un</v>
          </cell>
          <cell r="D298" t="str">
            <v>1.879,82</v>
          </cell>
          <cell r="E298" t="str">
            <v>A incluir</v>
          </cell>
        </row>
        <row r="299">
          <cell r="A299">
            <v>40546</v>
          </cell>
          <cell r="B299" t="str">
            <v>Caixa de concreto para BSTC diâmetro 0,60 m H-&gt;2,00 m</v>
          </cell>
          <cell r="C299" t="str">
            <v>un</v>
          </cell>
          <cell r="D299" t="str">
            <v>2.922,18</v>
          </cell>
          <cell r="E299" t="str">
            <v>A incluir</v>
          </cell>
        </row>
        <row r="300">
          <cell r="A300">
            <v>40547</v>
          </cell>
          <cell r="B300" t="str">
            <v>Caixa de concreto para BSTC diâmetro 0,80 m H-&gt;2,50 m</v>
          </cell>
          <cell r="C300" t="str">
            <v>un</v>
          </cell>
          <cell r="D300" t="str">
            <v>3.626,24</v>
          </cell>
          <cell r="E300" t="str">
            <v>A incluir</v>
          </cell>
        </row>
        <row r="301">
          <cell r="A301">
            <v>40548</v>
          </cell>
          <cell r="B301" t="str">
            <v>Caixa de concreto para BSTC diâmetro 1,00 m H-&gt;3,00 m</v>
          </cell>
          <cell r="C301" t="str">
            <v>un</v>
          </cell>
          <cell r="D301" t="str">
            <v>4.307,29</v>
          </cell>
          <cell r="E301" t="str">
            <v>A incluir</v>
          </cell>
        </row>
        <row r="302">
          <cell r="A302">
            <v>40549</v>
          </cell>
          <cell r="B302" t="str">
            <v>Caixa de passagem para tubos de D-&gt;0,40 m H-&gt;1,10 m</v>
          </cell>
          <cell r="C302" t="str">
            <v>un</v>
          </cell>
          <cell r="D302" t="str">
            <v>1.246,52</v>
          </cell>
          <cell r="E302">
            <v>0</v>
          </cell>
        </row>
        <row r="303">
          <cell r="A303">
            <v>40550</v>
          </cell>
          <cell r="B303" t="str">
            <v>Caixa de passagem para tubos de D-&gt;0,60 m H-&gt;1,30 m</v>
          </cell>
          <cell r="C303" t="str">
            <v>un</v>
          </cell>
          <cell r="D303" t="str">
            <v>1.571,69</v>
          </cell>
          <cell r="E303">
            <v>0</v>
          </cell>
        </row>
        <row r="304">
          <cell r="A304">
            <v>40551</v>
          </cell>
          <cell r="B304" t="str">
            <v>Caixa de passagem para tubos de D-&gt;0,80 m H-&gt;1,50 m</v>
          </cell>
          <cell r="C304" t="str">
            <v>un</v>
          </cell>
          <cell r="D304" t="str">
            <v>1.974,22</v>
          </cell>
          <cell r="E304">
            <v>0</v>
          </cell>
        </row>
        <row r="305">
          <cell r="A305">
            <v>40552</v>
          </cell>
          <cell r="B305" t="str">
            <v>Caixa de passagem para tubos de D-&gt;1,00 m H-&gt;1,80 m</v>
          </cell>
          <cell r="C305" t="str">
            <v>un</v>
          </cell>
          <cell r="D305" t="str">
            <v>3.131,40</v>
          </cell>
          <cell r="E305">
            <v>0</v>
          </cell>
        </row>
        <row r="306">
          <cell r="A306">
            <v>41320</v>
          </cell>
          <cell r="B306" t="str">
            <v>Caixa de passagem (2,50 x 2,50m)</v>
          </cell>
          <cell r="C306" t="str">
            <v>un</v>
          </cell>
          <cell r="D306" t="str">
            <v>6.897,61</v>
          </cell>
          <cell r="E306" t="str">
            <v>A incluir</v>
          </cell>
        </row>
        <row r="307">
          <cell r="A307">
            <v>41184</v>
          </cell>
          <cell r="B307" t="str">
            <v>Caixa para rede de dutos, dimensões 100 x 100 x 100 cm</v>
          </cell>
          <cell r="C307" t="str">
            <v>m</v>
          </cell>
          <cell r="D307" t="str">
            <v>1.138,03</v>
          </cell>
          <cell r="E307">
            <v>0</v>
          </cell>
        </row>
        <row r="308">
          <cell r="A308">
            <v>41338</v>
          </cell>
          <cell r="B308" t="str">
            <v>Caixa para rede de dutos, dimensões 60 x 60 x 60 cm</v>
          </cell>
          <cell r="C308" t="str">
            <v>un</v>
          </cell>
          <cell r="D308" t="str">
            <v>521,56</v>
          </cell>
          <cell r="E308">
            <v>0</v>
          </cell>
        </row>
        <row r="309">
          <cell r="A309">
            <v>40561</v>
          </cell>
          <cell r="B309" t="str">
            <v>Caixa ralo de elementos pré-moldados em concreto (tudo incluído)</v>
          </cell>
          <cell r="C309" t="str">
            <v>un</v>
          </cell>
          <cell r="D309" t="str">
            <v>675,35</v>
          </cell>
          <cell r="E309" t="str">
            <v>A incluir</v>
          </cell>
        </row>
        <row r="310">
          <cell r="A310">
            <v>40672</v>
          </cell>
          <cell r="B310" t="str">
            <v>Canaleta com grelha DP-1, inclusive transporte da grelha</v>
          </cell>
          <cell r="C310" t="str">
            <v>m</v>
          </cell>
          <cell r="D310" t="str">
            <v>558,32</v>
          </cell>
          <cell r="E310" t="str">
            <v>A incluir</v>
          </cell>
        </row>
        <row r="311">
          <cell r="A311">
            <v>40703</v>
          </cell>
          <cell r="B311" t="str">
            <v>Canaleta de concreto, com forma retangular inclusive caiação - parede 12 cm</v>
          </cell>
          <cell r="C311" t="str">
            <v>m</v>
          </cell>
          <cell r="D311" t="str">
            <v>187,89</v>
          </cell>
          <cell r="E311">
            <v>0</v>
          </cell>
        </row>
        <row r="312">
          <cell r="A312">
            <v>40671</v>
          </cell>
          <cell r="B312" t="str">
            <v>Canaleta de concreto retangular (0,130m³/m) inclusive caiação</v>
          </cell>
          <cell r="C312" t="str">
            <v>m</v>
          </cell>
          <cell r="D312" t="str">
            <v>232,85</v>
          </cell>
          <cell r="E312">
            <v>0</v>
          </cell>
        </row>
        <row r="313">
          <cell r="A313">
            <v>41016</v>
          </cell>
          <cell r="B313" t="str">
            <v>Canaleta de concreto (0,130m³/m) forma trapezoidal inclusive caiação</v>
          </cell>
          <cell r="C313" t="str">
            <v>m</v>
          </cell>
          <cell r="D313" t="str">
            <v>170,21</v>
          </cell>
          <cell r="E313" t="str">
            <v>A incluir</v>
          </cell>
        </row>
        <row r="314">
          <cell r="A314">
            <v>40952</v>
          </cell>
          <cell r="B314" t="str">
            <v>Cerca de tela de arame galvanizado h -&gt; 1,20 m</v>
          </cell>
          <cell r="C314" t="str">
            <v>m²</v>
          </cell>
          <cell r="D314" t="str">
            <v>28,31</v>
          </cell>
          <cell r="E314">
            <v>0</v>
          </cell>
        </row>
        <row r="315">
          <cell r="A315">
            <v>40953</v>
          </cell>
          <cell r="B315" t="str">
            <v>Cerca de tela galvanizada fio 12 malha 3"x3", com altura de 1,80 m</v>
          </cell>
          <cell r="C315" t="str">
            <v>m</v>
          </cell>
          <cell r="D315" t="str">
            <v>67,93</v>
          </cell>
          <cell r="E315" t="str">
            <v>A incluir</v>
          </cell>
        </row>
        <row r="316">
          <cell r="A316">
            <v>40708</v>
          </cell>
          <cell r="B316" t="str">
            <v>Cerca em tela revestida em PVC com mourões de concreto, 10 x 10 x 2,40 m, fornecimento e execução</v>
          </cell>
          <cell r="C316" t="str">
            <v>m²</v>
          </cell>
          <cell r="D316" t="str">
            <v>68,25</v>
          </cell>
          <cell r="E316">
            <v>0</v>
          </cell>
        </row>
        <row r="317">
          <cell r="A317">
            <v>40377</v>
          </cell>
          <cell r="B317" t="str">
            <v>Chapisco com argamassa de cimento e areia no traço 1:3</v>
          </cell>
          <cell r="C317" t="str">
            <v>m²</v>
          </cell>
          <cell r="D317" t="str">
            <v>5,06</v>
          </cell>
          <cell r="E317">
            <v>0</v>
          </cell>
        </row>
        <row r="318">
          <cell r="A318">
            <v>40378</v>
          </cell>
          <cell r="B318" t="str">
            <v>Chapisco com argamassa de cimento e pedrisco no traço 1:4</v>
          </cell>
          <cell r="C318" t="str">
            <v>m²</v>
          </cell>
          <cell r="D318" t="str">
            <v>7,80</v>
          </cell>
          <cell r="E318">
            <v>0</v>
          </cell>
        </row>
        <row r="319">
          <cell r="A319">
            <v>41389</v>
          </cell>
          <cell r="B319" t="str">
            <v>Colchão drenante de areia para fundação de aterros, exclusive o fornecimento de areia</v>
          </cell>
          <cell r="C319" t="str">
            <v>m³</v>
          </cell>
          <cell r="D319" t="str">
            <v>4,10</v>
          </cell>
          <cell r="E319">
            <v>0</v>
          </cell>
        </row>
        <row r="320">
          <cell r="A320">
            <v>40715</v>
          </cell>
          <cell r="B320" t="str">
            <v>Colchão drenante de areia para fundação de aterros, inclusive fornecimento e transporte da areia</v>
          </cell>
          <cell r="C320" t="str">
            <v>m³</v>
          </cell>
          <cell r="D320" t="str">
            <v>77,02</v>
          </cell>
          <cell r="E320" t="str">
            <v>A incluir</v>
          </cell>
        </row>
        <row r="321">
          <cell r="A321">
            <v>40716</v>
          </cell>
          <cell r="B321" t="str">
            <v>Colchão drenante de brita 1 inclusive fornecimento, espalhamento, compactação e transporte da brita</v>
          </cell>
          <cell r="C321" t="str">
            <v>m³</v>
          </cell>
          <cell r="D321" t="str">
            <v>94,97</v>
          </cell>
          <cell r="E321" t="str">
            <v>A incluir</v>
          </cell>
        </row>
        <row r="322">
          <cell r="A322">
            <v>40717</v>
          </cell>
          <cell r="B322" t="str">
            <v>Colchão drenante de brita 2 inclusive fornecimento, espalhamento, compactação e transporte da brita</v>
          </cell>
          <cell r="C322" t="str">
            <v>m³</v>
          </cell>
          <cell r="D322" t="str">
            <v>92,25</v>
          </cell>
          <cell r="E322" t="str">
            <v>A incluir</v>
          </cell>
        </row>
        <row r="323">
          <cell r="A323">
            <v>40718</v>
          </cell>
          <cell r="B323" t="str">
            <v>Colchão drenante de brita 3 inclusive fornecimento, espalhamento, compactação e transporte da brita</v>
          </cell>
          <cell r="C323" t="str">
            <v>m³</v>
          </cell>
          <cell r="D323" t="str">
            <v>100,15</v>
          </cell>
          <cell r="E323" t="str">
            <v>A incluir</v>
          </cell>
        </row>
        <row r="324">
          <cell r="A324">
            <v>40652</v>
          </cell>
          <cell r="B324" t="str">
            <v>Coleta drenante (1,00x1,00) m c/ geotêxtil não tecido RT 16kn/m, inclusive transporte da brita</v>
          </cell>
          <cell r="C324" t="str">
            <v>m</v>
          </cell>
          <cell r="D324" t="str">
            <v>303,02</v>
          </cell>
          <cell r="E324" t="str">
            <v>A incluir</v>
          </cell>
        </row>
        <row r="325">
          <cell r="A325">
            <v>41090</v>
          </cell>
          <cell r="B325" t="str">
            <v>Concreto armado, dosado para resist. 20 Mpa, incluindo 60kg aço CA-50A, mão de obra p/ corte, dobragem e montagem, exclusive forma</v>
          </cell>
          <cell r="C325" t="str">
            <v>m³</v>
          </cell>
          <cell r="D325" t="str">
            <v>793,41</v>
          </cell>
          <cell r="E325">
            <v>0</v>
          </cell>
        </row>
        <row r="326">
          <cell r="A326">
            <v>40350</v>
          </cell>
          <cell r="B326" t="str">
            <v>Concreto ciclópico com 70% concreto 10,0 MPa e 30% de pedra de mão, tudo incluído</v>
          </cell>
          <cell r="C326" t="str">
            <v>m³</v>
          </cell>
          <cell r="D326" t="str">
            <v>372,02</v>
          </cell>
          <cell r="E326" t="str">
            <v>A incluir</v>
          </cell>
        </row>
        <row r="327">
          <cell r="A327">
            <v>40351</v>
          </cell>
          <cell r="B327" t="str">
            <v>Concreto ciclópico com 70% concreto 15,0 MPa e 30% de pedra de mão, tudo incluído</v>
          </cell>
          <cell r="C327" t="str">
            <v>m³</v>
          </cell>
          <cell r="D327" t="str">
            <v>410,60</v>
          </cell>
          <cell r="E327" t="str">
            <v>A incluir</v>
          </cell>
        </row>
        <row r="328">
          <cell r="A328">
            <v>40353</v>
          </cell>
          <cell r="B328" t="str">
            <v>Concreto ciclópico com 70% concreto 20,0 MPa e 30% de pedra de mão, tudo incluído</v>
          </cell>
          <cell r="C328" t="str">
            <v>m³</v>
          </cell>
          <cell r="D328" t="str">
            <v>429,91</v>
          </cell>
          <cell r="E328" t="str">
            <v>A incluir</v>
          </cell>
        </row>
        <row r="329">
          <cell r="A329">
            <v>40383</v>
          </cell>
          <cell r="B329" t="str">
            <v>Concreto de Cim.Port. com equip peq.porte (custo SICRO/DNIT)</v>
          </cell>
          <cell r="C329" t="str">
            <v>m³</v>
          </cell>
          <cell r="D329" t="str">
            <v>449,85</v>
          </cell>
          <cell r="E329">
            <v>0</v>
          </cell>
        </row>
        <row r="330">
          <cell r="A330">
            <v>40349</v>
          </cell>
          <cell r="B330" t="str">
            <v>Concreto de regularização, tudo incluído</v>
          </cell>
          <cell r="C330" t="str">
            <v>m³</v>
          </cell>
          <cell r="D330" t="str">
            <v>399,48</v>
          </cell>
          <cell r="E330" t="str">
            <v>A incluir</v>
          </cell>
        </row>
        <row r="331">
          <cell r="A331">
            <v>40358</v>
          </cell>
          <cell r="B331" t="str">
            <v>Concreto estrutural fck -&gt; 15,0 MPa, tudo incluído</v>
          </cell>
          <cell r="C331" t="str">
            <v>m³</v>
          </cell>
          <cell r="D331" t="str">
            <v>544,99</v>
          </cell>
          <cell r="E331" t="str">
            <v>A incluir</v>
          </cell>
        </row>
        <row r="332">
          <cell r="A332">
            <v>40361</v>
          </cell>
          <cell r="B332" t="str">
            <v>Concreto estrutural fck -&gt; 20,0 MPa com plastificante, tudo incluído</v>
          </cell>
          <cell r="C332" t="str">
            <v>m³</v>
          </cell>
          <cell r="D332" t="str">
            <v>574,76</v>
          </cell>
          <cell r="E332" t="str">
            <v>A incluir</v>
          </cell>
        </row>
        <row r="333">
          <cell r="A333">
            <v>40360</v>
          </cell>
          <cell r="B333" t="str">
            <v>Concreto estrutural fck -&gt; 20,0 MPa, tudo incluído</v>
          </cell>
          <cell r="C333" t="str">
            <v>m³</v>
          </cell>
          <cell r="D333" t="str">
            <v>572,58</v>
          </cell>
          <cell r="E333" t="str">
            <v>A incluir</v>
          </cell>
        </row>
        <row r="334">
          <cell r="A334">
            <v>40363</v>
          </cell>
          <cell r="B334" t="str">
            <v>Concreto estrutural fck -&gt; 25,0 MPa com plastificante, tudo incluído</v>
          </cell>
          <cell r="C334" t="str">
            <v>m³</v>
          </cell>
          <cell r="D334" t="str">
            <v>604,37</v>
          </cell>
          <cell r="E334" t="str">
            <v>A incluir</v>
          </cell>
        </row>
        <row r="335">
          <cell r="A335">
            <v>40362</v>
          </cell>
          <cell r="B335" t="str">
            <v>Concreto estrutural fck -&gt; 25,0 MPa, inclusive fornecimento e transporte do cimento, areia e pedra britada</v>
          </cell>
          <cell r="C335" t="str">
            <v>m³</v>
          </cell>
          <cell r="D335" t="str">
            <v>601,93</v>
          </cell>
          <cell r="E335" t="str">
            <v>A incluir</v>
          </cell>
        </row>
        <row r="336">
          <cell r="A336">
            <v>40368</v>
          </cell>
          <cell r="B336" t="str">
            <v>Concreto estrutural fck -&gt; 30,0 MPa com micro-silica e Sikacrete BR ou equivalente</v>
          </cell>
          <cell r="C336" t="str">
            <v>m³</v>
          </cell>
          <cell r="D336" t="str">
            <v>744,76</v>
          </cell>
          <cell r="E336" t="str">
            <v>A incluir</v>
          </cell>
        </row>
        <row r="337">
          <cell r="A337">
            <v>40365</v>
          </cell>
          <cell r="B337" t="str">
            <v>Concreto estrutural fck -&gt; 30,0 MPa com plastificante</v>
          </cell>
          <cell r="C337" t="str">
            <v>m³</v>
          </cell>
          <cell r="D337" t="str">
            <v>631,63</v>
          </cell>
          <cell r="E337" t="str">
            <v>A incluir</v>
          </cell>
        </row>
        <row r="338">
          <cell r="A338">
            <v>40364</v>
          </cell>
          <cell r="B338" t="str">
            <v>Concreto estrutural fck -&gt; 30,0 MPa, tudo incluído</v>
          </cell>
          <cell r="C338" t="str">
            <v>m³</v>
          </cell>
          <cell r="D338" t="str">
            <v>628,95</v>
          </cell>
          <cell r="E338" t="str">
            <v>A incluir</v>
          </cell>
        </row>
        <row r="339">
          <cell r="A339">
            <v>40369</v>
          </cell>
          <cell r="B339" t="str">
            <v>Concreto estrutural fck -&gt; 35,0 MPa com micro-silica e Sikacrete BR ou equivalente</v>
          </cell>
          <cell r="C339" t="str">
            <v>m³</v>
          </cell>
          <cell r="D339" t="str">
            <v>784,49</v>
          </cell>
          <cell r="E339" t="str">
            <v>A incluir</v>
          </cell>
        </row>
        <row r="340">
          <cell r="A340">
            <v>40371</v>
          </cell>
          <cell r="B340" t="str">
            <v>Concreto submerso fck -&gt; 20,0 MPa, tudo incluído</v>
          </cell>
          <cell r="C340" t="str">
            <v>m³</v>
          </cell>
          <cell r="D340" t="str">
            <v>1.111,71</v>
          </cell>
          <cell r="E340" t="str">
            <v>A incluir</v>
          </cell>
        </row>
        <row r="341">
          <cell r="A341">
            <v>41205</v>
          </cell>
          <cell r="B341" t="str">
            <v>Conjunto Moto-bomba submersível de 15CV, fornecimento e assentamento</v>
          </cell>
          <cell r="C341" t="str">
            <v>un</v>
          </cell>
          <cell r="D341" t="str">
            <v>32.264,69</v>
          </cell>
          <cell r="E341">
            <v>0</v>
          </cell>
        </row>
        <row r="342">
          <cell r="A342">
            <v>40467</v>
          </cell>
          <cell r="B342" t="str">
            <v>Corpo BDTC (grota) diâmetro 0,60 m CA-1 MF exclusive escavação e reaterro, inclusive transporte do tubo</v>
          </cell>
          <cell r="C342" t="str">
            <v>m</v>
          </cell>
          <cell r="D342" t="str">
            <v>275,01</v>
          </cell>
          <cell r="E342" t="str">
            <v>A incluir</v>
          </cell>
        </row>
        <row r="343">
          <cell r="A343">
            <v>40468</v>
          </cell>
          <cell r="B343" t="str">
            <v>Corpo BDTC (grota) diâmetro 0,60 m CA-1 PB exclusive escavação e reaterro, inclusive transporte do tubo</v>
          </cell>
          <cell r="C343" t="str">
            <v>m</v>
          </cell>
          <cell r="D343" t="str">
            <v>285,45</v>
          </cell>
          <cell r="E343" t="str">
            <v>A incluir</v>
          </cell>
        </row>
        <row r="344">
          <cell r="A344">
            <v>40469</v>
          </cell>
          <cell r="B344" t="str">
            <v>Corpo BDTC (grota) diâmetro 0,60 m CA-2 MF exclusive escavação e reaterro, inclusive transporte do tubo</v>
          </cell>
          <cell r="C344" t="str">
            <v>m</v>
          </cell>
          <cell r="D344" t="str">
            <v>278,89</v>
          </cell>
          <cell r="E344" t="str">
            <v>A incluir</v>
          </cell>
        </row>
        <row r="345">
          <cell r="A345">
            <v>40470</v>
          </cell>
          <cell r="B345" t="str">
            <v>Corpo BDTC (grota) diâmetro 0,60 m CA-2 PB exclusive escavação e reaterro, inclusive transporte do tubo</v>
          </cell>
          <cell r="C345" t="str">
            <v>m</v>
          </cell>
          <cell r="D345" t="str">
            <v>285,58</v>
          </cell>
          <cell r="E345" t="str">
            <v>A incluir</v>
          </cell>
        </row>
        <row r="346">
          <cell r="A346">
            <v>40471</v>
          </cell>
          <cell r="B346" t="str">
            <v>Corpo BDTC (grota) diâmetro 0,80 m CA-1 MF exclusive escavação e reaterro, inclusive transporte do tubo</v>
          </cell>
          <cell r="C346" t="str">
            <v>m</v>
          </cell>
          <cell r="D346" t="str">
            <v>571,90</v>
          </cell>
          <cell r="E346" t="str">
            <v>A incluir</v>
          </cell>
        </row>
        <row r="347">
          <cell r="A347">
            <v>40472</v>
          </cell>
          <cell r="B347" t="str">
            <v>Corpo BDTC (grota) diâmetro 0,80 m CA-1 PB exclusive escavação e reaterro, inclusive transporte do tubo</v>
          </cell>
          <cell r="C347" t="str">
            <v>m</v>
          </cell>
          <cell r="D347" t="str">
            <v>585,46</v>
          </cell>
          <cell r="E347" t="str">
            <v>A incluir</v>
          </cell>
        </row>
        <row r="348">
          <cell r="A348">
            <v>40473</v>
          </cell>
          <cell r="B348" t="str">
            <v>Corpo BDTC (grota) diâmetro 0,80 m CA-2 MF exclusive escavação e reaterro, inclusive transporte do tubo</v>
          </cell>
          <cell r="C348" t="str">
            <v>m</v>
          </cell>
          <cell r="D348" t="str">
            <v>591,34</v>
          </cell>
          <cell r="E348" t="str">
            <v>A incluir</v>
          </cell>
        </row>
        <row r="349">
          <cell r="A349">
            <v>40474</v>
          </cell>
          <cell r="B349" t="str">
            <v>Corpo BDTC (grota) diâmetro 0,80 m CA-2 PB exclusive escavação e reaterro, inclusive transporte do tubo</v>
          </cell>
          <cell r="C349" t="str">
            <v>m</v>
          </cell>
          <cell r="D349" t="str">
            <v>619,29</v>
          </cell>
          <cell r="E349" t="str">
            <v>A incluir</v>
          </cell>
        </row>
        <row r="350">
          <cell r="A350">
            <v>40475</v>
          </cell>
          <cell r="B350" t="str">
            <v>Corpo BDTC (grota) diâmetro 1,00 m CA-1 MF exclusive escavação e reaterro, inclusive transporte do tubo</v>
          </cell>
          <cell r="C350" t="str">
            <v>m</v>
          </cell>
          <cell r="D350" t="str">
            <v>731,45</v>
          </cell>
          <cell r="E350" t="str">
            <v>A incluir</v>
          </cell>
        </row>
        <row r="351">
          <cell r="A351">
            <v>40476</v>
          </cell>
          <cell r="B351" t="str">
            <v>Corpo BDTC (grota) diâmetro 1,00 m CA-1 PB exclusive escavação e reaterro, inclusive transporte do tubo</v>
          </cell>
          <cell r="C351" t="str">
            <v>m</v>
          </cell>
          <cell r="D351" t="str">
            <v>748,35</v>
          </cell>
          <cell r="E351" t="str">
            <v>A incluir</v>
          </cell>
        </row>
        <row r="352">
          <cell r="A352">
            <v>40477</v>
          </cell>
          <cell r="B352" t="str">
            <v>Corpo BDTC (grota) diâmetro 1,00 m CA-2 MF exclusive escavação e reaterro, inclusive transporte do tubo</v>
          </cell>
          <cell r="C352" t="str">
            <v>m</v>
          </cell>
          <cell r="D352" t="str">
            <v>757,37</v>
          </cell>
          <cell r="E352" t="str">
            <v>A incluir</v>
          </cell>
        </row>
        <row r="353">
          <cell r="A353">
            <v>40478</v>
          </cell>
          <cell r="B353" t="str">
            <v>Corpo BDTC (grota) diâmetro 1,00 m CA-2 PB exclusive escavação e reaterro, inclusive transporte do tubo</v>
          </cell>
          <cell r="C353" t="str">
            <v>m</v>
          </cell>
          <cell r="D353" t="str">
            <v>788,48</v>
          </cell>
          <cell r="E353" t="str">
            <v>A incluir</v>
          </cell>
        </row>
        <row r="354">
          <cell r="A354">
            <v>40479</v>
          </cell>
          <cell r="B354" t="str">
            <v>Corpo BDTC (grota) diâmetro 1,00 m CA-3 MF exclusive escavação e reaterro, inclusive transporte do tubo</v>
          </cell>
          <cell r="C354" t="str">
            <v>m</v>
          </cell>
          <cell r="D354" t="str">
            <v>828,67</v>
          </cell>
          <cell r="E354" t="str">
            <v>A incluir</v>
          </cell>
        </row>
        <row r="355">
          <cell r="A355">
            <v>40480</v>
          </cell>
          <cell r="B355" t="str">
            <v>Corpo BDTC (grota) diâmetro 1,20 m CA-1 MF exclusive escavação e reaterro, inclusive transporte do tubo</v>
          </cell>
          <cell r="C355" t="str">
            <v>m</v>
          </cell>
          <cell r="D355" t="str">
            <v>1.086,36</v>
          </cell>
          <cell r="E355" t="str">
            <v>A incluir</v>
          </cell>
        </row>
        <row r="356">
          <cell r="A356">
            <v>40481</v>
          </cell>
          <cell r="B356" t="str">
            <v>Corpo BDTC (grota) diâmetro 1,20 m CA-1 PB exclusive escavação e reaterro, inclusive transporte do tubo</v>
          </cell>
          <cell r="C356" t="str">
            <v>m</v>
          </cell>
          <cell r="D356" t="str">
            <v>1.118,33</v>
          </cell>
          <cell r="E356" t="str">
            <v>A incluir</v>
          </cell>
        </row>
        <row r="357">
          <cell r="A357">
            <v>40482</v>
          </cell>
          <cell r="B357" t="str">
            <v>Corpo BDTC (grota) diâmetro 1,20 m CA-2 MF exclusive escavação e reaterro, inclusive transporte do tubo</v>
          </cell>
          <cell r="C357" t="str">
            <v>m</v>
          </cell>
          <cell r="D357" t="str">
            <v>1.125,25</v>
          </cell>
          <cell r="E357" t="str">
            <v>A incluir</v>
          </cell>
        </row>
        <row r="358">
          <cell r="A358">
            <v>40483</v>
          </cell>
          <cell r="B358" t="str">
            <v>Corpo BDTC (grota) diâmetro 1,20 m CA-2 PB exclusive escavação e reaterro, inclusive transporte do tubo</v>
          </cell>
          <cell r="C358" t="str">
            <v>m</v>
          </cell>
          <cell r="D358" t="str">
            <v>1.191,36</v>
          </cell>
          <cell r="E358" t="str">
            <v>A incluir</v>
          </cell>
        </row>
        <row r="359">
          <cell r="A359">
            <v>40484</v>
          </cell>
          <cell r="B359" t="str">
            <v>Corpo BDTC (grota) diâmetro 1,20 m CA-3 MF exclusive escavação e reaterro, inclusive transporte do tubo</v>
          </cell>
          <cell r="C359" t="str">
            <v>m</v>
          </cell>
          <cell r="D359" t="str">
            <v>1.157,66</v>
          </cell>
          <cell r="E359" t="str">
            <v>A incluir</v>
          </cell>
        </row>
        <row r="360">
          <cell r="A360">
            <v>40485</v>
          </cell>
          <cell r="B360" t="str">
            <v>Corpo BDTC (grota) diâmetro 1,50 m CA-1 MF exclusive escavação e reaterro, inclusive transporte do tubo</v>
          </cell>
          <cell r="C360" t="str">
            <v>m</v>
          </cell>
          <cell r="D360" t="str">
            <v>1.815,07</v>
          </cell>
          <cell r="E360" t="str">
            <v>A incluir</v>
          </cell>
        </row>
        <row r="361">
          <cell r="A361">
            <v>40486</v>
          </cell>
          <cell r="B361" t="str">
            <v>Corpo BDTC (grota) diâmetro 1,50 m CA-1 PB exclusive escavação e reaterro, inclusive transporte do tubo</v>
          </cell>
          <cell r="C361" t="str">
            <v>m</v>
          </cell>
          <cell r="D361" t="str">
            <v>1.587,76</v>
          </cell>
          <cell r="E361" t="str">
            <v>A incluir</v>
          </cell>
        </row>
        <row r="362">
          <cell r="A362">
            <v>40487</v>
          </cell>
          <cell r="B362" t="str">
            <v>Corpo BDTC (grota) diâmetro 1,50 m CA-2 MF exclusive escavação e reaterro, inclusive transporte do tubo</v>
          </cell>
          <cell r="C362" t="str">
            <v>m</v>
          </cell>
          <cell r="D362" t="str">
            <v>1.892,85</v>
          </cell>
          <cell r="E362" t="str">
            <v>A incluir</v>
          </cell>
        </row>
        <row r="363">
          <cell r="A363">
            <v>40488</v>
          </cell>
          <cell r="B363" t="str">
            <v>Corpo BDTC (grota) diâmetro 1,50 m CA-2 PB exclusive escavação e reaterro, inclusive transporte do tubo</v>
          </cell>
          <cell r="C363" t="str">
            <v>m</v>
          </cell>
          <cell r="D363" t="str">
            <v>1.686,95</v>
          </cell>
          <cell r="E363" t="str">
            <v>A incluir</v>
          </cell>
        </row>
        <row r="364">
          <cell r="A364">
            <v>40489</v>
          </cell>
          <cell r="B364" t="str">
            <v>Corpo BDTC (grota) diâmetro 1,50 m CA-3 MF exclusive escavação e reaterro, inclusive transporte do tubo</v>
          </cell>
          <cell r="C364" t="str">
            <v>m</v>
          </cell>
          <cell r="D364" t="str">
            <v>1.452,11</v>
          </cell>
          <cell r="E364" t="str">
            <v>A incluir</v>
          </cell>
        </row>
        <row r="365">
          <cell r="A365">
            <v>40417</v>
          </cell>
          <cell r="B365" t="str">
            <v>Corpo BSTC diâmetro 0,20 m C.S. MF inclusive escavação, reaterro e transporte do tubo</v>
          </cell>
          <cell r="C365" t="str">
            <v>m</v>
          </cell>
          <cell r="D365" t="str">
            <v>80,66</v>
          </cell>
          <cell r="E365" t="str">
            <v>A incluir</v>
          </cell>
        </row>
        <row r="366">
          <cell r="A366">
            <v>40418</v>
          </cell>
          <cell r="B366" t="str">
            <v>Corpo BSTC diâmetro 0,20 m C.S. PB inclusive escavação, reaterro e transporte do tubo</v>
          </cell>
          <cell r="C366" t="str">
            <v>m</v>
          </cell>
          <cell r="D366" t="str">
            <v>80,66</v>
          </cell>
          <cell r="E366" t="str">
            <v>A incluir</v>
          </cell>
        </row>
        <row r="367">
          <cell r="A367">
            <v>40419</v>
          </cell>
          <cell r="B367" t="str">
            <v>Corpo BSTC diâmetro 0,30 m C.S. MF inclusive escavação, reaterro e transporte do tubo</v>
          </cell>
          <cell r="C367" t="str">
            <v>m</v>
          </cell>
          <cell r="D367" t="str">
            <v>101,30</v>
          </cell>
          <cell r="E367" t="str">
            <v>A incluir</v>
          </cell>
        </row>
        <row r="368">
          <cell r="A368">
            <v>40420</v>
          </cell>
          <cell r="B368" t="str">
            <v>Corpo BSTC diâmetro 0,30 m C.S. PB inclusive escavação, reaterro e transporte do tubo</v>
          </cell>
          <cell r="C368" t="str">
            <v>m</v>
          </cell>
          <cell r="D368" t="str">
            <v>104,67</v>
          </cell>
          <cell r="E368" t="str">
            <v>A incluir</v>
          </cell>
        </row>
        <row r="369">
          <cell r="A369">
            <v>40422</v>
          </cell>
          <cell r="B369" t="str">
            <v>Corpo BSTC diâmetro 0,40 m C.S. MF inclusive escavação, reaterro e transporte do tubo</v>
          </cell>
          <cell r="C369" t="str">
            <v>m</v>
          </cell>
          <cell r="D369" t="str">
            <v>134,40</v>
          </cell>
          <cell r="E369" t="str">
            <v>A incluir</v>
          </cell>
        </row>
        <row r="370">
          <cell r="A370">
            <v>40423</v>
          </cell>
          <cell r="B370" t="str">
            <v>Corpo BSTC diâmetro 0,40 m C.S. PB inclusive escavação, reaterro e transporte do tubo</v>
          </cell>
          <cell r="C370" t="str">
            <v>m</v>
          </cell>
          <cell r="D370" t="str">
            <v>137,55</v>
          </cell>
          <cell r="E370" t="str">
            <v>A incluir</v>
          </cell>
        </row>
        <row r="371">
          <cell r="A371">
            <v>40426</v>
          </cell>
          <cell r="B371" t="str">
            <v>Corpo BSTC diâmetro 0,60 m C.S. MF inclusive escavação, reaterro e transporte do tubo</v>
          </cell>
          <cell r="C371" t="str">
            <v>m</v>
          </cell>
          <cell r="D371" t="str">
            <v>219,16</v>
          </cell>
          <cell r="E371" t="str">
            <v>A incluir</v>
          </cell>
        </row>
        <row r="372">
          <cell r="A372">
            <v>40427</v>
          </cell>
          <cell r="B372" t="str">
            <v>Corpo BSTC diâmetro 0,60 m C.S. PB inclusive escavação, reaterro e transporte do tubo</v>
          </cell>
          <cell r="C372" t="str">
            <v>m</v>
          </cell>
          <cell r="D372" t="str">
            <v>224,16</v>
          </cell>
          <cell r="E372" t="str">
            <v>A incluir</v>
          </cell>
        </row>
        <row r="373">
          <cell r="A373">
            <v>40421</v>
          </cell>
          <cell r="B373" t="str">
            <v>Corpo BSTC (greide) diâmetro 0,30 m CA-1 MF inclusive escavação, reaterro e transporte do tubo</v>
          </cell>
          <cell r="C373" t="str">
            <v>m</v>
          </cell>
          <cell r="D373" t="str">
            <v>103,89</v>
          </cell>
          <cell r="E373" t="str">
            <v>A incluir</v>
          </cell>
        </row>
        <row r="374">
          <cell r="A374">
            <v>40424</v>
          </cell>
          <cell r="B374" t="str">
            <v>Corpo BSTC (greide) diâmetro 0,40 m CA-1 MF inclusive escavação, reaterro e transporte do tubo</v>
          </cell>
          <cell r="C374" t="str">
            <v>m</v>
          </cell>
          <cell r="D374" t="str">
            <v>143,47</v>
          </cell>
          <cell r="E374" t="str">
            <v>A incluir</v>
          </cell>
        </row>
        <row r="375">
          <cell r="A375">
            <v>40425</v>
          </cell>
          <cell r="B375" t="str">
            <v>Corpo BSTC (greide) diâmetro 0,40 m CA-2 MF inclusive escavação, reaterro e transporte do tubo</v>
          </cell>
          <cell r="C375" t="str">
            <v>m</v>
          </cell>
          <cell r="D375" t="str">
            <v>148,65</v>
          </cell>
          <cell r="E375" t="str">
            <v>A incluir</v>
          </cell>
        </row>
        <row r="376">
          <cell r="A376">
            <v>40428</v>
          </cell>
          <cell r="B376" t="str">
            <v>Corpo BSTC (greide) diâmetro 0,60 m CA-1 MF inclusive escavação, reaterro e transporte do tubo</v>
          </cell>
          <cell r="C376" t="str">
            <v>m</v>
          </cell>
          <cell r="D376" t="str">
            <v>223,70</v>
          </cell>
          <cell r="E376" t="str">
            <v>A incluir</v>
          </cell>
        </row>
        <row r="377">
          <cell r="A377">
            <v>40429</v>
          </cell>
          <cell r="B377" t="str">
            <v>Corpo BSTC (greide) diâmetro 0,60 m CA-1 PB inclusive escavação, reaterro e transporte do tubo</v>
          </cell>
          <cell r="C377" t="str">
            <v>m</v>
          </cell>
          <cell r="D377" t="str">
            <v>228,92</v>
          </cell>
          <cell r="E377" t="str">
            <v>A incluir</v>
          </cell>
        </row>
        <row r="378">
          <cell r="A378">
            <v>40430</v>
          </cell>
          <cell r="B378" t="str">
            <v>Corpo BSTC (greide) diâmetro 0,60 m CA-2 MF inclusive escavação, reaterro e transporte do tubo</v>
          </cell>
          <cell r="C378" t="str">
            <v>m</v>
          </cell>
          <cell r="D378" t="str">
            <v>225,64</v>
          </cell>
          <cell r="E378" t="str">
            <v>A incluir</v>
          </cell>
        </row>
        <row r="379">
          <cell r="A379">
            <v>40431</v>
          </cell>
          <cell r="B379" t="str">
            <v>Corpo BSTC (greide) diâmetro 0,60 m CA-2 PB inclusive escavação, reaterro e transporte do tubo</v>
          </cell>
          <cell r="C379" t="str">
            <v>m</v>
          </cell>
          <cell r="D379" t="str">
            <v>228,99</v>
          </cell>
          <cell r="E379" t="str">
            <v>A incluir</v>
          </cell>
        </row>
        <row r="380">
          <cell r="A380">
            <v>40432</v>
          </cell>
          <cell r="B380" t="str">
            <v>Corpo BSTC (greide) diâmetro 0,80 m CA-1 MF inclusive escavação, reaterro e transporte do tubo</v>
          </cell>
          <cell r="C380" t="str">
            <v>m</v>
          </cell>
          <cell r="D380" t="str">
            <v>440,35</v>
          </cell>
          <cell r="E380" t="str">
            <v>A incluir</v>
          </cell>
        </row>
        <row r="381">
          <cell r="A381">
            <v>40433</v>
          </cell>
          <cell r="B381" t="str">
            <v>Corpo BSTC (greide) diâmetro 0,80 m CA-1 PB inclusive escavação, reaterro e transporte do tubo</v>
          </cell>
          <cell r="C381" t="str">
            <v>m</v>
          </cell>
          <cell r="D381" t="str">
            <v>447,13</v>
          </cell>
          <cell r="E381" t="str">
            <v>A incluir</v>
          </cell>
        </row>
        <row r="382">
          <cell r="A382">
            <v>40434</v>
          </cell>
          <cell r="B382" t="str">
            <v>Corpo BSTC (greide) diâmetro 0,80 m CA-2 MF inclusive escavação, reaterro e transporte do tubo</v>
          </cell>
          <cell r="C382" t="str">
            <v>m</v>
          </cell>
          <cell r="D382" t="str">
            <v>450,07</v>
          </cell>
          <cell r="E382" t="str">
            <v>A incluir</v>
          </cell>
        </row>
        <row r="383">
          <cell r="A383">
            <v>40435</v>
          </cell>
          <cell r="B383" t="str">
            <v>Corpo BSTC (greide) diâmetro 0,80 m CA-2 PB inclusive escavação, reaterro e transporte do tubo</v>
          </cell>
          <cell r="C383" t="str">
            <v>m</v>
          </cell>
          <cell r="D383" t="str">
            <v>464,04</v>
          </cell>
          <cell r="E383" t="str">
            <v>A incluir</v>
          </cell>
        </row>
        <row r="384">
          <cell r="A384">
            <v>40436</v>
          </cell>
          <cell r="B384" t="str">
            <v>Corpo BSTC (greide) diâmetro 1,00 m CA-1 MF inclusive escavação, reaterro e transporte do tubo</v>
          </cell>
          <cell r="C384" t="str">
            <v>m</v>
          </cell>
          <cell r="D384" t="str">
            <v>592,91</v>
          </cell>
          <cell r="E384" t="str">
            <v>A incluir</v>
          </cell>
        </row>
        <row r="385">
          <cell r="A385">
            <v>40437</v>
          </cell>
          <cell r="B385" t="str">
            <v>Corpo BSTC (greide) diâmetro 1,00 m CA-1 PB inclusive escavação, reaterro e transporte do tubo</v>
          </cell>
          <cell r="C385" t="str">
            <v>m</v>
          </cell>
          <cell r="D385" t="str">
            <v>601,36</v>
          </cell>
          <cell r="E385" t="str">
            <v>A incluir</v>
          </cell>
        </row>
        <row r="386">
          <cell r="A386">
            <v>40438</v>
          </cell>
          <cell r="B386" t="str">
            <v>Corpo BSTC (greide) diâmetro 1,00 m CA-2 MF inclusive escavação, reaterro e transporte do tubo</v>
          </cell>
          <cell r="C386" t="str">
            <v>m</v>
          </cell>
          <cell r="D386" t="str">
            <v>605,87</v>
          </cell>
          <cell r="E386" t="str">
            <v>A incluir</v>
          </cell>
        </row>
        <row r="387">
          <cell r="A387">
            <v>40439</v>
          </cell>
          <cell r="B387" t="str">
            <v>Corpo BSTC (greide) diâmetro 1,00 m CA-2 PB inclusive escavação, reaterro e transporte do tubo</v>
          </cell>
          <cell r="C387" t="str">
            <v>m</v>
          </cell>
          <cell r="D387" t="str">
            <v>621,43</v>
          </cell>
          <cell r="E387" t="str">
            <v>A incluir</v>
          </cell>
        </row>
        <row r="388">
          <cell r="A388">
            <v>40440</v>
          </cell>
          <cell r="B388" t="str">
            <v>Corpo BSTC (greide) diâmetro 1,20 m CA-1 MF inclusive escavação, reaterro e transporte do tubo</v>
          </cell>
          <cell r="C388" t="str">
            <v>m</v>
          </cell>
          <cell r="D388" t="str">
            <v>841,32</v>
          </cell>
          <cell r="E388" t="str">
            <v>A incluir</v>
          </cell>
        </row>
        <row r="389">
          <cell r="A389">
            <v>40441</v>
          </cell>
          <cell r="B389" t="str">
            <v>Corpo BSTC (greide) diâmetro 1,20 m CA-1 PB inclusive escavação, reaterro e transporte do tubo</v>
          </cell>
          <cell r="C389" t="str">
            <v>m</v>
          </cell>
          <cell r="D389" t="str">
            <v>857,30</v>
          </cell>
          <cell r="E389" t="str">
            <v>A incluir</v>
          </cell>
        </row>
        <row r="390">
          <cell r="A390">
            <v>40442</v>
          </cell>
          <cell r="B390" t="str">
            <v>Corpo BSTC (greide) diâmetro 1,20 m CA-2 MF inclusive escavação, reaterro e transporte do tubo</v>
          </cell>
          <cell r="C390" t="str">
            <v>m</v>
          </cell>
          <cell r="D390" t="str">
            <v>860,76</v>
          </cell>
          <cell r="E390" t="str">
            <v>A incluir</v>
          </cell>
        </row>
        <row r="391">
          <cell r="A391">
            <v>40443</v>
          </cell>
          <cell r="B391" t="str">
            <v>Corpo BSTC (greide) diâmetro 1,20 m CA-2 PB inclusive escavação, reaterro e transporte do tubo</v>
          </cell>
          <cell r="C391" t="str">
            <v>m</v>
          </cell>
          <cell r="D391" t="str">
            <v>893,82</v>
          </cell>
          <cell r="E391" t="str">
            <v>A incluir</v>
          </cell>
        </row>
        <row r="392">
          <cell r="A392">
            <v>40444</v>
          </cell>
          <cell r="B392" t="str">
            <v>Corpo BSTC (grota) diâmetro 0,60 m CA-1 MF exclusive escavação e reaterro, inclusive transporte do tubo</v>
          </cell>
          <cell r="C392" t="str">
            <v>m</v>
          </cell>
          <cell r="D392" t="str">
            <v>138,79</v>
          </cell>
          <cell r="E392" t="str">
            <v>A incluir</v>
          </cell>
        </row>
        <row r="393">
          <cell r="A393">
            <v>40445</v>
          </cell>
          <cell r="B393" t="str">
            <v>Corpo BSTC (grota) diâmetro 0,60 m CA-1 PB exclusive escavação e reaterro, inclusive transporte do tubo</v>
          </cell>
          <cell r="C393" t="str">
            <v>m</v>
          </cell>
          <cell r="D393" t="str">
            <v>144,01</v>
          </cell>
          <cell r="E393" t="str">
            <v>A incluir</v>
          </cell>
        </row>
        <row r="394">
          <cell r="A394">
            <v>40446</v>
          </cell>
          <cell r="B394" t="str">
            <v>Corpo BSTC (grota) diâmetro 0,60 m CA-2 MF exclusive escavação e reaterro, inclusive transporte do tubo</v>
          </cell>
          <cell r="C394" t="str">
            <v>m</v>
          </cell>
          <cell r="D394" t="str">
            <v>140,73</v>
          </cell>
          <cell r="E394" t="str">
            <v>A incluir</v>
          </cell>
        </row>
        <row r="395">
          <cell r="A395">
            <v>40447</v>
          </cell>
          <cell r="B395" t="str">
            <v>Corpo BSTC (grota) diâmetro 0,60 m CA-2 PB exclusive escavação e reaterro, inclusive transporte do tubo</v>
          </cell>
          <cell r="C395" t="str">
            <v>m</v>
          </cell>
          <cell r="D395" t="str">
            <v>144,08</v>
          </cell>
          <cell r="E395" t="str">
            <v>A incluir</v>
          </cell>
        </row>
        <row r="396">
          <cell r="A396">
            <v>40448</v>
          </cell>
          <cell r="B396" t="str">
            <v>Corpo BSTC (grota) diâmetro 0,80 m CA-1 MF exclusive escavação e reaterro, inclusive transporte do tubo</v>
          </cell>
          <cell r="C396" t="str">
            <v>m</v>
          </cell>
          <cell r="D396" t="str">
            <v>320,48</v>
          </cell>
          <cell r="E396" t="str">
            <v>A incluir</v>
          </cell>
        </row>
        <row r="397">
          <cell r="A397">
            <v>40449</v>
          </cell>
          <cell r="B397" t="str">
            <v>Corpo BSTC (grota) diâmetro 0,80 m CA-1 PB exclusive escavação e reaterro, inclusive transporte do tubo</v>
          </cell>
          <cell r="C397" t="str">
            <v>m</v>
          </cell>
          <cell r="D397" t="str">
            <v>327,26</v>
          </cell>
          <cell r="E397" t="str">
            <v>A incluir</v>
          </cell>
        </row>
        <row r="398">
          <cell r="A398">
            <v>40450</v>
          </cell>
          <cell r="B398" t="str">
            <v>Corpo BSTC (grota) diâmetro 0,80 m CA-2 MF exclusive escavação e reaterro, inclusive transporte do tubo</v>
          </cell>
          <cell r="C398" t="str">
            <v>m</v>
          </cell>
          <cell r="D398" t="str">
            <v>330,20</v>
          </cell>
          <cell r="E398" t="str">
            <v>A incluir</v>
          </cell>
        </row>
        <row r="399">
          <cell r="A399">
            <v>40451</v>
          </cell>
          <cell r="B399" t="str">
            <v>Corpo BSTC (grota) diâmetro 0,80 m CA-2 PB exclusive escavação e reaterro, inclusive transporte do tubo</v>
          </cell>
          <cell r="C399" t="str">
            <v>m</v>
          </cell>
          <cell r="D399" t="str">
            <v>344,18</v>
          </cell>
          <cell r="E399" t="str">
            <v>A incluir</v>
          </cell>
        </row>
        <row r="400">
          <cell r="A400">
            <v>40452</v>
          </cell>
          <cell r="B400" t="str">
            <v>Corpo BSTC (grota) diâmetro 1,00 m CA-1 MF exclusive escavação e reaterro, inclusive transporte do tubo</v>
          </cell>
          <cell r="C400" t="str">
            <v>m</v>
          </cell>
          <cell r="D400" t="str">
            <v>399,54</v>
          </cell>
          <cell r="E400" t="str">
            <v>A incluir</v>
          </cell>
        </row>
        <row r="401">
          <cell r="A401">
            <v>40453</v>
          </cell>
          <cell r="B401" t="str">
            <v>Corpo BSTC (grota) diâmetro 1,00 m CA-1 PB exclusive escavação e reaterro, inclusive transporte do tubo</v>
          </cell>
          <cell r="C401" t="str">
            <v>m</v>
          </cell>
          <cell r="D401" t="str">
            <v>407,99</v>
          </cell>
          <cell r="E401" t="str">
            <v>A incluir</v>
          </cell>
        </row>
        <row r="402">
          <cell r="A402">
            <v>40454</v>
          </cell>
          <cell r="B402" t="str">
            <v>Corpo BSTC (grota) diâmetro 1,00 m CA-2 MF exclusive escavação e reaterro, inclusive transporte do tubo</v>
          </cell>
          <cell r="C402" t="str">
            <v>m</v>
          </cell>
          <cell r="D402" t="str">
            <v>412,50</v>
          </cell>
          <cell r="E402" t="str">
            <v>A incluir</v>
          </cell>
        </row>
        <row r="403">
          <cell r="A403">
            <v>40455</v>
          </cell>
          <cell r="B403" t="str">
            <v>Corpo BSTC (grota) diâmetro 1,00 m CA-2 PB exclusive escavação e reaterro, inclusive transporte do tubo</v>
          </cell>
          <cell r="C403" t="str">
            <v>m</v>
          </cell>
          <cell r="D403" t="str">
            <v>428,06</v>
          </cell>
          <cell r="E403" t="str">
            <v>A incluir</v>
          </cell>
        </row>
        <row r="404">
          <cell r="A404">
            <v>40456</v>
          </cell>
          <cell r="B404" t="str">
            <v>Corpo BSTC (grota) diâmetro 1,00 m CA-3 MF exclusive escavação e reaterro, inclusive transporte do tubo</v>
          </cell>
          <cell r="C404" t="str">
            <v>m</v>
          </cell>
          <cell r="D404" t="str">
            <v>448,15</v>
          </cell>
          <cell r="E404" t="str">
            <v>A incluir</v>
          </cell>
        </row>
        <row r="405">
          <cell r="A405">
            <v>40457</v>
          </cell>
          <cell r="B405" t="str">
            <v>Corpo BSTC (grota) diâmetro 1,20 m CA-1 MF exclusive escavação e reaterro, inclusive transporte do tubo</v>
          </cell>
          <cell r="C405" t="str">
            <v>m</v>
          </cell>
          <cell r="D405" t="str">
            <v>579,57</v>
          </cell>
          <cell r="E405" t="str">
            <v>A incluir</v>
          </cell>
        </row>
        <row r="406">
          <cell r="A406">
            <v>40458</v>
          </cell>
          <cell r="B406" t="str">
            <v>Corpo BSTC (grota) diâmetro 1,20 m CA-1 PB exclusive escavação e reaterro, inclusive transporte do tubo</v>
          </cell>
          <cell r="C406" t="str">
            <v>m</v>
          </cell>
          <cell r="D406" t="str">
            <v>595,55</v>
          </cell>
          <cell r="E406" t="str">
            <v>A incluir</v>
          </cell>
        </row>
        <row r="407">
          <cell r="A407">
            <v>40459</v>
          </cell>
          <cell r="B407" t="str">
            <v>Corpo BSTC (grota) diâmetro 1,20 m CA-2 MF exclusive escavação e reaterro, inclusive transporte do tubo</v>
          </cell>
          <cell r="C407" t="str">
            <v>m</v>
          </cell>
          <cell r="D407" t="str">
            <v>599,02</v>
          </cell>
          <cell r="E407" t="str">
            <v>A incluir</v>
          </cell>
        </row>
        <row r="408">
          <cell r="A408">
            <v>40460</v>
          </cell>
          <cell r="B408" t="str">
            <v>Corpo BSTC (grota) diâmetro 1,20 m CA-2 PB exclusive escavação e reaterro, inclusive transporte do tubo</v>
          </cell>
          <cell r="C408" t="str">
            <v>m</v>
          </cell>
          <cell r="D408" t="str">
            <v>632,07</v>
          </cell>
          <cell r="E408" t="str">
            <v>A incluir</v>
          </cell>
        </row>
        <row r="409">
          <cell r="A409">
            <v>40461</v>
          </cell>
          <cell r="B409" t="str">
            <v>Corpo BSTC (grota) diâmetro 1,20 m CA-3 MF exclusive escavação e reaterro, inclusive transporte do tubo</v>
          </cell>
          <cell r="C409" t="str">
            <v>m</v>
          </cell>
          <cell r="D409" t="str">
            <v>615,22</v>
          </cell>
          <cell r="E409" t="str">
            <v>A incluir</v>
          </cell>
        </row>
        <row r="410">
          <cell r="A410">
            <v>40462</v>
          </cell>
          <cell r="B410" t="str">
            <v>Corpo BSTC (grota) diâmetro 1,50 m CA-1 MF exclusive escavação e reaterro, inclusive transporte do tubo</v>
          </cell>
          <cell r="C410" t="str">
            <v>m</v>
          </cell>
          <cell r="D410" t="str">
            <v>941,34</v>
          </cell>
          <cell r="E410" t="str">
            <v>A incluir</v>
          </cell>
        </row>
        <row r="411">
          <cell r="A411">
            <v>40463</v>
          </cell>
          <cell r="B411" t="str">
            <v>Corpo BSTC (grota) diâmetro 1,50 m CA-1 PB exclusive escavação e reaterro, inclusive transporte do tubo</v>
          </cell>
          <cell r="C411" t="str">
            <v>m</v>
          </cell>
          <cell r="D411" t="str">
            <v>827,68</v>
          </cell>
          <cell r="E411" t="str">
            <v>A incluir</v>
          </cell>
        </row>
        <row r="412">
          <cell r="A412">
            <v>40464</v>
          </cell>
          <cell r="B412" t="str">
            <v>Corpo BSTC (grota) diâmetro 1,50 m CA-2 MF exclusive escavação e reaterro, inclusive transporte do tubo</v>
          </cell>
          <cell r="C412" t="str">
            <v>m</v>
          </cell>
          <cell r="D412" t="str">
            <v>980,23</v>
          </cell>
          <cell r="E412" t="str">
            <v>A incluir</v>
          </cell>
        </row>
        <row r="413">
          <cell r="A413">
            <v>40465</v>
          </cell>
          <cell r="B413" t="str">
            <v>Corpo BSTC (grota) diâmetro 1,50 m CA-2 PB exclusive escavação e reaterro, inclusive transporte do tubo</v>
          </cell>
          <cell r="C413" t="str">
            <v>m</v>
          </cell>
          <cell r="D413" t="str">
            <v>877,28</v>
          </cell>
          <cell r="E413" t="str">
            <v>A incluir</v>
          </cell>
        </row>
        <row r="414">
          <cell r="A414">
            <v>40466</v>
          </cell>
          <cell r="B414" t="str">
            <v>Corpo BSTC (grota) diâmetro 1,50 m CA-3 MF exclusive escavação e reaterro, inclusive transporte do tubo</v>
          </cell>
          <cell r="C414" t="str">
            <v>m</v>
          </cell>
          <cell r="D414" t="str">
            <v>759,86</v>
          </cell>
          <cell r="E414" t="str">
            <v>A incluir</v>
          </cell>
        </row>
        <row r="415">
          <cell r="A415">
            <v>40490</v>
          </cell>
          <cell r="B415" t="str">
            <v>Corpo BTTC (grota) diâmetro 0,60 m CA-1 MF exclusive escavação e reaterro, inclusive transporte do tubo</v>
          </cell>
          <cell r="C415" t="str">
            <v>m</v>
          </cell>
          <cell r="D415" t="str">
            <v>413,81</v>
          </cell>
          <cell r="E415" t="str">
            <v>A incluir</v>
          </cell>
        </row>
        <row r="416">
          <cell r="A416">
            <v>40491</v>
          </cell>
          <cell r="B416" t="str">
            <v>Corpo BTTC (grota) diâmetro 0,60 m CA-1 PB exclusive escavação e reaterro, inclusive transporte do tubo</v>
          </cell>
          <cell r="C416" t="str">
            <v>m</v>
          </cell>
          <cell r="D416" t="str">
            <v>429,49</v>
          </cell>
          <cell r="E416" t="str">
            <v>A incluir</v>
          </cell>
        </row>
        <row r="417">
          <cell r="A417">
            <v>40492</v>
          </cell>
          <cell r="B417" t="str">
            <v>Corpo BTTC (grota) diâmetro 0,60 m CA-2 MF exclusive escavação e reaterro, inclusive transporte do tubo</v>
          </cell>
          <cell r="C417" t="str">
            <v>m</v>
          </cell>
          <cell r="D417" t="str">
            <v>419,65</v>
          </cell>
          <cell r="E417" t="str">
            <v>A incluir</v>
          </cell>
        </row>
        <row r="418">
          <cell r="A418">
            <v>40493</v>
          </cell>
          <cell r="B418" t="str">
            <v>Corpo BTTC (grota) diâmetro 0,60 m CA-2 PB exclusive escavação e reaterro, inclusive transporte do tubo</v>
          </cell>
          <cell r="C418" t="str">
            <v>m</v>
          </cell>
          <cell r="D418" t="str">
            <v>429,68</v>
          </cell>
          <cell r="E418" t="str">
            <v>A incluir</v>
          </cell>
        </row>
        <row r="419">
          <cell r="A419">
            <v>40494</v>
          </cell>
          <cell r="B419" t="str">
            <v>Corpo BTTC (grota) diâmetro 0,80 m CA-1 MF exclusive escavação e reaterro, inclusive transporte do tubo</v>
          </cell>
          <cell r="C419" t="str">
            <v>m</v>
          </cell>
          <cell r="D419" t="str">
            <v>826,17</v>
          </cell>
          <cell r="E419" t="str">
            <v>A incluir</v>
          </cell>
        </row>
        <row r="420">
          <cell r="A420">
            <v>40495</v>
          </cell>
          <cell r="B420" t="str">
            <v>Corpo BTTC (grota) diâmetro 0,80 m CA-1 PB exclusive escavação e reaterro, inclusive transporte do tubo</v>
          </cell>
          <cell r="C420" t="str">
            <v>m</v>
          </cell>
          <cell r="D420" t="str">
            <v>846,50</v>
          </cell>
          <cell r="E420" t="str">
            <v>A incluir</v>
          </cell>
        </row>
        <row r="421">
          <cell r="A421">
            <v>40496</v>
          </cell>
          <cell r="B421" t="str">
            <v>Corpo BTTC (grota) diâmetro 0,80 m CA-2 MF exclusive escavação e reaterro, inclusive transporte do tubo</v>
          </cell>
          <cell r="C421" t="str">
            <v>m</v>
          </cell>
          <cell r="D421" t="str">
            <v>855,33</v>
          </cell>
          <cell r="E421" t="str">
            <v>A incluir</v>
          </cell>
        </row>
        <row r="422">
          <cell r="A422">
            <v>40497</v>
          </cell>
          <cell r="B422" t="str">
            <v>Corpo BTTC (grota) diâmetro 0,80 m CA-2 PB exclusive escavação e reaterro, inclusive transporte do tubo</v>
          </cell>
          <cell r="C422" t="str">
            <v>m</v>
          </cell>
          <cell r="D422" t="str">
            <v>897,25</v>
          </cell>
          <cell r="E422" t="str">
            <v>A incluir</v>
          </cell>
        </row>
        <row r="423">
          <cell r="A423">
            <v>40498</v>
          </cell>
          <cell r="B423" t="str">
            <v>Corpo BTTC (grota) diâmetro 1,00 m CA-1 MF exclusive escavação e reaterro, inclusive transporte do tubo</v>
          </cell>
          <cell r="C423" t="str">
            <v>m</v>
          </cell>
          <cell r="D423" t="str">
            <v>1.063,35</v>
          </cell>
          <cell r="E423" t="str">
            <v>A incluir</v>
          </cell>
        </row>
        <row r="424">
          <cell r="A424">
            <v>40499</v>
          </cell>
          <cell r="B424" t="str">
            <v>Corpo BTTC (grota) diâmetro 1,00 m CA-1 PB exclusive escavação e reaterro, inclusive transporte do tubo</v>
          </cell>
          <cell r="C424" t="str">
            <v>m</v>
          </cell>
          <cell r="D424" t="str">
            <v>1.088,71</v>
          </cell>
          <cell r="E424" t="str">
            <v>A incluir</v>
          </cell>
        </row>
        <row r="425">
          <cell r="A425">
            <v>40500</v>
          </cell>
          <cell r="B425" t="str">
            <v>Corpo BTTC (grota) diâmetro 1,00 m CA-2 MF exclusive escavação e reaterro, inclusive transporte do tubo</v>
          </cell>
          <cell r="C425" t="str">
            <v>m</v>
          </cell>
          <cell r="D425" t="str">
            <v>1.102,24</v>
          </cell>
          <cell r="E425" t="str">
            <v>A incluir</v>
          </cell>
        </row>
        <row r="426">
          <cell r="A426">
            <v>40501</v>
          </cell>
          <cell r="B426" t="str">
            <v>Corpo BTTC (grota) diâmetro 1,00 m CA-2 PB exclusive escavação e reaterro, inclusive transporte do tubo</v>
          </cell>
          <cell r="C426" t="str">
            <v>m</v>
          </cell>
          <cell r="D426" t="str">
            <v>1.148,91</v>
          </cell>
          <cell r="E426" t="str">
            <v>A incluir</v>
          </cell>
        </row>
        <row r="427">
          <cell r="A427">
            <v>40502</v>
          </cell>
          <cell r="B427" t="str">
            <v>Corpo BTTC (grota) diâmetro 1,00 m CA-3 MF exclusive escavação e reaterro, inclusive transporte do tubo</v>
          </cell>
          <cell r="C427" t="str">
            <v>m</v>
          </cell>
          <cell r="D427" t="str">
            <v>1.209,18</v>
          </cell>
          <cell r="E427" t="str">
            <v>A incluir</v>
          </cell>
        </row>
        <row r="428">
          <cell r="A428">
            <v>40503</v>
          </cell>
          <cell r="B428" t="str">
            <v>Corpo BTTC (grota) diâmetro 1,20 m CA-1 MF exclusive escavação e reaterro, inclusive transporte do tubo</v>
          </cell>
          <cell r="C428" t="str">
            <v>m</v>
          </cell>
          <cell r="D428" t="str">
            <v>1.603,45</v>
          </cell>
          <cell r="E428" t="str">
            <v>A incluir</v>
          </cell>
        </row>
        <row r="429">
          <cell r="A429">
            <v>40504</v>
          </cell>
          <cell r="B429" t="str">
            <v>Corpo BTTC (grota) diâmetro 1,20 m CA-1 PB exclusive escavação e reaterro, inclusive transporte do tubo</v>
          </cell>
          <cell r="C429" t="str">
            <v>m</v>
          </cell>
          <cell r="D429" t="str">
            <v>1.651,40</v>
          </cell>
          <cell r="E429" t="str">
            <v>A incluir</v>
          </cell>
        </row>
        <row r="430">
          <cell r="A430">
            <v>40505</v>
          </cell>
          <cell r="B430" t="str">
            <v>Corpo BTTC (grota) diâmetro 1,20 m CA-2 MF exclusive escavação e reaterro, inclusive transporte do tubo</v>
          </cell>
          <cell r="C430" t="str">
            <v>m</v>
          </cell>
          <cell r="D430" t="str">
            <v>1.661,79</v>
          </cell>
          <cell r="E430" t="str">
            <v>A incluir</v>
          </cell>
        </row>
        <row r="431">
          <cell r="A431">
            <v>40506</v>
          </cell>
          <cell r="B431" t="str">
            <v>Corpo BTTC (grota) diâmetro 1,20 m CA-2 PB exclusive escavação e reaterro, inclusive transporte do tubo</v>
          </cell>
          <cell r="C431" t="str">
            <v>m</v>
          </cell>
          <cell r="D431" t="str">
            <v>1.760,95</v>
          </cell>
          <cell r="E431" t="str">
            <v>A incluir</v>
          </cell>
        </row>
        <row r="432">
          <cell r="A432">
            <v>40507</v>
          </cell>
          <cell r="B432" t="str">
            <v>Corpo BTTC (grota) diâmetro 1,20 m CA-3 MF exclusive escavação e reaterro, inclusive transporte do tubo</v>
          </cell>
          <cell r="C432" t="str">
            <v>m</v>
          </cell>
          <cell r="D432" t="str">
            <v>1.710,40</v>
          </cell>
          <cell r="E432" t="str">
            <v>A incluir</v>
          </cell>
        </row>
        <row r="433">
          <cell r="A433">
            <v>40508</v>
          </cell>
          <cell r="B433" t="str">
            <v>Corpo BTTC (grota) diâmetro 1,50 m CA-1 MF exclusive escavação e reaterro, inclusive transporte do tubo</v>
          </cell>
          <cell r="C433" t="str">
            <v>m</v>
          </cell>
          <cell r="D433" t="str">
            <v>2.688,81</v>
          </cell>
          <cell r="E433" t="str">
            <v>A incluir</v>
          </cell>
        </row>
        <row r="434">
          <cell r="A434">
            <v>40509</v>
          </cell>
          <cell r="B434" t="str">
            <v>Corpo BTTC (grota) diâmetro 1,50 m CA-1 PB exclusive escavação e reaterro, inclusive transporte do tubo</v>
          </cell>
          <cell r="C434" t="str">
            <v>m</v>
          </cell>
          <cell r="D434" t="str">
            <v>2.347,83</v>
          </cell>
          <cell r="E434" t="str">
            <v>A incluir</v>
          </cell>
        </row>
        <row r="435">
          <cell r="A435">
            <v>40510</v>
          </cell>
          <cell r="B435" t="str">
            <v>Corpo BTTC (grota) diâmetro 1,50 m CA-2 MF exclusive escavação e reaterro, inclusive transporte do tubo</v>
          </cell>
          <cell r="C435" t="str">
            <v>m</v>
          </cell>
          <cell r="D435" t="str">
            <v>2.805,47</v>
          </cell>
          <cell r="E435" t="str">
            <v>A incluir</v>
          </cell>
        </row>
        <row r="436">
          <cell r="A436">
            <v>40511</v>
          </cell>
          <cell r="B436" t="str">
            <v>Corpo BTTC (grota) diâmetro 1,50 m CA-2 PB exclusive escavação e reaterro, inclusive transporte do tubo</v>
          </cell>
          <cell r="C436" t="str">
            <v>m</v>
          </cell>
          <cell r="D436" t="str">
            <v>2.496,62</v>
          </cell>
          <cell r="E436" t="str">
            <v>A incluir</v>
          </cell>
        </row>
        <row r="437">
          <cell r="A437">
            <v>40512</v>
          </cell>
          <cell r="B437" t="str">
            <v>Corpo BTTC (grota) diâmetro 1,50 m CA-3 MF exclusive escavação e reaterro, inclusive transporte do tubo</v>
          </cell>
          <cell r="C437" t="str">
            <v>m</v>
          </cell>
          <cell r="D437" t="str">
            <v>2.144,36</v>
          </cell>
          <cell r="E437" t="str">
            <v>A incluir</v>
          </cell>
        </row>
        <row r="438">
          <cell r="A438">
            <v>40586</v>
          </cell>
          <cell r="B438" t="str">
            <v>Corpo de BDCC 1,50 x 1,50 m projeto DNIT para H &lt; -&gt; 2,50 m</v>
          </cell>
          <cell r="C438" t="str">
            <v>m</v>
          </cell>
          <cell r="D438" t="str">
            <v>3.704,96</v>
          </cell>
          <cell r="E438">
            <v>0</v>
          </cell>
        </row>
        <row r="439">
          <cell r="A439">
            <v>40592</v>
          </cell>
          <cell r="B439" t="str">
            <v>Corpo de BDCC 1,50 x 1,50 m projeto DNIT para 2,50 &lt; H &lt; 5,00 m</v>
          </cell>
          <cell r="C439" t="str">
            <v>m</v>
          </cell>
          <cell r="D439" t="str">
            <v>3.867,78</v>
          </cell>
          <cell r="E439">
            <v>0</v>
          </cell>
        </row>
        <row r="440">
          <cell r="A440">
            <v>40598</v>
          </cell>
          <cell r="B440" t="str">
            <v>Corpo de BDCC 2,00 x 1,20 m -tudo incluido conforme projeto</v>
          </cell>
          <cell r="C440" t="str">
            <v>m</v>
          </cell>
          <cell r="D440" t="str">
            <v>5.390,62</v>
          </cell>
          <cell r="E440">
            <v>0</v>
          </cell>
        </row>
        <row r="441">
          <cell r="A441">
            <v>40587</v>
          </cell>
          <cell r="B441" t="str">
            <v>Corpo de BDCC 2,00 x 2,00 m projeto DNIT para H &lt; -&gt; 2,50 m</v>
          </cell>
          <cell r="C441" t="str">
            <v>m</v>
          </cell>
          <cell r="D441" t="str">
            <v>5.326,40</v>
          </cell>
          <cell r="E441">
            <v>0</v>
          </cell>
        </row>
        <row r="442">
          <cell r="A442">
            <v>40593</v>
          </cell>
          <cell r="B442" t="str">
            <v>Corpo de BDCC 2,00 x 2,00 m projeto DNIT para 2,50 &lt; H &lt;5,00 m</v>
          </cell>
          <cell r="C442" t="str">
            <v>m</v>
          </cell>
          <cell r="D442" t="str">
            <v>5.885,26</v>
          </cell>
          <cell r="E442">
            <v>0</v>
          </cell>
        </row>
        <row r="443">
          <cell r="A443">
            <v>40588</v>
          </cell>
          <cell r="B443" t="str">
            <v>Corpo de BDCC 2,00 x 3,00 m projeto DNIT para H &lt; -&gt; 2,50 m</v>
          </cell>
          <cell r="C443" t="str">
            <v>m</v>
          </cell>
          <cell r="D443" t="str">
            <v>7.584,32</v>
          </cell>
          <cell r="E443">
            <v>0</v>
          </cell>
        </row>
        <row r="444">
          <cell r="A444">
            <v>40594</v>
          </cell>
          <cell r="B444" t="str">
            <v>Corpo de BDCC 2,00 x 3,00 m projeto DNIT para 2,50 &lt; H &lt; 5,00 m</v>
          </cell>
          <cell r="C444" t="str">
            <v>m</v>
          </cell>
          <cell r="D444" t="str">
            <v>8.845,71</v>
          </cell>
          <cell r="E444">
            <v>0</v>
          </cell>
        </row>
        <row r="445">
          <cell r="A445">
            <v>40599</v>
          </cell>
          <cell r="B445" t="str">
            <v>Corpo de BDCC 2,50 x 2,00 m - tudo incluído conforme projeto</v>
          </cell>
          <cell r="C445" t="str">
            <v>m</v>
          </cell>
          <cell r="D445" t="str">
            <v>7.780,04</v>
          </cell>
          <cell r="E445">
            <v>0</v>
          </cell>
        </row>
        <row r="446">
          <cell r="A446">
            <v>40589</v>
          </cell>
          <cell r="B446" t="str">
            <v>Corpo de BDCC 2,50 x 2,50 m projeto DNIT para H &lt; -&gt; 2,50 m</v>
          </cell>
          <cell r="C446" t="str">
            <v>m</v>
          </cell>
          <cell r="D446" t="str">
            <v>7.150,71</v>
          </cell>
          <cell r="E446">
            <v>0</v>
          </cell>
        </row>
        <row r="447">
          <cell r="A447">
            <v>40595</v>
          </cell>
          <cell r="B447" t="str">
            <v>Corpo de BDCC 2,50 x 2,50 m projeto DNIT para 2,50 &lt; H &lt; 5,00 m</v>
          </cell>
          <cell r="C447" t="str">
            <v>m</v>
          </cell>
          <cell r="D447" t="str">
            <v>7.992,77</v>
          </cell>
          <cell r="E447">
            <v>0</v>
          </cell>
        </row>
        <row r="448">
          <cell r="A448">
            <v>40590</v>
          </cell>
          <cell r="B448" t="str">
            <v>Corpo de BDCC 2,50 x 3,00 m projeto DNIT para H &lt; -&gt; 2,50 m</v>
          </cell>
          <cell r="C448" t="str">
            <v>m</v>
          </cell>
          <cell r="D448" t="str">
            <v>8.668,85</v>
          </cell>
          <cell r="E448">
            <v>0</v>
          </cell>
        </row>
        <row r="449">
          <cell r="A449">
            <v>40596</v>
          </cell>
          <cell r="B449" t="str">
            <v>Corpo de BDCC 2,50 x 3,00 m projeto DNIT para 2,50 &lt; H &lt; 5,00 m</v>
          </cell>
          <cell r="C449" t="str">
            <v>m</v>
          </cell>
          <cell r="D449" t="str">
            <v>9.600,72</v>
          </cell>
          <cell r="E449">
            <v>0</v>
          </cell>
        </row>
        <row r="450">
          <cell r="A450">
            <v>40591</v>
          </cell>
          <cell r="B450" t="str">
            <v>Corpo de BDCC 3,00 x 3,00 m projeto DNIT para H &lt; -&gt; 2,50 m</v>
          </cell>
          <cell r="C450" t="str">
            <v>m</v>
          </cell>
          <cell r="D450" t="str">
            <v>9.513,20</v>
          </cell>
          <cell r="E450">
            <v>0</v>
          </cell>
        </row>
        <row r="451">
          <cell r="A451">
            <v>40597</v>
          </cell>
          <cell r="B451" t="str">
            <v>Corpo de BDCC 3,00 x 3,00 m projeto DNIT para 2,50 &lt; H &lt; 5,00 m</v>
          </cell>
          <cell r="C451" t="str">
            <v>m</v>
          </cell>
          <cell r="D451" t="str">
            <v>10.270,19</v>
          </cell>
          <cell r="E451">
            <v>0</v>
          </cell>
        </row>
        <row r="452">
          <cell r="A452">
            <v>40573</v>
          </cell>
          <cell r="B452" t="str">
            <v>Corpo de BSCC 1,50 x 1,50 m projeto DNIT para H &lt; -&gt; 2,50 m</v>
          </cell>
          <cell r="C452" t="str">
            <v>m</v>
          </cell>
          <cell r="D452" t="str">
            <v>2.250,89</v>
          </cell>
          <cell r="E452">
            <v>0</v>
          </cell>
        </row>
        <row r="453">
          <cell r="A453">
            <v>40579</v>
          </cell>
          <cell r="B453" t="str">
            <v>Corpo de BSCC 1,50 x 1,50 m projeto DNIT para 2,50 &lt; H &lt; 5,00 m</v>
          </cell>
          <cell r="C453" t="str">
            <v>m</v>
          </cell>
          <cell r="D453" t="str">
            <v>2.373,00</v>
          </cell>
          <cell r="E453">
            <v>0</v>
          </cell>
        </row>
        <row r="454">
          <cell r="A454">
            <v>41113</v>
          </cell>
          <cell r="B454" t="str">
            <v>Corpo de BSCC 2,00 x 2,00 m projeto DNIT para 5,00 &lt; H &lt; 7,50 m</v>
          </cell>
          <cell r="C454" t="str">
            <v>m</v>
          </cell>
          <cell r="D454" t="str">
            <v>3.868,50</v>
          </cell>
          <cell r="E454">
            <v>0</v>
          </cell>
        </row>
        <row r="455">
          <cell r="A455">
            <v>40574</v>
          </cell>
          <cell r="B455" t="str">
            <v>Corpo de BSCC 2,00 x 2,00 m projeto DNIT para H &lt; -&gt; 2,50 m</v>
          </cell>
          <cell r="C455" t="str">
            <v>m</v>
          </cell>
          <cell r="D455" t="str">
            <v>3.182,22</v>
          </cell>
          <cell r="E455">
            <v>0</v>
          </cell>
        </row>
        <row r="456">
          <cell r="A456">
            <v>40580</v>
          </cell>
          <cell r="B456" t="str">
            <v>Corpo de BSCC 2,00 x 2,00 m projeto DNIT para 2,50 &lt; H &lt; 5,00 m</v>
          </cell>
          <cell r="C456" t="str">
            <v>m</v>
          </cell>
          <cell r="D456" t="str">
            <v>3.583,58</v>
          </cell>
          <cell r="E456">
            <v>0</v>
          </cell>
        </row>
        <row r="457">
          <cell r="A457">
            <v>40575</v>
          </cell>
          <cell r="B457" t="str">
            <v>Corpo de BSCC 2,00 x 3,00 m projeto DNIT para H &lt; -&gt; 2,50 m</v>
          </cell>
          <cell r="C457" t="str">
            <v>m</v>
          </cell>
          <cell r="D457" t="str">
            <v>4.615,92</v>
          </cell>
          <cell r="E457">
            <v>0</v>
          </cell>
        </row>
        <row r="458">
          <cell r="A458">
            <v>40581</v>
          </cell>
          <cell r="B458" t="str">
            <v>Corpo de BSCC 2,00 x 3,00 m projeto DNIT para 2,50 &lt; H &lt; 5,00 m</v>
          </cell>
          <cell r="C458" t="str">
            <v>m</v>
          </cell>
          <cell r="D458" t="str">
            <v>5.815,26</v>
          </cell>
          <cell r="E458">
            <v>0</v>
          </cell>
        </row>
        <row r="459">
          <cell r="A459">
            <v>40576</v>
          </cell>
          <cell r="B459" t="str">
            <v>Corpo de BSCC 2,50 x 2,50 m projeto DNIT para H &lt; -&gt; 2,50 m</v>
          </cell>
          <cell r="C459" t="str">
            <v>m</v>
          </cell>
          <cell r="D459" t="str">
            <v>4.523,32</v>
          </cell>
          <cell r="E459">
            <v>0</v>
          </cell>
        </row>
        <row r="460">
          <cell r="A460">
            <v>40582</v>
          </cell>
          <cell r="B460" t="str">
            <v>Corpo de BSCC 2,50 x 2,50 m projeto DNIT para 2,50 &lt; H &lt; 5,00 m</v>
          </cell>
          <cell r="C460" t="str">
            <v>m</v>
          </cell>
          <cell r="D460" t="str">
            <v>4.954,78</v>
          </cell>
          <cell r="E460">
            <v>0</v>
          </cell>
        </row>
        <row r="461">
          <cell r="A461">
            <v>40577</v>
          </cell>
          <cell r="B461" t="str">
            <v>Corpo de BSCC 2,50 x 3,00 m projeto DNIT para H &lt; -&gt; 2,50 m</v>
          </cell>
          <cell r="C461" t="str">
            <v>m</v>
          </cell>
          <cell r="D461" t="str">
            <v>5.680,80</v>
          </cell>
          <cell r="E461">
            <v>0</v>
          </cell>
        </row>
        <row r="462">
          <cell r="A462">
            <v>40583</v>
          </cell>
          <cell r="B462" t="str">
            <v>Corpo de BSCC 2,50 x 3,00 m projeto DNIT para 2,50 &lt; H &lt; 5,00 m</v>
          </cell>
          <cell r="C462" t="str">
            <v>m</v>
          </cell>
          <cell r="D462" t="str">
            <v>6.771,44</v>
          </cell>
          <cell r="E462">
            <v>0</v>
          </cell>
        </row>
        <row r="463">
          <cell r="A463">
            <v>40578</v>
          </cell>
          <cell r="B463" t="str">
            <v>Corpo de BSCC 3,00 x 3,00 m projeto DNIT para H &lt; -&gt; 2,50 m</v>
          </cell>
          <cell r="C463" t="str">
            <v>m</v>
          </cell>
          <cell r="D463" t="str">
            <v>6.187,46</v>
          </cell>
          <cell r="E463">
            <v>0</v>
          </cell>
        </row>
        <row r="464">
          <cell r="A464">
            <v>40584</v>
          </cell>
          <cell r="B464" t="str">
            <v>Corpo de BSCC 3,00 x 3,00 m projeto DNIT para 2,50 &lt; H &lt; 5,00 m</v>
          </cell>
          <cell r="C464" t="str">
            <v>m</v>
          </cell>
          <cell r="D464" t="str">
            <v>7.075,21</v>
          </cell>
          <cell r="E464">
            <v>0</v>
          </cell>
        </row>
        <row r="465">
          <cell r="A465">
            <v>40601</v>
          </cell>
          <cell r="B465" t="str">
            <v>Corpo de BTCC 1,50 x 1,50 m projeto DNIT para H &lt; -&gt; 2,50 m</v>
          </cell>
          <cell r="C465" t="str">
            <v>m</v>
          </cell>
          <cell r="D465" t="str">
            <v>5.198,81</v>
          </cell>
          <cell r="E465">
            <v>0</v>
          </cell>
        </row>
        <row r="466">
          <cell r="A466">
            <v>40607</v>
          </cell>
          <cell r="B466" t="str">
            <v>Corpo de BTCC 1,50 x 1,50 m projeto DNIT para 2,50 &lt; H &lt; 5,00 m</v>
          </cell>
          <cell r="C466" t="str">
            <v>m</v>
          </cell>
          <cell r="D466" t="str">
            <v>5.500,01</v>
          </cell>
          <cell r="E466">
            <v>0</v>
          </cell>
        </row>
        <row r="467">
          <cell r="A467">
            <v>40602</v>
          </cell>
          <cell r="B467" t="str">
            <v>Corpo de BTCC 2,00 x 2,00 m projeto DNIT para H &lt; -&gt; 2,50 m</v>
          </cell>
          <cell r="C467" t="str">
            <v>m</v>
          </cell>
          <cell r="D467" t="str">
            <v>7.563,96</v>
          </cell>
          <cell r="E467">
            <v>0</v>
          </cell>
        </row>
        <row r="468">
          <cell r="A468">
            <v>40608</v>
          </cell>
          <cell r="B468" t="str">
            <v>Corpo de BTCC 2,00 x 2,00 m projeto DNIT para 2,50 &lt; H &lt; 5,00 m</v>
          </cell>
          <cell r="C468" t="str">
            <v>m</v>
          </cell>
          <cell r="D468" t="str">
            <v>8.079,68</v>
          </cell>
          <cell r="E468">
            <v>0</v>
          </cell>
        </row>
        <row r="469">
          <cell r="A469">
            <v>40603</v>
          </cell>
          <cell r="B469" t="str">
            <v>Corpo de BTCC 2,00 x 3,00 m projeto DNIT para H &lt; -&gt; 2,50 m</v>
          </cell>
          <cell r="C469" t="str">
            <v>m</v>
          </cell>
          <cell r="D469" t="str">
            <v>11.001,02</v>
          </cell>
          <cell r="E469">
            <v>0</v>
          </cell>
        </row>
        <row r="470">
          <cell r="A470">
            <v>40609</v>
          </cell>
          <cell r="B470" t="str">
            <v>Corpo de BTCC 2,00 x 3,00 m projeto DNIT para 2,50 &lt; H &lt; 5,00 m</v>
          </cell>
          <cell r="C470" t="str">
            <v>m</v>
          </cell>
          <cell r="D470" t="str">
            <v>12.455,99</v>
          </cell>
          <cell r="E470">
            <v>0</v>
          </cell>
        </row>
        <row r="471">
          <cell r="A471">
            <v>40604</v>
          </cell>
          <cell r="B471" t="str">
            <v>Corpo de BTCC 2,50 x 2,50 m projeto DNIT para H &lt; -&gt; 2,50 m</v>
          </cell>
          <cell r="C471" t="str">
            <v>m</v>
          </cell>
          <cell r="D471" t="str">
            <v>9.907,19</v>
          </cell>
          <cell r="E471">
            <v>0</v>
          </cell>
        </row>
        <row r="472">
          <cell r="A472">
            <v>40610</v>
          </cell>
          <cell r="B472" t="str">
            <v>Corpo de BTCC 2,50 x 2,50 m projeto DNIT para 2,50 &lt; H &lt; 5,00 m</v>
          </cell>
          <cell r="C472" t="str">
            <v>m</v>
          </cell>
          <cell r="D472" t="str">
            <v>11.106,93</v>
          </cell>
          <cell r="E472">
            <v>0</v>
          </cell>
        </row>
        <row r="473">
          <cell r="A473">
            <v>40605</v>
          </cell>
          <cell r="B473" t="str">
            <v>Corpo de BTCC 2,50 x 3,00 m projeto DNIT para H &lt; -&gt; 2,50 m</v>
          </cell>
          <cell r="C473" t="str">
            <v>m</v>
          </cell>
          <cell r="D473" t="str">
            <v>12.306,26</v>
          </cell>
          <cell r="E473">
            <v>0</v>
          </cell>
        </row>
        <row r="474">
          <cell r="A474">
            <v>40611</v>
          </cell>
          <cell r="B474" t="str">
            <v>Corpo de BTCC 2,50 x 3,00 m projeto DNIT para 2,50 &lt; H &lt; 5,00 m</v>
          </cell>
          <cell r="C474" t="str">
            <v>m</v>
          </cell>
          <cell r="D474" t="str">
            <v>13.932,36</v>
          </cell>
          <cell r="E474">
            <v>0</v>
          </cell>
        </row>
        <row r="475">
          <cell r="A475">
            <v>40606</v>
          </cell>
          <cell r="B475" t="str">
            <v>Corpo de BTCC 3,00 x 3,00 m projeto DNIT para H &lt; -&gt; 2,50 m</v>
          </cell>
          <cell r="C475" t="str">
            <v>m</v>
          </cell>
          <cell r="D475" t="str">
            <v>13.235,39</v>
          </cell>
          <cell r="E475">
            <v>0</v>
          </cell>
        </row>
        <row r="476">
          <cell r="A476">
            <v>40612</v>
          </cell>
          <cell r="B476" t="str">
            <v>Corpo de BTCC 3,00 x 3,00 m projeto DNIT para 2,50 &lt; H &lt; 5,00 m</v>
          </cell>
          <cell r="C476" t="str">
            <v>m</v>
          </cell>
          <cell r="D476" t="str">
            <v>14.821,12</v>
          </cell>
          <cell r="E476">
            <v>0</v>
          </cell>
        </row>
        <row r="477">
          <cell r="A477">
            <v>40305</v>
          </cell>
          <cell r="B477" t="str">
            <v>Corta-rio (escavação mecânica em material de 1ª cat.) H -&gt; 1,50 a 3,00 m</v>
          </cell>
          <cell r="C477" t="str">
            <v>m³</v>
          </cell>
          <cell r="D477" t="str">
            <v>11,16</v>
          </cell>
          <cell r="E477">
            <v>0</v>
          </cell>
        </row>
        <row r="478">
          <cell r="A478">
            <v>40306</v>
          </cell>
          <cell r="B478" t="str">
            <v>Corta-rio (escavação mecânica em material de 2ª cat.) H -&gt; 1,50 a 3,00 m</v>
          </cell>
          <cell r="C478" t="str">
            <v>m³</v>
          </cell>
          <cell r="D478" t="str">
            <v>22,33</v>
          </cell>
          <cell r="E478">
            <v>0</v>
          </cell>
        </row>
        <row r="479">
          <cell r="A479">
            <v>40307</v>
          </cell>
          <cell r="B479" t="str">
            <v>Corta-rio (escavação mecânica em material de 3º cat.) H -&gt; 0,00 a 1,50 m</v>
          </cell>
          <cell r="C479" t="str">
            <v>m³</v>
          </cell>
          <cell r="D479" t="str">
            <v>97,19</v>
          </cell>
          <cell r="E479">
            <v>0</v>
          </cell>
        </row>
        <row r="480">
          <cell r="A480">
            <v>41049</v>
          </cell>
          <cell r="B480" t="str">
            <v>Corte e esmerilhamento de pontas de tubo de ferro fundido DN 500 a 200mm</v>
          </cell>
          <cell r="C480" t="str">
            <v>m</v>
          </cell>
          <cell r="D480" t="str">
            <v>15,68</v>
          </cell>
          <cell r="E480">
            <v>0</v>
          </cell>
        </row>
        <row r="481">
          <cell r="A481">
            <v>41124</v>
          </cell>
          <cell r="B481" t="str">
            <v>Curva 90° de PVC, junta elástica PBA, D-&gt;75mm, fornecimento e assentamento</v>
          </cell>
          <cell r="C481" t="str">
            <v>un</v>
          </cell>
          <cell r="D481" t="str">
            <v>52,79</v>
          </cell>
          <cell r="E481">
            <v>0</v>
          </cell>
        </row>
        <row r="482">
          <cell r="A482">
            <v>40372</v>
          </cell>
          <cell r="B482" t="str">
            <v>Demolição manual alvenaria tijolo furado assentado com argamassa</v>
          </cell>
          <cell r="C482" t="str">
            <v>m³</v>
          </cell>
          <cell r="D482" t="str">
            <v>154,89</v>
          </cell>
          <cell r="E482">
            <v>0</v>
          </cell>
        </row>
        <row r="483">
          <cell r="A483">
            <v>40374</v>
          </cell>
          <cell r="B483" t="str">
            <v>Demolição manual de concreto armado</v>
          </cell>
          <cell r="C483" t="str">
            <v>m³</v>
          </cell>
          <cell r="D483" t="str">
            <v>228,55</v>
          </cell>
          <cell r="E483">
            <v>0</v>
          </cell>
        </row>
        <row r="484">
          <cell r="A484">
            <v>40373</v>
          </cell>
          <cell r="B484" t="str">
            <v>Demolição manual de concreto simples ou ciclópico</v>
          </cell>
          <cell r="C484" t="str">
            <v>m³</v>
          </cell>
          <cell r="D484" t="str">
            <v>201,66</v>
          </cell>
          <cell r="E484">
            <v>0</v>
          </cell>
        </row>
        <row r="485">
          <cell r="A485">
            <v>40375</v>
          </cell>
          <cell r="B485" t="str">
            <v>Demolição mecânica de concreto</v>
          </cell>
          <cell r="C485" t="str">
            <v>m³</v>
          </cell>
          <cell r="D485" t="str">
            <v>131,36</v>
          </cell>
          <cell r="E485">
            <v>0</v>
          </cell>
        </row>
        <row r="486">
          <cell r="A486">
            <v>40678</v>
          </cell>
          <cell r="B486" t="str">
            <v>Descida d'água concreto armado (calha) c/ caiação (DSA-01A) canal</v>
          </cell>
          <cell r="C486" t="str">
            <v>m</v>
          </cell>
          <cell r="D486" t="str">
            <v>326,31</v>
          </cell>
          <cell r="E486">
            <v>0</v>
          </cell>
        </row>
        <row r="487">
          <cell r="A487">
            <v>40679</v>
          </cell>
          <cell r="B487" t="str">
            <v>Descida d'água concreto armado (calha) c/ caiação (DSA-01A) dispersor</v>
          </cell>
          <cell r="C487" t="str">
            <v>un</v>
          </cell>
          <cell r="D487" t="str">
            <v>649,34</v>
          </cell>
          <cell r="E487">
            <v>0</v>
          </cell>
        </row>
        <row r="488">
          <cell r="A488">
            <v>40684</v>
          </cell>
          <cell r="B488" t="str">
            <v>Descida d'água concreto armado (degraus) c/ caiação (DSA-03A) apoio</v>
          </cell>
          <cell r="C488" t="str">
            <v>un</v>
          </cell>
          <cell r="D488" t="str">
            <v>712,39</v>
          </cell>
          <cell r="E488">
            <v>0</v>
          </cell>
        </row>
        <row r="489">
          <cell r="A489">
            <v>40683</v>
          </cell>
          <cell r="B489" t="str">
            <v>Descida d'água concreto armado (degraus) c/ caiação (DSA-03A) degrau</v>
          </cell>
          <cell r="C489" t="str">
            <v>m</v>
          </cell>
          <cell r="D489" t="str">
            <v>341,51</v>
          </cell>
          <cell r="E489">
            <v>0</v>
          </cell>
        </row>
        <row r="490">
          <cell r="A490">
            <v>40685</v>
          </cell>
          <cell r="B490" t="str">
            <v>Descida d'água concreto armado (degraus) c/ caiação (DSA-03A) dispersor</v>
          </cell>
          <cell r="C490" t="str">
            <v>un</v>
          </cell>
          <cell r="D490" t="str">
            <v>619,76</v>
          </cell>
          <cell r="E490">
            <v>0</v>
          </cell>
        </row>
        <row r="491">
          <cell r="A491">
            <v>40686</v>
          </cell>
          <cell r="B491" t="str">
            <v>Descida d'água concreto armado DP-1 (calha) c/ caiação</v>
          </cell>
          <cell r="C491" t="str">
            <v>m</v>
          </cell>
          <cell r="D491" t="str">
            <v>446,10</v>
          </cell>
          <cell r="E491">
            <v>0</v>
          </cell>
        </row>
        <row r="492">
          <cell r="A492">
            <v>40687</v>
          </cell>
          <cell r="B492" t="str">
            <v>Descida d'água concreto armado DP-1 (degraus) c/ caiação</v>
          </cell>
          <cell r="C492" t="str">
            <v>m</v>
          </cell>
          <cell r="D492" t="str">
            <v>425,74</v>
          </cell>
          <cell r="E492">
            <v>0</v>
          </cell>
        </row>
        <row r="493">
          <cell r="A493">
            <v>40676</v>
          </cell>
          <cell r="B493" t="str">
            <v>Descida d'água concreto simples (calha) c/ caiação (DSA-01) canal</v>
          </cell>
          <cell r="C493" t="str">
            <v>m</v>
          </cell>
          <cell r="D493" t="str">
            <v>269,33</v>
          </cell>
          <cell r="E493">
            <v>0</v>
          </cell>
        </row>
        <row r="494">
          <cell r="A494">
            <v>40677</v>
          </cell>
          <cell r="B494" t="str">
            <v>Descida d'água concreto simples (calha) c/ caiação (DSA-01) dispersor</v>
          </cell>
          <cell r="C494" t="str">
            <v>un</v>
          </cell>
          <cell r="D494" t="str">
            <v>584,21</v>
          </cell>
          <cell r="E494">
            <v>0</v>
          </cell>
        </row>
        <row r="495">
          <cell r="A495">
            <v>40681</v>
          </cell>
          <cell r="B495" t="str">
            <v>Descida d'água concreto simples (degraus) c/ caiação (DSA-03) apoio</v>
          </cell>
          <cell r="C495" t="str">
            <v>un</v>
          </cell>
          <cell r="D495" t="str">
            <v>664,78</v>
          </cell>
          <cell r="E495">
            <v>0</v>
          </cell>
        </row>
        <row r="496">
          <cell r="A496">
            <v>40680</v>
          </cell>
          <cell r="B496" t="str">
            <v>Descida d'água concreto simples (degraus) c/ caiação (DSA-03) degrau</v>
          </cell>
          <cell r="C496" t="str">
            <v>m</v>
          </cell>
          <cell r="D496" t="str">
            <v>325,22</v>
          </cell>
          <cell r="E496">
            <v>0</v>
          </cell>
        </row>
        <row r="497">
          <cell r="A497">
            <v>40682</v>
          </cell>
          <cell r="B497" t="str">
            <v>Descida d'água concreto simples (degraus) c/ caiação (DSA-03) dispersor</v>
          </cell>
          <cell r="C497" t="str">
            <v>un</v>
          </cell>
          <cell r="D497" t="str">
            <v>579,05</v>
          </cell>
          <cell r="E497">
            <v>0</v>
          </cell>
        </row>
        <row r="498">
          <cell r="A498">
            <v>41189</v>
          </cell>
          <cell r="B498" t="str">
            <v>Deslocamento de cerca de tela galvanizada fio 12 malha 3" x 3"</v>
          </cell>
          <cell r="C498" t="str">
            <v>m</v>
          </cell>
          <cell r="D498" t="str">
            <v>32,55</v>
          </cell>
          <cell r="E498" t="str">
            <v>A incluir</v>
          </cell>
        </row>
        <row r="499">
          <cell r="A499">
            <v>40728</v>
          </cell>
          <cell r="B499" t="str">
            <v>Dissipador de energia aplicado a saída d'água tipo DP-1</v>
          </cell>
          <cell r="C499" t="str">
            <v>un</v>
          </cell>
          <cell r="D499" t="str">
            <v>305,21</v>
          </cell>
          <cell r="E499" t="str">
            <v>A incluir</v>
          </cell>
        </row>
        <row r="500">
          <cell r="A500">
            <v>40732</v>
          </cell>
          <cell r="B500" t="str">
            <v>Dissipador de energia aplicado a saída de bueiro/descida d'agua de aterro (DEB-01)</v>
          </cell>
          <cell r="C500" t="str">
            <v>un</v>
          </cell>
          <cell r="D500" t="str">
            <v>546,75</v>
          </cell>
          <cell r="E500" t="str">
            <v>A incluir</v>
          </cell>
        </row>
        <row r="501">
          <cell r="A501">
            <v>40733</v>
          </cell>
          <cell r="B501" t="str">
            <v>Dissipador de energia aplicado a saída de bueiro/descida d'água de aterro (DEB-02)</v>
          </cell>
          <cell r="C501" t="str">
            <v>un</v>
          </cell>
          <cell r="D501" t="str">
            <v>1.349,60</v>
          </cell>
          <cell r="E501" t="str">
            <v>A incluir</v>
          </cell>
        </row>
        <row r="502">
          <cell r="A502">
            <v>40734</v>
          </cell>
          <cell r="B502" t="str">
            <v>Dissipador de energia aplicado a saída de bueiro/descida d'água de aterro (DEB-03)</v>
          </cell>
          <cell r="C502" t="str">
            <v>un</v>
          </cell>
          <cell r="D502" t="str">
            <v>2.112,77</v>
          </cell>
          <cell r="E502" t="str">
            <v>A incluir</v>
          </cell>
        </row>
        <row r="503">
          <cell r="A503">
            <v>40735</v>
          </cell>
          <cell r="B503" t="str">
            <v>Dissipador de energia aplicado a saída de bueiro/descida d'água de aterro (DEB-04)</v>
          </cell>
          <cell r="C503" t="str">
            <v>un</v>
          </cell>
          <cell r="D503" t="str">
            <v>3.051,74</v>
          </cell>
          <cell r="E503" t="str">
            <v>A incluir</v>
          </cell>
        </row>
        <row r="504">
          <cell r="A504">
            <v>40736</v>
          </cell>
          <cell r="B504" t="str">
            <v>Dissipador de energia aplicado a saída de bueiro/descida d'água de aterro (DEB-05)</v>
          </cell>
          <cell r="C504" t="str">
            <v>un</v>
          </cell>
          <cell r="D504" t="str">
            <v>4.104,20</v>
          </cell>
          <cell r="E504" t="str">
            <v>A incluir</v>
          </cell>
        </row>
        <row r="505">
          <cell r="A505">
            <v>40737</v>
          </cell>
          <cell r="B505" t="str">
            <v>Dissipador de energia aplicado a saída de bueiro/descida d'água de aterro (DEB-06)</v>
          </cell>
          <cell r="C505" t="str">
            <v>un</v>
          </cell>
          <cell r="D505" t="str">
            <v>6.519,18</v>
          </cell>
          <cell r="E505" t="str">
            <v>A incluir</v>
          </cell>
        </row>
        <row r="506">
          <cell r="A506">
            <v>40738</v>
          </cell>
          <cell r="B506" t="str">
            <v>Dissipador de energia aplicado a saída de bueiro/descida d'água de aterro (DEB-07)</v>
          </cell>
          <cell r="C506" t="str">
            <v>un</v>
          </cell>
          <cell r="D506" t="str">
            <v>4.176,03</v>
          </cell>
          <cell r="E506" t="str">
            <v>A incluir</v>
          </cell>
        </row>
        <row r="507">
          <cell r="A507">
            <v>40739</v>
          </cell>
          <cell r="B507" t="str">
            <v>Dissipador de energia aplicado a saída de bueiro/descida d'água de aterro (DEB-08)</v>
          </cell>
          <cell r="C507" t="str">
            <v>un</v>
          </cell>
          <cell r="D507" t="str">
            <v>5.620,04</v>
          </cell>
          <cell r="E507" t="str">
            <v>A incluir</v>
          </cell>
        </row>
        <row r="508">
          <cell r="A508">
            <v>40740</v>
          </cell>
          <cell r="B508" t="str">
            <v>Dissipador de energia aplicado a saída de bueiro/descida d'água de aterro (DEB-09)</v>
          </cell>
          <cell r="C508" t="str">
            <v>un</v>
          </cell>
          <cell r="D508" t="str">
            <v>8.711,00</v>
          </cell>
          <cell r="E508" t="str">
            <v>A incluir</v>
          </cell>
        </row>
        <row r="509">
          <cell r="A509">
            <v>40741</v>
          </cell>
          <cell r="B509" t="str">
            <v>Dissipador de energia aplicado a saída de bueiro/descida d'água de aterro (DEB-10)</v>
          </cell>
          <cell r="C509" t="str">
            <v>un</v>
          </cell>
          <cell r="D509" t="str">
            <v>5.306,23</v>
          </cell>
          <cell r="E509" t="str">
            <v>A incluir</v>
          </cell>
        </row>
        <row r="510">
          <cell r="A510">
            <v>40742</v>
          </cell>
          <cell r="B510" t="str">
            <v>Dissipador de energia aplicado a saída de bueiro/descida d'água de aterro (DEB-12)</v>
          </cell>
          <cell r="C510" t="str">
            <v>un</v>
          </cell>
          <cell r="D510" t="str">
            <v>10.901,13</v>
          </cell>
          <cell r="E510" t="str">
            <v>A incluir</v>
          </cell>
        </row>
        <row r="511">
          <cell r="A511">
            <v>40729</v>
          </cell>
          <cell r="B511" t="str">
            <v>Dissipador de energia aplicado a saída de sarjeta/valeta (DES-01)</v>
          </cell>
          <cell r="C511" t="str">
            <v>un</v>
          </cell>
          <cell r="D511" t="str">
            <v>256,61</v>
          </cell>
          <cell r="E511" t="str">
            <v>A incluir</v>
          </cell>
        </row>
        <row r="512">
          <cell r="A512">
            <v>40730</v>
          </cell>
          <cell r="B512" t="str">
            <v>Dissipador de energia aplicado a saída de sarjeta/valeta (DES-02)</v>
          </cell>
          <cell r="C512" t="str">
            <v>un</v>
          </cell>
          <cell r="D512" t="str">
            <v>305,21</v>
          </cell>
          <cell r="E512" t="str">
            <v>A incluir</v>
          </cell>
        </row>
        <row r="513">
          <cell r="A513">
            <v>40731</v>
          </cell>
          <cell r="B513" t="str">
            <v>Dissipador de energia aplicado a saída de sarjeta/valeta (DES-03)</v>
          </cell>
          <cell r="C513" t="str">
            <v>un</v>
          </cell>
          <cell r="D513" t="str">
            <v>363,92</v>
          </cell>
          <cell r="E513" t="str">
            <v>A incluir</v>
          </cell>
        </row>
        <row r="514">
          <cell r="A514">
            <v>40650</v>
          </cell>
          <cell r="B514" t="str">
            <v>Dreno de alívio de pavimento (DP - DAP - 01), com utilização de geotêxtil não tecido RT 07 kn/m, inclusive transporte da brita</v>
          </cell>
          <cell r="C514" t="str">
            <v>m</v>
          </cell>
          <cell r="D514" t="str">
            <v>45,62</v>
          </cell>
          <cell r="E514" t="str">
            <v>A incluir</v>
          </cell>
        </row>
        <row r="515">
          <cell r="A515">
            <v>40637</v>
          </cell>
          <cell r="B515" t="str">
            <v>Dreno de PVC D -&gt; 100 mm</v>
          </cell>
          <cell r="C515" t="str">
            <v>m</v>
          </cell>
          <cell r="D515" t="str">
            <v>27,04</v>
          </cell>
          <cell r="E515">
            <v>0</v>
          </cell>
        </row>
        <row r="516">
          <cell r="A516">
            <v>40636</v>
          </cell>
          <cell r="B516" t="str">
            <v>Dreno de PVC D -&gt; 50 mm</v>
          </cell>
          <cell r="C516" t="str">
            <v>m</v>
          </cell>
          <cell r="D516" t="str">
            <v>16,25</v>
          </cell>
          <cell r="E516">
            <v>0</v>
          </cell>
        </row>
        <row r="517">
          <cell r="A517">
            <v>40712</v>
          </cell>
          <cell r="B517" t="str">
            <v>Dreno Longitudinal tipo Trincheira Drenante, H -&gt; 0,90 m com tubo poroso tipo PEAD de diâm -&gt; 110 mm, incluindo esc. em mat. 1ª cat.</v>
          </cell>
          <cell r="C517" t="str">
            <v>m</v>
          </cell>
          <cell r="D517" t="str">
            <v>80,72</v>
          </cell>
          <cell r="E517" t="str">
            <v>A incluir</v>
          </cell>
        </row>
        <row r="518">
          <cell r="A518">
            <v>40713</v>
          </cell>
          <cell r="B518" t="str">
            <v>Dreno Longitudinal tipo Trincheira Drenante, H -&gt; 0,90 m com tubo poroso tipo PEAD de diâm -&gt; 110 mm, incluindo esc. mat. 3ª cat.</v>
          </cell>
          <cell r="C518" t="str">
            <v>m</v>
          </cell>
          <cell r="D518" t="str">
            <v>100,42</v>
          </cell>
          <cell r="E518" t="str">
            <v>A incluir</v>
          </cell>
        </row>
        <row r="519">
          <cell r="A519">
            <v>41262</v>
          </cell>
          <cell r="B519" t="str">
            <v>Dreno Longitudinal tipo Trincheira Drenante, H-&gt;0,40m c/ tubo poroso tipo PEAD d-&gt;65mm, inclus. esc. em mat. 1ª cat.e geotêxtil não tecido RT 07 kN/m</v>
          </cell>
          <cell r="C519" t="str">
            <v>m</v>
          </cell>
          <cell r="D519" t="str">
            <v>77,01</v>
          </cell>
          <cell r="E519">
            <v>0</v>
          </cell>
        </row>
        <row r="520">
          <cell r="A520">
            <v>41259</v>
          </cell>
          <cell r="B520" t="str">
            <v>Dreno ou Barbacã em tubo PVC, diâmetro de 2"</v>
          </cell>
          <cell r="C520" t="str">
            <v>m</v>
          </cell>
          <cell r="D520" t="str">
            <v>14,49</v>
          </cell>
          <cell r="E520">
            <v>0</v>
          </cell>
        </row>
        <row r="521">
          <cell r="A521">
            <v>40640</v>
          </cell>
          <cell r="B521" t="str">
            <v>Dreno profundo com enchimento de areia, escavação em material 1ª categoria, inclusive transporte da areia</v>
          </cell>
          <cell r="C521" t="str">
            <v>m</v>
          </cell>
          <cell r="D521" t="str">
            <v>86,33</v>
          </cell>
          <cell r="E521" t="str">
            <v>A incluir</v>
          </cell>
        </row>
        <row r="522">
          <cell r="A522">
            <v>40642</v>
          </cell>
          <cell r="B522" t="str">
            <v>Dreno profundo com enchimento de brita e areia (1:1) escavação em material 1ª categoria, inclusive transporte da areia e da brita</v>
          </cell>
          <cell r="C522" t="str">
            <v>m</v>
          </cell>
          <cell r="D522" t="str">
            <v>90,00</v>
          </cell>
          <cell r="E522" t="str">
            <v>A incluir</v>
          </cell>
        </row>
        <row r="523">
          <cell r="A523">
            <v>40643</v>
          </cell>
          <cell r="B523" t="str">
            <v>Dreno profundo com enchimento de brita e areia (1:1) escavação em material 2ª categoria, inclusive transporte da areia e da brita</v>
          </cell>
          <cell r="C523" t="str">
            <v>m</v>
          </cell>
          <cell r="D523" t="str">
            <v>96,34</v>
          </cell>
          <cell r="E523" t="str">
            <v>A incluir</v>
          </cell>
        </row>
        <row r="524">
          <cell r="A524">
            <v>40641</v>
          </cell>
          <cell r="B524" t="str">
            <v>Dreno profundo com enchimento de brita, escavação em material 1ª categoria, inclusive transporte da brita</v>
          </cell>
          <cell r="C524" t="str">
            <v>m</v>
          </cell>
          <cell r="D524" t="str">
            <v>87,88</v>
          </cell>
          <cell r="E524" t="str">
            <v>A incluir</v>
          </cell>
        </row>
        <row r="525">
          <cell r="A525">
            <v>40648</v>
          </cell>
          <cell r="B525" t="str">
            <v>Dreno profundo com tubo poroso, D -&gt; 0,20 m com enchimento de brita e areia, escavação em material 2ª categoria, inclusive transp.da areia, brita, tubo</v>
          </cell>
          <cell r="C525" t="str">
            <v>m</v>
          </cell>
          <cell r="D525" t="str">
            <v>115,34</v>
          </cell>
          <cell r="E525" t="str">
            <v>A incluir</v>
          </cell>
        </row>
        <row r="526">
          <cell r="A526">
            <v>40649</v>
          </cell>
          <cell r="B526" t="str">
            <v>Dreno profundo com tubo poroso, D -&gt; 0,20 m com enchimento de brita, escavação em material 3ª categoria (DPR-01), inclusive transporte da brita, tubo</v>
          </cell>
          <cell r="C526" t="str">
            <v>m</v>
          </cell>
          <cell r="D526" t="str">
            <v>86,63</v>
          </cell>
          <cell r="E526" t="str">
            <v>A incluir</v>
          </cell>
        </row>
        <row r="527">
          <cell r="A527">
            <v>40645</v>
          </cell>
          <cell r="B527" t="str">
            <v>Dreno profundo D -&gt; 0,10 m c/ enchim. brita, areia (1:1) escav. mat. 3º categ.incl. transp. areia, brita c/ geotêxtil não tecido res.long. mín 16kn/m</v>
          </cell>
          <cell r="C527" t="str">
            <v>m</v>
          </cell>
          <cell r="D527" t="str">
            <v>181,81</v>
          </cell>
          <cell r="E527" t="str">
            <v>A incluir</v>
          </cell>
        </row>
        <row r="528">
          <cell r="A528">
            <v>40644</v>
          </cell>
          <cell r="B528" t="str">
            <v>Dreno profundo D -&gt; 0,10 m c/enchim. brita e areia (1:1) escav.mat. 1º categ., inclus.transp.areia, brita,c/ geotêxtil não tecido res.long. mín 16 kn/m</v>
          </cell>
          <cell r="C528" t="str">
            <v>m</v>
          </cell>
          <cell r="D528" t="str">
            <v>116,53</v>
          </cell>
          <cell r="E528" t="str">
            <v>A incluir</v>
          </cell>
        </row>
        <row r="529">
          <cell r="A529">
            <v>40646</v>
          </cell>
          <cell r="B529" t="str">
            <v>Dreno profundo D -&gt; 0,20 m com enchimento de areia, escavação em material 1ª categoria (DPS-01), inclusive transporte da areia e do tubo</v>
          </cell>
          <cell r="C529" t="str">
            <v>m</v>
          </cell>
          <cell r="D529" t="str">
            <v>110,72</v>
          </cell>
          <cell r="E529" t="str">
            <v>A incluir</v>
          </cell>
        </row>
        <row r="530">
          <cell r="A530">
            <v>40647</v>
          </cell>
          <cell r="B530" t="str">
            <v>Dreno profundo D -&gt; 0,20 m com enchimento de brita e areia, escavação em material 1ª categoria, inclusive transporte da brita e da areia</v>
          </cell>
          <cell r="C530" t="str">
            <v>m</v>
          </cell>
          <cell r="D530" t="str">
            <v>109,00</v>
          </cell>
          <cell r="E530" t="str">
            <v>A incluir</v>
          </cell>
        </row>
        <row r="531">
          <cell r="A531">
            <v>40704</v>
          </cell>
          <cell r="B531" t="str">
            <v>Dreno profundo em solo com tubo PVC perfur. D-&gt;0,10 m, envolto por geotêxtil não tecido RT16 kn/m, preenchim. c/ brita, incl. transporte</v>
          </cell>
          <cell r="C531" t="str">
            <v>m</v>
          </cell>
          <cell r="D531" t="str">
            <v>80,13</v>
          </cell>
          <cell r="E531" t="str">
            <v>A incluir</v>
          </cell>
        </row>
        <row r="532">
          <cell r="A532">
            <v>41107</v>
          </cell>
          <cell r="B532" t="str">
            <v>Dreno profundo para corte em solo, com enchimento em brita revestido com geotextil não tecido RT 16 kn/m, inclusive transporte da brita</v>
          </cell>
          <cell r="C532" t="str">
            <v>m</v>
          </cell>
          <cell r="D532" t="str">
            <v>110,44</v>
          </cell>
          <cell r="E532" t="str">
            <v>A incluir</v>
          </cell>
        </row>
        <row r="533">
          <cell r="A533">
            <v>40638</v>
          </cell>
          <cell r="B533" t="str">
            <v>Dreno sub-horizontal D -&gt; 50 mm em PVC, com geotêxtil não tecido RT 16 kn/m, exclusive transportes</v>
          </cell>
          <cell r="C533" t="str">
            <v>m</v>
          </cell>
          <cell r="D533" t="str">
            <v>370,57</v>
          </cell>
          <cell r="E533">
            <v>0</v>
          </cell>
        </row>
        <row r="534">
          <cell r="A534">
            <v>41188</v>
          </cell>
          <cell r="B534" t="str">
            <v>Dreno sub-horizontal D-&gt;50mm em PVC (escavação em alteração de rocha), inclusive geotêxtil não tecido RT 16 kn/m, exclusive transportes</v>
          </cell>
          <cell r="C534" t="str">
            <v>m</v>
          </cell>
          <cell r="D534" t="str">
            <v>564,18</v>
          </cell>
          <cell r="E534">
            <v>0</v>
          </cell>
        </row>
        <row r="535">
          <cell r="A535">
            <v>41187</v>
          </cell>
          <cell r="B535" t="str">
            <v>Dreno sub-horizontal D-&gt;50mm em PVC (escavação em rocha sã), inlusive geotêxtil não tecido RT 16 kn/m, exclusive transportes</v>
          </cell>
          <cell r="C535" t="str">
            <v>m</v>
          </cell>
          <cell r="D535" t="str">
            <v>736,20</v>
          </cell>
          <cell r="E535">
            <v>0</v>
          </cell>
        </row>
        <row r="536">
          <cell r="A536">
            <v>40705</v>
          </cell>
          <cell r="B536" t="str">
            <v>Dreno sub-superficial rocha (h-&gt;0,55m) c/ tubo PVC perfur. d-&gt;0,10m, env. por geotêxtil16kn/m,preenc.c/ brita,inclus.transp. dreno, exclus transp.brita</v>
          </cell>
          <cell r="C536" t="str">
            <v>m</v>
          </cell>
          <cell r="D536" t="str">
            <v>64,06</v>
          </cell>
          <cell r="E536" t="str">
            <v>A incluir</v>
          </cell>
        </row>
        <row r="537">
          <cell r="A537">
            <v>40639</v>
          </cell>
          <cell r="B537" t="str">
            <v>Dreno vertical D -&gt; 75 mm em PVC, com geotêxtil não tecido resistência longitudinal 16 kn/m</v>
          </cell>
          <cell r="C537" t="str">
            <v>m</v>
          </cell>
          <cell r="D537" t="str">
            <v>376,35</v>
          </cell>
          <cell r="E537">
            <v>0</v>
          </cell>
        </row>
        <row r="538">
          <cell r="A538">
            <v>41227</v>
          </cell>
          <cell r="B538" t="str">
            <v>Eletroduto de ferro galvanizado DN 4", inclusive conexões, exclusive escavação e reaterro, fornecimento e assentamento</v>
          </cell>
          <cell r="C538" t="str">
            <v>m</v>
          </cell>
          <cell r="D538" t="str">
            <v>90,32</v>
          </cell>
          <cell r="E538">
            <v>0</v>
          </cell>
        </row>
        <row r="539">
          <cell r="A539">
            <v>40951</v>
          </cell>
          <cell r="B539" t="str">
            <v>Eletroduto para rede de lógica, inclusive conexões</v>
          </cell>
          <cell r="C539" t="str">
            <v>m</v>
          </cell>
          <cell r="D539" t="str">
            <v>17,04</v>
          </cell>
          <cell r="E539">
            <v>0</v>
          </cell>
        </row>
        <row r="540">
          <cell r="A540">
            <v>41121</v>
          </cell>
          <cell r="B540" t="str">
            <v>Eletroduto PVC diâmetro 75mm, fornecimento e assentamento</v>
          </cell>
          <cell r="C540" t="str">
            <v>m</v>
          </cell>
          <cell r="D540" t="str">
            <v>21,14</v>
          </cell>
          <cell r="E540">
            <v>0</v>
          </cell>
        </row>
        <row r="541">
          <cell r="A541">
            <v>41120</v>
          </cell>
          <cell r="B541" t="str">
            <v>Eletroduto PVC rígido roscável diâm. 50mm, fornecimento e assentamento</v>
          </cell>
          <cell r="C541" t="str">
            <v>m</v>
          </cell>
          <cell r="D541" t="str">
            <v>10,75</v>
          </cell>
          <cell r="E541">
            <v>0</v>
          </cell>
        </row>
        <row r="542">
          <cell r="A542">
            <v>41128</v>
          </cell>
          <cell r="B542" t="str">
            <v>Eletroduto tipo Kanaflex diâmetro 1 1/4", fornecimento e assentamento</v>
          </cell>
          <cell r="C542" t="str">
            <v>m</v>
          </cell>
          <cell r="D542" t="str">
            <v>10,95</v>
          </cell>
          <cell r="E542">
            <v>0</v>
          </cell>
        </row>
        <row r="543">
          <cell r="A543">
            <v>41129</v>
          </cell>
          <cell r="B543" t="str">
            <v>Eletroduto tipo Kanaflex diâmetro 1 1/2", fornecimento e assentamento</v>
          </cell>
          <cell r="C543" t="str">
            <v>m</v>
          </cell>
          <cell r="D543" t="str">
            <v>13,72</v>
          </cell>
          <cell r="E543">
            <v>0</v>
          </cell>
        </row>
        <row r="544">
          <cell r="A544">
            <v>41131</v>
          </cell>
          <cell r="B544" t="str">
            <v>Eletroduto tipo Kanaflex diâmetro 2", fornecimento e assentamento</v>
          </cell>
          <cell r="C544" t="str">
            <v>m</v>
          </cell>
          <cell r="D544" t="str">
            <v>17,15</v>
          </cell>
          <cell r="E544">
            <v>0</v>
          </cell>
        </row>
        <row r="545">
          <cell r="A545">
            <v>41130</v>
          </cell>
          <cell r="B545" t="str">
            <v>Eletroduto tipo Kanaflex diâmetro 4", fornecimento e assentamento</v>
          </cell>
          <cell r="C545" t="str">
            <v>m</v>
          </cell>
          <cell r="D545" t="str">
            <v>29,84</v>
          </cell>
          <cell r="E545">
            <v>0</v>
          </cell>
        </row>
        <row r="546">
          <cell r="A546">
            <v>40997</v>
          </cell>
          <cell r="B546" t="str">
            <v>Enrocamento de pedra arrumada com pá carregadeira e escavadeira, inclusive fornecimento, exclusive transporte da pedra</v>
          </cell>
          <cell r="C546" t="str">
            <v>m³</v>
          </cell>
          <cell r="D546" t="str">
            <v>75,17</v>
          </cell>
          <cell r="E546">
            <v>0</v>
          </cell>
        </row>
        <row r="547">
          <cell r="A547">
            <v>40724</v>
          </cell>
          <cell r="B547" t="str">
            <v>Enrocamento de pedra de mão arrumada exclusive transporte</v>
          </cell>
          <cell r="C547" t="str">
            <v>m³</v>
          </cell>
          <cell r="D547" t="str">
            <v>129,99</v>
          </cell>
          <cell r="E547">
            <v>0</v>
          </cell>
        </row>
        <row r="548">
          <cell r="A548">
            <v>40722</v>
          </cell>
          <cell r="B548" t="str">
            <v>Enrocamento de pedra jogada exclusive fornecimento e transporte (utilização de material considerado em medição)</v>
          </cell>
          <cell r="C548" t="str">
            <v>m³</v>
          </cell>
          <cell r="D548" t="str">
            <v>8,02</v>
          </cell>
          <cell r="E548">
            <v>0</v>
          </cell>
        </row>
        <row r="549">
          <cell r="A549">
            <v>40998</v>
          </cell>
          <cell r="B549" t="str">
            <v>Enrocamento de pedra jogada exclusive o fornecimento e transporte da pedra</v>
          </cell>
          <cell r="C549" t="str">
            <v>m³</v>
          </cell>
          <cell r="D549" t="str">
            <v>8,86</v>
          </cell>
          <cell r="E549">
            <v>0</v>
          </cell>
        </row>
        <row r="550">
          <cell r="A550">
            <v>40723</v>
          </cell>
          <cell r="B550" t="str">
            <v>Enrocamento de pedra jogada inclusive fornecimento, exclusive transporte da pedra</v>
          </cell>
          <cell r="C550" t="str">
            <v>m³</v>
          </cell>
          <cell r="D550" t="str">
            <v>52,92</v>
          </cell>
          <cell r="E550">
            <v>0</v>
          </cell>
        </row>
        <row r="551">
          <cell r="A551">
            <v>40335</v>
          </cell>
          <cell r="B551" t="str">
            <v>Ensecadeira dupla de madeira esp.-&gt; 5 cm com 1 reaproveitamento</v>
          </cell>
          <cell r="C551" t="str">
            <v>m²</v>
          </cell>
          <cell r="D551" t="str">
            <v>494,07</v>
          </cell>
          <cell r="E551" t="str">
            <v>A incluir</v>
          </cell>
        </row>
        <row r="552">
          <cell r="A552">
            <v>40334</v>
          </cell>
          <cell r="B552" t="str">
            <v>Ensecadeira dupla de madeira esp.-&gt; 5 cm sem reaproveitamento, tudo incluído</v>
          </cell>
          <cell r="C552" t="str">
            <v>m²</v>
          </cell>
          <cell r="D552" t="str">
            <v>710,29</v>
          </cell>
          <cell r="E552" t="str">
            <v>A incluir</v>
          </cell>
        </row>
        <row r="553">
          <cell r="A553">
            <v>40333</v>
          </cell>
          <cell r="B553" t="str">
            <v>Ensecadeira simples de madeira esp.-&gt; 5 cm com 1 reaproveitamento, inclusive transporte das madeiras</v>
          </cell>
          <cell r="C553" t="str">
            <v>m²</v>
          </cell>
          <cell r="D553" t="str">
            <v>247,03</v>
          </cell>
          <cell r="E553" t="str">
            <v>A incluir</v>
          </cell>
        </row>
        <row r="554">
          <cell r="A554">
            <v>40332</v>
          </cell>
          <cell r="B554" t="str">
            <v>Ensecadeira simples de madeira esp.-&gt; 5 cm sem reaproveitamento, inclusive transporte das madeiras</v>
          </cell>
          <cell r="C554" t="str">
            <v>m²</v>
          </cell>
          <cell r="D554" t="str">
            <v>355,14</v>
          </cell>
          <cell r="E554" t="str">
            <v>A incluir</v>
          </cell>
        </row>
        <row r="555">
          <cell r="A555">
            <v>40675</v>
          </cell>
          <cell r="B555" t="str">
            <v>Entrada para descida d'agua DP-1 (calha/degraus) inclusive caiação</v>
          </cell>
          <cell r="C555" t="str">
            <v>un</v>
          </cell>
          <cell r="D555" t="str">
            <v>189,41</v>
          </cell>
          <cell r="E555">
            <v>0</v>
          </cell>
        </row>
        <row r="556">
          <cell r="A556">
            <v>40673</v>
          </cell>
          <cell r="B556" t="str">
            <v>Entrada para descida d'água EDA-01</v>
          </cell>
          <cell r="C556" t="str">
            <v>un</v>
          </cell>
          <cell r="D556" t="str">
            <v>68,63</v>
          </cell>
          <cell r="E556">
            <v>0</v>
          </cell>
        </row>
        <row r="557">
          <cell r="A557">
            <v>40674</v>
          </cell>
          <cell r="B557" t="str">
            <v>Entrada para descida d'água EDA-02</v>
          </cell>
          <cell r="C557" t="str">
            <v>un</v>
          </cell>
          <cell r="D557" t="str">
            <v>73,15</v>
          </cell>
          <cell r="E557">
            <v>0</v>
          </cell>
        </row>
        <row r="558">
          <cell r="A558">
            <v>41037</v>
          </cell>
          <cell r="B558" t="str">
            <v>Escada de madeira executada sobre terreno inclinado, com 80 cm de largura mínima</v>
          </cell>
          <cell r="C558" t="str">
            <v>m</v>
          </cell>
          <cell r="D558" t="str">
            <v>53,99</v>
          </cell>
          <cell r="E558">
            <v>0</v>
          </cell>
        </row>
        <row r="559">
          <cell r="A559">
            <v>40258</v>
          </cell>
          <cell r="B559" t="str">
            <v>Escavação manual em mat. 1ª cat. H-&gt; 0,00 a 1,50 m</v>
          </cell>
          <cell r="C559" t="str">
            <v>m³</v>
          </cell>
          <cell r="D559" t="str">
            <v>48,36</v>
          </cell>
          <cell r="E559">
            <v>0</v>
          </cell>
        </row>
        <row r="560">
          <cell r="A560">
            <v>40261</v>
          </cell>
          <cell r="B560" t="str">
            <v>Escavação manual em mat. 1ª cat. H-&gt; 0,00 a 1,50 m com esgotamento</v>
          </cell>
          <cell r="C560" t="str">
            <v>m³</v>
          </cell>
          <cell r="D560" t="str">
            <v>55,11</v>
          </cell>
          <cell r="E560">
            <v>0</v>
          </cell>
        </row>
        <row r="561">
          <cell r="A561">
            <v>40259</v>
          </cell>
          <cell r="B561" t="str">
            <v>Escavação manual em mat. 1ª cat. H-&gt; 1,50 a 3,00 m</v>
          </cell>
          <cell r="C561" t="str">
            <v>m³</v>
          </cell>
          <cell r="D561" t="str">
            <v>71,25</v>
          </cell>
          <cell r="E561">
            <v>0</v>
          </cell>
        </row>
        <row r="562">
          <cell r="A562">
            <v>40262</v>
          </cell>
          <cell r="B562" t="str">
            <v>Escavação manual em mat. 1ª cat. H-&gt; 1,50 a 3,00 m com esgotamento</v>
          </cell>
          <cell r="C562" t="str">
            <v>m³</v>
          </cell>
          <cell r="D562" t="str">
            <v>78,01</v>
          </cell>
          <cell r="E562">
            <v>0</v>
          </cell>
        </row>
        <row r="563">
          <cell r="A563">
            <v>40260</v>
          </cell>
          <cell r="B563" t="str">
            <v>Escavação manual em mat. 1ª cat. H-&gt; 3,00 a 4,50 m</v>
          </cell>
          <cell r="C563" t="str">
            <v>m³</v>
          </cell>
          <cell r="D563" t="str">
            <v>105,59</v>
          </cell>
          <cell r="E563">
            <v>0</v>
          </cell>
        </row>
        <row r="564">
          <cell r="A564">
            <v>40263</v>
          </cell>
          <cell r="B564" t="str">
            <v>Escavação manual em mat. 1ª cat. H-&gt; 3,00 a 4,50 m com esgotamento</v>
          </cell>
          <cell r="C564" t="str">
            <v>m³</v>
          </cell>
          <cell r="D564" t="str">
            <v>112,35</v>
          </cell>
          <cell r="E564">
            <v>0</v>
          </cell>
        </row>
        <row r="565">
          <cell r="A565">
            <v>40267</v>
          </cell>
          <cell r="B565" t="str">
            <v>Escavação manual em mat. 2ª cat. H-&gt; 0,00 a 1,50 m com esgotamento</v>
          </cell>
          <cell r="C565" t="str">
            <v>m³</v>
          </cell>
          <cell r="D565" t="str">
            <v>117,40</v>
          </cell>
          <cell r="E565">
            <v>0</v>
          </cell>
        </row>
        <row r="566">
          <cell r="A566">
            <v>40264</v>
          </cell>
          <cell r="B566" t="str">
            <v>Escavação manual em mat. 2ª cat. H-&gt; 0,00 a 1,50 m sem detonação</v>
          </cell>
          <cell r="C566" t="str">
            <v>m³</v>
          </cell>
          <cell r="D566" t="str">
            <v>110,65</v>
          </cell>
          <cell r="E566">
            <v>0</v>
          </cell>
        </row>
        <row r="567">
          <cell r="A567">
            <v>40268</v>
          </cell>
          <cell r="B567" t="str">
            <v>Escavação manual em mat. 2ª cat. H-&gt; 1,50 a 3,00 m com esgotamento</v>
          </cell>
          <cell r="C567" t="str">
            <v>m³</v>
          </cell>
          <cell r="D567" t="str">
            <v>144,34</v>
          </cell>
          <cell r="E567">
            <v>0</v>
          </cell>
        </row>
        <row r="568">
          <cell r="A568">
            <v>40265</v>
          </cell>
          <cell r="B568" t="str">
            <v>Escavação manual em mat. 2ª cat. H-&gt; 1,50 a 3,00 m sem detonação</v>
          </cell>
          <cell r="C568" t="str">
            <v>m³</v>
          </cell>
          <cell r="D568" t="str">
            <v>137,58</v>
          </cell>
          <cell r="E568">
            <v>0</v>
          </cell>
        </row>
        <row r="569">
          <cell r="A569">
            <v>40269</v>
          </cell>
          <cell r="B569" t="str">
            <v>Escavação manual em mat. 2ª cat. H-&gt; 3,00 a 4,50 m com esgotamento</v>
          </cell>
          <cell r="C569" t="str">
            <v>m³</v>
          </cell>
          <cell r="D569" t="str">
            <v>250,96</v>
          </cell>
          <cell r="E569">
            <v>0</v>
          </cell>
        </row>
        <row r="570">
          <cell r="A570">
            <v>40266</v>
          </cell>
          <cell r="B570" t="str">
            <v>Escavação manual em mat. 2ª cat. H-&gt; 3,00 a 4,50 m sem detonação</v>
          </cell>
          <cell r="C570" t="str">
            <v>m³</v>
          </cell>
          <cell r="D570" t="str">
            <v>244,20</v>
          </cell>
          <cell r="E570">
            <v>0</v>
          </cell>
        </row>
        <row r="571">
          <cell r="A571">
            <v>40276</v>
          </cell>
          <cell r="B571" t="str">
            <v>Escavação manual em mat. 3ª cat. H-&gt; 0,00 a 1,50 m, a fogo</v>
          </cell>
          <cell r="C571" t="str">
            <v>m³</v>
          </cell>
          <cell r="D571" t="str">
            <v>318,72</v>
          </cell>
          <cell r="E571">
            <v>0</v>
          </cell>
        </row>
        <row r="572">
          <cell r="A572">
            <v>40256</v>
          </cell>
          <cell r="B572" t="str">
            <v>Escavação manual furos, valetas mat. 1ª cat. H-&gt; 0,00 a 1,50 m (dim. reduz.)</v>
          </cell>
          <cell r="C572" t="str">
            <v>m³</v>
          </cell>
          <cell r="D572" t="str">
            <v>71,25</v>
          </cell>
          <cell r="E572">
            <v>0</v>
          </cell>
        </row>
        <row r="573">
          <cell r="A573">
            <v>40257</v>
          </cell>
          <cell r="B573" t="str">
            <v>Escavação manual furos, valetas mat. 2ª cat. H-&gt; 0,00 a 1,50 m sem detonação (dim. reduz.)</v>
          </cell>
          <cell r="C573" t="str">
            <v>m³</v>
          </cell>
          <cell r="D573" t="str">
            <v>164,69</v>
          </cell>
          <cell r="E573">
            <v>0</v>
          </cell>
        </row>
        <row r="574">
          <cell r="A574">
            <v>41192</v>
          </cell>
          <cell r="B574" t="str">
            <v>Escavação mecânica de valas em material de 1ª categoria, 3,00 a 4,50m, com esgotamento, carga do material, transporte do material para bota-fora</v>
          </cell>
          <cell r="C574" t="str">
            <v>m³</v>
          </cell>
          <cell r="D574" t="str">
            <v>188,00</v>
          </cell>
          <cell r="E574" t="str">
            <v>A incluir</v>
          </cell>
        </row>
        <row r="575">
          <cell r="A575">
            <v>41198</v>
          </cell>
          <cell r="B575" t="str">
            <v>Escavação mecânica de valas em 1ª categoria, profundidade de 4,50 a 6,00m com esgotamento, transp. DMT-&gt;20km, descarga e espalhamento</v>
          </cell>
          <cell r="C575" t="str">
            <v>m³</v>
          </cell>
          <cell r="D575" t="str">
            <v>189,70</v>
          </cell>
          <cell r="E575" t="str">
            <v>A incluir</v>
          </cell>
        </row>
        <row r="576">
          <cell r="A576">
            <v>40282</v>
          </cell>
          <cell r="B576" t="str">
            <v>Escavação mecânica em material de 1ª cat. H-&gt; 0,00 a 1,50 m</v>
          </cell>
          <cell r="C576" t="str">
            <v>m³</v>
          </cell>
          <cell r="D576" t="str">
            <v>10,15</v>
          </cell>
          <cell r="E576">
            <v>0</v>
          </cell>
        </row>
        <row r="577">
          <cell r="A577">
            <v>40285</v>
          </cell>
          <cell r="B577" t="str">
            <v>Escavação mecânica em material de 1ª cat. H-&gt; 0,00 a 1,50 m com esgotamento</v>
          </cell>
          <cell r="C577" t="str">
            <v>m³</v>
          </cell>
          <cell r="D577" t="str">
            <v>16,90</v>
          </cell>
          <cell r="E577">
            <v>0</v>
          </cell>
        </row>
        <row r="578">
          <cell r="A578">
            <v>40283</v>
          </cell>
          <cell r="B578" t="str">
            <v>Escavação mecânica em material de 1ª cat. H-&gt; 1,50 a 3,00 m</v>
          </cell>
          <cell r="C578" t="str">
            <v>m³</v>
          </cell>
          <cell r="D578" t="str">
            <v>11,16</v>
          </cell>
          <cell r="E578">
            <v>0</v>
          </cell>
        </row>
        <row r="579">
          <cell r="A579">
            <v>40286</v>
          </cell>
          <cell r="B579" t="str">
            <v>Escavação mecânica em material de 1ª cat. H-&gt; 1,50 a 3,00 m com esgotamento</v>
          </cell>
          <cell r="C579" t="str">
            <v>m³</v>
          </cell>
          <cell r="D579" t="str">
            <v>17,91</v>
          </cell>
          <cell r="E579">
            <v>0</v>
          </cell>
        </row>
        <row r="580">
          <cell r="A580">
            <v>40284</v>
          </cell>
          <cell r="B580" t="str">
            <v>Escavação mecânica em material de 1ª cat. H-&gt; 3,00 a 4,50 m</v>
          </cell>
          <cell r="C580" t="str">
            <v>m³</v>
          </cell>
          <cell r="D580" t="str">
            <v>13,13</v>
          </cell>
          <cell r="E580">
            <v>0</v>
          </cell>
        </row>
        <row r="581">
          <cell r="A581">
            <v>40287</v>
          </cell>
          <cell r="B581" t="str">
            <v>Escavação mecânica em material de 1º cat. H-&gt; 3,00 a 4,50 m com esgotamento</v>
          </cell>
          <cell r="C581" t="str">
            <v>m³</v>
          </cell>
          <cell r="D581" t="str">
            <v>19,88</v>
          </cell>
          <cell r="E581">
            <v>0</v>
          </cell>
        </row>
        <row r="582">
          <cell r="A582">
            <v>40288</v>
          </cell>
          <cell r="B582" t="str">
            <v>Escavação mecânica em material de 2ª cat. H-&gt; 0,00 a 1,50 m</v>
          </cell>
          <cell r="C582" t="str">
            <v>m³</v>
          </cell>
          <cell r="D582" t="str">
            <v>18,60</v>
          </cell>
          <cell r="E582">
            <v>0</v>
          </cell>
        </row>
        <row r="583">
          <cell r="A583">
            <v>40291</v>
          </cell>
          <cell r="B583" t="str">
            <v>Escavação mecânica em material de 2ª cat. H-&gt; 0,00 a 1,50 m com esgotamento</v>
          </cell>
          <cell r="C583" t="str">
            <v>m³</v>
          </cell>
          <cell r="D583" t="str">
            <v>25,35</v>
          </cell>
          <cell r="E583">
            <v>0</v>
          </cell>
        </row>
        <row r="584">
          <cell r="A584">
            <v>40289</v>
          </cell>
          <cell r="B584" t="str">
            <v>Escavação mecânica em material de 2ª cat. H-&gt; 1,50 a 3,00 m</v>
          </cell>
          <cell r="C584" t="str">
            <v>m³</v>
          </cell>
          <cell r="D584" t="str">
            <v>22,33</v>
          </cell>
          <cell r="E584">
            <v>0</v>
          </cell>
        </row>
        <row r="585">
          <cell r="A585">
            <v>40292</v>
          </cell>
          <cell r="B585" t="str">
            <v>Escavação mecânica em material de 2ª cat. H-&gt; 1,50 a 3,00 m com esgotamento</v>
          </cell>
          <cell r="C585" t="str">
            <v>m³</v>
          </cell>
          <cell r="D585" t="str">
            <v>29,08</v>
          </cell>
          <cell r="E585">
            <v>0</v>
          </cell>
        </row>
        <row r="586">
          <cell r="A586">
            <v>40290</v>
          </cell>
          <cell r="B586" t="str">
            <v>Escavação mecânica em material de 2ª cat. H-&gt; 3,00 a 4,50 m</v>
          </cell>
          <cell r="C586" t="str">
            <v>m³</v>
          </cell>
          <cell r="D586" t="str">
            <v>27,90</v>
          </cell>
          <cell r="E586">
            <v>0</v>
          </cell>
        </row>
        <row r="587">
          <cell r="A587">
            <v>40293</v>
          </cell>
          <cell r="B587" t="str">
            <v>Escavação mecânica em material de 2º cat. H-&gt; 3,00 a 4,50 m com esgotamento</v>
          </cell>
          <cell r="C587" t="str">
            <v>m³</v>
          </cell>
          <cell r="D587" t="str">
            <v>34,66</v>
          </cell>
          <cell r="E587">
            <v>0</v>
          </cell>
        </row>
        <row r="588">
          <cell r="A588">
            <v>40294</v>
          </cell>
          <cell r="B588" t="str">
            <v>Escavação mecânica em material de 3ª cat. H-&gt; 0,00 a 1,50 m</v>
          </cell>
          <cell r="C588" t="str">
            <v>m³</v>
          </cell>
          <cell r="D588" t="str">
            <v>97,19</v>
          </cell>
          <cell r="E588">
            <v>0</v>
          </cell>
        </row>
        <row r="589">
          <cell r="A589">
            <v>40297</v>
          </cell>
          <cell r="B589" t="str">
            <v>Escavação mecânica em material de 3ª cat. H-&gt; 0,00 a 1,50 m com esgotamento</v>
          </cell>
          <cell r="C589" t="str">
            <v>m³</v>
          </cell>
          <cell r="D589" t="str">
            <v>103,95</v>
          </cell>
          <cell r="E589">
            <v>0</v>
          </cell>
        </row>
        <row r="590">
          <cell r="A590">
            <v>40295</v>
          </cell>
          <cell r="B590" t="str">
            <v>Escavação mecânica em material de 3ª cat. H-&gt; 1,50 a 3,00 m</v>
          </cell>
          <cell r="C590" t="str">
            <v>m³</v>
          </cell>
          <cell r="D590" t="str">
            <v>109,43</v>
          </cell>
          <cell r="E590">
            <v>0</v>
          </cell>
        </row>
        <row r="591">
          <cell r="A591">
            <v>40298</v>
          </cell>
          <cell r="B591" t="str">
            <v>Escavação mecânica em material de 3ª cat. H-&gt; 1,50 a 3,00 m com esgotamento</v>
          </cell>
          <cell r="C591" t="str">
            <v>m³</v>
          </cell>
          <cell r="D591" t="str">
            <v>116,18</v>
          </cell>
          <cell r="E591">
            <v>0</v>
          </cell>
        </row>
        <row r="592">
          <cell r="A592">
            <v>40296</v>
          </cell>
          <cell r="B592" t="str">
            <v>Escavação mecânica em material de 3ª cat. H-&gt; 3,00 a 4,50 m</v>
          </cell>
          <cell r="C592" t="str">
            <v>m³</v>
          </cell>
          <cell r="D592" t="str">
            <v>131,79</v>
          </cell>
          <cell r="E592">
            <v>0</v>
          </cell>
        </row>
        <row r="593">
          <cell r="A593">
            <v>40299</v>
          </cell>
          <cell r="B593" t="str">
            <v>Escavação mecânica em material de 3ª cat. H-&gt; 3,00 a 4,50 m com esgotamento</v>
          </cell>
          <cell r="C593" t="str">
            <v>m³</v>
          </cell>
          <cell r="D593" t="str">
            <v>138,54</v>
          </cell>
          <cell r="E593">
            <v>0</v>
          </cell>
        </row>
        <row r="594">
          <cell r="A594">
            <v>40327</v>
          </cell>
          <cell r="B594" t="str">
            <v>Escoramento de cavas e valas, inclusive fornecimento e transportes das madeiras</v>
          </cell>
          <cell r="C594" t="str">
            <v>m²</v>
          </cell>
          <cell r="D594" t="str">
            <v>174,46</v>
          </cell>
          <cell r="E594" t="str">
            <v>A incluir</v>
          </cell>
        </row>
        <row r="595">
          <cell r="A595">
            <v>40328</v>
          </cell>
          <cell r="B595" t="str">
            <v>Escoramento e cimbramento (bueiro celular), inclusive fornecimento e transportes das madeiras</v>
          </cell>
          <cell r="C595" t="str">
            <v>m³</v>
          </cell>
          <cell r="D595" t="str">
            <v>105,38</v>
          </cell>
          <cell r="E595" t="str">
            <v>A incluir</v>
          </cell>
        </row>
        <row r="596">
          <cell r="A596">
            <v>0</v>
          </cell>
          <cell r="B596">
            <v>0</v>
          </cell>
          <cell r="C596">
            <v>0</v>
          </cell>
          <cell r="E596" t="e">
            <v>#N/A</v>
          </cell>
        </row>
        <row r="597">
          <cell r="A597">
            <v>43332</v>
          </cell>
          <cell r="B597" t="str">
            <v>Esgotamento de escavações para rebaixamento do nível dágua nos serviços de bueiros,galerias e outros, com conj. moto bomba</v>
          </cell>
          <cell r="C597" t="str">
            <v>mês</v>
          </cell>
          <cell r="D597" t="str">
            <v>4.966,26</v>
          </cell>
          <cell r="E597">
            <v>0</v>
          </cell>
        </row>
        <row r="598">
          <cell r="A598">
            <v>40316</v>
          </cell>
          <cell r="B598" t="str">
            <v>Forma especial de madeira para meio fio, inclusive fornecimento e transporte das madeiras</v>
          </cell>
          <cell r="C598" t="str">
            <v>m²</v>
          </cell>
          <cell r="D598" t="str">
            <v>66,96</v>
          </cell>
          <cell r="E598" t="str">
            <v>A incluir</v>
          </cell>
        </row>
        <row r="599">
          <cell r="A599">
            <v>40317</v>
          </cell>
          <cell r="B599" t="str">
            <v>Forma especial de madeira para sarjeta (gabarito), inclusive fornecimento e transporte da madeira</v>
          </cell>
          <cell r="C599" t="str">
            <v>m²</v>
          </cell>
          <cell r="D599" t="str">
            <v>58,03</v>
          </cell>
          <cell r="E599" t="str">
            <v>A incluir</v>
          </cell>
        </row>
        <row r="600">
          <cell r="A600">
            <v>40318</v>
          </cell>
          <cell r="B600" t="str">
            <v>Forma metálica para meio fio</v>
          </cell>
          <cell r="C600" t="str">
            <v>m²</v>
          </cell>
          <cell r="D600" t="str">
            <v>6,13</v>
          </cell>
          <cell r="E600">
            <v>0</v>
          </cell>
        </row>
        <row r="601">
          <cell r="A601">
            <v>40311</v>
          </cell>
          <cell r="B601" t="str">
            <v>Formas planas de madeira com 01 (um) reaproveitamento, inclusive fornecimento e transporte das madeiras</v>
          </cell>
          <cell r="C601" t="str">
            <v>m²</v>
          </cell>
          <cell r="D601" t="str">
            <v>95,23</v>
          </cell>
          <cell r="E601" t="str">
            <v>A incluir</v>
          </cell>
        </row>
        <row r="602">
          <cell r="A602">
            <v>40312</v>
          </cell>
          <cell r="B602" t="str">
            <v>Formas planas de madeira com 02 (dois) reaproveitamentos, inclusive fornecimento e transporte das madeiras</v>
          </cell>
          <cell r="C602" t="str">
            <v>m²</v>
          </cell>
          <cell r="D602" t="str">
            <v>78,87</v>
          </cell>
          <cell r="E602" t="str">
            <v>A incluir</v>
          </cell>
        </row>
        <row r="603">
          <cell r="A603">
            <v>40313</v>
          </cell>
          <cell r="B603" t="str">
            <v>Formas planas de madeira com 04 (quatro) reaproveitamentos, inclusive fornecimento e transporte das madeiras</v>
          </cell>
          <cell r="C603" t="str">
            <v>m²</v>
          </cell>
          <cell r="D603" t="str">
            <v>66,20</v>
          </cell>
          <cell r="E603" t="str">
            <v>A incluir</v>
          </cell>
        </row>
        <row r="604">
          <cell r="A604">
            <v>40310</v>
          </cell>
          <cell r="B604" t="str">
            <v>Formas planas de madeira sem reaproveitamento (forma perdida), inclusive fornecimento e transporte das madeiras</v>
          </cell>
          <cell r="C604" t="str">
            <v>m²</v>
          </cell>
          <cell r="D604" t="str">
            <v>141,82</v>
          </cell>
          <cell r="E604" t="str">
            <v>A incluir</v>
          </cell>
        </row>
        <row r="605">
          <cell r="A605">
            <v>40748</v>
          </cell>
          <cell r="B605" t="str">
            <v>Gabião manta/colchão, malha hex 6x8mm Zn-Al/PVC, e-&gt;2,8mm,h-&gt;0,23m, inclus.aquis./assentam. pedra mão, exclus. transp. p/ revestim. canal</v>
          </cell>
          <cell r="C605" t="str">
            <v>m²</v>
          </cell>
          <cell r="D605" t="str">
            <v>153,55</v>
          </cell>
          <cell r="E605">
            <v>0</v>
          </cell>
        </row>
        <row r="606">
          <cell r="A606">
            <v>41400</v>
          </cell>
          <cell r="B606" t="str">
            <v>Gabiões com caixas e sacos galvanizados, com geotêxtil não tecido RT 07 kN/m, incluisve transp. de madeira e pedra de mão</v>
          </cell>
          <cell r="C606" t="str">
            <v>m³</v>
          </cell>
          <cell r="D606" t="str">
            <v>318,31</v>
          </cell>
          <cell r="E606" t="str">
            <v>A incluir</v>
          </cell>
        </row>
        <row r="607">
          <cell r="A607">
            <v>40726</v>
          </cell>
          <cell r="B607" t="str">
            <v>Gabiões com caixas galvanizadas com utilização de geotêxtil não tecido RT 07 kN/m, inclus. transp. madeira e pedra mão</v>
          </cell>
          <cell r="C607" t="str">
            <v>m³</v>
          </cell>
          <cell r="D607" t="str">
            <v>303,03</v>
          </cell>
          <cell r="E607" t="str">
            <v>A incluir</v>
          </cell>
        </row>
        <row r="608">
          <cell r="A608">
            <v>40725</v>
          </cell>
          <cell r="B608" t="str">
            <v>Gabiões com caixas galvanizadas, sem manta</v>
          </cell>
          <cell r="C608" t="str">
            <v>m³</v>
          </cell>
          <cell r="D608" t="str">
            <v>299,73</v>
          </cell>
          <cell r="E608" t="str">
            <v>A incluir</v>
          </cell>
        </row>
        <row r="609">
          <cell r="A609">
            <v>41394</v>
          </cell>
          <cell r="B609" t="str">
            <v>Geogrelha com resistência londitudinal a tração 35 a 40 kN, resist. transversal a tração 30 kN, fornecimento e aplicação</v>
          </cell>
          <cell r="C609" t="str">
            <v>m²</v>
          </cell>
          <cell r="D609" t="str">
            <v>22,49</v>
          </cell>
          <cell r="E609">
            <v>0</v>
          </cell>
        </row>
        <row r="610">
          <cell r="A610">
            <v>41393</v>
          </cell>
          <cell r="B610" t="str">
            <v>Geogrelha com resistência londitudinal a tração 55 a 60 kN, resist. transversal a tração 30 kN, fornecimento e aplicação</v>
          </cell>
          <cell r="C610" t="str">
            <v>m²</v>
          </cell>
          <cell r="D610" t="str">
            <v>26,22</v>
          </cell>
          <cell r="E610">
            <v>0</v>
          </cell>
        </row>
        <row r="611">
          <cell r="A611">
            <v>41391</v>
          </cell>
          <cell r="B611" t="str">
            <v>Geogrelha com resistência longitudinal a tração 300 kN, resist. transversal a tração 30 kN, fornecimento e aplicação</v>
          </cell>
          <cell r="C611" t="str">
            <v>m²</v>
          </cell>
          <cell r="D611" t="str">
            <v>70,81</v>
          </cell>
          <cell r="E611">
            <v>0</v>
          </cell>
        </row>
        <row r="612">
          <cell r="A612">
            <v>41392</v>
          </cell>
          <cell r="B612" t="str">
            <v>Geogrelha com resistência longitudinal a tração 80 a 90 kN, resist. transversal a tração 30 kN, fornecimento e aplicação</v>
          </cell>
          <cell r="C612" t="str">
            <v>m²</v>
          </cell>
          <cell r="D612" t="str">
            <v>32,69</v>
          </cell>
          <cell r="E612">
            <v>0</v>
          </cell>
        </row>
        <row r="613">
          <cell r="A613">
            <v>41197</v>
          </cell>
          <cell r="B613" t="str">
            <v>Geogrelha monodirecional 200KN, fornecimento e assentamento</v>
          </cell>
          <cell r="C613" t="str">
            <v>m²</v>
          </cell>
          <cell r="D613" t="str">
            <v>54,70</v>
          </cell>
          <cell r="E613">
            <v>0</v>
          </cell>
        </row>
        <row r="614">
          <cell r="A614">
            <v>40709</v>
          </cell>
          <cell r="B614" t="str">
            <v>Geogrelha tecida bidirecional de polipropileno de alto módulo inicial c/ módulo de rigidez nominal -&gt; 400KN/m nas duas direções, fornecimento/aplicação</v>
          </cell>
          <cell r="C614" t="str">
            <v>m²</v>
          </cell>
          <cell r="D614" t="str">
            <v>18,97</v>
          </cell>
          <cell r="E614">
            <v>0</v>
          </cell>
        </row>
        <row r="615">
          <cell r="A615">
            <v>40721</v>
          </cell>
          <cell r="B615" t="str">
            <v>Lastro de brita, inclusive transporte da brita</v>
          </cell>
          <cell r="C615" t="str">
            <v>m³</v>
          </cell>
          <cell r="D615" t="str">
            <v>96,91</v>
          </cell>
          <cell r="E615" t="str">
            <v>A incluir</v>
          </cell>
        </row>
        <row r="616">
          <cell r="A616">
            <v>40396</v>
          </cell>
          <cell r="B616" t="str">
            <v>Limpeza e apicoamento manual de superfície de rocha</v>
          </cell>
          <cell r="C616" t="str">
            <v>m²</v>
          </cell>
          <cell r="D616" t="str">
            <v>26,80</v>
          </cell>
          <cell r="E616">
            <v>0</v>
          </cell>
        </row>
        <row r="617">
          <cell r="A617">
            <v>40744</v>
          </cell>
          <cell r="B617" t="str">
            <v>Limpeza e desobstrução de BDTC e BDCC</v>
          </cell>
          <cell r="C617" t="str">
            <v>m</v>
          </cell>
          <cell r="D617" t="str">
            <v>24,17</v>
          </cell>
          <cell r="E617">
            <v>0</v>
          </cell>
        </row>
        <row r="618">
          <cell r="A618">
            <v>40746</v>
          </cell>
          <cell r="B618" t="str">
            <v>Limpeza e desobstrução de BQTC</v>
          </cell>
          <cell r="C618" t="str">
            <v>m</v>
          </cell>
          <cell r="D618" t="str">
            <v>47,06</v>
          </cell>
          <cell r="E618">
            <v>0</v>
          </cell>
        </row>
        <row r="619">
          <cell r="A619">
            <v>40743</v>
          </cell>
          <cell r="B619" t="str">
            <v>Limpeza e desobstrução de BSTC e BSCC</v>
          </cell>
          <cell r="C619" t="str">
            <v>m</v>
          </cell>
          <cell r="D619" t="str">
            <v>12,72</v>
          </cell>
          <cell r="E619">
            <v>0</v>
          </cell>
        </row>
        <row r="620">
          <cell r="A620">
            <v>40745</v>
          </cell>
          <cell r="B620" t="str">
            <v>Limpeza e desobstrução de BTTC e BTCC</v>
          </cell>
          <cell r="C620" t="str">
            <v>m</v>
          </cell>
          <cell r="D620" t="str">
            <v>35,62</v>
          </cell>
          <cell r="E620">
            <v>0</v>
          </cell>
        </row>
        <row r="621">
          <cell r="A621">
            <v>40397</v>
          </cell>
          <cell r="B621" t="str">
            <v>Limpeza e preparo de superfície de aço</v>
          </cell>
          <cell r="C621" t="str">
            <v>m²</v>
          </cell>
          <cell r="D621" t="str">
            <v>70,12</v>
          </cell>
          <cell r="E621">
            <v>0</v>
          </cell>
        </row>
        <row r="622">
          <cell r="A622">
            <v>41221</v>
          </cell>
          <cell r="B622" t="str">
            <v>Lona plástica preta para isolamento de concretagem sobre solo, fornecimento e colocação</v>
          </cell>
          <cell r="C622" t="str">
            <v>m²</v>
          </cell>
          <cell r="D622" t="str">
            <v>3,30</v>
          </cell>
          <cell r="E622">
            <v>0</v>
          </cell>
        </row>
        <row r="623">
          <cell r="A623">
            <v>41401</v>
          </cell>
          <cell r="B623" t="str">
            <v>Manta Geotêxtil não tecida com resistência longitudinal a tração 10kN/m, fornecimento e aplicação</v>
          </cell>
          <cell r="C623" t="str">
            <v>m²</v>
          </cell>
          <cell r="D623" t="str">
            <v>5,97</v>
          </cell>
          <cell r="E623">
            <v>0</v>
          </cell>
        </row>
        <row r="624">
          <cell r="A624">
            <v>40714</v>
          </cell>
          <cell r="B624" t="str">
            <v>Manta Geotêxtil não tecida RT - 16 kn/m, fornecimento e aplicação</v>
          </cell>
          <cell r="C624" t="str">
            <v>m²</v>
          </cell>
          <cell r="D624" t="str">
            <v>8,50</v>
          </cell>
          <cell r="E624">
            <v>0</v>
          </cell>
        </row>
        <row r="625">
          <cell r="A625">
            <v>40660</v>
          </cell>
          <cell r="B625" t="str">
            <v>Meio fio de concreto DP-1, inclusive caiação</v>
          </cell>
          <cell r="C625" t="str">
            <v>m</v>
          </cell>
          <cell r="D625" t="str">
            <v>50,72</v>
          </cell>
          <cell r="E625">
            <v>0</v>
          </cell>
        </row>
        <row r="626">
          <cell r="A626">
            <v>40661</v>
          </cell>
          <cell r="B626" t="str">
            <v>Meio fio de concreto MFC 01, inclusive caiação</v>
          </cell>
          <cell r="C626" t="str">
            <v>m</v>
          </cell>
          <cell r="D626" t="str">
            <v>101,48</v>
          </cell>
          <cell r="E626">
            <v>0</v>
          </cell>
        </row>
        <row r="627">
          <cell r="A627">
            <v>40662</v>
          </cell>
          <cell r="B627" t="str">
            <v>Meio fio de concreto MFC 05, inclusive caiação</v>
          </cell>
          <cell r="C627" t="str">
            <v>m</v>
          </cell>
          <cell r="D627" t="str">
            <v>53,86</v>
          </cell>
          <cell r="E627">
            <v>0</v>
          </cell>
        </row>
        <row r="628">
          <cell r="A628">
            <v>40663</v>
          </cell>
          <cell r="B628" t="str">
            <v>Meio fio de concreto pré-moldado (12 x 30 x 15) cm, inclusive caiação e transporte do meio fio</v>
          </cell>
          <cell r="C628" t="str">
            <v>m</v>
          </cell>
          <cell r="D628" t="str">
            <v>45,65</v>
          </cell>
          <cell r="E628" t="str">
            <v>A incluir</v>
          </cell>
        </row>
        <row r="629">
          <cell r="A629">
            <v>41018</v>
          </cell>
          <cell r="B629" t="str">
            <v>Meio fio de concreto pré-moldado (1,20m x 0,12m x 0,15m x 0,30m), exclusive transporte</v>
          </cell>
          <cell r="C629" t="str">
            <v>m</v>
          </cell>
          <cell r="D629" t="str">
            <v>46,03</v>
          </cell>
          <cell r="E629">
            <v>0</v>
          </cell>
        </row>
        <row r="630">
          <cell r="A630">
            <v>40665</v>
          </cell>
          <cell r="B630" t="str">
            <v>Meio fio de pedra (fornecimento e assentamento), inclusive caiação e transporte do meio fio</v>
          </cell>
          <cell r="C630" t="str">
            <v>m</v>
          </cell>
          <cell r="D630" t="str">
            <v>48,27</v>
          </cell>
          <cell r="E630" t="str">
            <v>A incluir</v>
          </cell>
        </row>
        <row r="631">
          <cell r="A631">
            <v>40659</v>
          </cell>
          <cell r="B631" t="str">
            <v>Meio fio sarjeta de concreto tipo DP-1 (0,035 m³/m) inclusive caiação</v>
          </cell>
          <cell r="C631" t="str">
            <v>m</v>
          </cell>
          <cell r="D631" t="str">
            <v>46,23</v>
          </cell>
          <cell r="E631">
            <v>0</v>
          </cell>
        </row>
        <row r="632">
          <cell r="A632">
            <v>41024</v>
          </cell>
          <cell r="B632" t="str">
            <v>Montagem e desmontagem de escoramento tubular normal, em obras de arte na densidade de 5m de tubo por m³ de escoramento</v>
          </cell>
          <cell r="C632" t="str">
            <v>m</v>
          </cell>
          <cell r="D632" t="str">
            <v>15,71</v>
          </cell>
          <cell r="E632">
            <v>0</v>
          </cell>
        </row>
        <row r="633">
          <cell r="A633">
            <v>40657</v>
          </cell>
          <cell r="B633" t="str">
            <v>Mureta de corte em rocha</v>
          </cell>
          <cell r="C633" t="str">
            <v>m</v>
          </cell>
          <cell r="D633" t="str">
            <v>168,03</v>
          </cell>
          <cell r="E633">
            <v>0</v>
          </cell>
        </row>
        <row r="634">
          <cell r="A634">
            <v>41395</v>
          </cell>
          <cell r="B634" t="str">
            <v>Muro com Terramesh System ou similar, altura H&lt;-&gt; 4,00 metros (4 cx 1x1x4m), tudo incluído</v>
          </cell>
          <cell r="C634" t="str">
            <v>m²</v>
          </cell>
          <cell r="D634" t="str">
            <v>576,45</v>
          </cell>
          <cell r="E634" t="str">
            <v>A incluir</v>
          </cell>
        </row>
        <row r="635">
          <cell r="A635">
            <v>41396</v>
          </cell>
          <cell r="B635" t="str">
            <v>Muro com Terramesh System ou similar, altura 4,00 &lt; H &lt;-&gt; 5,00 metros (3 cx 1x1x4m e 4 cx 0,5x1x4m) , execução, tudo incluído</v>
          </cell>
          <cell r="C635" t="str">
            <v>m²</v>
          </cell>
          <cell r="D635" t="str">
            <v>675,64</v>
          </cell>
          <cell r="E635" t="str">
            <v>A incluir</v>
          </cell>
        </row>
        <row r="636">
          <cell r="A636">
            <v>41397</v>
          </cell>
          <cell r="B636" t="str">
            <v>Muro com Terramesh System ou similar, altura 5,00 &lt; H &lt;-&gt; 6,00 metros (4 cx 1x1x4m e 4 cx 0,5x1x4m) , tudo incluído</v>
          </cell>
          <cell r="C636" t="str">
            <v>m²</v>
          </cell>
          <cell r="D636" t="str">
            <v>660,98</v>
          </cell>
          <cell r="E636" t="str">
            <v>A incluir</v>
          </cell>
        </row>
        <row r="637">
          <cell r="A637">
            <v>41398</v>
          </cell>
          <cell r="B637" t="str">
            <v>Muro com Terramesh System ou similar, altura 6,00 &lt; H &lt;-&gt; 7,50 metros (3cx 1x1x4m, 2cx 1x1x5 e 5cx 0,5x1x6m), tudo incluído</v>
          </cell>
          <cell r="C637" t="str">
            <v>m²</v>
          </cell>
          <cell r="D637" t="str">
            <v>701,49</v>
          </cell>
          <cell r="E637" t="str">
            <v>A incluir</v>
          </cell>
        </row>
        <row r="638">
          <cell r="A638">
            <v>41399</v>
          </cell>
          <cell r="B638" t="str">
            <v>Muro com Terramesh System ou similar, altura 7,50 &lt; H &lt;-&gt; 9,00 metros (4 cx 1x1x4m, 2 cx 1x1x5, 3 cx 0,5x1x6m e 3cx 0,5x1x7), tudo incluído</v>
          </cell>
          <cell r="C638" t="str">
            <v>m²</v>
          </cell>
          <cell r="D638" t="str">
            <v>710,69</v>
          </cell>
          <cell r="E638" t="str">
            <v>A incluir</v>
          </cell>
        </row>
        <row r="639">
          <cell r="A639">
            <v>40654</v>
          </cell>
          <cell r="B639" t="str">
            <v>Muro de testa em concreto para saída de dreno profundo em rocha, inclusive transporte do tubo</v>
          </cell>
          <cell r="C639" t="str">
            <v>un</v>
          </cell>
          <cell r="D639" t="str">
            <v>524,14</v>
          </cell>
          <cell r="E639" t="str">
            <v>A incluir</v>
          </cell>
        </row>
        <row r="640">
          <cell r="A640">
            <v>40653</v>
          </cell>
          <cell r="B640" t="str">
            <v>Muro de testa em concreto para saída de dreno profundo em solo, inclusive transporte do tubo</v>
          </cell>
          <cell r="C640" t="str">
            <v>un</v>
          </cell>
          <cell r="D640" t="str">
            <v>580,05</v>
          </cell>
          <cell r="E640" t="str">
            <v>A incluir</v>
          </cell>
        </row>
        <row r="641">
          <cell r="A641">
            <v>41337</v>
          </cell>
          <cell r="B641" t="str">
            <v>Passagem d'água 1,10 x 1,00 - Canteiro</v>
          </cell>
          <cell r="C641" t="str">
            <v>un</v>
          </cell>
          <cell r="D641" t="str">
            <v>266,23</v>
          </cell>
          <cell r="E641" t="str">
            <v>A incluir</v>
          </cell>
        </row>
        <row r="642">
          <cell r="A642">
            <v>40719</v>
          </cell>
          <cell r="B642" t="str">
            <v>Pedra de mão para (concreto ciclópico ou alvenaria) rocha paga em medição</v>
          </cell>
          <cell r="C642" t="str">
            <v>m³</v>
          </cell>
          <cell r="D642" t="str">
            <v>41,09</v>
          </cell>
          <cell r="E642">
            <v>0</v>
          </cell>
        </row>
        <row r="643">
          <cell r="A643">
            <v>41019</v>
          </cell>
          <cell r="B643" t="str">
            <v>Perfuração rotativa inclinada, em rocha sã, com coroa de diamante, diâmetro N (75mm), inclusive deslocamento e posicionamento em cada furo.</v>
          </cell>
          <cell r="C643" t="str">
            <v>m</v>
          </cell>
          <cell r="D643" t="str">
            <v>524,15</v>
          </cell>
          <cell r="E643">
            <v>0</v>
          </cell>
        </row>
        <row r="644">
          <cell r="A644">
            <v>40557</v>
          </cell>
          <cell r="B644" t="str">
            <v>Pescoço de poço de visita H-&gt;0,30 m, diâm. -&gt; 0,60 m, fornecimento, assentamento e transporte</v>
          </cell>
          <cell r="C644" t="str">
            <v>un</v>
          </cell>
          <cell r="D644" t="str">
            <v>124,67</v>
          </cell>
          <cell r="E644" t="str">
            <v>A incluir</v>
          </cell>
        </row>
        <row r="645">
          <cell r="A645">
            <v>40391</v>
          </cell>
          <cell r="B645" t="str">
            <v>Pintura com nata de cimento</v>
          </cell>
          <cell r="C645" t="str">
            <v>m²</v>
          </cell>
          <cell r="D645" t="str">
            <v>4,53</v>
          </cell>
          <cell r="E645">
            <v>0</v>
          </cell>
        </row>
        <row r="646">
          <cell r="A646">
            <v>40380</v>
          </cell>
          <cell r="B646" t="str">
            <v>Pintura interna ou externa sobre ferro, com tinta a base de resina de borracha clorada</v>
          </cell>
          <cell r="C646" t="str">
            <v>m²</v>
          </cell>
          <cell r="D646" t="str">
            <v>41,27</v>
          </cell>
          <cell r="E646">
            <v>0</v>
          </cell>
        </row>
        <row r="647">
          <cell r="A647">
            <v>40399</v>
          </cell>
          <cell r="B647" t="str">
            <v>Placas pré-moldadas para passeio</v>
          </cell>
          <cell r="C647" t="str">
            <v>m²</v>
          </cell>
          <cell r="D647" t="str">
            <v>160,79</v>
          </cell>
          <cell r="E647">
            <v>0</v>
          </cell>
        </row>
        <row r="648">
          <cell r="A648">
            <v>41028</v>
          </cell>
          <cell r="B648" t="str">
            <v>Plataforma ou passarela de pinho de 1ª ou similar, 1" x 12"</v>
          </cell>
          <cell r="C648" t="str">
            <v>m²</v>
          </cell>
          <cell r="D648" t="str">
            <v>2,33</v>
          </cell>
          <cell r="E648">
            <v>0</v>
          </cell>
        </row>
        <row r="649">
          <cell r="A649">
            <v>41167</v>
          </cell>
          <cell r="B649" t="str">
            <v>Poço de visita em bloco pré-moldado para d-&gt;0,30 e 0,40m (0,80x0,80m)</v>
          </cell>
          <cell r="C649" t="str">
            <v>un</v>
          </cell>
          <cell r="D649" t="str">
            <v>2.096,37</v>
          </cell>
          <cell r="E649">
            <v>0</v>
          </cell>
        </row>
        <row r="650">
          <cell r="A650">
            <v>41168</v>
          </cell>
          <cell r="B650" t="str">
            <v>Poço de visita em bloco pré-moldado para d-&gt;0,60m (1,00x1,00m)</v>
          </cell>
          <cell r="C650" t="str">
            <v>un</v>
          </cell>
          <cell r="D650" t="str">
            <v>2.456,68</v>
          </cell>
          <cell r="E650">
            <v>0</v>
          </cell>
        </row>
        <row r="651">
          <cell r="A651">
            <v>40570</v>
          </cell>
          <cell r="B651" t="str">
            <v>Poço de visita para BDTC diam. 1,00 m - tudo incluido</v>
          </cell>
          <cell r="C651" t="str">
            <v>un</v>
          </cell>
          <cell r="D651" t="str">
            <v>9.161,72</v>
          </cell>
          <cell r="E651" t="str">
            <v>A incluir</v>
          </cell>
        </row>
        <row r="652">
          <cell r="A652">
            <v>41115</v>
          </cell>
          <cell r="B652" t="str">
            <v>Poço de Visita para BSTC diâm. 0,40m em blocos de concreto</v>
          </cell>
          <cell r="C652" t="str">
            <v>un</v>
          </cell>
          <cell r="D652" t="str">
            <v>1.154,69</v>
          </cell>
          <cell r="E652">
            <v>0</v>
          </cell>
        </row>
        <row r="653">
          <cell r="A653">
            <v>41116</v>
          </cell>
          <cell r="B653" t="str">
            <v>Poço de visita para BSTC diâm. 0,60m em blocos de concreto</v>
          </cell>
          <cell r="C653" t="str">
            <v>un</v>
          </cell>
          <cell r="D653" t="str">
            <v>1.542,88</v>
          </cell>
          <cell r="E653">
            <v>0</v>
          </cell>
        </row>
        <row r="654">
          <cell r="A654">
            <v>41117</v>
          </cell>
          <cell r="B654" t="str">
            <v>Poço de visita para BSTC diâm. 0,80m em blocos de concreto</v>
          </cell>
          <cell r="C654" t="str">
            <v>un</v>
          </cell>
          <cell r="D654" t="str">
            <v>1.920,54</v>
          </cell>
          <cell r="E654">
            <v>0</v>
          </cell>
        </row>
        <row r="655">
          <cell r="A655">
            <v>40572</v>
          </cell>
          <cell r="B655" t="str">
            <v>Poço de visita para BTTC diam. 1,20 m - tudo incluído</v>
          </cell>
          <cell r="C655" t="str">
            <v>un</v>
          </cell>
          <cell r="D655" t="str">
            <v>15.032,99</v>
          </cell>
          <cell r="E655" t="str">
            <v>A incluir</v>
          </cell>
        </row>
        <row r="656">
          <cell r="A656">
            <v>40553</v>
          </cell>
          <cell r="B656" t="str">
            <v>Poço de visita (tubo D-&gt;0,40 m) H-&gt;1,50 m com tampão F.F.A.P., inclusive escavação e transporte do tampão</v>
          </cell>
          <cell r="C656" t="str">
            <v>un</v>
          </cell>
          <cell r="D656" t="str">
            <v>3.291,35</v>
          </cell>
          <cell r="E656" t="str">
            <v>A incluir</v>
          </cell>
        </row>
        <row r="657">
          <cell r="A657">
            <v>40554</v>
          </cell>
          <cell r="B657" t="str">
            <v>Poço de visita (tubo D-&gt;0,60 m) H-&gt;1,70 m com tampão F.F.A.P., inclusive escavação e transporte do tampão</v>
          </cell>
          <cell r="C657" t="str">
            <v>un</v>
          </cell>
          <cell r="D657" t="str">
            <v>3.660,80</v>
          </cell>
          <cell r="E657" t="str">
            <v>A incluir</v>
          </cell>
        </row>
        <row r="658">
          <cell r="A658">
            <v>40555</v>
          </cell>
          <cell r="B658" t="str">
            <v>Poço de visita (tubo D-&gt;0,80 m) H-&gt;1,90 m com tampão F.F.A.P., inclusive escavação e transporte do tampão</v>
          </cell>
          <cell r="C658" t="str">
            <v>un</v>
          </cell>
          <cell r="D658" t="str">
            <v>4.030,22</v>
          </cell>
          <cell r="E658" t="str">
            <v>A incluir</v>
          </cell>
        </row>
        <row r="659">
          <cell r="A659">
            <v>40556</v>
          </cell>
          <cell r="B659" t="str">
            <v>Poço de visita (tubo D-&gt;1,00 m) H-&gt;2,10 m com tampão F.F.A.P., inclusive escavação e transporte do tampão</v>
          </cell>
          <cell r="C659" t="str">
            <v>un</v>
          </cell>
          <cell r="D659" t="str">
            <v>4.399,61</v>
          </cell>
          <cell r="E659" t="str">
            <v>A incluir</v>
          </cell>
        </row>
        <row r="660">
          <cell r="A660">
            <v>41086</v>
          </cell>
          <cell r="B660" t="str">
            <v>Preparo manual de talude, compreendendo acerto, raspagem eventual de até 0,30m de prof. e afastamento lateral</v>
          </cell>
          <cell r="C660" t="str">
            <v>m²</v>
          </cell>
          <cell r="D660" t="str">
            <v>8,14</v>
          </cell>
          <cell r="E660">
            <v>0</v>
          </cell>
        </row>
        <row r="661">
          <cell r="A661">
            <v>41021</v>
          </cell>
          <cell r="B661" t="str">
            <v>Preparo manual de terreno, compreendendo acerto raspagem até 25cm de profundidade e afastamento lateral do material excedente</v>
          </cell>
          <cell r="C661" t="str">
            <v>m²</v>
          </cell>
          <cell r="D661" t="str">
            <v>6,53</v>
          </cell>
          <cell r="E661">
            <v>0</v>
          </cell>
        </row>
        <row r="662">
          <cell r="A662">
            <v>40304</v>
          </cell>
          <cell r="B662" t="str">
            <v>Reaterro com areia, tudo incluído</v>
          </cell>
          <cell r="C662" t="str">
            <v>m³</v>
          </cell>
          <cell r="D662" t="str">
            <v>65,17</v>
          </cell>
          <cell r="E662" t="str">
            <v>A incluir</v>
          </cell>
        </row>
        <row r="663">
          <cell r="A663">
            <v>40302</v>
          </cell>
          <cell r="B663" t="str">
            <v>Reaterro de cavas c/ compactação manual (apiloamento)</v>
          </cell>
          <cell r="C663" t="str">
            <v>m³</v>
          </cell>
          <cell r="D663" t="str">
            <v>50,95</v>
          </cell>
          <cell r="E663">
            <v>0</v>
          </cell>
        </row>
        <row r="664">
          <cell r="A664">
            <v>40301</v>
          </cell>
          <cell r="B664" t="str">
            <v>Reaterro de cavas c/ compactação manual (apiloamento) (dim. reduz.)</v>
          </cell>
          <cell r="C664" t="str">
            <v>m³</v>
          </cell>
          <cell r="D664" t="str">
            <v>73,85</v>
          </cell>
          <cell r="E664">
            <v>0</v>
          </cell>
        </row>
        <row r="665">
          <cell r="A665">
            <v>40303</v>
          </cell>
          <cell r="B665" t="str">
            <v>Reaterro de cavas c/ compactação mecânica (compactador manual)</v>
          </cell>
          <cell r="C665" t="str">
            <v>m³</v>
          </cell>
          <cell r="D665" t="str">
            <v>32,67</v>
          </cell>
          <cell r="E665">
            <v>0</v>
          </cell>
        </row>
        <row r="666">
          <cell r="A666">
            <v>40559</v>
          </cell>
          <cell r="B666" t="str">
            <v>Recuperação de poço de visita inclusive fornecimento tampão F.F.A.P.</v>
          </cell>
          <cell r="C666" t="str">
            <v>un</v>
          </cell>
          <cell r="D666" t="str">
            <v>528,55</v>
          </cell>
          <cell r="E666" t="str">
            <v>A incluir</v>
          </cell>
        </row>
        <row r="667">
          <cell r="A667">
            <v>41339</v>
          </cell>
          <cell r="B667" t="str">
            <v>Rede de dutos 65mm (duplo), envelopada com brita 3</v>
          </cell>
          <cell r="C667" t="str">
            <v>m</v>
          </cell>
          <cell r="D667" t="str">
            <v>71,95</v>
          </cell>
          <cell r="E667">
            <v>0</v>
          </cell>
        </row>
        <row r="668">
          <cell r="A668">
            <v>41332</v>
          </cell>
          <cell r="B668" t="str">
            <v>Rede em PVC Vinilfort ou similar DN -&gt; 200mm</v>
          </cell>
          <cell r="C668" t="str">
            <v>m</v>
          </cell>
          <cell r="D668" t="str">
            <v>204,94</v>
          </cell>
          <cell r="E668">
            <v>0</v>
          </cell>
        </row>
        <row r="669">
          <cell r="A669">
            <v>41224</v>
          </cell>
          <cell r="B669" t="str">
            <v>Religação de rede de água em PVC DN 20mm, inclusive conexões</v>
          </cell>
          <cell r="C669" t="str">
            <v>m</v>
          </cell>
          <cell r="D669" t="str">
            <v>14,12</v>
          </cell>
          <cell r="E669">
            <v>0</v>
          </cell>
        </row>
        <row r="670">
          <cell r="A670">
            <v>41225</v>
          </cell>
          <cell r="B670" t="str">
            <v>Religação de rede de água em PVC DN 25mm, incluisve conexões</v>
          </cell>
          <cell r="C670" t="str">
            <v>m</v>
          </cell>
          <cell r="D670" t="str">
            <v>17,18</v>
          </cell>
          <cell r="E670">
            <v>0</v>
          </cell>
        </row>
        <row r="671">
          <cell r="A671">
            <v>41226</v>
          </cell>
          <cell r="B671" t="str">
            <v>Religação de rede de água em PVC DN 32mm, incluisve conexões</v>
          </cell>
          <cell r="C671" t="str">
            <v>m</v>
          </cell>
          <cell r="D671" t="str">
            <v>20,63</v>
          </cell>
          <cell r="E671">
            <v>0</v>
          </cell>
        </row>
        <row r="672">
          <cell r="A672">
            <v>41060</v>
          </cell>
          <cell r="B672" t="str">
            <v>Religação de rede de água em PVC DN 75mm, inclusive conexões</v>
          </cell>
          <cell r="C672" t="str">
            <v>m</v>
          </cell>
          <cell r="D672" t="str">
            <v>49,11</v>
          </cell>
          <cell r="E672">
            <v>0</v>
          </cell>
        </row>
        <row r="673">
          <cell r="A673">
            <v>41059</v>
          </cell>
          <cell r="B673" t="str">
            <v>Religação de rede de água em PVC PBA CL 15 DN 100mm, inclusive conexões</v>
          </cell>
          <cell r="C673" t="str">
            <v>m</v>
          </cell>
          <cell r="D673" t="str">
            <v>76,79</v>
          </cell>
          <cell r="E673">
            <v>0</v>
          </cell>
        </row>
        <row r="674">
          <cell r="A674">
            <v>40567</v>
          </cell>
          <cell r="B674" t="str">
            <v>Remanejamento de ligação e religação de redes de esgoto</v>
          </cell>
          <cell r="C674" t="str">
            <v>m</v>
          </cell>
          <cell r="D674" t="str">
            <v>62,58</v>
          </cell>
          <cell r="E674">
            <v>0</v>
          </cell>
        </row>
        <row r="675">
          <cell r="A675">
            <v>40747</v>
          </cell>
          <cell r="B675" t="str">
            <v>Remoção de bueiros existentes</v>
          </cell>
          <cell r="C675" t="str">
            <v>m</v>
          </cell>
          <cell r="D675" t="str">
            <v>99,27</v>
          </cell>
          <cell r="E675">
            <v>0</v>
          </cell>
        </row>
        <row r="676">
          <cell r="A676">
            <v>40727</v>
          </cell>
          <cell r="B676" t="str">
            <v>Rip-rap c/ argamassa cimento areia 1:6, inclusive aquisição e transporte dos materiais</v>
          </cell>
          <cell r="C676" t="str">
            <v>m³</v>
          </cell>
          <cell r="D676" t="str">
            <v>312,46</v>
          </cell>
          <cell r="E676" t="str">
            <v>A incluir</v>
          </cell>
        </row>
        <row r="677">
          <cell r="A677">
            <v>41264</v>
          </cell>
          <cell r="B677" t="str">
            <v>Rip-rap de areia inclusive escavação, transporte e fornecimento de materiais</v>
          </cell>
          <cell r="C677" t="str">
            <v>m³</v>
          </cell>
          <cell r="D677" t="str">
            <v>336,09</v>
          </cell>
          <cell r="E677" t="str">
            <v>A incluir</v>
          </cell>
        </row>
        <row r="678">
          <cell r="A678">
            <v>41239</v>
          </cell>
          <cell r="B678" t="str">
            <v>Rip-rap de solo e cimento (Traço 1:15)</v>
          </cell>
          <cell r="C678" t="str">
            <v>m³</v>
          </cell>
          <cell r="D678" t="str">
            <v>83,76</v>
          </cell>
          <cell r="E678">
            <v>0</v>
          </cell>
        </row>
        <row r="679">
          <cell r="A679">
            <v>40688</v>
          </cell>
          <cell r="B679" t="str">
            <v>Saída d'água concreto armado DP-1 c/ caiação</v>
          </cell>
          <cell r="C679" t="str">
            <v>un</v>
          </cell>
          <cell r="D679" t="str">
            <v>262,39</v>
          </cell>
          <cell r="E679">
            <v>0</v>
          </cell>
        </row>
        <row r="680">
          <cell r="A680">
            <v>40690</v>
          </cell>
          <cell r="B680" t="str">
            <v>Saída d'água concreto p/ aterro c/ caiação (SDA-01)</v>
          </cell>
          <cell r="C680" t="str">
            <v>un</v>
          </cell>
          <cell r="D680" t="str">
            <v>1.293,05</v>
          </cell>
          <cell r="E680">
            <v>0</v>
          </cell>
        </row>
        <row r="681">
          <cell r="A681">
            <v>40691</v>
          </cell>
          <cell r="B681" t="str">
            <v>Saída d'água concreto p/ aterro c/ caiação (SDA-02)</v>
          </cell>
          <cell r="C681" t="str">
            <v>un</v>
          </cell>
          <cell r="D681" t="str">
            <v>1.535,24</v>
          </cell>
          <cell r="E681">
            <v>0</v>
          </cell>
        </row>
        <row r="682">
          <cell r="A682">
            <v>40689</v>
          </cell>
          <cell r="B682" t="str">
            <v>Saída d'água concreto p/ corte c/ caiação (SDC-01)</v>
          </cell>
          <cell r="C682" t="str">
            <v>un</v>
          </cell>
          <cell r="D682" t="str">
            <v>666,22</v>
          </cell>
          <cell r="E682">
            <v>0</v>
          </cell>
        </row>
        <row r="683">
          <cell r="A683">
            <v>40666</v>
          </cell>
          <cell r="B683" t="str">
            <v>Sarjeta de concreto DP-1 (0,081 m³/m) calha triangular, inclusive caiação</v>
          </cell>
          <cell r="C683" t="str">
            <v>m</v>
          </cell>
          <cell r="D683" t="str">
            <v>76,83</v>
          </cell>
          <cell r="E683">
            <v>0</v>
          </cell>
        </row>
        <row r="684">
          <cell r="A684">
            <v>40667</v>
          </cell>
          <cell r="B684" t="str">
            <v>Sarjeta de concreto DP-2 (0,085 m³/m) calha triangular, inclusive caiação</v>
          </cell>
          <cell r="C684" t="str">
            <v>m</v>
          </cell>
          <cell r="D684" t="str">
            <v>80,26</v>
          </cell>
          <cell r="E684">
            <v>0</v>
          </cell>
        </row>
        <row r="685">
          <cell r="A685">
            <v>41180</v>
          </cell>
          <cell r="B685" t="str">
            <v>Sarjeta de concreto SCA 40/10</v>
          </cell>
          <cell r="C685" t="str">
            <v>m</v>
          </cell>
          <cell r="D685" t="str">
            <v>66,86</v>
          </cell>
          <cell r="E685" t="str">
            <v>A incluir</v>
          </cell>
        </row>
        <row r="686">
          <cell r="A686">
            <v>40668</v>
          </cell>
          <cell r="B686" t="str">
            <v>Sarjeta de concreto (SCA 70/15) calha triangular, inclusive caiação</v>
          </cell>
          <cell r="C686" t="str">
            <v>m</v>
          </cell>
          <cell r="D686" t="str">
            <v>90,01</v>
          </cell>
          <cell r="E686">
            <v>0</v>
          </cell>
        </row>
        <row r="687">
          <cell r="A687">
            <v>40982</v>
          </cell>
          <cell r="B687" t="str">
            <v>Sarjeta de concreto (SCA 90/10) calha triangular, inclusive caiação</v>
          </cell>
          <cell r="C687" t="str">
            <v>m</v>
          </cell>
          <cell r="D687" t="str">
            <v>161,36</v>
          </cell>
          <cell r="E687">
            <v>0</v>
          </cell>
        </row>
        <row r="688">
          <cell r="A688">
            <v>41336</v>
          </cell>
          <cell r="B688" t="str">
            <v>Sarjeta de concreto SCC 40/15</v>
          </cell>
          <cell r="C688" t="str">
            <v>m</v>
          </cell>
          <cell r="D688" t="str">
            <v>84,19</v>
          </cell>
          <cell r="E688" t="str">
            <v>A incluir</v>
          </cell>
        </row>
        <row r="689">
          <cell r="A689">
            <v>40669</v>
          </cell>
          <cell r="B689" t="str">
            <v>Sarjeta de concreto (STC - 02) calha triangular em corte/aterro, inclusive caiação</v>
          </cell>
          <cell r="C689" t="str">
            <v>m</v>
          </cell>
          <cell r="D689" t="str">
            <v>74,84</v>
          </cell>
          <cell r="E689">
            <v>0</v>
          </cell>
        </row>
        <row r="690">
          <cell r="A690">
            <v>40670</v>
          </cell>
          <cell r="B690" t="str">
            <v>Sarjeta de concreto (STC - 04) calha triangular de bancada em corte, inclusive caiação</v>
          </cell>
          <cell r="C690" t="str">
            <v>m</v>
          </cell>
          <cell r="D690" t="str">
            <v>55,24</v>
          </cell>
          <cell r="E690">
            <v>0</v>
          </cell>
        </row>
        <row r="691">
          <cell r="A691">
            <v>40560</v>
          </cell>
          <cell r="B691" t="str">
            <v>Tampa de concreto em grelha, fornecimento, assentamento e transporte</v>
          </cell>
          <cell r="C691" t="str">
            <v>un</v>
          </cell>
          <cell r="D691" t="str">
            <v>178,82</v>
          </cell>
          <cell r="E691" t="str">
            <v>A incluir</v>
          </cell>
        </row>
        <row r="692">
          <cell r="A692">
            <v>40558</v>
          </cell>
          <cell r="B692" t="str">
            <v>Tampão F.F.A.P. com 100 kg, fornecimento, assentamento e transporte</v>
          </cell>
          <cell r="C692" t="str">
            <v>un</v>
          </cell>
          <cell r="D692" t="str">
            <v>290,39</v>
          </cell>
          <cell r="E692" t="str">
            <v>A incluir</v>
          </cell>
        </row>
        <row r="693">
          <cell r="A693">
            <v>0</v>
          </cell>
          <cell r="B693">
            <v>0</v>
          </cell>
          <cell r="C693">
            <v>0</v>
          </cell>
          <cell r="E693" t="e">
            <v>#N/A</v>
          </cell>
        </row>
        <row r="694">
          <cell r="A694">
            <v>41029</v>
          </cell>
          <cell r="B694" t="str">
            <v>Tapume de vedação e proteção, executado com chapas de compensado resinado com 6mm de espessura, exclusive pintura</v>
          </cell>
          <cell r="C694" t="str">
            <v>m²</v>
          </cell>
          <cell r="D694" t="str">
            <v>32,16</v>
          </cell>
          <cell r="E694">
            <v>0</v>
          </cell>
        </row>
        <row r="695">
          <cell r="A695">
            <v>41040</v>
          </cell>
          <cell r="B695" t="str">
            <v>Tela de aço soldada Telcon Q-138 ou similar, fornecimento e assentamento.</v>
          </cell>
          <cell r="C695" t="str">
            <v>m²</v>
          </cell>
          <cell r="D695" t="str">
            <v>25,77</v>
          </cell>
          <cell r="E695">
            <v>0</v>
          </cell>
        </row>
        <row r="696">
          <cell r="A696">
            <v>42658</v>
          </cell>
          <cell r="B696" t="str">
            <v>Tela de aço soldada Telcon Q-196 ou similar, fornecimento e assentamento.</v>
          </cell>
          <cell r="C696" t="str">
            <v>m²</v>
          </cell>
          <cell r="D696" t="str">
            <v>30,80</v>
          </cell>
          <cell r="E696">
            <v>0</v>
          </cell>
        </row>
        <row r="697">
          <cell r="A697">
            <v>40655</v>
          </cell>
          <cell r="B697" t="str">
            <v>Terminal de dreno de alívio de pavimento (DP - TDA - 01)</v>
          </cell>
          <cell r="C697" t="str">
            <v>un</v>
          </cell>
          <cell r="D697" t="str">
            <v>293,63</v>
          </cell>
          <cell r="E697" t="str">
            <v>A incluir</v>
          </cell>
        </row>
        <row r="698">
          <cell r="A698">
            <v>41092</v>
          </cell>
          <cell r="B698" t="str">
            <v>Transporte de materiais encosta abaixo, serviço manual, inclusive carga e descarga</v>
          </cell>
          <cell r="C698" t="str">
            <v>t dam</v>
          </cell>
          <cell r="D698" t="str">
            <v>18,52</v>
          </cell>
          <cell r="E698">
            <v>0</v>
          </cell>
        </row>
        <row r="699">
          <cell r="A699">
            <v>41091</v>
          </cell>
          <cell r="B699" t="str">
            <v>Transporte de materiais encosta acima, serviço manual, inclusive carga e descarga</v>
          </cell>
          <cell r="C699" t="str">
            <v>t dam</v>
          </cell>
          <cell r="D699" t="str">
            <v>25,07</v>
          </cell>
          <cell r="E699">
            <v>0</v>
          </cell>
        </row>
        <row r="700">
          <cell r="A700">
            <v>40706</v>
          </cell>
          <cell r="B700" t="str">
            <v>Transposição de segmento de sarjeta - TSS 01, inclusive transporte do tubo de concreto</v>
          </cell>
          <cell r="C700" t="str">
            <v>m</v>
          </cell>
          <cell r="D700" t="str">
            <v>265,31</v>
          </cell>
          <cell r="E700" t="str">
            <v>A incluir</v>
          </cell>
        </row>
        <row r="701">
          <cell r="A701">
            <v>40651</v>
          </cell>
          <cell r="B701" t="str">
            <v>Trincheira drenante cega (0,50 x 1,70) m, inclusive transporte da brita c/ geotêxtil não tecido res.long. mín 16 kn/m</v>
          </cell>
          <cell r="C701" t="str">
            <v>m</v>
          </cell>
          <cell r="D701" t="str">
            <v>324,21</v>
          </cell>
          <cell r="E701" t="str">
            <v>A incluir</v>
          </cell>
        </row>
        <row r="702">
          <cell r="A702">
            <v>41122</v>
          </cell>
          <cell r="B702" t="str">
            <v>Tubo de PVC NBR 5648 diâmetro 50 mm, fornecimento e assentamento</v>
          </cell>
          <cell r="C702" t="str">
            <v>m</v>
          </cell>
          <cell r="D702" t="str">
            <v>15,36</v>
          </cell>
          <cell r="E702">
            <v>0</v>
          </cell>
        </row>
        <row r="703">
          <cell r="A703">
            <v>41123</v>
          </cell>
          <cell r="B703" t="str">
            <v>Tubo de PVC NBR 5648 diâmetro 75 mm, fornecimento e assentamento</v>
          </cell>
          <cell r="C703" t="str">
            <v>m</v>
          </cell>
          <cell r="D703" t="str">
            <v>22,46</v>
          </cell>
          <cell r="E703">
            <v>0</v>
          </cell>
        </row>
        <row r="704">
          <cell r="A704">
            <v>41126</v>
          </cell>
          <cell r="B704" t="str">
            <v>Tubo de PVC PBA diâmetro 300 mm, fornecimento e assentamento</v>
          </cell>
          <cell r="C704" t="str">
            <v>m</v>
          </cell>
          <cell r="D704" t="str">
            <v>177,93</v>
          </cell>
          <cell r="E704">
            <v>0</v>
          </cell>
        </row>
        <row r="705">
          <cell r="A705">
            <v>41125</v>
          </cell>
          <cell r="B705" t="str">
            <v>Tubo de PVC rígido série R diâmetro 100 mm, fornecimento e assentamento</v>
          </cell>
          <cell r="C705" t="str">
            <v>m</v>
          </cell>
          <cell r="D705" t="str">
            <v>20,72</v>
          </cell>
          <cell r="E705">
            <v>0</v>
          </cell>
        </row>
        <row r="706">
          <cell r="A706">
            <v>41119</v>
          </cell>
          <cell r="B706" t="str">
            <v>Tubo irrifort agropecuário diâmetro 32 mm, fornecimento e assentamento</v>
          </cell>
          <cell r="C706" t="str">
            <v>m</v>
          </cell>
          <cell r="D706" t="str">
            <v>5,75</v>
          </cell>
          <cell r="E706">
            <v>0</v>
          </cell>
        </row>
        <row r="707">
          <cell r="A707">
            <v>41114</v>
          </cell>
          <cell r="B707" t="str">
            <v>Tubo para irrigação linha fixa PN40 50 mm, fornecimento e assentamento</v>
          </cell>
          <cell r="C707" t="str">
            <v>m</v>
          </cell>
          <cell r="D707" t="str">
            <v>7,36</v>
          </cell>
          <cell r="E707">
            <v>0</v>
          </cell>
        </row>
        <row r="708">
          <cell r="A708">
            <v>41127</v>
          </cell>
          <cell r="B708" t="str">
            <v>Tubo PVC PBA diâmetro 150 mm, fornecimento e assentamento</v>
          </cell>
          <cell r="C708" t="str">
            <v>m</v>
          </cell>
          <cell r="D708" t="str">
            <v>32,73</v>
          </cell>
          <cell r="E708">
            <v>0</v>
          </cell>
        </row>
        <row r="709">
          <cell r="A709">
            <v>40707</v>
          </cell>
          <cell r="B709" t="str">
            <v>Tubos de ferro fundido diâmetro 0,90 m, assentamento</v>
          </cell>
          <cell r="C709" t="str">
            <v>m</v>
          </cell>
          <cell r="D709" t="str">
            <v>215,00</v>
          </cell>
          <cell r="E709" t="str">
            <v>A incluir</v>
          </cell>
        </row>
        <row r="710">
          <cell r="A710">
            <v>41118</v>
          </cell>
          <cell r="B710" t="str">
            <v>Tubos para irrigação Linha fixa PN40, diâmetro 75 mm, fornecimento e assentamento</v>
          </cell>
          <cell r="C710" t="str">
            <v>m</v>
          </cell>
          <cell r="D710" t="str">
            <v>10,70</v>
          </cell>
          <cell r="E710">
            <v>0</v>
          </cell>
        </row>
        <row r="711">
          <cell r="A711">
            <v>40702</v>
          </cell>
          <cell r="B711" t="str">
            <v>Valeta de pedra argamassada VPAR</v>
          </cell>
          <cell r="C711" t="str">
            <v>m³</v>
          </cell>
          <cell r="D711" t="str">
            <v>304,64</v>
          </cell>
          <cell r="E711" t="str">
            <v>A incluir</v>
          </cell>
        </row>
        <row r="712">
          <cell r="A712">
            <v>40701</v>
          </cell>
          <cell r="B712" t="str">
            <v>Valeta de pedra jogada VPJ, inclusive transporte da pedra</v>
          </cell>
          <cell r="C712" t="str">
            <v>m³</v>
          </cell>
          <cell r="D712" t="str">
            <v>129,98</v>
          </cell>
          <cell r="E712" t="str">
            <v>A incluir</v>
          </cell>
        </row>
        <row r="713">
          <cell r="A713">
            <v>40698</v>
          </cell>
          <cell r="B713" t="str">
            <v>Valeta de proteção de aterro enleivada (VPA-01 DNIT)</v>
          </cell>
          <cell r="C713" t="str">
            <v>m</v>
          </cell>
          <cell r="D713" t="str">
            <v>68,53</v>
          </cell>
          <cell r="E713" t="str">
            <v>A incluir</v>
          </cell>
        </row>
        <row r="714">
          <cell r="A714">
            <v>40700</v>
          </cell>
          <cell r="B714" t="str">
            <v>Valeta de proteção de aterro revestida em concreto (VPA-03 DNIT)</v>
          </cell>
          <cell r="C714" t="str">
            <v>m</v>
          </cell>
          <cell r="D714" t="str">
            <v>82,91</v>
          </cell>
          <cell r="E714" t="str">
            <v>A incluir</v>
          </cell>
        </row>
        <row r="715">
          <cell r="A715">
            <v>40696</v>
          </cell>
          <cell r="B715" t="str">
            <v>Valeta de proteção de aterro VPA 02 (revestida em concreto)</v>
          </cell>
          <cell r="C715" t="str">
            <v>m</v>
          </cell>
          <cell r="D715" t="str">
            <v>159,35</v>
          </cell>
          <cell r="E715" t="str">
            <v>A incluir</v>
          </cell>
        </row>
        <row r="716">
          <cell r="A716">
            <v>40695</v>
          </cell>
          <cell r="B716" t="str">
            <v>Valeta de proteção de aterro VPA-01 (escavação)</v>
          </cell>
          <cell r="C716" t="str">
            <v>m</v>
          </cell>
          <cell r="D716" t="str">
            <v>50,19</v>
          </cell>
          <cell r="E716">
            <v>0</v>
          </cell>
        </row>
        <row r="717">
          <cell r="A717">
            <v>40692</v>
          </cell>
          <cell r="B717" t="str">
            <v>Valeta de proteção de corte - desobstrução e limpeza</v>
          </cell>
          <cell r="C717" t="str">
            <v>m</v>
          </cell>
          <cell r="D717" t="str">
            <v>2,80</v>
          </cell>
          <cell r="E717">
            <v>0</v>
          </cell>
        </row>
        <row r="718">
          <cell r="A718">
            <v>40697</v>
          </cell>
          <cell r="B718" t="str">
            <v>Valeta de proteção de corte enleivada (VPC-01 DNIT)</v>
          </cell>
          <cell r="C718" t="str">
            <v>m</v>
          </cell>
          <cell r="D718" t="str">
            <v>67,12</v>
          </cell>
          <cell r="E718" t="str">
            <v>A incluir</v>
          </cell>
        </row>
        <row r="719">
          <cell r="A719">
            <v>40699</v>
          </cell>
          <cell r="B719" t="str">
            <v>Valeta de proteção de corte revestida em concreto VPC-03</v>
          </cell>
          <cell r="C719" t="str">
            <v>m</v>
          </cell>
          <cell r="D719" t="str">
            <v>185,05</v>
          </cell>
          <cell r="E719" t="str">
            <v>A incluir</v>
          </cell>
        </row>
        <row r="720">
          <cell r="A720">
            <v>40693</v>
          </cell>
          <cell r="B720" t="str">
            <v>Valeta de proteção de corte VPC-01 (escavação)</v>
          </cell>
          <cell r="C720" t="str">
            <v>m</v>
          </cell>
          <cell r="D720" t="str">
            <v>27,17</v>
          </cell>
          <cell r="E720">
            <v>0</v>
          </cell>
        </row>
        <row r="721">
          <cell r="A721">
            <v>40694</v>
          </cell>
          <cell r="B721" t="str">
            <v>Valeta de proteção de corte VPC-02 (revestida em grama)</v>
          </cell>
          <cell r="C721" t="str">
            <v>m</v>
          </cell>
          <cell r="D721" t="str">
            <v>55,98</v>
          </cell>
          <cell r="E721" t="str">
            <v>A incluir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e">
            <v>#N/A</v>
          </cell>
        </row>
        <row r="723">
          <cell r="A723" t="str">
            <v>Grupo de Serviço: 4 - MATERIAL BETUMINOSO</v>
          </cell>
          <cell r="B723">
            <v>0</v>
          </cell>
          <cell r="C723">
            <v>0</v>
          </cell>
          <cell r="E723" t="e">
            <v>#N/A</v>
          </cell>
        </row>
        <row r="724">
          <cell r="A724">
            <v>40972</v>
          </cell>
          <cell r="B724" t="str">
            <v>Bonificação de 20,93% sobre Materiais Betuminosos</v>
          </cell>
          <cell r="C724" t="str">
            <v>%</v>
          </cell>
          <cell r="D724" t="str">
            <v>0,00</v>
          </cell>
          <cell r="E724">
            <v>0</v>
          </cell>
        </row>
        <row r="725">
          <cell r="A725">
            <v>41405</v>
          </cell>
          <cell r="B725" t="str">
            <v>CAP FLEX 60/85, fornecimento</v>
          </cell>
          <cell r="C725" t="str">
            <v>t</v>
          </cell>
          <cell r="D725" t="str">
            <v>1.782,44</v>
          </cell>
          <cell r="E725">
            <v>0</v>
          </cell>
        </row>
        <row r="726">
          <cell r="A726">
            <v>41360</v>
          </cell>
          <cell r="B726" t="str">
            <v>CAP-50/70, fornecimento</v>
          </cell>
          <cell r="C726" t="str">
            <v>t</v>
          </cell>
          <cell r="D726" t="str">
            <v>1.307,23</v>
          </cell>
          <cell r="E726">
            <v>0</v>
          </cell>
        </row>
        <row r="727">
          <cell r="A727">
            <v>40968</v>
          </cell>
          <cell r="B727" t="str">
            <v>CM-30, fornecimento</v>
          </cell>
          <cell r="C727" t="str">
            <v>t</v>
          </cell>
          <cell r="D727" t="str">
            <v>2.099,09</v>
          </cell>
          <cell r="E727">
            <v>0</v>
          </cell>
        </row>
        <row r="728">
          <cell r="A728">
            <v>40976</v>
          </cell>
          <cell r="B728" t="str">
            <v>Dope, fornecimento</v>
          </cell>
          <cell r="C728" t="str">
            <v>t</v>
          </cell>
          <cell r="D728" t="str">
            <v>32.630,00</v>
          </cell>
          <cell r="E728">
            <v>0</v>
          </cell>
        </row>
        <row r="729">
          <cell r="A729">
            <v>42545</v>
          </cell>
          <cell r="B729" t="str">
            <v>Emulsão RL-1C- FLEX (Emulflex RL-1C-E), fornecimento</v>
          </cell>
          <cell r="C729" t="str">
            <v>t</v>
          </cell>
          <cell r="D729" t="str">
            <v>1.428,00</v>
          </cell>
          <cell r="E729">
            <v>0</v>
          </cell>
        </row>
        <row r="730">
          <cell r="A730">
            <v>40974</v>
          </cell>
          <cell r="B730" t="str">
            <v>Emulsão RM-1C, fornecimento</v>
          </cell>
          <cell r="C730" t="str">
            <v>t</v>
          </cell>
          <cell r="D730" t="str">
            <v>1.209,01</v>
          </cell>
          <cell r="E730">
            <v>0</v>
          </cell>
        </row>
        <row r="731">
          <cell r="A731">
            <v>40978</v>
          </cell>
          <cell r="B731" t="str">
            <v>Emulsão RR-1C FLEX (Emulflex RR-1C-E,) fornecimento</v>
          </cell>
          <cell r="C731" t="str">
            <v>t</v>
          </cell>
          <cell r="D731" t="str">
            <v>1.783,21</v>
          </cell>
          <cell r="E731">
            <v>0</v>
          </cell>
        </row>
        <row r="732">
          <cell r="A732">
            <v>40975</v>
          </cell>
          <cell r="B732" t="str">
            <v>Emulsão RR-1C, fornecimento</v>
          </cell>
          <cell r="C732" t="str">
            <v>t</v>
          </cell>
          <cell r="D732" t="str">
            <v>1.016,32</v>
          </cell>
          <cell r="E732">
            <v>0</v>
          </cell>
        </row>
        <row r="733">
          <cell r="A733">
            <v>40969</v>
          </cell>
          <cell r="B733" t="str">
            <v>Emulsão RR-2C, fornecimento</v>
          </cell>
          <cell r="C733" t="str">
            <v>t</v>
          </cell>
          <cell r="D733" t="str">
            <v>1.070,41</v>
          </cell>
          <cell r="E733">
            <v>0</v>
          </cell>
        </row>
        <row r="734">
          <cell r="A734">
            <v>40971</v>
          </cell>
          <cell r="B734" t="str">
            <v>Emulsão RR-2C-FLEX (Emulflex RR-2C-E), fornecimento</v>
          </cell>
          <cell r="C734" t="str">
            <v>t</v>
          </cell>
          <cell r="D734" t="str">
            <v>1.508,00</v>
          </cell>
          <cell r="E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e">
            <v>#N/A</v>
          </cell>
        </row>
        <row r="736">
          <cell r="A736" t="str">
            <v>Grupo de Serviço: 5 - OBRAS COMPLEMENTARES</v>
          </cell>
          <cell r="B736">
            <v>0</v>
          </cell>
          <cell r="C736">
            <v>0</v>
          </cell>
          <cell r="E736" t="e">
            <v>#N/A</v>
          </cell>
        </row>
        <row r="737">
          <cell r="A737">
            <v>40910</v>
          </cell>
          <cell r="B737" t="str">
            <v>Abrigo de Ônibus - Rodovia Rural - 3,40 m x 6,00 m</v>
          </cell>
          <cell r="C737" t="str">
            <v>un</v>
          </cell>
          <cell r="D737" t="str">
            <v>11.172,13</v>
          </cell>
          <cell r="E737" t="str">
            <v>A incluir</v>
          </cell>
        </row>
        <row r="738">
          <cell r="A738">
            <v>0</v>
          </cell>
          <cell r="B738">
            <v>0</v>
          </cell>
          <cell r="C738">
            <v>0</v>
          </cell>
          <cell r="E738" t="e">
            <v>#N/A</v>
          </cell>
        </row>
        <row r="739">
          <cell r="A739">
            <v>41362</v>
          </cell>
          <cell r="B739" t="str">
            <v>Abrigo de Ônibus Urbano - Padrão reduzido - 2,40 x 6,00 m</v>
          </cell>
          <cell r="C739" t="str">
            <v>un</v>
          </cell>
          <cell r="D739" t="str">
            <v>10.526,72</v>
          </cell>
          <cell r="E739">
            <v>0</v>
          </cell>
        </row>
        <row r="740">
          <cell r="A740">
            <v>43343</v>
          </cell>
          <cell r="B740" t="str">
            <v>Alvenaria de tijolos cerâmicos maciços aparentes 5x10x20cm,assent.c/argam.de cimento,cal hidratada CH1 e areia no traço 1:0,5:8,juntas de 10mm e esp.</v>
          </cell>
          <cell r="C740" t="str">
            <v>m²</v>
          </cell>
          <cell r="D740" t="str">
            <v>150,68</v>
          </cell>
          <cell r="E740">
            <v>0</v>
          </cell>
        </row>
        <row r="741">
          <cell r="A741">
            <v>41151</v>
          </cell>
          <cell r="B741" t="str">
            <v>Braço galvanizado 101mm - projeção 4,70m, fornecimento e instalação</v>
          </cell>
          <cell r="C741" t="str">
            <v>un</v>
          </cell>
          <cell r="D741" t="str">
            <v>1.783,54</v>
          </cell>
          <cell r="E741">
            <v>0</v>
          </cell>
        </row>
        <row r="742">
          <cell r="A742">
            <v>41346</v>
          </cell>
          <cell r="B742" t="str">
            <v>Cabo de cobre nú, seção 35 mm², fornecimento e colocação</v>
          </cell>
          <cell r="C742" t="str">
            <v>m</v>
          </cell>
          <cell r="D742" t="str">
            <v>23,60</v>
          </cell>
          <cell r="E742">
            <v>0</v>
          </cell>
        </row>
        <row r="743">
          <cell r="A743">
            <v>41150</v>
          </cell>
          <cell r="B743" t="str">
            <v>Cabo flexível 2 x 1,5 mm², fornecimento e instalação</v>
          </cell>
          <cell r="C743" t="str">
            <v>m</v>
          </cell>
          <cell r="D743" t="str">
            <v>5,15</v>
          </cell>
          <cell r="E743">
            <v>0</v>
          </cell>
        </row>
        <row r="744">
          <cell r="A744">
            <v>41149</v>
          </cell>
          <cell r="B744" t="str">
            <v>Cabo flexível 2 x 2,5 mm², fornecimento e instalação</v>
          </cell>
          <cell r="C744" t="str">
            <v>m</v>
          </cell>
          <cell r="D744" t="str">
            <v>6,01</v>
          </cell>
          <cell r="E744">
            <v>0</v>
          </cell>
        </row>
        <row r="745">
          <cell r="A745">
            <v>41410</v>
          </cell>
          <cell r="B745" t="str">
            <v>Cabo flexível 3 x 1,5 mm², fornecimento e instalação</v>
          </cell>
          <cell r="C745" t="str">
            <v>m</v>
          </cell>
          <cell r="D745" t="str">
            <v>5,72</v>
          </cell>
          <cell r="E745">
            <v>0</v>
          </cell>
        </row>
        <row r="746">
          <cell r="A746">
            <v>41148</v>
          </cell>
          <cell r="B746" t="str">
            <v>Cabo flexível 4 x 1,5 mm², fornecimento e instalação</v>
          </cell>
          <cell r="C746" t="str">
            <v>m</v>
          </cell>
          <cell r="D746" t="str">
            <v>6,65</v>
          </cell>
          <cell r="E746">
            <v>0</v>
          </cell>
        </row>
        <row r="747">
          <cell r="A747">
            <v>41152</v>
          </cell>
          <cell r="B747" t="str">
            <v>Caixa de passagem de concreto armado de 0,40 x 0,40 x 0,40m</v>
          </cell>
          <cell r="C747" t="str">
            <v>un</v>
          </cell>
          <cell r="D747" t="str">
            <v>402,50</v>
          </cell>
          <cell r="E747">
            <v>0</v>
          </cell>
        </row>
        <row r="748">
          <cell r="A748">
            <v>41004</v>
          </cell>
          <cell r="B748" t="str">
            <v>Caixa de passagem de eletroduto de lógica</v>
          </cell>
          <cell r="C748" t="str">
            <v>un</v>
          </cell>
          <cell r="D748" t="str">
            <v>844,56</v>
          </cell>
          <cell r="E748">
            <v>0</v>
          </cell>
        </row>
        <row r="749">
          <cell r="A749">
            <v>40911</v>
          </cell>
          <cell r="B749" t="str">
            <v>Calçada de concreto</v>
          </cell>
          <cell r="C749" t="str">
            <v>m²</v>
          </cell>
          <cell r="D749" t="str">
            <v>39,71</v>
          </cell>
          <cell r="E749" t="str">
            <v>A incluir</v>
          </cell>
        </row>
        <row r="750">
          <cell r="A750">
            <v>40915</v>
          </cell>
          <cell r="B750" t="str">
            <v>Calçada de concreto fck-&gt;15 MP, camurçado c/ argam. cimento e areia 1:4, lastro de brita e 8 cm de concreto, incl. preparo da caixa e transp. da brita</v>
          </cell>
          <cell r="C750" t="str">
            <v>m²</v>
          </cell>
          <cell r="D750" t="str">
            <v>89,92</v>
          </cell>
          <cell r="E750" t="str">
            <v>A incluir</v>
          </cell>
        </row>
        <row r="751">
          <cell r="A751">
            <v>40899</v>
          </cell>
          <cell r="B751" t="str">
            <v>Cerca de arame farpado 4 fios com mourões a cada 2,0 m, esticadores de madeira, a cada 20,0 m, inclusive transporte de mourão e arame farpado)</v>
          </cell>
          <cell r="C751" t="str">
            <v>m</v>
          </cell>
          <cell r="D751" t="str">
            <v>14,37</v>
          </cell>
          <cell r="E751" t="str">
            <v>A incluir</v>
          </cell>
        </row>
        <row r="752">
          <cell r="A752">
            <v>40900</v>
          </cell>
          <cell r="B752" t="str">
            <v>Cerca de arame farpado 4 fios com mourões a cada 1,0 m, esticadores de madeira, a cada 20,0 m, inclusive transporte de mourão e arame farpado</v>
          </cell>
          <cell r="C752" t="str">
            <v>m</v>
          </cell>
          <cell r="D752" t="str">
            <v>20,14</v>
          </cell>
          <cell r="E752" t="str">
            <v>A incluir</v>
          </cell>
        </row>
        <row r="753">
          <cell r="A753">
            <v>41365</v>
          </cell>
          <cell r="B753" t="str">
            <v>Cerca de arame farpado 4 fios com mourões, a cada 2,5 m, esticadores de madeira a cada 60,0m, inclusive transporte de arame farpado e mourão</v>
          </cell>
          <cell r="C753" t="str">
            <v>m</v>
          </cell>
          <cell r="D753" t="str">
            <v>16,32</v>
          </cell>
          <cell r="E753" t="str">
            <v>A incluir</v>
          </cell>
        </row>
        <row r="754">
          <cell r="A754">
            <v>41110</v>
          </cell>
          <cell r="B754" t="str">
            <v>Cerca de arame farpado 4 fios com mourões a cada 3,0 metros e sem esticadores, inclusive transporte de arame e mourão</v>
          </cell>
          <cell r="C754" t="str">
            <v>m</v>
          </cell>
          <cell r="D754" t="str">
            <v>14,02</v>
          </cell>
          <cell r="E754" t="str">
            <v>A incluir</v>
          </cell>
        </row>
        <row r="755">
          <cell r="A755">
            <v>40903</v>
          </cell>
          <cell r="B755" t="str">
            <v>Cerca de arame farpado 4 fios com postes cada 2,5 m, esticadores de concreto a cada 25,0 m</v>
          </cell>
          <cell r="C755" t="str">
            <v>m</v>
          </cell>
          <cell r="D755" t="str">
            <v>18,83</v>
          </cell>
          <cell r="E755" t="str">
            <v>A incluir</v>
          </cell>
        </row>
        <row r="756">
          <cell r="A756">
            <v>40904</v>
          </cell>
          <cell r="B756" t="str">
            <v>Cerca de arame farpado 8 fios com postes concreto 10 x 10 x 220 cm, a cada 1,5 m</v>
          </cell>
          <cell r="C756" t="str">
            <v>m</v>
          </cell>
          <cell r="D756" t="str">
            <v>39,86</v>
          </cell>
          <cell r="E756" t="str">
            <v>A incluir</v>
          </cell>
        </row>
        <row r="757">
          <cell r="A757">
            <v>40905</v>
          </cell>
          <cell r="B757" t="str">
            <v>Cerca de arame farpado 8 fios com postes triangulares 10 x 200 cm, a cada 2,5 m, mourão de concreto 10 x 10 x 220 cm, a cada 50,0 m</v>
          </cell>
          <cell r="C757" t="str">
            <v>m</v>
          </cell>
          <cell r="D757" t="str">
            <v>20,66</v>
          </cell>
          <cell r="E757" t="str">
            <v>A incluir</v>
          </cell>
        </row>
        <row r="758">
          <cell r="A758">
            <v>43330</v>
          </cell>
          <cell r="B758" t="str">
            <v>Cerca de arame farpado,4 fios ,mourões de madeira a cada 2,5 m e esticadores de concreto/madeira a cada 40m</v>
          </cell>
          <cell r="C758" t="str">
            <v>m</v>
          </cell>
          <cell r="D758" t="str">
            <v>25,47</v>
          </cell>
          <cell r="E758" t="str">
            <v>A incluir</v>
          </cell>
        </row>
        <row r="759">
          <cell r="A759">
            <v>40901</v>
          </cell>
          <cell r="B759" t="str">
            <v>Cerca de arame liso 4 fios com mourões cada 2,0 m, esticadores de madeira, a cada 20,0 m, inclusive transporte de mourão e arame liso</v>
          </cell>
          <cell r="C759" t="str">
            <v>m</v>
          </cell>
          <cell r="D759" t="str">
            <v>13,71</v>
          </cell>
          <cell r="E759" t="str">
            <v>A incluir</v>
          </cell>
        </row>
        <row r="760">
          <cell r="A760">
            <v>42475</v>
          </cell>
          <cell r="B760" t="str">
            <v>Concreto estrutural fck -&gt; 10,0 MPa, inclusive transportes areia, cimento e pedra britada</v>
          </cell>
          <cell r="C760" t="str">
            <v>m³</v>
          </cell>
          <cell r="D760" t="str">
            <v>489,88</v>
          </cell>
          <cell r="E760" t="str">
            <v>A incluir</v>
          </cell>
        </row>
        <row r="761">
          <cell r="A761">
            <v>40945</v>
          </cell>
          <cell r="B761" t="str">
            <v>Corrimão em eucalipto tratado</v>
          </cell>
          <cell r="C761" t="str">
            <v>m</v>
          </cell>
          <cell r="D761" t="str">
            <v>51,95</v>
          </cell>
          <cell r="E761" t="str">
            <v>A incluir</v>
          </cell>
        </row>
        <row r="762">
          <cell r="A762">
            <v>41109</v>
          </cell>
          <cell r="B762" t="str">
            <v>Demolição de cerca de madeira com 4 fios</v>
          </cell>
          <cell r="C762" t="str">
            <v>m</v>
          </cell>
          <cell r="D762" t="str">
            <v>2,13</v>
          </cell>
          <cell r="E762">
            <v>0</v>
          </cell>
        </row>
        <row r="763">
          <cell r="A763">
            <v>40164</v>
          </cell>
          <cell r="B763" t="str">
            <v>Demolição de edificações</v>
          </cell>
          <cell r="C763" t="str">
            <v>m²</v>
          </cell>
          <cell r="D763" t="str">
            <v>35,89</v>
          </cell>
          <cell r="E763">
            <v>0</v>
          </cell>
        </row>
        <row r="764">
          <cell r="A764">
            <v>40944</v>
          </cell>
          <cell r="B764" t="str">
            <v>Descida d'água em madeira e pedra de mão, tudo incluído</v>
          </cell>
          <cell r="C764" t="str">
            <v>m</v>
          </cell>
          <cell r="D764" t="str">
            <v>466,83</v>
          </cell>
          <cell r="E764" t="str">
            <v>A incluir</v>
          </cell>
        </row>
        <row r="765">
          <cell r="A765">
            <v>40902</v>
          </cell>
          <cell r="B765" t="str">
            <v>Deslocamento de cerca de madeira com 4 fios de arame</v>
          </cell>
          <cell r="C765" t="str">
            <v>m</v>
          </cell>
          <cell r="D765" t="str">
            <v>3,82</v>
          </cell>
          <cell r="E765">
            <v>0</v>
          </cell>
        </row>
        <row r="766">
          <cell r="A766">
            <v>41344</v>
          </cell>
          <cell r="B766" t="str">
            <v>Eletroduto de aço galv. 1 1/4" inclusive abertura e fechamento de rasgos em alvenaria, e luvas</v>
          </cell>
          <cell r="C766" t="str">
            <v>m</v>
          </cell>
          <cell r="D766" t="str">
            <v>61,75</v>
          </cell>
          <cell r="E766">
            <v>0</v>
          </cell>
        </row>
        <row r="767">
          <cell r="A767">
            <v>41345</v>
          </cell>
          <cell r="B767" t="str">
            <v>Eletroduto de PVC diâmetro de 4", fornecimento e instalação</v>
          </cell>
          <cell r="C767" t="str">
            <v>m</v>
          </cell>
          <cell r="D767" t="str">
            <v>90,37</v>
          </cell>
          <cell r="E767">
            <v>0</v>
          </cell>
        </row>
        <row r="768">
          <cell r="A768">
            <v>41242</v>
          </cell>
          <cell r="B768" t="str">
            <v>Estrutura de madeira para telha cerâmica ancorada em laje ou alvenaria</v>
          </cell>
          <cell r="C768" t="str">
            <v>m²</v>
          </cell>
          <cell r="D768" t="str">
            <v>69,50</v>
          </cell>
          <cell r="E768">
            <v>0</v>
          </cell>
        </row>
        <row r="769">
          <cell r="A769">
            <v>42476</v>
          </cell>
          <cell r="B769" t="str">
            <v>Fita isolante em rolo de 19 mm x 20 m, número 33 Scoth ou equivalente</v>
          </cell>
          <cell r="C769" t="str">
            <v>un</v>
          </cell>
          <cell r="D769" t="str">
            <v>34,26</v>
          </cell>
          <cell r="E769">
            <v>0</v>
          </cell>
        </row>
        <row r="770">
          <cell r="A770">
            <v>41136</v>
          </cell>
          <cell r="B770" t="str">
            <v>Haste cobreada para aterramento diâmetro 5/8" x 2,4m ( fornecimento e instalação)</v>
          </cell>
          <cell r="C770" t="str">
            <v>un</v>
          </cell>
          <cell r="D770" t="str">
            <v>111,00</v>
          </cell>
          <cell r="E770">
            <v>0</v>
          </cell>
        </row>
        <row r="771">
          <cell r="A771">
            <v>41135</v>
          </cell>
          <cell r="B771" t="str">
            <v>Isolador de Porcelana tipo roldana com rack 3 x 16, instalação</v>
          </cell>
          <cell r="C771" t="str">
            <v>un</v>
          </cell>
          <cell r="D771" t="str">
            <v>76,84</v>
          </cell>
          <cell r="E771">
            <v>0</v>
          </cell>
        </row>
        <row r="772">
          <cell r="A772">
            <v>40912</v>
          </cell>
          <cell r="B772" t="str">
            <v>Ladrilho hidráulico (argamassa cimento e areia 1:4), fornecimento e assentamento</v>
          </cell>
          <cell r="C772" t="str">
            <v>m²</v>
          </cell>
          <cell r="D772" t="str">
            <v>81,82</v>
          </cell>
          <cell r="E772" t="str">
            <v>A incluir</v>
          </cell>
        </row>
        <row r="773">
          <cell r="A773">
            <v>40908</v>
          </cell>
          <cell r="B773" t="str">
            <v>Mata-burro</v>
          </cell>
          <cell r="C773" t="str">
            <v>un</v>
          </cell>
          <cell r="D773" t="str">
            <v>7.337,26</v>
          </cell>
          <cell r="E773" t="str">
            <v>A incluir</v>
          </cell>
        </row>
        <row r="774">
          <cell r="A774">
            <v>40907</v>
          </cell>
          <cell r="B774" t="str">
            <v>Passagem de gado (boca)</v>
          </cell>
          <cell r="C774" t="str">
            <v>un</v>
          </cell>
          <cell r="D774" t="str">
            <v>12.416,16</v>
          </cell>
          <cell r="E774" t="str">
            <v>A incluir</v>
          </cell>
        </row>
        <row r="775">
          <cell r="A775">
            <v>40906</v>
          </cell>
          <cell r="B775" t="str">
            <v>Passagem de gado (sem guarda corpo)</v>
          </cell>
          <cell r="C775" t="str">
            <v>m</v>
          </cell>
          <cell r="D775" t="str">
            <v>3.591,38</v>
          </cell>
          <cell r="E775">
            <v>0</v>
          </cell>
        </row>
        <row r="776">
          <cell r="A776">
            <v>41240</v>
          </cell>
          <cell r="B776" t="str">
            <v>Passeio em concreto, largura 2,00m, acabamento em ladrilho hidráulico podotátil (L-&gt;0,40m)</v>
          </cell>
          <cell r="C776" t="str">
            <v>m²</v>
          </cell>
          <cell r="D776" t="str">
            <v>71,76</v>
          </cell>
          <cell r="E776" t="str">
            <v>A incluir</v>
          </cell>
        </row>
        <row r="777">
          <cell r="A777">
            <v>40946</v>
          </cell>
          <cell r="B777" t="str">
            <v>Passeio pavimentado em blocos de concreto esp.-&gt;6cm, colorido, resistência 35 MPa, colchão de areia 5cm, inclusive transporte dos blocos e da areia</v>
          </cell>
          <cell r="C777" t="str">
            <v>m²</v>
          </cell>
          <cell r="D777" t="str">
            <v>84,62</v>
          </cell>
          <cell r="E777" t="str">
            <v>A incluir</v>
          </cell>
        </row>
        <row r="778">
          <cell r="A778">
            <v>40942</v>
          </cell>
          <cell r="B778" t="str">
            <v>Pavimentação com pedra de mão (pé de moleque) argamassada</v>
          </cell>
          <cell r="C778" t="str">
            <v>m²</v>
          </cell>
          <cell r="D778" t="str">
            <v>33,25</v>
          </cell>
          <cell r="E778" t="str">
            <v>A incluir</v>
          </cell>
        </row>
        <row r="779">
          <cell r="A779">
            <v>41245</v>
          </cell>
          <cell r="B779" t="str">
            <v>Pintura com tinta a óleo em esquadria de ferros duas demãos</v>
          </cell>
          <cell r="C779" t="str">
            <v>m²</v>
          </cell>
          <cell r="D779" t="str">
            <v>34,55</v>
          </cell>
          <cell r="E779">
            <v>0</v>
          </cell>
        </row>
        <row r="780">
          <cell r="A780">
            <v>41404</v>
          </cell>
          <cell r="B780" t="str">
            <v>Pintura em estrutura metálica com tinta epoxídica inclusive primer</v>
          </cell>
          <cell r="C780" t="str">
            <v>m²</v>
          </cell>
          <cell r="D780" t="str">
            <v>32,66</v>
          </cell>
          <cell r="E780">
            <v>0</v>
          </cell>
        </row>
        <row r="781">
          <cell r="A781">
            <v>41244</v>
          </cell>
          <cell r="B781" t="str">
            <v>Pintura em látex acrílica em parede externa, sem massa corrida, três demãos</v>
          </cell>
          <cell r="C781" t="str">
            <v>m²</v>
          </cell>
          <cell r="D781" t="str">
            <v>20,13</v>
          </cell>
          <cell r="E781">
            <v>0</v>
          </cell>
        </row>
        <row r="782">
          <cell r="A782">
            <v>43328</v>
          </cell>
          <cell r="B782" t="str">
            <v>Pintura logomarca DER-ES em mourões de concreto ( baixo relevo )</v>
          </cell>
          <cell r="C782" t="str">
            <v>un</v>
          </cell>
          <cell r="D782" t="str">
            <v>9,94</v>
          </cell>
          <cell r="E782">
            <v>0</v>
          </cell>
        </row>
        <row r="783">
          <cell r="A783">
            <v>40909</v>
          </cell>
          <cell r="B783" t="str">
            <v>Porteira, confecção e colocação, inclusive fornecimento e transporte da madeira e chapa de aço</v>
          </cell>
          <cell r="C783" t="str">
            <v>un</v>
          </cell>
          <cell r="D783" t="str">
            <v>2.468,85</v>
          </cell>
          <cell r="E783" t="str">
            <v>A incluir</v>
          </cell>
        </row>
        <row r="784">
          <cell r="A784">
            <v>41237</v>
          </cell>
          <cell r="B784" t="str">
            <v>Poste de iluminação urbana com luminária tipo chapeú chinês</v>
          </cell>
          <cell r="C784" t="str">
            <v>un</v>
          </cell>
          <cell r="D784" t="str">
            <v>1.579,96</v>
          </cell>
          <cell r="E784" t="str">
            <v>A incluir</v>
          </cell>
        </row>
        <row r="785">
          <cell r="A785">
            <v>41140</v>
          </cell>
          <cell r="B785" t="str">
            <v>Poste galvanizado 101mm simples, fornecimento e instalação</v>
          </cell>
          <cell r="C785" t="str">
            <v>un</v>
          </cell>
          <cell r="D785" t="str">
            <v>1.123,63</v>
          </cell>
          <cell r="E785">
            <v>0</v>
          </cell>
        </row>
        <row r="786">
          <cell r="A786">
            <v>41139</v>
          </cell>
          <cell r="B786" t="str">
            <v>Poste galvanizado 114 mm - 1boca, fornecimento e instalação</v>
          </cell>
          <cell r="C786" t="str">
            <v>un</v>
          </cell>
          <cell r="D786" t="str">
            <v>1.632,89</v>
          </cell>
          <cell r="E786">
            <v>0</v>
          </cell>
        </row>
        <row r="787">
          <cell r="A787">
            <v>41138</v>
          </cell>
          <cell r="B787" t="str">
            <v>Poste galvanizado 114mm - 2 bocas, fornecimento e instalação</v>
          </cell>
          <cell r="C787" t="str">
            <v>un</v>
          </cell>
          <cell r="D787" t="str">
            <v>1.820,91</v>
          </cell>
          <cell r="E787">
            <v>0</v>
          </cell>
        </row>
        <row r="788">
          <cell r="A788">
            <v>41246</v>
          </cell>
          <cell r="B788" t="str">
            <v>Rampa de pedestres, com piso em ladrilho hidráulico podotátil</v>
          </cell>
          <cell r="C788" t="str">
            <v>m</v>
          </cell>
          <cell r="D788" t="str">
            <v>43,87</v>
          </cell>
          <cell r="E788" t="str">
            <v>A incluir</v>
          </cell>
        </row>
        <row r="789">
          <cell r="A789">
            <v>40943</v>
          </cell>
          <cell r="B789" t="str">
            <v>Rampa em pedra de mão (pé de moleque) argamassada e travada</v>
          </cell>
          <cell r="C789" t="str">
            <v>m</v>
          </cell>
          <cell r="D789" t="str">
            <v>40,58</v>
          </cell>
          <cell r="E789" t="str">
            <v>A incluir</v>
          </cell>
        </row>
        <row r="790">
          <cell r="A790">
            <v>40922</v>
          </cell>
          <cell r="B790" t="str">
            <v>Remoção de camada vegetal</v>
          </cell>
          <cell r="C790" t="str">
            <v>m³</v>
          </cell>
          <cell r="D790" t="str">
            <v>4,45</v>
          </cell>
          <cell r="E790">
            <v>0</v>
          </cell>
        </row>
        <row r="791">
          <cell r="A791">
            <v>40914</v>
          </cell>
          <cell r="B791" t="str">
            <v>Retirada de Defensa Metálica</v>
          </cell>
          <cell r="C791" t="str">
            <v>m</v>
          </cell>
          <cell r="D791" t="str">
            <v>13,58</v>
          </cell>
          <cell r="E791" t="str">
            <v>A incluir</v>
          </cell>
        </row>
        <row r="792">
          <cell r="A792">
            <v>40913</v>
          </cell>
          <cell r="B792" t="str">
            <v>Retirada e recolocação de alambrado</v>
          </cell>
          <cell r="C792" t="str">
            <v>m</v>
          </cell>
          <cell r="D792" t="str">
            <v>91,51</v>
          </cell>
          <cell r="E792">
            <v>0</v>
          </cell>
        </row>
        <row r="793">
          <cell r="A793">
            <v>41191</v>
          </cell>
          <cell r="B793" t="str">
            <v>Sistema cercamento tipo Gradil Nylofor 3DPintura Simples (preto, verde ou branco), # 50x200m, fio 5,0mm, L-&gt;2,50m, H-&gt;2,03m, incl. forn./chumb. postes</v>
          </cell>
          <cell r="C793" t="str">
            <v>m</v>
          </cell>
          <cell r="D793" t="str">
            <v>301,96</v>
          </cell>
          <cell r="E793" t="str">
            <v>A incluir</v>
          </cell>
        </row>
        <row r="794">
          <cell r="A794">
            <v>40947</v>
          </cell>
          <cell r="B794" t="str">
            <v>Sumidouro cilíndrico pré-moldado diam. 2,00m com 5 anéis inclusive escavação</v>
          </cell>
          <cell r="C794" t="str">
            <v>un</v>
          </cell>
          <cell r="D794" t="str">
            <v>3.003,63</v>
          </cell>
          <cell r="E794" t="str">
            <v>A incluir</v>
          </cell>
        </row>
        <row r="795">
          <cell r="A795">
            <v>43329</v>
          </cell>
          <cell r="B795" t="str">
            <v>Suporte de concreto armado ( 15x15x280 ) com logomarca pintada em baixo relevo</v>
          </cell>
          <cell r="C795" t="str">
            <v>un</v>
          </cell>
          <cell r="D795" t="str">
            <v>170,15</v>
          </cell>
          <cell r="E795" t="str">
            <v>A incluir</v>
          </cell>
        </row>
        <row r="796">
          <cell r="A796">
            <v>0</v>
          </cell>
          <cell r="B796">
            <v>0</v>
          </cell>
          <cell r="C796">
            <v>0</v>
          </cell>
          <cell r="E796" t="e">
            <v>#N/A</v>
          </cell>
        </row>
        <row r="797">
          <cell r="A797">
            <v>42050</v>
          </cell>
          <cell r="B797" t="str">
            <v>Tela de aço galvanizado ,em malha hexagonal de dupla torção, tipo 8,0cm x 10,0cm, com fios de diâmetro 2,7mm, tudo incluído, fornecimento e execução</v>
          </cell>
          <cell r="C797" t="str">
            <v>m²</v>
          </cell>
          <cell r="D797" t="str">
            <v>89,30</v>
          </cell>
          <cell r="E797" t="str">
            <v>A incluir</v>
          </cell>
        </row>
        <row r="798">
          <cell r="A798">
            <v>0</v>
          </cell>
          <cell r="B798">
            <v>0</v>
          </cell>
          <cell r="C798">
            <v>0</v>
          </cell>
          <cell r="E798" t="e">
            <v>#N/A</v>
          </cell>
        </row>
        <row r="799">
          <cell r="A799" t="str">
            <v>Grupo de Serviço: 8 - SERVIÇOS AMBIENTAIS</v>
          </cell>
          <cell r="B799">
            <v>0</v>
          </cell>
          <cell r="C799">
            <v>0</v>
          </cell>
          <cell r="E799" t="e">
            <v>#N/A</v>
          </cell>
        </row>
        <row r="800">
          <cell r="A800">
            <v>42203</v>
          </cell>
          <cell r="B800" t="str">
            <v>Arborização para paisagismo ( mudas viveiro de espera) com altura maior que 150 cm</v>
          </cell>
          <cell r="C800" t="str">
            <v>un</v>
          </cell>
          <cell r="D800" t="str">
            <v>106,40</v>
          </cell>
          <cell r="E800" t="str">
            <v>A incluir</v>
          </cell>
        </row>
        <row r="801">
          <cell r="A801">
            <v>42202</v>
          </cell>
          <cell r="B801" t="str">
            <v>Arborização para paisagismo (mudas viveiro de espera) com altura até 150 cm</v>
          </cell>
          <cell r="C801" t="str">
            <v>un</v>
          </cell>
          <cell r="D801" t="str">
            <v>85,33</v>
          </cell>
          <cell r="E801" t="str">
            <v>A incluir</v>
          </cell>
        </row>
        <row r="802">
          <cell r="A802">
            <v>42041</v>
          </cell>
          <cell r="B802" t="str">
            <v>Barreira de Siltagem com escoras de eucalipto, diâm. 0,10m e a altura 1,60m, espaçadas a cada 2,0 m, 1 reaproveitamento</v>
          </cell>
          <cell r="C802" t="str">
            <v>m</v>
          </cell>
          <cell r="D802" t="str">
            <v>20,45</v>
          </cell>
          <cell r="E802" t="str">
            <v>A incluir</v>
          </cell>
        </row>
        <row r="803">
          <cell r="A803">
            <v>42199</v>
          </cell>
          <cell r="B803" t="str">
            <v>Conformação manual de taludes</v>
          </cell>
          <cell r="C803" t="str">
            <v>m²</v>
          </cell>
          <cell r="D803" t="str">
            <v>1,29</v>
          </cell>
          <cell r="E803">
            <v>0</v>
          </cell>
        </row>
        <row r="804">
          <cell r="A804">
            <v>42210</v>
          </cell>
          <cell r="B804" t="str">
            <v>Grama em placas em taludes com estacas de madeira, fornecimento e plantio</v>
          </cell>
          <cell r="C804" t="str">
            <v>m²</v>
          </cell>
          <cell r="D804" t="str">
            <v>18,23</v>
          </cell>
          <cell r="E804" t="str">
            <v>A incluir</v>
          </cell>
        </row>
        <row r="805">
          <cell r="A805">
            <v>42206</v>
          </cell>
          <cell r="B805" t="str">
            <v>Grama em placas, fornecimento e plantio (sem fixação com estacas)</v>
          </cell>
          <cell r="C805" t="str">
            <v>m²</v>
          </cell>
          <cell r="D805" t="str">
            <v>14,19</v>
          </cell>
          <cell r="E805" t="str">
            <v>A incluir</v>
          </cell>
        </row>
        <row r="806">
          <cell r="A806">
            <v>42208</v>
          </cell>
          <cell r="B806" t="str">
            <v>Gramínea em leiva, extração</v>
          </cell>
          <cell r="C806" t="str">
            <v>m²</v>
          </cell>
          <cell r="D806" t="str">
            <v>1,52</v>
          </cell>
          <cell r="E806">
            <v>0</v>
          </cell>
        </row>
        <row r="807">
          <cell r="A807">
            <v>42209</v>
          </cell>
          <cell r="B807" t="str">
            <v>Gramínea em leiva, extração, plantio e transporte</v>
          </cell>
          <cell r="C807" t="str">
            <v>m²</v>
          </cell>
          <cell r="D807" t="str">
            <v>6,75</v>
          </cell>
          <cell r="E807" t="str">
            <v>A incluir</v>
          </cell>
        </row>
        <row r="808">
          <cell r="A808">
            <v>42207</v>
          </cell>
          <cell r="B808" t="str">
            <v>Gramíneas em sementes, fornecimento e plantio a lanço</v>
          </cell>
          <cell r="C808" t="str">
            <v>m²</v>
          </cell>
          <cell r="D808" t="str">
            <v>2,96</v>
          </cell>
          <cell r="E808">
            <v>0</v>
          </cell>
        </row>
        <row r="809">
          <cell r="A809">
            <v>42200</v>
          </cell>
          <cell r="B809" t="str">
            <v>Hidrossemeadura simples em taludes</v>
          </cell>
          <cell r="C809" t="str">
            <v>m²</v>
          </cell>
          <cell r="D809" t="str">
            <v>5,80</v>
          </cell>
          <cell r="E809">
            <v>0</v>
          </cell>
        </row>
        <row r="810">
          <cell r="A810">
            <v>42201</v>
          </cell>
          <cell r="B810" t="str">
            <v>Hidrossemeadura simples em terrenos planos</v>
          </cell>
          <cell r="C810" t="str">
            <v>m²</v>
          </cell>
          <cell r="D810" t="str">
            <v>4,44</v>
          </cell>
          <cell r="E810">
            <v>0</v>
          </cell>
        </row>
        <row r="811">
          <cell r="A811">
            <v>41247</v>
          </cell>
          <cell r="B811" t="str">
            <v>Recomposição de talude de corte com aterro de solo argiloso compactado, exclusive material de aterro</v>
          </cell>
          <cell r="C811" t="str">
            <v>m³</v>
          </cell>
          <cell r="D811" t="str">
            <v>49,76</v>
          </cell>
          <cell r="E811">
            <v>0</v>
          </cell>
        </row>
        <row r="812">
          <cell r="A812">
            <v>42204</v>
          </cell>
          <cell r="B812" t="str">
            <v>Reflorestamento com espécies nativas da mata atlântica, mudas em sacolas ou tubetes</v>
          </cell>
          <cell r="C812" t="str">
            <v>un</v>
          </cell>
          <cell r="D812" t="str">
            <v>31,83</v>
          </cell>
          <cell r="E812" t="str">
            <v>A incluir</v>
          </cell>
        </row>
        <row r="813">
          <cell r="A813">
            <v>42044</v>
          </cell>
          <cell r="B813" t="str">
            <v>Reunião de Comunicação Social inclusive material de consumo</v>
          </cell>
          <cell r="C813" t="str">
            <v>un</v>
          </cell>
          <cell r="D813" t="str">
            <v>4.564,14</v>
          </cell>
          <cell r="E813">
            <v>0</v>
          </cell>
        </row>
        <row r="814">
          <cell r="A814">
            <v>40102</v>
          </cell>
          <cell r="B814" t="str">
            <v>Revestimento vegetal com grama em placas, inclusive transporte de grama</v>
          </cell>
          <cell r="C814" t="str">
            <v>m²</v>
          </cell>
          <cell r="D814" t="str">
            <v>13,53</v>
          </cell>
          <cell r="E814" t="str">
            <v>A incluir</v>
          </cell>
        </row>
        <row r="815">
          <cell r="A815">
            <v>42039</v>
          </cell>
          <cell r="B815" t="str">
            <v>Revestimento vegetal por hidrossemeadura com manta de fibras vegetais</v>
          </cell>
          <cell r="C815" t="str">
            <v>m²</v>
          </cell>
          <cell r="D815" t="str">
            <v>15,58</v>
          </cell>
          <cell r="E815" t="str">
            <v>A incluir</v>
          </cell>
        </row>
        <row r="816">
          <cell r="A816">
            <v>42205</v>
          </cell>
          <cell r="B816" t="str">
            <v>Roçada para manutenção de mudas</v>
          </cell>
          <cell r="C816" t="str">
            <v>m²</v>
          </cell>
          <cell r="D816" t="str">
            <v>1,24</v>
          </cell>
          <cell r="E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e">
            <v>#N/A</v>
          </cell>
        </row>
        <row r="818">
          <cell r="A818" t="str">
            <v>Grupo de Serviço: 10 - SINALIZAÇÃO</v>
          </cell>
          <cell r="B818">
            <v>0</v>
          </cell>
          <cell r="C818">
            <v>0</v>
          </cell>
          <cell r="E818" t="e">
            <v>#N/A</v>
          </cell>
        </row>
        <row r="819">
          <cell r="A819">
            <v>41153</v>
          </cell>
          <cell r="B819" t="str">
            <v>Abraçadeira para fixação de semáforo em braço/coluna de diâmetro 101 ou 114 mm</v>
          </cell>
          <cell r="C819" t="str">
            <v>un</v>
          </cell>
          <cell r="D819" t="str">
            <v>63,29</v>
          </cell>
          <cell r="E819">
            <v>0</v>
          </cell>
        </row>
        <row r="820">
          <cell r="A820">
            <v>41409</v>
          </cell>
          <cell r="B820" t="str">
            <v>Anteparo 3 x 300 mm, fornecimento e instalação</v>
          </cell>
          <cell r="C820" t="str">
            <v>un</v>
          </cell>
          <cell r="D820" t="str">
            <v>310,20</v>
          </cell>
          <cell r="E820">
            <v>0</v>
          </cell>
        </row>
        <row r="821">
          <cell r="A821">
            <v>40928</v>
          </cell>
          <cell r="B821" t="str">
            <v>Balizador de concreto ( fornecimento e assentamento )</v>
          </cell>
          <cell r="C821" t="str">
            <v>un</v>
          </cell>
          <cell r="D821" t="str">
            <v>37,41</v>
          </cell>
          <cell r="E821" t="str">
            <v>A incluir</v>
          </cell>
        </row>
        <row r="822">
          <cell r="A822">
            <v>41408</v>
          </cell>
          <cell r="B822" t="str">
            <v>Botoeira com sinal sonoro, fornecimento e instalação</v>
          </cell>
          <cell r="C822" t="str">
            <v>un</v>
          </cell>
          <cell r="D822" t="str">
            <v>2.819,95</v>
          </cell>
          <cell r="E822">
            <v>0</v>
          </cell>
        </row>
        <row r="823">
          <cell r="A823">
            <v>41147</v>
          </cell>
          <cell r="B823" t="str">
            <v>Cabos para rede de dados (sincronismo) blindado 2 x 20 awg, fornecimento e instalação</v>
          </cell>
          <cell r="C823" t="str">
            <v>m</v>
          </cell>
          <cell r="D823" t="str">
            <v>8,25</v>
          </cell>
          <cell r="E823">
            <v>0</v>
          </cell>
        </row>
        <row r="824">
          <cell r="A824">
            <v>42046</v>
          </cell>
          <cell r="B824" t="str">
            <v>Cones para sinalização, fornecimento e colocação</v>
          </cell>
          <cell r="C824" t="str">
            <v>un</v>
          </cell>
          <cell r="D824" t="str">
            <v>16,48</v>
          </cell>
          <cell r="E824">
            <v>0</v>
          </cell>
        </row>
        <row r="825">
          <cell r="A825">
            <v>41407</v>
          </cell>
          <cell r="B825" t="str">
            <v>Controlador Eletrônico Microprocessado 4 fases, fornecimento e instalação</v>
          </cell>
          <cell r="C825" t="str">
            <v>un</v>
          </cell>
          <cell r="D825" t="str">
            <v>14.820,36</v>
          </cell>
          <cell r="E825">
            <v>0</v>
          </cell>
        </row>
        <row r="826">
          <cell r="A826">
            <v>41146</v>
          </cell>
          <cell r="B826" t="str">
            <v>Controlador Eletrônico Microprocessado 6/6 fases, fornecimento e instalação</v>
          </cell>
          <cell r="C826" t="str">
            <v>un</v>
          </cell>
          <cell r="D826" t="str">
            <v>15.857,26</v>
          </cell>
          <cell r="E826">
            <v>0</v>
          </cell>
        </row>
        <row r="827">
          <cell r="A827">
            <v>41017</v>
          </cell>
          <cell r="B827" t="str">
            <v>Defensa de concreto tipo New Jersey, fornecimento e colocação</v>
          </cell>
          <cell r="C827" t="str">
            <v>m</v>
          </cell>
          <cell r="D827" t="str">
            <v>429,68</v>
          </cell>
          <cell r="E827">
            <v>0</v>
          </cell>
        </row>
        <row r="828">
          <cell r="A828">
            <v>40929</v>
          </cell>
          <cell r="B828" t="str">
            <v>Defensa metálica (1 lâmina com espessura -&gt; 3 mm), fornecimento e colocação</v>
          </cell>
          <cell r="C828" t="str">
            <v>m</v>
          </cell>
          <cell r="D828" t="str">
            <v>246,08</v>
          </cell>
          <cell r="E828" t="str">
            <v>A incluir</v>
          </cell>
        </row>
        <row r="829">
          <cell r="A829">
            <v>41203</v>
          </cell>
          <cell r="B829" t="str">
            <v>Defensa metálica (2 lâminas com espessuras -&gt; 3mm) inclusive acessórios, fornecimento e colocação</v>
          </cell>
          <cell r="C829" t="str">
            <v>m</v>
          </cell>
          <cell r="D829" t="str">
            <v>486,61</v>
          </cell>
          <cell r="E829" t="str">
            <v>A incluir</v>
          </cell>
        </row>
        <row r="830">
          <cell r="A830">
            <v>42047</v>
          </cell>
          <cell r="B830" t="str">
            <v>Elementos de madeira para sinalização - cavaletes</v>
          </cell>
          <cell r="C830" t="str">
            <v>un</v>
          </cell>
          <cell r="D830" t="str">
            <v>43,60</v>
          </cell>
          <cell r="E830">
            <v>0</v>
          </cell>
        </row>
        <row r="831">
          <cell r="A831">
            <v>41145</v>
          </cell>
          <cell r="B831" t="str">
            <v>Grupo focal gradativo (semáforo com informação de tempo), fornecimento e instalação</v>
          </cell>
          <cell r="C831" t="str">
            <v>un</v>
          </cell>
          <cell r="D831" t="str">
            <v>9.436,41</v>
          </cell>
          <cell r="E831">
            <v>0</v>
          </cell>
        </row>
        <row r="832">
          <cell r="A832">
            <v>41141</v>
          </cell>
          <cell r="B832" t="str">
            <v>Grupo focal repetidor 2x200 mm, fornecimento e instalação</v>
          </cell>
          <cell r="C832" t="str">
            <v>un</v>
          </cell>
          <cell r="D832" t="str">
            <v>1.578,03</v>
          </cell>
          <cell r="E832">
            <v>0</v>
          </cell>
        </row>
        <row r="833">
          <cell r="A833">
            <v>41142</v>
          </cell>
          <cell r="B833" t="str">
            <v>Grupo focal repetidor 3x200 mm, fornecimento e instalação</v>
          </cell>
          <cell r="C833" t="str">
            <v>un</v>
          </cell>
          <cell r="D833" t="str">
            <v>2.610,74</v>
          </cell>
          <cell r="E833">
            <v>0</v>
          </cell>
        </row>
        <row r="834">
          <cell r="A834">
            <v>41143</v>
          </cell>
          <cell r="B834" t="str">
            <v>Grupo focal repetidor 3x300 mm, fornecimento e instalação</v>
          </cell>
          <cell r="C834" t="str">
            <v>un</v>
          </cell>
          <cell r="D834" t="str">
            <v>3.568,49</v>
          </cell>
          <cell r="E834">
            <v>0</v>
          </cell>
        </row>
        <row r="835">
          <cell r="A835">
            <v>43162</v>
          </cell>
          <cell r="B835" t="str">
            <v>Ondulação transversal em CBUQ</v>
          </cell>
          <cell r="C835" t="str">
            <v>m</v>
          </cell>
          <cell r="D835" t="str">
            <v>238,54</v>
          </cell>
          <cell r="E835" t="str">
            <v>A incluir</v>
          </cell>
        </row>
        <row r="836">
          <cell r="A836">
            <v>40931</v>
          </cell>
          <cell r="B836" t="str">
            <v>Ondulação transversal em concreto</v>
          </cell>
          <cell r="C836" t="str">
            <v>m²</v>
          </cell>
          <cell r="D836" t="str">
            <v>192,86</v>
          </cell>
          <cell r="E836" t="str">
            <v>A incluir</v>
          </cell>
        </row>
        <row r="837">
          <cell r="A837">
            <v>41526</v>
          </cell>
          <cell r="B837" t="str">
            <v>Pintura acrílica sobre capa asfáltica</v>
          </cell>
          <cell r="C837" t="str">
            <v>m²</v>
          </cell>
          <cell r="D837" t="str">
            <v>9,04</v>
          </cell>
          <cell r="E837" t="str">
            <v>A incluir</v>
          </cell>
        </row>
        <row r="838">
          <cell r="A838">
            <v>42524</v>
          </cell>
          <cell r="B838" t="str">
            <v>Pintura de setas e zebrados em material termoplástico - 5 anos ( por extrusão)</v>
          </cell>
          <cell r="C838" t="str">
            <v>m²</v>
          </cell>
          <cell r="D838" t="str">
            <v>71,36</v>
          </cell>
          <cell r="E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E839" t="e">
            <v>#N/A</v>
          </cell>
        </row>
        <row r="840">
          <cell r="A840">
            <v>40938</v>
          </cell>
          <cell r="B840" t="str">
            <v>Sinalização com chapa em alumínio revestida em película</v>
          </cell>
          <cell r="C840" t="str">
            <v>m²</v>
          </cell>
          <cell r="D840" t="str">
            <v>843,77</v>
          </cell>
          <cell r="E840">
            <v>0</v>
          </cell>
        </row>
        <row r="841">
          <cell r="A841">
            <v>40924</v>
          </cell>
          <cell r="B841" t="str">
            <v>Sinalização horizontal TMD-&gt;200, vida útil 2 a 3 anos, taxa-&gt;0,40 L/m²</v>
          </cell>
          <cell r="C841" t="str">
            <v>m²</v>
          </cell>
          <cell r="D841" t="str">
            <v>12,36</v>
          </cell>
          <cell r="E841" t="str">
            <v>A incluir</v>
          </cell>
        </row>
        <row r="842">
          <cell r="A842">
            <v>40925</v>
          </cell>
          <cell r="B842" t="str">
            <v>Sinalização horizontal TMD-&gt;400, vida útil 2 a 3 anos, taxa-&gt;0,60 L/m²</v>
          </cell>
          <cell r="C842" t="str">
            <v>m²</v>
          </cell>
          <cell r="D842" t="str">
            <v>16,10</v>
          </cell>
          <cell r="E842" t="str">
            <v>A incluir</v>
          </cell>
        </row>
        <row r="843">
          <cell r="A843">
            <v>40926</v>
          </cell>
          <cell r="B843" t="str">
            <v>Sinalização horizontal TMD-&gt;600, vida útil 2 a 3 anos, taxa-&gt;0,80 L/m²</v>
          </cell>
          <cell r="C843" t="str">
            <v>m²</v>
          </cell>
          <cell r="D843" t="str">
            <v>19,84</v>
          </cell>
          <cell r="E843" t="str">
            <v>A incluir</v>
          </cell>
        </row>
        <row r="844">
          <cell r="A844">
            <v>40927</v>
          </cell>
          <cell r="B844" t="str">
            <v>Sinalização horizontal TMD-&gt;600, vida útil 3 anos, taxa-&gt;3,0 kg/m² material termoplástico )</v>
          </cell>
          <cell r="C844" t="str">
            <v>m²</v>
          </cell>
          <cell r="D844" t="str">
            <v>40,13</v>
          </cell>
          <cell r="E844" t="str">
            <v>A incluir</v>
          </cell>
        </row>
        <row r="845">
          <cell r="A845">
            <v>41202</v>
          </cell>
          <cell r="B845" t="str">
            <v>Sinalização noturna ( fio com lâmpada e balde ), fornecimento e instalação</v>
          </cell>
          <cell r="C845" t="str">
            <v>m</v>
          </cell>
          <cell r="D845" t="str">
            <v>22,07</v>
          </cell>
          <cell r="E845">
            <v>0</v>
          </cell>
        </row>
        <row r="846">
          <cell r="A846">
            <v>40937</v>
          </cell>
          <cell r="B846" t="str">
            <v>Sinalização vertical com chapa em esmalte sintético</v>
          </cell>
          <cell r="C846" t="str">
            <v>m²</v>
          </cell>
          <cell r="D846" t="str">
            <v>369,95</v>
          </cell>
          <cell r="E846">
            <v>0</v>
          </cell>
        </row>
        <row r="847">
          <cell r="A847">
            <v>40939</v>
          </cell>
          <cell r="B847" t="str">
            <v>Sinalização vertical com chapa em poliéster (e-&gt;2,3mm) reforçada com fibra de vidro, inclusive suporte de madeira</v>
          </cell>
          <cell r="C847" t="str">
            <v>m²</v>
          </cell>
          <cell r="D847" t="str">
            <v>726,56</v>
          </cell>
          <cell r="E847">
            <v>0</v>
          </cell>
        </row>
        <row r="848">
          <cell r="A848">
            <v>40936</v>
          </cell>
          <cell r="B848" t="str">
            <v>Sinalização vertical com chapa revestida em película, inclusive suporte em madeira</v>
          </cell>
          <cell r="C848" t="str">
            <v>m²</v>
          </cell>
          <cell r="D848" t="str">
            <v>442,51</v>
          </cell>
          <cell r="E848">
            <v>0</v>
          </cell>
        </row>
        <row r="849">
          <cell r="A849">
            <v>40930</v>
          </cell>
          <cell r="B849" t="str">
            <v>Sonorizador</v>
          </cell>
          <cell r="C849" t="str">
            <v>m²</v>
          </cell>
          <cell r="D849" t="str">
            <v>191,33</v>
          </cell>
          <cell r="E849" t="str">
            <v>A incluir</v>
          </cell>
        </row>
        <row r="850">
          <cell r="A850">
            <v>41222</v>
          </cell>
          <cell r="B850" t="str">
            <v>Suporte de placa de sinalização vertical em madeira de 1ª qualidade, pintada, fornecimento e instalação</v>
          </cell>
          <cell r="C850" t="str">
            <v>un</v>
          </cell>
          <cell r="D850" t="str">
            <v>76,13</v>
          </cell>
          <cell r="E850">
            <v>0</v>
          </cell>
        </row>
        <row r="851">
          <cell r="A851">
            <v>40932</v>
          </cell>
          <cell r="B851" t="str">
            <v>Tacha refletiva monodirecional, fornecimento e aplicação</v>
          </cell>
          <cell r="C851" t="str">
            <v>un</v>
          </cell>
          <cell r="D851" t="str">
            <v>18,65</v>
          </cell>
          <cell r="E851">
            <v>0</v>
          </cell>
        </row>
        <row r="852">
          <cell r="A852">
            <v>40934</v>
          </cell>
          <cell r="B852" t="str">
            <v>Tacha refletiva birrefletorizada, fornecimento e aplicação</v>
          </cell>
          <cell r="C852" t="str">
            <v>un</v>
          </cell>
          <cell r="D852" t="str">
            <v>20,49</v>
          </cell>
          <cell r="E852">
            <v>0</v>
          </cell>
        </row>
        <row r="853">
          <cell r="A853">
            <v>40933</v>
          </cell>
          <cell r="B853" t="str">
            <v>Tachão refletivo monodirecional, fornecimento e aplicação</v>
          </cell>
          <cell r="C853" t="str">
            <v>un</v>
          </cell>
          <cell r="D853" t="str">
            <v>47,43</v>
          </cell>
          <cell r="E853">
            <v>0</v>
          </cell>
        </row>
        <row r="854">
          <cell r="A854">
            <v>40935</v>
          </cell>
          <cell r="B854" t="str">
            <v>Tachão refletivo birrefletorizado, fornecimento e aplicação</v>
          </cell>
          <cell r="C854" t="str">
            <v>un</v>
          </cell>
          <cell r="D854" t="str">
            <v>51,81</v>
          </cell>
          <cell r="E854">
            <v>0</v>
          </cell>
        </row>
        <row r="855">
          <cell r="A855">
            <v>41359</v>
          </cell>
          <cell r="B855" t="str">
            <v>Tela de proteção de segurança de PVC cor laranja com suporte para sinalização de obras</v>
          </cell>
          <cell r="C855" t="str">
            <v>m</v>
          </cell>
          <cell r="D855" t="str">
            <v>22,42</v>
          </cell>
          <cell r="E855" t="str">
            <v>A incluir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e">
            <v>#N/A</v>
          </cell>
        </row>
        <row r="857">
          <cell r="A857" t="str">
            <v>Grupo de Serviço: 12 - SERVIÇOS DIVERSOS</v>
          </cell>
          <cell r="B857">
            <v>0</v>
          </cell>
          <cell r="C857">
            <v>0</v>
          </cell>
          <cell r="E857" t="e">
            <v>#N/A</v>
          </cell>
        </row>
        <row r="858">
          <cell r="A858">
            <v>42878</v>
          </cell>
          <cell r="B858" t="str">
            <v>Aluguel de automóvel VW/ Gol (flex) 1,0 ou equivalente, inclusive combustível, sem motorista</v>
          </cell>
          <cell r="C858" t="str">
            <v>mês</v>
          </cell>
          <cell r="D858" t="str">
            <v>4.102,03</v>
          </cell>
          <cell r="E858">
            <v>0</v>
          </cell>
        </row>
        <row r="859">
          <cell r="A859">
            <v>42888</v>
          </cell>
          <cell r="B859" t="str">
            <v>Aluguel mensal de automóvel utilitário inclusive combustível, exclusive motorista</v>
          </cell>
          <cell r="C859" t="str">
            <v>mês</v>
          </cell>
          <cell r="D859" t="str">
            <v>5.580,57</v>
          </cell>
          <cell r="E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E860" t="e">
            <v>#N/A</v>
          </cell>
        </row>
        <row r="861">
          <cell r="A861" t="str">
            <v>Grupo de Serviço: 15 - CONSERVAÇÃO CORRETIVA ROTINEIRA</v>
          </cell>
          <cell r="B861">
            <v>0</v>
          </cell>
          <cell r="C861">
            <v>0</v>
          </cell>
          <cell r="E861" t="e">
            <v>#N/A</v>
          </cell>
        </row>
        <row r="862">
          <cell r="A862">
            <v>40981</v>
          </cell>
          <cell r="B862" t="str">
            <v>Aplicação de jato de ar comprimido para limpeza de trincas</v>
          </cell>
          <cell r="C862" t="str">
            <v>m²</v>
          </cell>
          <cell r="D862" t="str">
            <v>1,43</v>
          </cell>
          <cell r="E862">
            <v>0</v>
          </cell>
        </row>
        <row r="863">
          <cell r="A863">
            <v>40101</v>
          </cell>
          <cell r="B863" t="str">
            <v>Arborização (mudas de árvores com altura até 1,50 m)</v>
          </cell>
          <cell r="C863" t="str">
            <v>un</v>
          </cell>
          <cell r="D863" t="str">
            <v>131,92</v>
          </cell>
          <cell r="E863">
            <v>0</v>
          </cell>
        </row>
        <row r="864">
          <cell r="A864">
            <v>40110</v>
          </cell>
          <cell r="B864" t="str">
            <v>Base de solo estabilizada granulométricamente sem mistura inclusive escavação e carga</v>
          </cell>
          <cell r="C864" t="str">
            <v>m³</v>
          </cell>
          <cell r="D864" t="str">
            <v>29,07</v>
          </cell>
          <cell r="E864">
            <v>0</v>
          </cell>
        </row>
        <row r="865">
          <cell r="A865">
            <v>40137</v>
          </cell>
          <cell r="B865" t="str">
            <v>Boca de bueiro tubular em concreto ciclópico inclusive escavação, tudo incluído</v>
          </cell>
          <cell r="C865" t="str">
            <v>un</v>
          </cell>
          <cell r="D865" t="str">
            <v>1.449,84</v>
          </cell>
          <cell r="E865" t="str">
            <v>A incluir</v>
          </cell>
        </row>
        <row r="866">
          <cell r="A866">
            <v>40138</v>
          </cell>
          <cell r="B866" t="str">
            <v>Caixa coletora em concreto fck-&gt;10,0 MPa inclusive escavação, tudo incluído</v>
          </cell>
          <cell r="C866" t="str">
            <v>un</v>
          </cell>
          <cell r="D866" t="str">
            <v>2.460,50</v>
          </cell>
          <cell r="E866" t="str">
            <v>A incluir</v>
          </cell>
        </row>
        <row r="867">
          <cell r="A867">
            <v>43336</v>
          </cell>
          <cell r="B867" t="str">
            <v>Capina manual inclusive, limpeza</v>
          </cell>
          <cell r="C867" t="str">
            <v>m²</v>
          </cell>
          <cell r="D867" t="str">
            <v>1,07</v>
          </cell>
          <cell r="E867">
            <v>0</v>
          </cell>
        </row>
        <row r="868">
          <cell r="A868">
            <v>40980</v>
          </cell>
          <cell r="B868" t="str">
            <v>Carga manual de material de limpeza de galerias urbanas</v>
          </cell>
          <cell r="C868" t="str">
            <v>m³</v>
          </cell>
          <cell r="D868" t="str">
            <v>11,44</v>
          </cell>
          <cell r="E868">
            <v>0</v>
          </cell>
        </row>
        <row r="869">
          <cell r="A869">
            <v>40115</v>
          </cell>
          <cell r="B869" t="str">
            <v>CBUQ - Usinagem, aquisição e transporte dos materiais</v>
          </cell>
          <cell r="C869" t="str">
            <v>t</v>
          </cell>
          <cell r="D869" t="str">
            <v>202,32</v>
          </cell>
          <cell r="E869" t="str">
            <v>A incluir</v>
          </cell>
        </row>
        <row r="870">
          <cell r="A870">
            <v>40104</v>
          </cell>
          <cell r="B870" t="str">
            <v>Cerca com mourões de madeira, inclusive escavação e transporte de mourão e arame farpado</v>
          </cell>
          <cell r="C870" t="str">
            <v>m</v>
          </cell>
          <cell r="D870" t="str">
            <v>14,07</v>
          </cell>
          <cell r="E870" t="str">
            <v>A incluir</v>
          </cell>
        </row>
        <row r="871">
          <cell r="A871">
            <v>40143</v>
          </cell>
          <cell r="B871" t="str">
            <v>Colchão drenante de brita 1, inclusive fornecimento, espalhamento, compactação e transporte da brita</v>
          </cell>
          <cell r="C871" t="str">
            <v>m³</v>
          </cell>
          <cell r="D871" t="str">
            <v>96,34</v>
          </cell>
          <cell r="E871" t="str">
            <v>A incluir</v>
          </cell>
        </row>
        <row r="872">
          <cell r="A872">
            <v>40107</v>
          </cell>
          <cell r="B872" t="str">
            <v>Compactação de aterros 100% PN</v>
          </cell>
          <cell r="C872" t="str">
            <v>m³</v>
          </cell>
          <cell r="D872" t="str">
            <v>4,91</v>
          </cell>
          <cell r="E872">
            <v>0</v>
          </cell>
        </row>
        <row r="873">
          <cell r="A873">
            <v>40108</v>
          </cell>
          <cell r="B873" t="str">
            <v>Compactação de subleito</v>
          </cell>
          <cell r="C873" t="str">
            <v>m²</v>
          </cell>
          <cell r="D873" t="str">
            <v>2,37</v>
          </cell>
          <cell r="E873">
            <v>0</v>
          </cell>
        </row>
        <row r="874">
          <cell r="A874">
            <v>40081</v>
          </cell>
          <cell r="B874" t="str">
            <v>Conformação de taludes de corte</v>
          </cell>
          <cell r="C874" t="str">
            <v>m³</v>
          </cell>
          <cell r="D874" t="str">
            <v>7,60</v>
          </cell>
          <cell r="E874">
            <v>0</v>
          </cell>
        </row>
        <row r="875">
          <cell r="A875">
            <v>40136</v>
          </cell>
          <cell r="B875" t="str">
            <v>Corpo e berço de bueiro tubular, inclusive transporte do tubo</v>
          </cell>
          <cell r="C875" t="str">
            <v>m</v>
          </cell>
          <cell r="D875" t="str">
            <v>441,90</v>
          </cell>
          <cell r="E875" t="str">
            <v>A incluir</v>
          </cell>
        </row>
        <row r="876">
          <cell r="A876">
            <v>40096</v>
          </cell>
          <cell r="B876" t="str">
            <v>Defensas metálicas (espessura lâminas -&gt; 3 mm), inclusive fornecimento de materiais, substituição</v>
          </cell>
          <cell r="C876" t="str">
            <v>m</v>
          </cell>
          <cell r="D876" t="str">
            <v>316,24</v>
          </cell>
          <cell r="E876">
            <v>0</v>
          </cell>
        </row>
        <row r="877">
          <cell r="A877">
            <v>40134</v>
          </cell>
          <cell r="B877" t="str">
            <v>Demolição e remoção de estrutura de pavimento inclusive capa asfáltica</v>
          </cell>
          <cell r="C877" t="str">
            <v>m²</v>
          </cell>
          <cell r="D877" t="str">
            <v>4,30</v>
          </cell>
          <cell r="E877">
            <v>0</v>
          </cell>
        </row>
        <row r="878">
          <cell r="A878">
            <v>40105</v>
          </cell>
          <cell r="B878" t="str">
            <v>Desmatamento, destocamento e limpeza</v>
          </cell>
          <cell r="C878" t="str">
            <v>m²</v>
          </cell>
          <cell r="D878" t="str">
            <v>0,57</v>
          </cell>
          <cell r="E878">
            <v>0</v>
          </cell>
        </row>
        <row r="879">
          <cell r="A879">
            <v>40084</v>
          </cell>
          <cell r="B879" t="str">
            <v>Desobstrução manual de valetas</v>
          </cell>
          <cell r="C879" t="str">
            <v>m</v>
          </cell>
          <cell r="D879" t="str">
            <v>1,30</v>
          </cell>
          <cell r="E879">
            <v>0</v>
          </cell>
        </row>
        <row r="880">
          <cell r="A880">
            <v>40144</v>
          </cell>
          <cell r="B880" t="str">
            <v>Dreno profundo D-&gt;0,20 m com enchimento brita e areia, tudo incluído</v>
          </cell>
          <cell r="C880" t="str">
            <v>m</v>
          </cell>
          <cell r="D880" t="str">
            <v>125,97</v>
          </cell>
          <cell r="E880" t="str">
            <v>A incluir</v>
          </cell>
        </row>
        <row r="881">
          <cell r="A881">
            <v>40106</v>
          </cell>
          <cell r="B881" t="str">
            <v>Escavação, carga e transporte de material de 1º categoria</v>
          </cell>
          <cell r="C881" t="str">
            <v>m³</v>
          </cell>
          <cell r="D881" t="str">
            <v>9,22</v>
          </cell>
          <cell r="E881" t="str">
            <v>A incluir</v>
          </cell>
        </row>
        <row r="882">
          <cell r="A882">
            <v>40135</v>
          </cell>
          <cell r="B882" t="str">
            <v>Fresagem de pavimento asfáltico à frio, inclusive transporte do material</v>
          </cell>
          <cell r="C882" t="str">
            <v>m²</v>
          </cell>
          <cell r="D882" t="str">
            <v>10,29</v>
          </cell>
          <cell r="E882">
            <v>0</v>
          </cell>
        </row>
        <row r="883">
          <cell r="A883">
            <v>40111</v>
          </cell>
          <cell r="B883" t="str">
            <v>Imprimação inclusive fornecimento e transporte do CM-30</v>
          </cell>
          <cell r="C883" t="str">
            <v>m²</v>
          </cell>
          <cell r="D883" t="str">
            <v>4,10</v>
          </cell>
          <cell r="E883" t="str">
            <v>A incluir</v>
          </cell>
        </row>
        <row r="884">
          <cell r="A884">
            <v>40126</v>
          </cell>
          <cell r="B884" t="str">
            <v>Lama asfáltica (faixa I - ISSA) (tudo incluído)</v>
          </cell>
          <cell r="C884" t="str">
            <v>m²</v>
          </cell>
          <cell r="D884" t="str">
            <v>2,60</v>
          </cell>
          <cell r="E884" t="str">
            <v>A incluir</v>
          </cell>
        </row>
        <row r="885">
          <cell r="A885">
            <v>40127</v>
          </cell>
          <cell r="B885" t="str">
            <v>Lama asfáltica (faixa II - ISSA) (tudo incluído)</v>
          </cell>
          <cell r="C885" t="str">
            <v>m²</v>
          </cell>
          <cell r="D885" t="str">
            <v>3,47</v>
          </cell>
          <cell r="E885" t="str">
            <v>A incluir</v>
          </cell>
        </row>
        <row r="886">
          <cell r="A886">
            <v>40128</v>
          </cell>
          <cell r="B886" t="str">
            <v>Lama asfáltica (faixa III - ISSA) (tudo incluído)</v>
          </cell>
          <cell r="C886" t="str">
            <v>m²</v>
          </cell>
          <cell r="D886" t="str">
            <v>4,48</v>
          </cell>
          <cell r="E886" t="str">
            <v>A incluir</v>
          </cell>
        </row>
        <row r="887">
          <cell r="A887">
            <v>40129</v>
          </cell>
          <cell r="B887" t="str">
            <v>Lama asfáltica (faixa IV - ISSA) (tudo incluído)</v>
          </cell>
          <cell r="C887" t="str">
            <v>m²</v>
          </cell>
          <cell r="D887" t="str">
            <v>5,91</v>
          </cell>
          <cell r="E887" t="str">
            <v>A incluir</v>
          </cell>
        </row>
        <row r="888">
          <cell r="A888">
            <v>40085</v>
          </cell>
          <cell r="B888" t="str">
            <v>Limpeza de sarjeta e meio-fio</v>
          </cell>
          <cell r="C888" t="str">
            <v>m</v>
          </cell>
          <cell r="D888" t="str">
            <v>0,98</v>
          </cell>
          <cell r="E888">
            <v>0</v>
          </cell>
        </row>
        <row r="889">
          <cell r="A889">
            <v>40086</v>
          </cell>
          <cell r="B889" t="str">
            <v>Limpeza e desobstrução de bueiros</v>
          </cell>
          <cell r="C889" t="str">
            <v>m</v>
          </cell>
          <cell r="D889" t="str">
            <v>22,80</v>
          </cell>
          <cell r="E889">
            <v>0</v>
          </cell>
        </row>
        <row r="890">
          <cell r="A890">
            <v>40087</v>
          </cell>
          <cell r="B890" t="str">
            <v>Limpeza e desobstrução de caixa coletora</v>
          </cell>
          <cell r="C890" t="str">
            <v>un</v>
          </cell>
          <cell r="D890" t="str">
            <v>85,97</v>
          </cell>
          <cell r="E890">
            <v>0</v>
          </cell>
        </row>
        <row r="891">
          <cell r="A891">
            <v>40983</v>
          </cell>
          <cell r="B891" t="str">
            <v>Limpeza e desobstrução de rede de drenagem, utilizando caminhão equipado com conjunto de alta pressão e sucção</v>
          </cell>
          <cell r="C891" t="str">
            <v>m</v>
          </cell>
          <cell r="D891" t="str">
            <v>7,62</v>
          </cell>
          <cell r="E891">
            <v>0</v>
          </cell>
        </row>
        <row r="892">
          <cell r="A892">
            <v>40100</v>
          </cell>
          <cell r="B892" t="str">
            <v>Limpeza e pintura de guarda-corpo</v>
          </cell>
          <cell r="C892" t="str">
            <v>m</v>
          </cell>
          <cell r="D892" t="str">
            <v>71,40</v>
          </cell>
          <cell r="E892">
            <v>0</v>
          </cell>
        </row>
        <row r="893">
          <cell r="A893">
            <v>40141</v>
          </cell>
          <cell r="B893" t="str">
            <v>Meio-fio pré-moldado em concreto, inclusive caiação e transporte do meio-fio</v>
          </cell>
          <cell r="C893" t="str">
            <v>m</v>
          </cell>
          <cell r="D893" t="str">
            <v>45,65</v>
          </cell>
          <cell r="E893" t="str">
            <v>A incluir</v>
          </cell>
        </row>
        <row r="894">
          <cell r="A894">
            <v>40118</v>
          </cell>
          <cell r="B894" t="str">
            <v>Obturação de buracos com CBUQ (tudo incluído)</v>
          </cell>
          <cell r="C894" t="str">
            <v>m²</v>
          </cell>
          <cell r="D894" t="str">
            <v>52,60</v>
          </cell>
          <cell r="E894" t="str">
            <v>A incluir</v>
          </cell>
        </row>
        <row r="895">
          <cell r="A895">
            <v>40116</v>
          </cell>
          <cell r="B895" t="str">
            <v>Obturação de buracos com PMF (tudo incluído)</v>
          </cell>
          <cell r="C895" t="str">
            <v>m²</v>
          </cell>
          <cell r="D895" t="str">
            <v>47,97</v>
          </cell>
          <cell r="E895" t="str">
            <v>A incluir</v>
          </cell>
        </row>
        <row r="896">
          <cell r="A896">
            <v>40117</v>
          </cell>
          <cell r="B896" t="str">
            <v>Obturação de buracos com PMF usinado pelo DER-ES (tudo incluído)</v>
          </cell>
          <cell r="C896" t="str">
            <v>m²</v>
          </cell>
          <cell r="D896" t="str">
            <v>33,34</v>
          </cell>
          <cell r="E896" t="str">
            <v>A incluir</v>
          </cell>
        </row>
        <row r="897">
          <cell r="A897">
            <v>40148</v>
          </cell>
          <cell r="B897" t="str">
            <v>Pintura de dispositivos de drenagem</v>
          </cell>
          <cell r="C897" t="str">
            <v>m</v>
          </cell>
          <cell r="D897" t="str">
            <v>2,54</v>
          </cell>
          <cell r="E897">
            <v>0</v>
          </cell>
        </row>
        <row r="898">
          <cell r="A898">
            <v>40112</v>
          </cell>
          <cell r="B898" t="str">
            <v>Pintura de ligação, inclusive fornecimento e transporte da emulsão</v>
          </cell>
          <cell r="C898" t="str">
            <v>m²</v>
          </cell>
          <cell r="D898" t="str">
            <v>1,62</v>
          </cell>
          <cell r="E898" t="str">
            <v>A incluir</v>
          </cell>
        </row>
        <row r="899">
          <cell r="A899">
            <v>40149</v>
          </cell>
          <cell r="B899" t="str">
            <v>Pintura de pontes a base de cal</v>
          </cell>
          <cell r="C899" t="str">
            <v>m²</v>
          </cell>
          <cell r="D899" t="str">
            <v>5,25</v>
          </cell>
          <cell r="E899">
            <v>0</v>
          </cell>
        </row>
        <row r="900">
          <cell r="A900">
            <v>40094</v>
          </cell>
          <cell r="B900" t="str">
            <v>Placas de sinalização, assentamento</v>
          </cell>
          <cell r="C900" t="str">
            <v>m²</v>
          </cell>
          <cell r="D900" t="str">
            <v>69,61</v>
          </cell>
          <cell r="E900">
            <v>0</v>
          </cell>
        </row>
        <row r="901">
          <cell r="A901">
            <v>40095</v>
          </cell>
          <cell r="B901" t="str">
            <v>Placas de sinalização, inclusive materiais, substituição</v>
          </cell>
          <cell r="C901" t="str">
            <v>m²</v>
          </cell>
          <cell r="D901" t="str">
            <v>476,70</v>
          </cell>
          <cell r="E901" t="str">
            <v>A incluir</v>
          </cell>
        </row>
        <row r="902">
          <cell r="A902">
            <v>40114</v>
          </cell>
          <cell r="B902" t="str">
            <v>PMF - Usinagem, aquisição e transportes dos materiais</v>
          </cell>
          <cell r="C902" t="str">
            <v>t</v>
          </cell>
          <cell r="D902" t="str">
            <v>166,32</v>
          </cell>
          <cell r="E902" t="str">
            <v>A incluir</v>
          </cell>
        </row>
        <row r="903">
          <cell r="A903">
            <v>40130</v>
          </cell>
          <cell r="B903" t="str">
            <v>Recomposição de revestimento c/ CBUQ - Inclusive fornecimento e transporte dos materiais</v>
          </cell>
          <cell r="C903" t="str">
            <v>t</v>
          </cell>
          <cell r="D903" t="str">
            <v>220,87</v>
          </cell>
          <cell r="E903" t="str">
            <v>A incluir</v>
          </cell>
        </row>
        <row r="904">
          <cell r="A904">
            <v>40131</v>
          </cell>
          <cell r="B904" t="str">
            <v>Recomposição de revestimento c/ PMF - Inclusive fornecimento e transporte dos materiais</v>
          </cell>
          <cell r="C904" t="str">
            <v>t</v>
          </cell>
          <cell r="D904" t="str">
            <v>183,02</v>
          </cell>
          <cell r="E904" t="str">
            <v>A incluir</v>
          </cell>
        </row>
        <row r="905">
          <cell r="A905">
            <v>40083</v>
          </cell>
          <cell r="B905" t="str">
            <v>Recomposição de revestimento primário (tudo incluído)</v>
          </cell>
          <cell r="C905" t="str">
            <v>m²</v>
          </cell>
          <cell r="D905" t="str">
            <v>2,30</v>
          </cell>
          <cell r="E905" t="str">
            <v>A incluir</v>
          </cell>
        </row>
        <row r="906">
          <cell r="A906">
            <v>40079</v>
          </cell>
          <cell r="B906" t="str">
            <v>Recomposição mecânica de aterros</v>
          </cell>
          <cell r="C906" t="str">
            <v>m³</v>
          </cell>
          <cell r="D906" t="str">
            <v>20,09</v>
          </cell>
          <cell r="E906" t="str">
            <v>A incluir</v>
          </cell>
        </row>
        <row r="907">
          <cell r="A907">
            <v>40082</v>
          </cell>
          <cell r="B907" t="str">
            <v>Reconformação mecânica de plataforma (patrolamento)</v>
          </cell>
          <cell r="C907" t="str">
            <v>m²</v>
          </cell>
          <cell r="D907" t="str">
            <v>0,09</v>
          </cell>
          <cell r="E907">
            <v>0</v>
          </cell>
        </row>
        <row r="908">
          <cell r="A908">
            <v>40119</v>
          </cell>
          <cell r="B908" t="str">
            <v>Remendo com massa asfáltica fria (tudo incluído)</v>
          </cell>
          <cell r="C908" t="str">
            <v>m²</v>
          </cell>
          <cell r="D908" t="str">
            <v>23,30</v>
          </cell>
          <cell r="E908" t="str">
            <v>A incluir</v>
          </cell>
        </row>
        <row r="909">
          <cell r="A909">
            <v>40122</v>
          </cell>
          <cell r="B909" t="str">
            <v>Remendo com massa asfáltica fria (tudo incluído)</v>
          </cell>
          <cell r="C909" t="str">
            <v>t</v>
          </cell>
          <cell r="D909" t="str">
            <v>263,87</v>
          </cell>
          <cell r="E909" t="str">
            <v>A incluir</v>
          </cell>
        </row>
        <row r="910">
          <cell r="A910">
            <v>40120</v>
          </cell>
          <cell r="B910" t="str">
            <v>Remendo com massa asfáltica fria usinada pelo DER-ES (tudo incluído)</v>
          </cell>
          <cell r="C910" t="str">
            <v>m²</v>
          </cell>
          <cell r="D910" t="str">
            <v>8,67</v>
          </cell>
          <cell r="E910" t="str">
            <v>A incluir</v>
          </cell>
        </row>
        <row r="911">
          <cell r="A911">
            <v>40121</v>
          </cell>
          <cell r="B911" t="str">
            <v>Remendo com massa asfáltica quente (tudo incluído)</v>
          </cell>
          <cell r="C911" t="str">
            <v>m²</v>
          </cell>
          <cell r="D911" t="str">
            <v>27,93</v>
          </cell>
          <cell r="E911" t="str">
            <v>A incluir</v>
          </cell>
        </row>
        <row r="912">
          <cell r="A912">
            <v>40123</v>
          </cell>
          <cell r="B912" t="str">
            <v>Remendo com massa asfáltica quente (tudo incluído)</v>
          </cell>
          <cell r="C912" t="str">
            <v>t</v>
          </cell>
          <cell r="D912" t="str">
            <v>295,54</v>
          </cell>
          <cell r="E912" t="str">
            <v>A incluir</v>
          </cell>
        </row>
        <row r="913">
          <cell r="A913">
            <v>40080</v>
          </cell>
          <cell r="B913" t="str">
            <v>Remoção mecânica de barreiras</v>
          </cell>
          <cell r="C913" t="str">
            <v>m³</v>
          </cell>
          <cell r="D913" t="str">
            <v>1,43</v>
          </cell>
          <cell r="E913" t="str">
            <v>A incluir</v>
          </cell>
        </row>
        <row r="914">
          <cell r="A914">
            <v>40089</v>
          </cell>
          <cell r="B914" t="str">
            <v>Reparo de bueiros celulares (inclusive boca)</v>
          </cell>
          <cell r="C914" t="str">
            <v>un</v>
          </cell>
          <cell r="D914" t="str">
            <v>1.631,35</v>
          </cell>
          <cell r="E914" t="str">
            <v>A incluir</v>
          </cell>
        </row>
        <row r="915">
          <cell r="A915">
            <v>40088</v>
          </cell>
          <cell r="B915" t="str">
            <v>Reparo de bueiros tubulares</v>
          </cell>
          <cell r="C915" t="str">
            <v>un</v>
          </cell>
          <cell r="D915" t="str">
            <v>653,11</v>
          </cell>
          <cell r="E915" t="str">
            <v>A incluir</v>
          </cell>
        </row>
        <row r="916">
          <cell r="A916">
            <v>40092</v>
          </cell>
          <cell r="B916" t="str">
            <v>Reparo de caixa coletora</v>
          </cell>
          <cell r="C916" t="str">
            <v>un</v>
          </cell>
          <cell r="D916" t="str">
            <v>259,58</v>
          </cell>
          <cell r="E916" t="str">
            <v>A incluir</v>
          </cell>
        </row>
        <row r="917">
          <cell r="A917">
            <v>40078</v>
          </cell>
          <cell r="B917" t="str">
            <v>Reparo de cerca ( substituição de mourões, grampo e arame farpado), inclusive transportes de todos os materiais</v>
          </cell>
          <cell r="C917" t="str">
            <v>m</v>
          </cell>
          <cell r="D917" t="str">
            <v>6,39</v>
          </cell>
          <cell r="E917" t="str">
            <v>A incluir</v>
          </cell>
        </row>
        <row r="918">
          <cell r="A918">
            <v>40097</v>
          </cell>
          <cell r="B918" t="str">
            <v>Reparo de guarda-corpo</v>
          </cell>
          <cell r="C918" t="str">
            <v>m</v>
          </cell>
          <cell r="D918" t="str">
            <v>99,72</v>
          </cell>
          <cell r="E918">
            <v>0</v>
          </cell>
        </row>
        <row r="919">
          <cell r="A919">
            <v>40090</v>
          </cell>
          <cell r="B919" t="str">
            <v>Reparo de meio-fio, inclusive caiação</v>
          </cell>
          <cell r="C919" t="str">
            <v>m</v>
          </cell>
          <cell r="D919" t="str">
            <v>26,44</v>
          </cell>
          <cell r="E919" t="str">
            <v>A incluir</v>
          </cell>
        </row>
        <row r="920">
          <cell r="A920">
            <v>40099</v>
          </cell>
          <cell r="B920" t="str">
            <v>Reparo de muros de arrimo</v>
          </cell>
          <cell r="C920" t="str">
            <v>m³</v>
          </cell>
          <cell r="D920" t="str">
            <v>638,80</v>
          </cell>
          <cell r="E920" t="str">
            <v>A incluir</v>
          </cell>
        </row>
        <row r="921">
          <cell r="A921">
            <v>40091</v>
          </cell>
          <cell r="B921" t="str">
            <v>Reparo de sarjeta, inclusive caiação</v>
          </cell>
          <cell r="C921" t="str">
            <v>m</v>
          </cell>
          <cell r="D921" t="str">
            <v>35,73</v>
          </cell>
          <cell r="E921" t="str">
            <v>A incluir</v>
          </cell>
        </row>
        <row r="922">
          <cell r="A922">
            <v>40093</v>
          </cell>
          <cell r="B922" t="str">
            <v>Retirada de placas de sinalização</v>
          </cell>
          <cell r="C922" t="str">
            <v>m²</v>
          </cell>
          <cell r="D922" t="str">
            <v>63,62</v>
          </cell>
          <cell r="E922">
            <v>0</v>
          </cell>
        </row>
        <row r="923">
          <cell r="A923">
            <v>43353</v>
          </cell>
          <cell r="B923" t="str">
            <v>Roçada manual com roçadeira costal, ferramentas manuais, inclusive limpeza e remoção com retroescavadeira (conservação)</v>
          </cell>
          <cell r="C923" t="str">
            <v>m²</v>
          </cell>
          <cell r="D923" t="str">
            <v>0,54</v>
          </cell>
          <cell r="E923">
            <v>0</v>
          </cell>
        </row>
        <row r="924">
          <cell r="A924">
            <v>43337</v>
          </cell>
          <cell r="B924" t="str">
            <v>Roçada manual com roçadeira costal, ferramentas manuais, inclusive limpeza manual (conservação)</v>
          </cell>
          <cell r="C924" t="str">
            <v>m²</v>
          </cell>
          <cell r="D924" t="str">
            <v>0,46</v>
          </cell>
          <cell r="E924">
            <v>0</v>
          </cell>
        </row>
        <row r="925">
          <cell r="A925">
            <v>40077</v>
          </cell>
          <cell r="B925" t="str">
            <v>Roçada mecanizada</v>
          </cell>
          <cell r="C925" t="str">
            <v>m²</v>
          </cell>
          <cell r="D925" t="str">
            <v>0,16</v>
          </cell>
          <cell r="E925">
            <v>0</v>
          </cell>
        </row>
        <row r="926">
          <cell r="A926">
            <v>40142</v>
          </cell>
          <cell r="B926" t="str">
            <v>Sarjeta em concreto fck-&gt;10,0 MPa inclusive caiação, tudo incluído</v>
          </cell>
          <cell r="C926" t="str">
            <v>m</v>
          </cell>
          <cell r="D926" t="str">
            <v>81,84</v>
          </cell>
          <cell r="E926" t="str">
            <v>A incluir</v>
          </cell>
        </row>
        <row r="927">
          <cell r="A927">
            <v>40124</v>
          </cell>
          <cell r="B927" t="str">
            <v>Selagem de trincas, inclusive transporte de areia e emulsão</v>
          </cell>
          <cell r="C927" t="str">
            <v>m²</v>
          </cell>
          <cell r="D927" t="str">
            <v>6,81</v>
          </cell>
          <cell r="E927" t="str">
            <v>A incluir</v>
          </cell>
        </row>
        <row r="928">
          <cell r="A928">
            <v>40146</v>
          </cell>
          <cell r="B928" t="str">
            <v>Sinalização horizontal - taxa 0,6 l/m², tudo incluído</v>
          </cell>
          <cell r="C928" t="str">
            <v>m²</v>
          </cell>
          <cell r="D928" t="str">
            <v>15,46</v>
          </cell>
          <cell r="E928" t="str">
            <v>A incluir</v>
          </cell>
        </row>
        <row r="929">
          <cell r="A929">
            <v>40145</v>
          </cell>
          <cell r="B929" t="str">
            <v>Sinalização vertical, inclusive transporte de placa sinalização e madeira</v>
          </cell>
          <cell r="C929" t="str">
            <v>m²</v>
          </cell>
          <cell r="D929" t="str">
            <v>403,74</v>
          </cell>
          <cell r="E929" t="str">
            <v>A incluir</v>
          </cell>
        </row>
        <row r="930">
          <cell r="A930">
            <v>40109</v>
          </cell>
          <cell r="B930" t="str">
            <v>Sub-base de solo estabilizada granulométricamente sem mistura inclusive escavação e carga</v>
          </cell>
          <cell r="C930" t="str">
            <v>m³</v>
          </cell>
          <cell r="D930" t="str">
            <v>25,58</v>
          </cell>
          <cell r="E930">
            <v>0</v>
          </cell>
        </row>
        <row r="931">
          <cell r="A931">
            <v>40125</v>
          </cell>
          <cell r="B931" t="str">
            <v>Tapa-panela, inclusive transporte de material de 1ª categoria</v>
          </cell>
          <cell r="C931" t="str">
            <v>m²</v>
          </cell>
          <cell r="D931" t="str">
            <v>10,02</v>
          </cell>
          <cell r="E931" t="str">
            <v>A incluir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e">
            <v>#N/A</v>
          </cell>
        </row>
        <row r="933">
          <cell r="A933">
            <v>40113</v>
          </cell>
          <cell r="B933" t="str">
            <v>TSD - Tratamento superficial duplo incl. transporte dos materiais</v>
          </cell>
          <cell r="C933" t="str">
            <v>m²</v>
          </cell>
          <cell r="D933" t="str">
            <v>10,55</v>
          </cell>
          <cell r="E933" t="str">
            <v>A incluir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e">
            <v>#N/A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e">
            <v>#N/A</v>
          </cell>
        </row>
        <row r="936">
          <cell r="A936">
            <v>40140</v>
          </cell>
          <cell r="B936" t="str">
            <v>Valeta em concreto fck-&gt;10,0 MPa, tudo incluído</v>
          </cell>
          <cell r="C936" t="str">
            <v>m</v>
          </cell>
          <cell r="D936" t="str">
            <v>83,48</v>
          </cell>
          <cell r="E936" t="str">
            <v>A incluir</v>
          </cell>
        </row>
        <row r="937">
          <cell r="A937">
            <v>40139</v>
          </cell>
          <cell r="B937" t="str">
            <v>Valeta não revestida</v>
          </cell>
          <cell r="C937" t="str">
            <v>m</v>
          </cell>
          <cell r="D937" t="str">
            <v>8,06</v>
          </cell>
          <cell r="E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e">
            <v>#N/A</v>
          </cell>
        </row>
        <row r="939">
          <cell r="A939" t="str">
            <v>Grupo de Serviço: 18 - ALUGUEL DE EQUIPAMENTOS</v>
          </cell>
          <cell r="B939">
            <v>0</v>
          </cell>
          <cell r="C939">
            <v>0</v>
          </cell>
          <cell r="D939">
            <v>0</v>
          </cell>
          <cell r="E939" t="e">
            <v>#N/A</v>
          </cell>
        </row>
        <row r="940">
          <cell r="A940">
            <v>42186</v>
          </cell>
          <cell r="B940" t="str">
            <v>Aluguel mensal de barco de alumínio 4,20 m com motor 15 HP (equipamentos)</v>
          </cell>
          <cell r="C940" t="str">
            <v>mês</v>
          </cell>
          <cell r="D940" t="str">
            <v>2.356,67</v>
          </cell>
          <cell r="E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</row>
        <row r="942">
          <cell r="A942" t="str">
            <v>Grupo de Serviço: 23 - TRANSPORTE, CARGA E DESCARGA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E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E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E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E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E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E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E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Grupo de Serviço: 32 - INFRA E MESO-ESTRUTURA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</row>
        <row r="962">
          <cell r="A962">
            <v>41352</v>
          </cell>
          <cell r="B962" t="str">
            <v>Arrasamento estaca concreto D -&gt; 0,80 m com martelete pneumático</v>
          </cell>
          <cell r="C962" t="str">
            <v>un</v>
          </cell>
          <cell r="D962" t="str">
            <v>121,73</v>
          </cell>
          <cell r="E962">
            <v>0</v>
          </cell>
        </row>
        <row r="963">
          <cell r="A963">
            <v>41340</v>
          </cell>
          <cell r="B963" t="str">
            <v>Encamisamento metálico de estacas, diâmetro 380mm em chapa de 6.3mm, preenchido c/ concreto auto adensável (20MPa)</v>
          </cell>
          <cell r="C963" t="str">
            <v>m</v>
          </cell>
          <cell r="D963" t="str">
            <v>623,58</v>
          </cell>
          <cell r="E963">
            <v>0</v>
          </cell>
        </row>
        <row r="964">
          <cell r="A964">
            <v>40331</v>
          </cell>
          <cell r="B964" t="str">
            <v>Escoramento para blocos submersos, inclusive transporte da madeira</v>
          </cell>
          <cell r="C964" t="str">
            <v>m²</v>
          </cell>
          <cell r="D964" t="str">
            <v>74,58</v>
          </cell>
          <cell r="E964" t="str">
            <v>A incluir</v>
          </cell>
        </row>
        <row r="965">
          <cell r="A965">
            <v>40403</v>
          </cell>
          <cell r="B965" t="str">
            <v>Estaca de eucalipto D-&gt; 0,20 m, fornecimento, transporte, cravação e perda</v>
          </cell>
          <cell r="C965" t="str">
            <v>m</v>
          </cell>
          <cell r="D965" t="str">
            <v>150,29</v>
          </cell>
          <cell r="E965" t="str">
            <v>A incluir</v>
          </cell>
        </row>
        <row r="966">
          <cell r="A966">
            <v>40405</v>
          </cell>
          <cell r="B966" t="str">
            <v>Estaca metálica dupla exclusive fornecimento de trilhos</v>
          </cell>
          <cell r="C966" t="str">
            <v>m</v>
          </cell>
          <cell r="D966" t="str">
            <v>204,78</v>
          </cell>
          <cell r="E966">
            <v>0</v>
          </cell>
        </row>
        <row r="967">
          <cell r="A967">
            <v>40408</v>
          </cell>
          <cell r="B967" t="str">
            <v>Estaca metálica, fornecimento, transporte, perdas, solda, emenda, corte e cravação de TR- 68</v>
          </cell>
          <cell r="C967" t="str">
            <v>m</v>
          </cell>
          <cell r="D967" t="str">
            <v>404,76</v>
          </cell>
          <cell r="E967" t="str">
            <v>A incluir</v>
          </cell>
        </row>
        <row r="968">
          <cell r="A968">
            <v>40406</v>
          </cell>
          <cell r="B968" t="str">
            <v>Estaca metálica, fornecimento, transporte, perdas, solda, emenda, corte e cravação de trilho TR- 57</v>
          </cell>
          <cell r="C968" t="str">
            <v>m</v>
          </cell>
          <cell r="D968" t="str">
            <v>367,63</v>
          </cell>
          <cell r="E968" t="str">
            <v>A incluir</v>
          </cell>
        </row>
        <row r="969">
          <cell r="A969">
            <v>40407</v>
          </cell>
          <cell r="B969" t="str">
            <v>Estaca metálica, fornecimento, transporte, perdas, solda, emenda, corte e cravação de 2 TR- 57</v>
          </cell>
          <cell r="C969" t="str">
            <v>m</v>
          </cell>
          <cell r="D969" t="str">
            <v>633,73</v>
          </cell>
          <cell r="E969" t="str">
            <v>A incluir</v>
          </cell>
        </row>
        <row r="970">
          <cell r="A970">
            <v>40409</v>
          </cell>
          <cell r="B970" t="str">
            <v>Estaca metálica, fornecimento, transporte, perdas, solda, emenda, corte e cravação de 2 TR- 68</v>
          </cell>
          <cell r="C970" t="str">
            <v>m</v>
          </cell>
          <cell r="D970" t="str">
            <v>708,00</v>
          </cell>
          <cell r="E970" t="str">
            <v>A incluir</v>
          </cell>
        </row>
        <row r="971">
          <cell r="A971">
            <v>40404</v>
          </cell>
          <cell r="B971" t="str">
            <v>Estaca metálica simples exclusive fornecimento de trilhos</v>
          </cell>
          <cell r="C971" t="str">
            <v>m</v>
          </cell>
          <cell r="D971" t="str">
            <v>140,24</v>
          </cell>
          <cell r="E971">
            <v>0</v>
          </cell>
        </row>
        <row r="972">
          <cell r="A972">
            <v>42051</v>
          </cell>
          <cell r="B972" t="str">
            <v>Estaca raiz perfurada em rocha, diâm. 310mm com injeção de arg. incl. fornecimento de todos materiais</v>
          </cell>
          <cell r="C972" t="str">
            <v>m</v>
          </cell>
          <cell r="D972" t="str">
            <v>857,13</v>
          </cell>
          <cell r="E972" t="str">
            <v>A incluir</v>
          </cell>
        </row>
        <row r="973">
          <cell r="A973">
            <v>42052</v>
          </cell>
          <cell r="B973" t="str">
            <v>Estaca raiz perfurada em solo, diâm. 410mm com injeção de arg. incl. fornecimento de todos materiais</v>
          </cell>
          <cell r="C973" t="str">
            <v>m</v>
          </cell>
          <cell r="D973" t="str">
            <v>482,75</v>
          </cell>
          <cell r="E973" t="str">
            <v>A incluir</v>
          </cell>
        </row>
        <row r="974">
          <cell r="A974">
            <v>40410</v>
          </cell>
          <cell r="B974" t="str">
            <v>Estaca tipo Franki D -&gt; 520 mm</v>
          </cell>
          <cell r="C974" t="str">
            <v>m</v>
          </cell>
          <cell r="D974" t="str">
            <v>347,08</v>
          </cell>
          <cell r="E974" t="str">
            <v>A incluir</v>
          </cell>
        </row>
        <row r="975">
          <cell r="A975">
            <v>40309</v>
          </cell>
          <cell r="B975" t="str">
            <v>Formas planas de madeira sem reaproveitamento (fundações), inclusive fornecimento e transporte das madeiras</v>
          </cell>
          <cell r="C975" t="str">
            <v>m²</v>
          </cell>
          <cell r="D975" t="str">
            <v>162,06</v>
          </cell>
          <cell r="E975" t="str">
            <v>A incluir</v>
          </cell>
        </row>
        <row r="976">
          <cell r="A976">
            <v>41258</v>
          </cell>
          <cell r="B976" t="str">
            <v>Perfuração rotativa inclinada, em solo, com coroa de Widia, diâmetro 150mm</v>
          </cell>
          <cell r="C976" t="str">
            <v>m</v>
          </cell>
          <cell r="D976" t="str">
            <v>177,74</v>
          </cell>
          <cell r="E976">
            <v>0</v>
          </cell>
        </row>
        <row r="977">
          <cell r="A977">
            <v>41034</v>
          </cell>
          <cell r="B977" t="str">
            <v>Perfuração rotativa inclinada, em solo, com coroa de Widia, diâmetro 75mm</v>
          </cell>
          <cell r="C977" t="str">
            <v>m</v>
          </cell>
          <cell r="D977" t="str">
            <v>136,72</v>
          </cell>
          <cell r="E977">
            <v>0</v>
          </cell>
        </row>
        <row r="978">
          <cell r="A978">
            <v>41026</v>
          </cell>
          <cell r="B978" t="str">
            <v>Perfuração rotativa vertical, em solo, com coroa de Widia ou similar, diâmetro H(99mm), inclusive deslocamento e posicionamento em cada furo</v>
          </cell>
          <cell r="C978" t="str">
            <v>m</v>
          </cell>
          <cell r="D978" t="str">
            <v>113,84</v>
          </cell>
          <cell r="E978">
            <v>0</v>
          </cell>
        </row>
        <row r="979">
          <cell r="A979">
            <v>41022</v>
          </cell>
          <cell r="B979" t="str">
            <v>Perfuração rotativa vertical, em solo, com coroa de Widia ou similar, diâmetro N(75mm), inclusive deslocamento e posicionamento em cada furo</v>
          </cell>
          <cell r="C979" t="str">
            <v>m</v>
          </cell>
          <cell r="D979" t="str">
            <v>106,25</v>
          </cell>
          <cell r="E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e">
            <v>#N/A</v>
          </cell>
        </row>
        <row r="981">
          <cell r="A981" t="str">
            <v>Grupo de Serviço: 33 - SUPER-ESTRUTURA</v>
          </cell>
          <cell r="B981">
            <v>0</v>
          </cell>
          <cell r="C981">
            <v>0</v>
          </cell>
          <cell r="E981" t="e">
            <v>#N/A</v>
          </cell>
        </row>
        <row r="982">
          <cell r="A982">
            <v>41403</v>
          </cell>
          <cell r="B982" t="str">
            <v>Passarela metálica p/ pontes rodoviárias com 1,0m de largura, piso em chapa xadez esp 1/4", em perfis laminados, inclusive pintura</v>
          </cell>
          <cell r="C982" t="str">
            <v>m</v>
          </cell>
          <cell r="D982" t="str">
            <v>750,14</v>
          </cell>
          <cell r="E982">
            <v>0</v>
          </cell>
        </row>
        <row r="983">
          <cell r="A983">
            <v>40398</v>
          </cell>
          <cell r="B983" t="str">
            <v>Placas pré-moldadas para forma de tabuleiro de ponte</v>
          </cell>
          <cell r="C983" t="str">
            <v>m²</v>
          </cell>
          <cell r="D983" t="str">
            <v>160,79</v>
          </cell>
          <cell r="E983">
            <v>0</v>
          </cell>
        </row>
        <row r="984">
          <cell r="A984">
            <v>41036</v>
          </cell>
          <cell r="B984" t="str">
            <v>Remoção de superestrutura de pontes com auxilio de guindaste para 40 toneladas</v>
          </cell>
          <cell r="C984" t="str">
            <v>t</v>
          </cell>
          <cell r="D984" t="str">
            <v>97,57</v>
          </cell>
          <cell r="E984">
            <v>0</v>
          </cell>
        </row>
        <row r="985">
          <cell r="A985">
            <v>41194</v>
          </cell>
          <cell r="B985" t="str">
            <v>Sistema de Macaqueamento para super-estrutura de pontes (4 macacos)</v>
          </cell>
          <cell r="C985" t="str">
            <v>un</v>
          </cell>
          <cell r="D985" t="str">
            <v>4.396,82</v>
          </cell>
          <cell r="E985">
            <v>0</v>
          </cell>
        </row>
        <row r="986">
          <cell r="A986">
            <v>41423</v>
          </cell>
          <cell r="B986" t="str">
            <v>Tabuleiro em vigas pré-moldadas CL.45, com ou sem laje entre vigas, vão de 10,00 m, inclusive descarga e assentamento das vigas</v>
          </cell>
          <cell r="C986" t="str">
            <v>m²</v>
          </cell>
          <cell r="D986" t="str">
            <v>2.920,39</v>
          </cell>
          <cell r="E986">
            <v>0</v>
          </cell>
        </row>
        <row r="987">
          <cell r="A987">
            <v>41424</v>
          </cell>
          <cell r="B987" t="str">
            <v>Tabuleiro em vigas pré-moldadas CL.45, com ou sem laje entre vigas, vão de 11,00 m, inclusive descarga e assentamento das vigas</v>
          </cell>
          <cell r="C987" t="str">
            <v>m²</v>
          </cell>
          <cell r="D987" t="str">
            <v>2.866,46</v>
          </cell>
          <cell r="E987">
            <v>0</v>
          </cell>
        </row>
        <row r="988">
          <cell r="A988">
            <v>41425</v>
          </cell>
          <cell r="B988" t="str">
            <v>Tabuleiro em vigas pré-moldadas CL.45, com ou sem laje entre vigas, vão de 12,00 m, inclusive descarga e assentamento das vigas</v>
          </cell>
          <cell r="C988" t="str">
            <v>m²</v>
          </cell>
          <cell r="D988" t="str">
            <v>3.158,68</v>
          </cell>
          <cell r="E988">
            <v>0</v>
          </cell>
        </row>
        <row r="989">
          <cell r="A989">
            <v>41426</v>
          </cell>
          <cell r="B989" t="str">
            <v>Tabuleiro em vigas pré-moldadas CL.45, com ou sem laje entre vigas, vão de 13,00 m, inclusive descarga e assentamento das vigas</v>
          </cell>
          <cell r="C989" t="str">
            <v>m²</v>
          </cell>
          <cell r="D989" t="str">
            <v>3.299,56</v>
          </cell>
          <cell r="E989">
            <v>0</v>
          </cell>
        </row>
        <row r="990">
          <cell r="A990">
            <v>41428</v>
          </cell>
          <cell r="B990" t="str">
            <v>Tabuleiro em vigas pré-moldadas CL.45, com ou sem laje entre vigas, vão de 15,00 m, inclusive descarga e assentamento das vigas</v>
          </cell>
          <cell r="C990" t="str">
            <v>m²</v>
          </cell>
          <cell r="D990" t="str">
            <v>3.418,99</v>
          </cell>
          <cell r="E990">
            <v>0</v>
          </cell>
        </row>
        <row r="991">
          <cell r="A991">
            <v>41417</v>
          </cell>
          <cell r="B991" t="str">
            <v>Tabuleiro em vigas pré-moldadas CL.45, com ou sem laje entre vigas, vão de 4,00 m, inclusive descarga e assentamento das vigas</v>
          </cell>
          <cell r="C991" t="str">
            <v>m²</v>
          </cell>
          <cell r="D991" t="str">
            <v>2.264,55</v>
          </cell>
          <cell r="E991">
            <v>0</v>
          </cell>
        </row>
        <row r="992">
          <cell r="A992">
            <v>41418</v>
          </cell>
          <cell r="B992" t="str">
            <v>Tabuleiro em vigas pré-moldadas CL.45, com ou sem laje entre vigas, vão de 5,00 m, inclusive descarga e assentamento das vigas</v>
          </cell>
          <cell r="C992" t="str">
            <v>m²</v>
          </cell>
          <cell r="D992" t="str">
            <v>2.306,27</v>
          </cell>
          <cell r="E992">
            <v>0</v>
          </cell>
        </row>
        <row r="993">
          <cell r="A993">
            <v>41419</v>
          </cell>
          <cell r="B993" t="str">
            <v>Tabuleiro em vigas pré-moldadas CL.45, com ou sem laje entre vigas, vão de 6,00 m, inclusive descarga e assentamento das vigas</v>
          </cell>
          <cell r="C993" t="str">
            <v>m²</v>
          </cell>
          <cell r="D993" t="str">
            <v>2.367,48</v>
          </cell>
          <cell r="E993">
            <v>0</v>
          </cell>
        </row>
        <row r="994">
          <cell r="A994">
            <v>41420</v>
          </cell>
          <cell r="B994" t="str">
            <v>Tabuleiro em vigas pré-moldadas CL.45, com ou sem laje entre vigas, vão de 7,00 m, inclusive descarga e assentamento das vigas</v>
          </cell>
          <cell r="C994" t="str">
            <v>m²</v>
          </cell>
          <cell r="D994" t="str">
            <v>2.657,25</v>
          </cell>
          <cell r="E994">
            <v>0</v>
          </cell>
        </row>
        <row r="995">
          <cell r="A995">
            <v>41421</v>
          </cell>
          <cell r="B995" t="str">
            <v>Tabuleiro em vigas pré-moldadas CL.45, com ou sem laje entre vigas, vão de 8,00 m, inclusive descarga e assentamento das vigas</v>
          </cell>
          <cell r="C995" t="str">
            <v>m²</v>
          </cell>
          <cell r="D995" t="str">
            <v>2.844,54</v>
          </cell>
          <cell r="E995">
            <v>0</v>
          </cell>
        </row>
        <row r="996">
          <cell r="A996">
            <v>41422</v>
          </cell>
          <cell r="B996" t="str">
            <v>Tabuleiro em vigas pré-moldadas CL.45, com ou sem laje entre vigas, vão de 9,00 m, inclusive descarga e assentamento das vigas</v>
          </cell>
          <cell r="C996" t="str">
            <v>m²</v>
          </cell>
          <cell r="D996" t="str">
            <v>2.934,40</v>
          </cell>
          <cell r="E996">
            <v>0</v>
          </cell>
        </row>
        <row r="997">
          <cell r="A997">
            <v>41427</v>
          </cell>
          <cell r="B997" t="str">
            <v>Tabuleiro em vigas pré-moldadas CL.45, com ou sem laje entre vigas, vão 14,00 m, inclusive descarga e assentamento das vigas</v>
          </cell>
          <cell r="C997" t="str">
            <v>m²</v>
          </cell>
          <cell r="D997" t="str">
            <v>3.383,08</v>
          </cell>
          <cell r="E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e">
            <v>#N/A</v>
          </cell>
        </row>
        <row r="999">
          <cell r="A999" t="str">
            <v>Grupo de Serviço: 37 - OBRAS DE ARTE ESPECIAIS</v>
          </cell>
          <cell r="B999">
            <v>0</v>
          </cell>
          <cell r="C999">
            <v>0</v>
          </cell>
          <cell r="E999" t="e">
            <v>#N/A</v>
          </cell>
        </row>
        <row r="1000">
          <cell r="A1000">
            <v>40381</v>
          </cell>
          <cell r="B1000" t="str">
            <v>Acabamento em concreto fresco (15,0 MPA), para pavimento, inclusive endurecedor químico de superfície</v>
          </cell>
          <cell r="C1000" t="str">
            <v>m²</v>
          </cell>
          <cell r="D1000" t="str">
            <v>18,36</v>
          </cell>
          <cell r="E1000">
            <v>0</v>
          </cell>
        </row>
        <row r="1001">
          <cell r="A1001">
            <v>41260</v>
          </cell>
          <cell r="B1001" t="str">
            <v>Acessório para tirante protendido de aço Rocsolo ou similar diâmetro 29,3 mm</v>
          </cell>
          <cell r="C1001" t="str">
            <v>un</v>
          </cell>
          <cell r="D1001" t="str">
            <v>726,57</v>
          </cell>
          <cell r="E1001" t="str">
            <v>A incluir</v>
          </cell>
        </row>
        <row r="1002">
          <cell r="A1002">
            <v>41045</v>
          </cell>
          <cell r="B1002" t="str">
            <v>Acessório para tirante protendido de aço ST 85/105</v>
          </cell>
          <cell r="C1002" t="str">
            <v>un</v>
          </cell>
          <cell r="D1002" t="str">
            <v>726,57</v>
          </cell>
          <cell r="E1002" t="str">
            <v>A incluir</v>
          </cell>
        </row>
        <row r="1003">
          <cell r="A1003">
            <v>0</v>
          </cell>
          <cell r="B1003">
            <v>0</v>
          </cell>
          <cell r="C1003">
            <v>0</v>
          </cell>
          <cell r="E1003" t="e">
            <v>#N/A</v>
          </cell>
        </row>
        <row r="1004">
          <cell r="A1004">
            <v>40387</v>
          </cell>
          <cell r="B1004" t="str">
            <v>Aparelho de apoio de neoprene fretado, fornecimento e assentamento, inclusive grauteamento e transporte do neoprene</v>
          </cell>
          <cell r="C1004" t="str">
            <v>dm³</v>
          </cell>
          <cell r="D1004" t="str">
            <v>130,16</v>
          </cell>
          <cell r="E1004" t="str">
            <v>A incluir</v>
          </cell>
        </row>
        <row r="1005">
          <cell r="A1005">
            <v>40339</v>
          </cell>
          <cell r="B1005" t="str">
            <v>Cantoneiras (2 1/2" x 2 1/2" x 5/16") para extremidade de laje, fornecimento, montagem e pintura</v>
          </cell>
          <cell r="C1005" t="str">
            <v>m</v>
          </cell>
          <cell r="D1005" t="str">
            <v>62,28</v>
          </cell>
          <cell r="E1005">
            <v>0</v>
          </cell>
        </row>
        <row r="1006">
          <cell r="A1006">
            <v>40379</v>
          </cell>
          <cell r="B1006" t="str">
            <v>Chapas de aço SAC 41 de 1/4" para passarelas, fornecimento, soldagem e montagem</v>
          </cell>
          <cell r="C1006" t="str">
            <v>kg</v>
          </cell>
          <cell r="D1006" t="str">
            <v>7,99</v>
          </cell>
          <cell r="E1006" t="str">
            <v>A incluir</v>
          </cell>
        </row>
        <row r="1007">
          <cell r="A1007">
            <v>42875</v>
          </cell>
          <cell r="B1007" t="str">
            <v>Chumbador de aço de 25 mm, inclusive proteção anticorrosiva, exclusive a injeção e a perfuração</v>
          </cell>
          <cell r="C1007" t="str">
            <v>m</v>
          </cell>
          <cell r="D1007" t="str">
            <v>34,85</v>
          </cell>
          <cell r="E1007">
            <v>0</v>
          </cell>
        </row>
        <row r="1008">
          <cell r="A1008">
            <v>40991</v>
          </cell>
          <cell r="B1008" t="str">
            <v>Colagem das mantas de borracha nos berços de apoio das placas, com Sikadur 32 ou equivalente, fornecimento e aplicação</v>
          </cell>
          <cell r="C1008" t="str">
            <v>kg</v>
          </cell>
          <cell r="D1008" t="str">
            <v>87,92</v>
          </cell>
          <cell r="E1008">
            <v>0</v>
          </cell>
        </row>
        <row r="1009">
          <cell r="A1009">
            <v>40382</v>
          </cell>
          <cell r="B1009" t="str">
            <v>Concreto projetado com cimento especial</v>
          </cell>
          <cell r="C1009" t="str">
            <v>m³</v>
          </cell>
          <cell r="D1009" t="str">
            <v>641,12</v>
          </cell>
          <cell r="E1009">
            <v>0</v>
          </cell>
        </row>
        <row r="1010">
          <cell r="A1010">
            <v>42660</v>
          </cell>
          <cell r="B1010" t="str">
            <v>Concreto projetado com cimento especial, inclusive aditivo de pega Sigunit STM-35 AF</v>
          </cell>
          <cell r="C1010" t="str">
            <v>m³</v>
          </cell>
          <cell r="D1010" t="str">
            <v>661,11</v>
          </cell>
          <cell r="E1010">
            <v>0</v>
          </cell>
        </row>
        <row r="1011">
          <cell r="A1011">
            <v>40401</v>
          </cell>
          <cell r="B1011" t="str">
            <v>Cone de ancoragem de cabo de aço com 12 cordoalhas de 1/2", inclusive protensão dos cabos</v>
          </cell>
          <cell r="C1011" t="str">
            <v>un</v>
          </cell>
          <cell r="D1011" t="str">
            <v>1.756,11</v>
          </cell>
          <cell r="E1011" t="str">
            <v>A incluir</v>
          </cell>
        </row>
        <row r="1012">
          <cell r="A1012">
            <v>41200</v>
          </cell>
          <cell r="B1012" t="str">
            <v>Conectores diâmetro 16mm (h-&gt;10cm), fornecimento e soldagem</v>
          </cell>
          <cell r="C1012" t="str">
            <v>un</v>
          </cell>
          <cell r="D1012" t="str">
            <v>22,14</v>
          </cell>
          <cell r="E1012">
            <v>0</v>
          </cell>
        </row>
        <row r="1013">
          <cell r="A1013">
            <v>42876</v>
          </cell>
          <cell r="B1013" t="str">
            <v>Escoramento contínuo de cavas em estaca prancha de largura até 4000 mm</v>
          </cell>
          <cell r="C1013" t="str">
            <v>m²</v>
          </cell>
          <cell r="D1013" t="str">
            <v>95,34</v>
          </cell>
          <cell r="E1013">
            <v>0</v>
          </cell>
        </row>
        <row r="1014">
          <cell r="A1014">
            <v>42239</v>
          </cell>
          <cell r="B1014" t="str">
            <v>Escoramento de O.A.E. diretamente sobre o solo, inclusive fornecimento e transporte das madeiras</v>
          </cell>
          <cell r="C1014" t="str">
            <v>m³</v>
          </cell>
          <cell r="D1014" t="str">
            <v>127,33</v>
          </cell>
          <cell r="E1014" t="str">
            <v>A incluir</v>
          </cell>
        </row>
        <row r="1015">
          <cell r="A1015">
            <v>40329</v>
          </cell>
          <cell r="B1015" t="str">
            <v>Escoramento e cimbramento (pontes e pontilhões), inclusive fornecimento e transporte das madeiras</v>
          </cell>
          <cell r="C1015" t="str">
            <v>m³</v>
          </cell>
          <cell r="D1015" t="str">
            <v>149,47</v>
          </cell>
          <cell r="E1015" t="str">
            <v>A incluir</v>
          </cell>
        </row>
        <row r="1016">
          <cell r="A1016">
            <v>41195</v>
          </cell>
          <cell r="B1016" t="str">
            <v>Estrutura metálica provisória para macaqueamento de laje de ponte</v>
          </cell>
          <cell r="C1016" t="str">
            <v>kg</v>
          </cell>
          <cell r="D1016" t="str">
            <v>7,85</v>
          </cell>
          <cell r="E1016">
            <v>0</v>
          </cell>
        </row>
        <row r="1017">
          <cell r="A1017">
            <v>40315</v>
          </cell>
          <cell r="B1017" t="str">
            <v>Formas curvas de madeira sem reutilização, inclusive fornecimento e transporte das madeiras</v>
          </cell>
          <cell r="C1017" t="str">
            <v>m²</v>
          </cell>
          <cell r="D1017" t="str">
            <v>254,24</v>
          </cell>
          <cell r="E1017" t="str">
            <v>A incluir</v>
          </cell>
        </row>
        <row r="1018">
          <cell r="A1018">
            <v>40314</v>
          </cell>
          <cell r="B1018" t="str">
            <v>Formas planas de madeira com 05 (cinco) utilizações (guarda-corpo de pontes), inclusive fornecimento e transportes das madeiras</v>
          </cell>
          <cell r="C1018" t="str">
            <v>m²</v>
          </cell>
          <cell r="D1018" t="str">
            <v>99,12</v>
          </cell>
          <cell r="E1018" t="str">
            <v>A incluir</v>
          </cell>
        </row>
        <row r="1019">
          <cell r="A1019">
            <v>40321</v>
          </cell>
          <cell r="B1019" t="str">
            <v>Formas planas de madeirit meso e superestrutura com 1 reaproveitamento esp. -&gt; 14 mm, inclusive fornecimento e transporte das madeiras</v>
          </cell>
          <cell r="C1019" t="str">
            <v>m²</v>
          </cell>
          <cell r="D1019" t="str">
            <v>70,22</v>
          </cell>
          <cell r="E1019" t="str">
            <v>A incluir</v>
          </cell>
        </row>
        <row r="1020">
          <cell r="A1020">
            <v>40323</v>
          </cell>
          <cell r="B1020" t="str">
            <v>Formas planas de madeirit meso e superestrutura com 1 reaproveitamento esp. -&gt; 17 mm, inclusive fornecimento e transporte das madeiras</v>
          </cell>
          <cell r="C1020" t="str">
            <v>m²</v>
          </cell>
          <cell r="D1020" t="str">
            <v>73,88</v>
          </cell>
          <cell r="E1020" t="str">
            <v>A incluir</v>
          </cell>
        </row>
        <row r="1021">
          <cell r="A1021">
            <v>40324</v>
          </cell>
          <cell r="B1021" t="str">
            <v>Formas planas de madeirit meso e superestrutura com 2 reaproveitamentos esp. -&gt; 17 mm, inclusive fornecimento e transporte das madeiras</v>
          </cell>
          <cell r="C1021" t="str">
            <v>m²</v>
          </cell>
          <cell r="D1021" t="str">
            <v>63,79</v>
          </cell>
          <cell r="E1021" t="str">
            <v>A incluir</v>
          </cell>
        </row>
        <row r="1022">
          <cell r="A1022">
            <v>40325</v>
          </cell>
          <cell r="B1022" t="str">
            <v>Formas planas de madeirit meso e superestrutura com 4 reaproveitamentos esp. -&gt; 17 mm, inclusive fornecimento e transporte das madeiras</v>
          </cell>
          <cell r="C1022" t="str">
            <v>m²</v>
          </cell>
          <cell r="D1022" t="str">
            <v>55,06</v>
          </cell>
          <cell r="E1022" t="str">
            <v>A incluir</v>
          </cell>
        </row>
        <row r="1023">
          <cell r="A1023">
            <v>40319</v>
          </cell>
          <cell r="B1023" t="str">
            <v>Formas planas de madeirit meso e superestrutura sem reaproveitamento esp. -&gt; 10 mm, inclusive fornecimento e transporte das madeiras</v>
          </cell>
          <cell r="C1023" t="str">
            <v>m²</v>
          </cell>
          <cell r="D1023" t="str">
            <v>88,69</v>
          </cell>
          <cell r="E1023" t="str">
            <v>A incluir</v>
          </cell>
        </row>
        <row r="1024">
          <cell r="A1024">
            <v>40320</v>
          </cell>
          <cell r="B1024" t="str">
            <v>Formas planas de madeirit meso e superestrutura sem reaproveitamento esp. -&gt; 14 mm, inclusive fornecimento e transporte das madeiras</v>
          </cell>
          <cell r="C1024" t="str">
            <v>m²</v>
          </cell>
          <cell r="D1024" t="str">
            <v>99,63</v>
          </cell>
          <cell r="E1024" t="str">
            <v>A incluir</v>
          </cell>
        </row>
        <row r="1025">
          <cell r="A1025">
            <v>40322</v>
          </cell>
          <cell r="B1025" t="str">
            <v>Formas planas de madeirit meso e superestrutura sem reaproveitamento esp. -&gt; 17 mm, inclusive fornecimento e transporte das madeiras</v>
          </cell>
          <cell r="C1025" t="str">
            <v>m²</v>
          </cell>
          <cell r="D1025" t="str">
            <v>105,82</v>
          </cell>
          <cell r="E1025" t="str">
            <v>A incluir</v>
          </cell>
        </row>
        <row r="1026">
          <cell r="A1026">
            <v>40342</v>
          </cell>
          <cell r="B1026" t="str">
            <v>Furação, fornecimento e fixação de grampos diam.16 mm com resina epoxi (prof. 50 cm)</v>
          </cell>
          <cell r="C1026" t="str">
            <v>un</v>
          </cell>
          <cell r="D1026" t="str">
            <v>32,18</v>
          </cell>
          <cell r="E1026">
            <v>0</v>
          </cell>
        </row>
        <row r="1027">
          <cell r="A1027">
            <v>40338</v>
          </cell>
          <cell r="B1027" t="str">
            <v>Furação, fornecimento e fixação de grampos 10 mm com resina epoxi</v>
          </cell>
          <cell r="C1027" t="str">
            <v>un</v>
          </cell>
          <cell r="D1027" t="str">
            <v>22,95</v>
          </cell>
          <cell r="E1027">
            <v>0</v>
          </cell>
        </row>
        <row r="1028">
          <cell r="A1028">
            <v>40341</v>
          </cell>
          <cell r="B1028" t="str">
            <v>Furação, fornecimento e fixação de grampos 12,5 mm com resina epoxi em vigas pré-moldadas</v>
          </cell>
          <cell r="C1028" t="str">
            <v>un</v>
          </cell>
          <cell r="D1028" t="str">
            <v>6,28</v>
          </cell>
          <cell r="E1028">
            <v>0</v>
          </cell>
        </row>
        <row r="1029">
          <cell r="A1029">
            <v>40416</v>
          </cell>
          <cell r="B1029" t="str">
            <v>Guarda corpo em toras de eucalipto conf. projeto</v>
          </cell>
          <cell r="C1029" t="str">
            <v>m</v>
          </cell>
          <cell r="D1029" t="str">
            <v>246,40</v>
          </cell>
          <cell r="E1029">
            <v>0</v>
          </cell>
        </row>
        <row r="1030">
          <cell r="A1030">
            <v>40389</v>
          </cell>
          <cell r="B1030" t="str">
            <v>Guarda corpo metálico</v>
          </cell>
          <cell r="C1030" t="str">
            <v>m</v>
          </cell>
          <cell r="D1030" t="str">
            <v>62,98</v>
          </cell>
          <cell r="E1030">
            <v>0</v>
          </cell>
        </row>
        <row r="1031">
          <cell r="A1031">
            <v>40388</v>
          </cell>
          <cell r="B1031" t="str">
            <v>Guarda corpo padrão (tipo DNIT)</v>
          </cell>
          <cell r="C1031" t="str">
            <v>m</v>
          </cell>
          <cell r="D1031" t="str">
            <v>234,78</v>
          </cell>
          <cell r="E1031">
            <v>0</v>
          </cell>
        </row>
        <row r="1032">
          <cell r="A1032">
            <v>41232</v>
          </cell>
          <cell r="B1032" t="str">
            <v>Hidrojateamento de superfícies de concreto</v>
          </cell>
          <cell r="C1032" t="str">
            <v>m²</v>
          </cell>
          <cell r="D1032" t="str">
            <v>10,00</v>
          </cell>
          <cell r="E1032">
            <v>0</v>
          </cell>
        </row>
        <row r="1033">
          <cell r="A1033">
            <v>40402</v>
          </cell>
          <cell r="B1033" t="str">
            <v>Hidrojateamento de superfícies metálicas</v>
          </cell>
          <cell r="C1033" t="str">
            <v>m²</v>
          </cell>
          <cell r="D1033" t="str">
            <v>10,57</v>
          </cell>
          <cell r="E1033">
            <v>0</v>
          </cell>
        </row>
        <row r="1034">
          <cell r="A1034">
            <v>41033</v>
          </cell>
          <cell r="B1034" t="str">
            <v>Injeção de calda de cimento para chumbamento de tirantes</v>
          </cell>
          <cell r="C1034" t="str">
            <v>sc</v>
          </cell>
          <cell r="D1034" t="str">
            <v>44,77</v>
          </cell>
          <cell r="E1034">
            <v>0</v>
          </cell>
        </row>
        <row r="1035">
          <cell r="A1035">
            <v>41233</v>
          </cell>
          <cell r="B1035" t="str">
            <v>Injeção de epoxi em fissuras, inclusive preparo e montagem de bicos de injeção</v>
          </cell>
          <cell r="C1035" t="str">
            <v>kg</v>
          </cell>
          <cell r="D1035" t="str">
            <v>565,69</v>
          </cell>
          <cell r="E1035">
            <v>0</v>
          </cell>
        </row>
        <row r="1036">
          <cell r="A1036">
            <v>40386</v>
          </cell>
          <cell r="B1036" t="str">
            <v>Junta de cantoneira L de 4" x 4" x 3/8"</v>
          </cell>
          <cell r="C1036" t="str">
            <v>m</v>
          </cell>
          <cell r="D1036" t="str">
            <v>127,01</v>
          </cell>
          <cell r="E1036" t="str">
            <v>A incluir</v>
          </cell>
        </row>
        <row r="1037">
          <cell r="A1037">
            <v>41199</v>
          </cell>
          <cell r="B1037" t="str">
            <v>Junta de dilatação elástica pré-moldada p/ concreto, tipo fungenband em perfil O-12 de PVC alta densidade, Uniontech ou equival. fornecim./colocação</v>
          </cell>
          <cell r="C1037" t="str">
            <v>m</v>
          </cell>
          <cell r="D1037" t="str">
            <v>38,39</v>
          </cell>
          <cell r="E1037">
            <v>0</v>
          </cell>
        </row>
        <row r="1038">
          <cell r="A1038">
            <v>42529</v>
          </cell>
          <cell r="B1038" t="str">
            <v>Junta perfil elastomérico de vedação p/pontes c/abertura média de 25mm ± 10 mm, inclus. lábios poliméricos-Marca Ref JEENE-JJ2540 VV (constr.)</v>
          </cell>
          <cell r="C1038" t="str">
            <v>m</v>
          </cell>
          <cell r="D1038" t="str">
            <v>713,61</v>
          </cell>
          <cell r="E1038">
            <v>0</v>
          </cell>
        </row>
        <row r="1039">
          <cell r="A1039">
            <v>40384</v>
          </cell>
          <cell r="B1039" t="str">
            <v>Junta perfil elastomérico de vedação p/pontes c/abertura média de 50 mm ± 25 mm, inclus.lábios poliméricos-Marca Ref.JEENE mod.JJ-5070 (constr.)</v>
          </cell>
          <cell r="C1039" t="str">
            <v>m</v>
          </cell>
          <cell r="D1039" t="str">
            <v>1.278,15</v>
          </cell>
          <cell r="E1039">
            <v>0</v>
          </cell>
        </row>
        <row r="1040">
          <cell r="A1040">
            <v>40385</v>
          </cell>
          <cell r="B1040" t="str">
            <v>Junta perfil elastomérico de vedação p/pontes c/abertura média de 50mm ± 25mm,inclus.lábios poliméricos-Marca Ref JEENE mod.JJ-5070 VV(substituição)</v>
          </cell>
          <cell r="C1040" t="str">
            <v>m</v>
          </cell>
          <cell r="D1040" t="str">
            <v>1.311,64</v>
          </cell>
          <cell r="E1040">
            <v>0</v>
          </cell>
        </row>
        <row r="1041">
          <cell r="A1041">
            <v>40393</v>
          </cell>
          <cell r="B1041" t="str">
            <v>Perfuração de concreto</v>
          </cell>
          <cell r="C1041" t="str">
            <v>m</v>
          </cell>
          <cell r="D1041" t="str">
            <v>15,43</v>
          </cell>
          <cell r="E1041">
            <v>0</v>
          </cell>
        </row>
        <row r="1042">
          <cell r="A1042">
            <v>40394</v>
          </cell>
          <cell r="B1042" t="str">
            <v>Perfuração de rocha para fixação de chumbadores</v>
          </cell>
          <cell r="C1042" t="str">
            <v>m</v>
          </cell>
          <cell r="D1042" t="str">
            <v>18,12</v>
          </cell>
          <cell r="E1042">
            <v>0</v>
          </cell>
        </row>
        <row r="1043">
          <cell r="A1043">
            <v>40390</v>
          </cell>
          <cell r="B1043" t="str">
            <v>Pintura a cal em pontes (2 demãos)</v>
          </cell>
          <cell r="C1043" t="str">
            <v>m²</v>
          </cell>
          <cell r="D1043" t="str">
            <v>3,61</v>
          </cell>
          <cell r="E1043">
            <v>0</v>
          </cell>
        </row>
        <row r="1044">
          <cell r="A1044">
            <v>42256</v>
          </cell>
          <cell r="B1044" t="str">
            <v>Ponte provisoria para movimentação de equipamentos de execução de fundação composta de passadiço de madeira sobre estacas de madeira</v>
          </cell>
          <cell r="C1044" t="str">
            <v>m²</v>
          </cell>
          <cell r="D1044" t="str">
            <v>3.267,73</v>
          </cell>
          <cell r="E1044" t="str">
            <v>A incluir</v>
          </cell>
        </row>
        <row r="1045">
          <cell r="A1045">
            <v>40400</v>
          </cell>
          <cell r="B1045" t="str">
            <v>Preparo e colocação de 12 cordoalhas de 1/2" (Aço CP-190 RB) nas formas, inclusive injeção de nata de cimento</v>
          </cell>
          <cell r="C1045" t="str">
            <v>kg</v>
          </cell>
          <cell r="D1045" t="str">
            <v>11,20</v>
          </cell>
          <cell r="E1045" t="str">
            <v>A incluir</v>
          </cell>
        </row>
        <row r="1046">
          <cell r="A1046">
            <v>41201</v>
          </cell>
          <cell r="B1046" t="str">
            <v>Recuperação estrutural com uso de argamassa polimérica (espessura média-&gt;3,5cm)</v>
          </cell>
          <cell r="C1046" t="str">
            <v>m²</v>
          </cell>
          <cell r="D1046" t="str">
            <v>644,15</v>
          </cell>
          <cell r="E1046">
            <v>0</v>
          </cell>
        </row>
        <row r="1047">
          <cell r="A1047">
            <v>41035</v>
          </cell>
          <cell r="B1047" t="str">
            <v>Tirante de Aço CA-50, diâmetro de 25mm (1"), para comprimentos até 6m</v>
          </cell>
          <cell r="C1047" t="str">
            <v>m</v>
          </cell>
          <cell r="D1047" t="str">
            <v>82,62</v>
          </cell>
          <cell r="E1047">
            <v>0</v>
          </cell>
        </row>
        <row r="1048">
          <cell r="A1048">
            <v>41263</v>
          </cell>
          <cell r="B1048" t="str">
            <v>Tirante de aço Rocsolo ou similar, diâmetro 29,3mm, incluindo fornecimento da barra e da bainha proteção anticorrosiva, preparo e colocação no furo</v>
          </cell>
          <cell r="C1048" t="str">
            <v>m</v>
          </cell>
          <cell r="D1048" t="str">
            <v>149,30</v>
          </cell>
          <cell r="E1048">
            <v>0</v>
          </cell>
        </row>
        <row r="1049">
          <cell r="A1049">
            <v>41089</v>
          </cell>
          <cell r="B1049" t="str">
            <v>Tirante de aço ST 50/55, para carga trab. até 22 t, diam.32mm, incluindo fornecimento da bainha proteção anticorrosiva, preparo e colocação no furo.</v>
          </cell>
          <cell r="C1049" t="str">
            <v>m</v>
          </cell>
          <cell r="D1049" t="str">
            <v>148,85</v>
          </cell>
          <cell r="E1049">
            <v>0</v>
          </cell>
        </row>
        <row r="1050">
          <cell r="A1050">
            <v>41039</v>
          </cell>
          <cell r="B1050" t="str">
            <v>Tirante de aço ST 85/105, incluindo fornecimento da barra e da bainha proteção anticorrosiva, preparo e colocação no furo</v>
          </cell>
          <cell r="C1050" t="str">
            <v>m</v>
          </cell>
          <cell r="D1050" t="str">
            <v>157,25</v>
          </cell>
          <cell r="E1050">
            <v>0</v>
          </cell>
        </row>
        <row r="1051">
          <cell r="A1051">
            <v>41030</v>
          </cell>
          <cell r="B1051" t="str">
            <v>Tirante protendido em Aço GEWI 50/55 ou similar, diâmetro de 32mm</v>
          </cell>
          <cell r="C1051" t="str">
            <v>m</v>
          </cell>
          <cell r="D1051" t="str">
            <v>140,05</v>
          </cell>
          <cell r="E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E1052" t="e">
            <v>#N/A</v>
          </cell>
        </row>
        <row r="1053">
          <cell r="A1053" t="str">
            <v>Grupo de Serviço: 44 - MATERIAIS</v>
          </cell>
          <cell r="B1053">
            <v>0</v>
          </cell>
          <cell r="C1053">
            <v>0</v>
          </cell>
          <cell r="D1053">
            <v>0</v>
          </cell>
          <cell r="E1053" t="e">
            <v>#N/A</v>
          </cell>
        </row>
        <row r="1054">
          <cell r="A1054">
            <v>42045</v>
          </cell>
          <cell r="B1054" t="str">
            <v>Aquisição de solo de jazida comercial (saibreira)</v>
          </cell>
          <cell r="C1054" t="str">
            <v>m³</v>
          </cell>
          <cell r="D1054" t="str">
            <v>4,19</v>
          </cell>
          <cell r="E1054">
            <v>0</v>
          </cell>
        </row>
        <row r="1055">
          <cell r="A1055">
            <v>42043</v>
          </cell>
          <cell r="B1055" t="str">
            <v>Bonificação de 20,93% sobre aquisição de materiais</v>
          </cell>
          <cell r="C1055" t="str">
            <v>%</v>
          </cell>
          <cell r="D1055" t="str">
            <v>0,00</v>
          </cell>
          <cell r="E1055">
            <v>0</v>
          </cell>
        </row>
        <row r="1056">
          <cell r="A1056">
            <v>0</v>
          </cell>
          <cell r="B1056">
            <v>0</v>
          </cell>
          <cell r="C1056">
            <v>0</v>
          </cell>
          <cell r="E1056" t="e">
            <v>#N/A</v>
          </cell>
        </row>
        <row r="1057">
          <cell r="A1057" t="str">
            <v>Grupo de Serviço: 61 - TERRAPLENAGEM - VIAS URBANAS</v>
          </cell>
          <cell r="B1057">
            <v>0</v>
          </cell>
          <cell r="C1057">
            <v>0</v>
          </cell>
          <cell r="E1057" t="e">
            <v>#N/A</v>
          </cell>
        </row>
        <row r="1058">
          <cell r="A1058">
            <v>42512</v>
          </cell>
          <cell r="B1058" t="str">
            <v>Carga de material de 1ª categoria em Vias Urbanas</v>
          </cell>
          <cell r="C1058" t="str">
            <v>m³</v>
          </cell>
          <cell r="D1058" t="str">
            <v>2,91</v>
          </cell>
          <cell r="E1058">
            <v>0</v>
          </cell>
        </row>
        <row r="1059">
          <cell r="A1059">
            <v>42513</v>
          </cell>
          <cell r="B1059" t="str">
            <v>Carga de material de 2ª categoria (solo, areia, brita, excl. rocha escavada) em Vias Urbanas</v>
          </cell>
          <cell r="C1059" t="str">
            <v>m³</v>
          </cell>
          <cell r="D1059" t="str">
            <v>3,78</v>
          </cell>
          <cell r="E1059">
            <v>0</v>
          </cell>
        </row>
        <row r="1060">
          <cell r="A1060">
            <v>42514</v>
          </cell>
          <cell r="B1060" t="str">
            <v>Carga de material de 3ª categoria (rocha) em Vias Urbanas</v>
          </cell>
          <cell r="C1060" t="str">
            <v>m³</v>
          </cell>
          <cell r="D1060" t="str">
            <v>5,72</v>
          </cell>
          <cell r="E1060">
            <v>0</v>
          </cell>
        </row>
        <row r="1061">
          <cell r="A1061">
            <v>43349</v>
          </cell>
          <cell r="B1061" t="str">
            <v>Compactação de aterros 100% PI em Vias Urbanas</v>
          </cell>
          <cell r="C1061" t="str">
            <v>m³</v>
          </cell>
          <cell r="D1061" t="str">
            <v>6,14</v>
          </cell>
          <cell r="E1061">
            <v>0</v>
          </cell>
        </row>
        <row r="1062">
          <cell r="A1062">
            <v>42515</v>
          </cell>
          <cell r="B1062" t="str">
            <v>Compactação de aterros 100% PN em Vias Urbanas</v>
          </cell>
          <cell r="C1062" t="str">
            <v>m³</v>
          </cell>
          <cell r="D1062" t="str">
            <v>4,74</v>
          </cell>
          <cell r="E1062">
            <v>0</v>
          </cell>
        </row>
        <row r="1063">
          <cell r="A1063">
            <v>42523</v>
          </cell>
          <cell r="B1063" t="str">
            <v>Escalonamento de taludes com escavadeira em Vias Urbanas</v>
          </cell>
          <cell r="C1063" t="str">
            <v>m³</v>
          </cell>
          <cell r="D1063" t="str">
            <v>7,49</v>
          </cell>
          <cell r="E1063">
            <v>0</v>
          </cell>
        </row>
        <row r="1064">
          <cell r="A1064">
            <v>42525</v>
          </cell>
          <cell r="B1064" t="str">
            <v>Escavação a fogo em material de 3ª categoria, rocha viva, a céu aberto, perfuração a ar comprimido em Vias Urbanas</v>
          </cell>
          <cell r="C1064" t="str">
            <v>m³</v>
          </cell>
          <cell r="D1064" t="str">
            <v>59,37</v>
          </cell>
          <cell r="E1064">
            <v>0</v>
          </cell>
        </row>
        <row r="1065">
          <cell r="A1065">
            <v>42576</v>
          </cell>
          <cell r="B1065" t="str">
            <v>Escavação, carga de material de 3ª categoria (fogo controlado) em Vias Urbanas</v>
          </cell>
          <cell r="C1065" t="str">
            <v>m³</v>
          </cell>
          <cell r="D1065" t="str">
            <v>94,74</v>
          </cell>
          <cell r="E1065">
            <v>0</v>
          </cell>
        </row>
        <row r="1066">
          <cell r="A1066">
            <v>42577</v>
          </cell>
          <cell r="B1066" t="str">
            <v>Escavação e carga de material de barreira (remoção) em Vias Urbanas</v>
          </cell>
          <cell r="C1066" t="str">
            <v>m³</v>
          </cell>
          <cell r="D1066" t="str">
            <v>7,44</v>
          </cell>
          <cell r="E1066">
            <v>0</v>
          </cell>
        </row>
        <row r="1067">
          <cell r="A1067">
            <v>42578</v>
          </cell>
          <cell r="B1067" t="str">
            <v>Escavação e carga de material de 1ª categoria com escavadeira em Vias Urbanas</v>
          </cell>
          <cell r="C1067" t="str">
            <v>m³</v>
          </cell>
          <cell r="D1067" t="str">
            <v>3,17</v>
          </cell>
          <cell r="E1067">
            <v>0</v>
          </cell>
        </row>
        <row r="1068">
          <cell r="A1068">
            <v>42580</v>
          </cell>
          <cell r="B1068" t="str">
            <v>Escavação e carga de material de 2ª categoria com escavadeira em Vias Urbanas</v>
          </cell>
          <cell r="C1068" t="str">
            <v>m³</v>
          </cell>
          <cell r="D1068" t="str">
            <v>4,69</v>
          </cell>
          <cell r="E1068">
            <v>0</v>
          </cell>
        </row>
        <row r="1069">
          <cell r="A1069">
            <v>42582</v>
          </cell>
          <cell r="B1069" t="str">
            <v>Escavação e carga de material de 3ª categoria (H bancada &gt;1,0 m) em Vias Urbanas</v>
          </cell>
          <cell r="C1069" t="str">
            <v>m³</v>
          </cell>
          <cell r="D1069" t="str">
            <v>41,61</v>
          </cell>
          <cell r="E1069">
            <v>0</v>
          </cell>
        </row>
        <row r="1070">
          <cell r="A1070">
            <v>42586</v>
          </cell>
          <cell r="B1070" t="str">
            <v>Fragmentação de rocha (fogacheamento) em Vias Urbanas</v>
          </cell>
          <cell r="C1070" t="str">
            <v>m³</v>
          </cell>
          <cell r="D1070" t="str">
            <v>54,54</v>
          </cell>
          <cell r="E1070">
            <v>0</v>
          </cell>
        </row>
        <row r="1071">
          <cell r="A1071">
            <v>42587</v>
          </cell>
          <cell r="B1071" t="str">
            <v>Limpeza de acostamento em Vias Urbanas</v>
          </cell>
          <cell r="C1071" t="str">
            <v>m²</v>
          </cell>
          <cell r="D1071" t="str">
            <v>0,67</v>
          </cell>
          <cell r="E1071">
            <v>0</v>
          </cell>
        </row>
        <row r="1072">
          <cell r="A1072">
            <v>42590</v>
          </cell>
          <cell r="B1072" t="str">
            <v>Limpeza e desmatamento em área alagada (pântano) com ferr. man., incl. moto serra em Vias Urbanas</v>
          </cell>
          <cell r="C1072" t="str">
            <v>m²</v>
          </cell>
          <cell r="D1072" t="str">
            <v>8,06</v>
          </cell>
          <cell r="E1072">
            <v>0</v>
          </cell>
        </row>
        <row r="1073">
          <cell r="A1073">
            <v>42591</v>
          </cell>
          <cell r="B1073" t="str">
            <v>Pré-fissuramento de taludes de rocha em Vias Urbanas</v>
          </cell>
          <cell r="C1073" t="str">
            <v>m²</v>
          </cell>
          <cell r="D1073" t="str">
            <v>31,70</v>
          </cell>
          <cell r="E1073">
            <v>0</v>
          </cell>
        </row>
        <row r="1074">
          <cell r="A1074">
            <v>42592</v>
          </cell>
          <cell r="B1074" t="str">
            <v>Recomposição vegetal de jazidas, empréstimos e bota-fora em Vias Urbanas</v>
          </cell>
          <cell r="C1074" t="str">
            <v>m²</v>
          </cell>
          <cell r="D1074" t="str">
            <v>13,93</v>
          </cell>
          <cell r="E1074" t="str">
            <v>A incluir</v>
          </cell>
        </row>
        <row r="1075">
          <cell r="A1075">
            <v>42593</v>
          </cell>
          <cell r="B1075" t="str">
            <v>Remoção de solos moles, incluindo carregamento mecânico com escavadeira hidráulica em Vias Urbanas</v>
          </cell>
          <cell r="C1075" t="str">
            <v>m³</v>
          </cell>
          <cell r="D1075" t="str">
            <v>24,30</v>
          </cell>
          <cell r="E1075">
            <v>0</v>
          </cell>
        </row>
        <row r="1076">
          <cell r="A1076">
            <v>42596</v>
          </cell>
          <cell r="B1076" t="str">
            <v>Transporte horizontal com trator de lâmina de material de 1ª cat. DMTaté 50m em Vias Urbanas</v>
          </cell>
          <cell r="C1076" t="str">
            <v>m³</v>
          </cell>
          <cell r="D1076" t="str">
            <v>5,27</v>
          </cell>
          <cell r="E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E1077" t="e">
            <v>#N/A</v>
          </cell>
        </row>
        <row r="1078">
          <cell r="A1078" t="str">
            <v>Grupo de Serviço: 62 - PAVIMENTAÇÃO - VIAS URBANAS</v>
          </cell>
          <cell r="B1078">
            <v>0</v>
          </cell>
          <cell r="C1078">
            <v>0</v>
          </cell>
          <cell r="E1078" t="e">
            <v>#N/A</v>
          </cell>
        </row>
        <row r="1079">
          <cell r="A1079">
            <v>42483</v>
          </cell>
          <cell r="B1079" t="str">
            <v>Base de brita graduada, inclusive fornecimento, exclusive transporte da brita em Vias Urbanas</v>
          </cell>
          <cell r="C1079" t="str">
            <v>m³</v>
          </cell>
          <cell r="D1079" t="str">
            <v>108,79</v>
          </cell>
          <cell r="E1079">
            <v>0</v>
          </cell>
        </row>
        <row r="1080">
          <cell r="A1080">
            <v>42695</v>
          </cell>
          <cell r="B1080" t="str">
            <v>Base de brita 1, inclusive fornecimento, exclusive transporte da brita em Vias Urbanas</v>
          </cell>
          <cell r="C1080" t="str">
            <v>m³</v>
          </cell>
          <cell r="D1080" t="str">
            <v>105,98</v>
          </cell>
          <cell r="E1080">
            <v>0</v>
          </cell>
        </row>
        <row r="1081">
          <cell r="A1081">
            <v>42481</v>
          </cell>
          <cell r="B1081" t="str">
            <v>Base de solo brita, 50% em peso, inclusive fornecimento, exclusive transporte da brita em Vias Urbanas</v>
          </cell>
          <cell r="C1081" t="str">
            <v>m³</v>
          </cell>
          <cell r="D1081" t="str">
            <v>73,15</v>
          </cell>
          <cell r="E1081">
            <v>0</v>
          </cell>
        </row>
        <row r="1082">
          <cell r="A1082">
            <v>42508</v>
          </cell>
          <cell r="B1082" t="str">
            <v>CBUQ (massa asfáltica) inclusive fornecimento e transporte comercial do CAP, em Vias Urbanas</v>
          </cell>
          <cell r="C1082" t="str">
            <v>t</v>
          </cell>
          <cell r="D1082" t="str">
            <v>212,55</v>
          </cell>
          <cell r="E1082" t="str">
            <v>A incluir</v>
          </cell>
        </row>
        <row r="1083">
          <cell r="A1083">
            <v>42496</v>
          </cell>
          <cell r="B1083" t="str">
            <v>Demolição e remoção de pavimento asfáltico em Vias Urbanas</v>
          </cell>
          <cell r="C1083" t="str">
            <v>m²</v>
          </cell>
          <cell r="D1083" t="str">
            <v>3,15</v>
          </cell>
          <cell r="E1083">
            <v>0</v>
          </cell>
        </row>
        <row r="1084">
          <cell r="A1084">
            <v>41133</v>
          </cell>
          <cell r="B1084" t="str">
            <v>Fresagem de pavimento asfáltico a frio, esp. até 15cm, exclusive transporte de materiais, em Vias Urbanas</v>
          </cell>
          <cell r="C1084" t="str">
            <v>m²</v>
          </cell>
          <cell r="D1084" t="str">
            <v>10,03</v>
          </cell>
          <cell r="E1084">
            <v>0</v>
          </cell>
        </row>
        <row r="1085">
          <cell r="A1085">
            <v>42479</v>
          </cell>
          <cell r="B1085" t="str">
            <v>Fresagem de pavimento asfáltico a frio, esp-&gt;5cm, exclusive transporte de materiais em Vias Urbanas</v>
          </cell>
          <cell r="C1085" t="str">
            <v>m²</v>
          </cell>
          <cell r="D1085" t="str">
            <v>7,03</v>
          </cell>
          <cell r="E1085">
            <v>0</v>
          </cell>
        </row>
        <row r="1086">
          <cell r="A1086">
            <v>43333</v>
          </cell>
          <cell r="B1086" t="str">
            <v>Imprimação exclusive fornecimento e transporte comercial do material betuminoso em Vias Urbanas</v>
          </cell>
          <cell r="C1086" t="str">
            <v>m²</v>
          </cell>
          <cell r="D1086" t="str">
            <v>0,98</v>
          </cell>
          <cell r="E1086">
            <v>0</v>
          </cell>
        </row>
        <row r="1087">
          <cell r="A1087">
            <v>42484</v>
          </cell>
          <cell r="B1087" t="str">
            <v>Imprimação inclusive fornecimento e transporte comercial do material betuminoso em Vias Urbanas</v>
          </cell>
          <cell r="C1087" t="str">
            <v>m²</v>
          </cell>
          <cell r="D1087" t="str">
            <v>4,23</v>
          </cell>
          <cell r="E1087" t="str">
            <v>A incluir</v>
          </cell>
        </row>
        <row r="1088">
          <cell r="A1088">
            <v>42497</v>
          </cell>
          <cell r="B1088" t="str">
            <v>Micro revestimento asfáltico à frio inclusive fornecimento e transporte comercial do material betuminoso, em Vias Urbanas</v>
          </cell>
          <cell r="C1088" t="str">
            <v>m²</v>
          </cell>
          <cell r="D1088" t="str">
            <v>10,91</v>
          </cell>
          <cell r="E1088" t="str">
            <v>A incluir</v>
          </cell>
        </row>
        <row r="1089">
          <cell r="A1089">
            <v>42493</v>
          </cell>
          <cell r="B1089" t="str">
            <v>Obturação de buracos c/ CBUQ inclusive fornecimento e transporte comercial dos materiais betuminosos em Vias Urbanas</v>
          </cell>
          <cell r="C1089" t="str">
            <v>m²</v>
          </cell>
          <cell r="D1089" t="str">
            <v>62,26</v>
          </cell>
          <cell r="E1089" t="str">
            <v>A incluir</v>
          </cell>
        </row>
        <row r="1090">
          <cell r="A1090">
            <v>42494</v>
          </cell>
          <cell r="B1090" t="str">
            <v>Obturação de buracos c/ CBUQ inclusive fornecimento e transporte dos materiais betuminosos em Vias Urbanas</v>
          </cell>
          <cell r="C1090" t="str">
            <v>t</v>
          </cell>
          <cell r="D1090" t="str">
            <v>321,62</v>
          </cell>
          <cell r="E1090" t="str">
            <v>A incluir</v>
          </cell>
        </row>
        <row r="1091">
          <cell r="A1091">
            <v>42498</v>
          </cell>
          <cell r="B1091" t="str">
            <v>Pavimentação com blocos de concreto (35 MPa), esp.-&gt;06cm, sobre colchão areia esp.-&gt;5cm, inclusive fornecim. e transporte blocos e areia, Vias Urbanas</v>
          </cell>
          <cell r="C1091" t="str">
            <v>m²</v>
          </cell>
          <cell r="D1091" t="str">
            <v>69,62</v>
          </cell>
          <cell r="E1091" t="str">
            <v>A incluir</v>
          </cell>
        </row>
        <row r="1092">
          <cell r="A1092">
            <v>42499</v>
          </cell>
          <cell r="B1092" t="str">
            <v>Pavimentação com blocos de concreto (35 MPa), esp.-&gt;08cm, sobre colchão de areia 5cm, inclusive fornecim. e transporte blocos e areia, em Vias Urbanas</v>
          </cell>
          <cell r="C1092" t="str">
            <v>m²</v>
          </cell>
          <cell r="D1092" t="str">
            <v>77,63</v>
          </cell>
          <cell r="E1092" t="str">
            <v>A incluir</v>
          </cell>
        </row>
        <row r="1093">
          <cell r="A1093">
            <v>42500</v>
          </cell>
          <cell r="B1093" t="str">
            <v>Pavimentação com blocos de concreto (35 MPa), esp.-&gt;10cm, sobre colchão de areia esp.-&gt;5cm, inclusive fornecim.e transporte blocos e areia,Vias Urbanas</v>
          </cell>
          <cell r="C1093" t="str">
            <v>m²</v>
          </cell>
          <cell r="D1093" t="str">
            <v>93,94</v>
          </cell>
          <cell r="E1093" t="str">
            <v>A incluir</v>
          </cell>
        </row>
        <row r="1094">
          <cell r="A1094">
            <v>42501</v>
          </cell>
          <cell r="B1094" t="str">
            <v>Pavimentação com paralelepípedo, colchão areia 5cm, inclusive fornecimento e transporte do paralelepípedo e areia, em Vias Urbanas</v>
          </cell>
          <cell r="C1094" t="str">
            <v>m²</v>
          </cell>
          <cell r="D1094" t="str">
            <v>90,81</v>
          </cell>
          <cell r="E1094" t="str">
            <v>A incluir</v>
          </cell>
        </row>
        <row r="1095">
          <cell r="A1095">
            <v>42502</v>
          </cell>
          <cell r="B1095" t="str">
            <v>Pavimentação com paralelepípedo sobre colchão pó de pedra esp.-&gt;5cm, inclusive fornecimento e transporte do paralelepípedo e pó de pedra, Vias Urbanas</v>
          </cell>
          <cell r="C1095" t="str">
            <v>m²</v>
          </cell>
          <cell r="D1095" t="str">
            <v>89,50</v>
          </cell>
          <cell r="E1095" t="str">
            <v>A incluir</v>
          </cell>
        </row>
        <row r="1096">
          <cell r="A1096">
            <v>42503</v>
          </cell>
          <cell r="B1096" t="str">
            <v>Pavimentação com pedra portuguesa, inclusive fornecimento e transporte do cimento, areia e pedra portuguesa em Vias Urbanas</v>
          </cell>
          <cell r="C1096" t="str">
            <v>m²</v>
          </cell>
          <cell r="D1096" t="str">
            <v>113,19</v>
          </cell>
          <cell r="E1096" t="str">
            <v>A incluir</v>
          </cell>
        </row>
        <row r="1097">
          <cell r="A1097">
            <v>43334</v>
          </cell>
          <cell r="B1097" t="str">
            <v>Pintura de ligação exclusive fornecimento e transporte comercial do material betuminoso em Vias Urbanas</v>
          </cell>
          <cell r="C1097" t="str">
            <v>m²</v>
          </cell>
          <cell r="D1097" t="str">
            <v>0,81</v>
          </cell>
          <cell r="E1097">
            <v>0</v>
          </cell>
        </row>
        <row r="1098">
          <cell r="A1098">
            <v>42485</v>
          </cell>
          <cell r="B1098" t="str">
            <v>Pintura de ligação inclusive fornecimento e transporte comercial do material betuminoso em Vias Urbanas</v>
          </cell>
          <cell r="C1098" t="str">
            <v>m²</v>
          </cell>
          <cell r="D1098" t="str">
            <v>1,75</v>
          </cell>
          <cell r="E1098" t="str">
            <v>A incluir</v>
          </cell>
        </row>
        <row r="1099">
          <cell r="A1099">
            <v>42478</v>
          </cell>
          <cell r="B1099" t="str">
            <v>Regularização e compactação do sub-leito (100% P.N.) H-&gt;0,15m em Vias Urbanas</v>
          </cell>
          <cell r="C1099" t="str">
            <v>m²</v>
          </cell>
          <cell r="D1099" t="str">
            <v>2,94</v>
          </cell>
          <cell r="E1099">
            <v>0</v>
          </cell>
        </row>
        <row r="1100">
          <cell r="A1100">
            <v>42477</v>
          </cell>
          <cell r="B1100" t="str">
            <v>Regularização e compactação do sub-leito (100% P.N.) H-&gt;0,20m Vias Urbanas</v>
          </cell>
          <cell r="C1100" t="str">
            <v>m²</v>
          </cell>
          <cell r="D1100" t="str">
            <v>3,88</v>
          </cell>
          <cell r="E1100">
            <v>0</v>
          </cell>
        </row>
        <row r="1101">
          <cell r="A1101">
            <v>42495</v>
          </cell>
          <cell r="B1101" t="str">
            <v>Remoção de capa asfáltica em TSS, TSD, ou TST exclusive transporte em Vias Urbanas</v>
          </cell>
          <cell r="C1101" t="str">
            <v>m²</v>
          </cell>
          <cell r="D1101" t="str">
            <v>0,98</v>
          </cell>
          <cell r="E1101">
            <v>0</v>
          </cell>
        </row>
        <row r="1102">
          <cell r="A1102">
            <v>42507</v>
          </cell>
          <cell r="B1102" t="str">
            <v>Remoção de meio fio em Vias Urbanas</v>
          </cell>
          <cell r="C1102" t="str">
            <v>m</v>
          </cell>
          <cell r="D1102" t="str">
            <v>20,14</v>
          </cell>
          <cell r="E1102">
            <v>0</v>
          </cell>
        </row>
        <row r="1103">
          <cell r="A1103">
            <v>42505</v>
          </cell>
          <cell r="B1103" t="str">
            <v>Remoção de pavimentação poliédrica em Vias Urbanas</v>
          </cell>
          <cell r="C1103" t="str">
            <v>m²</v>
          </cell>
          <cell r="D1103" t="str">
            <v>16,28</v>
          </cell>
          <cell r="E1103">
            <v>0</v>
          </cell>
        </row>
        <row r="1104">
          <cell r="A1104">
            <v>42504</v>
          </cell>
          <cell r="B1104" t="str">
            <v>Remoção e reassentamento de blocos de concreto, inclusive perdas em Vias Urbanas</v>
          </cell>
          <cell r="C1104" t="str">
            <v>m²</v>
          </cell>
          <cell r="D1104" t="str">
            <v>41,39</v>
          </cell>
          <cell r="E1104" t="str">
            <v>A incluir</v>
          </cell>
        </row>
        <row r="1105">
          <cell r="A1105">
            <v>42506</v>
          </cell>
          <cell r="B1105" t="str">
            <v>Remoção e reassentamento de paralelepípedos, inclusive perdas em Vias Urbanas</v>
          </cell>
          <cell r="C1105" t="str">
            <v>m²</v>
          </cell>
          <cell r="D1105" t="str">
            <v>41,07</v>
          </cell>
          <cell r="E1105" t="str">
            <v>A incluir</v>
          </cell>
        </row>
        <row r="1106">
          <cell r="A1106">
            <v>42482</v>
          </cell>
          <cell r="B1106" t="str">
            <v>Sub-base de brita graduada, inclusive fornecimento e transporte da brita em Vias Urbanas</v>
          </cell>
          <cell r="C1106" t="str">
            <v>m³</v>
          </cell>
          <cell r="D1106" t="str">
            <v>104,09</v>
          </cell>
          <cell r="E1106" t="str">
            <v>A incluir</v>
          </cell>
        </row>
        <row r="1107">
          <cell r="A1107">
            <v>42702</v>
          </cell>
          <cell r="B1107" t="str">
            <v>Sub-base de brita 1, inclusive fornecimento, exclusive transporte da brita em Vias Urbanas</v>
          </cell>
          <cell r="C1107" t="str">
            <v>m³</v>
          </cell>
          <cell r="D1107" t="str">
            <v>105,98</v>
          </cell>
          <cell r="E1107">
            <v>0</v>
          </cell>
        </row>
        <row r="1108">
          <cell r="A1108">
            <v>42480</v>
          </cell>
          <cell r="B1108" t="str">
            <v>Sub-base solo brita, 50% em peso, inclusive fornecimento e transporte da brita em Vias Urbanas</v>
          </cell>
          <cell r="C1108" t="str">
            <v>m³</v>
          </cell>
          <cell r="D1108" t="str">
            <v>73,15</v>
          </cell>
          <cell r="E1108" t="str">
            <v>A incluir</v>
          </cell>
        </row>
        <row r="1109">
          <cell r="A1109">
            <v>42489</v>
          </cell>
          <cell r="B1109" t="str">
            <v>T.S.B.D. com capa selante, executado com Multidistribuidor inclusive fornecimento e transporte da emulsão, areia, brita e lavagem da brita -V. Urbanas</v>
          </cell>
          <cell r="C1109" t="str">
            <v>m²</v>
          </cell>
          <cell r="D1109" t="str">
            <v>9,83</v>
          </cell>
          <cell r="E1109" t="str">
            <v>A incluir</v>
          </cell>
        </row>
        <row r="1110">
          <cell r="A1110">
            <v>42487</v>
          </cell>
          <cell r="B1110" t="str">
            <v>T.S.B.D. com capa selante inclusive fornec. areia/brita/emulsão, transporte comerc. emulsão e lavagem brita, exclus. transp. areia e brita - V.Urbana</v>
          </cell>
          <cell r="C1110" t="str">
            <v>m²</v>
          </cell>
          <cell r="D1110" t="str">
            <v>13,41</v>
          </cell>
          <cell r="E1110" t="str">
            <v>A incluir</v>
          </cell>
        </row>
        <row r="1111">
          <cell r="A1111">
            <v>42847</v>
          </cell>
          <cell r="B1111" t="str">
            <v>T.S.B.D. com capa selante inclusive fornec.areia/brita/emulsão, transp.comercial emulsão e lavagem brita, exclus. transp. areia e brita- Vias Urbanas</v>
          </cell>
          <cell r="C1111" t="str">
            <v>m²</v>
          </cell>
          <cell r="D1111" t="str">
            <v>14,42</v>
          </cell>
          <cell r="E1111" t="str">
            <v>A incluir</v>
          </cell>
        </row>
        <row r="1112">
          <cell r="A1112">
            <v>42486</v>
          </cell>
          <cell r="B1112" t="str">
            <v>T.S.B.D. sem capa selante, inclusive fornecimento e transporte comercial do material betuminoso e lavagem da brita em Vias Urbanas</v>
          </cell>
          <cell r="C1112" t="str">
            <v>m²</v>
          </cell>
          <cell r="D1112" t="str">
            <v>9,33</v>
          </cell>
          <cell r="E1112" t="str">
            <v>A incluir</v>
          </cell>
        </row>
        <row r="1113">
          <cell r="A1113">
            <v>42488</v>
          </cell>
          <cell r="B1113" t="str">
            <v>T.S.B.D. sem capa selante executado com Multidistribuidor excl. forn.e transp. com. da emulsão, inclus. fornecim., transp.e lavagem brita, V.Urbanas</v>
          </cell>
          <cell r="C1113" t="str">
            <v>m²</v>
          </cell>
          <cell r="D1113" t="str">
            <v>7,24</v>
          </cell>
          <cell r="E1113" t="str">
            <v>A incluir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e">
            <v>#N/A</v>
          </cell>
        </row>
        <row r="1115">
          <cell r="A1115" t="str">
            <v>Grupo de Serviço: 63 - OBRAS DE ARTE CORRENTES E DRENAGEM - VIAS URBANAS</v>
          </cell>
          <cell r="B1115">
            <v>0</v>
          </cell>
          <cell r="C1115">
            <v>0</v>
          </cell>
          <cell r="E1115" t="e">
            <v>#N/A</v>
          </cell>
        </row>
        <row r="1116">
          <cell r="A1116">
            <v>42601</v>
          </cell>
          <cell r="B1116" t="str">
            <v>Alvenaria de bloco (39 x 19 x 09) cm espessura 09 cm em Vias Urbanas, inclusive transporte, areia, cimento e bloco</v>
          </cell>
          <cell r="C1116" t="str">
            <v>m²</v>
          </cell>
          <cell r="D1116" t="str">
            <v>49,27</v>
          </cell>
          <cell r="E1116" t="str">
            <v>A incluir</v>
          </cell>
        </row>
        <row r="1117">
          <cell r="A1117">
            <v>43602</v>
          </cell>
          <cell r="B1117" t="str">
            <v>Alvenaria de bloco (39 x 19 x 19) cm espessura 19 cm em Vias Urbanas</v>
          </cell>
          <cell r="C1117" t="str">
            <v>m²</v>
          </cell>
          <cell r="D1117" t="str">
            <v>75,82</v>
          </cell>
          <cell r="E1117" t="str">
            <v>A incluir</v>
          </cell>
        </row>
        <row r="1118">
          <cell r="A1118">
            <v>42602</v>
          </cell>
          <cell r="B1118" t="str">
            <v>Alvenaria de bloco (39 x 19 x 19) cm espessura 19 cm, inclusive transporte de areia, cimento e bloco em Vias Urbanas</v>
          </cell>
          <cell r="C1118" t="str">
            <v>m²</v>
          </cell>
          <cell r="D1118" t="str">
            <v>82,12</v>
          </cell>
          <cell r="E1118" t="str">
            <v>A incluir</v>
          </cell>
        </row>
        <row r="1119">
          <cell r="A1119">
            <v>42603</v>
          </cell>
          <cell r="B1119" t="str">
            <v>Alvenaria de lajota (20 x 20 x 10) cm espessura 10 cm , inclusive transporte de areia, lajota e cimento, em Vias Urbanas</v>
          </cell>
          <cell r="C1119" t="str">
            <v>m²</v>
          </cell>
          <cell r="D1119" t="str">
            <v>57,38</v>
          </cell>
          <cell r="E1119" t="str">
            <v>A incluir</v>
          </cell>
        </row>
        <row r="1120">
          <cell r="A1120">
            <v>42604</v>
          </cell>
          <cell r="B1120" t="str">
            <v>Alvenaria de pedra de mão (junta seca), inclusive transporte da pedra em Vias Urbanas</v>
          </cell>
          <cell r="C1120" t="str">
            <v>m³</v>
          </cell>
          <cell r="D1120" t="str">
            <v>221,42</v>
          </cell>
          <cell r="E1120" t="str">
            <v>A incluir</v>
          </cell>
        </row>
        <row r="1121">
          <cell r="A1121">
            <v>42605</v>
          </cell>
          <cell r="B1121" t="str">
            <v>Alvenaria de pedra de mão argamassada (argamassa cimento areia 1:4) inclusive transporte da pedra de mão, em Vias Urbanas</v>
          </cell>
          <cell r="C1121" t="str">
            <v>m³</v>
          </cell>
          <cell r="D1121" t="str">
            <v>326,36</v>
          </cell>
          <cell r="E1121" t="str">
            <v>A incluir</v>
          </cell>
        </row>
        <row r="1122">
          <cell r="A1122">
            <v>42606</v>
          </cell>
          <cell r="B1122" t="str">
            <v>Andaime de madeira para altura até 7 m, compreendendo montagem e desmontagem em Vias Urbanas</v>
          </cell>
          <cell r="C1122" t="str">
            <v>m³</v>
          </cell>
          <cell r="D1122" t="str">
            <v>19,79</v>
          </cell>
          <cell r="E1122">
            <v>0</v>
          </cell>
        </row>
        <row r="1123">
          <cell r="A1123">
            <v>42607</v>
          </cell>
          <cell r="B1123" t="str">
            <v>Andaime suspenso em madeira, inclusive montagem e desmontagem em Vias Urbanas</v>
          </cell>
          <cell r="C1123" t="str">
            <v>m²</v>
          </cell>
          <cell r="D1123" t="str">
            <v>113,69</v>
          </cell>
          <cell r="E1123">
            <v>0</v>
          </cell>
        </row>
        <row r="1124">
          <cell r="A1124">
            <v>42608</v>
          </cell>
          <cell r="B1124" t="str">
            <v>Apicoamento manual de superfície de concreto em Vias Urbanas</v>
          </cell>
          <cell r="C1124" t="str">
            <v>m²</v>
          </cell>
          <cell r="D1124" t="str">
            <v>20,44</v>
          </cell>
          <cell r="E1124">
            <v>0</v>
          </cell>
        </row>
        <row r="1125">
          <cell r="A1125">
            <v>42609</v>
          </cell>
          <cell r="B1125" t="str">
            <v>Apiloamento manual em Vias Urbanas</v>
          </cell>
          <cell r="C1125" t="str">
            <v>m³</v>
          </cell>
          <cell r="D1125" t="str">
            <v>42,94</v>
          </cell>
          <cell r="E1125">
            <v>0</v>
          </cell>
        </row>
        <row r="1126">
          <cell r="A1126">
            <v>42611</v>
          </cell>
          <cell r="B1126" t="str">
            <v>Argamassa cimento e areia traço 1:4 em Vias Urbanas</v>
          </cell>
          <cell r="C1126" t="str">
            <v>m³</v>
          </cell>
          <cell r="D1126" t="str">
            <v>486,15</v>
          </cell>
          <cell r="E1126" t="str">
            <v>A incluir</v>
          </cell>
        </row>
        <row r="1127">
          <cell r="A1127">
            <v>42612</v>
          </cell>
          <cell r="B1127" t="str">
            <v>Argamassa cimento (nata) em Vias Urbanas</v>
          </cell>
          <cell r="C1127" t="str">
            <v>m³</v>
          </cell>
          <cell r="D1127" t="str">
            <v>978,36</v>
          </cell>
          <cell r="E1127" t="str">
            <v>A incluir</v>
          </cell>
        </row>
        <row r="1128">
          <cell r="A1128">
            <v>42613</v>
          </cell>
          <cell r="B1128" t="str">
            <v>Argamassa de cimento e areia, traço 1:4, consumo de cimento 400 kg/m³ em Vias Urbanas</v>
          </cell>
          <cell r="C1128" t="str">
            <v>m³</v>
          </cell>
          <cell r="D1128" t="str">
            <v>506,37</v>
          </cell>
          <cell r="E1128" t="str">
            <v>A incluir</v>
          </cell>
        </row>
        <row r="1129">
          <cell r="A1129">
            <v>42615</v>
          </cell>
          <cell r="B1129" t="str">
            <v>Berço de concreto ciclópico para BDTC diâmetro 0,60 m em Via Urbanas</v>
          </cell>
          <cell r="C1129" t="str">
            <v>m</v>
          </cell>
          <cell r="D1129" t="str">
            <v>240,45</v>
          </cell>
          <cell r="E1129" t="str">
            <v>A incluir</v>
          </cell>
        </row>
        <row r="1130">
          <cell r="A1130">
            <v>41173</v>
          </cell>
          <cell r="B1130" t="str">
            <v>Berço em brita para BSTC diâm. -&gt; 0,30 m em Vias Urbanas</v>
          </cell>
          <cell r="C1130" t="str">
            <v>m</v>
          </cell>
          <cell r="D1130" t="str">
            <v>14,77</v>
          </cell>
          <cell r="E1130" t="str">
            <v>A incluir</v>
          </cell>
        </row>
        <row r="1131">
          <cell r="A1131">
            <v>41174</v>
          </cell>
          <cell r="B1131" t="str">
            <v>Berço em brita para BSTC diâm. -&gt; 0,40 m em Vias Urbanas</v>
          </cell>
          <cell r="C1131" t="str">
            <v>m</v>
          </cell>
          <cell r="D1131" t="str">
            <v>15,75</v>
          </cell>
          <cell r="E1131" t="str">
            <v>A incluir</v>
          </cell>
        </row>
        <row r="1132">
          <cell r="A1132">
            <v>41175</v>
          </cell>
          <cell r="B1132" t="str">
            <v>Berço em brita para BSTC diâm. -&gt; 0,60 m em Vias Urbanas</v>
          </cell>
          <cell r="C1132" t="str">
            <v>m</v>
          </cell>
          <cell r="D1132" t="str">
            <v>19,62</v>
          </cell>
          <cell r="E1132" t="str">
            <v>A incluir</v>
          </cell>
        </row>
        <row r="1133">
          <cell r="A1133">
            <v>41176</v>
          </cell>
          <cell r="B1133" t="str">
            <v>Berço em brita para BSTC diam. -&gt; 0,80 m em Vias Urbanas</v>
          </cell>
          <cell r="C1133" t="str">
            <v>m</v>
          </cell>
          <cell r="D1133" t="str">
            <v>29,30</v>
          </cell>
          <cell r="E1133" t="str">
            <v>A incluir</v>
          </cell>
        </row>
        <row r="1134">
          <cell r="A1134">
            <v>42635</v>
          </cell>
          <cell r="B1134" t="str">
            <v>Boca de BDCC 2,00 x 1,20m conforme projeto em Vias Urbanas</v>
          </cell>
          <cell r="C1134" t="str">
            <v>un</v>
          </cell>
          <cell r="D1134" t="str">
            <v>12.418,42</v>
          </cell>
          <cell r="E1134">
            <v>0</v>
          </cell>
        </row>
        <row r="1135">
          <cell r="A1135">
            <v>40628</v>
          </cell>
          <cell r="B1135" t="str">
            <v>Boca de BDCC 2,00 x 2,50 m em Vias Urbanas</v>
          </cell>
          <cell r="C1135" t="str">
            <v>un</v>
          </cell>
          <cell r="D1135" t="str">
            <v>25.027,41</v>
          </cell>
          <cell r="E1135">
            <v>0</v>
          </cell>
        </row>
        <row r="1136">
          <cell r="A1136">
            <v>40619</v>
          </cell>
          <cell r="B1136" t="str">
            <v>Boca de BSCC 2,50 x 2,50 m, projeto DNIT em Vias Urbanas</v>
          </cell>
          <cell r="C1136" t="str">
            <v>un</v>
          </cell>
          <cell r="D1136" t="str">
            <v>23.234,41</v>
          </cell>
          <cell r="E1136">
            <v>0</v>
          </cell>
        </row>
        <row r="1137">
          <cell r="A1137">
            <v>41087</v>
          </cell>
          <cell r="B1137" t="str">
            <v>Boca de lobo simples em blocos pré-moldados CR(0,40 x 0,80 m) em Vias Urbanas</v>
          </cell>
          <cell r="C1137" t="str">
            <v>un</v>
          </cell>
          <cell r="D1137" t="str">
            <v>1.203,26</v>
          </cell>
          <cell r="E1137">
            <v>0</v>
          </cell>
        </row>
        <row r="1138">
          <cell r="A1138">
            <v>42676</v>
          </cell>
          <cell r="B1138" t="str">
            <v>Bueiro Metálico BSTM - D-&gt; 3,00 m - T.L. com tratamento epóxi e-&gt;2,7 mm -método não destrutivo em Vias Urbanas</v>
          </cell>
          <cell r="C1138" t="str">
            <v>m</v>
          </cell>
          <cell r="D1138" t="str">
            <v>9.530,74</v>
          </cell>
          <cell r="E1138" t="str">
            <v>A incluir</v>
          </cell>
        </row>
        <row r="1139">
          <cell r="A1139">
            <v>42677</v>
          </cell>
          <cell r="B1139" t="str">
            <v>Bueiro Metálico BSTM - D-&gt;3,05m - MP-152 com tratamento epóxi e-&gt;2,7mm - método destrutivo, inclusive lastro de brita em Vias Urbanas</v>
          </cell>
          <cell r="C1139" t="str">
            <v>m</v>
          </cell>
          <cell r="D1139" t="str">
            <v>6.209,75</v>
          </cell>
          <cell r="E1139" t="str">
            <v>A incluir</v>
          </cell>
        </row>
        <row r="1140">
          <cell r="A1140">
            <v>42678</v>
          </cell>
          <cell r="B1140" t="str">
            <v>Caiação de meio fios, sarjetas, etc. em Vias Urbanas</v>
          </cell>
          <cell r="C1140" t="str">
            <v>m²</v>
          </cell>
          <cell r="D1140" t="str">
            <v>5,78</v>
          </cell>
          <cell r="E1140">
            <v>0</v>
          </cell>
        </row>
        <row r="1141">
          <cell r="A1141">
            <v>41159</v>
          </cell>
          <cell r="B1141" t="str">
            <v>Caixa Boca de Lobo em bloco pré-moldado de concreto para diâm.-&gt;1,00m (1,30 x 1,30m) em Vias Urbanas</v>
          </cell>
          <cell r="C1141" t="str">
            <v>un</v>
          </cell>
          <cell r="D1141" t="str">
            <v>2.798,19</v>
          </cell>
          <cell r="E1141">
            <v>0</v>
          </cell>
        </row>
        <row r="1142">
          <cell r="A1142">
            <v>41144</v>
          </cell>
          <cell r="B1142" t="str">
            <v>Caixa Boca de Lobo em bloco pré-moldado para diâm. -&gt; 0,60m (1,00 x 1,00m) CBL2 (Vias Urbanas)</v>
          </cell>
          <cell r="C1142" t="str">
            <v>un</v>
          </cell>
          <cell r="D1142" t="str">
            <v>2.054,28</v>
          </cell>
          <cell r="E1142">
            <v>0</v>
          </cell>
        </row>
        <row r="1143">
          <cell r="A1143">
            <v>41158</v>
          </cell>
          <cell r="B1143" t="str">
            <v>Caixa Boca de Lobo em bloco pré-moldado para diâm. -&gt; 0,80m (1,20 x 1,20m) (Vias Urbanas)</v>
          </cell>
          <cell r="C1143" t="str">
            <v>un</v>
          </cell>
          <cell r="D1143" t="str">
            <v>2.399,04</v>
          </cell>
          <cell r="E1143">
            <v>0</v>
          </cell>
        </row>
        <row r="1144">
          <cell r="A1144">
            <v>41160</v>
          </cell>
          <cell r="B1144" t="str">
            <v>Caixa Boca de Lobo em bloco pré-moldado para diâm. -&gt; 1,20m(1,50 x 1,50m) (Vias Urbanas)</v>
          </cell>
          <cell r="C1144" t="str">
            <v>un</v>
          </cell>
          <cell r="D1144" t="str">
            <v>3.563,96</v>
          </cell>
          <cell r="E1144">
            <v>0</v>
          </cell>
        </row>
        <row r="1145">
          <cell r="A1145">
            <v>41101</v>
          </cell>
          <cell r="B1145" t="str">
            <v>Caixa Boca de Lobo em bloco pré-moldado para diâm.-&gt; 0,30m e 0,40m (0,80 x 0,80m) (Vias Urbanas)</v>
          </cell>
          <cell r="C1145" t="str">
            <v>un</v>
          </cell>
          <cell r="D1145" t="str">
            <v>1.721,44</v>
          </cell>
          <cell r="E1145">
            <v>0</v>
          </cell>
        </row>
        <row r="1146">
          <cell r="A1146">
            <v>42679</v>
          </cell>
          <cell r="B1146" t="str">
            <v>Caixa Boca de Lobo em bloco pré-moldado 1,20 x 1,20m em Vias Urbanas</v>
          </cell>
          <cell r="C1146" t="str">
            <v>un</v>
          </cell>
          <cell r="D1146" t="str">
            <v>3.855,70</v>
          </cell>
          <cell r="E1146">
            <v>0</v>
          </cell>
        </row>
        <row r="1147">
          <cell r="A1147">
            <v>42680</v>
          </cell>
          <cell r="B1147" t="str">
            <v>Caixa coletora concreto armado H-&gt; 2,00m, inclusive escavação em Vias Urbanas</v>
          </cell>
          <cell r="C1147" t="str">
            <v>un</v>
          </cell>
          <cell r="D1147" t="str">
            <v>4.045,77</v>
          </cell>
          <cell r="E1147">
            <v>0</v>
          </cell>
        </row>
        <row r="1148">
          <cell r="A1148">
            <v>42681</v>
          </cell>
          <cell r="B1148" t="str">
            <v>Caixa coletora concreto armado H-&gt; 2,50m, inclusive escavação em Vias Urbanas</v>
          </cell>
          <cell r="C1148" t="str">
            <v>un</v>
          </cell>
          <cell r="D1148" t="str">
            <v>4.970,50</v>
          </cell>
          <cell r="E1148">
            <v>0</v>
          </cell>
        </row>
        <row r="1149">
          <cell r="A1149">
            <v>42682</v>
          </cell>
          <cell r="B1149" t="str">
            <v>Caixa coletora em bloco pré-moldado para d-&gt;0,60m (1,00 x 1,00m) em Vias Urbanas</v>
          </cell>
          <cell r="C1149" t="str">
            <v>un</v>
          </cell>
          <cell r="D1149" t="str">
            <v>1.943,97</v>
          </cell>
          <cell r="E1149" t="str">
            <v>A incluir</v>
          </cell>
        </row>
        <row r="1150">
          <cell r="A1150">
            <v>41334</v>
          </cell>
          <cell r="B1150" t="str">
            <v>Caixa coletora em bloco pré-moldado para d-&gt;0,80m (1,20 x 1,20m) em Vias Urbanas</v>
          </cell>
          <cell r="C1150" t="str">
            <v>un</v>
          </cell>
          <cell r="D1150" t="str">
            <v>2.452,72</v>
          </cell>
          <cell r="E1150" t="str">
            <v>A incluir</v>
          </cell>
        </row>
        <row r="1151">
          <cell r="A1151">
            <v>42683</v>
          </cell>
          <cell r="B1151" t="str">
            <v>Caixa de concreto para BSTC diâmetro 0,40 m H-&gt;1,60 m em Vias Urbanas</v>
          </cell>
          <cell r="C1151" t="str">
            <v>un</v>
          </cell>
          <cell r="D1151" t="str">
            <v>1.882,69</v>
          </cell>
          <cell r="E1151" t="str">
            <v>A incluir</v>
          </cell>
        </row>
        <row r="1152">
          <cell r="A1152">
            <v>42684</v>
          </cell>
          <cell r="B1152" t="str">
            <v>Caixa de concreto para BSTC diâmetro 0,60m H-&gt;2,00m em Vias Urbanas</v>
          </cell>
          <cell r="C1152" t="str">
            <v>un</v>
          </cell>
          <cell r="D1152" t="str">
            <v>2.926,48</v>
          </cell>
          <cell r="E1152" t="str">
            <v>A incluir</v>
          </cell>
        </row>
        <row r="1153">
          <cell r="A1153">
            <v>42685</v>
          </cell>
          <cell r="B1153" t="str">
            <v>Caixa de concreto para BSTC diâmetro 0,80m H-&gt;2,50m em Vias Urbanas</v>
          </cell>
          <cell r="C1153" t="str">
            <v>un</v>
          </cell>
          <cell r="D1153" t="str">
            <v>3.631,98</v>
          </cell>
          <cell r="E1153" t="str">
            <v>A incluir</v>
          </cell>
        </row>
        <row r="1154">
          <cell r="A1154">
            <v>42686</v>
          </cell>
          <cell r="B1154" t="str">
            <v>Caixa de concreto para BSTC diâmetro 1,00m H-&gt;3,00m em Vias Urbanas</v>
          </cell>
          <cell r="C1154" t="str">
            <v>un</v>
          </cell>
          <cell r="D1154" t="str">
            <v>4.313,03</v>
          </cell>
          <cell r="E1154" t="str">
            <v>A incluir</v>
          </cell>
        </row>
        <row r="1155">
          <cell r="A1155">
            <v>41162</v>
          </cell>
          <cell r="B1155" t="str">
            <v>Caixa de passagem em bloco pré-moldado para d-&gt;0,30 e 0,40m (0,80x0,80m) em Vias Urbanas</v>
          </cell>
          <cell r="C1155" t="str">
            <v>un</v>
          </cell>
          <cell r="D1155" t="str">
            <v>1.809,44</v>
          </cell>
          <cell r="E1155">
            <v>0</v>
          </cell>
        </row>
        <row r="1156">
          <cell r="A1156">
            <v>41163</v>
          </cell>
          <cell r="B1156" t="str">
            <v>Caixa de passagem em bloco pré-moldado para d-&gt;0,60m (1,00x1,00m) em Vias Urbanas</v>
          </cell>
          <cell r="C1156" t="str">
            <v>un</v>
          </cell>
          <cell r="D1156" t="str">
            <v>2.169,74</v>
          </cell>
          <cell r="E1156">
            <v>0</v>
          </cell>
        </row>
        <row r="1157">
          <cell r="A1157">
            <v>41164</v>
          </cell>
          <cell r="B1157" t="str">
            <v>Caixa de passagem em bloco pré-moldado para d-&gt;0,80m (1,20 x 1,20m) em Vias Urbanas</v>
          </cell>
          <cell r="C1157" t="str">
            <v>un</v>
          </cell>
          <cell r="D1157" t="str">
            <v>2.646,33</v>
          </cell>
          <cell r="E1157">
            <v>0</v>
          </cell>
        </row>
        <row r="1158">
          <cell r="A1158">
            <v>41165</v>
          </cell>
          <cell r="B1158" t="str">
            <v>Caixa de passagem em bloco pré-moldado para d-&gt;1,00m (1,30 x 1,30m) em Vias Urbanas</v>
          </cell>
          <cell r="C1158" t="str">
            <v>un</v>
          </cell>
          <cell r="D1158" t="str">
            <v>2.955,09</v>
          </cell>
          <cell r="E1158">
            <v>0</v>
          </cell>
        </row>
        <row r="1159">
          <cell r="A1159">
            <v>41166</v>
          </cell>
          <cell r="B1159" t="str">
            <v>Caixa de passagem em bloco pré-moldado para d-&gt;1,20m (1,50 x 1,50m) em Vias Urbanas</v>
          </cell>
          <cell r="C1159" t="str">
            <v>un</v>
          </cell>
          <cell r="D1159" t="str">
            <v>3.623,66</v>
          </cell>
          <cell r="E1159">
            <v>0</v>
          </cell>
        </row>
        <row r="1160">
          <cell r="A1160">
            <v>42687</v>
          </cell>
          <cell r="B1160" t="str">
            <v>Caixa de passagem para tubos de D-&gt;0,40m H-&gt;1,10m em Vias Urbanas</v>
          </cell>
          <cell r="C1160" t="str">
            <v>un</v>
          </cell>
          <cell r="D1160" t="str">
            <v>1.249,38</v>
          </cell>
          <cell r="E1160">
            <v>0</v>
          </cell>
        </row>
        <row r="1161">
          <cell r="A1161">
            <v>42688</v>
          </cell>
          <cell r="B1161" t="str">
            <v>Caixa de passagem para tubos de D-&gt;0,60m H-&gt;1,30m em Vias Urbanas</v>
          </cell>
          <cell r="C1161" t="str">
            <v>un</v>
          </cell>
          <cell r="D1161" t="str">
            <v>1.576,00</v>
          </cell>
          <cell r="E1161">
            <v>0</v>
          </cell>
        </row>
        <row r="1162">
          <cell r="A1162">
            <v>42689</v>
          </cell>
          <cell r="B1162" t="str">
            <v>Caixa de passagem para tubos de D-&gt;0,80m H-&gt;1,50m em Vias Urbanas</v>
          </cell>
          <cell r="C1162" t="str">
            <v>un</v>
          </cell>
          <cell r="D1162" t="str">
            <v>1.978,52</v>
          </cell>
          <cell r="E1162">
            <v>0</v>
          </cell>
        </row>
        <row r="1163">
          <cell r="A1163">
            <v>42690</v>
          </cell>
          <cell r="B1163" t="str">
            <v>Caixa de passagem para tubos de D-&gt;1,00m H-&gt;1,80m em Vias Urbanas</v>
          </cell>
          <cell r="C1163" t="str">
            <v>un</v>
          </cell>
          <cell r="D1163" t="str">
            <v>3.137,14</v>
          </cell>
          <cell r="E1163">
            <v>0</v>
          </cell>
        </row>
        <row r="1164">
          <cell r="A1164">
            <v>42691</v>
          </cell>
          <cell r="B1164" t="str">
            <v>Caixa de passagem (2,50 x 2,50m) em Vias Urbanas</v>
          </cell>
          <cell r="C1164" t="str">
            <v>un</v>
          </cell>
          <cell r="D1164" t="str">
            <v>6.970,61</v>
          </cell>
          <cell r="E1164" t="str">
            <v>A incluir</v>
          </cell>
        </row>
        <row r="1165">
          <cell r="A1165">
            <v>42693</v>
          </cell>
          <cell r="B1165" t="str">
            <v>Caixa para rede de dutos dimensões 100 x100 x100 cm, em Vias Urbanas</v>
          </cell>
          <cell r="C1165" t="str">
            <v>m</v>
          </cell>
          <cell r="D1165" t="str">
            <v>3.427,76</v>
          </cell>
          <cell r="E1165">
            <v>0</v>
          </cell>
        </row>
        <row r="1166">
          <cell r="A1166">
            <v>42692</v>
          </cell>
          <cell r="B1166" t="str">
            <v>Caixa para rede de dutos dimensões 60 x 60 x 60 cm, em Vias Urbanas</v>
          </cell>
          <cell r="C1166" t="str">
            <v>un</v>
          </cell>
          <cell r="D1166" t="str">
            <v>553,54</v>
          </cell>
          <cell r="E1166">
            <v>0</v>
          </cell>
        </row>
        <row r="1167">
          <cell r="A1167">
            <v>41085</v>
          </cell>
          <cell r="B1167" t="str">
            <v>Caixa ralo com grelha de concreto em blocos pré-moldados - CRG - Vias Urbanas</v>
          </cell>
          <cell r="C1167" t="str">
            <v>un</v>
          </cell>
          <cell r="D1167" t="str">
            <v>1.245,14</v>
          </cell>
          <cell r="E1167">
            <v>0</v>
          </cell>
        </row>
        <row r="1168">
          <cell r="A1168">
            <v>42694</v>
          </cell>
          <cell r="B1168" t="str">
            <v>Caixa ralo de elementos pré-moldados em concreto (tudo incluído) em Vias Urbanas</v>
          </cell>
          <cell r="C1168" t="str">
            <v>un</v>
          </cell>
          <cell r="D1168" t="str">
            <v>684,53</v>
          </cell>
          <cell r="E1168" t="str">
            <v>A incluir</v>
          </cell>
        </row>
        <row r="1169">
          <cell r="A1169">
            <v>41241</v>
          </cell>
          <cell r="B1169" t="str">
            <v>Caixa ralo em blocos pré-moldados e grelha articulada em FFA em Vias Urbanas</v>
          </cell>
          <cell r="C1169" t="str">
            <v>un</v>
          </cell>
          <cell r="D1169" t="str">
            <v>1.203,95</v>
          </cell>
          <cell r="E1169" t="str">
            <v>A incluir</v>
          </cell>
        </row>
        <row r="1170">
          <cell r="A1170">
            <v>42697</v>
          </cell>
          <cell r="B1170" t="str">
            <v>Canaleta com grelha DP-1, inclusive transporte da grelha em Vias Urbanas</v>
          </cell>
          <cell r="C1170" t="str">
            <v>m</v>
          </cell>
          <cell r="D1170" t="str">
            <v>563,57</v>
          </cell>
          <cell r="E1170" t="str">
            <v>A incluir</v>
          </cell>
        </row>
        <row r="1171">
          <cell r="A1171">
            <v>42698</v>
          </cell>
          <cell r="B1171" t="str">
            <v>Canaleta de concreto, com forma retangular inclusive caiação - parede 12 cm em Vias Urbanas</v>
          </cell>
          <cell r="C1171" t="str">
            <v>m</v>
          </cell>
          <cell r="D1171" t="str">
            <v>183,06</v>
          </cell>
          <cell r="E1171" t="str">
            <v>A incluir</v>
          </cell>
        </row>
        <row r="1172">
          <cell r="A1172">
            <v>42699</v>
          </cell>
          <cell r="B1172" t="str">
            <v>Canaleta de concreto retangular (0,130m³/m) inclusive caiação em Vias Urbanas</v>
          </cell>
          <cell r="C1172" t="str">
            <v>m</v>
          </cell>
          <cell r="D1172" t="str">
            <v>232,85</v>
          </cell>
          <cell r="E1172">
            <v>0</v>
          </cell>
        </row>
        <row r="1173">
          <cell r="A1173">
            <v>42700</v>
          </cell>
          <cell r="B1173" t="str">
            <v>Canaleta de concreto (0,130m³/m) forma trapezoidal inclusive caiação em Vias Urbanas</v>
          </cell>
          <cell r="C1173" t="str">
            <v>m</v>
          </cell>
          <cell r="D1173" t="str">
            <v>162,46</v>
          </cell>
          <cell r="E1173" t="str">
            <v>A incluir</v>
          </cell>
        </row>
        <row r="1174">
          <cell r="A1174">
            <v>42701</v>
          </cell>
          <cell r="B1174" t="str">
            <v>Cerca de tela de arame galvanizado h-&gt;1,20m em Vias Urbanas</v>
          </cell>
          <cell r="C1174" t="str">
            <v>m²</v>
          </cell>
          <cell r="D1174" t="str">
            <v>29,77</v>
          </cell>
          <cell r="E1174">
            <v>0</v>
          </cell>
        </row>
        <row r="1175">
          <cell r="A1175">
            <v>42703</v>
          </cell>
          <cell r="B1175" t="str">
            <v>Cerca em tela revestida em PVC com mourões de concreto, fornecimento e execução em Vias Urbanas</v>
          </cell>
          <cell r="C1175" t="str">
            <v>m²</v>
          </cell>
          <cell r="D1175" t="str">
            <v>73,08</v>
          </cell>
          <cell r="E1175">
            <v>0</v>
          </cell>
        </row>
        <row r="1176">
          <cell r="A1176">
            <v>42704</v>
          </cell>
          <cell r="B1176" t="str">
            <v>Chapisco com argamassa de cimento e areia 1:3 em Vias Urbanas</v>
          </cell>
          <cell r="C1176" t="str">
            <v>m²</v>
          </cell>
          <cell r="D1176" t="str">
            <v>5,70</v>
          </cell>
          <cell r="E1176">
            <v>0</v>
          </cell>
        </row>
        <row r="1177">
          <cell r="A1177">
            <v>42705</v>
          </cell>
          <cell r="B1177" t="str">
            <v>Chapisco com argamassa de cimento e pedrisco 1:4 em Vias Urbanas</v>
          </cell>
          <cell r="C1177" t="str">
            <v>m²</v>
          </cell>
          <cell r="D1177" t="str">
            <v>8,98</v>
          </cell>
          <cell r="E1177">
            <v>0</v>
          </cell>
        </row>
        <row r="1178">
          <cell r="A1178">
            <v>42706</v>
          </cell>
          <cell r="B1178" t="str">
            <v>Colchão drenante de areia para fundação de aterros, exclusive o fornecimento de areia em Vias Urbanas</v>
          </cell>
          <cell r="C1178" t="str">
            <v>m³</v>
          </cell>
          <cell r="D1178" t="str">
            <v>4,93</v>
          </cell>
          <cell r="E1178">
            <v>0</v>
          </cell>
        </row>
        <row r="1179">
          <cell r="A1179">
            <v>42707</v>
          </cell>
          <cell r="B1179" t="str">
            <v>Colchão drenante de areia para fundação de aterros, inclusive fornecimento e transporte da areia em Vias Urbanas</v>
          </cell>
          <cell r="C1179" t="str">
            <v>m³</v>
          </cell>
          <cell r="D1179" t="str">
            <v>77,85</v>
          </cell>
          <cell r="E1179" t="str">
            <v>A incluir</v>
          </cell>
        </row>
        <row r="1180">
          <cell r="A1180">
            <v>42708</v>
          </cell>
          <cell r="B1180" t="str">
            <v>Colchão drenante de brita 1 inclusive fornecimento, espalhamento, compactação e transporte da brita em Vias Urbanas</v>
          </cell>
          <cell r="C1180" t="str">
            <v>m³</v>
          </cell>
          <cell r="D1180" t="str">
            <v>95,93</v>
          </cell>
          <cell r="E1180" t="str">
            <v>A incluir</v>
          </cell>
        </row>
        <row r="1181">
          <cell r="A1181">
            <v>42709</v>
          </cell>
          <cell r="B1181" t="str">
            <v>Colchão drenante de brita 2 inclusive fornecimento, espalhamento, compactação e transporte da brita em Vias Urbanas</v>
          </cell>
          <cell r="C1181" t="str">
            <v>m³</v>
          </cell>
          <cell r="D1181" t="str">
            <v>93,21</v>
          </cell>
          <cell r="E1181" t="str">
            <v>A incluir</v>
          </cell>
        </row>
        <row r="1182">
          <cell r="A1182">
            <v>42710</v>
          </cell>
          <cell r="B1182" t="str">
            <v>Colchão drenante de brita 3 inclusive fornecimento, espalhamento, compactação e transporte da brita em Vias Urbanas</v>
          </cell>
          <cell r="C1182" t="str">
            <v>m³</v>
          </cell>
          <cell r="D1182" t="str">
            <v>101,11</v>
          </cell>
          <cell r="E1182" t="str">
            <v>A incluir</v>
          </cell>
        </row>
        <row r="1183">
          <cell r="A1183">
            <v>42711</v>
          </cell>
          <cell r="B1183" t="str">
            <v>Coleta drenante (1,00x1,00) m c/ geotêxtil não tecido RT 16kn/m, inclusive transporte da brita em Vias Urbanas</v>
          </cell>
          <cell r="C1183" t="str">
            <v>m</v>
          </cell>
          <cell r="D1183" t="str">
            <v>348,39</v>
          </cell>
          <cell r="E1183" t="str">
            <v>A incluir</v>
          </cell>
        </row>
        <row r="1184">
          <cell r="A1184">
            <v>42712</v>
          </cell>
          <cell r="B1184" t="str">
            <v>Concreto armado, dosado para resist. 20 Mpa, incluindo 60 kg aço CA-50 A, mão de obra p/ corte, dobragem e montagem, exclusive forma em Vias Urbanas</v>
          </cell>
          <cell r="C1184" t="str">
            <v>m³</v>
          </cell>
          <cell r="D1184" t="str">
            <v>826,90</v>
          </cell>
          <cell r="E1184">
            <v>0</v>
          </cell>
        </row>
        <row r="1185">
          <cell r="A1185">
            <v>42714</v>
          </cell>
          <cell r="B1185" t="str">
            <v>Concreto de regularização em Vias Urbanas</v>
          </cell>
          <cell r="C1185" t="str">
            <v>m³</v>
          </cell>
          <cell r="D1185" t="str">
            <v>437,22</v>
          </cell>
          <cell r="E1185" t="str">
            <v>A incluir</v>
          </cell>
        </row>
        <row r="1186">
          <cell r="A1186">
            <v>42717</v>
          </cell>
          <cell r="B1186" t="str">
            <v>Concreto estrutural fck -&gt; 20,0 MPa com plastificante em Vias Urbanas</v>
          </cell>
          <cell r="C1186" t="str">
            <v>m³</v>
          </cell>
          <cell r="D1186" t="str">
            <v>621,14</v>
          </cell>
          <cell r="E1186" t="str">
            <v>A incluir</v>
          </cell>
        </row>
        <row r="1187">
          <cell r="A1187">
            <v>42716</v>
          </cell>
          <cell r="B1187" t="str">
            <v>Concreto estrutural fck -&gt; 20,0 MPa em Vias Urbanas</v>
          </cell>
          <cell r="C1187" t="str">
            <v>m³</v>
          </cell>
          <cell r="D1187" t="str">
            <v>618,97</v>
          </cell>
          <cell r="E1187" t="str">
            <v>A incluir</v>
          </cell>
        </row>
        <row r="1188">
          <cell r="A1188">
            <v>42719</v>
          </cell>
          <cell r="B1188" t="str">
            <v>Concreto estrutural fck -&gt; 25,0 MPa com plastificante em Vias Urbanas</v>
          </cell>
          <cell r="C1188" t="str">
            <v>m³</v>
          </cell>
          <cell r="D1188" t="str">
            <v>650,75</v>
          </cell>
          <cell r="E1188" t="str">
            <v>A incluir</v>
          </cell>
        </row>
        <row r="1189">
          <cell r="A1189">
            <v>42718</v>
          </cell>
          <cell r="B1189" t="str">
            <v>Concreto estrutural fck -&gt; 25,0 MPa em Vias Urbanas</v>
          </cell>
          <cell r="C1189" t="str">
            <v>m³</v>
          </cell>
          <cell r="D1189" t="str">
            <v>648,31</v>
          </cell>
          <cell r="E1189" t="str">
            <v>A incluir</v>
          </cell>
        </row>
        <row r="1190">
          <cell r="A1190">
            <v>42722</v>
          </cell>
          <cell r="B1190" t="str">
            <v>Concreto estrutural fck -&gt; 30,0 MPa com micro-silica e Sikacrete BR ou equivalente em Vias Urbanas</v>
          </cell>
          <cell r="C1190" t="str">
            <v>m³</v>
          </cell>
          <cell r="D1190" t="str">
            <v>791,14</v>
          </cell>
          <cell r="E1190" t="str">
            <v>A incluir</v>
          </cell>
        </row>
        <row r="1191">
          <cell r="A1191">
            <v>42721</v>
          </cell>
          <cell r="B1191" t="str">
            <v>Concreto estrutural fck -&gt; 30,0 MPa com plastificante em Vias Urbanas</v>
          </cell>
          <cell r="C1191" t="str">
            <v>m³</v>
          </cell>
          <cell r="D1191" t="str">
            <v>678,01</v>
          </cell>
          <cell r="E1191" t="str">
            <v>A incluir</v>
          </cell>
        </row>
        <row r="1192">
          <cell r="A1192">
            <v>42720</v>
          </cell>
          <cell r="B1192" t="str">
            <v>Concreto estrutural fck -&gt; 30,0 MPa em Vias Urbanas</v>
          </cell>
          <cell r="C1192" t="str">
            <v>m³</v>
          </cell>
          <cell r="D1192" t="str">
            <v>675,33</v>
          </cell>
          <cell r="E1192" t="str">
            <v>A incluir</v>
          </cell>
        </row>
        <row r="1193">
          <cell r="A1193">
            <v>42723</v>
          </cell>
          <cell r="B1193" t="str">
            <v>Concreto estrutural fck -&gt; 35,0 MPa com micro-silica e Sikacrete ou equivalente em Vias Urbanas</v>
          </cell>
          <cell r="C1193" t="str">
            <v>m³</v>
          </cell>
          <cell r="D1193" t="str">
            <v>758,29</v>
          </cell>
          <cell r="E1193" t="str">
            <v>A incluir</v>
          </cell>
        </row>
        <row r="1194">
          <cell r="A1194">
            <v>42724</v>
          </cell>
          <cell r="B1194" t="str">
            <v>Concreto submerso fck -&gt; 20,0 MPa em Vias Urbanas</v>
          </cell>
          <cell r="C1194" t="str">
            <v>m³</v>
          </cell>
          <cell r="D1194" t="str">
            <v>1.262,58</v>
          </cell>
          <cell r="E1194" t="str">
            <v>A incluir</v>
          </cell>
        </row>
        <row r="1195">
          <cell r="A1195">
            <v>42725</v>
          </cell>
          <cell r="B1195" t="str">
            <v>Conjunto Moto-bomba submersível de 15CV, fornecimento e assentamento em Vias Urbanas</v>
          </cell>
          <cell r="C1195" t="str">
            <v>un</v>
          </cell>
          <cell r="D1195" t="str">
            <v>32.382,53</v>
          </cell>
          <cell r="E1195">
            <v>0</v>
          </cell>
        </row>
        <row r="1196">
          <cell r="A1196">
            <v>42726</v>
          </cell>
          <cell r="B1196" t="str">
            <v>Corpo BDTC (grota) diâmetro 0,60 m CA-1 MF exclusive escavação e reaterro, inclusive transporte do tubo em Vias Urbanas</v>
          </cell>
          <cell r="C1196" t="str">
            <v>m</v>
          </cell>
          <cell r="D1196" t="str">
            <v>294,00</v>
          </cell>
          <cell r="E1196" t="str">
            <v>A incluir</v>
          </cell>
        </row>
        <row r="1197">
          <cell r="A1197">
            <v>42727</v>
          </cell>
          <cell r="B1197" t="str">
            <v>Corpo BDTC (grota) diâmetro 0,60 m CA-1 PB exclusive escavação e reaterro, inclusive transporte do tubo em Vias Urbanas</v>
          </cell>
          <cell r="C1197" t="str">
            <v>m</v>
          </cell>
          <cell r="D1197" t="str">
            <v>304,44</v>
          </cell>
          <cell r="E1197" t="str">
            <v>A incluir</v>
          </cell>
        </row>
        <row r="1198">
          <cell r="A1198">
            <v>42728</v>
          </cell>
          <cell r="B1198" t="str">
            <v>Corpo BDTC (grota) diâmetro 0,60 m CA-2 MF exclusive escavação e reaterro, inclusive transporte do tubo em Vias Urbanas</v>
          </cell>
          <cell r="C1198" t="str">
            <v>m</v>
          </cell>
          <cell r="D1198" t="str">
            <v>297,88</v>
          </cell>
          <cell r="E1198" t="str">
            <v>A incluir</v>
          </cell>
        </row>
        <row r="1199">
          <cell r="A1199">
            <v>42729</v>
          </cell>
          <cell r="B1199" t="str">
            <v>Corpo BDTC (grota) diâmetro 0,60 m CA-2 PB exclusive escavação e reaterro, inclusive transporte do tubo em Vias Urbanas</v>
          </cell>
          <cell r="C1199" t="str">
            <v>m</v>
          </cell>
          <cell r="D1199" t="str">
            <v>304,57</v>
          </cell>
          <cell r="E1199" t="str">
            <v>A incluir</v>
          </cell>
        </row>
        <row r="1200">
          <cell r="A1200">
            <v>42730</v>
          </cell>
          <cell r="B1200" t="str">
            <v>Corpo BDTC (grota) diâmetro 0,80 m CA-1 MF exclusive escavação e reaterro, inclusive transporte do tubo em Vias Urbanas</v>
          </cell>
          <cell r="C1200" t="str">
            <v>m</v>
          </cell>
          <cell r="D1200" t="str">
            <v>620,62</v>
          </cell>
          <cell r="E1200" t="str">
            <v>A incluir</v>
          </cell>
        </row>
        <row r="1201">
          <cell r="A1201">
            <v>42731</v>
          </cell>
          <cell r="B1201" t="str">
            <v>Corpo BDTC (grota) diâmetro 0,80 m CA-1 PB exclusive escavação e reaterro, inclusive transporte do tubo em Vias Urbanas</v>
          </cell>
          <cell r="C1201" t="str">
            <v>m</v>
          </cell>
          <cell r="D1201" t="str">
            <v>634,18</v>
          </cell>
          <cell r="E1201" t="str">
            <v>A incluir</v>
          </cell>
        </row>
        <row r="1202">
          <cell r="A1202">
            <v>42732</v>
          </cell>
          <cell r="B1202" t="str">
            <v>Corpo BDTC (grota) diâmetro 0,80 m CA-2 MF exclusive escavação e reaterro, inclusive transporte do tubo em Vias Urbanas</v>
          </cell>
          <cell r="C1202" t="str">
            <v>m</v>
          </cell>
          <cell r="D1202" t="str">
            <v>640,07</v>
          </cell>
          <cell r="E1202" t="str">
            <v>A incluir</v>
          </cell>
        </row>
        <row r="1203">
          <cell r="A1203">
            <v>42733</v>
          </cell>
          <cell r="B1203" t="str">
            <v>Corpo BDTC (grota) diâmetro 0,80 m CA-2 PB exclusive escavação e reaterro, inclusive transporte do tubo em Vias Urbanas</v>
          </cell>
          <cell r="C1203" t="str">
            <v>m</v>
          </cell>
          <cell r="D1203" t="str">
            <v>668,02</v>
          </cell>
          <cell r="E1203" t="str">
            <v>A incluir</v>
          </cell>
        </row>
        <row r="1204">
          <cell r="A1204">
            <v>42734</v>
          </cell>
          <cell r="B1204" t="str">
            <v>Corpo BDTC (grota) diâmetro 1,00 m CA-1 MF exclusive escavação e reaterro, inclusive transporte do tubo em Vias Urbanas</v>
          </cell>
          <cell r="C1204" t="str">
            <v>m</v>
          </cell>
          <cell r="D1204" t="str">
            <v>786,32</v>
          </cell>
          <cell r="E1204" t="str">
            <v>A incluir</v>
          </cell>
        </row>
        <row r="1205">
          <cell r="A1205">
            <v>42735</v>
          </cell>
          <cell r="B1205" t="str">
            <v>Corpo BDTC (grota) diâmetro 1,00 m CA-1 PB exclusive escavação e reaterro, inclusive transporte do tubo em Vias Urbanas</v>
          </cell>
          <cell r="C1205" t="str">
            <v>m</v>
          </cell>
          <cell r="D1205" t="str">
            <v>748,35</v>
          </cell>
          <cell r="E1205" t="str">
            <v>A incluir</v>
          </cell>
        </row>
        <row r="1206">
          <cell r="A1206">
            <v>42736</v>
          </cell>
          <cell r="B1206" t="str">
            <v>Corpo BDTC (grota) diâmetro 1,00 m CA-2 MF exclusive escavação e reaterro, inclusive transporte do tubo em Vias Urbanas</v>
          </cell>
          <cell r="C1206" t="str">
            <v>m</v>
          </cell>
          <cell r="D1206" t="str">
            <v>812,24</v>
          </cell>
          <cell r="E1206" t="str">
            <v>A incluir</v>
          </cell>
        </row>
        <row r="1207">
          <cell r="A1207">
            <v>42737</v>
          </cell>
          <cell r="B1207" t="str">
            <v>Corpo BDTC (grota) diâmetro 1,00 m CA-2 PB exclusive escavação e reaterro, inclusive transporte do tubo em Vias Urbanas</v>
          </cell>
          <cell r="C1207" t="str">
            <v>m</v>
          </cell>
          <cell r="D1207" t="str">
            <v>843,35</v>
          </cell>
          <cell r="E1207" t="str">
            <v>A incluir</v>
          </cell>
        </row>
        <row r="1208">
          <cell r="A1208">
            <v>42738</v>
          </cell>
          <cell r="B1208" t="str">
            <v>Corpo BDTC (grota) diâmetro 1,00 m CA-3 MF exclusive escavação e reaterro, inclusive transporte do tubo em Vias Urbanas</v>
          </cell>
          <cell r="C1208" t="str">
            <v>m</v>
          </cell>
          <cell r="D1208" t="str">
            <v>883,54</v>
          </cell>
          <cell r="E1208" t="str">
            <v>A incluir</v>
          </cell>
        </row>
        <row r="1209">
          <cell r="A1209">
            <v>42739</v>
          </cell>
          <cell r="B1209" t="str">
            <v>Corpo BDTC (grota) diâmetro 1,20 m CA-1 MF exclusive escavação e reaterro, inclusive transporte do tubo em Vias Urbanas</v>
          </cell>
          <cell r="C1209" t="str">
            <v>m</v>
          </cell>
          <cell r="D1209" t="str">
            <v>1.186,37</v>
          </cell>
          <cell r="E1209" t="str">
            <v>A incluir</v>
          </cell>
        </row>
        <row r="1210">
          <cell r="A1210">
            <v>42740</v>
          </cell>
          <cell r="B1210" t="str">
            <v>Corpo BDTC (grota) diâmetro 1,20 m CA-2 MF exclusive escavação e reaterro, inclusive transporte do tubo em Vias Urbanas</v>
          </cell>
          <cell r="C1210" t="str">
            <v>m</v>
          </cell>
          <cell r="D1210" t="str">
            <v>1.193,29</v>
          </cell>
          <cell r="E1210" t="str">
            <v>A incluir</v>
          </cell>
        </row>
        <row r="1211">
          <cell r="A1211">
            <v>42741</v>
          </cell>
          <cell r="B1211" t="str">
            <v>Corpo BDTC (grota) diâmetro 1,20 m CA-2 PB exclusive escavação e reaterro, inclusive transporte do tubo em Vias Urbanas</v>
          </cell>
          <cell r="C1211" t="str">
            <v>m</v>
          </cell>
          <cell r="D1211" t="str">
            <v>1.259,40</v>
          </cell>
          <cell r="E1211" t="str">
            <v>A incluir</v>
          </cell>
        </row>
        <row r="1212">
          <cell r="A1212">
            <v>42742</v>
          </cell>
          <cell r="B1212" t="str">
            <v>Corpo BDTC (grota) diâmetro 1,20 m CA-3 MF exclusive escavação e reaterro, inclusive transporte do tubo em Vias Urbanas</v>
          </cell>
          <cell r="C1212" t="str">
            <v>m</v>
          </cell>
          <cell r="D1212" t="str">
            <v>1.225,70</v>
          </cell>
          <cell r="E1212" t="str">
            <v>A incluir</v>
          </cell>
        </row>
        <row r="1213">
          <cell r="A1213">
            <v>42743</v>
          </cell>
          <cell r="B1213" t="str">
            <v>Corpo BDTC (grota) diâmetro 1,50 m CA-1 MF exclusive escavação e reaterro, inclusive transporte do tubo em Vias Urbanas</v>
          </cell>
          <cell r="C1213" t="str">
            <v>m</v>
          </cell>
          <cell r="D1213" t="str">
            <v>1.899,46</v>
          </cell>
          <cell r="E1213" t="str">
            <v>A incluir</v>
          </cell>
        </row>
        <row r="1214">
          <cell r="A1214">
            <v>42744</v>
          </cell>
          <cell r="B1214" t="str">
            <v>Corpo BDTC (grota) diâmetro 1,50 m CA-1 PB exclusive escavação e reaterro, inclusive transporte do tubo em Vias Urbanas</v>
          </cell>
          <cell r="C1214" t="str">
            <v>m</v>
          </cell>
          <cell r="D1214" t="str">
            <v>1.672,14</v>
          </cell>
          <cell r="E1214" t="str">
            <v>A incluir</v>
          </cell>
        </row>
        <row r="1215">
          <cell r="A1215">
            <v>42745</v>
          </cell>
          <cell r="B1215" t="str">
            <v>Corpo BDTC (grota) diâmetro 1,50 m CA-2 MF exclusive escavação e reaterro, inclusive transporte do tubo em Vias Urbanas</v>
          </cell>
          <cell r="C1215" t="str">
            <v>m</v>
          </cell>
          <cell r="D1215" t="str">
            <v>1.977,24</v>
          </cell>
          <cell r="E1215" t="str">
            <v>A incluir</v>
          </cell>
        </row>
        <row r="1216">
          <cell r="A1216">
            <v>42746</v>
          </cell>
          <cell r="B1216" t="str">
            <v>Corpo BDTC (grota) diâmetro 1,50 m CA-2 PB exclusive escavação e reaterro, inclusive transporte do tubo em Vias Urbanas</v>
          </cell>
          <cell r="C1216" t="str">
            <v>m</v>
          </cell>
          <cell r="D1216" t="str">
            <v>1.771,34</v>
          </cell>
          <cell r="E1216" t="str">
            <v>A incluir</v>
          </cell>
        </row>
        <row r="1217">
          <cell r="A1217">
            <v>42747</v>
          </cell>
          <cell r="B1217" t="str">
            <v>Corpo BDTC (grota) diâmetro 1,50 m CA-3 MF exclusive escavação e reaterro, inclusive transporte do tubo em Vias Urbanas</v>
          </cell>
          <cell r="C1217" t="str">
            <v>m</v>
          </cell>
          <cell r="D1217" t="str">
            <v>1.536,50</v>
          </cell>
          <cell r="E1217" t="str">
            <v>A incluir</v>
          </cell>
        </row>
        <row r="1218">
          <cell r="A1218">
            <v>42748</v>
          </cell>
          <cell r="B1218" t="str">
            <v>Corpo BSTC diâmetro 0,20 m C.S. MF inclusive escavação, reaterro e transporte do tubo em Vias Urbanas</v>
          </cell>
          <cell r="C1218" t="str">
            <v>m</v>
          </cell>
          <cell r="D1218" t="str">
            <v>83,81</v>
          </cell>
          <cell r="E1218" t="str">
            <v>A incluir</v>
          </cell>
        </row>
        <row r="1219">
          <cell r="A1219">
            <v>42749</v>
          </cell>
          <cell r="B1219" t="str">
            <v>Corpo BSTC diâmetro 0,20 m C.S. PB inclusive escavação, reaterro e transporte do tubo em Vias Urbanas</v>
          </cell>
          <cell r="C1219" t="str">
            <v>m</v>
          </cell>
          <cell r="D1219" t="str">
            <v>83,81</v>
          </cell>
          <cell r="E1219" t="str">
            <v>A incluir</v>
          </cell>
        </row>
        <row r="1220">
          <cell r="A1220">
            <v>42750</v>
          </cell>
          <cell r="B1220" t="str">
            <v>Corpo BSTC diâmetro 0,30 m C.S. MF inclusive escavação, reaterro e transporte do tubo em Vias Urbanas</v>
          </cell>
          <cell r="C1220" t="str">
            <v>m</v>
          </cell>
          <cell r="D1220" t="str">
            <v>105,89</v>
          </cell>
          <cell r="E1220" t="str">
            <v>A incluir</v>
          </cell>
        </row>
        <row r="1221">
          <cell r="A1221">
            <v>42751</v>
          </cell>
          <cell r="B1221" t="str">
            <v>Corpo BSTC diâmetro 0,30 m C.S. PB inclusive escavação, reaterro e transporte do tubo em Vias Urbanas</v>
          </cell>
          <cell r="C1221" t="str">
            <v>m</v>
          </cell>
          <cell r="D1221" t="str">
            <v>109,26</v>
          </cell>
          <cell r="E1221" t="str">
            <v>A incluir</v>
          </cell>
        </row>
        <row r="1222">
          <cell r="A1222">
            <v>42752</v>
          </cell>
          <cell r="B1222" t="str">
            <v>Corpo BSTC diâmetro 0,40 m C.S. MF inclusive escavação, reaterro e transporte do tubo em Vias Urbanas</v>
          </cell>
          <cell r="C1222" t="str">
            <v>m</v>
          </cell>
          <cell r="D1222" t="str">
            <v>141,29</v>
          </cell>
          <cell r="E1222" t="str">
            <v>A incluir</v>
          </cell>
        </row>
        <row r="1223">
          <cell r="A1223">
            <v>42753</v>
          </cell>
          <cell r="B1223" t="str">
            <v>Corpo BSTC diâmetro 0,40 m C.S. PB inclusive escavação, reaterro e transporte do tubo em Vias Urbanas</v>
          </cell>
          <cell r="C1223" t="str">
            <v>m</v>
          </cell>
          <cell r="D1223" t="str">
            <v>144,44</v>
          </cell>
          <cell r="E1223" t="str">
            <v>A incluir</v>
          </cell>
        </row>
        <row r="1224">
          <cell r="A1224">
            <v>42754</v>
          </cell>
          <cell r="B1224" t="str">
            <v>Corpo BSTC diâmetro 0,60 m C.S. MF inclusive escavação, reaterro e transporte do tubo em Vias Urbanas</v>
          </cell>
          <cell r="C1224" t="str">
            <v>m</v>
          </cell>
          <cell r="D1224" t="str">
            <v>228,92</v>
          </cell>
          <cell r="E1224" t="str">
            <v>A incluir</v>
          </cell>
        </row>
        <row r="1225">
          <cell r="A1225">
            <v>42755</v>
          </cell>
          <cell r="B1225" t="str">
            <v>Corpo BSTC diâmetro 0,60 m C.S. PB inclusive escavação, reaterro e transporte do tubo em Vias Urbanas</v>
          </cell>
          <cell r="C1225" t="str">
            <v>m</v>
          </cell>
          <cell r="D1225" t="str">
            <v>233,93</v>
          </cell>
          <cell r="E1225" t="str">
            <v>A incluir</v>
          </cell>
        </row>
        <row r="1226">
          <cell r="A1226">
            <v>42756</v>
          </cell>
          <cell r="B1226" t="str">
            <v>Corpo BSTC (greide) diâmetro 0,30 m CA-1 MF inclusive escavação, reaterro e transporte do tubo em Vias Urbanas</v>
          </cell>
          <cell r="C1226" t="str">
            <v>m</v>
          </cell>
          <cell r="D1226" t="str">
            <v>108,48</v>
          </cell>
          <cell r="E1226" t="str">
            <v>A incluir</v>
          </cell>
        </row>
        <row r="1227">
          <cell r="A1227">
            <v>42757</v>
          </cell>
          <cell r="B1227" t="str">
            <v>Corpo BSTC (greide) diâmetro 0,40 m CA-1 MF inclusive escavação, reaterro e transporte do tubo em Vias Urbanas</v>
          </cell>
          <cell r="C1227" t="str">
            <v>m</v>
          </cell>
          <cell r="D1227" t="str">
            <v>150,37</v>
          </cell>
          <cell r="E1227" t="str">
            <v>A incluir</v>
          </cell>
        </row>
        <row r="1228">
          <cell r="A1228">
            <v>42759</v>
          </cell>
          <cell r="B1228" t="str">
            <v>Corpo BSTC (greide) diâmetro 0,40 m CA-2 MF inclusive escavação, reaterro e transporte do tubo em Vias Urbanas</v>
          </cell>
          <cell r="C1228" t="str">
            <v>m</v>
          </cell>
          <cell r="D1228" t="str">
            <v>155,55</v>
          </cell>
          <cell r="E1228" t="str">
            <v>A incluir</v>
          </cell>
        </row>
        <row r="1229">
          <cell r="A1229">
            <v>42760</v>
          </cell>
          <cell r="B1229" t="str">
            <v>Corpo BSTC (greide) diâmetro 0,60 m CA-1 MF inclusive escavação, reaterro e transporte do tubo em Vias Urbanas</v>
          </cell>
          <cell r="C1229" t="str">
            <v>m</v>
          </cell>
          <cell r="D1229" t="str">
            <v>233,46</v>
          </cell>
          <cell r="E1229" t="str">
            <v>A incluir</v>
          </cell>
        </row>
        <row r="1230">
          <cell r="A1230">
            <v>42761</v>
          </cell>
          <cell r="B1230" t="str">
            <v>Corpo BSTC (greide) diâmetro 0,60 m CA-1 PB inclusive escavação, reaterro e transporte do tubo em Vias Urbanas</v>
          </cell>
          <cell r="C1230" t="str">
            <v>m</v>
          </cell>
          <cell r="D1230" t="str">
            <v>238,68</v>
          </cell>
          <cell r="E1230" t="str">
            <v>A incluir</v>
          </cell>
        </row>
        <row r="1231">
          <cell r="A1231">
            <v>42762</v>
          </cell>
          <cell r="B1231" t="str">
            <v>Corpo BSTC (greide) diâmetro 0,60 m CA-2 MF inclusive escavação, reaterro e transporte do tubo em Vias Urbanas</v>
          </cell>
          <cell r="C1231" t="str">
            <v>m</v>
          </cell>
          <cell r="D1231" t="str">
            <v>235,40</v>
          </cell>
          <cell r="E1231" t="str">
            <v>A incluir</v>
          </cell>
        </row>
        <row r="1232">
          <cell r="A1232">
            <v>42763</v>
          </cell>
          <cell r="B1232" t="str">
            <v>Corpo BSTC (greide) diâmetro 0,60 m CA-2 PB inclusive escavação, reaterro e transporte do tubo em Vias Urbanas</v>
          </cell>
          <cell r="C1232" t="str">
            <v>m</v>
          </cell>
          <cell r="D1232" t="str">
            <v>238,75</v>
          </cell>
          <cell r="E1232" t="str">
            <v>A incluir</v>
          </cell>
        </row>
        <row r="1233">
          <cell r="A1233">
            <v>42764</v>
          </cell>
          <cell r="B1233" t="str">
            <v>Corpo BSTC (greide) diâmetro 0,80 m CA-1 MF inclusive escavação, reaterro e transporte do tubo em Vias Urbanas</v>
          </cell>
          <cell r="C1233" t="str">
            <v>m</v>
          </cell>
          <cell r="D1233" t="str">
            <v>471,78</v>
          </cell>
          <cell r="E1233" t="str">
            <v>A incluir</v>
          </cell>
        </row>
        <row r="1234">
          <cell r="A1234">
            <v>42765</v>
          </cell>
          <cell r="B1234" t="str">
            <v>Corpo BSTC (greide) diâmetro 0,80 m CA-1 PB inclusive escavação, reaterro e transporte do tubo em Vias Urbanas</v>
          </cell>
          <cell r="C1234" t="str">
            <v>m</v>
          </cell>
          <cell r="D1234" t="str">
            <v>478,56</v>
          </cell>
          <cell r="E1234" t="str">
            <v>A incluir</v>
          </cell>
        </row>
        <row r="1235">
          <cell r="A1235">
            <v>42766</v>
          </cell>
          <cell r="B1235" t="str">
            <v>Corpo BSTC (greide) diâmetro 0,80 m CA-2 MF inclusive escavação, reaterro e transporte do tubo em Vias Urbanas</v>
          </cell>
          <cell r="C1235" t="str">
            <v>m</v>
          </cell>
          <cell r="D1235" t="str">
            <v>481,51</v>
          </cell>
          <cell r="E1235" t="str">
            <v>A incluir</v>
          </cell>
        </row>
        <row r="1236">
          <cell r="A1236">
            <v>42767</v>
          </cell>
          <cell r="B1236" t="str">
            <v>Corpo BSTC (greide) diâmetro 0,80 m CA-2 PB inclusive escavação, reaterro e transporte do tubo em Vias Urbanas</v>
          </cell>
          <cell r="C1236" t="str">
            <v>m</v>
          </cell>
          <cell r="D1236" t="str">
            <v>495,48</v>
          </cell>
          <cell r="E1236" t="str">
            <v>A incluir</v>
          </cell>
        </row>
        <row r="1237">
          <cell r="A1237">
            <v>42768</v>
          </cell>
          <cell r="B1237" t="str">
            <v>Corpo BSTC (greide) diâmetro 1,00 m CA-1 MF inclusive escavação, reaterro e transporte do tubo em Vias Urbanas</v>
          </cell>
          <cell r="C1237" t="str">
            <v>m</v>
          </cell>
          <cell r="D1237" t="str">
            <v>627,27</v>
          </cell>
          <cell r="E1237" t="str">
            <v>A incluir</v>
          </cell>
        </row>
        <row r="1238">
          <cell r="A1238">
            <v>42769</v>
          </cell>
          <cell r="B1238" t="str">
            <v>Corpo BSTC (greide) diâmetro 1,00 m CA-1 PB inclusive escavação, reaterro e transporte do tubo em Vias Urbanas</v>
          </cell>
          <cell r="C1238" t="str">
            <v>m</v>
          </cell>
          <cell r="D1238" t="str">
            <v>635,73</v>
          </cell>
          <cell r="E1238" t="str">
            <v>A incluir</v>
          </cell>
        </row>
        <row r="1239">
          <cell r="A1239">
            <v>42770</v>
          </cell>
          <cell r="B1239" t="str">
            <v>Corpo BSTC (greide) diâmetro 1,00 m CA-2 MF inclusive escavação, reaterro e transporte do tubo em Vias Urbanas</v>
          </cell>
          <cell r="C1239" t="str">
            <v>m</v>
          </cell>
          <cell r="D1239" t="str">
            <v>640,24</v>
          </cell>
          <cell r="E1239" t="str">
            <v>A incluir</v>
          </cell>
        </row>
        <row r="1240">
          <cell r="A1240">
            <v>42771</v>
          </cell>
          <cell r="B1240" t="str">
            <v>Corpo BSTC (greide) diâmetro 1,00 m CA-2 PB inclusive escavação, reaterro e transporte do tubo em Vias Urbanas</v>
          </cell>
          <cell r="C1240" t="str">
            <v>m</v>
          </cell>
          <cell r="D1240" t="str">
            <v>655,79</v>
          </cell>
          <cell r="E1240" t="str">
            <v>A incluir</v>
          </cell>
        </row>
        <row r="1241">
          <cell r="A1241">
            <v>42772</v>
          </cell>
          <cell r="B1241" t="str">
            <v>Corpo BSTC (greide) diâmetro 1,20 m CA-1 MF inclusive escavação, reaterro e transporte do tubo em Vias Urbanas</v>
          </cell>
          <cell r="C1241" t="str">
            <v>m</v>
          </cell>
          <cell r="D1241" t="str">
            <v>882,79</v>
          </cell>
          <cell r="E1241" t="str">
            <v>A incluir</v>
          </cell>
        </row>
        <row r="1242">
          <cell r="A1242">
            <v>42773</v>
          </cell>
          <cell r="B1242" t="str">
            <v>Corpo BSTC (greide) diâmetro 1,20 m CA-1 PB inclusive escavação, reaterro e transporte do tubo em Vias Urbanas</v>
          </cell>
          <cell r="C1242" t="str">
            <v>m</v>
          </cell>
          <cell r="D1242" t="str">
            <v>898,77</v>
          </cell>
          <cell r="E1242" t="str">
            <v>A incluir</v>
          </cell>
        </row>
        <row r="1243">
          <cell r="A1243">
            <v>42774</v>
          </cell>
          <cell r="B1243" t="str">
            <v>Corpo BSTC (greide) diâmetro 1,20 m CA-2 MF inclusive escavação, reaterro e transporte do tubo, em Vias Urbanas</v>
          </cell>
          <cell r="C1243" t="str">
            <v>m</v>
          </cell>
          <cell r="D1243" t="str">
            <v>902,23</v>
          </cell>
          <cell r="E1243" t="str">
            <v>A incluir</v>
          </cell>
        </row>
        <row r="1244">
          <cell r="A1244">
            <v>42775</v>
          </cell>
          <cell r="B1244" t="str">
            <v>Corpo BSTC (greide) diâmetro 1,20 m CA-2 PB inclusive escavação, reaterro e transporte do tubo em Vias Urbanas</v>
          </cell>
          <cell r="C1244" t="str">
            <v>m</v>
          </cell>
          <cell r="D1244" t="str">
            <v>935,29</v>
          </cell>
          <cell r="E1244" t="str">
            <v>A incluir</v>
          </cell>
        </row>
        <row r="1245">
          <cell r="A1245">
            <v>42776</v>
          </cell>
          <cell r="B1245" t="str">
            <v>Corpo BSTC (grota) diâmetro 0,60 m CA-1 MF exclusive escavação e reaterro, inclusive transporte do tubo em Vias Urbanas</v>
          </cell>
          <cell r="C1245" t="str">
            <v>m</v>
          </cell>
          <cell r="D1245" t="str">
            <v>148,55</v>
          </cell>
          <cell r="E1245" t="str">
            <v>A incluir</v>
          </cell>
        </row>
        <row r="1246">
          <cell r="A1246">
            <v>42777</v>
          </cell>
          <cell r="B1246" t="str">
            <v>Corpo BSTC (grota) diâmetro 0,60 m CA-1 PB exclusive escavação e reaterro, inclusive transporte do tubo em Vias Urbanas</v>
          </cell>
          <cell r="C1246" t="str">
            <v>m</v>
          </cell>
          <cell r="D1246" t="str">
            <v>153,78</v>
          </cell>
          <cell r="E1246" t="str">
            <v>A incluir</v>
          </cell>
        </row>
        <row r="1247">
          <cell r="A1247">
            <v>42778</v>
          </cell>
          <cell r="B1247" t="str">
            <v>Corpo BSTC (grota) diâmetro 0,60 m CA-2 MF exclusive escavação e reaterro, inclusive transporte do tubo em Vias Urbanas</v>
          </cell>
          <cell r="C1247" t="str">
            <v>m</v>
          </cell>
          <cell r="D1247" t="str">
            <v>150,50</v>
          </cell>
          <cell r="E1247" t="str">
            <v>A incluir</v>
          </cell>
        </row>
        <row r="1248">
          <cell r="A1248">
            <v>42779</v>
          </cell>
          <cell r="B1248" t="str">
            <v>Corpo BSTC (grota) diâmetro 0,60 m CA-2 PB exclusive escavação e reaterro, inclusive transporte do tubo em Vias Urbanas</v>
          </cell>
          <cell r="C1248" t="str">
            <v>m</v>
          </cell>
          <cell r="D1248" t="str">
            <v>153,84</v>
          </cell>
          <cell r="E1248" t="str">
            <v>A incluir</v>
          </cell>
        </row>
        <row r="1249">
          <cell r="A1249">
            <v>42780</v>
          </cell>
          <cell r="B1249" t="str">
            <v>Corpo BSTC (grota) diâmetro 0,80 m CA-1 MF exclusive escavação e reaterro, inclusive transporte do tubo em Vias Urbanas</v>
          </cell>
          <cell r="C1249" t="str">
            <v>m</v>
          </cell>
          <cell r="D1249" t="str">
            <v>351,91</v>
          </cell>
          <cell r="E1249" t="str">
            <v>A incluir</v>
          </cell>
        </row>
        <row r="1250">
          <cell r="A1250">
            <v>42781</v>
          </cell>
          <cell r="B1250" t="str">
            <v>Corpo BSTC (grota) diâmetro 0,80 m CA-1 PB exclusive escavação e reaterro, inclusive transporte do tubo em Vias Urbanas</v>
          </cell>
          <cell r="C1250" t="str">
            <v>m</v>
          </cell>
          <cell r="D1250" t="str">
            <v>358,69</v>
          </cell>
          <cell r="E1250" t="str">
            <v>A incluir</v>
          </cell>
        </row>
        <row r="1251">
          <cell r="A1251">
            <v>42782</v>
          </cell>
          <cell r="B1251" t="str">
            <v>Corpo BSTC (grota) diâmetro 0,80 m CA-2 MF exclusive escavação e reaterro, inclusive transporte do tubo em Vias Urbanas</v>
          </cell>
          <cell r="C1251" t="str">
            <v>m</v>
          </cell>
          <cell r="D1251" t="str">
            <v>361,64</v>
          </cell>
          <cell r="E1251" t="str">
            <v>A incluir</v>
          </cell>
        </row>
        <row r="1252">
          <cell r="A1252">
            <v>42783</v>
          </cell>
          <cell r="B1252" t="str">
            <v>Corpo BSTC (grota) diâmetro 0,80 m CA-2 PB exclusive escavação e reaterro, inclusive transporte do tubo em Vias Urbanas</v>
          </cell>
          <cell r="C1252" t="str">
            <v>m</v>
          </cell>
          <cell r="D1252" t="str">
            <v>375,61</v>
          </cell>
          <cell r="E1252" t="str">
            <v>A incluir</v>
          </cell>
        </row>
        <row r="1253">
          <cell r="A1253">
            <v>42784</v>
          </cell>
          <cell r="B1253" t="str">
            <v>Corpo BSTC (grota) diâmetro 1,00 m CA-1 MF exclusive escavação e reaterro, inclusive transporte do tubo em Vias Urbanas</v>
          </cell>
          <cell r="C1253" t="str">
            <v>m</v>
          </cell>
          <cell r="D1253" t="str">
            <v>433,91</v>
          </cell>
          <cell r="E1253" t="str">
            <v>A incluir</v>
          </cell>
        </row>
        <row r="1254">
          <cell r="A1254">
            <v>42785</v>
          </cell>
          <cell r="B1254" t="str">
            <v>Corpo BSTC (grota) diâmetro 1,00 m CA-1 PB exclusive escavação e reaterro, inclusive transporte do tubo em Vias Urbanas</v>
          </cell>
          <cell r="C1254" t="str">
            <v>m</v>
          </cell>
          <cell r="D1254" t="str">
            <v>442,36</v>
          </cell>
          <cell r="E1254" t="str">
            <v>A incluir</v>
          </cell>
        </row>
        <row r="1255">
          <cell r="A1255">
            <v>42786</v>
          </cell>
          <cell r="B1255" t="str">
            <v>Corpo BSTC (grota) diâmetro 1,00 m CA-2 MF exclusive escavação e reaterro, inclusive transporte do tubo em Vias Urbanas</v>
          </cell>
          <cell r="C1255" t="str">
            <v>m</v>
          </cell>
          <cell r="D1255" t="str">
            <v>446,87</v>
          </cell>
          <cell r="E1255" t="str">
            <v>A incluir</v>
          </cell>
        </row>
        <row r="1256">
          <cell r="A1256">
            <v>42787</v>
          </cell>
          <cell r="B1256" t="str">
            <v>Corpo BSTC (grota) diâmetro 1,00 m CA-2 PB exclusive escavação e reaterro, inclusive transporte do tubo em Vias Urbanas</v>
          </cell>
          <cell r="C1256" t="str">
            <v>m</v>
          </cell>
          <cell r="D1256" t="str">
            <v>462,42</v>
          </cell>
          <cell r="E1256" t="str">
            <v>A incluir</v>
          </cell>
        </row>
        <row r="1257">
          <cell r="A1257">
            <v>42788</v>
          </cell>
          <cell r="B1257" t="str">
            <v>Corpo BSTC (grota) diâmetro 1,00 m CA-3 MF exclusive escavação e reaterro, inclusive transporte do tubo em Vias Urbanas</v>
          </cell>
          <cell r="C1257" t="str">
            <v>m</v>
          </cell>
          <cell r="D1257" t="str">
            <v>482,52</v>
          </cell>
          <cell r="E1257" t="str">
            <v>A incluir</v>
          </cell>
        </row>
        <row r="1258">
          <cell r="A1258">
            <v>42789</v>
          </cell>
          <cell r="B1258" t="str">
            <v>Corpo BSTC (grota) diâmetro 1,20 m CA-1 MF exclusive escavação e reaterro, inclusive transporte do tubo em Vias Urbanas</v>
          </cell>
          <cell r="C1258" t="str">
            <v>m</v>
          </cell>
          <cell r="D1258" t="str">
            <v>621,04</v>
          </cell>
          <cell r="E1258" t="str">
            <v>A incluir</v>
          </cell>
        </row>
        <row r="1259">
          <cell r="A1259">
            <v>42790</v>
          </cell>
          <cell r="B1259" t="str">
            <v>Corpo BSTC (grota) diâmetro 1,20 m CA-1 PB exclusive escavação e reaterro, inclusive transporte do tubo em Vias Urbanas</v>
          </cell>
          <cell r="C1259" t="str">
            <v>m</v>
          </cell>
          <cell r="D1259" t="str">
            <v>637,02</v>
          </cell>
          <cell r="E1259" t="str">
            <v>A incluir</v>
          </cell>
        </row>
        <row r="1260">
          <cell r="A1260">
            <v>42791</v>
          </cell>
          <cell r="B1260" t="str">
            <v>Corpo BSTC (grota) diâmetro 1,20 m CA-2 MF exclusive escavação e reaterro, inclusive transporte do tubo em Vias Urbanas</v>
          </cell>
          <cell r="C1260" t="str">
            <v>m</v>
          </cell>
          <cell r="D1260" t="str">
            <v>640,48</v>
          </cell>
          <cell r="E1260" t="str">
            <v>A incluir</v>
          </cell>
        </row>
        <row r="1261">
          <cell r="A1261">
            <v>42792</v>
          </cell>
          <cell r="B1261" t="str">
            <v>Corpo BSTC (grota) diâmetro 1,20 m CA-2 PB exclusive escavação e reaterro, inclusive transporte do tubo em Vias Urbanas</v>
          </cell>
          <cell r="C1261" t="str">
            <v>m</v>
          </cell>
          <cell r="D1261" t="str">
            <v>673,54</v>
          </cell>
          <cell r="E1261" t="str">
            <v>A incluir</v>
          </cell>
        </row>
        <row r="1262">
          <cell r="A1262">
            <v>42793</v>
          </cell>
          <cell r="B1262" t="str">
            <v>Corpo BSTC (grota) diâmetro 1,20 m CA-3 MF exclusive escavação e reaterro, inclusive transporte do tubo em Vias Urbanas</v>
          </cell>
          <cell r="C1262" t="str">
            <v>m</v>
          </cell>
          <cell r="D1262" t="str">
            <v>656,69</v>
          </cell>
          <cell r="E1262" t="str">
            <v>A incluir</v>
          </cell>
        </row>
        <row r="1263">
          <cell r="A1263">
            <v>42794</v>
          </cell>
          <cell r="B1263" t="str">
            <v>Corpo BSTC (grota) diâmetro 1,50 m CA-1 MF exclusive escavação e reaterro, inclusive transporte do tubo em Vias Urbanas</v>
          </cell>
          <cell r="C1263" t="str">
            <v>m</v>
          </cell>
          <cell r="D1263" t="str">
            <v>990,46</v>
          </cell>
          <cell r="E1263" t="str">
            <v>A incluir</v>
          </cell>
        </row>
        <row r="1264">
          <cell r="A1264">
            <v>42758</v>
          </cell>
          <cell r="B1264" t="str">
            <v>Corpo BSTC (grota) diâmetro 1,50 m CA-1 PB exclusive escavação e reaterro, inclusive transporte do tubo em Vias Urbanas</v>
          </cell>
          <cell r="C1264" t="str">
            <v>m</v>
          </cell>
          <cell r="D1264" t="str">
            <v>876,80</v>
          </cell>
          <cell r="E1264" t="str">
            <v>A incluir</v>
          </cell>
        </row>
        <row r="1265">
          <cell r="A1265">
            <v>42795</v>
          </cell>
          <cell r="B1265" t="str">
            <v>Corpo BSTC (grota) diâmetro 1,50 m CA-2 MF exclusive escavação e reaterro, inclusive transporte do tubo em Vias Urbanas</v>
          </cell>
          <cell r="C1265" t="str">
            <v>m</v>
          </cell>
          <cell r="D1265" t="str">
            <v>1.029,35</v>
          </cell>
          <cell r="E1265" t="str">
            <v>A incluir</v>
          </cell>
        </row>
        <row r="1266">
          <cell r="A1266">
            <v>42796</v>
          </cell>
          <cell r="B1266" t="str">
            <v>Corpo BSTC (grota) diâmetro 1,50 m CA-2 PB exclusive escavação e reaterro, inclusive transporte do tubo em Vias Urbanas</v>
          </cell>
          <cell r="C1266" t="str">
            <v>m</v>
          </cell>
          <cell r="D1266" t="str">
            <v>926,40</v>
          </cell>
          <cell r="E1266" t="str">
            <v>A incluir</v>
          </cell>
        </row>
        <row r="1267">
          <cell r="A1267">
            <v>42797</v>
          </cell>
          <cell r="B1267" t="str">
            <v>Corpo BSTC (grota) diâmetro 1,50 m CA-3 MF exclusive escavação e reaterro, inclusive transporte do tubo em Vias Urbanas</v>
          </cell>
          <cell r="C1267" t="str">
            <v>m</v>
          </cell>
          <cell r="D1267" t="str">
            <v>808,98</v>
          </cell>
          <cell r="E1267" t="str">
            <v>A incluir</v>
          </cell>
        </row>
        <row r="1268">
          <cell r="A1268">
            <v>42798</v>
          </cell>
          <cell r="B1268" t="str">
            <v>Corpo BTTC (grota) diâmetro 0,60 m CA-1 MF exclusive escavação e reaterro, inclusive transporte do tubo em Vias Urbanas</v>
          </cell>
          <cell r="C1268" t="str">
            <v>m</v>
          </cell>
          <cell r="D1268" t="str">
            <v>442,58</v>
          </cell>
          <cell r="E1268" t="str">
            <v>A incluir</v>
          </cell>
        </row>
        <row r="1269">
          <cell r="A1269">
            <v>42799</v>
          </cell>
          <cell r="B1269" t="str">
            <v>Corpo BTTC (grota) diâmetro 0,60 m CA-1 PB exclusive escavação e reaterro, inclusive transporte do tubo em Vias Urbanas</v>
          </cell>
          <cell r="C1269" t="str">
            <v>m</v>
          </cell>
          <cell r="D1269" t="str">
            <v>458,25</v>
          </cell>
          <cell r="E1269" t="str">
            <v>A incluir</v>
          </cell>
        </row>
        <row r="1270">
          <cell r="A1270">
            <v>42800</v>
          </cell>
          <cell r="B1270" t="str">
            <v>Corpo BTTC (grota) diâmetro 0,60 m CA-2 MF exclusive escavação e reaterro, inclusive transporte do tubo em Vias Urbanas</v>
          </cell>
          <cell r="C1270" t="str">
            <v>m</v>
          </cell>
          <cell r="D1270" t="str">
            <v>448,41</v>
          </cell>
          <cell r="E1270" t="str">
            <v>A incluir</v>
          </cell>
        </row>
        <row r="1271">
          <cell r="A1271">
            <v>42801</v>
          </cell>
          <cell r="B1271" t="str">
            <v>Corpo BTTC (grota) diâmetro 0,60 m CA-2 PB exclusive escavação e reaterro, inclusive transporte do tubo em Vias Urbanas</v>
          </cell>
          <cell r="C1271" t="str">
            <v>m</v>
          </cell>
          <cell r="D1271" t="str">
            <v>458,44</v>
          </cell>
          <cell r="E1271" t="str">
            <v>A incluir</v>
          </cell>
        </row>
        <row r="1272">
          <cell r="A1272">
            <v>42802</v>
          </cell>
          <cell r="B1272" t="str">
            <v>Corpo BTTC (grota) diâmetro 0,80 m CA-1 MF exclusive escavação e reaterro, inclusive transporte do tubo em Vias Urbanas</v>
          </cell>
          <cell r="C1272" t="str">
            <v>m</v>
          </cell>
          <cell r="D1272" t="str">
            <v>892,77</v>
          </cell>
          <cell r="E1272" t="str">
            <v>A incluir</v>
          </cell>
        </row>
        <row r="1273">
          <cell r="A1273">
            <v>42803</v>
          </cell>
          <cell r="B1273" t="str">
            <v>Corpo BTTC (grota) diâmetro 0,80 m CA-1 PB exclusive escavação e reaterro, inclusive transporte do tubo em Vias Urbanas</v>
          </cell>
          <cell r="C1273" t="str">
            <v>m</v>
          </cell>
          <cell r="D1273" t="str">
            <v>913,11</v>
          </cell>
          <cell r="E1273" t="str">
            <v>A incluir</v>
          </cell>
        </row>
        <row r="1274">
          <cell r="A1274">
            <v>42804</v>
          </cell>
          <cell r="B1274" t="str">
            <v>Corpo BTTC (grota) diâmetro 0,80 m CA-2 MF exclusive escavação e reaterro, inclusive transporte do tubo em Vias Urbanas</v>
          </cell>
          <cell r="C1274" t="str">
            <v>m</v>
          </cell>
          <cell r="D1274" t="str">
            <v>921,94</v>
          </cell>
          <cell r="E1274" t="str">
            <v>A incluir</v>
          </cell>
        </row>
        <row r="1275">
          <cell r="A1275">
            <v>42805</v>
          </cell>
          <cell r="B1275" t="str">
            <v>Corpo BTTC (grota) diâmetro 0,80 m CA-2 PB exclusive escavação e reaterro, inclusive transporte do tubo em Vias Urbanas</v>
          </cell>
          <cell r="C1275" t="str">
            <v>m</v>
          </cell>
          <cell r="D1275" t="str">
            <v>963,86</v>
          </cell>
          <cell r="E1275" t="str">
            <v>A incluir</v>
          </cell>
        </row>
        <row r="1276">
          <cell r="A1276">
            <v>42806</v>
          </cell>
          <cell r="B1276" t="str">
            <v>Corpo BTTC (grota) diâmetro 1,00 m CA-1 MF exclusive escavação e reaterro, inclusive transporte do tubo em Vias Urbanas</v>
          </cell>
          <cell r="C1276" t="str">
            <v>m</v>
          </cell>
          <cell r="D1276" t="str">
            <v>1.138,73</v>
          </cell>
          <cell r="E1276" t="str">
            <v>A incluir</v>
          </cell>
        </row>
        <row r="1277">
          <cell r="A1277">
            <v>42807</v>
          </cell>
          <cell r="B1277" t="str">
            <v>Corpo BTTC (grota) diâmetro 1,00 m CA-1 PB exclusive escavação e reaterro, inclusive transporte do tubo em Vias Urbanas</v>
          </cell>
          <cell r="C1277" t="str">
            <v>m</v>
          </cell>
          <cell r="D1277" t="str">
            <v>1.164,09</v>
          </cell>
          <cell r="E1277" t="str">
            <v>A incluir</v>
          </cell>
        </row>
        <row r="1278">
          <cell r="A1278">
            <v>42808</v>
          </cell>
          <cell r="B1278" t="str">
            <v>Corpo BTTC (grota) diâmetro 1,00 m CA-2 MF exclusive escavação e reaterro, inclusive transporte do tubo em Vias Urbanas</v>
          </cell>
          <cell r="C1278" t="str">
            <v>m</v>
          </cell>
          <cell r="D1278" t="str">
            <v>1.177,62</v>
          </cell>
          <cell r="E1278" t="str">
            <v>A incluir</v>
          </cell>
        </row>
        <row r="1279">
          <cell r="A1279">
            <v>42809</v>
          </cell>
          <cell r="B1279" t="str">
            <v>Corpo BTTC (grota) diâmetro 1,00 m CA-2 PB exclusive escavação e reaterro, inclusive transporte do tubo em Vias Urbanas</v>
          </cell>
          <cell r="C1279" t="str">
            <v>m</v>
          </cell>
          <cell r="D1279" t="str">
            <v>1.224,29</v>
          </cell>
          <cell r="E1279" t="str">
            <v>A incluir</v>
          </cell>
        </row>
        <row r="1280">
          <cell r="A1280">
            <v>42810</v>
          </cell>
          <cell r="B1280" t="str">
            <v>Corpo BTTC (grota) diâmetro 1,00 m CA-3 MF exclusive escavação e reaterro, inclusive transporte do tubo em Vias Urbanas</v>
          </cell>
          <cell r="C1280" t="str">
            <v>m</v>
          </cell>
          <cell r="D1280" t="str">
            <v>1.284,56</v>
          </cell>
          <cell r="E1280" t="str">
            <v>A incluir</v>
          </cell>
        </row>
        <row r="1281">
          <cell r="A1281">
            <v>42811</v>
          </cell>
          <cell r="B1281" t="str">
            <v>Corpo BTTC (grota) diâmetro 1,20 m CA-1 MF exclusive escavação e reaterro, inclusive transporte do tubo em Vias Urbanas</v>
          </cell>
          <cell r="C1281" t="str">
            <v>m</v>
          </cell>
          <cell r="D1281" t="str">
            <v>1.700,18</v>
          </cell>
          <cell r="E1281" t="str">
            <v>A incluir</v>
          </cell>
        </row>
        <row r="1282">
          <cell r="A1282">
            <v>42812</v>
          </cell>
          <cell r="B1282" t="str">
            <v>Corpo BTTC (grota) diâmetro 1,20 m CA-1 PB exclusive escavação e reaterro, inclusive transporte do tubo em Vias Urbanas</v>
          </cell>
          <cell r="C1282" t="str">
            <v>m</v>
          </cell>
          <cell r="D1282" t="str">
            <v>1.748,13</v>
          </cell>
          <cell r="E1282" t="str">
            <v>A incluir</v>
          </cell>
        </row>
        <row r="1283">
          <cell r="A1283">
            <v>42813</v>
          </cell>
          <cell r="B1283" t="str">
            <v>Corpo BTTC (grota) diâmetro 1,20 m CA-2 MF exclusive escavação e reaterro, inclusive transporte do tubo em Vias Urbanas</v>
          </cell>
          <cell r="C1283" t="str">
            <v>m</v>
          </cell>
          <cell r="D1283" t="str">
            <v>1.758,52</v>
          </cell>
          <cell r="E1283" t="str">
            <v>A incluir</v>
          </cell>
        </row>
        <row r="1284">
          <cell r="A1284">
            <v>42814</v>
          </cell>
          <cell r="B1284" t="str">
            <v>Corpo BTTC (grota) diâmetro 1,20 m CA-2 PB exclusive escavação e reaterro, inclusive transporte do tubo em Vias Urbanas</v>
          </cell>
          <cell r="C1284" t="str">
            <v>m</v>
          </cell>
          <cell r="D1284" t="str">
            <v>1.857,68</v>
          </cell>
          <cell r="E1284" t="str">
            <v>A incluir</v>
          </cell>
        </row>
        <row r="1285">
          <cell r="A1285">
            <v>42815</v>
          </cell>
          <cell r="B1285" t="str">
            <v>Corpo BTTC (grota) diâmetro 1,20 m CA-3 MF exclusive escavação e reaterro, inclusive transporte do tubo em Vias Urbanas</v>
          </cell>
          <cell r="C1285" t="str">
            <v>m</v>
          </cell>
          <cell r="D1285" t="str">
            <v>1.807,13</v>
          </cell>
          <cell r="E1285" t="str">
            <v>A incluir</v>
          </cell>
        </row>
        <row r="1286">
          <cell r="A1286">
            <v>42816</v>
          </cell>
          <cell r="B1286" t="str">
            <v>Corpo BTTC (grota) diâmetro 1,50 m CA-1 MF exclusive escavação e reaterro, inclusive transporte do tubo em Vias Urbanas</v>
          </cell>
          <cell r="C1286" t="str">
            <v>m</v>
          </cell>
          <cell r="D1286" t="str">
            <v>2.808,47</v>
          </cell>
          <cell r="E1286" t="str">
            <v>A incluir</v>
          </cell>
        </row>
        <row r="1287">
          <cell r="A1287">
            <v>42817</v>
          </cell>
          <cell r="B1287" t="str">
            <v>Corpo BTTC (grota) diâmetro 1,50 m CA-1 PB exclusive escavação e reaterro, inclusive transporte do tubo em Vias Urbanas</v>
          </cell>
          <cell r="C1287" t="str">
            <v>m</v>
          </cell>
          <cell r="D1287" t="str">
            <v>2.467,49</v>
          </cell>
          <cell r="E1287" t="str">
            <v>A incluir</v>
          </cell>
        </row>
        <row r="1288">
          <cell r="A1288">
            <v>42818</v>
          </cell>
          <cell r="B1288" t="str">
            <v>Corpo BTTC (grota) diâmetro 1,50 m CA-2 MF exclusive escavação e reaterro, inclusive transporte do tubo em Vias Urbanas</v>
          </cell>
          <cell r="C1288" t="str">
            <v>m</v>
          </cell>
          <cell r="D1288" t="str">
            <v>2.925,13</v>
          </cell>
          <cell r="E1288" t="str">
            <v>A incluir</v>
          </cell>
        </row>
        <row r="1289">
          <cell r="A1289">
            <v>42819</v>
          </cell>
          <cell r="B1289" t="str">
            <v>Corpo BTTC (grota) diâmetro 1,50 m CA-2 PB exclusive escavação e reaterro, inclusive transporte do tubo em Vias Urbanas</v>
          </cell>
          <cell r="C1289" t="str">
            <v>m</v>
          </cell>
          <cell r="D1289" t="str">
            <v>2.616,28</v>
          </cell>
          <cell r="E1289" t="str">
            <v>A incluir</v>
          </cell>
        </row>
        <row r="1290">
          <cell r="A1290">
            <v>42820</v>
          </cell>
          <cell r="B1290" t="str">
            <v>Corpo BTTC (grota) diâmetro 1,50 m CA-3 MF exclusive escavação e reaterro, inclusive transporte do tubo em Vias Urbanas</v>
          </cell>
          <cell r="C1290" t="str">
            <v>m</v>
          </cell>
          <cell r="D1290" t="str">
            <v>2.264,02</v>
          </cell>
          <cell r="E1290" t="str">
            <v>A incluir</v>
          </cell>
        </row>
        <row r="1291">
          <cell r="A1291">
            <v>41321</v>
          </cell>
          <cell r="B1291" t="str">
            <v>Corpo de BDCC 1,00 x 1,00 m em Vias Urbanas</v>
          </cell>
          <cell r="C1291" t="str">
            <v>m</v>
          </cell>
          <cell r="D1291" t="str">
            <v>4.995,62</v>
          </cell>
          <cell r="E1291">
            <v>0</v>
          </cell>
        </row>
        <row r="1292">
          <cell r="A1292">
            <v>42821</v>
          </cell>
          <cell r="B1292" t="str">
            <v>Corpo de BDCC 1,50 x 1,50 m projeto DNIT para H &lt; -&gt; 2,50 m em Vias Urbanas</v>
          </cell>
          <cell r="C1292" t="str">
            <v>m</v>
          </cell>
          <cell r="D1292" t="str">
            <v>3.732,72</v>
          </cell>
          <cell r="E1292">
            <v>0</v>
          </cell>
        </row>
        <row r="1293">
          <cell r="A1293">
            <v>42822</v>
          </cell>
          <cell r="B1293" t="str">
            <v>Corpo de BDCC 1,50 x 1,50 m projeto DNIT para 2,50 &lt; H &lt; 5,00 m em Vias Urbanas</v>
          </cell>
          <cell r="C1293" t="str">
            <v>m</v>
          </cell>
          <cell r="D1293" t="str">
            <v>3.895,53</v>
          </cell>
          <cell r="E1293">
            <v>0</v>
          </cell>
        </row>
        <row r="1294">
          <cell r="A1294">
            <v>42823</v>
          </cell>
          <cell r="B1294" t="str">
            <v>Corpo de BDCC 2,00 x 1,20 m -tudo incluido conforme projeto em Vias Urbanas</v>
          </cell>
          <cell r="C1294" t="str">
            <v>m</v>
          </cell>
          <cell r="D1294" t="str">
            <v>5.418,37</v>
          </cell>
          <cell r="E1294">
            <v>0</v>
          </cell>
        </row>
        <row r="1295">
          <cell r="A1295">
            <v>42824</v>
          </cell>
          <cell r="B1295" t="str">
            <v>Corpo de BDCC 2,00 x 2,00 m projeto DNIT para H &lt; -&gt; 2,50 m em Vias Urbanas</v>
          </cell>
          <cell r="C1295" t="str">
            <v>m</v>
          </cell>
          <cell r="D1295" t="str">
            <v>5.354,15</v>
          </cell>
          <cell r="E1295">
            <v>0</v>
          </cell>
        </row>
        <row r="1296">
          <cell r="A1296">
            <v>42825</v>
          </cell>
          <cell r="B1296" t="str">
            <v>Corpo de BDCC 2,00 x 2,00 m projeto DNIT para 2,50 &lt; H &lt; 5,00 m em Vias Urbanas</v>
          </cell>
          <cell r="C1296" t="str">
            <v>m</v>
          </cell>
          <cell r="D1296" t="str">
            <v>5.940,78</v>
          </cell>
          <cell r="E1296">
            <v>0</v>
          </cell>
        </row>
        <row r="1297">
          <cell r="A1297">
            <v>40600</v>
          </cell>
          <cell r="B1297" t="str">
            <v>Corpo de BDCC 2,00 x 2,50 m em Vias Urbanas</v>
          </cell>
          <cell r="C1297" t="str">
            <v>m</v>
          </cell>
          <cell r="D1297" t="str">
            <v>7.969,44</v>
          </cell>
          <cell r="E1297">
            <v>0</v>
          </cell>
        </row>
        <row r="1298">
          <cell r="A1298">
            <v>42827</v>
          </cell>
          <cell r="B1298" t="str">
            <v>Corpo de BDCC 2,00 x 3,00 m projeto DNIT p/ 2,50 &lt; H &lt; 5,00 m em Vias Urbanas</v>
          </cell>
          <cell r="C1298" t="str">
            <v>m</v>
          </cell>
          <cell r="D1298" t="str">
            <v>8.901,23</v>
          </cell>
          <cell r="E1298">
            <v>0</v>
          </cell>
        </row>
        <row r="1299">
          <cell r="A1299">
            <v>42826</v>
          </cell>
          <cell r="B1299" t="str">
            <v>Corpo de BDCC 2,00 x 3,00 m projeto DNIT para H &lt; -&gt; 2,50 m em Vias Urbanas</v>
          </cell>
          <cell r="C1299" t="str">
            <v>m</v>
          </cell>
          <cell r="D1299" t="str">
            <v>7.639,84</v>
          </cell>
          <cell r="E1299">
            <v>0</v>
          </cell>
        </row>
        <row r="1300">
          <cell r="A1300">
            <v>42828</v>
          </cell>
          <cell r="B1300" t="str">
            <v>Corpo de BDCC 2,50 x 2,00m - tudo incluído conforme projeto em Vias Urbanas</v>
          </cell>
          <cell r="C1300" t="str">
            <v>m</v>
          </cell>
          <cell r="D1300" t="str">
            <v>7.807,79</v>
          </cell>
          <cell r="E1300">
            <v>0</v>
          </cell>
        </row>
        <row r="1301">
          <cell r="A1301">
            <v>42830</v>
          </cell>
          <cell r="B1301" t="str">
            <v>Corpo de BDCC 2,50 x 2,50 m projeto DNIT p/ 2,50&lt; H &lt;5,00 m em Vias Urbanas</v>
          </cell>
          <cell r="C1301" t="str">
            <v>m</v>
          </cell>
          <cell r="D1301" t="str">
            <v>8.048,29</v>
          </cell>
          <cell r="E1301">
            <v>0</v>
          </cell>
        </row>
        <row r="1302">
          <cell r="A1302">
            <v>42829</v>
          </cell>
          <cell r="B1302" t="str">
            <v>Corpo de BDCC 2,50 x 2,50 m projeto DNIT para H&lt;-&gt;2,50m em Vias Urbanas</v>
          </cell>
          <cell r="C1302" t="str">
            <v>m</v>
          </cell>
          <cell r="D1302" t="str">
            <v>7.206,23</v>
          </cell>
          <cell r="E1302">
            <v>0</v>
          </cell>
        </row>
        <row r="1303">
          <cell r="A1303">
            <v>42831</v>
          </cell>
          <cell r="B1303" t="str">
            <v>Corpo de BDCC 2,50 x 3,00 m projeto DNIT p/ H &lt;-&gt; 2,50 m em Vias Urbanas</v>
          </cell>
          <cell r="C1303" t="str">
            <v>m</v>
          </cell>
          <cell r="D1303" t="str">
            <v>8.724,37</v>
          </cell>
          <cell r="E1303">
            <v>0</v>
          </cell>
        </row>
        <row r="1304">
          <cell r="A1304">
            <v>42832</v>
          </cell>
          <cell r="B1304" t="str">
            <v>Corpo de BDCC 2,50 x 3,00 m projeto DNIT p/ 2,50 &lt; H &lt; 5,00 m em Vias Urbanas</v>
          </cell>
          <cell r="C1304" t="str">
            <v>m</v>
          </cell>
          <cell r="D1304" t="str">
            <v>9.656,24</v>
          </cell>
          <cell r="E1304">
            <v>0</v>
          </cell>
        </row>
        <row r="1305">
          <cell r="A1305">
            <v>42834</v>
          </cell>
          <cell r="B1305" t="str">
            <v>Corpo de BDCC 3,00 x 3,00 m projeto DNIT p/ 2,50 &lt; H &lt; 5,00 m em Vias Urbanas</v>
          </cell>
          <cell r="C1305" t="str">
            <v>m</v>
          </cell>
          <cell r="D1305" t="str">
            <v>10.325,71</v>
          </cell>
          <cell r="E1305">
            <v>0</v>
          </cell>
        </row>
        <row r="1306">
          <cell r="A1306">
            <v>42833</v>
          </cell>
          <cell r="B1306" t="str">
            <v>Corpo de BDCC 3,00 x 3,00 m projeto DNIT para H &lt;-&gt; 2,50 m em Vias Urbanas</v>
          </cell>
          <cell r="C1306" t="str">
            <v>m</v>
          </cell>
          <cell r="D1306" t="str">
            <v>9.568,72</v>
          </cell>
          <cell r="E1306">
            <v>0</v>
          </cell>
        </row>
        <row r="1307">
          <cell r="A1307">
            <v>42835</v>
          </cell>
          <cell r="B1307" t="str">
            <v>Corpo de BSCC 1,50 x 1,50 m projeto DNIT p/ H &lt;-&gt; 2,50 m em Vias Urbanas</v>
          </cell>
          <cell r="C1307" t="str">
            <v>m</v>
          </cell>
          <cell r="D1307" t="str">
            <v>2.268,70</v>
          </cell>
          <cell r="E1307">
            <v>0</v>
          </cell>
        </row>
        <row r="1308">
          <cell r="A1308">
            <v>42836</v>
          </cell>
          <cell r="B1308" t="str">
            <v>Corpo de BSCC 1,50x1,50m projeto DNIT p/ 2,50&lt; H &lt;5,00m em Vias Urbanas</v>
          </cell>
          <cell r="C1308" t="str">
            <v>m</v>
          </cell>
          <cell r="D1308" t="str">
            <v>2.390,81</v>
          </cell>
          <cell r="E1308">
            <v>0</v>
          </cell>
        </row>
        <row r="1309">
          <cell r="A1309">
            <v>42837</v>
          </cell>
          <cell r="B1309" t="str">
            <v>Corpo de BSCC 2,00 x 2,00m projeto DNIT para 5,00 &lt; H &lt; 7,50 m em Vias Urbanas</v>
          </cell>
          <cell r="C1309" t="str">
            <v>m</v>
          </cell>
          <cell r="D1309" t="str">
            <v>3.896,26</v>
          </cell>
          <cell r="E1309">
            <v>0</v>
          </cell>
        </row>
        <row r="1310">
          <cell r="A1310">
            <v>42838</v>
          </cell>
          <cell r="B1310" t="str">
            <v>Corpo de BSCC 2,00x2,00m projeto DNIT p/ H&lt;-&gt;2,50m em Vias Urbanas</v>
          </cell>
          <cell r="C1310" t="str">
            <v>m</v>
          </cell>
          <cell r="D1310" t="str">
            <v>3.209,97</v>
          </cell>
          <cell r="E1310">
            <v>0</v>
          </cell>
        </row>
        <row r="1311">
          <cell r="A1311">
            <v>42839</v>
          </cell>
          <cell r="B1311" t="str">
            <v>Corpo de BSCC 2,00x2,00m projeto DNIT p/ 2,50&lt; H &lt;5,00m em Vias Urbanas</v>
          </cell>
          <cell r="C1311" t="str">
            <v>m</v>
          </cell>
          <cell r="D1311" t="str">
            <v>3.611,33</v>
          </cell>
          <cell r="E1311">
            <v>0</v>
          </cell>
        </row>
        <row r="1312">
          <cell r="A1312">
            <v>42840</v>
          </cell>
          <cell r="B1312" t="str">
            <v>Corpo de BSCC 2,00x3,00m projeto DNIT p/ H&lt;-&gt;2,50m em Vias Urbanas</v>
          </cell>
          <cell r="C1312" t="str">
            <v>m</v>
          </cell>
          <cell r="D1312" t="str">
            <v>4.643,68</v>
          </cell>
          <cell r="E1312">
            <v>0</v>
          </cell>
        </row>
        <row r="1313">
          <cell r="A1313">
            <v>42841</v>
          </cell>
          <cell r="B1313" t="str">
            <v>Corpo de BSCC 2,00x3,00m projeto DNIT p/ 2,50&lt; H &lt;5,00m em Vias Urbanas</v>
          </cell>
          <cell r="C1313" t="str">
            <v>m</v>
          </cell>
          <cell r="D1313" t="str">
            <v>5.843,02</v>
          </cell>
          <cell r="E1313">
            <v>0</v>
          </cell>
        </row>
        <row r="1314">
          <cell r="A1314">
            <v>40585</v>
          </cell>
          <cell r="B1314" t="str">
            <v>Corpo de BSCC 2,50 x 2,50 m, para H &lt; -&gt; 2,50 m em Vias Urbanas</v>
          </cell>
          <cell r="C1314" t="str">
            <v>m</v>
          </cell>
          <cell r="D1314" t="str">
            <v>4.988,39</v>
          </cell>
          <cell r="E1314">
            <v>0</v>
          </cell>
        </row>
        <row r="1315">
          <cell r="A1315">
            <v>42843</v>
          </cell>
          <cell r="B1315" t="str">
            <v>Corpo de BSCC 2,50x2,50m projeto DNIT para 2,50&lt; H &lt;5,00m em Vias Urbanas</v>
          </cell>
          <cell r="C1315" t="str">
            <v>m</v>
          </cell>
          <cell r="D1315" t="str">
            <v>4.982,53</v>
          </cell>
          <cell r="E1315">
            <v>0</v>
          </cell>
        </row>
        <row r="1316">
          <cell r="A1316">
            <v>42844</v>
          </cell>
          <cell r="B1316" t="str">
            <v>Corpo de BSCC 2,50x3,00m projeto DNIT para H&lt;-&gt;2,50m em Vias Urbanas</v>
          </cell>
          <cell r="C1316" t="str">
            <v>m</v>
          </cell>
          <cell r="D1316" t="str">
            <v>5.736,32</v>
          </cell>
          <cell r="E1316">
            <v>0</v>
          </cell>
        </row>
        <row r="1317">
          <cell r="A1317">
            <v>42845</v>
          </cell>
          <cell r="B1317" t="str">
            <v>Corpo de BSCC 2,50x3,00m projeto DNIT para 2,50&lt; H &lt;5,00m em Vias Urbanas</v>
          </cell>
          <cell r="C1317" t="str">
            <v>m</v>
          </cell>
          <cell r="D1317" t="str">
            <v>6.826,96</v>
          </cell>
          <cell r="E1317">
            <v>0</v>
          </cell>
        </row>
        <row r="1318">
          <cell r="A1318">
            <v>41179</v>
          </cell>
          <cell r="B1318" t="str">
            <v>Corpo de BSCC 3,00x1,50 para 2,50m&lt; H &lt; 5,00m , em Vias Urbanas</v>
          </cell>
          <cell r="C1318" t="str">
            <v>m</v>
          </cell>
          <cell r="D1318" t="str">
            <v>5.939,28</v>
          </cell>
          <cell r="E1318">
            <v>0</v>
          </cell>
        </row>
        <row r="1319">
          <cell r="A1319">
            <v>42842</v>
          </cell>
          <cell r="B1319" t="str">
            <v>Corpo de BSCC 3,00x3,00m projeto DNIT para H&lt;-&gt;2,50m em Vias Urbanas</v>
          </cell>
          <cell r="C1319" t="str">
            <v>m</v>
          </cell>
          <cell r="D1319" t="str">
            <v>6.242,98</v>
          </cell>
          <cell r="E1319">
            <v>0</v>
          </cell>
        </row>
        <row r="1320">
          <cell r="A1320">
            <v>42848</v>
          </cell>
          <cell r="B1320" t="str">
            <v>Corpo de BSCC 3,00x3,00m projeto DNIT para 2,50&lt; H &lt;5,00m em Vias Urbanas</v>
          </cell>
          <cell r="C1320" t="str">
            <v>m</v>
          </cell>
          <cell r="D1320" t="str">
            <v>7.130,73</v>
          </cell>
          <cell r="E1320">
            <v>0</v>
          </cell>
        </row>
        <row r="1321">
          <cell r="A1321">
            <v>42849</v>
          </cell>
          <cell r="B1321" t="str">
            <v>Corpo de BTCC 1,50 x 1,50 m projeto DNIT para H &lt;-&gt; 2,50 m em Vias Urbanas</v>
          </cell>
          <cell r="C1321" t="str">
            <v>m</v>
          </cell>
          <cell r="D1321" t="str">
            <v>5.226,56</v>
          </cell>
          <cell r="E1321">
            <v>0</v>
          </cell>
        </row>
        <row r="1322">
          <cell r="A1322">
            <v>42850</v>
          </cell>
          <cell r="B1322" t="str">
            <v>Corpo de BTCC 1,50 x 1,50 m projeto DNIT para 2,50 &lt; H &lt; 5,00 m em Vias Urbanas</v>
          </cell>
          <cell r="C1322" t="str">
            <v>m</v>
          </cell>
          <cell r="D1322" t="str">
            <v>5.527,77</v>
          </cell>
          <cell r="E1322">
            <v>0</v>
          </cell>
        </row>
        <row r="1323">
          <cell r="A1323">
            <v>42851</v>
          </cell>
          <cell r="B1323" t="str">
            <v>Corpo de BTCC 2,00 x 2,00 m projeto DNIT para H &lt;-&gt; 2,50 m em Vias Urbanas</v>
          </cell>
          <cell r="C1323" t="str">
            <v>m</v>
          </cell>
          <cell r="D1323" t="str">
            <v>7.619,48</v>
          </cell>
          <cell r="E1323">
            <v>0</v>
          </cell>
        </row>
        <row r="1324">
          <cell r="A1324">
            <v>42852</v>
          </cell>
          <cell r="B1324" t="str">
            <v>Corpo de BTCC 2,00 x 2,00 m projeto DNIT para 2,50 &lt; H &lt; 5,00 m em Vias Urbanas</v>
          </cell>
          <cell r="C1324" t="str">
            <v>m</v>
          </cell>
          <cell r="D1324" t="str">
            <v>8.107,43</v>
          </cell>
          <cell r="E1324">
            <v>0</v>
          </cell>
        </row>
        <row r="1325">
          <cell r="A1325">
            <v>42853</v>
          </cell>
          <cell r="B1325" t="str">
            <v>Corpo de BTCC 2,00 x 3,00 m projeto DNIT para H &lt; -&gt; 2,50 m em Vias Urbanas</v>
          </cell>
          <cell r="C1325" t="str">
            <v>m</v>
          </cell>
          <cell r="D1325" t="str">
            <v>11.056,54</v>
          </cell>
          <cell r="E1325">
            <v>0</v>
          </cell>
        </row>
        <row r="1326">
          <cell r="A1326">
            <v>42854</v>
          </cell>
          <cell r="B1326" t="str">
            <v>Corpo de BTCC 2,00 x 3,00 m projeto DNIT para 2,50 &lt; H &lt; 5,00 m em Vias Urbanas</v>
          </cell>
          <cell r="C1326" t="str">
            <v>m</v>
          </cell>
          <cell r="D1326" t="str">
            <v>12.511,51</v>
          </cell>
          <cell r="E1326">
            <v>0</v>
          </cell>
        </row>
        <row r="1327">
          <cell r="A1327">
            <v>42855</v>
          </cell>
          <cell r="B1327" t="str">
            <v>Corpo de BTCC 2,50 x 2,50 m projeto DNIT para H &lt; -&gt; 2,50 m em Vias Urbanas</v>
          </cell>
          <cell r="C1327" t="str">
            <v>m</v>
          </cell>
          <cell r="D1327" t="str">
            <v>9.962,71</v>
          </cell>
          <cell r="E1327">
            <v>0</v>
          </cell>
        </row>
        <row r="1328">
          <cell r="A1328">
            <v>42856</v>
          </cell>
          <cell r="B1328" t="str">
            <v>Corpo de BTCC 2,50 x 2,50 m projeto DNIT para 2,50 &lt; H &lt; 5,00 m em Vias Urbanas</v>
          </cell>
          <cell r="C1328" t="str">
            <v>m</v>
          </cell>
          <cell r="D1328" t="str">
            <v>11.162,45</v>
          </cell>
          <cell r="E1328">
            <v>0</v>
          </cell>
        </row>
        <row r="1329">
          <cell r="A1329">
            <v>42858</v>
          </cell>
          <cell r="B1329" t="str">
            <v>Corpo de BTCC 2,50 x 3,00 m projeto DNIT para H &lt; -&gt; 2,50 m em Vias Urbanas</v>
          </cell>
          <cell r="C1329" t="str">
            <v>m</v>
          </cell>
          <cell r="D1329" t="str">
            <v>12.361,78</v>
          </cell>
          <cell r="E1329">
            <v>0</v>
          </cell>
        </row>
        <row r="1330">
          <cell r="A1330">
            <v>42857</v>
          </cell>
          <cell r="B1330" t="str">
            <v>Corpo de BTCC 2,50 x 3,00 m projeto DNIT para H &lt; -&gt; 2,50 m em vias Urbanas</v>
          </cell>
          <cell r="C1330" t="str">
            <v>m</v>
          </cell>
          <cell r="D1330" t="str">
            <v>12.361,78</v>
          </cell>
          <cell r="E1330">
            <v>0</v>
          </cell>
        </row>
        <row r="1331">
          <cell r="A1331">
            <v>42859</v>
          </cell>
          <cell r="B1331" t="str">
            <v>Corpo de BTCC 2,50 x 3,00 m projeto DNIT para 2,50 &lt; H &lt; 5,00 m em Vias Urbanas</v>
          </cell>
          <cell r="C1331" t="str">
            <v>m</v>
          </cell>
          <cell r="D1331" t="str">
            <v>13.987,88</v>
          </cell>
          <cell r="E1331">
            <v>0</v>
          </cell>
        </row>
        <row r="1332">
          <cell r="A1332">
            <v>42860</v>
          </cell>
          <cell r="B1332" t="str">
            <v>Corpo de BTCC 3,00 x 3,00 m projeto DNIT para H &lt; -&gt; 2,50 m em Vias Urbanas</v>
          </cell>
          <cell r="C1332" t="str">
            <v>m</v>
          </cell>
          <cell r="D1332" t="str">
            <v>13.290,91</v>
          </cell>
          <cell r="E1332">
            <v>0</v>
          </cell>
        </row>
        <row r="1333">
          <cell r="A1333">
            <v>42861</v>
          </cell>
          <cell r="B1333" t="str">
            <v>Corpo de BTCC 3,00 x 3,00 m projeto DNIT para 2,50 &lt; H &lt; 5,00 m em Vias Urbanas</v>
          </cell>
          <cell r="C1333" t="str">
            <v>m</v>
          </cell>
          <cell r="D1333" t="str">
            <v>14.876,64</v>
          </cell>
          <cell r="E1333">
            <v>0</v>
          </cell>
        </row>
        <row r="1334">
          <cell r="A1334">
            <v>42862</v>
          </cell>
          <cell r="B1334" t="str">
            <v>Corta-rio (escavação mecânica em material de 1ª cat.) H-&gt;1,50 a 3,00 m em Vias Urbanas</v>
          </cell>
          <cell r="C1334" t="str">
            <v>m³</v>
          </cell>
          <cell r="D1334" t="str">
            <v>13,45</v>
          </cell>
          <cell r="E1334">
            <v>0</v>
          </cell>
        </row>
        <row r="1335">
          <cell r="A1335">
            <v>42863</v>
          </cell>
          <cell r="B1335" t="str">
            <v>Corta-rio (escavação mecânica em material de 2ª cat.) H-&gt;1,50 a 3,00m em Vias Urbanas</v>
          </cell>
          <cell r="C1335" t="str">
            <v>m³</v>
          </cell>
          <cell r="D1335" t="str">
            <v>26,91</v>
          </cell>
          <cell r="E1335">
            <v>0</v>
          </cell>
        </row>
        <row r="1336">
          <cell r="A1336">
            <v>42864</v>
          </cell>
          <cell r="B1336" t="str">
            <v>Corta-rio (escavação mecânica em material de 3º cat.) H-&gt;0,00 a 1,50m em Vias Urbanas</v>
          </cell>
          <cell r="C1336" t="str">
            <v>m³</v>
          </cell>
          <cell r="D1336" t="str">
            <v>113,98</v>
          </cell>
          <cell r="E1336">
            <v>0</v>
          </cell>
        </row>
        <row r="1337">
          <cell r="A1337">
            <v>42865</v>
          </cell>
          <cell r="B1337" t="str">
            <v>Corte e esmerilhamento de pontas de tubo de ferro fundido DN 500 a 200mm em Vias Urbanas</v>
          </cell>
          <cell r="C1337" t="str">
            <v>m</v>
          </cell>
          <cell r="D1337" t="str">
            <v>18,90</v>
          </cell>
          <cell r="E1337">
            <v>0</v>
          </cell>
        </row>
        <row r="1338">
          <cell r="A1338">
            <v>42866</v>
          </cell>
          <cell r="B1338" t="str">
            <v>Curva 90° de PVC, junta elástica PBA, D-&gt;75mm, fornecimento e assentamento em Vias Urbanas</v>
          </cell>
          <cell r="C1338" t="str">
            <v>un</v>
          </cell>
          <cell r="D1338" t="str">
            <v>53,07</v>
          </cell>
          <cell r="E1338">
            <v>0</v>
          </cell>
        </row>
        <row r="1339">
          <cell r="A1339">
            <v>42867</v>
          </cell>
          <cell r="B1339" t="str">
            <v>Demolição manual alvenaria tijolo furado assentado com argamassa em Vias Urbanas</v>
          </cell>
          <cell r="C1339" t="str">
            <v>m³</v>
          </cell>
          <cell r="D1339" t="str">
            <v>168,36</v>
          </cell>
          <cell r="E1339">
            <v>0</v>
          </cell>
        </row>
        <row r="1340">
          <cell r="A1340">
            <v>42868</v>
          </cell>
          <cell r="B1340" t="str">
            <v>Demolição manual de concreto armado em Vias Urbanas</v>
          </cell>
          <cell r="C1340" t="str">
            <v>m³</v>
          </cell>
          <cell r="D1340" t="str">
            <v>248,42</v>
          </cell>
          <cell r="E1340">
            <v>0</v>
          </cell>
        </row>
        <row r="1341">
          <cell r="A1341">
            <v>42869</v>
          </cell>
          <cell r="B1341" t="str">
            <v>Demolição manual de concreto simples ou ciclópico em Vias Urbanas</v>
          </cell>
          <cell r="C1341" t="str">
            <v>m³</v>
          </cell>
          <cell r="D1341" t="str">
            <v>219,19</v>
          </cell>
          <cell r="E1341">
            <v>0</v>
          </cell>
        </row>
        <row r="1342">
          <cell r="A1342">
            <v>42870</v>
          </cell>
          <cell r="B1342" t="str">
            <v>Demolição mecânica de concreto em Vias Urbanas</v>
          </cell>
          <cell r="C1342" t="str">
            <v>m³</v>
          </cell>
          <cell r="D1342" t="str">
            <v>158,26</v>
          </cell>
          <cell r="E1342">
            <v>0</v>
          </cell>
        </row>
        <row r="1343">
          <cell r="A1343">
            <v>42880</v>
          </cell>
          <cell r="B1343" t="str">
            <v>Descida d'água concreto simples (degraus) c/ caiação (DSA-03) apoio em Vias Urbanas</v>
          </cell>
          <cell r="C1343" t="str">
            <v>un</v>
          </cell>
          <cell r="D1343" t="str">
            <v>664,78</v>
          </cell>
          <cell r="E1343">
            <v>0</v>
          </cell>
        </row>
        <row r="1344">
          <cell r="A1344">
            <v>42883</v>
          </cell>
          <cell r="B1344" t="str">
            <v>Deslocamento de cerca de tela galvanizada fio 12 malha 3" x 3", em Vias Urbanas</v>
          </cell>
          <cell r="C1344" t="str">
            <v>m</v>
          </cell>
          <cell r="D1344" t="str">
            <v>34,81</v>
          </cell>
          <cell r="E1344" t="str">
            <v>A incluir</v>
          </cell>
        </row>
        <row r="1345">
          <cell r="A1345">
            <v>42899</v>
          </cell>
          <cell r="B1345" t="str">
            <v>Dreno de alívio de pavimento (DP - DAP - 01), com tubo PVC d-&gt;50mm, geotêxtil não tecido RT 07 kN/m inclusive transporte da brita em Vias Urbanas</v>
          </cell>
          <cell r="C1345" t="str">
            <v>m</v>
          </cell>
          <cell r="D1345" t="str">
            <v>49,02</v>
          </cell>
          <cell r="E1345" t="str">
            <v>A incluir</v>
          </cell>
        </row>
        <row r="1346">
          <cell r="A1346">
            <v>42901</v>
          </cell>
          <cell r="B1346" t="str">
            <v>Dreno de PVC D -&gt; 100 mm em Vias Urbanas</v>
          </cell>
          <cell r="C1346" t="str">
            <v>m</v>
          </cell>
          <cell r="D1346" t="str">
            <v>29,67</v>
          </cell>
          <cell r="E1346">
            <v>0</v>
          </cell>
        </row>
        <row r="1347">
          <cell r="A1347">
            <v>42900</v>
          </cell>
          <cell r="B1347" t="str">
            <v>Dreno de PVC D -&gt; 50 mm em Vias Urbanas</v>
          </cell>
          <cell r="C1347" t="str">
            <v>m</v>
          </cell>
          <cell r="D1347" t="str">
            <v>17,82</v>
          </cell>
          <cell r="E1347">
            <v>0</v>
          </cell>
        </row>
        <row r="1348">
          <cell r="A1348">
            <v>41185</v>
          </cell>
          <cell r="B1348" t="str">
            <v>Dreno em PVC perfurado diâm. -&gt; 100 mm, em Vias Urbanas</v>
          </cell>
          <cell r="C1348" t="str">
            <v>m</v>
          </cell>
          <cell r="D1348" t="str">
            <v>11,61</v>
          </cell>
          <cell r="E1348" t="str">
            <v>A incluir</v>
          </cell>
        </row>
        <row r="1349">
          <cell r="A1349">
            <v>42903</v>
          </cell>
          <cell r="B1349" t="str">
            <v>Dreno Longitudinal tipo Trincheira Drenante, H -&gt; 0,90 m com tubo poroso tipo PEAD d -&gt;110 mm, incluindo esc. mat. 3ª cat. em Vias Urbanas</v>
          </cell>
          <cell r="C1349" t="str">
            <v>m</v>
          </cell>
          <cell r="D1349" t="str">
            <v>102,93</v>
          </cell>
          <cell r="E1349" t="str">
            <v>A incluir</v>
          </cell>
        </row>
        <row r="1350">
          <cell r="A1350">
            <v>42904</v>
          </cell>
          <cell r="B1350" t="str">
            <v>Dreno Longitudinal tipo Trincheira Drenante, H -&gt; 0,90 m com tubo poroso tipo PEAD d-&gt;110 mm, inclusive esc. em mat. 1ª cat. em Vias Urbanas</v>
          </cell>
          <cell r="C1350" t="str">
            <v>m</v>
          </cell>
          <cell r="D1350" t="str">
            <v>81,90</v>
          </cell>
          <cell r="E1350" t="str">
            <v>A incluir</v>
          </cell>
        </row>
        <row r="1351">
          <cell r="A1351">
            <v>42902</v>
          </cell>
          <cell r="B1351" t="str">
            <v>Dreno Longitudinal tipo Trincheira Drenante, H-&gt;0,40m c/tubo poroso PEAD d -&gt; 65 mm, incl. esc. mat. 1ª cat., geotêxtil não tecido RT 07kN/m, V. Urbanas</v>
          </cell>
          <cell r="C1351" t="str">
            <v>m</v>
          </cell>
          <cell r="D1351" t="str">
            <v>82,44</v>
          </cell>
          <cell r="E1351">
            <v>0</v>
          </cell>
        </row>
        <row r="1352">
          <cell r="A1352">
            <v>42905</v>
          </cell>
          <cell r="B1352" t="str">
            <v>Dreno ou Barbacã em tubo PVC, diâmetro de 2" em Vias Urbanas</v>
          </cell>
          <cell r="C1352" t="str">
            <v>m</v>
          </cell>
          <cell r="D1352" t="str">
            <v>15,60</v>
          </cell>
          <cell r="E1352">
            <v>0</v>
          </cell>
        </row>
        <row r="1353">
          <cell r="A1353">
            <v>43120</v>
          </cell>
          <cell r="B1353" t="str">
            <v>Dreno profundo com enchimento de areia, escavação em material 1ª categoria, inclusive transporte da areia, em vias Urbanas</v>
          </cell>
          <cell r="C1353" t="str">
            <v>m</v>
          </cell>
          <cell r="D1353" t="str">
            <v>92,07</v>
          </cell>
          <cell r="E1353" t="str">
            <v>A incluir</v>
          </cell>
        </row>
        <row r="1354">
          <cell r="A1354">
            <v>42906</v>
          </cell>
          <cell r="B1354" t="str">
            <v>Dreno profundo com enchimento de brita e areia (1:1) escavação em material 1ª categoria, inclusive transporte da areia e da brita em Vias Urbanas</v>
          </cell>
          <cell r="C1354" t="str">
            <v>m</v>
          </cell>
          <cell r="D1354" t="str">
            <v>96,91</v>
          </cell>
          <cell r="E1354" t="str">
            <v>A incluir</v>
          </cell>
        </row>
        <row r="1355">
          <cell r="A1355">
            <v>42907</v>
          </cell>
          <cell r="B1355" t="str">
            <v>Dreno profundo com enchimento de brita e areia (1:1) escavação em material 2ª categoria, inclusive transporte da areia e da brita em Vias Urbanas</v>
          </cell>
          <cell r="C1355" t="str">
            <v>m</v>
          </cell>
          <cell r="D1355" t="str">
            <v>103,25</v>
          </cell>
          <cell r="E1355" t="str">
            <v>A incluir</v>
          </cell>
        </row>
        <row r="1356">
          <cell r="A1356">
            <v>42908</v>
          </cell>
          <cell r="B1356" t="str">
            <v>Dreno profundo com enchimento de brita, escavação em material 1ª categoria, inclusive transporte da brita em Vias Urbanas</v>
          </cell>
          <cell r="C1356" t="str">
            <v>m</v>
          </cell>
          <cell r="D1356" t="str">
            <v>94,79</v>
          </cell>
          <cell r="E1356" t="str">
            <v>A incluir</v>
          </cell>
        </row>
        <row r="1357">
          <cell r="A1357">
            <v>43122</v>
          </cell>
          <cell r="B1357" t="str">
            <v>Dreno profundo com tubo poroso, D-&gt;0,20 m com enchim. de brita, escav. material 3ª categoria (DPR-01), inclus. transporte brita e tubo, Vias Urbanas</v>
          </cell>
          <cell r="C1357" t="str">
            <v>m</v>
          </cell>
          <cell r="D1357" t="str">
            <v>92,33</v>
          </cell>
          <cell r="E1357" t="str">
            <v>A incluir</v>
          </cell>
        </row>
        <row r="1358">
          <cell r="A1358">
            <v>42913</v>
          </cell>
          <cell r="B1358" t="str">
            <v>Dreno profundo com tubo poroso, D-&gt;0,20m com enchim. de brita e areia, escav. material 2ª categoria, inclusi. transp. areia,brita e tubo Vias Urbanas</v>
          </cell>
          <cell r="C1358" t="str">
            <v>m</v>
          </cell>
          <cell r="D1358" t="str">
            <v>121,04</v>
          </cell>
          <cell r="E1358" t="str">
            <v>A incluir</v>
          </cell>
        </row>
        <row r="1359">
          <cell r="A1359">
            <v>42910</v>
          </cell>
          <cell r="B1359" t="str">
            <v>Dreno profundo D-&gt;0,10m c/ enchim.brita, areia (1:1) escav. em mat. 3ª categoria, incl.geotêxtil não tecido RT 16kn/m, e transp. brita, areia V.Urbanas</v>
          </cell>
          <cell r="C1359" t="str">
            <v>m</v>
          </cell>
          <cell r="D1359" t="str">
            <v>189,59</v>
          </cell>
          <cell r="E1359" t="str">
            <v>A incluir</v>
          </cell>
        </row>
        <row r="1360">
          <cell r="A1360">
            <v>42909</v>
          </cell>
          <cell r="B1360" t="str">
            <v>Dreno profundo D-&gt;0,10m c/ enchim.brita,areia (1:1) escav.mat. 1ª categoria, incl. geotêxtil não tecido RT16 kn/m e transp. areia,brita- Vias Urbanas</v>
          </cell>
          <cell r="C1360" t="str">
            <v>m</v>
          </cell>
          <cell r="D1360" t="str">
            <v>124,31</v>
          </cell>
          <cell r="E1360" t="str">
            <v>A incluir</v>
          </cell>
        </row>
        <row r="1361">
          <cell r="A1361">
            <v>42911</v>
          </cell>
          <cell r="B1361" t="str">
            <v>Dreno profundo D-&gt;0,20m com enchimento de areia, escavação em material 1ª categoria (DPS-01), inclusive transporte da areia e do tubo em Vias Urbanas</v>
          </cell>
          <cell r="C1361" t="str">
            <v>m</v>
          </cell>
          <cell r="D1361" t="str">
            <v>116,43</v>
          </cell>
          <cell r="E1361" t="str">
            <v>A incluir</v>
          </cell>
        </row>
        <row r="1362">
          <cell r="A1362">
            <v>42912</v>
          </cell>
          <cell r="B1362" t="str">
            <v>Dreno profundo D-&gt;0,20m com enchimento de brita e areia, escavação em material 1ª categoria, inclusive transporte da brita e da areia, em Vias Urbanas</v>
          </cell>
          <cell r="C1362" t="str">
            <v>m</v>
          </cell>
          <cell r="D1362" t="str">
            <v>114,70</v>
          </cell>
          <cell r="E1362" t="str">
            <v>A incluir</v>
          </cell>
        </row>
        <row r="1363">
          <cell r="A1363">
            <v>42915</v>
          </cell>
          <cell r="B1363" t="str">
            <v>Dreno profundo para corte em solo, com enchimento em brita revestido com geotêxtil não tecido RT-16, inclusive transporte da brita em Vias Urbanas</v>
          </cell>
          <cell r="C1363" t="str">
            <v>m</v>
          </cell>
          <cell r="D1363" t="str">
            <v>117,35</v>
          </cell>
          <cell r="E1363" t="str">
            <v>A incluir</v>
          </cell>
        </row>
        <row r="1364">
          <cell r="A1364">
            <v>42914</v>
          </cell>
          <cell r="B1364" t="str">
            <v>Dreno profundo solo c/tubo PVC perfur. D-&gt;0,10 m envolto geotêxtil não tecidoRT16kn/mpreench.c/brita, inclus.transp.dreno exclus transp.brita V Urbanas</v>
          </cell>
          <cell r="C1364" t="str">
            <v>m</v>
          </cell>
          <cell r="D1364" t="str">
            <v>82,13</v>
          </cell>
          <cell r="E1364" t="str">
            <v>A incluir</v>
          </cell>
        </row>
        <row r="1365">
          <cell r="A1365">
            <v>42917</v>
          </cell>
          <cell r="B1365" t="str">
            <v>Dreno sub-horizontal D -&gt; 50 mm em PVC inclus. escavação em alteração de rocha, geotêxtil não tecido RT-16 exclusive transp. em Vias Urbanas</v>
          </cell>
          <cell r="C1365" t="str">
            <v>m</v>
          </cell>
          <cell r="D1365" t="str">
            <v>605,65</v>
          </cell>
          <cell r="E1365">
            <v>0</v>
          </cell>
        </row>
        <row r="1366">
          <cell r="A1366">
            <v>42918</v>
          </cell>
          <cell r="B1366" t="str">
            <v>Dreno sub-horizontal D -&gt; 50 mm em PVC inclus.escavação em rocha sã, geotêxtil não tecido RT-16, exclusive transportes em Vias Urbanas</v>
          </cell>
          <cell r="C1366" t="str">
            <v>m</v>
          </cell>
          <cell r="D1366" t="str">
            <v>775,34</v>
          </cell>
          <cell r="E1366">
            <v>0</v>
          </cell>
        </row>
        <row r="1367">
          <cell r="A1367">
            <v>42916</v>
          </cell>
          <cell r="B1367" t="str">
            <v>Dreno sub-horizontal D-&gt;50 mm inclusive geotêxtil não tecido RT 16 kn/m, em PVC, exclusive transportes em Vias Urbanas</v>
          </cell>
          <cell r="C1367" t="str">
            <v>m</v>
          </cell>
          <cell r="D1367" t="str">
            <v>442,21</v>
          </cell>
          <cell r="E1367">
            <v>0</v>
          </cell>
        </row>
        <row r="1368">
          <cell r="A1368">
            <v>42919</v>
          </cell>
          <cell r="B1368" t="str">
            <v>Dreno sub-superficial rocha (h-&gt;0,55m) c/tubo PVC perfur.d-&gt;0,10m, env. geotêxtil RT-16, preenc.c/ brita, incl. transp. dreno, excl. transp brita-V. Urb</v>
          </cell>
          <cell r="C1368" t="str">
            <v>m</v>
          </cell>
          <cell r="D1368" t="str">
            <v>66,05</v>
          </cell>
          <cell r="E1368" t="str">
            <v>A incluir</v>
          </cell>
        </row>
        <row r="1369">
          <cell r="A1369">
            <v>42920</v>
          </cell>
          <cell r="B1369" t="str">
            <v>Dreno vertical D -&gt; 75 mm em PVC, inclusive geotêxtil não tecido RT-16, exclusive transportes, em Vias Urbanas</v>
          </cell>
          <cell r="C1369" t="str">
            <v>m</v>
          </cell>
          <cell r="D1369" t="str">
            <v>448,00</v>
          </cell>
          <cell r="E1369">
            <v>0</v>
          </cell>
        </row>
        <row r="1370">
          <cell r="A1370">
            <v>42921</v>
          </cell>
          <cell r="B1370" t="str">
            <v>Eletroduto de ferro galvanizado DN 4" , inclusive conexões, exclusive escavação e reaterro, fornecimento e assentamento, em Vias Urbanas</v>
          </cell>
          <cell r="C1370" t="str">
            <v>m</v>
          </cell>
          <cell r="D1370" t="str">
            <v>93,42</v>
          </cell>
          <cell r="E1370">
            <v>0</v>
          </cell>
        </row>
        <row r="1371">
          <cell r="A1371">
            <v>42922</v>
          </cell>
          <cell r="B1371" t="str">
            <v>Eletroduto para rede de lógica, inclusive conexões, em Vias Urbanas</v>
          </cell>
          <cell r="C1371" t="str">
            <v>m</v>
          </cell>
          <cell r="D1371" t="str">
            <v>18,78</v>
          </cell>
          <cell r="E1371">
            <v>0</v>
          </cell>
        </row>
        <row r="1372">
          <cell r="A1372">
            <v>42923</v>
          </cell>
          <cell r="B1372" t="str">
            <v>Eletroduto PVC diâmetro 75mm, fornecimento e assentamento em Vias Urbanas</v>
          </cell>
          <cell r="C1372" t="str">
            <v>m</v>
          </cell>
          <cell r="D1372" t="str">
            <v>21,75</v>
          </cell>
          <cell r="E1372">
            <v>0</v>
          </cell>
        </row>
        <row r="1373">
          <cell r="A1373">
            <v>42924</v>
          </cell>
          <cell r="B1373" t="str">
            <v>Eletroduto PVC rígido roscável diâm. 50 mm, fornecimento e assentamento em Vias Urbanas</v>
          </cell>
          <cell r="C1373" t="str">
            <v>m</v>
          </cell>
          <cell r="D1373" t="str">
            <v>11,36</v>
          </cell>
          <cell r="E1373">
            <v>0</v>
          </cell>
        </row>
        <row r="1374">
          <cell r="A1374">
            <v>42925</v>
          </cell>
          <cell r="B1374" t="str">
            <v>Eletroduto tipo Kanaflex diâmetro 1 1/4", fornecimento e assentamento em Vias Urbanas</v>
          </cell>
          <cell r="C1374" t="str">
            <v>m</v>
          </cell>
          <cell r="D1374" t="str">
            <v>11,56</v>
          </cell>
          <cell r="E1374">
            <v>0</v>
          </cell>
        </row>
        <row r="1375">
          <cell r="A1375">
            <v>42926</v>
          </cell>
          <cell r="B1375" t="str">
            <v>Eletroduto tipo Kanaflex diâmetro 1 1/2", fornecimento e assentamento em Vias Urbanas</v>
          </cell>
          <cell r="C1375" t="str">
            <v>m</v>
          </cell>
          <cell r="D1375" t="str">
            <v>14,33</v>
          </cell>
          <cell r="E1375">
            <v>0</v>
          </cell>
        </row>
        <row r="1376">
          <cell r="A1376">
            <v>42927</v>
          </cell>
          <cell r="B1376" t="str">
            <v>Eletroduto tipo Kanaflex diâmetro 2", fornecimento e assentamento em Vias Urbanas</v>
          </cell>
          <cell r="C1376" t="str">
            <v>m</v>
          </cell>
          <cell r="D1376" t="str">
            <v>17,75</v>
          </cell>
          <cell r="E1376">
            <v>0</v>
          </cell>
        </row>
        <row r="1377">
          <cell r="A1377">
            <v>42928</v>
          </cell>
          <cell r="B1377" t="str">
            <v>Eletroduto tipo Kanaflex diâmetro 4", fornecimento e assentamento em Vias Urbanas</v>
          </cell>
          <cell r="C1377" t="str">
            <v>m</v>
          </cell>
          <cell r="D1377" t="str">
            <v>30,45</v>
          </cell>
          <cell r="E1377">
            <v>0</v>
          </cell>
        </row>
        <row r="1378">
          <cell r="A1378">
            <v>42942</v>
          </cell>
          <cell r="B1378" t="str">
            <v>Escada de madeira executada sobre terreno inclinado, com 80 cm de largura mínima em Vias Urbanas</v>
          </cell>
          <cell r="C1378" t="str">
            <v>m</v>
          </cell>
          <cell r="D1378" t="str">
            <v>59,55</v>
          </cell>
          <cell r="E1378">
            <v>0</v>
          </cell>
        </row>
        <row r="1379">
          <cell r="A1379">
            <v>42944</v>
          </cell>
          <cell r="B1379" t="str">
            <v>Escavação manual em mat. 1ª cat. H-&gt; 0,00 a 1,50 m c/ esgotamento em Vias Urbanas</v>
          </cell>
          <cell r="C1379" t="str">
            <v>m³</v>
          </cell>
          <cell r="D1379" t="str">
            <v>55,70</v>
          </cell>
          <cell r="E1379">
            <v>0</v>
          </cell>
        </row>
        <row r="1380">
          <cell r="A1380">
            <v>42943</v>
          </cell>
          <cell r="B1380" t="str">
            <v>Escavação manual em mat. 1ª cat. H-&gt; 0,00 a 1,50 m em Vias Urbanas</v>
          </cell>
          <cell r="C1380" t="str">
            <v>m³</v>
          </cell>
          <cell r="D1380" t="str">
            <v>52,56</v>
          </cell>
          <cell r="E1380">
            <v>0</v>
          </cell>
        </row>
        <row r="1381">
          <cell r="A1381">
            <v>42946</v>
          </cell>
          <cell r="B1381" t="str">
            <v>Escavação manual em mat. 1ª cat. H-&gt; 1,50 a 3,00 m c/ esgotamento em Vias Urbanas</v>
          </cell>
          <cell r="C1381" t="str">
            <v>m³</v>
          </cell>
          <cell r="D1381" t="str">
            <v>78,59</v>
          </cell>
          <cell r="E1381">
            <v>0</v>
          </cell>
        </row>
        <row r="1382">
          <cell r="A1382">
            <v>42945</v>
          </cell>
          <cell r="B1382" t="str">
            <v>Escavação manual em mat. 1ª cat. H-&gt; 1,50 a 3,00 m em Vias Urbanas</v>
          </cell>
          <cell r="C1382" t="str">
            <v>m³</v>
          </cell>
          <cell r="D1382" t="str">
            <v>77,45</v>
          </cell>
          <cell r="E1382">
            <v>0</v>
          </cell>
        </row>
        <row r="1383">
          <cell r="A1383">
            <v>42948</v>
          </cell>
          <cell r="B1383" t="str">
            <v>Escavação manual em mat. 1ª cat. H-&gt; 3,00 a 4,50 m c/ esgotamento, em Vias Urbanas</v>
          </cell>
          <cell r="C1383" t="str">
            <v>m³</v>
          </cell>
          <cell r="D1383" t="str">
            <v>112,93</v>
          </cell>
          <cell r="E1383">
            <v>0</v>
          </cell>
        </row>
        <row r="1384">
          <cell r="A1384">
            <v>42947</v>
          </cell>
          <cell r="B1384" t="str">
            <v>Escavação manual em mat. 1ª cat. H-&gt; 3,00 a 4,50 m, em Vias Urbanas</v>
          </cell>
          <cell r="C1384" t="str">
            <v>m³</v>
          </cell>
          <cell r="D1384" t="str">
            <v>114,77</v>
          </cell>
          <cell r="E1384">
            <v>0</v>
          </cell>
        </row>
        <row r="1385">
          <cell r="A1385">
            <v>42949</v>
          </cell>
          <cell r="B1385" t="str">
            <v>Escavação manual em mat. 2ª cat. H-&gt; 0,00 a 1,50 m c/ esgotamento, em Vias Urbanas</v>
          </cell>
          <cell r="C1385" t="str">
            <v>m³</v>
          </cell>
          <cell r="D1385" t="str">
            <v>117,98</v>
          </cell>
          <cell r="E1385">
            <v>0</v>
          </cell>
        </row>
        <row r="1386">
          <cell r="A1386">
            <v>42950</v>
          </cell>
          <cell r="B1386" t="str">
            <v>Escavação manual em mat. 2ª cat. H-&gt; 0,00 a 1,50 m s/ detonação, em Vias Urbanas</v>
          </cell>
          <cell r="C1386" t="str">
            <v>m³</v>
          </cell>
          <cell r="D1386" t="str">
            <v>120,27</v>
          </cell>
          <cell r="E1386">
            <v>0</v>
          </cell>
        </row>
        <row r="1387">
          <cell r="A1387">
            <v>42951</v>
          </cell>
          <cell r="B1387" t="str">
            <v>Escavação manual em mat. 2ª cat. H-&gt; 1,50 a 3,00 m c/ esgotamento, em Vias Urbanas</v>
          </cell>
          <cell r="C1387" t="str">
            <v>m³</v>
          </cell>
          <cell r="D1387" t="str">
            <v>144,92</v>
          </cell>
          <cell r="E1387">
            <v>0</v>
          </cell>
        </row>
        <row r="1388">
          <cell r="A1388">
            <v>42952</v>
          </cell>
          <cell r="B1388" t="str">
            <v>Escavação manual em mat. 2ª cat. H-&gt; 1,50 a 3,00 m s/ detonação, em Vias Urbanas</v>
          </cell>
          <cell r="C1388" t="str">
            <v>m³</v>
          </cell>
          <cell r="D1388" t="str">
            <v>149,54</v>
          </cell>
          <cell r="E1388">
            <v>0</v>
          </cell>
        </row>
        <row r="1389">
          <cell r="A1389">
            <v>42953</v>
          </cell>
          <cell r="B1389" t="str">
            <v>Escavação manual em mat. 2ª cat. H-&gt; 3,00 a 4,50 m c/ esgotamento, em Vias Urbanas</v>
          </cell>
          <cell r="C1389" t="str">
            <v>m³</v>
          </cell>
          <cell r="D1389" t="str">
            <v>251,54</v>
          </cell>
          <cell r="E1389">
            <v>0</v>
          </cell>
        </row>
        <row r="1390">
          <cell r="A1390">
            <v>42954</v>
          </cell>
          <cell r="B1390" t="str">
            <v>Escavação manual em mat. 2ª cat. H-&gt; 3,00 a 4,50 m s/ detonação, em Vias Urbanas</v>
          </cell>
          <cell r="C1390" t="str">
            <v>m³</v>
          </cell>
          <cell r="D1390" t="str">
            <v>265,44</v>
          </cell>
          <cell r="E1390">
            <v>0</v>
          </cell>
        </row>
        <row r="1391">
          <cell r="A1391">
            <v>42955</v>
          </cell>
          <cell r="B1391" t="str">
            <v>Escavação manual em mat. 3ª cat. H-&gt; 0,00 a 1,50 m, a fogo, em Vias Urbanas</v>
          </cell>
          <cell r="C1391" t="str">
            <v>m³</v>
          </cell>
          <cell r="D1391" t="str">
            <v>335,26</v>
          </cell>
          <cell r="E1391">
            <v>0</v>
          </cell>
        </row>
        <row r="1392">
          <cell r="A1392">
            <v>42956</v>
          </cell>
          <cell r="B1392" t="str">
            <v>Escavação manual furos, valetas mat. 1ª cat. H-&gt; 0,00 a 1,50 m (dim. reduz.), em Vias Urbanas</v>
          </cell>
          <cell r="C1392" t="str">
            <v>m³</v>
          </cell>
          <cell r="D1392" t="str">
            <v>77,45</v>
          </cell>
          <cell r="E1392">
            <v>0</v>
          </cell>
        </row>
        <row r="1393">
          <cell r="A1393">
            <v>42957</v>
          </cell>
          <cell r="B1393" t="str">
            <v>Escavação manual furos, valetas mat. 2ª cat. H-&gt; 0,00 a 1,50 m s/detonação (dim. reduz.), em Vias Urbanas</v>
          </cell>
          <cell r="C1393" t="str">
            <v>m³</v>
          </cell>
          <cell r="D1393" t="str">
            <v>179,00</v>
          </cell>
          <cell r="E1393">
            <v>0</v>
          </cell>
        </row>
        <row r="1394">
          <cell r="A1394">
            <v>42958</v>
          </cell>
          <cell r="B1394" t="str">
            <v>Escavação mecânica de valas em material de 1ª categoria, 3,00 a 4,50 m, c/ esgotamento, carga do material, transp. material p/ bota-fora -Vias Urbanas</v>
          </cell>
          <cell r="C1394" t="str">
            <v>m³</v>
          </cell>
          <cell r="D1394" t="str">
            <v>203,20</v>
          </cell>
          <cell r="E1394" t="str">
            <v>A incluir</v>
          </cell>
        </row>
        <row r="1395">
          <cell r="A1395">
            <v>42959</v>
          </cell>
          <cell r="B1395" t="str">
            <v>Escavação mecânica de valas em 1ª categoria, profundidade de 4,50 a 6,00 m com esgotamento, transp. DMT-&gt;20km, descarga e espalhamento, em Vias Urbanas</v>
          </cell>
          <cell r="C1395" t="str">
            <v>m³</v>
          </cell>
          <cell r="D1395" t="str">
            <v>205,04</v>
          </cell>
          <cell r="E1395" t="str">
            <v>A incluir</v>
          </cell>
        </row>
        <row r="1396">
          <cell r="A1396">
            <v>42961</v>
          </cell>
          <cell r="B1396" t="str">
            <v>Escavação mecânica em material de 1ª cat. H-&gt; 0,00 a 1,50 m c/ esgotamento, em Vias Urbanas</v>
          </cell>
          <cell r="C1396" t="str">
            <v>m³</v>
          </cell>
          <cell r="D1396" t="str">
            <v>17,48</v>
          </cell>
          <cell r="E1396">
            <v>0</v>
          </cell>
        </row>
        <row r="1397">
          <cell r="A1397">
            <v>42962</v>
          </cell>
          <cell r="B1397" t="str">
            <v>Escavação mecânica em material de 1ª cat. H-&gt; 0,00 a 1,50 m c/ esgotamento, em Vias Urbanas</v>
          </cell>
          <cell r="C1397" t="str">
            <v>m³</v>
          </cell>
          <cell r="D1397" t="str">
            <v>17,48</v>
          </cell>
          <cell r="E1397">
            <v>0</v>
          </cell>
        </row>
        <row r="1398">
          <cell r="A1398">
            <v>42960</v>
          </cell>
          <cell r="B1398" t="str">
            <v>Escavação mecânica em material de 1ª cat. H-&gt; 0,00 a 1,50 m, em Vias Urbanas</v>
          </cell>
          <cell r="C1398" t="str">
            <v>m³</v>
          </cell>
          <cell r="D1398" t="str">
            <v>11,16</v>
          </cell>
          <cell r="E1398">
            <v>0</v>
          </cell>
        </row>
        <row r="1399">
          <cell r="A1399">
            <v>42964</v>
          </cell>
          <cell r="B1399" t="str">
            <v>Escavação mecânica em material de 1ª cat. H-&gt; 1,50 a 3,00 m c/ esgotamento, em Vias Urbanas</v>
          </cell>
          <cell r="C1399" t="str">
            <v>m³</v>
          </cell>
          <cell r="D1399" t="str">
            <v>18,49</v>
          </cell>
          <cell r="E1399">
            <v>0</v>
          </cell>
        </row>
        <row r="1400">
          <cell r="A1400">
            <v>42963</v>
          </cell>
          <cell r="B1400" t="str">
            <v>Escavação mecânica em material de 1ª cat. H-&gt; 1,50 a 3,00 m, em Vias Urbanas</v>
          </cell>
          <cell r="C1400" t="str">
            <v>m³</v>
          </cell>
          <cell r="D1400" t="str">
            <v>12,13</v>
          </cell>
          <cell r="E1400">
            <v>0</v>
          </cell>
        </row>
        <row r="1401">
          <cell r="A1401">
            <v>42966</v>
          </cell>
          <cell r="B1401" t="str">
            <v>Escavação mecânica em material de 1º cat. H-&gt; 3,00 a 4,50 m c/ esgotamento, em Vias Urbanas</v>
          </cell>
          <cell r="C1401" t="str">
            <v>m³</v>
          </cell>
          <cell r="D1401" t="str">
            <v>20,46</v>
          </cell>
          <cell r="E1401">
            <v>0</v>
          </cell>
        </row>
        <row r="1402">
          <cell r="A1402">
            <v>42965</v>
          </cell>
          <cell r="B1402" t="str">
            <v>Escavação mecânica em material de 1ª cat. H-&gt; 3,00 a 4,50 m, em Vias Urbanas</v>
          </cell>
          <cell r="C1402" t="str">
            <v>m³</v>
          </cell>
          <cell r="D1402" t="str">
            <v>14,09</v>
          </cell>
          <cell r="E1402">
            <v>0</v>
          </cell>
        </row>
        <row r="1403">
          <cell r="A1403">
            <v>42968</v>
          </cell>
          <cell r="B1403" t="str">
            <v>Escavação mecânica em material de 2ª cat. H-&gt; 0,00 a 1,50 m c/ esgotamento, em Vias Urbanas</v>
          </cell>
          <cell r="C1403" t="str">
            <v>m³</v>
          </cell>
          <cell r="D1403" t="str">
            <v>25,93</v>
          </cell>
          <cell r="E1403">
            <v>0</v>
          </cell>
        </row>
        <row r="1404">
          <cell r="A1404">
            <v>42967</v>
          </cell>
          <cell r="B1404" t="str">
            <v>Escavação mecânica em material de 2ª cat. H-&gt; 0,00 a 1,50 m, em Vias Urbanas</v>
          </cell>
          <cell r="C1404" t="str">
            <v>m³</v>
          </cell>
          <cell r="D1404" t="str">
            <v>20,30</v>
          </cell>
          <cell r="E1404">
            <v>0</v>
          </cell>
        </row>
        <row r="1405">
          <cell r="A1405">
            <v>42970</v>
          </cell>
          <cell r="B1405" t="str">
            <v>Escavação mecânica em material de 2ª cat. H-&gt; 1,50 a 3,00 m c/ esgotamento, em Vias Urbanas</v>
          </cell>
          <cell r="C1405" t="str">
            <v>m³</v>
          </cell>
          <cell r="D1405" t="str">
            <v>29,67</v>
          </cell>
          <cell r="E1405">
            <v>0</v>
          </cell>
        </row>
        <row r="1406">
          <cell r="A1406">
            <v>42969</v>
          </cell>
          <cell r="B1406" t="str">
            <v>Escavação mecânica em material de 2ª cat. H-&gt; 1,50 a 3,00 m, em Vias Urbanas</v>
          </cell>
          <cell r="C1406" t="str">
            <v>m³</v>
          </cell>
          <cell r="D1406" t="str">
            <v>24,26</v>
          </cell>
          <cell r="E1406">
            <v>0</v>
          </cell>
        </row>
        <row r="1407">
          <cell r="A1407">
            <v>42973</v>
          </cell>
          <cell r="B1407" t="str">
            <v>Escavação mecânica em material de 2ª cat. H-&gt; 3,00 a 4,50 m c/ esgotamento, em Vias Urbanas</v>
          </cell>
          <cell r="C1407" t="str">
            <v>m³</v>
          </cell>
          <cell r="D1407" t="str">
            <v>35,24</v>
          </cell>
          <cell r="E1407">
            <v>0</v>
          </cell>
        </row>
        <row r="1408">
          <cell r="A1408">
            <v>42979</v>
          </cell>
          <cell r="B1408" t="str">
            <v>Escavação mecânica em material de 2º cat. H-&gt; 3,00 a 4,50 m c/ esgotamento em Vias Urbanas</v>
          </cell>
          <cell r="C1408" t="str">
            <v>m³</v>
          </cell>
          <cell r="D1408" t="str">
            <v>35,24</v>
          </cell>
          <cell r="E1408">
            <v>0</v>
          </cell>
        </row>
        <row r="1409">
          <cell r="A1409">
            <v>42971</v>
          </cell>
          <cell r="B1409" t="str">
            <v>Escavação mecânica em material de 2ª cat. H-&gt; 3,00 a 4,50 m, em Vias Urbanas</v>
          </cell>
          <cell r="C1409" t="str">
            <v>m³</v>
          </cell>
          <cell r="D1409" t="str">
            <v>30,38</v>
          </cell>
          <cell r="E1409">
            <v>0</v>
          </cell>
        </row>
        <row r="1410">
          <cell r="A1410">
            <v>42981</v>
          </cell>
          <cell r="B1410" t="str">
            <v>Escoramento de cavas e valas, inclusive fornecimento e transporte das madeiras, em Vias Urbanas</v>
          </cell>
          <cell r="C1410" t="str">
            <v>m²</v>
          </cell>
          <cell r="D1410" t="str">
            <v>180,22</v>
          </cell>
          <cell r="E1410" t="str">
            <v>A incluir</v>
          </cell>
        </row>
        <row r="1411">
          <cell r="A1411">
            <v>42982</v>
          </cell>
          <cell r="B1411" t="str">
            <v>Escoramento e cimbramento (bueiro celular), inclusive fornecimento e transporte das madeiras, em Vias Urbanas</v>
          </cell>
          <cell r="C1411" t="str">
            <v>m³</v>
          </cell>
          <cell r="D1411" t="str">
            <v>121,38</v>
          </cell>
          <cell r="E1411" t="str">
            <v>A incluir</v>
          </cell>
        </row>
        <row r="1412">
          <cell r="A1412">
            <v>0</v>
          </cell>
          <cell r="B1412">
            <v>0</v>
          </cell>
          <cell r="C1412">
            <v>0</v>
          </cell>
          <cell r="E1412" t="e">
            <v>#N/A</v>
          </cell>
        </row>
        <row r="1413">
          <cell r="A1413">
            <v>42987</v>
          </cell>
          <cell r="B1413" t="str">
            <v>Forma especial de madeira para meio fio, inclusive fornecimento e transporte das madeiras em Vias Urbanas</v>
          </cell>
          <cell r="C1413" t="str">
            <v>m²</v>
          </cell>
          <cell r="D1413" t="str">
            <v>71,11</v>
          </cell>
          <cell r="E1413" t="str">
            <v>A incluir</v>
          </cell>
        </row>
        <row r="1414">
          <cell r="A1414">
            <v>42988</v>
          </cell>
          <cell r="B1414" t="str">
            <v>Forma especial de madeira para sarjeta (gabarito), inclusive fornecimento e transporte das madeiras, em Vias Urbanas</v>
          </cell>
          <cell r="C1414" t="str">
            <v>m²</v>
          </cell>
          <cell r="D1414" t="str">
            <v>60,80</v>
          </cell>
          <cell r="E1414" t="str">
            <v>A incluir</v>
          </cell>
        </row>
        <row r="1415">
          <cell r="A1415">
            <v>42989</v>
          </cell>
          <cell r="B1415" t="str">
            <v>Forma metálica para meio fio, em Vias Urbanas</v>
          </cell>
          <cell r="C1415" t="str">
            <v>m²</v>
          </cell>
          <cell r="D1415" t="str">
            <v>6,96</v>
          </cell>
          <cell r="E1415">
            <v>0</v>
          </cell>
        </row>
        <row r="1416">
          <cell r="A1416">
            <v>42991</v>
          </cell>
          <cell r="B1416" t="str">
            <v>Formas planas de madeira com 01 (um) reaproveitamento, inclusive fornecimento e transporte das madeiras, em Vias Urbanas</v>
          </cell>
          <cell r="C1416" t="str">
            <v>m²</v>
          </cell>
          <cell r="D1416" t="str">
            <v>104,18</v>
          </cell>
          <cell r="E1416" t="str">
            <v>A incluir</v>
          </cell>
        </row>
        <row r="1417">
          <cell r="A1417">
            <v>42992</v>
          </cell>
          <cell r="B1417" t="str">
            <v>Formas planas de madeira com 02 (dois) reaproveitamentos, inclusive fornecimento e transporte das madeiras, em Vias Urbanas</v>
          </cell>
          <cell r="C1417" t="str">
            <v>m²</v>
          </cell>
          <cell r="D1417" t="str">
            <v>86,95</v>
          </cell>
          <cell r="E1417" t="str">
            <v>A incluir</v>
          </cell>
        </row>
        <row r="1418">
          <cell r="A1418">
            <v>42993</v>
          </cell>
          <cell r="B1418" t="str">
            <v>Formas planas de madeira com 04 (quatro) reaproveitamentos, inclusive fornecimento e transporte das madeiras, em Vias Urbanas</v>
          </cell>
          <cell r="C1418" t="str">
            <v>m²</v>
          </cell>
          <cell r="D1418" t="str">
            <v>72,56</v>
          </cell>
          <cell r="E1418" t="str">
            <v>A incluir</v>
          </cell>
        </row>
        <row r="1419">
          <cell r="A1419">
            <v>42994</v>
          </cell>
          <cell r="B1419" t="str">
            <v>Formas planas de madeira sem reaproveitamento (forma perdida), inclusive fornecimento e transporte das madeiras em Vias Urbanas</v>
          </cell>
          <cell r="C1419" t="str">
            <v>m²</v>
          </cell>
          <cell r="D1419" t="str">
            <v>153,40</v>
          </cell>
          <cell r="E1419" t="str">
            <v>A incluir</v>
          </cell>
        </row>
        <row r="1420">
          <cell r="A1420">
            <v>43070</v>
          </cell>
          <cell r="B1420" t="str">
            <v>Gabião manta/colchão, p/ revest. canal em malha hex 6x8mm Zn-Al/PVC, e-&gt;2,8mm,h-&gt;0,23m, inclus.aquis./assentam. pedra mão, exclus. transp., Vias Urbanas</v>
          </cell>
          <cell r="C1420" t="str">
            <v>m²</v>
          </cell>
          <cell r="D1420" t="str">
            <v>162,73</v>
          </cell>
          <cell r="E1420">
            <v>0</v>
          </cell>
        </row>
        <row r="1421">
          <cell r="A1421">
            <v>42995</v>
          </cell>
          <cell r="B1421" t="str">
            <v>Gabiões com caixas e sacos galvanizados, com geotêxtil não tecido RT 07 kN/m, em Vias Urbanas</v>
          </cell>
          <cell r="C1421" t="str">
            <v>m³</v>
          </cell>
          <cell r="D1421" t="str">
            <v>325,46</v>
          </cell>
          <cell r="E1421" t="str">
            <v>A incluir</v>
          </cell>
        </row>
        <row r="1422">
          <cell r="A1422">
            <v>42996</v>
          </cell>
          <cell r="B1422" t="str">
            <v>Gabiões com caixas galvanizadas, sem manta, em Vias Urbanas</v>
          </cell>
          <cell r="C1422" t="str">
            <v>m³</v>
          </cell>
          <cell r="D1422" t="str">
            <v>306,87</v>
          </cell>
          <cell r="E1422" t="str">
            <v>A incluir</v>
          </cell>
        </row>
        <row r="1423">
          <cell r="A1423">
            <v>43012</v>
          </cell>
          <cell r="B1423" t="str">
            <v>Geotêxtil não tecido RT-16 kn/m, fornecimento e aplicação em Vias Urbanas</v>
          </cell>
          <cell r="C1423" t="str">
            <v>m²</v>
          </cell>
          <cell r="D1423" t="str">
            <v>8,62</v>
          </cell>
          <cell r="E1423">
            <v>0</v>
          </cell>
        </row>
        <row r="1424">
          <cell r="A1424">
            <v>43011</v>
          </cell>
          <cell r="B1424" t="str">
            <v>Geotêxtil não-tecido com resistência longitudinal a tração 10kN/m, fornecimento e aplicação em Vias Urbanas</v>
          </cell>
          <cell r="C1424" t="str">
            <v>m²</v>
          </cell>
          <cell r="D1424" t="str">
            <v>6,11</v>
          </cell>
          <cell r="E1424">
            <v>0</v>
          </cell>
        </row>
        <row r="1425">
          <cell r="A1425">
            <v>43003</v>
          </cell>
          <cell r="B1425" t="str">
            <v>Lastro de brita, inclusive transporte da brita em Vias Urbanas</v>
          </cell>
          <cell r="C1425" t="str">
            <v>m³</v>
          </cell>
          <cell r="D1425" t="str">
            <v>103,93</v>
          </cell>
          <cell r="E1425" t="str">
            <v>A incluir</v>
          </cell>
        </row>
        <row r="1426">
          <cell r="A1426">
            <v>43004</v>
          </cell>
          <cell r="B1426" t="str">
            <v>Limpeza e apicoamento manual de superfície de rocha em Vias Urbanas</v>
          </cell>
          <cell r="C1426" t="str">
            <v>m²</v>
          </cell>
          <cell r="D1426" t="str">
            <v>32,29</v>
          </cell>
          <cell r="E1426">
            <v>0</v>
          </cell>
        </row>
        <row r="1427">
          <cell r="A1427">
            <v>43005</v>
          </cell>
          <cell r="B1427" t="str">
            <v>Limpeza e desobstrução de BDTC e BDCC em Vias Urbanas</v>
          </cell>
          <cell r="C1427" t="str">
            <v>m</v>
          </cell>
          <cell r="D1427" t="str">
            <v>29,11</v>
          </cell>
          <cell r="E1427">
            <v>0</v>
          </cell>
        </row>
        <row r="1428">
          <cell r="A1428">
            <v>43006</v>
          </cell>
          <cell r="B1428" t="str">
            <v>Limpeza e desobstrução de BQTC em Vias Urbanas</v>
          </cell>
          <cell r="C1428" t="str">
            <v>m</v>
          </cell>
          <cell r="D1428" t="str">
            <v>47,06</v>
          </cell>
          <cell r="E1428">
            <v>0</v>
          </cell>
        </row>
        <row r="1429">
          <cell r="A1429">
            <v>43007</v>
          </cell>
          <cell r="B1429" t="str">
            <v>Limpeza e desobstrução de BSTC e BSCC em Vias Urbanas</v>
          </cell>
          <cell r="C1429" t="str">
            <v>m</v>
          </cell>
          <cell r="D1429" t="str">
            <v>15,33</v>
          </cell>
          <cell r="E1429">
            <v>0</v>
          </cell>
        </row>
        <row r="1430">
          <cell r="A1430">
            <v>43008</v>
          </cell>
          <cell r="B1430" t="str">
            <v>Limpeza e desobstrução de BTTC e BTCC em Vias Urbanas</v>
          </cell>
          <cell r="C1430" t="str">
            <v>m</v>
          </cell>
          <cell r="D1430" t="str">
            <v>42,90</v>
          </cell>
          <cell r="E1430">
            <v>0</v>
          </cell>
        </row>
        <row r="1431">
          <cell r="A1431">
            <v>43009</v>
          </cell>
          <cell r="B1431" t="str">
            <v>Limpeza e preparo de superfície de aço em Vias Urbanas</v>
          </cell>
          <cell r="C1431" t="str">
            <v>m²</v>
          </cell>
          <cell r="D1431" t="str">
            <v>84,49</v>
          </cell>
          <cell r="E1431">
            <v>0</v>
          </cell>
        </row>
        <row r="1432">
          <cell r="A1432">
            <v>43018</v>
          </cell>
          <cell r="B1432" t="str">
            <v>Meio fio de concreto pré-moldado (12 x 30 x 15) cm, inclusive caiação e transporte do meio fio em Vias Urbanas</v>
          </cell>
          <cell r="C1432" t="str">
            <v>m</v>
          </cell>
          <cell r="D1432" t="str">
            <v>49,97</v>
          </cell>
          <cell r="E1432" t="str">
            <v>A incluir</v>
          </cell>
        </row>
        <row r="1433">
          <cell r="A1433">
            <v>43016</v>
          </cell>
          <cell r="B1433" t="str">
            <v>Meio fio de concreto pré-moldado (1,20 m x 0,12 m x 0,15 m x 0,30 m),exclusive transporte, em Vias Urbanas</v>
          </cell>
          <cell r="C1433" t="str">
            <v>m</v>
          </cell>
          <cell r="D1433" t="str">
            <v>50,34</v>
          </cell>
          <cell r="E1433">
            <v>0</v>
          </cell>
        </row>
        <row r="1434">
          <cell r="A1434">
            <v>43019</v>
          </cell>
          <cell r="B1434" t="str">
            <v>Meio fio de pedra (fornecimento e assentamento), inclusive caiação e transporte do meio fio em Vias Urbanas</v>
          </cell>
          <cell r="C1434" t="str">
            <v>m</v>
          </cell>
          <cell r="D1434" t="str">
            <v>52,87</v>
          </cell>
          <cell r="E1434" t="str">
            <v>A incluir</v>
          </cell>
        </row>
        <row r="1435">
          <cell r="A1435">
            <v>43026</v>
          </cell>
          <cell r="B1435" t="str">
            <v>Montagem e desmontagem de escoramento tubular normal, em obras de arte na densidade de 5m de tubo por m³ de escoramento em Vias Urbanas</v>
          </cell>
          <cell r="C1435" t="str">
            <v>m</v>
          </cell>
          <cell r="D1435" t="str">
            <v>18,92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E1436" t="e">
            <v>#N/A</v>
          </cell>
        </row>
        <row r="1437">
          <cell r="A1437">
            <v>43033</v>
          </cell>
          <cell r="B1437" t="str">
            <v>Muro de testa em concreto para saída de dreno profundo em rocha, inclusive transporte do tubo em Vias Urbanas</v>
          </cell>
          <cell r="C1437" t="str">
            <v>un</v>
          </cell>
          <cell r="D1437" t="str">
            <v>987,39</v>
          </cell>
          <cell r="E1437" t="str">
            <v>A incluir</v>
          </cell>
        </row>
        <row r="1438">
          <cell r="A1438">
            <v>43037</v>
          </cell>
          <cell r="B1438" t="str">
            <v>Pedra de mão p/ (concreto ciclópico ou alvenaria) rocha paga em medição em Vias Urbanas</v>
          </cell>
          <cell r="C1438" t="str">
            <v>m³</v>
          </cell>
          <cell r="D1438" t="str">
            <v>46,00</v>
          </cell>
          <cell r="E1438">
            <v>0</v>
          </cell>
        </row>
        <row r="1439">
          <cell r="A1439">
            <v>43038</v>
          </cell>
          <cell r="B1439" t="str">
            <v>Pescoço de poço de visita H-&gt;0,30m, diâm. -&gt; 0,60 m, fornecimento, assentamento e transporte em Vias Urbanas</v>
          </cell>
          <cell r="C1439" t="str">
            <v>un</v>
          </cell>
          <cell r="D1439" t="str">
            <v>130,97</v>
          </cell>
          <cell r="E1439" t="str">
            <v>A incluir</v>
          </cell>
        </row>
        <row r="1440">
          <cell r="A1440">
            <v>43039</v>
          </cell>
          <cell r="B1440" t="str">
            <v>Pintura com nata de cimento em Vias Urbanas</v>
          </cell>
          <cell r="C1440" t="str">
            <v>m²</v>
          </cell>
          <cell r="D1440" t="str">
            <v>5,21</v>
          </cell>
          <cell r="E1440">
            <v>0</v>
          </cell>
        </row>
        <row r="1441">
          <cell r="A1441">
            <v>43040</v>
          </cell>
          <cell r="B1441" t="str">
            <v>Pintura interna ou externa sobre ferro, com tinta a base de resina de borracha clorada em Vias Urbanas</v>
          </cell>
          <cell r="C1441" t="str">
            <v>m²</v>
          </cell>
          <cell r="D1441" t="str">
            <v>43,58</v>
          </cell>
          <cell r="E1441">
            <v>0</v>
          </cell>
        </row>
        <row r="1442">
          <cell r="A1442">
            <v>43042</v>
          </cell>
          <cell r="B1442" t="str">
            <v>Plataforma ou passarela de pinho de 1ª ou similar, 1" x 12", em Vias Urbanas</v>
          </cell>
          <cell r="C1442" t="str">
            <v>m²</v>
          </cell>
          <cell r="D1442" t="str">
            <v>2,60</v>
          </cell>
          <cell r="E1442">
            <v>0</v>
          </cell>
        </row>
        <row r="1443">
          <cell r="A1443">
            <v>43043</v>
          </cell>
          <cell r="B1443" t="str">
            <v>Poço de visita em bloco pré-moldado para d-&gt;0,30 e 0,40 m (0,80 x 0,8 0m), em Vias Urbanas</v>
          </cell>
          <cell r="C1443" t="str">
            <v>un</v>
          </cell>
          <cell r="D1443" t="str">
            <v>2.104,82</v>
          </cell>
          <cell r="E1443">
            <v>0</v>
          </cell>
        </row>
        <row r="1444">
          <cell r="A1444">
            <v>43044</v>
          </cell>
          <cell r="B1444" t="str">
            <v>Poço de visita em bloco pré-moldado para d-&gt;0,60 m (1,00 x 1,00 m), em Vias Urbanas</v>
          </cell>
          <cell r="C1444" t="str">
            <v>un</v>
          </cell>
          <cell r="D1444" t="str">
            <v>2.465,13</v>
          </cell>
          <cell r="E1444">
            <v>0</v>
          </cell>
        </row>
        <row r="1445">
          <cell r="A1445">
            <v>41169</v>
          </cell>
          <cell r="B1445" t="str">
            <v>Poço de visita em bloco pré-moldado para d-&gt;0,80m (1,20x1,20m), em Vias Urbanas</v>
          </cell>
          <cell r="C1445" t="str">
            <v>un</v>
          </cell>
          <cell r="D1445" t="str">
            <v>2.941,71</v>
          </cell>
          <cell r="E1445">
            <v>0</v>
          </cell>
        </row>
        <row r="1446">
          <cell r="A1446">
            <v>41170</v>
          </cell>
          <cell r="B1446" t="str">
            <v>Poço de visita em bloco pré-moldado para d-&gt;1,00m (1,30x1,30m) (Vias Urbanas)</v>
          </cell>
          <cell r="C1446" t="str">
            <v>un</v>
          </cell>
          <cell r="D1446" t="str">
            <v>3.250,48</v>
          </cell>
          <cell r="E1446">
            <v>0</v>
          </cell>
        </row>
        <row r="1447">
          <cell r="A1447">
            <v>41171</v>
          </cell>
          <cell r="B1447" t="str">
            <v>Poço de visita em bloco pré-moldado para d-&gt;1,20m (1,50x1,50m), em Vias Urbanas</v>
          </cell>
          <cell r="C1447" t="str">
            <v>un</v>
          </cell>
          <cell r="D1447" t="str">
            <v>3.910,60</v>
          </cell>
          <cell r="E1447">
            <v>0</v>
          </cell>
        </row>
        <row r="1448">
          <cell r="A1448">
            <v>43046</v>
          </cell>
          <cell r="B1448" t="str">
            <v>Poço de Visita para BSTC diâm. 0,40 m em blocos de concreto, em Vias Urbanas</v>
          </cell>
          <cell r="C1448" t="str">
            <v>un</v>
          </cell>
          <cell r="D1448" t="str">
            <v>1.180,92</v>
          </cell>
          <cell r="E1448">
            <v>0</v>
          </cell>
        </row>
        <row r="1449">
          <cell r="A1449">
            <v>43047</v>
          </cell>
          <cell r="B1449" t="str">
            <v>Poço de visita para BSTC diâm. 0,60 m em blocos de concreto, em Vias Urbanas</v>
          </cell>
          <cell r="C1449" t="str">
            <v>un</v>
          </cell>
          <cell r="D1449" t="str">
            <v>1.569,11</v>
          </cell>
          <cell r="E1449">
            <v>0</v>
          </cell>
        </row>
        <row r="1450">
          <cell r="A1450">
            <v>43048</v>
          </cell>
          <cell r="B1450" t="str">
            <v>Poço de visita para BSTC diâm. 0,80 m em blocos de concreto, em Vias Urbanas</v>
          </cell>
          <cell r="C1450" t="str">
            <v>un</v>
          </cell>
          <cell r="D1450" t="str">
            <v>1.946,78</v>
          </cell>
          <cell r="E1450">
            <v>0</v>
          </cell>
        </row>
        <row r="1451">
          <cell r="A1451">
            <v>43050</v>
          </cell>
          <cell r="B1451" t="str">
            <v>Poço de visita (tubo D-&gt;0,40 m) H-&gt;1,50 m com tampão F.F.A.P., inclusive escavação e transporte do tampão, em Vias Urbanas</v>
          </cell>
          <cell r="C1451" t="str">
            <v>un</v>
          </cell>
          <cell r="D1451" t="str">
            <v>3.298,68</v>
          </cell>
          <cell r="E1451" t="str">
            <v>A incluir</v>
          </cell>
        </row>
        <row r="1452">
          <cell r="A1452">
            <v>43051</v>
          </cell>
          <cell r="B1452" t="str">
            <v>Poço de visita (tubo D-&gt;0,60 m) H-&gt;1,70 m com tampão F.F.A.P., inclusive escavação e transporte do tampão, em Vias Urbanas</v>
          </cell>
          <cell r="C1452" t="str">
            <v>un</v>
          </cell>
          <cell r="D1452" t="str">
            <v>3.668,12</v>
          </cell>
          <cell r="E1452" t="str">
            <v>A incluir</v>
          </cell>
        </row>
        <row r="1453">
          <cell r="A1453">
            <v>43052</v>
          </cell>
          <cell r="B1453" t="str">
            <v>Poço de visita (tubo D-&gt;0,80 m) H-&gt;1,90 m com tampão F.F.A.P., inclusive escavação e transporte do tampão, em Vias Urbanas</v>
          </cell>
          <cell r="C1453" t="str">
            <v>un</v>
          </cell>
          <cell r="D1453" t="str">
            <v>4.037,54</v>
          </cell>
          <cell r="E1453" t="str">
            <v>A incluir</v>
          </cell>
        </row>
        <row r="1454">
          <cell r="A1454">
            <v>43053</v>
          </cell>
          <cell r="B1454" t="str">
            <v>Poço de visita (tubo D-&gt;1,00 m) H-&gt;2,10 m com tampão F.F.A.P., inclusive escavação e transporte do tampão, em Vias Urbanas</v>
          </cell>
          <cell r="C1454" t="str">
            <v>un</v>
          </cell>
          <cell r="D1454" t="str">
            <v>4.406,94</v>
          </cell>
          <cell r="E1454" t="str">
            <v>A incluir</v>
          </cell>
        </row>
        <row r="1455">
          <cell r="A1455">
            <v>43054</v>
          </cell>
          <cell r="B1455" t="str">
            <v>Preparo manual de talude, compreendendo acerto, raspagem eventual de até 0,30 m de prof. e afastamento lateral, em Vias Urbanas</v>
          </cell>
          <cell r="C1455" t="str">
            <v>m²</v>
          </cell>
          <cell r="D1455" t="str">
            <v>8,84</v>
          </cell>
          <cell r="E1455">
            <v>0</v>
          </cell>
        </row>
        <row r="1456">
          <cell r="A1456">
            <v>43055</v>
          </cell>
          <cell r="B1456" t="str">
            <v>Preparo manual de terreno, compreendendo acerto raspagem até 25 cm de profundidade e afastamento lateral do material excedente, em Vias Urbanas</v>
          </cell>
          <cell r="C1456" t="str">
            <v>m²</v>
          </cell>
          <cell r="D1456" t="str">
            <v>7,09</v>
          </cell>
          <cell r="E1456">
            <v>0</v>
          </cell>
        </row>
        <row r="1457">
          <cell r="A1457">
            <v>43056</v>
          </cell>
          <cell r="B1457" t="str">
            <v>Reaterro com areia, tudo incluído, em Vias Urbanas</v>
          </cell>
          <cell r="C1457" t="str">
            <v>m³</v>
          </cell>
          <cell r="D1457" t="str">
            <v>66,39</v>
          </cell>
          <cell r="E1457" t="str">
            <v>A incluir</v>
          </cell>
        </row>
        <row r="1458">
          <cell r="A1458">
            <v>43058</v>
          </cell>
          <cell r="B1458" t="str">
            <v>Reaterro de cavas c/ compactação manual (apiloamento) (dim. reduz.), em Vias Urbanas</v>
          </cell>
          <cell r="C1458" t="str">
            <v>m³</v>
          </cell>
          <cell r="D1458" t="str">
            <v>80,26</v>
          </cell>
          <cell r="E1458">
            <v>0</v>
          </cell>
        </row>
        <row r="1459">
          <cell r="A1459">
            <v>43057</v>
          </cell>
          <cell r="B1459" t="str">
            <v>Reaterro de cavas c/ compactação manual (apiloamento) em Vias Urbanas</v>
          </cell>
          <cell r="C1459" t="str">
            <v>m³</v>
          </cell>
          <cell r="D1459" t="str">
            <v>55,37</v>
          </cell>
          <cell r="E1459">
            <v>0</v>
          </cell>
        </row>
        <row r="1460">
          <cell r="A1460">
            <v>43059</v>
          </cell>
          <cell r="B1460" t="str">
            <v>Reaterro de cavas c/ compactação mecânica (compactador manual), em Vias Urbanas</v>
          </cell>
          <cell r="C1460" t="str">
            <v>m³</v>
          </cell>
          <cell r="D1460" t="str">
            <v>35,51</v>
          </cell>
          <cell r="E1460">
            <v>0</v>
          </cell>
        </row>
        <row r="1461">
          <cell r="A1461">
            <v>43060</v>
          </cell>
          <cell r="B1461" t="str">
            <v>Recuperação de poço de visita inclusive fornecimento tampão F.F.A.P., em Vias Urbanas</v>
          </cell>
          <cell r="C1461" t="str">
            <v>un</v>
          </cell>
          <cell r="D1461" t="str">
            <v>530,25</v>
          </cell>
          <cell r="E1461" t="str">
            <v>A incluir</v>
          </cell>
        </row>
        <row r="1462">
          <cell r="A1462">
            <v>41183</v>
          </cell>
          <cell r="B1462" t="str">
            <v>Rede de dutos - Vias Urbanas</v>
          </cell>
          <cell r="C1462" t="str">
            <v>m</v>
          </cell>
          <cell r="D1462" t="str">
            <v>69,36</v>
          </cell>
          <cell r="E1462">
            <v>0</v>
          </cell>
        </row>
        <row r="1463">
          <cell r="A1463">
            <v>43061</v>
          </cell>
          <cell r="B1463" t="str">
            <v>Rede de dutos 65mm (duplo), envelopada com brita 3, em Vias Urbanas</v>
          </cell>
          <cell r="C1463" t="str">
            <v>m</v>
          </cell>
          <cell r="D1463" t="str">
            <v>76,27</v>
          </cell>
          <cell r="E1463">
            <v>0</v>
          </cell>
        </row>
        <row r="1464">
          <cell r="A1464">
            <v>43062</v>
          </cell>
          <cell r="B1464" t="str">
            <v>Rede em PVC Vinilfort ou similar DN -&gt; 200 mm, em Vias Urbanas</v>
          </cell>
          <cell r="C1464" t="str">
            <v>m</v>
          </cell>
          <cell r="D1464" t="str">
            <v>208,04</v>
          </cell>
          <cell r="E1464">
            <v>0</v>
          </cell>
        </row>
        <row r="1465">
          <cell r="A1465">
            <v>43064</v>
          </cell>
          <cell r="B1465" t="str">
            <v>Religação de rede de água em PVC DN 20 mm, inclusive conexões, em Vias Urbanas</v>
          </cell>
          <cell r="C1465" t="str">
            <v>m</v>
          </cell>
          <cell r="D1465" t="str">
            <v>16,29</v>
          </cell>
          <cell r="E1465">
            <v>0</v>
          </cell>
        </row>
        <row r="1466">
          <cell r="A1466">
            <v>43065</v>
          </cell>
          <cell r="B1466" t="str">
            <v>Religação de rede de água em PVC DN 25 mm, inclusive conexões, em Vias Urbanas</v>
          </cell>
          <cell r="C1466" t="str">
            <v>m</v>
          </cell>
          <cell r="D1466" t="str">
            <v>19,66</v>
          </cell>
          <cell r="E1466">
            <v>0</v>
          </cell>
        </row>
        <row r="1467">
          <cell r="A1467">
            <v>43066</v>
          </cell>
          <cell r="B1467" t="str">
            <v>Religação de rede de água em PVC DN 32 mm, inclusive conexões, em Vias Urbanas</v>
          </cell>
          <cell r="C1467" t="str">
            <v>m</v>
          </cell>
          <cell r="D1467" t="str">
            <v>25,08</v>
          </cell>
          <cell r="E1467">
            <v>0</v>
          </cell>
        </row>
        <row r="1468">
          <cell r="A1468">
            <v>43067</v>
          </cell>
          <cell r="B1468" t="str">
            <v>Religação de rede de água em PVC DN 75 mm, inclusive conexões, em Vias Urbanas</v>
          </cell>
          <cell r="C1468" t="str">
            <v>m</v>
          </cell>
          <cell r="D1468" t="str">
            <v>52,21</v>
          </cell>
          <cell r="E1468">
            <v>0</v>
          </cell>
        </row>
        <row r="1469">
          <cell r="A1469">
            <v>43063</v>
          </cell>
          <cell r="B1469" t="str">
            <v>Religação de rede de água em PVC PBA CL 15 DN 100 mm, inclusive conexões, em Vias Urbanas</v>
          </cell>
          <cell r="C1469" t="str">
            <v>m</v>
          </cell>
          <cell r="D1469" t="str">
            <v>79,89</v>
          </cell>
          <cell r="E1469">
            <v>0</v>
          </cell>
        </row>
        <row r="1470">
          <cell r="A1470">
            <v>43068</v>
          </cell>
          <cell r="B1470" t="str">
            <v>Remanejamento de ligação e religação de redes de esgoto, em Vias Urbanas</v>
          </cell>
          <cell r="C1470" t="str">
            <v>m</v>
          </cell>
          <cell r="D1470" t="str">
            <v>65,20</v>
          </cell>
          <cell r="E1470">
            <v>0</v>
          </cell>
        </row>
        <row r="1471">
          <cell r="A1471">
            <v>43069</v>
          </cell>
          <cell r="B1471" t="str">
            <v>Remoção de bueiros existentes, em Vias Urbanas</v>
          </cell>
          <cell r="C1471" t="str">
            <v>m</v>
          </cell>
          <cell r="D1471" t="str">
            <v>119,59</v>
          </cell>
          <cell r="E1471" t="str">
            <v>A incluir</v>
          </cell>
        </row>
        <row r="1472">
          <cell r="A1472">
            <v>43071</v>
          </cell>
          <cell r="B1472" t="str">
            <v>Rip-rap c/ argamassa cimento areia 1:6, inclusive aquisição e transporte dos materiais, em Vias Urbanas</v>
          </cell>
          <cell r="C1472" t="str">
            <v>m³</v>
          </cell>
          <cell r="D1472" t="str">
            <v>324,47</v>
          </cell>
          <cell r="E1472" t="str">
            <v>A incluir</v>
          </cell>
        </row>
        <row r="1473">
          <cell r="A1473">
            <v>43078</v>
          </cell>
          <cell r="B1473" t="str">
            <v>Sarjeta de concreto DP-1 (0,081 m³/m) calha triangular, inclusive caiação, em Vias Urbanas</v>
          </cell>
          <cell r="C1473" t="str">
            <v>m</v>
          </cell>
          <cell r="D1473" t="str">
            <v>79,74</v>
          </cell>
          <cell r="E1473">
            <v>0</v>
          </cell>
        </row>
        <row r="1474">
          <cell r="A1474">
            <v>43079</v>
          </cell>
          <cell r="B1474" t="str">
            <v>Sarjeta de concreto DP-2 (0,085 m³/m) calha triangular, inclusive caiação, em Vias Urbanas</v>
          </cell>
          <cell r="C1474" t="str">
            <v>m</v>
          </cell>
          <cell r="D1474" t="str">
            <v>83,18</v>
          </cell>
          <cell r="E1474">
            <v>0</v>
          </cell>
        </row>
        <row r="1475">
          <cell r="A1475">
            <v>43080</v>
          </cell>
          <cell r="B1475" t="str">
            <v>Sarjeta de concreto SCA 40/10 - em Vias Urbanas</v>
          </cell>
          <cell r="C1475" t="str">
            <v>m</v>
          </cell>
          <cell r="D1475" t="str">
            <v>69,77</v>
          </cell>
          <cell r="E1475" t="str">
            <v>A incluir</v>
          </cell>
        </row>
        <row r="1476">
          <cell r="A1476">
            <v>43081</v>
          </cell>
          <cell r="B1476" t="str">
            <v>Sarjeta de concreto (SCA 70/15) calha triangular, inclusive caiação, em Vias Urbanas</v>
          </cell>
          <cell r="C1476" t="str">
            <v>m</v>
          </cell>
          <cell r="D1476" t="str">
            <v>92,93</v>
          </cell>
          <cell r="E1476">
            <v>0</v>
          </cell>
        </row>
        <row r="1477">
          <cell r="A1477">
            <v>43085</v>
          </cell>
          <cell r="B1477" t="str">
            <v>Sarjeta de concreto (SCA 90/10) calha triangular, inclusive caiação, em Vias Urbanas</v>
          </cell>
          <cell r="C1477" t="str">
            <v>m</v>
          </cell>
          <cell r="D1477" t="str">
            <v>164,88</v>
          </cell>
          <cell r="E1477">
            <v>0</v>
          </cell>
        </row>
        <row r="1478">
          <cell r="A1478">
            <v>43083</v>
          </cell>
          <cell r="B1478" t="str">
            <v>Sarjeta de concreto (STC - 02) calha triangular em corte/aterro, inclusive caiação, em Vias Urbanas</v>
          </cell>
          <cell r="C1478" t="str">
            <v>m</v>
          </cell>
          <cell r="D1478" t="str">
            <v>77,76</v>
          </cell>
          <cell r="E1478">
            <v>0</v>
          </cell>
        </row>
        <row r="1479">
          <cell r="A1479">
            <v>43084</v>
          </cell>
          <cell r="B1479" t="str">
            <v>Sarjeta de concreto (STC - 04) calha triangular de bancada em corte, inclusive caiação, em Vias Urbanas</v>
          </cell>
          <cell r="C1479" t="str">
            <v>m</v>
          </cell>
          <cell r="D1479" t="str">
            <v>58,16</v>
          </cell>
          <cell r="E1479">
            <v>0</v>
          </cell>
        </row>
        <row r="1480">
          <cell r="A1480">
            <v>43086</v>
          </cell>
          <cell r="B1480" t="str">
            <v>Tampa de concreto em grelha, fornecimento, assentamento e transporte, em Vias Urbanas</v>
          </cell>
          <cell r="C1480" t="str">
            <v>un</v>
          </cell>
          <cell r="D1480" t="str">
            <v>180,00</v>
          </cell>
          <cell r="E1480" t="str">
            <v>A incluir</v>
          </cell>
        </row>
        <row r="1481">
          <cell r="A1481">
            <v>43087</v>
          </cell>
          <cell r="B1481" t="str">
            <v>Tampão F.F.A.P. com 100 kg, fornecimento, assentamento e transporte em Vias Urbanas</v>
          </cell>
          <cell r="C1481" t="str">
            <v>un</v>
          </cell>
          <cell r="D1481" t="str">
            <v>292,87</v>
          </cell>
          <cell r="E1481" t="str">
            <v>A incluir</v>
          </cell>
        </row>
        <row r="1482">
          <cell r="A1482">
            <v>43089</v>
          </cell>
          <cell r="B1482" t="str">
            <v>Tapume de vedação e proteção, executado com chapas de compensado resinado com 6 mm de espessura, exclusive pintura, em Vias Urbanas</v>
          </cell>
          <cell r="C1482" t="str">
            <v>m²</v>
          </cell>
          <cell r="D1482" t="str">
            <v>36,15</v>
          </cell>
          <cell r="E1482">
            <v>0</v>
          </cell>
        </row>
        <row r="1483">
          <cell r="A1483">
            <v>43090</v>
          </cell>
          <cell r="B1483" t="str">
            <v>Tela de aço soldada Telcon Q-138 ou similar, fornecimento e assentamento em Vias Urbanas</v>
          </cell>
          <cell r="C1483" t="str">
            <v>m²</v>
          </cell>
          <cell r="D1483" t="str">
            <v>28,00</v>
          </cell>
          <cell r="E1483">
            <v>0</v>
          </cell>
        </row>
        <row r="1484">
          <cell r="A1484">
            <v>43088</v>
          </cell>
          <cell r="B1484" t="str">
            <v>Tapume com tela em PVC, na cor laranja para proteção de segurança em Vias Urbanas</v>
          </cell>
          <cell r="C1484" t="str">
            <v>m</v>
          </cell>
          <cell r="D1484" t="str">
            <v>22,80</v>
          </cell>
          <cell r="E1484" t="str">
            <v>A incluir</v>
          </cell>
        </row>
        <row r="1485">
          <cell r="A1485">
            <v>43091</v>
          </cell>
          <cell r="B1485" t="str">
            <v>Terminal de dreno de alívio de pavimento (DP - TDA - 01) em Vias Urbanas</v>
          </cell>
          <cell r="C1485" t="str">
            <v>un</v>
          </cell>
          <cell r="D1485" t="str">
            <v>324,02</v>
          </cell>
          <cell r="E1485" t="str">
            <v>A incluir</v>
          </cell>
        </row>
        <row r="1486">
          <cell r="A1486">
            <v>43092</v>
          </cell>
          <cell r="B1486" t="str">
            <v>Transporte de materiais encosta abaixo, serviço manual, inclusive carga e descarga em Vias Urbanas</v>
          </cell>
          <cell r="C1486" t="str">
            <v>t dam</v>
          </cell>
          <cell r="D1486" t="str">
            <v>20,13</v>
          </cell>
          <cell r="E1486">
            <v>0</v>
          </cell>
        </row>
        <row r="1487">
          <cell r="A1487">
            <v>43093</v>
          </cell>
          <cell r="B1487" t="str">
            <v>Transporte de materiais encosta acima, serviço manual, inclusive carga e descarga em Vias Urbanas</v>
          </cell>
          <cell r="C1487" t="str">
            <v>t dam</v>
          </cell>
          <cell r="D1487" t="str">
            <v>27,24</v>
          </cell>
          <cell r="E1487">
            <v>0</v>
          </cell>
        </row>
        <row r="1488">
          <cell r="A1488">
            <v>43094</v>
          </cell>
          <cell r="B1488" t="str">
            <v>Transposição de segmento de sarjeta - TSS 01, inclusive transporte do tubo de concreto em Vias Urbanas</v>
          </cell>
          <cell r="C1488" t="str">
            <v>m</v>
          </cell>
          <cell r="D1488" t="str">
            <v>274,81</v>
          </cell>
          <cell r="E1488" t="str">
            <v>A incluir</v>
          </cell>
        </row>
        <row r="1489">
          <cell r="A1489">
            <v>43095</v>
          </cell>
          <cell r="B1489" t="str">
            <v>Trincheira drenante cega (0,50 x 1,70) m, com utilização de geotêxtil não tecido Rt-16 kn/m, inclusive transporte da brita em Vias Urbanas</v>
          </cell>
          <cell r="C1489" t="str">
            <v>m</v>
          </cell>
          <cell r="D1489" t="str">
            <v>369,58</v>
          </cell>
          <cell r="E1489" t="str">
            <v>A incluir</v>
          </cell>
        </row>
        <row r="1490">
          <cell r="A1490">
            <v>43096</v>
          </cell>
          <cell r="B1490" t="str">
            <v>Trincheira drenante em madeira em Vias Urbanas</v>
          </cell>
          <cell r="C1490" t="str">
            <v>m</v>
          </cell>
          <cell r="D1490" t="str">
            <v>479,61</v>
          </cell>
          <cell r="E1490">
            <v>0</v>
          </cell>
        </row>
        <row r="1491">
          <cell r="A1491">
            <v>43098</v>
          </cell>
          <cell r="B1491" t="str">
            <v>Tubo de PVC NBR 5648 diâmetro 50 mm, fornecimento e assentamento em Vias Urbanas</v>
          </cell>
          <cell r="C1491" t="str">
            <v>m</v>
          </cell>
          <cell r="D1491" t="str">
            <v>15,97</v>
          </cell>
          <cell r="E1491">
            <v>0</v>
          </cell>
        </row>
        <row r="1492">
          <cell r="A1492">
            <v>43097</v>
          </cell>
          <cell r="B1492" t="str">
            <v>Tubo de PVC NBR 5648 diâmetro 75 mm, fornecimento e assentamento em Vias Urbanas</v>
          </cell>
          <cell r="C1492" t="str">
            <v>m</v>
          </cell>
          <cell r="D1492" t="str">
            <v>23,07</v>
          </cell>
          <cell r="E1492">
            <v>0</v>
          </cell>
        </row>
        <row r="1493">
          <cell r="A1493">
            <v>43099</v>
          </cell>
          <cell r="B1493" t="str">
            <v>Tubo de PVC PBA diâmetro 300 mm, fornecimento e assentamento em Vias Urbanas</v>
          </cell>
          <cell r="C1493" t="str">
            <v>m</v>
          </cell>
          <cell r="D1493" t="str">
            <v>178,53</v>
          </cell>
          <cell r="E1493">
            <v>0</v>
          </cell>
        </row>
        <row r="1494">
          <cell r="A1494">
            <v>43100</v>
          </cell>
          <cell r="B1494" t="str">
            <v>Tubo de PVC rígido série R diâmetro 100 mm, fornecimento e assentamento em Vias Urbanas</v>
          </cell>
          <cell r="C1494" t="str">
            <v>m</v>
          </cell>
          <cell r="D1494" t="str">
            <v>21,33</v>
          </cell>
          <cell r="E1494">
            <v>0</v>
          </cell>
        </row>
        <row r="1495">
          <cell r="A1495">
            <v>43101</v>
          </cell>
          <cell r="B1495" t="str">
            <v>Tubo irrifort agropecuário diâmetro 32 mm, fornecimento e assentamento em Vias Urbanas</v>
          </cell>
          <cell r="C1495" t="str">
            <v>m</v>
          </cell>
          <cell r="D1495" t="str">
            <v>6,36</v>
          </cell>
          <cell r="E1495">
            <v>0</v>
          </cell>
        </row>
        <row r="1496">
          <cell r="A1496">
            <v>43102</v>
          </cell>
          <cell r="B1496" t="str">
            <v>Tubo para irrigação linha fixa PN40 50 mm, fornecimento e assentamento em Vias Urbanas</v>
          </cell>
          <cell r="C1496" t="str">
            <v>m</v>
          </cell>
          <cell r="D1496" t="str">
            <v>7,97</v>
          </cell>
          <cell r="E1496">
            <v>0</v>
          </cell>
        </row>
        <row r="1497">
          <cell r="A1497">
            <v>43103</v>
          </cell>
          <cell r="B1497" t="str">
            <v>Tubo PVC PBA diâmetro 150 mm, fornecimento e assentamento em Vias Urbanas</v>
          </cell>
          <cell r="C1497" t="str">
            <v>m</v>
          </cell>
          <cell r="D1497" t="str">
            <v>33,34</v>
          </cell>
          <cell r="E1497">
            <v>0</v>
          </cell>
        </row>
        <row r="1498">
          <cell r="A1498">
            <v>42614</v>
          </cell>
          <cell r="B1498" t="str">
            <v>Tubos de ferro fundido diâmetro 0,90 m, assentamento em Vias Urbanas</v>
          </cell>
          <cell r="C1498" t="str">
            <v>m</v>
          </cell>
          <cell r="D1498" t="str">
            <v>217,23</v>
          </cell>
          <cell r="E1498" t="str">
            <v>A incluir</v>
          </cell>
        </row>
        <row r="1499">
          <cell r="A1499">
            <v>43104</v>
          </cell>
          <cell r="B1499" t="str">
            <v>Tubos para irrigação Linha fixa PN40, diâmetro 75 mm, fornecimento e assentamento em Vias Urbanas</v>
          </cell>
          <cell r="C1499" t="str">
            <v>m</v>
          </cell>
          <cell r="D1499" t="str">
            <v>11,31</v>
          </cell>
          <cell r="E1499">
            <v>0</v>
          </cell>
        </row>
        <row r="1500">
          <cell r="A1500">
            <v>43105</v>
          </cell>
          <cell r="B1500" t="str">
            <v>Valeta de pedra argamassada VPAR em Vias Urbanas</v>
          </cell>
          <cell r="C1500" t="str">
            <v>m³</v>
          </cell>
          <cell r="D1500" t="str">
            <v>304,64</v>
          </cell>
          <cell r="E1500" t="str">
            <v>A incluir</v>
          </cell>
        </row>
        <row r="1501">
          <cell r="A1501">
            <v>43106</v>
          </cell>
          <cell r="B1501" t="str">
            <v>Valeta de pedra jogada VPJ, inclusive transporte da pedra em Vias Urbanas</v>
          </cell>
          <cell r="C1501" t="str">
            <v>m³</v>
          </cell>
          <cell r="D1501" t="str">
            <v>144,34</v>
          </cell>
          <cell r="E1501" t="str">
            <v>A incluir</v>
          </cell>
        </row>
        <row r="1502">
          <cell r="A1502">
            <v>43111</v>
          </cell>
          <cell r="B1502" t="str">
            <v>Valeta de proteção de corte - desobstrução e limpeza em Vias Urbanas</v>
          </cell>
          <cell r="C1502" t="str">
            <v>m</v>
          </cell>
          <cell r="D1502" t="str">
            <v>3,04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 t="e">
            <v>#N/A</v>
          </cell>
        </row>
        <row r="1504">
          <cell r="A1504" t="str">
            <v>Grupo de Serviço: 139 - INSTALAÇÃO DE CANTEIRO, MOBILIZAÇÃO E DESMOBILIZAÇÃO</v>
          </cell>
          <cell r="B1504">
            <v>0</v>
          </cell>
          <cell r="C1504">
            <v>0</v>
          </cell>
          <cell r="E1504" t="e">
            <v>#N/A</v>
          </cell>
        </row>
        <row r="1505">
          <cell r="A1505">
            <v>41578</v>
          </cell>
          <cell r="B1505" t="str">
            <v>Aluguel de container p/ escritório c/ ar condicionado e banheiro, isolam.térmico e acústico, 2 luminárias, janela de vidro, tomada p/ comput. e telef.</v>
          </cell>
          <cell r="C1505" t="str">
            <v>mês</v>
          </cell>
          <cell r="D1505" t="str">
            <v>1.065,13</v>
          </cell>
          <cell r="E1505">
            <v>0</v>
          </cell>
        </row>
        <row r="1506">
          <cell r="A1506">
            <v>42511</v>
          </cell>
          <cell r="B1506" t="str">
            <v>Aluguel de container p/ escritório com ar condicionado, isolamento term/acust., 2 luminárias, janela de vidro, tomadas computador e telefone</v>
          </cell>
          <cell r="C1506" t="str">
            <v>mês</v>
          </cell>
          <cell r="D1506" t="str">
            <v>893,57</v>
          </cell>
          <cell r="E1506">
            <v>0</v>
          </cell>
        </row>
        <row r="1507">
          <cell r="A1507">
            <v>41579</v>
          </cell>
          <cell r="B1507" t="str">
            <v>Aluguel de container para almoxarifado</v>
          </cell>
          <cell r="C1507" t="str">
            <v>mês</v>
          </cell>
          <cell r="D1507" t="str">
            <v>582,46</v>
          </cell>
          <cell r="E1507">
            <v>0</v>
          </cell>
        </row>
        <row r="1508">
          <cell r="A1508">
            <v>41494</v>
          </cell>
          <cell r="B1508" t="str">
            <v>Aluguel de container tipo cozinha com isolamento térmico e acústico, 2 luminárias, piso especial e janela</v>
          </cell>
          <cell r="C1508" t="str">
            <v>mês</v>
          </cell>
          <cell r="D1508" t="str">
            <v>799,38</v>
          </cell>
          <cell r="E1508">
            <v>0</v>
          </cell>
        </row>
        <row r="1509">
          <cell r="A1509">
            <v>41678</v>
          </cell>
          <cell r="B1509" t="str">
            <v>Aluguel de container tipo refeitório simples, c/ 1 aparelho de ar condicionado, 2 luminárias e 2 janelas de vidro</v>
          </cell>
          <cell r="C1509" t="str">
            <v>mês</v>
          </cell>
          <cell r="D1509" t="str">
            <v>963,57</v>
          </cell>
          <cell r="E1509">
            <v>0</v>
          </cell>
        </row>
        <row r="1510">
          <cell r="A1510">
            <v>41455</v>
          </cell>
          <cell r="B1510" t="str">
            <v>Aluguel de container tipo refeitório (2 unidades acopladas), c/ 2 aparelhos de ar condicionado, 4 lumináriase 4 janelas de vidro</v>
          </cell>
          <cell r="C1510" t="str">
            <v>mês</v>
          </cell>
          <cell r="D1510" t="str">
            <v>1.989,82</v>
          </cell>
          <cell r="E1510">
            <v>0</v>
          </cell>
        </row>
        <row r="1511">
          <cell r="A1511">
            <v>41456</v>
          </cell>
          <cell r="B1511" t="str">
            <v>Aluguel de container tipo refeitório (3 unidades acopladas), c/ 3 aparelhos de ar condiocionado, 6 luminárias e 6 janelas de vidro</v>
          </cell>
          <cell r="C1511" t="str">
            <v>mês</v>
          </cell>
          <cell r="D1511" t="str">
            <v>4.601,86</v>
          </cell>
          <cell r="E1511">
            <v>0</v>
          </cell>
        </row>
        <row r="1512">
          <cell r="A1512">
            <v>41580</v>
          </cell>
          <cell r="B1512" t="str">
            <v>Aluguel de container tipo sanitário com 3 vasos sanitários, lavatório, mictório, 5 chuveiros, 2 venezianas e piso especial</v>
          </cell>
          <cell r="C1512" t="str">
            <v>mês</v>
          </cell>
          <cell r="D1512" t="str">
            <v>768,27</v>
          </cell>
          <cell r="E1512">
            <v>0</v>
          </cell>
        </row>
        <row r="1513">
          <cell r="A1513">
            <v>41454</v>
          </cell>
          <cell r="B1513" t="str">
            <v>Aluguel de container tipo vestiário, 2 luminárias, piso especial e janela</v>
          </cell>
          <cell r="C1513" t="str">
            <v>mês</v>
          </cell>
          <cell r="D1513" t="str">
            <v>574,68</v>
          </cell>
          <cell r="E1513">
            <v>0</v>
          </cell>
        </row>
        <row r="1514">
          <cell r="A1514">
            <v>41498</v>
          </cell>
          <cell r="B1514" t="str">
            <v>Barracão com sanitário, em chapa compensada 12 mm e pont. 8x8cm, piso cimentado e cobertura em telha de fibroc. 6mm, incl. ponto de luz e cx. inspeção</v>
          </cell>
          <cell r="C1514" t="str">
            <v>m²</v>
          </cell>
          <cell r="D1514" t="str">
            <v>664,74</v>
          </cell>
          <cell r="E1514">
            <v>0</v>
          </cell>
        </row>
        <row r="1515">
          <cell r="A1515">
            <v>41531</v>
          </cell>
          <cell r="B1515" t="str">
            <v>Barracão em chapa compensada 12mm e pont. 8x8cm, piso cimentado e cobertura de telhas fibrocimento 6mm, incl. ponto de luz</v>
          </cell>
          <cell r="C1515" t="str">
            <v>m²</v>
          </cell>
          <cell r="D1515" t="str">
            <v>516,34</v>
          </cell>
          <cell r="E1515">
            <v>0</v>
          </cell>
        </row>
        <row r="1516">
          <cell r="A1516">
            <v>41557</v>
          </cell>
          <cell r="B1516" t="str">
            <v>Canaleta de concreto retangular com grelha em barra de aço</v>
          </cell>
          <cell r="C1516" t="str">
            <v>m</v>
          </cell>
          <cell r="D1516" t="str">
            <v>153,81</v>
          </cell>
          <cell r="E1516">
            <v>0</v>
          </cell>
        </row>
        <row r="1517">
          <cell r="A1517">
            <v>41506</v>
          </cell>
          <cell r="B1517" t="str">
            <v>Cobertura nova de telhas onduladas de fibrocimento 6,0mm, inclusive cumeeiras e acessórios de fixação</v>
          </cell>
          <cell r="C1517" t="str">
            <v>m²</v>
          </cell>
          <cell r="D1517" t="str">
            <v>43,63</v>
          </cell>
          <cell r="E1517">
            <v>0</v>
          </cell>
        </row>
        <row r="1518">
          <cell r="A1518">
            <v>41505</v>
          </cell>
          <cell r="B1518" t="str">
            <v>Estrutura de madeira lei para telhado de telha ondulada de fibroc. esp. 6mm, c/ pontaletes e caibros, incl. com cupinicida, excl. telhas</v>
          </cell>
          <cell r="C1518" t="str">
            <v>m²</v>
          </cell>
          <cell r="D1518" t="str">
            <v>72,82</v>
          </cell>
          <cell r="E1518">
            <v>0</v>
          </cell>
        </row>
        <row r="1519">
          <cell r="A1519">
            <v>41528</v>
          </cell>
          <cell r="B1519" t="str">
            <v>Galpão em peças de madeira 8x8cm e contravent. de 5x7cm, cobertura de telhas de fibroc. de 6mm, incl. ponto e cabo de alimentação da máquina</v>
          </cell>
          <cell r="C1519" t="str">
            <v>m²</v>
          </cell>
          <cell r="D1519" t="str">
            <v>237,20</v>
          </cell>
          <cell r="E1519">
            <v>0</v>
          </cell>
        </row>
        <row r="1520">
          <cell r="A1520">
            <v>41546</v>
          </cell>
          <cell r="B1520" t="str">
            <v>Mobilização e desmobilização de caminhão basculante (máximo)</v>
          </cell>
          <cell r="C1520" t="str">
            <v>h</v>
          </cell>
          <cell r="D1520" t="str">
            <v>190,78</v>
          </cell>
          <cell r="E1520">
            <v>0</v>
          </cell>
        </row>
        <row r="1521">
          <cell r="A1521">
            <v>41545</v>
          </cell>
          <cell r="B1521" t="str">
            <v>Mobilização e desmobilização de caminhão carroceria (máximo)</v>
          </cell>
          <cell r="C1521" t="str">
            <v>h</v>
          </cell>
          <cell r="D1521" t="str">
            <v>160,40</v>
          </cell>
          <cell r="E1521">
            <v>0</v>
          </cell>
        </row>
        <row r="1522">
          <cell r="A1522">
            <v>41547</v>
          </cell>
          <cell r="B1522" t="str">
            <v>Mobilização e desmobilização de caminhão tanque (6.000 L) (máximo)</v>
          </cell>
          <cell r="C1522" t="str">
            <v>h</v>
          </cell>
          <cell r="D1522" t="str">
            <v>159,21</v>
          </cell>
          <cell r="E1522">
            <v>0</v>
          </cell>
        </row>
        <row r="1523">
          <cell r="A1523">
            <v>41497</v>
          </cell>
          <cell r="B1523" t="str">
            <v>Mobilização e desmobilização de container acima de 150 km</v>
          </cell>
          <cell r="C1523" t="str">
            <v>un</v>
          </cell>
          <cell r="D1523" t="str">
            <v>2.155,83</v>
          </cell>
          <cell r="E1523">
            <v>0</v>
          </cell>
        </row>
        <row r="1524">
          <cell r="A1524">
            <v>41495</v>
          </cell>
          <cell r="B1524" t="str">
            <v>Mobilização e desmobilização de container até 50 km</v>
          </cell>
          <cell r="C1524" t="str">
            <v>un</v>
          </cell>
          <cell r="D1524" t="str">
            <v>1.101,84</v>
          </cell>
          <cell r="E1524">
            <v>0</v>
          </cell>
        </row>
        <row r="1525">
          <cell r="A1525">
            <v>41496</v>
          </cell>
          <cell r="B1525" t="str">
            <v>Mobilização e desmobilização de container de 51 km até 150 km</v>
          </cell>
          <cell r="C1525" t="str">
            <v>un</v>
          </cell>
          <cell r="D1525" t="str">
            <v>1.245,58</v>
          </cell>
          <cell r="E1525">
            <v>0</v>
          </cell>
        </row>
        <row r="1526">
          <cell r="A1526">
            <v>41544</v>
          </cell>
          <cell r="B1526" t="str">
            <v>Mobilização e desmobilização de equipamentos com carreta prancha (máximo)</v>
          </cell>
          <cell r="C1526" t="str">
            <v>h</v>
          </cell>
          <cell r="D1526" t="str">
            <v>304,25</v>
          </cell>
          <cell r="E1526">
            <v>0</v>
          </cell>
        </row>
        <row r="1527">
          <cell r="A1527">
            <v>41500</v>
          </cell>
          <cell r="B1527" t="str">
            <v>Placa de obra nas dimensões de 3,0 x 6,0 m, padrão DER-ES</v>
          </cell>
          <cell r="C1527" t="str">
            <v>m²</v>
          </cell>
          <cell r="D1527" t="str">
            <v>278,47</v>
          </cell>
          <cell r="E1527">
            <v>0</v>
          </cell>
        </row>
        <row r="1528">
          <cell r="A1528">
            <v>41501</v>
          </cell>
          <cell r="B1528" t="str">
            <v>Rede de água c/ padrão de entrada d'água diâm. 3/4" conf. CESAN, incl. tubos e conexões p/ aliment., distrib., extravas. e limp., cons. o padrão a 25m</v>
          </cell>
          <cell r="C1528" t="str">
            <v>m</v>
          </cell>
          <cell r="D1528" t="str">
            <v>30,52</v>
          </cell>
          <cell r="E1528">
            <v>0</v>
          </cell>
        </row>
        <row r="1529">
          <cell r="A1529">
            <v>41499</v>
          </cell>
          <cell r="B1529" t="str">
            <v>Rede de esgoto, contendo fossa e filtro, incl. tubos e conexões de ligação entre caixas, considerando distância de 25m</v>
          </cell>
          <cell r="C1529" t="str">
            <v>m</v>
          </cell>
          <cell r="D1529" t="str">
            <v>280,28</v>
          </cell>
          <cell r="E1529">
            <v>0</v>
          </cell>
        </row>
        <row r="1530">
          <cell r="A1530">
            <v>41503</v>
          </cell>
          <cell r="B1530" t="str">
            <v>Rede de luz, incl. padrão entr. energia trifás. cabo ligação até barracões, quadro distrib., disj. e chave de força, cons. 20m entre padrão entr.e QDG</v>
          </cell>
          <cell r="C1530" t="str">
            <v>m</v>
          </cell>
          <cell r="D1530" t="str">
            <v>364,40</v>
          </cell>
          <cell r="E1530">
            <v>0</v>
          </cell>
        </row>
        <row r="1531">
          <cell r="A1531">
            <v>41530</v>
          </cell>
          <cell r="B1531" t="str">
            <v>Refeitório c/ paredes chapa de comp. 12mm e pont. 8x8cm, piso ciment. e cob. telhas fibroc. 6mm, incl. ponto de luz e cx. de insp. (1,21m²/func/turno)</v>
          </cell>
          <cell r="C1531" t="str">
            <v>m²</v>
          </cell>
          <cell r="D1531" t="str">
            <v>445,73</v>
          </cell>
          <cell r="E1531">
            <v>0</v>
          </cell>
        </row>
        <row r="1532">
          <cell r="A1532">
            <v>41527</v>
          </cell>
          <cell r="B1532" t="str">
            <v>Reservatório de fibra de vidro de 1000 L, incl. suporte em madeira de 7x12cm, elevado de 4m</v>
          </cell>
          <cell r="C1532" t="str">
            <v>un</v>
          </cell>
          <cell r="D1532" t="str">
            <v>1.459,20</v>
          </cell>
          <cell r="E1532">
            <v>0</v>
          </cell>
        </row>
        <row r="1533">
          <cell r="A1533">
            <v>41529</v>
          </cell>
          <cell r="B1533" t="str">
            <v>Sanitário e vestiário de 40/60 func., c/ 33,90m², paredes chapa compens. 12mm e pont. 8x8cm, piso ciment., cobert. telha fibroc., incl. luz e cx. insp</v>
          </cell>
          <cell r="C1533" t="str">
            <v>un</v>
          </cell>
          <cell r="D1533" t="str">
            <v>23.077,34</v>
          </cell>
          <cell r="E1533">
            <v>0</v>
          </cell>
        </row>
        <row r="1534">
          <cell r="A1534">
            <v>41555</v>
          </cell>
          <cell r="B1534" t="str">
            <v>Sistema separador de água e óleo</v>
          </cell>
          <cell r="C1534" t="str">
            <v>un</v>
          </cell>
          <cell r="D1534" t="str">
            <v>5.174,95</v>
          </cell>
          <cell r="E1534">
            <v>0</v>
          </cell>
        </row>
        <row r="1535">
          <cell r="A1535">
            <v>41502</v>
          </cell>
          <cell r="B1535" t="str">
            <v>Tapume de chapa de compensado resinado esp. 6mm, 2,20 x 1,10m dispondo de abertura e portão. com 2,20m de altura, incl. pintura</v>
          </cell>
          <cell r="C1535" t="str">
            <v>m</v>
          </cell>
          <cell r="D1535" t="str">
            <v>221,83</v>
          </cell>
          <cell r="E1535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16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3.53125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6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6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"/>
      <sheetName val="quant 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6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10-14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Compos DER"/>
      <sheetName val="Compos lug"/>
      <sheetName val="Plan1"/>
      <sheetName val="P - COMPARATIVO"/>
      <sheetName val="Quantidades 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 Clássico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8"/>
  <sheetViews>
    <sheetView view="pageBreakPreview" topLeftCell="A175" zoomScaleNormal="100" zoomScaleSheetLayoutView="100" workbookViewId="0">
      <selection activeCell="R86" sqref="R86"/>
    </sheetView>
  </sheetViews>
  <sheetFormatPr defaultColWidth="9" defaultRowHeight="15" x14ac:dyDescent="0.2"/>
  <cols>
    <col min="1" max="1" width="6.75" style="572" customWidth="1"/>
    <col min="2" max="2" width="8.625" style="304" customWidth="1"/>
    <col min="3" max="3" width="67.625" style="332" customWidth="1"/>
    <col min="4" max="4" width="6.25" style="304" bestFit="1" customWidth="1"/>
    <col min="5" max="5" width="10.5" style="310" customWidth="1"/>
    <col min="6" max="16384" width="9" style="304"/>
  </cols>
  <sheetData>
    <row r="1" spans="1:5" ht="18.75" x14ac:dyDescent="0.2">
      <c r="A1" s="1025" t="s">
        <v>1086</v>
      </c>
      <c r="B1" s="1025"/>
      <c r="C1" s="1025"/>
      <c r="D1" s="1025"/>
      <c r="E1" s="1025"/>
    </row>
    <row r="2" spans="1:5" ht="15.75" x14ac:dyDescent="0.2">
      <c r="A2" s="1026" t="str">
        <f>+Memória!A2</f>
        <v>Trecho 06 - ES-162 - São Salvador - Divisa com Itapemirim (Nova Canaã) / Trecho 07 - Dois Corações - Comissão</v>
      </c>
      <c r="B2" s="1027"/>
      <c r="C2" s="1027"/>
      <c r="D2" s="1027"/>
      <c r="E2" s="1027"/>
    </row>
    <row r="3" spans="1:5" s="305" customFormat="1" ht="12.75" x14ac:dyDescent="0.2">
      <c r="A3" s="1028" t="s">
        <v>5</v>
      </c>
      <c r="B3" s="1028"/>
      <c r="C3" s="1029" t="s">
        <v>12</v>
      </c>
      <c r="D3" s="1029" t="s">
        <v>13</v>
      </c>
      <c r="E3" s="1031" t="s">
        <v>6</v>
      </c>
    </row>
    <row r="4" spans="1:5" s="305" customFormat="1" ht="12.75" x14ac:dyDescent="0.2">
      <c r="A4" s="732" t="s">
        <v>284</v>
      </c>
      <c r="B4" s="320" t="s">
        <v>11</v>
      </c>
      <c r="C4" s="1030"/>
      <c r="D4" s="1030"/>
      <c r="E4" s="1032"/>
    </row>
    <row r="5" spans="1:5" s="306" customFormat="1" ht="14.25" x14ac:dyDescent="0.2">
      <c r="A5" s="581">
        <v>1</v>
      </c>
      <c r="B5" s="321"/>
      <c r="C5" s="322" t="str">
        <f>VLOOKUP(A5,Memória!A:S,3,FALSE)</f>
        <v>TERRAPLENAGEM</v>
      </c>
      <c r="D5" s="312"/>
      <c r="E5" s="323"/>
    </row>
    <row r="6" spans="1:5" s="311" customFormat="1" x14ac:dyDescent="0.2">
      <c r="A6" s="582" t="s">
        <v>244</v>
      </c>
      <c r="B6" s="324"/>
      <c r="C6" s="325" t="str">
        <f>VLOOKUP(A6,Memória!A:S,3,FALSE)</f>
        <v>Serviços preliminares</v>
      </c>
      <c r="D6" s="326"/>
      <c r="E6" s="327"/>
    </row>
    <row r="7" spans="1:5" s="307" customFormat="1" ht="30" x14ac:dyDescent="0.2">
      <c r="A7" s="583" t="s">
        <v>1012</v>
      </c>
      <c r="B7" s="328">
        <f>VLOOKUP(A7,Memória!A:S,2,FALSE)</f>
        <v>40167</v>
      </c>
      <c r="C7" s="329" t="str">
        <f>VLOOKUP(A7,Memória!A:S,3,FALSE)</f>
        <v>Limpeza, desmatamento e destocamento de árvores com diâmetro até 15 cm, com trator de esteira</v>
      </c>
      <c r="D7" s="330" t="str">
        <f>VLOOKUP(A7,Memória!A:T,20,FALSE)</f>
        <v>M2</v>
      </c>
      <c r="E7" s="331">
        <f>VLOOKUP(A7,Memória!A:S,19,FALSE)</f>
        <v>61914.75</v>
      </c>
    </row>
    <row r="8" spans="1:5" s="307" customFormat="1" x14ac:dyDescent="0.2">
      <c r="A8" s="583" t="s">
        <v>1013</v>
      </c>
      <c r="B8" s="328">
        <f>VLOOKUP(A8,Memória!A:S,2,FALSE)</f>
        <v>40230</v>
      </c>
      <c r="C8" s="329" t="str">
        <f>VLOOKUP(A8,Memória!A:S,3,FALSE)</f>
        <v>Escavação e carga de material de 1ª categoria com escavadeira</v>
      </c>
      <c r="D8" s="330" t="str">
        <f>VLOOKUP(A8,Memória!A:T,20,FALSE)</f>
        <v>M3</v>
      </c>
      <c r="E8" s="331">
        <f>VLOOKUP(A8,Memória!A:S,19,FALSE)</f>
        <v>190309.32</v>
      </c>
    </row>
    <row r="9" spans="1:5" s="307" customFormat="1" x14ac:dyDescent="0.2">
      <c r="A9" s="583" t="s">
        <v>1014</v>
      </c>
      <c r="B9" s="328">
        <f>VLOOKUP(A9,Memória!A:S,2,FALSE)</f>
        <v>43340</v>
      </c>
      <c r="C9" s="329" t="str">
        <f>VLOOKUP(A9,Memória!A:S,3,FALSE)</f>
        <v>Compactação de aterros 100% P.I.</v>
      </c>
      <c r="D9" s="330" t="str">
        <f>VLOOKUP(A9,Memória!A:T,20,FALSE)</f>
        <v>M3</v>
      </c>
      <c r="E9" s="331">
        <f>VLOOKUP(A9,Memória!A:S,19,FALSE)</f>
        <v>58349.46</v>
      </c>
    </row>
    <row r="10" spans="1:5" s="307" customFormat="1" x14ac:dyDescent="0.2">
      <c r="A10" s="583" t="s">
        <v>1015</v>
      </c>
      <c r="B10" s="328">
        <f>VLOOKUP(A10,Memória!A:S,2,FALSE)</f>
        <v>40228</v>
      </c>
      <c r="C10" s="329" t="str">
        <f>VLOOKUP(A10,Memória!A:S,3,FALSE)</f>
        <v>Compactação de aterros 100% PN</v>
      </c>
      <c r="D10" s="330" t="str">
        <f>VLOOKUP(A10,Memória!A:T,20,FALSE)</f>
        <v>M3</v>
      </c>
      <c r="E10" s="331">
        <f>VLOOKUP(A10,Memória!A:S,19,FALSE)</f>
        <v>87524.2</v>
      </c>
    </row>
    <row r="11" spans="1:5" s="307" customFormat="1" ht="45" x14ac:dyDescent="0.2">
      <c r="A11" s="583" t="s">
        <v>1016</v>
      </c>
      <c r="B11" s="328">
        <f>VLOOKUP(A11,Memória!A:S,2,FALSE)</f>
        <v>60019</v>
      </c>
      <c r="C11" s="329" t="str">
        <f>VLOOKUP(A11,Memória!A:S,3,FALSE)</f>
        <v>LOCAL COM DMT ATÉ 3,0 KM (Caminhão basculante)1,085XP+1,198XR+1,904 (Incluindo BDI= 23,32%) -  XP=0.000 / XR=0.200 - Transporte de Material - DMT 200.0m</v>
      </c>
      <c r="D11" s="330" t="str">
        <f>VLOOKUP(A11,Memória!A:T,20,FALSE)</f>
        <v>T</v>
      </c>
      <c r="E11" s="331">
        <f>VLOOKUP(A11,Memória!A:S,19,FALSE)</f>
        <v>27457.25</v>
      </c>
    </row>
    <row r="12" spans="1:5" s="307" customFormat="1" ht="45" x14ac:dyDescent="0.2">
      <c r="A12" s="583" t="s">
        <v>1017</v>
      </c>
      <c r="B12" s="328">
        <f>VLOOKUP(A12,Memória!A:S,2,FALSE)</f>
        <v>60019</v>
      </c>
      <c r="C12" s="329" t="str">
        <f>VLOOKUP(A12,Memória!A:S,3,FALSE)</f>
        <v>LOCAL COM DMT ATÉ 3,0 KM (Caminhão basculante)1,085XP+1,198XR+1,904 (Incluindo BDI= 23,32%) -  XP=0.000 / XR=0.400 - Transporte de Material - DMT 400.0m</v>
      </c>
      <c r="D12" s="330" t="str">
        <f>VLOOKUP(A12,Memória!A:T,20,FALSE)</f>
        <v>T</v>
      </c>
      <c r="E12" s="331">
        <f>VLOOKUP(A12,Memória!A:S,19,FALSE)</f>
        <v>33528.15</v>
      </c>
    </row>
    <row r="13" spans="1:5" s="307" customFormat="1" ht="45" x14ac:dyDescent="0.2">
      <c r="A13" s="583" t="s">
        <v>1018</v>
      </c>
      <c r="B13" s="328">
        <f>VLOOKUP(A13,Memória!A:S,2,FALSE)</f>
        <v>60019</v>
      </c>
      <c r="C13" s="329" t="str">
        <f>VLOOKUP(A13,Memória!A:S,3,FALSE)</f>
        <v>LOCAL COM DMT ATÉ 3,0 KM (Caminhão basculante)1,085XP+1,198XR+1,904 (Incluindo BDI= 23,32%) -  XP=0.000 / XR=0.600 - Transporte de Material de 1ª Categoria - DMT 600.0m</v>
      </c>
      <c r="D13" s="330" t="str">
        <f>VLOOKUP(A13,Memória!A:T,20,FALSE)</f>
        <v>T</v>
      </c>
      <c r="E13" s="331">
        <f>VLOOKUP(A13,Memória!A:S,19,FALSE)</f>
        <v>7075.52</v>
      </c>
    </row>
    <row r="14" spans="1:5" s="307" customFormat="1" ht="45" x14ac:dyDescent="0.2">
      <c r="A14" s="583" t="s">
        <v>1063</v>
      </c>
      <c r="B14" s="328">
        <f>VLOOKUP(A14,Memória!A:S,2,FALSE)</f>
        <v>60019</v>
      </c>
      <c r="C14" s="329" t="str">
        <f>VLOOKUP(A14,Memória!A:S,3,FALSE)</f>
        <v>LOCAL COM DMT ATÉ 3,0 KM (Caminhão basculante)1,085XP+1,198XR+1,904 (Incluindo BDI= 23,32%) -  XP=0.000 / XR=0.800 - Transporte de Material de 1ª Categoria - DMT 800.0m</v>
      </c>
      <c r="D14" s="330" t="str">
        <f>VLOOKUP(A14,Memória!A:T,20,FALSE)</f>
        <v>T</v>
      </c>
      <c r="E14" s="331">
        <f>VLOOKUP(A14,Memória!A:S,19,FALSE)</f>
        <v>22220.14</v>
      </c>
    </row>
    <row r="15" spans="1:5" s="307" customFormat="1" ht="45" x14ac:dyDescent="0.2">
      <c r="A15" s="583" t="s">
        <v>1064</v>
      </c>
      <c r="B15" s="328">
        <f>VLOOKUP(A15,Memória!A:S,2,FALSE)</f>
        <v>60019</v>
      </c>
      <c r="C15" s="329" t="str">
        <f>VLOOKUP(A15,Memória!A:S,3,FALSE)</f>
        <v>LOCAL COM DMT ATÉ 3,0 KM (Caminhão basculante)1,085XP+1,198XR+1,904 (Incluindo BDI= 23,32%) -  XP=0.000 / XR=1.000 - Transporte de Material de 1ª Categoria - DMT 1000.0m</v>
      </c>
      <c r="D15" s="628" t="str">
        <f>VLOOKUP(A15,Memória!A:T,20,FALSE)</f>
        <v>T</v>
      </c>
      <c r="E15" s="331">
        <f>VLOOKUP(A15,Memória!A:S,19,FALSE)</f>
        <v>134718.1</v>
      </c>
    </row>
    <row r="16" spans="1:5" s="307" customFormat="1" ht="45" x14ac:dyDescent="0.2">
      <c r="A16" s="583" t="s">
        <v>1310</v>
      </c>
      <c r="B16" s="328">
        <f>VLOOKUP(A16,Memória!A:S,2,FALSE)</f>
        <v>60019</v>
      </c>
      <c r="C16" s="329" t="str">
        <f>VLOOKUP(A16,Memória!A:S,3,FALSE)</f>
        <v>LOCAL COM DMT ATÉ 3,0 KM (Caminhão basculante)1,085XP+1,198XR+1,904 (Incluindo BDI= 23,32%) -  XP=0.000 / XR=1.200 - Transporte de Material de 1ª Categoria - DMT 1200.0m</v>
      </c>
      <c r="D16" s="628" t="str">
        <f>VLOOKUP(A16,Memória!A:T,20,FALSE)</f>
        <v>T</v>
      </c>
      <c r="E16" s="331">
        <f>VLOOKUP(A16,Memória!A:S,19,FALSE)</f>
        <v>9543.1200000000008</v>
      </c>
    </row>
    <row r="17" spans="1:8" s="307" customFormat="1" ht="45" x14ac:dyDescent="0.2">
      <c r="A17" s="583" t="s">
        <v>1311</v>
      </c>
      <c r="B17" s="328">
        <f>VLOOKUP(A17,Memória!A:S,2,FALSE)</f>
        <v>60019</v>
      </c>
      <c r="C17" s="329" t="str">
        <f>VLOOKUP(A17,Memória!A:S,3,FALSE)</f>
        <v>LOCAL COM DMT ATÉ 3,0 KM (Caminhão basculante)1,085XP+1,198XR+1,904 (Incluindo BDI= 23,32%) -  XP=0.000 / XR=1.400 - Transporte de Material de 1ª Categoria - DMT 1400.0m</v>
      </c>
      <c r="D17" s="628" t="str">
        <f>VLOOKUP(A17,Memória!A:T,20,FALSE)</f>
        <v>T</v>
      </c>
      <c r="E17" s="331">
        <f>VLOOKUP(A17,Memória!A:S,19,FALSE)</f>
        <v>2019.55</v>
      </c>
    </row>
    <row r="18" spans="1:8" s="307" customFormat="1" ht="45" x14ac:dyDescent="0.2">
      <c r="A18" s="583" t="s">
        <v>1312</v>
      </c>
      <c r="B18" s="328">
        <f>VLOOKUP(A18,Memória!A:S,2,FALSE)</f>
        <v>60019</v>
      </c>
      <c r="C18" s="329" t="str">
        <f>VLOOKUP(A18,Memória!A:S,3,FALSE)</f>
        <v>LOCAL COM DMT ATÉ 3,0 KM (Caminhão basculante)1,085XP+1,198XR+1,904 (Incluindo BDI= 23,32%) -  XP=0.000 / XR=1.600 - Transporte de Material - DMT 1600.0m</v>
      </c>
      <c r="D18" s="628" t="str">
        <f>VLOOKUP(A18,Memória!A:T,20,FALSE)</f>
        <v>T</v>
      </c>
      <c r="E18" s="331">
        <f>VLOOKUP(A18,Memória!A:S,19,FALSE)</f>
        <v>10415.120000000001</v>
      </c>
    </row>
    <row r="19" spans="1:8" s="307" customFormat="1" ht="45" x14ac:dyDescent="0.2">
      <c r="A19" s="583" t="s">
        <v>1370</v>
      </c>
      <c r="B19" s="328">
        <f>VLOOKUP(A19,Memória!A:S,2,FALSE)</f>
        <v>60019</v>
      </c>
      <c r="C19" s="329" t="str">
        <f>VLOOKUP(A19,Memória!A:S,3,FALSE)</f>
        <v>LOCAL COM DMT ATÉ 3,0 KM (Caminhão basculante)1,085XP+1,198XR+1,904 (Incluindo BDI= 23,32%) -  XP=0.000 / XR=1.800 - Transporte de Material de 1ª Categoria - DMT 1800.0m</v>
      </c>
      <c r="D19" s="628" t="str">
        <f>VLOOKUP(A19,Memória!A:T,20,FALSE)</f>
        <v>T</v>
      </c>
      <c r="E19" s="331">
        <f>VLOOKUP(A19,Memória!A:S,19,FALSE)</f>
        <v>26945.200000000001</v>
      </c>
    </row>
    <row r="20" spans="1:8" s="307" customFormat="1" ht="30" x14ac:dyDescent="0.2">
      <c r="A20" s="583" t="s">
        <v>1371</v>
      </c>
      <c r="B20" s="328">
        <f>VLOOKUP(A20,Memória!A:S,2,FALSE)</f>
        <v>60019</v>
      </c>
      <c r="C20" s="329" t="str">
        <f>VLOOKUP(A20,Memória!A:S,3,FALSE)</f>
        <v>LOCAL COM DMT ATÉ 3,0 KM (Caminhão basculante)1,085XP+1,198XR+1,904 (Incluindo BDI= 23,32%) -  XP=T / XR=2,000</v>
      </c>
      <c r="D20" s="628" t="str">
        <f>VLOOKUP(A20,Memória!A:T,20,FALSE)</f>
        <v>T</v>
      </c>
      <c r="E20" s="331">
        <f>VLOOKUP(A20,Memória!A:S,19,FALSE)</f>
        <v>1145.02</v>
      </c>
    </row>
    <row r="21" spans="1:8" s="307" customFormat="1" ht="45" x14ac:dyDescent="0.2">
      <c r="A21" s="583" t="s">
        <v>1372</v>
      </c>
      <c r="B21" s="328">
        <f>VLOOKUP(A21,Memória!A:S,2,FALSE)</f>
        <v>60019</v>
      </c>
      <c r="C21" s="329" t="str">
        <f>VLOOKUP(A21,Memória!A:S,3,FALSE)</f>
        <v>LOCAL COM DMT ATÉ 3,0 KM (Caminhão basculante)1,085XP+1,198XR+1,904 (Incluindo BDI= 23,32%) -  XP=0.000 / XR=2.500 - Empréstimo - Transporte de Material - DMT 2500.0m</v>
      </c>
      <c r="D21" s="628" t="str">
        <f>VLOOKUP(A21,Memória!A:T,20,FALSE)</f>
        <v>T</v>
      </c>
      <c r="E21" s="331">
        <f>VLOOKUP(A21,Memória!A:S,19,FALSE)</f>
        <v>3593.63</v>
      </c>
    </row>
    <row r="22" spans="1:8" s="307" customFormat="1" ht="45" x14ac:dyDescent="0.2">
      <c r="A22" s="583" t="s">
        <v>1373</v>
      </c>
      <c r="B22" s="328">
        <f>VLOOKUP(A22,Memória!A:S,2,FALSE)</f>
        <v>60019</v>
      </c>
      <c r="C22" s="329" t="str">
        <f>VLOOKUP(A22,Memória!A:S,3,FALSE)</f>
        <v>LOCAL COM DMT ATÉ 3,0 KM (Caminhão basculante)1,085XP+1,198XR+1,904 (Incluindo BDI= 23,32%) -  XP=0.000 / XR=3.000 - Transporte de Material - DMT 3000.0m</v>
      </c>
      <c r="D22" s="628" t="str">
        <f>VLOOKUP(A22,Memória!A:T,20,FALSE)</f>
        <v>T</v>
      </c>
      <c r="E22" s="331">
        <f>VLOOKUP(A22,Memória!A:S,19,FALSE)</f>
        <v>30988.86</v>
      </c>
    </row>
    <row r="23" spans="1:8" s="307" customFormat="1" ht="45" x14ac:dyDescent="0.2">
      <c r="A23" s="583" t="s">
        <v>1531</v>
      </c>
      <c r="B23" s="328">
        <f>VLOOKUP(A23,Memória!A:S,2,FALSE)</f>
        <v>60020</v>
      </c>
      <c r="C23" s="329" t="str">
        <f>VLOOKUP(A23,Memória!A:S,3,FALSE)</f>
        <v>LOCAL COM DMT DE 3,1 A 5,0 KM (Caminhão basculante)0,972XP+1,093XR+1,823 -  XP=0.000 / XR=5.000 - Empréstimo - Transporte de Material - DMT 5000.0m</v>
      </c>
      <c r="D23" s="628" t="str">
        <f>VLOOKUP(A23,Memória!A:T,20,FALSE)</f>
        <v>T</v>
      </c>
      <c r="E23" s="331">
        <f>VLOOKUP(A23,Memória!A:S,19,FALSE)</f>
        <v>13876.23</v>
      </c>
    </row>
    <row r="24" spans="1:8" s="307" customFormat="1" x14ac:dyDescent="0.2">
      <c r="A24" s="583" t="s">
        <v>1532</v>
      </c>
      <c r="B24" s="328">
        <f>VLOOKUP(A24,Memória!A:S,2,FALSE)</f>
        <v>43335</v>
      </c>
      <c r="C24" s="329" t="str">
        <f>VLOOKUP(A24,Memória!A:S,3,FALSE)</f>
        <v>Espalhamento / regularização / compactação de material em bota-fora</v>
      </c>
      <c r="D24" s="628" t="str">
        <f>VLOOKUP(A24,Memória!A:T,20,FALSE)</f>
        <v>M3</v>
      </c>
      <c r="E24" s="331">
        <f>VLOOKUP(A24,Memória!A:S,19,FALSE)</f>
        <v>673.54</v>
      </c>
    </row>
    <row r="25" spans="1:8" s="307" customFormat="1" x14ac:dyDescent="0.2">
      <c r="A25" s="581">
        <v>2</v>
      </c>
      <c r="B25" s="321"/>
      <c r="C25" s="322" t="str">
        <f>VLOOKUP(A25,Memória!A:S,3,FALSE)</f>
        <v>DRENAGEM E OAC</v>
      </c>
      <c r="D25" s="629"/>
      <c r="E25" s="331"/>
    </row>
    <row r="26" spans="1:8" s="307" customFormat="1" x14ac:dyDescent="0.2">
      <c r="A26" s="584" t="s">
        <v>139</v>
      </c>
      <c r="B26" s="328">
        <f>VLOOKUP(A26,Memória!A:S,2,FALSE)</f>
        <v>40283</v>
      </c>
      <c r="C26" s="329" t="str">
        <f>VLOOKUP(A26,Memória!A:S,3,FALSE)</f>
        <v>Escavação mecânica em material de 1ª cat. H= 1,50 a 3,00 m</v>
      </c>
      <c r="D26" s="330" t="str">
        <f>VLOOKUP(A26,Memória!A:T,20,FALSE)</f>
        <v>M3</v>
      </c>
      <c r="E26" s="331">
        <f>VLOOKUP(A26,Memória!A:S,19,FALSE)</f>
        <v>1290.5999999999999</v>
      </c>
    </row>
    <row r="27" spans="1:8" s="306" customFormat="1" x14ac:dyDescent="0.2">
      <c r="A27" s="584" t="s">
        <v>140</v>
      </c>
      <c r="B27" s="328">
        <f>VLOOKUP(A27,Memória!A:S,2,FALSE)</f>
        <v>40284</v>
      </c>
      <c r="C27" s="329" t="str">
        <f>VLOOKUP(A27,Memória!A:S,3,FALSE)</f>
        <v>Escavação mecânica em material de 1ª cat. H= 3,00 a 4,50 m</v>
      </c>
      <c r="D27" s="330" t="str">
        <f>VLOOKUP(A27,Memória!A:T,20,FALSE)</f>
        <v>M3</v>
      </c>
      <c r="E27" s="331">
        <f>VLOOKUP(A27,Memória!A:S,19,FALSE)</f>
        <v>1712</v>
      </c>
    </row>
    <row r="28" spans="1:8" s="307" customFormat="1" x14ac:dyDescent="0.2">
      <c r="A28" s="584" t="s">
        <v>245</v>
      </c>
      <c r="B28" s="328">
        <f>VLOOKUP(A28,Memória!A:S,2,FALSE)</f>
        <v>40303</v>
      </c>
      <c r="C28" s="329" t="str">
        <f>VLOOKUP(A28,Memória!A:S,3,FALSE)</f>
        <v>Reaterro de cavas c/ compactação mecânica (compactador manual)</v>
      </c>
      <c r="D28" s="330" t="str">
        <f>VLOOKUP(A28,Memória!A:T,20,FALSE)</f>
        <v>M3</v>
      </c>
      <c r="E28" s="331">
        <f>VLOOKUP(A28,Memória!A:S,19,FALSE)</f>
        <v>11585.64</v>
      </c>
      <c r="F28" s="421"/>
      <c r="G28" s="306"/>
      <c r="H28" s="306"/>
    </row>
    <row r="29" spans="1:8" s="307" customFormat="1" ht="30" x14ac:dyDescent="0.2">
      <c r="A29" s="584" t="s">
        <v>246</v>
      </c>
      <c r="B29" s="328">
        <f>VLOOKUP(A29,Memória!A:S,2,FALSE)</f>
        <v>40433</v>
      </c>
      <c r="C29" s="329" t="str">
        <f>VLOOKUP(A29,Memória!A:S,3,FALSE)</f>
        <v>Corpo BSTC (greide) diâmetro 0,80 m CA-1 PB inclusive escavação, reaterro e transporte do tubo</v>
      </c>
      <c r="D29" s="330" t="str">
        <f>VLOOKUP(A29,Memória!A:T,20,FALSE)</f>
        <v>M</v>
      </c>
      <c r="E29" s="331">
        <f>VLOOKUP(A29,Memória!A:S,19,FALSE)</f>
        <v>161.5</v>
      </c>
      <c r="F29" s="421"/>
      <c r="G29" s="306"/>
      <c r="H29" s="306"/>
    </row>
    <row r="30" spans="1:8" s="307" customFormat="1" ht="30" x14ac:dyDescent="0.2">
      <c r="A30" s="584" t="s">
        <v>247</v>
      </c>
      <c r="B30" s="328">
        <f>VLOOKUP(A30,Memória!A:S,2,FALSE)</f>
        <v>40453</v>
      </c>
      <c r="C30" s="329" t="str">
        <f>VLOOKUP(A30,Memória!A:S,3,FALSE)</f>
        <v>Corpo BSTC (grota) diâmetro 1,00 m CA-1 PB exclusive escavação e reaterro, inclusive transporte do tubo</v>
      </c>
      <c r="D30" s="330" t="str">
        <f>VLOOKUP(A30,Memória!A:T,20,FALSE)</f>
        <v>M</v>
      </c>
      <c r="E30" s="331">
        <f>VLOOKUP(A30,Memória!A:S,19,FALSE)</f>
        <v>29</v>
      </c>
      <c r="F30" s="421"/>
      <c r="G30" s="306"/>
      <c r="H30" s="306"/>
    </row>
    <row r="31" spans="1:8" s="307" customFormat="1" x14ac:dyDescent="0.2">
      <c r="A31" s="584" t="s">
        <v>248</v>
      </c>
      <c r="B31" s="328">
        <f>VLOOKUP(A31,Memória!A:S,2,FALSE)</f>
        <v>40591</v>
      </c>
      <c r="C31" s="329" t="str">
        <f>VLOOKUP(A31,Memória!A:S,3,FALSE)</f>
        <v>Corpo de BDCC 3,00 x 3,00 m projeto DNIT para H &lt; = 2,50 m</v>
      </c>
      <c r="D31" s="330" t="str">
        <f>VLOOKUP(A31,Memória!A:T,20,FALSE)</f>
        <v>M</v>
      </c>
      <c r="E31" s="331">
        <f>VLOOKUP(A31,Memória!A:S,19,FALSE)</f>
        <v>22</v>
      </c>
      <c r="F31" s="421"/>
      <c r="G31" s="306"/>
      <c r="H31" s="306"/>
    </row>
    <row r="32" spans="1:8" s="308" customFormat="1" ht="30" x14ac:dyDescent="0.2">
      <c r="A32" s="584" t="s">
        <v>249</v>
      </c>
      <c r="B32" s="328">
        <f>VLOOKUP(A32,Memória!A:S,2,FALSE)</f>
        <v>40478</v>
      </c>
      <c r="C32" s="329" t="str">
        <f>VLOOKUP(A32,Memória!A:S,3,FALSE)</f>
        <v>Corpo BDTC (grota) diâmetro 1,00 m CA-2 PB exclusive escavação e reaterro, inclusive transporte do tubo</v>
      </c>
      <c r="D32" s="330" t="str">
        <f>VLOOKUP(A32,Memória!A:T,20,FALSE)</f>
        <v>M</v>
      </c>
      <c r="E32" s="331">
        <f>VLOOKUP(A32,Memória!A:S,19,FALSE)</f>
        <v>42</v>
      </c>
      <c r="F32" s="421"/>
      <c r="G32" s="306"/>
      <c r="H32" s="306"/>
    </row>
    <row r="33" spans="1:6" s="307" customFormat="1" ht="30" x14ac:dyDescent="0.2">
      <c r="A33" s="584" t="s">
        <v>250</v>
      </c>
      <c r="B33" s="328">
        <f>VLOOKUP(A33,Memória!A:S,2,FALSE)</f>
        <v>40483</v>
      </c>
      <c r="C33" s="329" t="str">
        <f>VLOOKUP(A33,Memória!A:S,3,FALSE)</f>
        <v>Corpo BDTC (grota) diâmetro 1,20 m CA-2 PB exclusive escavação e reaterro, inclusive transporte do tubo</v>
      </c>
      <c r="D33" s="330" t="str">
        <f>VLOOKUP(A33,Memória!A:T,20,FALSE)</f>
        <v>M</v>
      </c>
      <c r="E33" s="331">
        <f>VLOOKUP(A33,Memória!A:S,19,FALSE)</f>
        <v>97</v>
      </c>
      <c r="F33" s="421"/>
    </row>
    <row r="34" spans="1:6" s="307" customFormat="1" ht="30" x14ac:dyDescent="0.2">
      <c r="A34" s="584" t="s">
        <v>251</v>
      </c>
      <c r="B34" s="328">
        <f>VLOOKUP(A34,Memória!A:S,2,FALSE)</f>
        <v>41102</v>
      </c>
      <c r="C34" s="329" t="str">
        <f>VLOOKUP(A34,Memória!A:S,3,FALSE)</f>
        <v>BSCC (pré-moldado) 1,50 x 1,50 x 1,00m CL 45t, inclusive transporte do Anel de Bueiro Celular Pré-moldado</v>
      </c>
      <c r="D34" s="330" t="str">
        <f>VLOOKUP(A34,Memória!A:T,20,FALSE)</f>
        <v>M</v>
      </c>
      <c r="E34" s="331">
        <f>VLOOKUP(A34,Memória!A:S,19,FALSE)</f>
        <v>21</v>
      </c>
      <c r="F34" s="421"/>
    </row>
    <row r="35" spans="1:6" s="307" customFormat="1" ht="30" x14ac:dyDescent="0.2">
      <c r="A35" s="584" t="s">
        <v>252</v>
      </c>
      <c r="B35" s="328">
        <f>VLOOKUP(A35,Memória!A:S,2,FALSE)</f>
        <v>41103</v>
      </c>
      <c r="C35" s="329" t="str">
        <f>VLOOKUP(A35,Memória!A:S,3,FALSE)</f>
        <v>BSCC (pré-moldado) 2,00 x 2,00 x 1,00m CL 45t, inclusive transporte de Anel de Bueiro Celular Pré-moldado</v>
      </c>
      <c r="D35" s="330" t="str">
        <f>VLOOKUP(A35,Memória!A:T,20,FALSE)</f>
        <v>M</v>
      </c>
      <c r="E35" s="331">
        <f>VLOOKUP(A35,Memória!A:S,19,FALSE)</f>
        <v>22</v>
      </c>
      <c r="F35" s="421"/>
    </row>
    <row r="36" spans="1:6" s="307" customFormat="1" ht="30" x14ac:dyDescent="0.2">
      <c r="A36" s="584" t="s">
        <v>253</v>
      </c>
      <c r="B36" s="328">
        <f>VLOOKUP(A36,Memória!A:S,2,FALSE)</f>
        <v>42767</v>
      </c>
      <c r="C36" s="329" t="str">
        <f>VLOOKUP(A36,Memória!A:S,3,FALSE)</f>
        <v>Corpo BSTC (greide) diâmetro 0,80 m CA-2 PB inclusive escavação, reaterro e transporte do tubo em Vias Urbanas</v>
      </c>
      <c r="D36" s="330" t="str">
        <f>VLOOKUP(A36,Memória!A:T,20,FALSE)</f>
        <v>M</v>
      </c>
      <c r="E36" s="331">
        <f>VLOOKUP(A36,Memória!A:S,19,FALSE)</f>
        <v>758.5</v>
      </c>
      <c r="F36" s="421"/>
    </row>
    <row r="37" spans="1:6" s="307" customFormat="1" x14ac:dyDescent="0.2">
      <c r="A37" s="584" t="s">
        <v>254</v>
      </c>
      <c r="B37" s="328">
        <f>VLOOKUP(A37,Memória!A:S,2,FALSE)</f>
        <v>40521</v>
      </c>
      <c r="C37" s="329" t="str">
        <f>VLOOKUP(A37,Memória!A:S,3,FALSE)</f>
        <v>Berço de concreto ciclópico para BDTC diâmetro 1,00 m</v>
      </c>
      <c r="D37" s="330" t="str">
        <f>VLOOKUP(A37,Memória!A:T,20,FALSE)</f>
        <v>M</v>
      </c>
      <c r="E37" s="331">
        <f>VLOOKUP(A37,Memória!A:S,19,FALSE)</f>
        <v>42</v>
      </c>
      <c r="F37" s="421"/>
    </row>
    <row r="38" spans="1:6" s="307" customFormat="1" x14ac:dyDescent="0.2">
      <c r="A38" s="584" t="s">
        <v>255</v>
      </c>
      <c r="B38" s="630">
        <f>VLOOKUP(A38,Memória!A:S,2,FALSE)</f>
        <v>40522</v>
      </c>
      <c r="C38" s="329" t="str">
        <f>VLOOKUP(A38,Memória!A:S,3,FALSE)</f>
        <v>Berço de concreto ciclópico para BDTC diâmetro 1,20 m</v>
      </c>
      <c r="D38" s="628" t="str">
        <f>VLOOKUP(A38,Memória!A:T,20,FALSE)</f>
        <v>M</v>
      </c>
      <c r="E38" s="331">
        <f>VLOOKUP(A38,Memória!A:S,19,FALSE)</f>
        <v>97</v>
      </c>
      <c r="F38" s="421"/>
    </row>
    <row r="39" spans="1:6" s="307" customFormat="1" x14ac:dyDescent="0.2">
      <c r="A39" s="584" t="s">
        <v>256</v>
      </c>
      <c r="B39" s="630">
        <f>VLOOKUP(A39,Memória!A:S,2,FALSE)</f>
        <v>40721</v>
      </c>
      <c r="C39" s="329" t="str">
        <f>VLOOKUP(A39,Memória!A:S,3,FALSE)</f>
        <v>Lastro de brita, inclusive transporte da brita</v>
      </c>
      <c r="D39" s="628" t="str">
        <f>VLOOKUP(A39,Memória!A:T,20,FALSE)</f>
        <v>M3</v>
      </c>
      <c r="E39" s="331">
        <f>VLOOKUP(A39,Memória!A:S,19,FALSE)</f>
        <v>0.47</v>
      </c>
      <c r="F39" s="421"/>
    </row>
    <row r="40" spans="1:6" s="307" customFormat="1" x14ac:dyDescent="0.2">
      <c r="A40" s="584" t="s">
        <v>257</v>
      </c>
      <c r="B40" s="630">
        <f>VLOOKUP(A40,Memória!A:S,2,FALSE)</f>
        <v>40515</v>
      </c>
      <c r="C40" s="329" t="str">
        <f>VLOOKUP(A40,Memória!A:S,3,FALSE)</f>
        <v>Berço de concreto ciclópico para BSTC diâmetro 0,80 m</v>
      </c>
      <c r="D40" s="628" t="str">
        <f>VLOOKUP(A40,Memória!A:T,20,FALSE)</f>
        <v>M</v>
      </c>
      <c r="E40" s="331">
        <f>VLOOKUP(A40,Memória!A:S,19,FALSE)</f>
        <v>775.5</v>
      </c>
      <c r="F40" s="421"/>
    </row>
    <row r="41" spans="1:6" s="307" customFormat="1" x14ac:dyDescent="0.2">
      <c r="A41" s="584" t="s">
        <v>258</v>
      </c>
      <c r="B41" s="630">
        <f>VLOOKUP(A41,Memória!A:S,2,FALSE)</f>
        <v>40516</v>
      </c>
      <c r="C41" s="329" t="str">
        <f>VLOOKUP(A41,Memória!A:S,3,FALSE)</f>
        <v>Berço de concreto ciclópico para BSTC diâmetro 1,00 m</v>
      </c>
      <c r="D41" s="628" t="str">
        <f>VLOOKUP(A41,Memória!A:T,20,FALSE)</f>
        <v>M</v>
      </c>
      <c r="E41" s="331">
        <f>VLOOKUP(A41,Memória!A:S,19,FALSE)</f>
        <v>41</v>
      </c>
      <c r="F41" s="421"/>
    </row>
    <row r="42" spans="1:6" s="307" customFormat="1" x14ac:dyDescent="0.2">
      <c r="A42" s="584" t="s">
        <v>259</v>
      </c>
      <c r="B42" s="630">
        <f>VLOOKUP(A42,Memória!A:S,2,FALSE)</f>
        <v>40537</v>
      </c>
      <c r="C42" s="329" t="str">
        <f>VLOOKUP(A42,Memória!A:S,3,FALSE)</f>
        <v>Boca de concreto ciclópico para BDTC diâmetro 1,00 m</v>
      </c>
      <c r="D42" s="628" t="str">
        <f>VLOOKUP(A42,Memória!A:T,20,FALSE)</f>
        <v>Ud</v>
      </c>
      <c r="E42" s="331">
        <f>VLOOKUP(A42,Memória!A:S,19,FALSE)</f>
        <v>4</v>
      </c>
      <c r="F42" s="421"/>
    </row>
    <row r="43" spans="1:6" s="307" customFormat="1" x14ac:dyDescent="0.2">
      <c r="A43" s="584" t="s">
        <v>260</v>
      </c>
      <c r="B43" s="630">
        <f>VLOOKUP(A43,Memória!A:S,2,FALSE)</f>
        <v>40538</v>
      </c>
      <c r="C43" s="329" t="str">
        <f>VLOOKUP(A43,Memória!A:S,3,FALSE)</f>
        <v>Boca de concreto ciclópico para BDTC diâmetro 1,20 m</v>
      </c>
      <c r="D43" s="628" t="str">
        <f>VLOOKUP(A43,Memória!A:T,20,FALSE)</f>
        <v>Ud</v>
      </c>
      <c r="E43" s="331">
        <f>VLOOKUP(A43,Memória!A:S,19,FALSE)</f>
        <v>6</v>
      </c>
      <c r="F43" s="421"/>
    </row>
    <row r="44" spans="1:6" s="307" customFormat="1" x14ac:dyDescent="0.2">
      <c r="A44" s="584" t="s">
        <v>261</v>
      </c>
      <c r="B44" s="630">
        <f>VLOOKUP(A44,Memória!A:S,2,FALSE)</f>
        <v>40531</v>
      </c>
      <c r="C44" s="329" t="str">
        <f>VLOOKUP(A44,Memória!A:S,3,FALSE)</f>
        <v>Boca de concreto ciclópico para BSTC diâmetro 0,80 m</v>
      </c>
      <c r="D44" s="628" t="str">
        <f>VLOOKUP(A44,Memória!A:T,20,FALSE)</f>
        <v>Ud</v>
      </c>
      <c r="E44" s="331">
        <f>VLOOKUP(A44,Memória!A:S,19,FALSE)</f>
        <v>37</v>
      </c>
      <c r="F44" s="421"/>
    </row>
    <row r="45" spans="1:6" s="307" customFormat="1" x14ac:dyDescent="0.2">
      <c r="A45" s="584" t="s">
        <v>262</v>
      </c>
      <c r="B45" s="630">
        <f>VLOOKUP(A45,Memória!A:S,2,FALSE)</f>
        <v>40532</v>
      </c>
      <c r="C45" s="329" t="str">
        <f>VLOOKUP(A45,Memória!A:S,3,FALSE)</f>
        <v>Boca de concreto ciclópico para BSTC diâmetro 1,00 m</v>
      </c>
      <c r="D45" s="628" t="str">
        <f>VLOOKUP(A45,Memória!A:T,20,FALSE)</f>
        <v>Ud</v>
      </c>
      <c r="E45" s="331">
        <f>VLOOKUP(A45,Memória!A:S,19,FALSE)</f>
        <v>2</v>
      </c>
      <c r="F45" s="421"/>
    </row>
    <row r="46" spans="1:6" s="307" customFormat="1" x14ac:dyDescent="0.2">
      <c r="A46" s="584" t="s">
        <v>263</v>
      </c>
      <c r="B46" s="630">
        <f>VLOOKUP(A46,Memória!A:S,2,FALSE)</f>
        <v>40625</v>
      </c>
      <c r="C46" s="329" t="str">
        <f>VLOOKUP(A46,Memória!A:S,3,FALSE)</f>
        <v>Boca de BDCC 3,00 x 3,00 m projeto DNIT</v>
      </c>
      <c r="D46" s="628" t="str">
        <f>VLOOKUP(A46,Memória!A:T,20,FALSE)</f>
        <v>Ud</v>
      </c>
      <c r="E46" s="331">
        <f>VLOOKUP(A46,Memória!A:S,19,FALSE)</f>
        <v>2</v>
      </c>
      <c r="F46" s="421"/>
    </row>
    <row r="47" spans="1:6" s="307" customFormat="1" x14ac:dyDescent="0.2">
      <c r="A47" s="584" t="s">
        <v>264</v>
      </c>
      <c r="B47" s="630">
        <f>VLOOKUP(A47,Memória!A:S,2,FALSE)</f>
        <v>40613</v>
      </c>
      <c r="C47" s="329" t="str">
        <f>VLOOKUP(A47,Memória!A:S,3,FALSE)</f>
        <v>Boca de BSCC 1,50 x 1,50 m projeto DNIT</v>
      </c>
      <c r="D47" s="628" t="str">
        <f>VLOOKUP(A47,Memória!A:T,20,FALSE)</f>
        <v>Ud</v>
      </c>
      <c r="E47" s="331">
        <f>VLOOKUP(A47,Memória!A:S,19,FALSE)</f>
        <v>2</v>
      </c>
      <c r="F47" s="421"/>
    </row>
    <row r="48" spans="1:6" s="307" customFormat="1" x14ac:dyDescent="0.2">
      <c r="A48" s="584" t="s">
        <v>265</v>
      </c>
      <c r="B48" s="630">
        <f>VLOOKUP(A48,Memória!A:S,2,FALSE)</f>
        <v>40614</v>
      </c>
      <c r="C48" s="329" t="str">
        <f>VLOOKUP(A48,Memória!A:S,3,FALSE)</f>
        <v>Boca de BSCC 2,00 x 2,00 m projeto DNIT</v>
      </c>
      <c r="D48" s="628" t="str">
        <f>VLOOKUP(A48,Memória!A:T,20,FALSE)</f>
        <v>Ud</v>
      </c>
      <c r="E48" s="331">
        <f>VLOOKUP(A48,Memória!A:S,19,FALSE)</f>
        <v>2</v>
      </c>
      <c r="F48" s="421"/>
    </row>
    <row r="49" spans="1:6" s="307" customFormat="1" x14ac:dyDescent="0.2">
      <c r="A49" s="584" t="s">
        <v>266</v>
      </c>
      <c r="B49" s="630" t="str">
        <f>VLOOKUP(A49,Memória!A:S,2,FALSE)</f>
        <v>LG-010</v>
      </c>
      <c r="C49" s="329" t="str">
        <f>VLOOKUP(A49,Memória!A:S,3,FALSE)</f>
        <v>Envelopamento de BDTC diâmetro 1,00 m</v>
      </c>
      <c r="D49" s="628" t="str">
        <f>VLOOKUP(A49,Memória!A:T,20,FALSE)</f>
        <v>m</v>
      </c>
      <c r="E49" s="331">
        <f>VLOOKUP(A49,Memória!A:S,19,FALSE)</f>
        <v>20</v>
      </c>
      <c r="F49" s="421"/>
    </row>
    <row r="50" spans="1:6" s="307" customFormat="1" x14ac:dyDescent="0.2">
      <c r="A50" s="584" t="s">
        <v>1088</v>
      </c>
      <c r="B50" s="630" t="str">
        <f>VLOOKUP(A50,Memória!A:S,2,FALSE)</f>
        <v>LG-011</v>
      </c>
      <c r="C50" s="329" t="str">
        <f>VLOOKUP(A50,Memória!A:S,3,FALSE)</f>
        <v>Envelopamento de BDTC diâmetro 1,20 m</v>
      </c>
      <c r="D50" s="628" t="str">
        <f>VLOOKUP(A50,Memória!A:T,20,FALSE)</f>
        <v>m</v>
      </c>
      <c r="E50" s="331">
        <f>VLOOKUP(A50,Memória!A:S,19,FALSE)</f>
        <v>22</v>
      </c>
      <c r="F50" s="421"/>
    </row>
    <row r="51" spans="1:6" s="307" customFormat="1" x14ac:dyDescent="0.2">
      <c r="A51" s="584" t="s">
        <v>1356</v>
      </c>
      <c r="B51" s="630">
        <f>VLOOKUP(A51,Memória!A:S,2,FALSE)</f>
        <v>40673</v>
      </c>
      <c r="C51" s="329" t="str">
        <f>VLOOKUP(A51,Memória!A:S,3,FALSE)</f>
        <v>Entrada para descida d'água EDA-01</v>
      </c>
      <c r="D51" s="628" t="str">
        <f>VLOOKUP(A51,Memória!A:T,20,FALSE)</f>
        <v>Ud</v>
      </c>
      <c r="E51" s="331">
        <f>VLOOKUP(A51,Memória!A:S,19,FALSE)</f>
        <v>74</v>
      </c>
      <c r="F51" s="421"/>
    </row>
    <row r="52" spans="1:6" s="307" customFormat="1" x14ac:dyDescent="0.2">
      <c r="A52" s="584" t="s">
        <v>1357</v>
      </c>
      <c r="B52" s="630">
        <f>VLOOKUP(A52,Memória!A:S,2,FALSE)</f>
        <v>40674</v>
      </c>
      <c r="C52" s="329" t="str">
        <f>VLOOKUP(A52,Memória!A:S,3,FALSE)</f>
        <v>Entrada para descida d'água EDA-02</v>
      </c>
      <c r="D52" s="628" t="str">
        <f>VLOOKUP(A52,Memória!A:T,20,FALSE)</f>
        <v>Ud</v>
      </c>
      <c r="E52" s="331">
        <f>VLOOKUP(A52,Memória!A:S,19,FALSE)</f>
        <v>4</v>
      </c>
      <c r="F52" s="421"/>
    </row>
    <row r="53" spans="1:6" s="307" customFormat="1" x14ac:dyDescent="0.2">
      <c r="A53" s="584" t="s">
        <v>1358</v>
      </c>
      <c r="B53" s="630">
        <f>VLOOKUP(A53,Memória!A:S,2,FALSE)</f>
        <v>40690</v>
      </c>
      <c r="C53" s="329" t="str">
        <f>VLOOKUP(A53,Memória!A:S,3,FALSE)</f>
        <v>Saída d'água concreto p/ aterro c/ caiação (SDA-01)</v>
      </c>
      <c r="D53" s="628" t="str">
        <f>VLOOKUP(A53,Memória!A:T,20,FALSE)</f>
        <v>Ud</v>
      </c>
      <c r="E53" s="331">
        <f>VLOOKUP(A53,Memória!A:S,19,FALSE)</f>
        <v>16</v>
      </c>
      <c r="F53" s="421"/>
    </row>
    <row r="54" spans="1:6" s="307" customFormat="1" x14ac:dyDescent="0.2">
      <c r="A54" s="584" t="s">
        <v>1359</v>
      </c>
      <c r="B54" s="630">
        <f>VLOOKUP(A54,Memória!A:S,2,FALSE)</f>
        <v>40683</v>
      </c>
      <c r="C54" s="329" t="str">
        <f>VLOOKUP(A54,Memória!A:S,3,FALSE)</f>
        <v>Descida d'água concreto armado (degraus) c/ caiação (DSA-03A) degrau</v>
      </c>
      <c r="D54" s="628" t="str">
        <f>VLOOKUP(A54,Memória!A:T,20,FALSE)</f>
        <v>M</v>
      </c>
      <c r="E54" s="331">
        <f>VLOOKUP(A54,Memória!A:S,19,FALSE)</f>
        <v>128</v>
      </c>
      <c r="F54" s="421"/>
    </row>
    <row r="55" spans="1:6" s="307" customFormat="1" x14ac:dyDescent="0.2">
      <c r="A55" s="584" t="s">
        <v>1360</v>
      </c>
      <c r="B55" s="630">
        <f>VLOOKUP(A55,Memória!A:S,2,FALSE)</f>
        <v>40684</v>
      </c>
      <c r="C55" s="329" t="str">
        <f>VLOOKUP(A55,Memória!A:S,3,FALSE)</f>
        <v>Descida d'água concreto armado (degraus) c/ caiação (DSA-03A) apoio</v>
      </c>
      <c r="D55" s="628" t="str">
        <f>VLOOKUP(A55,Memória!A:T,20,FALSE)</f>
        <v>Ud</v>
      </c>
      <c r="E55" s="331">
        <f>VLOOKUP(A55,Memória!A:S,19,FALSE)</f>
        <v>15</v>
      </c>
      <c r="F55" s="421"/>
    </row>
    <row r="56" spans="1:6" s="307" customFormat="1" x14ac:dyDescent="0.2">
      <c r="A56" s="584" t="s">
        <v>1431</v>
      </c>
      <c r="B56" s="630">
        <f>VLOOKUP(A56,Memória!A:S,2,FALSE)</f>
        <v>40678</v>
      </c>
      <c r="C56" s="329" t="str">
        <f>VLOOKUP(A56,Memória!A:S,3,FALSE)</f>
        <v>Descida d'água concreto armado (calha) c/ caiação (DSA-01A) canal</v>
      </c>
      <c r="D56" s="628" t="str">
        <f>VLOOKUP(A56,Memória!A:T,20,FALSE)</f>
        <v>M</v>
      </c>
      <c r="E56" s="331">
        <f>VLOOKUP(A56,Memória!A:S,19,FALSE)</f>
        <v>78.5</v>
      </c>
      <c r="F56" s="421"/>
    </row>
    <row r="57" spans="1:6" s="307" customFormat="1" x14ac:dyDescent="0.2">
      <c r="A57" s="584" t="s">
        <v>1507</v>
      </c>
      <c r="B57" s="630">
        <f>VLOOKUP(A57,Memória!A:S,2,FALSE)</f>
        <v>40679</v>
      </c>
      <c r="C57" s="329" t="str">
        <f>VLOOKUP(A57,Memória!A:S,3,FALSE)</f>
        <v>Descida d'água concreto armado (calha) c/ caiação (DSA-01A) dispersor</v>
      </c>
      <c r="D57" s="628" t="str">
        <f>VLOOKUP(A57,Memória!A:T,20,FALSE)</f>
        <v>Ud</v>
      </c>
      <c r="E57" s="331">
        <f>VLOOKUP(A57,Memória!A:S,19,FALSE)</f>
        <v>13</v>
      </c>
      <c r="F57" s="421"/>
    </row>
    <row r="58" spans="1:6" s="307" customFormat="1" x14ac:dyDescent="0.2">
      <c r="A58" s="584" t="s">
        <v>1508</v>
      </c>
      <c r="B58" s="630">
        <f>VLOOKUP(A58,Memória!A:S,2,FALSE)</f>
        <v>40685</v>
      </c>
      <c r="C58" s="329" t="str">
        <f>VLOOKUP(A58,Memória!A:S,3,FALSE)</f>
        <v>Descida d'água concreto armado (degraus) c/ caiação (DSA-03A) dispersor</v>
      </c>
      <c r="D58" s="628" t="str">
        <f>VLOOKUP(A58,Memória!A:T,20,FALSE)</f>
        <v>Ud</v>
      </c>
      <c r="E58" s="331">
        <f>VLOOKUP(A58,Memória!A:S,19,FALSE)</f>
        <v>15</v>
      </c>
      <c r="F58" s="421"/>
    </row>
    <row r="59" spans="1:6" s="307" customFormat="1" x14ac:dyDescent="0.2">
      <c r="A59" s="584" t="s">
        <v>1524</v>
      </c>
      <c r="B59" s="630" t="str">
        <f>VLOOKUP(A59,Memória!A:S,2,FALSE)</f>
        <v>LG-012</v>
      </c>
      <c r="C59" s="329" t="str">
        <f>VLOOKUP(A59,Memória!A:S,3,FALSE)</f>
        <v>Descida d'agua para Cortes - DCD 02</v>
      </c>
      <c r="D59" s="628" t="str">
        <f>VLOOKUP(A59,Memória!A:T,20,FALSE)</f>
        <v>m</v>
      </c>
      <c r="E59" s="331">
        <f>VLOOKUP(A59,Memória!A:S,19,FALSE)</f>
        <v>30</v>
      </c>
      <c r="F59" s="421"/>
    </row>
    <row r="60" spans="1:6" s="307" customFormat="1" x14ac:dyDescent="0.2">
      <c r="A60" s="584" t="s">
        <v>1525</v>
      </c>
      <c r="B60" s="630">
        <f>VLOOKUP(A60,Memória!A:S,2,FALSE)</f>
        <v>40735</v>
      </c>
      <c r="C60" s="329" t="str">
        <f>VLOOKUP(A60,Memória!A:S,3,FALSE)</f>
        <v>Dissipador de energia aplicado a saída de bueiro/descida d'água de aterro (DEB-04)</v>
      </c>
      <c r="D60" s="628" t="str">
        <f>VLOOKUP(A60,Memória!A:T,20,FALSE)</f>
        <v>Ud</v>
      </c>
      <c r="E60" s="331">
        <f>VLOOKUP(A60,Memória!A:S,19,FALSE)</f>
        <v>4</v>
      </c>
      <c r="F60" s="421"/>
    </row>
    <row r="61" spans="1:6" s="307" customFormat="1" x14ac:dyDescent="0.2">
      <c r="A61" s="584" t="s">
        <v>1526</v>
      </c>
      <c r="B61" s="630">
        <f>VLOOKUP(A61,Memória!A:S,2,FALSE)</f>
        <v>40706</v>
      </c>
      <c r="C61" s="329" t="str">
        <f>VLOOKUP(A61,Memória!A:S,3,FALSE)</f>
        <v>Transposição de segmento de sarjeta - TSS 01, inclusive transporte do tubo de concreto</v>
      </c>
      <c r="D61" s="628" t="str">
        <f>VLOOKUP(A61,Memória!A:T,20,FALSE)</f>
        <v>M</v>
      </c>
      <c r="E61" s="331">
        <f>VLOOKUP(A61,Memória!A:S,19,FALSE)</f>
        <v>41.3</v>
      </c>
      <c r="F61" s="421"/>
    </row>
    <row r="62" spans="1:6" s="307" customFormat="1" x14ac:dyDescent="0.2">
      <c r="A62" s="584" t="s">
        <v>1533</v>
      </c>
      <c r="B62" s="630">
        <f>VLOOKUP(A62,Memória!A:S,2,FALSE)</f>
        <v>40672</v>
      </c>
      <c r="C62" s="329" t="str">
        <f>VLOOKUP(A62,Memória!A:S,3,FALSE)</f>
        <v>Canaleta com grelha DP-1, inclusive transporte da grelha</v>
      </c>
      <c r="D62" s="628" t="str">
        <f>VLOOKUP(A62,Memória!A:T,20,FALSE)</f>
        <v>M</v>
      </c>
      <c r="E62" s="331">
        <f>VLOOKUP(A62,Memória!A:S,19,FALSE)</f>
        <v>24</v>
      </c>
      <c r="F62" s="421"/>
    </row>
    <row r="63" spans="1:6" s="307" customFormat="1" x14ac:dyDescent="0.2">
      <c r="A63" s="584" t="s">
        <v>1534</v>
      </c>
      <c r="B63" s="630">
        <f>VLOOKUP(A63,Memória!A:S,2,FALSE)</f>
        <v>42699</v>
      </c>
      <c r="C63" s="329" t="str">
        <f>VLOOKUP(A63,Memória!A:S,3,FALSE)</f>
        <v>Canaleta de concreto retangular (0,130m³/m) inclusive caiação em Vias Urbanas</v>
      </c>
      <c r="D63" s="628" t="str">
        <f>VLOOKUP(A63,Memória!A:T,20,FALSE)</f>
        <v>M</v>
      </c>
      <c r="E63" s="331">
        <f>VLOOKUP(A63,Memória!A:S,19,FALSE)</f>
        <v>2106</v>
      </c>
      <c r="F63" s="421"/>
    </row>
    <row r="64" spans="1:6" s="307" customFormat="1" x14ac:dyDescent="0.2">
      <c r="A64" s="584" t="s">
        <v>1535</v>
      </c>
      <c r="B64" s="630">
        <f>VLOOKUP(A64,Memória!A:S,2,FALSE)</f>
        <v>40668</v>
      </c>
      <c r="C64" s="329" t="str">
        <f>VLOOKUP(A64,Memória!A:S,3,FALSE)</f>
        <v>Sarjeta de concreto (SCA 70/15) calha triangular, inclusive caiação</v>
      </c>
      <c r="D64" s="628" t="str">
        <f>VLOOKUP(A64,Memória!A:T,20,FALSE)</f>
        <v>M</v>
      </c>
      <c r="E64" s="331">
        <f>VLOOKUP(A64,Memória!A:S,19,FALSE)</f>
        <v>2794</v>
      </c>
      <c r="F64" s="421"/>
    </row>
    <row r="65" spans="1:6" s="307" customFormat="1" x14ac:dyDescent="0.2">
      <c r="A65" s="584" t="s">
        <v>1536</v>
      </c>
      <c r="B65" s="630">
        <f>VLOOKUP(A65,Memória!A:S,2,FALSE)</f>
        <v>40667</v>
      </c>
      <c r="C65" s="329" t="str">
        <f>VLOOKUP(A65,Memória!A:S,3,FALSE)</f>
        <v>Sarjeta de concreto DP-2 (0,085 m³/m) calha triangular, inclusive caiação</v>
      </c>
      <c r="D65" s="628" t="str">
        <f>VLOOKUP(A65,Memória!A:T,20,FALSE)</f>
        <v>M</v>
      </c>
      <c r="E65" s="331">
        <f>VLOOKUP(A65,Memória!A:S,19,FALSE)</f>
        <v>9326</v>
      </c>
      <c r="F65" s="421"/>
    </row>
    <row r="66" spans="1:6" s="307" customFormat="1" x14ac:dyDescent="0.2">
      <c r="A66" s="584" t="s">
        <v>1537</v>
      </c>
      <c r="B66" s="630">
        <f>VLOOKUP(A66,Memória!A:S,2,FALSE)</f>
        <v>40693</v>
      </c>
      <c r="C66" s="329" t="str">
        <f>VLOOKUP(A66,Memória!A:S,3,FALSE)</f>
        <v>Valeta de proteção de corte VPC-01 (escavação)</v>
      </c>
      <c r="D66" s="628" t="str">
        <f>VLOOKUP(A66,Memória!A:T,20,FALSE)</f>
        <v>M</v>
      </c>
      <c r="E66" s="331">
        <f>VLOOKUP(A66,Memória!A:S,19,FALSE)</f>
        <v>570</v>
      </c>
      <c r="F66" s="421"/>
    </row>
    <row r="67" spans="1:6" s="307" customFormat="1" x14ac:dyDescent="0.2">
      <c r="A67" s="584" t="s">
        <v>1538</v>
      </c>
      <c r="B67" s="630">
        <f>VLOOKUP(A67,Memória!A:S,2,FALSE)</f>
        <v>40547</v>
      </c>
      <c r="C67" s="329" t="str">
        <f>VLOOKUP(A67,Memória!A:S,3,FALSE)</f>
        <v>Caixa de concreto para BSTC diâmetro 0,80 m H=2,50 m</v>
      </c>
      <c r="D67" s="628" t="str">
        <f>VLOOKUP(A67,Memória!A:T,20,FALSE)</f>
        <v>Ud</v>
      </c>
      <c r="E67" s="331">
        <f>VLOOKUP(A67,Memória!A:S,19,FALSE)</f>
        <v>66</v>
      </c>
      <c r="F67" s="421"/>
    </row>
    <row r="68" spans="1:6" s="307" customFormat="1" ht="30" x14ac:dyDescent="0.2">
      <c r="A68" s="584" t="s">
        <v>1539</v>
      </c>
      <c r="B68" s="630">
        <f>VLOOKUP(A68,Memória!A:S,2,FALSE)</f>
        <v>40647</v>
      </c>
      <c r="C68" s="329" t="str">
        <f>VLOOKUP(A68,Memória!A:S,3,FALSE)</f>
        <v>Dreno profundo D = 0,20 m com enchimento de brita e areia, escavação em material 1ª categoria, inclusive transporte da brita e da areia</v>
      </c>
      <c r="D68" s="628" t="str">
        <f>VLOOKUP(A68,Memória!A:T,20,FALSE)</f>
        <v>M</v>
      </c>
      <c r="E68" s="331">
        <f>VLOOKUP(A68,Memória!A:S,19,FALSE)</f>
        <v>5860</v>
      </c>
      <c r="F68" s="421"/>
    </row>
    <row r="69" spans="1:6" s="307" customFormat="1" x14ac:dyDescent="0.2">
      <c r="A69" s="584" t="s">
        <v>1540</v>
      </c>
      <c r="B69" s="630">
        <f>VLOOKUP(A69,Memória!A:S,2,FALSE)</f>
        <v>40662</v>
      </c>
      <c r="C69" s="329" t="str">
        <f>VLOOKUP(A69,Memória!A:S,3,FALSE)</f>
        <v>Meio fio de concreto MFC 05, inclusive caiação</v>
      </c>
      <c r="D69" s="628" t="str">
        <f>VLOOKUP(A69,Memória!A:T,20,FALSE)</f>
        <v>M</v>
      </c>
      <c r="E69" s="331">
        <f>VLOOKUP(A69,Memória!A:S,19,FALSE)</f>
        <v>423</v>
      </c>
      <c r="F69" s="421"/>
    </row>
    <row r="70" spans="1:6" s="307" customFormat="1" x14ac:dyDescent="0.2">
      <c r="A70" s="584" t="s">
        <v>1541</v>
      </c>
      <c r="B70" s="630">
        <f>VLOOKUP(A70,Memória!A:S,2,FALSE)</f>
        <v>40734</v>
      </c>
      <c r="C70" s="329" t="str">
        <f>VLOOKUP(A70,Memória!A:S,3,FALSE)</f>
        <v>Dissipador de energia aplicado a saída de bueiro/descida d'água de aterro (DEB-03)</v>
      </c>
      <c r="D70" s="628" t="str">
        <f>VLOOKUP(A70,Memória!A:T,20,FALSE)</f>
        <v>Ud</v>
      </c>
      <c r="E70" s="331">
        <f>VLOOKUP(A70,Memória!A:S,19,FALSE)</f>
        <v>4</v>
      </c>
      <c r="F70" s="421"/>
    </row>
    <row r="71" spans="1:6" s="307" customFormat="1" x14ac:dyDescent="0.2">
      <c r="A71" s="581">
        <v>3</v>
      </c>
      <c r="B71" s="631"/>
      <c r="C71" s="322" t="str">
        <f>VLOOKUP(A71,Memória!A:S,3,FALSE)</f>
        <v>PAVIMENTAÇÃO</v>
      </c>
      <c r="D71" s="629"/>
      <c r="E71" s="331"/>
      <c r="F71" s="421"/>
    </row>
    <row r="72" spans="1:6" s="307" customFormat="1" x14ac:dyDescent="0.2">
      <c r="A72" s="583" t="s">
        <v>267</v>
      </c>
      <c r="B72" s="328">
        <f>VLOOKUP(A72,Memória!A:S,2,FALSE)</f>
        <v>40754</v>
      </c>
      <c r="C72" s="329" t="str">
        <f>VLOOKUP(A72,Memória!A:S,3,FALSE)</f>
        <v>Regularização e compactação do sub-leito (100% P.I.) H = 0,20 m</v>
      </c>
      <c r="D72" s="330" t="str">
        <f>VLOOKUP(A72,Memória!A:T,20,FALSE)</f>
        <v>M2</v>
      </c>
      <c r="E72" s="331">
        <f>VLOOKUP(A72,Memória!A:S,19,FALSE)</f>
        <v>84658.7</v>
      </c>
      <c r="F72" s="421"/>
    </row>
    <row r="73" spans="1:6" s="307" customFormat="1" x14ac:dyDescent="0.2">
      <c r="A73" s="583" t="s">
        <v>268</v>
      </c>
      <c r="B73" s="328">
        <f>VLOOKUP(A73,Memória!A:S,2,FALSE)</f>
        <v>40757</v>
      </c>
      <c r="C73" s="329" t="str">
        <f>VLOOKUP(A73,Memória!A:S,3,FALSE)</f>
        <v>Estabilização granulométrica de solo s/ mistura 100% P.I.</v>
      </c>
      <c r="D73" s="330" t="str">
        <f>VLOOKUP(A73,Memória!A:T,20,FALSE)</f>
        <v>M3</v>
      </c>
      <c r="E73" s="331">
        <f>VLOOKUP(A73,Memória!A:S,19,FALSE)</f>
        <v>4478.54</v>
      </c>
      <c r="F73" s="421"/>
    </row>
    <row r="74" spans="1:6" s="307" customFormat="1" x14ac:dyDescent="0.2">
      <c r="A74" s="583" t="s">
        <v>269</v>
      </c>
      <c r="B74" s="328" t="str">
        <f>VLOOKUP(A74,Memória!A:S,2,FALSE)</f>
        <v>LG-013</v>
      </c>
      <c r="C74" s="329" t="str">
        <f>VLOOKUP(A74,Memória!A:S,3,FALSE)</f>
        <v>Base mistura em peso 60% de brita graduada / 40% solo</v>
      </c>
      <c r="D74" s="330" t="str">
        <f>VLOOKUP(A74,Memória!A:T,20,FALSE)</f>
        <v>m³</v>
      </c>
      <c r="E74" s="331">
        <f>VLOOKUP(A74,Memória!A:S,19,FALSE)</f>
        <v>4210.75</v>
      </c>
      <c r="F74" s="421"/>
    </row>
    <row r="75" spans="1:6" s="307" customFormat="1" x14ac:dyDescent="0.2">
      <c r="A75" s="583" t="s">
        <v>270</v>
      </c>
      <c r="B75" s="328">
        <f>VLOOKUP(A75,Memória!A:S,2,FALSE)</f>
        <v>40780</v>
      </c>
      <c r="C75" s="329" t="str">
        <f>VLOOKUP(A75,Memória!A:S,3,FALSE)</f>
        <v>Sub-base solo brita, 50% em peso, inclusive fornecimento e transporte da brita</v>
      </c>
      <c r="D75" s="330" t="str">
        <f>VLOOKUP(A75,Memória!A:T,20,FALSE)</f>
        <v>M3</v>
      </c>
      <c r="E75" s="331">
        <f>VLOOKUP(A75,Memória!A:S,19,FALSE)</f>
        <v>19575.259999999998</v>
      </c>
      <c r="F75" s="421"/>
    </row>
    <row r="76" spans="1:6" s="307" customFormat="1" x14ac:dyDescent="0.2">
      <c r="A76" s="583" t="s">
        <v>271</v>
      </c>
      <c r="B76" s="328">
        <f>VLOOKUP(A76,Memória!A:S,2,FALSE)</f>
        <v>40812</v>
      </c>
      <c r="C76" s="329" t="str">
        <f>VLOOKUP(A76,Memória!A:S,3,FALSE)</f>
        <v>Base de brita graduada, inclusive fornecimento, exclusive transporte da brita</v>
      </c>
      <c r="D76" s="330" t="str">
        <f>VLOOKUP(A76,Memória!A:T,20,FALSE)</f>
        <v>M3</v>
      </c>
      <c r="E76" s="331">
        <f>VLOOKUP(A76,Memória!A:S,19,FALSE)</f>
        <v>18821.63</v>
      </c>
      <c r="F76" s="421"/>
    </row>
    <row r="77" spans="1:6" s="306" customFormat="1" x14ac:dyDescent="0.2">
      <c r="A77" s="584" t="s">
        <v>272</v>
      </c>
      <c r="B77" s="630">
        <f>VLOOKUP(A77,Memória!A:S,2,FALSE)</f>
        <v>40816</v>
      </c>
      <c r="C77" s="632" t="str">
        <f>VLOOKUP(A77,Memória!A:S,3,FALSE)</f>
        <v>Imprimação exclusive fornecimento e transporte comercial do material betuminoso</v>
      </c>
      <c r="D77" s="628" t="str">
        <f>VLOOKUP(A77,Memória!A:T,20,FALSE)</f>
        <v>M2</v>
      </c>
      <c r="E77" s="331">
        <f>VLOOKUP(A77,Memória!A:S,19,FALSE)</f>
        <v>141330.72</v>
      </c>
    </row>
    <row r="78" spans="1:6" s="306" customFormat="1" x14ac:dyDescent="0.2">
      <c r="A78" s="584" t="s">
        <v>273</v>
      </c>
      <c r="B78" s="630">
        <f>VLOOKUP(A78,Memória!A:S,2,FALSE)</f>
        <v>40843</v>
      </c>
      <c r="C78" s="632" t="str">
        <f>VLOOKUP(A78,Memória!A:S,3,FALSE)</f>
        <v>CBUQ (camada pronta - capa) exclusive fornecimento e transportes do CAP e massa</v>
      </c>
      <c r="D78" s="628" t="str">
        <f>VLOOKUP(A78,Memória!A:T,20,FALSE)</f>
        <v>t</v>
      </c>
      <c r="E78" s="331">
        <f>VLOOKUP(A78,Memória!A:S,19,FALSE)</f>
        <v>14245.03</v>
      </c>
    </row>
    <row r="79" spans="1:6" s="306" customFormat="1" ht="30" x14ac:dyDescent="0.2">
      <c r="A79" s="584" t="s">
        <v>1434</v>
      </c>
      <c r="B79" s="630">
        <f>VLOOKUP(A79,Memória!A:S,2,FALSE)</f>
        <v>40828</v>
      </c>
      <c r="C79" s="632" t="str">
        <f>VLOOKUP(A79,Memória!A:S,3,FALSE)</f>
        <v>T.S.B.D. sem capa selante exclusive fornecimento e transporte comercial da emulsão, inclusive lavagem e transporte comercial da brita</v>
      </c>
      <c r="D79" s="628" t="str">
        <f>VLOOKUP(A79,Memória!A:T,20,FALSE)</f>
        <v>M2</v>
      </c>
      <c r="E79" s="331">
        <f>VLOOKUP(A79,Memória!A:S,19,FALSE)</f>
        <v>20161.16</v>
      </c>
    </row>
    <row r="80" spans="1:6" s="306" customFormat="1" x14ac:dyDescent="0.2">
      <c r="A80" s="584" t="s">
        <v>1542</v>
      </c>
      <c r="B80" s="630">
        <f>VLOOKUP(A80,Memória!A:S,2,FALSE)</f>
        <v>40230</v>
      </c>
      <c r="C80" s="632" t="str">
        <f>VLOOKUP(A80,Memória!A:S,3,FALSE)</f>
        <v>Escavação e carga de material de 1ª categoria com escavadeira</v>
      </c>
      <c r="D80" s="628" t="str">
        <f>VLOOKUP(A80,Memória!A:T,20,FALSE)</f>
        <v>m³</v>
      </c>
      <c r="E80" s="331">
        <f>VLOOKUP(A80,Memória!A:S,19,FALSE)</f>
        <v>19103.990000000002</v>
      </c>
    </row>
    <row r="81" spans="1:7" s="306" customFormat="1" x14ac:dyDescent="0.2">
      <c r="A81" s="584" t="s">
        <v>1543</v>
      </c>
      <c r="B81" s="630">
        <f>VLOOKUP(A81,Memória!A:S,2,FALSE)</f>
        <v>42045</v>
      </c>
      <c r="C81" s="632" t="str">
        <f>VLOOKUP(A81,Memória!A:S,3,FALSE)</f>
        <v>Aquisição de solo de jazida comercial (saibreira)</v>
      </c>
      <c r="D81" s="628" t="str">
        <f>VLOOKUP(A81,Memória!A:T,20,FALSE)</f>
        <v>m³</v>
      </c>
      <c r="E81" s="331">
        <f>VLOOKUP(A81,Memória!A:S,19,FALSE)</f>
        <v>19103.990000000002</v>
      </c>
    </row>
    <row r="82" spans="1:7" s="306" customFormat="1" ht="30" x14ac:dyDescent="0.2">
      <c r="A82" s="584" t="s">
        <v>1544</v>
      </c>
      <c r="B82" s="630">
        <f>VLOOKUP(A82,Memória!A:S,2,FALSE)</f>
        <v>60020</v>
      </c>
      <c r="C82" s="632" t="str">
        <f>VLOOKUP(A82,Memória!A:S,3,FALSE)</f>
        <v>LOCAL COM DMT DE 3,1 A 5,0 KM (Caminhão basculante)0,972XP+1,093XR+1,823 -  XP=0.470 / XR=2.960 - Sub-base</v>
      </c>
      <c r="D82" s="628" t="str">
        <f>VLOOKUP(A82,Memória!A:T,20,FALSE)</f>
        <v>T</v>
      </c>
      <c r="E82" s="331">
        <f>VLOOKUP(A82,Memória!A:S,19,FALSE)</f>
        <v>22962.18</v>
      </c>
    </row>
    <row r="83" spans="1:7" s="306" customFormat="1" ht="30" x14ac:dyDescent="0.2">
      <c r="A83" s="584" t="s">
        <v>1545</v>
      </c>
      <c r="B83" s="630">
        <f>VLOOKUP(A83,Memória!A:S,2,FALSE)</f>
        <v>60002</v>
      </c>
      <c r="C83" s="632" t="str">
        <f>VLOOKUP(A83,Memória!A:S,3,FALSE)</f>
        <v>TR-201-00 (Comercial - Caminhão basculante)0,839XP+0,875XR+3,503 -  XP=22.590 / XR=5.550 - Base</v>
      </c>
      <c r="D83" s="628" t="str">
        <f>VLOOKUP(A83,Memória!A:T,20,FALSE)</f>
        <v>T</v>
      </c>
      <c r="E83" s="331">
        <f>VLOOKUP(A83,Memória!A:S,19,FALSE)</f>
        <v>41690.050000000003</v>
      </c>
    </row>
    <row r="84" spans="1:7" s="306" customFormat="1" ht="30" x14ac:dyDescent="0.2">
      <c r="A84" s="584" t="s">
        <v>1546</v>
      </c>
      <c r="B84" s="630">
        <f>VLOOKUP(A84,Memória!A:S,2,FALSE)</f>
        <v>60022</v>
      </c>
      <c r="C84" s="632" t="str">
        <f>VLOOKUP(A84,Memória!A:S,3,FALSE)</f>
        <v>LOCAL COM DMT DE 10,1 A 15,0 KM (Caminhão basculante)0,748XP+0,791XR+1,683 -  XP=0,000 / XR=13,910 - Material p/sub-base</v>
      </c>
      <c r="D84" s="628" t="str">
        <f>VLOOKUP(A84,Memória!A:T,20,FALSE)</f>
        <v xml:space="preserve"> t  </v>
      </c>
      <c r="E84" s="331">
        <f>VLOOKUP(A84,Memória!A:S,19,FALSE)</f>
        <v>11397.86</v>
      </c>
    </row>
    <row r="85" spans="1:7" s="306" customFormat="1" ht="30" x14ac:dyDescent="0.2">
      <c r="A85" s="584" t="s">
        <v>1547</v>
      </c>
      <c r="B85" s="630">
        <f>VLOOKUP(A85,Memória!A:S,2,FALSE)</f>
        <v>60022</v>
      </c>
      <c r="C85" s="632" t="str">
        <f>VLOOKUP(A85,Memória!A:S,3,FALSE)</f>
        <v>LOCAL COM DMT DE 10,1 A 15,0 KM (Caminhão basculante)0,748XP+0,791XR+1,683 -  XP=0,000 / XR=13,936 - Material p/base</v>
      </c>
      <c r="D85" s="628" t="str">
        <f>VLOOKUP(A85,Memória!A:T,20,FALSE)</f>
        <v xml:space="preserve"> t  </v>
      </c>
      <c r="E85" s="331">
        <f>VLOOKUP(A85,Memória!A:S,19,FALSE)</f>
        <v>3824.84</v>
      </c>
    </row>
    <row r="86" spans="1:7" s="307" customFormat="1" x14ac:dyDescent="0.2">
      <c r="A86" s="581">
        <v>4</v>
      </c>
      <c r="B86" s="631"/>
      <c r="C86" s="322" t="str">
        <f>VLOOKUP(A86,Memória!A:S,3,FALSE)</f>
        <v>FORNECIMENTO E TRANSPORTE DE MATERIAL BETUMINOSO</v>
      </c>
      <c r="D86" s="629"/>
      <c r="E86" s="331"/>
      <c r="F86" s="307" t="s">
        <v>3274</v>
      </c>
      <c r="G86" s="307" t="s">
        <v>3274</v>
      </c>
    </row>
    <row r="87" spans="1:7" s="307" customFormat="1" x14ac:dyDescent="0.2">
      <c r="A87" s="583" t="s">
        <v>274</v>
      </c>
      <c r="B87" s="328">
        <f>VLOOKUP(A87,Memória!A:S,2,FALSE)</f>
        <v>40968</v>
      </c>
      <c r="C87" s="329" t="str">
        <f>VLOOKUP(A87,Memória!A:S,3,FALSE)</f>
        <v>CM-30, fornecimento</v>
      </c>
      <c r="D87" s="330" t="str">
        <f>VLOOKUP(A87,Memória!A:T,20,FALSE)</f>
        <v>t</v>
      </c>
      <c r="E87" s="331">
        <f>VLOOKUP(A87,Memória!A:S,19,FALSE)</f>
        <v>194.33</v>
      </c>
    </row>
    <row r="88" spans="1:7" s="307" customFormat="1" x14ac:dyDescent="0.2">
      <c r="A88" s="583" t="s">
        <v>275</v>
      </c>
      <c r="B88" s="328">
        <f>VLOOKUP(A88,Memória!A:S,2,FALSE)</f>
        <v>41360</v>
      </c>
      <c r="C88" s="329" t="str">
        <f>VLOOKUP(A88,Memória!A:S,3,FALSE)</f>
        <v>CAP-50/70, fornecimento</v>
      </c>
      <c r="D88" s="330" t="str">
        <f>VLOOKUP(A88,Memória!A:T,20,FALSE)</f>
        <v>t</v>
      </c>
      <c r="E88" s="331">
        <f>VLOOKUP(A88,Memória!A:S,19,FALSE)</f>
        <v>783.48</v>
      </c>
    </row>
    <row r="89" spans="1:7" s="307" customFormat="1" x14ac:dyDescent="0.2">
      <c r="A89" s="583" t="s">
        <v>276</v>
      </c>
      <c r="B89" s="328">
        <f>VLOOKUP(A89,Memória!A:S,2,FALSE)</f>
        <v>40976</v>
      </c>
      <c r="C89" s="329" t="str">
        <f>VLOOKUP(A89,Memória!A:S,3,FALSE)</f>
        <v>Dope, fornecimento</v>
      </c>
      <c r="D89" s="330" t="str">
        <f>VLOOKUP(A89,Memória!A:T,20,FALSE)</f>
        <v>t</v>
      </c>
      <c r="E89" s="331">
        <f>VLOOKUP(A89,Memória!A:S,19,FALSE)</f>
        <v>7.12</v>
      </c>
    </row>
    <row r="90" spans="1:7" s="307" customFormat="1" x14ac:dyDescent="0.2">
      <c r="A90" s="583" t="s">
        <v>277</v>
      </c>
      <c r="B90" s="328">
        <f>VLOOKUP(A90,Memória!A:S,2,FALSE)</f>
        <v>40969</v>
      </c>
      <c r="C90" s="329" t="str">
        <f>VLOOKUP(A90,Memória!A:S,3,FALSE)</f>
        <v>Emulsão RR-2C, fornecimento</v>
      </c>
      <c r="D90" s="330" t="str">
        <f>VLOOKUP(A90,Memória!A:T,20,FALSE)</f>
        <v>t</v>
      </c>
      <c r="E90" s="331">
        <f>VLOOKUP(A90,Memória!A:S,19,FALSE)</f>
        <v>66.53</v>
      </c>
    </row>
    <row r="91" spans="1:7" s="307" customFormat="1" x14ac:dyDescent="0.2">
      <c r="A91" s="583" t="s">
        <v>278</v>
      </c>
      <c r="B91" s="328">
        <f>VLOOKUP(A91,Memória!A:S,2,FALSE)</f>
        <v>40972</v>
      </c>
      <c r="C91" s="329" t="str">
        <f>VLOOKUP(A91,Memória!A:S,3,FALSE)</f>
        <v>Bonificação de 15,28% sobre Materiais Betuminosos</v>
      </c>
      <c r="D91" s="330" t="str">
        <f>VLOOKUP(A91,Memória!A:T,20,FALSE)</f>
        <v>%</v>
      </c>
      <c r="E91" s="331">
        <f>VLOOKUP(A91,Memória!A:S,19,FALSE)</f>
        <v>0.15</v>
      </c>
    </row>
    <row r="92" spans="1:7" s="307" customFormat="1" ht="30" x14ac:dyDescent="0.2">
      <c r="A92" s="583" t="s">
        <v>1107</v>
      </c>
      <c r="B92" s="328">
        <f>VLOOKUP(A92,Memória!A:S,2,FALSE)</f>
        <v>100849</v>
      </c>
      <c r="C92" s="329" t="str">
        <f>VLOOKUP(A92,Memória!A:S,3,FALSE)</f>
        <v>Transporte de Material Asfáltico (DNIT), inclusive BDI diferenciado0,537XP+0,636XR+57,439 -  XP=411.800 / XR=5.700 - CM-30</v>
      </c>
      <c r="D92" s="330" t="str">
        <f>VLOOKUP(A92,Memória!A:T,20,FALSE)</f>
        <v>T</v>
      </c>
      <c r="E92" s="331">
        <f>VLOOKUP(A92,Memória!A:S,19,FALSE)</f>
        <v>194.33</v>
      </c>
    </row>
    <row r="93" spans="1:7" s="307" customFormat="1" ht="30" x14ac:dyDescent="0.2">
      <c r="A93" s="583" t="s">
        <v>1108</v>
      </c>
      <c r="B93" s="328">
        <f>VLOOKUP(A93,Memória!A:S,2,FALSE)</f>
        <v>100849</v>
      </c>
      <c r="C93" s="329" t="str">
        <f>VLOOKUP(A93,Memória!A:S,3,FALSE)</f>
        <v>Transporte de Material Asfáltico (DNIT), inclusive BDI diferenciado0,537XP+0,636XR+57,439 -  XP=411.800 / XR=5.700 - CAP50/70</v>
      </c>
      <c r="D93" s="330" t="str">
        <f>VLOOKUP(A93,Memória!A:T,20,FALSE)</f>
        <v>T</v>
      </c>
      <c r="E93" s="331">
        <f>VLOOKUP(A93,Memória!A:S,19,FALSE)</f>
        <v>783.48</v>
      </c>
    </row>
    <row r="94" spans="1:7" s="307" customFormat="1" ht="45" x14ac:dyDescent="0.2">
      <c r="A94" s="583" t="s">
        <v>1423</v>
      </c>
      <c r="B94" s="328">
        <f>VLOOKUP(A94,Memória!A:S,2,FALSE)</f>
        <v>100849</v>
      </c>
      <c r="C94" s="329" t="str">
        <f>VLOOKUP(A94,Memória!A:S,3,FALSE)</f>
        <v>Transporte de Material Asfáltico (DNIT), inclusive BDI diferenciado0,537XP+0,636XR+57,439 -  XP=411.800 / XR=5.700 - Dope (Tambor de 100kg)</v>
      </c>
      <c r="D94" s="330" t="str">
        <f>VLOOKUP(A94,Memória!A:T,20,FALSE)</f>
        <v>T</v>
      </c>
      <c r="E94" s="331">
        <f>VLOOKUP(A94,Memória!A:S,19,FALSE)</f>
        <v>7.12</v>
      </c>
    </row>
    <row r="95" spans="1:7" s="307" customFormat="1" ht="30" x14ac:dyDescent="0.2">
      <c r="A95" s="583" t="s">
        <v>1548</v>
      </c>
      <c r="B95" s="328">
        <f>VLOOKUP(A95,Memória!A:S,2,FALSE)</f>
        <v>60006</v>
      </c>
      <c r="C95" s="329" t="str">
        <f>VLOOKUP(A95,Memória!A:S,3,FALSE)</f>
        <v>TR-301-00 (Massa Asfáltica)1,264XP+1,313XR+9,731 -  XP=37.200 / XR=5.600 - Massa Asfática</v>
      </c>
      <c r="D95" s="330" t="str">
        <f>VLOOKUP(A95,Memória!A:T,20,FALSE)</f>
        <v>T</v>
      </c>
      <c r="E95" s="331">
        <f>VLOOKUP(A95,Memória!A:S,19,FALSE)</f>
        <v>14245.03</v>
      </c>
    </row>
    <row r="96" spans="1:7" s="307" customFormat="1" ht="30" x14ac:dyDescent="0.2">
      <c r="A96" s="583" t="s">
        <v>1549</v>
      </c>
      <c r="B96" s="328">
        <f>VLOOKUP(A96,Memória!A:S,2,FALSE)</f>
        <v>100849</v>
      </c>
      <c r="C96" s="329" t="str">
        <f>VLOOKUP(A96,Memória!A:S,3,FALSE)</f>
        <v>Transporte de Material Asfáltico (DNIT), inclusive BDI diferenciado0,537XP+0,636XR+57,439 -  XP=411.800 / XR=5.700 - RR-2C</v>
      </c>
      <c r="D96" s="330" t="str">
        <f>VLOOKUP(A96,Memória!A:T,20,FALSE)</f>
        <v>T</v>
      </c>
      <c r="E96" s="331">
        <f>VLOOKUP(A96,Memória!A:S,19,FALSE)</f>
        <v>66.53</v>
      </c>
    </row>
    <row r="97" spans="1:5" s="307" customFormat="1" x14ac:dyDescent="0.2">
      <c r="A97" s="581">
        <v>5</v>
      </c>
      <c r="B97" s="631"/>
      <c r="C97" s="322" t="str">
        <f>VLOOKUP(A97,Memória!A:S,3,FALSE)</f>
        <v>OBRAS COMPLEMENTARES</v>
      </c>
      <c r="D97" s="629"/>
      <c r="E97" s="331"/>
    </row>
    <row r="98" spans="1:5" s="307" customFormat="1" ht="30" x14ac:dyDescent="0.2">
      <c r="A98" s="585" t="s">
        <v>1223</v>
      </c>
      <c r="B98" s="328">
        <f>VLOOKUP(A98,Memória!A:S,2,FALSE)</f>
        <v>40903</v>
      </c>
      <c r="C98" s="329" t="str">
        <f>VLOOKUP(A98,Memória!A:S,3,FALSE)</f>
        <v>Cerca de arame farpado 4 fios com postes cada 2,5 m, esticadores de concreto a cada 25,0 m</v>
      </c>
      <c r="D98" s="330" t="str">
        <f>VLOOKUP(A98,Memória!A:T,20,FALSE)</f>
        <v>M</v>
      </c>
      <c r="E98" s="331">
        <f>VLOOKUP(A98,Memória!A:S,19,FALSE)</f>
        <v>12539.45</v>
      </c>
    </row>
    <row r="99" spans="1:5" s="307" customFormat="1" x14ac:dyDescent="0.2">
      <c r="A99" s="585" t="s">
        <v>1224</v>
      </c>
      <c r="B99" s="328">
        <f>VLOOKUP(A99,Memória!A:S,2,FALSE)</f>
        <v>40902</v>
      </c>
      <c r="C99" s="329" t="str">
        <f>VLOOKUP(A99,Memória!A:S,3,FALSE)</f>
        <v>Deslocamento de cerca de madeira com 4 fios de arame</v>
      </c>
      <c r="D99" s="330" t="str">
        <f>VLOOKUP(A99,Memória!A:T,20,FALSE)</f>
        <v>M</v>
      </c>
      <c r="E99" s="331">
        <f>VLOOKUP(A99,Memória!A:S,19,FALSE)</f>
        <v>8327.4500000000007</v>
      </c>
    </row>
    <row r="100" spans="1:5" s="307" customFormat="1" x14ac:dyDescent="0.2">
      <c r="A100" s="585" t="s">
        <v>1529</v>
      </c>
      <c r="B100" s="328">
        <f>VLOOKUP(A100,Memória!A:S,2,FALSE)</f>
        <v>40910</v>
      </c>
      <c r="C100" s="329" t="str">
        <f>VLOOKUP(A100,Memória!A:S,3,FALSE)</f>
        <v>Abrigo de Ônibus - Rodovia Rural - 3,40 m x 6,00 m</v>
      </c>
      <c r="D100" s="330" t="str">
        <f>VLOOKUP(A100,Memória!A:T,20,FALSE)</f>
        <v>Ud</v>
      </c>
      <c r="E100" s="331">
        <f>VLOOKUP(A100,Memória!A:S,19,FALSE)</f>
        <v>36</v>
      </c>
    </row>
    <row r="101" spans="1:5" s="307" customFormat="1" ht="30" x14ac:dyDescent="0.2">
      <c r="A101" s="585" t="s">
        <v>1550</v>
      </c>
      <c r="B101" s="328">
        <f>VLOOKUP(A101,Memória!A:S,2,FALSE)</f>
        <v>40915</v>
      </c>
      <c r="C101" s="329" t="str">
        <f>VLOOKUP(A101,Memória!A:S,3,FALSE)</f>
        <v>Calçada de concreto fck=15 MP, camurçado c/ argam. cimento e areia 1:4, lastro de brita e 8 cm de concreto, incl. preparo da caixa e transp. da brita</v>
      </c>
      <c r="D101" s="330" t="str">
        <f>VLOOKUP(A101,Memória!A:T,20,FALSE)</f>
        <v>M2</v>
      </c>
      <c r="E101" s="331">
        <f>VLOOKUP(A101,Memória!A:S,19,FALSE)</f>
        <v>370</v>
      </c>
    </row>
    <row r="102" spans="1:5" s="307" customFormat="1" x14ac:dyDescent="0.2">
      <c r="A102" s="581">
        <v>6</v>
      </c>
      <c r="B102" s="631"/>
      <c r="C102" s="322" t="str">
        <f>VLOOKUP(A102,Memória!A:S,3,FALSE)</f>
        <v>SINALIZAÇÃO</v>
      </c>
      <c r="D102" s="629"/>
      <c r="E102" s="331"/>
    </row>
    <row r="103" spans="1:5" s="307" customFormat="1" x14ac:dyDescent="0.2">
      <c r="A103" s="582" t="s">
        <v>154</v>
      </c>
      <c r="B103" s="328"/>
      <c r="C103" s="325" t="str">
        <f>VLOOKUP(A103,Memória!A:S,3,FALSE)</f>
        <v>Sinalização Pista</v>
      </c>
      <c r="D103" s="330"/>
      <c r="E103" s="331"/>
    </row>
    <row r="104" spans="1:5" s="306" customFormat="1" x14ac:dyDescent="0.2">
      <c r="A104" s="585" t="s">
        <v>286</v>
      </c>
      <c r="B104" s="328">
        <f>VLOOKUP(A104,Memória!A:S,2,FALSE)</f>
        <v>40925</v>
      </c>
      <c r="C104" s="329" t="str">
        <f>VLOOKUP(A104,Memória!A:S,3,FALSE)</f>
        <v>Sinalização horizontal TMD=400, vida útil 2 a 3 anos, taxa=0,60 L/m²</v>
      </c>
      <c r="D104" s="330" t="str">
        <f>VLOOKUP(A104,Memória!A:T,20,FALSE)</f>
        <v>M2</v>
      </c>
      <c r="E104" s="331">
        <f>VLOOKUP(A104,Memória!A:S,19,FALSE)</f>
        <v>4713.1400000000003</v>
      </c>
    </row>
    <row r="105" spans="1:5" x14ac:dyDescent="0.2">
      <c r="A105" s="585" t="s">
        <v>279</v>
      </c>
      <c r="B105" s="328">
        <f>VLOOKUP(A105,Memória!A:S,2,FALSE)</f>
        <v>42524</v>
      </c>
      <c r="C105" s="329" t="str">
        <f>VLOOKUP(A105,Memória!A:S,3,FALSE)</f>
        <v>Pintura de setas e zebrados em material termoplástico - 5 anos ( por extrusão)</v>
      </c>
      <c r="D105" s="330" t="str">
        <f>VLOOKUP(A105,Memória!A:T,20,FALSE)</f>
        <v>M2</v>
      </c>
      <c r="E105" s="331">
        <f>VLOOKUP(A105,Memória!A:S,19,FALSE)</f>
        <v>115.12</v>
      </c>
    </row>
    <row r="106" spans="1:5" x14ac:dyDescent="0.2">
      <c r="A106" s="585" t="s">
        <v>280</v>
      </c>
      <c r="B106" s="328">
        <f>VLOOKUP(A106,Memória!A:S,2,FALSE)</f>
        <v>40932</v>
      </c>
      <c r="C106" s="329" t="str">
        <f>VLOOKUP(A106,Memória!A:S,3,FALSE)</f>
        <v>Tacha refletiva monodirecional, fornecimento e aplicação</v>
      </c>
      <c r="D106" s="330" t="str">
        <f>VLOOKUP(A106,Memória!A:T,20,FALSE)</f>
        <v>Ud</v>
      </c>
      <c r="E106" s="331">
        <f>VLOOKUP(A106,Memória!A:S,19,FALSE)</f>
        <v>2430</v>
      </c>
    </row>
    <row r="107" spans="1:5" x14ac:dyDescent="0.2">
      <c r="A107" s="585" t="s">
        <v>1019</v>
      </c>
      <c r="B107" s="328">
        <f>VLOOKUP(A107,Memória!A:S,2,FALSE)</f>
        <v>40934</v>
      </c>
      <c r="C107" s="329" t="str">
        <f>VLOOKUP(A107,Memória!A:S,3,FALSE)</f>
        <v>Tacha refletiva birrefletorizada, fornecimento e aplicação</v>
      </c>
      <c r="D107" s="330" t="str">
        <f>VLOOKUP(A107,Memória!A:T,20,FALSE)</f>
        <v>Ud</v>
      </c>
      <c r="E107" s="331">
        <f>VLOOKUP(A107,Memória!A:S,19,FALSE)</f>
        <v>955</v>
      </c>
    </row>
    <row r="108" spans="1:5" x14ac:dyDescent="0.2">
      <c r="A108" s="585" t="s">
        <v>1425</v>
      </c>
      <c r="B108" s="328">
        <f>VLOOKUP(A108,Memória!A:S,2,FALSE)</f>
        <v>40933</v>
      </c>
      <c r="C108" s="329" t="str">
        <f>VLOOKUP(A108,Memória!A:S,3,FALSE)</f>
        <v>Tachão refletivo monodirecional, fornecimento e aplicação</v>
      </c>
      <c r="D108" s="330" t="str">
        <f>VLOOKUP(A108,Memória!A:T,20,FALSE)</f>
        <v>Ud</v>
      </c>
      <c r="E108" s="331">
        <f>VLOOKUP(A108,Memória!A:S,19,FALSE)</f>
        <v>16</v>
      </c>
    </row>
    <row r="109" spans="1:5" x14ac:dyDescent="0.2">
      <c r="A109" s="585" t="s">
        <v>1448</v>
      </c>
      <c r="B109" s="328">
        <f>VLOOKUP(A109,Memória!A:S,2,FALSE)</f>
        <v>40936</v>
      </c>
      <c r="C109" s="329" t="str">
        <f>VLOOKUP(A109,Memória!A:S,3,FALSE)</f>
        <v>Sinalização vertical com chapa revestida em película, inclusive suporte em madeira</v>
      </c>
      <c r="D109" s="330" t="str">
        <f>VLOOKUP(A109,Memória!A:T,20,FALSE)</f>
        <v>M2</v>
      </c>
      <c r="E109" s="331">
        <f>VLOOKUP(A109,Memória!A:S,19,FALSE)</f>
        <v>78.459999999999994</v>
      </c>
    </row>
    <row r="110" spans="1:5" ht="30" x14ac:dyDescent="0.2">
      <c r="A110" s="585" t="s">
        <v>1476</v>
      </c>
      <c r="B110" s="328">
        <f>VLOOKUP(A110,Memória!A:S,2,FALSE)</f>
        <v>41203</v>
      </c>
      <c r="C110" s="329" t="str">
        <f>VLOOKUP(A110,Memória!A:S,3,FALSE)</f>
        <v>Defensa metálica (2 lâminas com espessuras = 3mm) inclusive acessórios, fornecimento e colocação</v>
      </c>
      <c r="D110" s="330" t="str">
        <f>VLOOKUP(A110,Memória!A:T,20,FALSE)</f>
        <v>M</v>
      </c>
      <c r="E110" s="331">
        <f>VLOOKUP(A110,Memória!A:S,19,FALSE)</f>
        <v>150</v>
      </c>
    </row>
    <row r="111" spans="1:5" x14ac:dyDescent="0.2">
      <c r="A111" s="582" t="s">
        <v>156</v>
      </c>
      <c r="B111" s="328"/>
      <c r="C111" s="325" t="str">
        <f>VLOOKUP(A111,Memória!A:S,3,FALSE)</f>
        <v>Sinalização em fase de obra</v>
      </c>
      <c r="D111" s="330"/>
      <c r="E111" s="331"/>
    </row>
    <row r="112" spans="1:5" x14ac:dyDescent="0.2">
      <c r="A112" s="585" t="s">
        <v>281</v>
      </c>
      <c r="B112" s="328">
        <f>VLOOKUP(A112,Memória!A:S,2,FALSE)</f>
        <v>42046</v>
      </c>
      <c r="C112" s="329" t="str">
        <f>VLOOKUP(A112,Memória!A:S,3,FALSE)</f>
        <v>Cones para sinalização, fornecimento e colocação</v>
      </c>
      <c r="D112" s="330" t="str">
        <f>VLOOKUP(A112,Memória!A:T,20,FALSE)</f>
        <v>Ud</v>
      </c>
      <c r="E112" s="331">
        <f>VLOOKUP(A112,Memória!A:S,19,FALSE)</f>
        <v>90</v>
      </c>
    </row>
    <row r="113" spans="1:5" s="306" customFormat="1" x14ac:dyDescent="0.2">
      <c r="A113" s="585" t="s">
        <v>282</v>
      </c>
      <c r="B113" s="328">
        <f>VLOOKUP(A113,Memória!A:S,2,FALSE)</f>
        <v>42047</v>
      </c>
      <c r="C113" s="329" t="str">
        <f>VLOOKUP(A113,Memória!A:S,3,FALSE)</f>
        <v>Elementos de madeira para sinalização - cavaletes</v>
      </c>
      <c r="D113" s="330" t="str">
        <f>VLOOKUP(A113,Memória!A:T,20,FALSE)</f>
        <v>Ud</v>
      </c>
      <c r="E113" s="331">
        <f>VLOOKUP(A113,Memória!A:S,19,FALSE)</f>
        <v>70</v>
      </c>
    </row>
    <row r="114" spans="1:5" x14ac:dyDescent="0.2">
      <c r="A114" s="585" t="s">
        <v>283</v>
      </c>
      <c r="B114" s="630">
        <f>VLOOKUP(A114,Memória!A:S,2,FALSE)</f>
        <v>40937</v>
      </c>
      <c r="C114" s="329" t="str">
        <f>VLOOKUP(A114,Memória!A:S,3,FALSE)</f>
        <v>Sinalização vertical com chapa em esmalte sintético</v>
      </c>
      <c r="D114" s="628" t="str">
        <f>VLOOKUP(A114,Memória!A:T,20,FALSE)</f>
        <v>M2</v>
      </c>
      <c r="E114" s="331">
        <f>VLOOKUP(A114,Memória!A:S,19,FALSE)</f>
        <v>100</v>
      </c>
    </row>
    <row r="115" spans="1:5" x14ac:dyDescent="0.2">
      <c r="A115" s="581">
        <v>7</v>
      </c>
      <c r="B115" s="631"/>
      <c r="C115" s="322" t="str">
        <f>VLOOKUP(A115,Memória!A:S,3,FALSE)</f>
        <v>RECUPERAÇÃO AMBIENTAL</v>
      </c>
      <c r="D115" s="629"/>
      <c r="E115" s="331"/>
    </row>
    <row r="116" spans="1:5" x14ac:dyDescent="0.2">
      <c r="A116" s="585" t="str">
        <f>+Memória!A1874</f>
        <v>7.1</v>
      </c>
      <c r="B116" s="328">
        <f>VLOOKUP(A116,Memória!A:S,2,FALSE)</f>
        <v>42200</v>
      </c>
      <c r="C116" s="329" t="str">
        <f>VLOOKUP(A116,Memória!A:S,3,FALSE)</f>
        <v>Hidrossemeadura simples em taludes</v>
      </c>
      <c r="D116" s="330" t="str">
        <f>VLOOKUP(A116,Memória!A:T,20,FALSE)</f>
        <v>M2</v>
      </c>
      <c r="E116" s="331">
        <f>VLOOKUP(A116,Memória!A:S,19,FALSE)</f>
        <v>93928</v>
      </c>
    </row>
    <row r="117" spans="1:5" ht="30" x14ac:dyDescent="0.2">
      <c r="A117" s="586" t="s">
        <v>242</v>
      </c>
      <c r="B117" s="328">
        <f>VLOOKUP(A117,Memória!A:S,2,FALSE)</f>
        <v>42041</v>
      </c>
      <c r="C117" s="329" t="str">
        <f>VLOOKUP(A117,Memória!A:S,3,FALSE)</f>
        <v>Barreira de Siltagem com escoras de eucalipto, diâm. 0,10m e a altura 1,60m, espaçadas a cada 2,0 m, 1 reaproveitamento</v>
      </c>
      <c r="D117" s="330" t="str">
        <f>VLOOKUP(A117,Memória!A:T,20,FALSE)</f>
        <v>M</v>
      </c>
      <c r="E117" s="331">
        <f>VLOOKUP(A117,Memória!A:S,19,FALSE)</f>
        <v>1700</v>
      </c>
    </row>
    <row r="118" spans="1:5" x14ac:dyDescent="0.2">
      <c r="A118" s="585" t="s">
        <v>1087</v>
      </c>
      <c r="B118" s="630">
        <f>VLOOKUP(A118,Memória!A:S,2,FALSE)</f>
        <v>42206</v>
      </c>
      <c r="C118" s="329" t="str">
        <f>VLOOKUP(A118,Memória!A:S,3,FALSE)</f>
        <v>Grama em placas, fornecimento e plantio (sem fixação com estacas)</v>
      </c>
      <c r="D118" s="628" t="str">
        <f>VLOOKUP(A118,Memória!A:T,20,FALSE)</f>
        <v>M2</v>
      </c>
      <c r="E118" s="331">
        <f>VLOOKUP(A118,Memória!A:S,19,FALSE)</f>
        <v>430</v>
      </c>
    </row>
    <row r="119" spans="1:5" x14ac:dyDescent="0.2">
      <c r="A119" s="585" t="s">
        <v>1478</v>
      </c>
      <c r="B119" s="630">
        <f>VLOOKUP(A119,Memória!A:S,2,FALSE)</f>
        <v>42044</v>
      </c>
      <c r="C119" s="329" t="str">
        <f>VLOOKUP(A119,Memória!A:S,3,FALSE)</f>
        <v>Reunião de Comunicação Social inclusive material de consumo</v>
      </c>
      <c r="D119" s="628" t="str">
        <f>VLOOKUP(A119,Memória!A:T,20,FALSE)</f>
        <v>Ud</v>
      </c>
      <c r="E119" s="331">
        <f>VLOOKUP(A119,Memória!A:S,19,FALSE)</f>
        <v>4</v>
      </c>
    </row>
    <row r="120" spans="1:5" s="306" customFormat="1" x14ac:dyDescent="0.2">
      <c r="A120" s="581">
        <v>8</v>
      </c>
      <c r="B120" s="321"/>
      <c r="C120" s="322" t="str">
        <f>VLOOKUP(A120,Memória!A:S,3,FALSE)</f>
        <v>OBRAS DE ARTE ESPECIAIS</v>
      </c>
      <c r="D120" s="312"/>
      <c r="E120" s="331"/>
    </row>
    <row r="121" spans="1:5" x14ac:dyDescent="0.2">
      <c r="A121" s="582" t="s">
        <v>1025</v>
      </c>
      <c r="B121" s="328"/>
      <c r="C121" s="325" t="str">
        <f>VLOOKUP(A121,Memória!A:S,3,FALSE)</f>
        <v>Serviços Preliminares</v>
      </c>
      <c r="D121" s="330"/>
      <c r="E121" s="331"/>
    </row>
    <row r="122" spans="1:5" ht="30" x14ac:dyDescent="0.2">
      <c r="A122" s="585" t="s">
        <v>1869</v>
      </c>
      <c r="B122" s="328">
        <f>VLOOKUP(A122,Memória!A:S,2,FALSE)</f>
        <v>40169</v>
      </c>
      <c r="C122" s="329" t="str">
        <f>VLOOKUP(A122,Memória!A:S,3,FALSE)</f>
        <v>Limpeza e desmatamento em área alagada (pântano) com ferramentas manuais, inclusive moto serra</v>
      </c>
      <c r="D122" s="330" t="str">
        <f>VLOOKUP(A122,Memória!A:T,20,FALSE)</f>
        <v>M2</v>
      </c>
      <c r="E122" s="331">
        <f>VLOOKUP(A122,Memória!A:S,19,FALSE)</f>
        <v>1066.8</v>
      </c>
    </row>
    <row r="123" spans="1:5" x14ac:dyDescent="0.2">
      <c r="A123" s="585" t="s">
        <v>1870</v>
      </c>
      <c r="B123" s="328">
        <f>VLOOKUP(A123,Memória!A:S,2,FALSE)</f>
        <v>40230</v>
      </c>
      <c r="C123" s="329" t="str">
        <f>VLOOKUP(A123,Memória!A:S,3,FALSE)</f>
        <v>Escavação e carga de material de 1ª categoria com escavadeira</v>
      </c>
      <c r="D123" s="330" t="str">
        <f>VLOOKUP(A123,Memória!A:T,20,FALSE)</f>
        <v>M3</v>
      </c>
      <c r="E123" s="331">
        <f>VLOOKUP(A123,Memória!A:S,19,FALSE)</f>
        <v>1580.2</v>
      </c>
    </row>
    <row r="124" spans="1:5" x14ac:dyDescent="0.2">
      <c r="A124" s="585" t="s">
        <v>1871</v>
      </c>
      <c r="B124" s="328">
        <f>VLOOKUP(A124,Memória!A:S,2,FALSE)</f>
        <v>43335</v>
      </c>
      <c r="C124" s="329" t="str">
        <f>VLOOKUP(A124,Memória!A:S,3,FALSE)</f>
        <v>Espalhamento / regularização / compactação de material em bota-fora</v>
      </c>
      <c r="D124" s="330" t="str">
        <f>VLOOKUP(A124,Memória!A:T,20,FALSE)</f>
        <v>M3</v>
      </c>
      <c r="E124" s="331">
        <f>VLOOKUP(A124,Memória!A:S,19,FALSE)</f>
        <v>856.8</v>
      </c>
    </row>
    <row r="125" spans="1:5" x14ac:dyDescent="0.2">
      <c r="A125" s="585" t="s">
        <v>1872</v>
      </c>
      <c r="B125" s="328">
        <f>VLOOKUP(A125,Memória!A:S,2,FALSE)</f>
        <v>43340</v>
      </c>
      <c r="C125" s="329" t="str">
        <f>VLOOKUP(A125,Memória!A:S,3,FALSE)</f>
        <v>Compactação de aterros 100% P.I.</v>
      </c>
      <c r="D125" s="330" t="str">
        <f>VLOOKUP(A125,Memória!A:T,20,FALSE)</f>
        <v>M3</v>
      </c>
      <c r="E125" s="331">
        <f>VLOOKUP(A125,Memória!A:S,19,FALSE)</f>
        <v>222.6</v>
      </c>
    </row>
    <row r="126" spans="1:5" x14ac:dyDescent="0.2">
      <c r="A126" s="585" t="s">
        <v>1873</v>
      </c>
      <c r="B126" s="328">
        <f>VLOOKUP(A126,Memória!A:S,2,FALSE)</f>
        <v>40228</v>
      </c>
      <c r="C126" s="329" t="str">
        <f>VLOOKUP(A126,Memória!A:S,3,FALSE)</f>
        <v>Compactação de aterros 100% PN</v>
      </c>
      <c r="D126" s="330" t="str">
        <f>VLOOKUP(A126,Memória!A:T,20,FALSE)</f>
        <v>M3</v>
      </c>
      <c r="E126" s="331">
        <f>VLOOKUP(A126,Memória!A:S,19,FALSE)</f>
        <v>338.9</v>
      </c>
    </row>
    <row r="127" spans="1:5" x14ac:dyDescent="0.2">
      <c r="A127" s="585" t="s">
        <v>1874</v>
      </c>
      <c r="B127" s="328">
        <f>VLOOKUP(A127,Memória!A:S,2,FALSE)</f>
        <v>40780</v>
      </c>
      <c r="C127" s="329" t="str">
        <f>VLOOKUP(A127,Memória!A:S,3,FALSE)</f>
        <v>Sub-base solo brita, 50% em peso, inclusive fornecimento e transporte da brita</v>
      </c>
      <c r="D127" s="330" t="str">
        <f>VLOOKUP(A127,Memória!A:T,20,FALSE)</f>
        <v>M3</v>
      </c>
      <c r="E127" s="331">
        <f>VLOOKUP(A127,Memória!A:S,19,FALSE)</f>
        <v>50</v>
      </c>
    </row>
    <row r="128" spans="1:5" x14ac:dyDescent="0.2">
      <c r="A128" s="585" t="s">
        <v>1875</v>
      </c>
      <c r="B128" s="328">
        <f>VLOOKUP(A128,Memória!A:S,2,FALSE)</f>
        <v>40230</v>
      </c>
      <c r="C128" s="329" t="str">
        <f>VLOOKUP(A128,Memória!A:S,3,FALSE)</f>
        <v>Escavação e carga de material de 1ª categoria com escavadeira</v>
      </c>
      <c r="D128" s="330" t="str">
        <f>VLOOKUP(A128,Memória!A:T,20,FALSE)</f>
        <v>M3</v>
      </c>
      <c r="E128" s="331">
        <f>VLOOKUP(A128,Memória!A:S,19,FALSE)</f>
        <v>28.75</v>
      </c>
    </row>
    <row r="129" spans="1:5" ht="30" x14ac:dyDescent="0.2">
      <c r="A129" s="585" t="s">
        <v>1876</v>
      </c>
      <c r="B129" s="328">
        <f>VLOOKUP(A129,Memória!A:S,2,FALSE)</f>
        <v>40483</v>
      </c>
      <c r="C129" s="329" t="str">
        <f>VLOOKUP(A129,Memória!A:S,3,FALSE)</f>
        <v>Corpo BDTC (grota) diâmetro 1,20 m CA-2 PB exclusive escavação e reaterro, inclusive transporte do tubo</v>
      </c>
      <c r="D129" s="330" t="str">
        <f>VLOOKUP(A129,Memória!A:T,20,FALSE)</f>
        <v>M</v>
      </c>
      <c r="E129" s="331">
        <f>VLOOKUP(A129,Memória!A:S,19,FALSE)</f>
        <v>10</v>
      </c>
    </row>
    <row r="130" spans="1:5" x14ac:dyDescent="0.2">
      <c r="A130" s="585" t="s">
        <v>1877</v>
      </c>
      <c r="B130" s="328">
        <f>VLOOKUP(A130,Memória!A:S,2,FALSE)</f>
        <v>40538</v>
      </c>
      <c r="C130" s="329" t="str">
        <f>VLOOKUP(A130,Memória!A:S,3,FALSE)</f>
        <v>Boca de concreto ciclópico para BDTC diâmetro 1,20 m</v>
      </c>
      <c r="D130" s="330" t="str">
        <f>VLOOKUP(A130,Memória!A:T,20,FALSE)</f>
        <v>Ud</v>
      </c>
      <c r="E130" s="331">
        <f>VLOOKUP(A130,Memória!A:S,19,FALSE)</f>
        <v>2</v>
      </c>
    </row>
    <row r="131" spans="1:5" x14ac:dyDescent="0.2">
      <c r="A131" s="585" t="s">
        <v>1878</v>
      </c>
      <c r="B131" s="328">
        <f>VLOOKUP(A131,Memória!A:S,2,FALSE)</f>
        <v>40375</v>
      </c>
      <c r="C131" s="329" t="str">
        <f>VLOOKUP(A131,Memória!A:S,3,FALSE)</f>
        <v>Demolição mecânica de concreto</v>
      </c>
      <c r="D131" s="330" t="str">
        <f>VLOOKUP(A131,Memória!A:T,20,FALSE)</f>
        <v>M3</v>
      </c>
      <c r="E131" s="331">
        <f>VLOOKUP(A131,Memória!A:S,19,FALSE)</f>
        <v>52.77</v>
      </c>
    </row>
    <row r="132" spans="1:5" ht="45" x14ac:dyDescent="0.2">
      <c r="A132" s="585" t="s">
        <v>1879</v>
      </c>
      <c r="B132" s="328">
        <f>VLOOKUP(A132,Memória!A:S,2,FALSE)</f>
        <v>60021</v>
      </c>
      <c r="C132" s="329" t="str">
        <f>VLOOKUP(A132,Memória!A:S,3,FALSE)</f>
        <v>LOCAL COM DMT DE 5,1 A 10,0 KM (Caminhão basculante)0,839XP+0,933XR+1,751 -  XP=0.000 / XR=7.600 - Transporte de Material  até o bota-fora - 7600.00m</v>
      </c>
      <c r="D132" s="330" t="str">
        <f>VLOOKUP(A132,Memória!A:T,20,FALSE)</f>
        <v>T</v>
      </c>
      <c r="E132" s="331">
        <f>VLOOKUP(A132,Memória!A:S,19,FALSE)</f>
        <v>728.28</v>
      </c>
    </row>
    <row r="133" spans="1:5" ht="45" x14ac:dyDescent="0.2">
      <c r="A133" s="585" t="s">
        <v>1880</v>
      </c>
      <c r="B133" s="328">
        <f>VLOOKUP(A133,Memória!A:S,2,FALSE)</f>
        <v>60019</v>
      </c>
      <c r="C133" s="329" t="str">
        <f>VLOOKUP(A133,Memória!A:S,3,FALSE)</f>
        <v>LOCAL COM DMT ATÉ 3,0 KM (Caminhão basculante)1,085XP+1,198XR+1,904 (Incluindo BDI= 23,32%) -  XP=0.000 / XR=0.200 - Caminho de Serviço - Ponte Campo Novo - DMT 200.00m</v>
      </c>
      <c r="D133" s="330" t="str">
        <f>VLOOKUP(A133,Memória!A:T,20,FALSE)</f>
        <v>T</v>
      </c>
      <c r="E133" s="331">
        <f>VLOOKUP(A133,Memória!A:S,19,FALSE)</f>
        <v>251.94</v>
      </c>
    </row>
    <row r="134" spans="1:5" ht="45" x14ac:dyDescent="0.2">
      <c r="A134" s="585" t="s">
        <v>1881</v>
      </c>
      <c r="B134" s="328">
        <f>VLOOKUP(A134,Memória!A:S,2,FALSE)</f>
        <v>60019</v>
      </c>
      <c r="C134" s="329" t="str">
        <f>VLOOKUP(A134,Memória!A:S,3,FALSE)</f>
        <v>LOCAL COM DMT ATÉ 3,0 KM (Caminhão basculante)1,085XP+1,198XR+1,904 (Incluindo BDI= 23,32%) -  XP=0.000 / XR=3.000 - Empréstimo - Caminho de Serviço - DMT 3000.00m</v>
      </c>
      <c r="D134" s="330" t="str">
        <f>VLOOKUP(A134,Memória!A:T,20,FALSE)</f>
        <v>T</v>
      </c>
      <c r="E134" s="331">
        <f>VLOOKUP(A134,Memória!A:S,19,FALSE)</f>
        <v>977.84</v>
      </c>
    </row>
    <row r="135" spans="1:5" ht="30" x14ac:dyDescent="0.2">
      <c r="A135" s="585" t="s">
        <v>1882</v>
      </c>
      <c r="B135" s="328">
        <f>VLOOKUP(A135,Memória!A:S,2,FALSE)</f>
        <v>60020</v>
      </c>
      <c r="C135" s="329" t="str">
        <f>VLOOKUP(A135,Memória!A:S,3,FALSE)</f>
        <v>LOCAL COM DMT DE 3,1 A 5,0 KM (Caminhão basculante)0,972XP+1,093XR+1,823 -  XP=0.000 / XR=4.180 - Sub-base</v>
      </c>
      <c r="D135" s="330" t="str">
        <f>VLOOKUP(A135,Memória!A:T,20,FALSE)</f>
        <v>T</v>
      </c>
      <c r="E135" s="331">
        <f>VLOOKUP(A135,Memória!A:S,19,FALSE)</f>
        <v>58.65</v>
      </c>
    </row>
    <row r="136" spans="1:5" s="309" customFormat="1" x14ac:dyDescent="0.2">
      <c r="A136" s="582" t="s">
        <v>1883</v>
      </c>
      <c r="B136" s="595"/>
      <c r="C136" s="596" t="str">
        <f>VLOOKUP(A136,Memória!A:S,3,FALSE)</f>
        <v>Infraestrutura e fundações</v>
      </c>
      <c r="D136" s="686"/>
      <c r="E136" s="331"/>
    </row>
    <row r="137" spans="1:5" s="309" customFormat="1" ht="30" x14ac:dyDescent="0.2">
      <c r="A137" s="685" t="s">
        <v>1884</v>
      </c>
      <c r="B137" s="328">
        <f>VLOOKUP(A137,Memória!A:S,2,FALSE)</f>
        <v>41340</v>
      </c>
      <c r="C137" s="329" t="str">
        <f>VLOOKUP(A137,Memória!A:S,3,FALSE)</f>
        <v>Encamisamento metálico de estacas, diâmetro 380mm em chapa de 6.3mm, preenchido c/ concreto auto adensável (20MPa)</v>
      </c>
      <c r="D137" s="330" t="str">
        <f>VLOOKUP(A137,Memória!A:T,20,FALSE)</f>
        <v>M</v>
      </c>
      <c r="E137" s="331">
        <f>VLOOKUP(A137,Memória!A:S,19,FALSE)</f>
        <v>96</v>
      </c>
    </row>
    <row r="138" spans="1:5" s="309" customFormat="1" ht="30" x14ac:dyDescent="0.2">
      <c r="A138" s="685" t="s">
        <v>1885</v>
      </c>
      <c r="B138" s="328" t="str">
        <f>VLOOKUP(A138,Memória!A:S,2,FALSE)</f>
        <v>LG-004</v>
      </c>
      <c r="C138" s="329" t="str">
        <f>VLOOKUP(A138,Memória!A:S,3,FALSE)</f>
        <v>Estaca metálica, fornecimento, transporte, perdas, solda, emenda, corte e cravação de perfil metálico H 200 x 35,9 laminado</v>
      </c>
      <c r="D138" s="330" t="str">
        <f>VLOOKUP(A138,Memória!A:T,20,FALSE)</f>
        <v>m</v>
      </c>
      <c r="E138" s="331">
        <f>VLOOKUP(A138,Memória!A:S,19,FALSE)</f>
        <v>1032</v>
      </c>
    </row>
    <row r="139" spans="1:5" s="309" customFormat="1" ht="30" x14ac:dyDescent="0.2">
      <c r="A139" s="685" t="s">
        <v>1886</v>
      </c>
      <c r="B139" s="328">
        <f>VLOOKUP(A139,Memória!A:S,2,FALSE)</f>
        <v>40309</v>
      </c>
      <c r="C139" s="329" t="str">
        <f>VLOOKUP(A139,Memória!A:S,3,FALSE)</f>
        <v>Formas planas de madeira sem reaproveitamento (fundações), inclusive fornecimento e transporte das madeiras</v>
      </c>
      <c r="D139" s="330" t="str">
        <f>VLOOKUP(A139,Memória!A:T,20,FALSE)</f>
        <v>M2</v>
      </c>
      <c r="E139" s="331">
        <f>VLOOKUP(A139,Memória!A:S,19,FALSE)</f>
        <v>905.38</v>
      </c>
    </row>
    <row r="140" spans="1:5" s="309" customFormat="1" x14ac:dyDescent="0.2">
      <c r="A140" s="685" t="s">
        <v>1887</v>
      </c>
      <c r="B140" s="328">
        <f>VLOOKUP(A140,Memória!A:S,2,FALSE)</f>
        <v>40376</v>
      </c>
      <c r="C140" s="329" t="str">
        <f>VLOOKUP(A140,Memória!A:S,3,FALSE)</f>
        <v>Aço CA-50, fornecimento, dobragem e colocação nas formas (preço médio das bitolas)</v>
      </c>
      <c r="D140" s="330" t="str">
        <f>VLOOKUP(A140,Memória!A:T,20,FALSE)</f>
        <v>kg</v>
      </c>
      <c r="E140" s="331">
        <f>VLOOKUP(A140,Memória!A:S,19,FALSE)</f>
        <v>24085</v>
      </c>
    </row>
    <row r="141" spans="1:5" s="309" customFormat="1" x14ac:dyDescent="0.2">
      <c r="A141" s="685" t="s">
        <v>1888</v>
      </c>
      <c r="B141" s="328">
        <f>VLOOKUP(A141,Memória!A:S,2,FALSE)</f>
        <v>40369</v>
      </c>
      <c r="C141" s="329" t="str">
        <f>VLOOKUP(A141,Memória!A:S,3,FALSE)</f>
        <v>Concreto estrutural fck = 35,0 MPa com micro-silica e Sikacrete BR ou equivalente</v>
      </c>
      <c r="D141" s="330" t="str">
        <f>VLOOKUP(A141,Memória!A:T,20,FALSE)</f>
        <v>M3</v>
      </c>
      <c r="E141" s="331">
        <f>VLOOKUP(A141,Memória!A:S,19,FALSE)</f>
        <v>335.2</v>
      </c>
    </row>
    <row r="142" spans="1:5" s="309" customFormat="1" x14ac:dyDescent="0.2">
      <c r="A142" s="685" t="s">
        <v>1889</v>
      </c>
      <c r="B142" s="328">
        <f>VLOOKUP(A142,Memória!A:S,2,FALSE)</f>
        <v>40349</v>
      </c>
      <c r="C142" s="329" t="str">
        <f>VLOOKUP(A142,Memória!A:S,3,FALSE)</f>
        <v>Concreto de regularização, tudo incluído</v>
      </c>
      <c r="D142" s="330" t="str">
        <f>VLOOKUP(A142,Memória!A:T,20,FALSE)</f>
        <v>M3</v>
      </c>
      <c r="E142" s="331">
        <f>VLOOKUP(A142,Memória!A:S,19,FALSE)</f>
        <v>14.16</v>
      </c>
    </row>
    <row r="143" spans="1:5" s="309" customFormat="1" ht="30" x14ac:dyDescent="0.2">
      <c r="A143" s="685" t="s">
        <v>1890</v>
      </c>
      <c r="B143" s="328">
        <f>VLOOKUP(A143,Memória!A:S,2,FALSE)</f>
        <v>40332</v>
      </c>
      <c r="C143" s="329" t="str">
        <f>VLOOKUP(A143,Memória!A:S,3,FALSE)</f>
        <v>Ensecadeira simples de madeira esp.= 5 cm sem reaproveitamento, inclusive transporte das madeiras</v>
      </c>
      <c r="D143" s="330" t="str">
        <f>VLOOKUP(A143,Memória!A:T,20,FALSE)</f>
        <v>M2</v>
      </c>
      <c r="E143" s="331">
        <f>VLOOKUP(A143,Memória!A:S,19,FALSE)</f>
        <v>398.4</v>
      </c>
    </row>
    <row r="144" spans="1:5" s="309" customFormat="1" x14ac:dyDescent="0.2">
      <c r="A144" s="582" t="s">
        <v>1891</v>
      </c>
      <c r="B144" s="595"/>
      <c r="C144" s="596" t="str">
        <f>VLOOKUP(A144,Memória!A:S,3,FALSE)</f>
        <v>Superestrutura</v>
      </c>
      <c r="D144" s="330"/>
      <c r="E144" s="331"/>
    </row>
    <row r="145" spans="1:5" s="309" customFormat="1" x14ac:dyDescent="0.2">
      <c r="A145" s="685" t="s">
        <v>1892</v>
      </c>
      <c r="B145" s="328">
        <f>VLOOKUP(A145,Memória!A:S,2,FALSE)</f>
        <v>40369</v>
      </c>
      <c r="C145" s="329" t="str">
        <f>VLOOKUP(A145,Memória!A:S,3,FALSE)</f>
        <v>Concreto estrutural fck = 35,0 MPa com micro-silica e Sikacrete BR ou equivalente</v>
      </c>
      <c r="D145" s="330" t="str">
        <f>VLOOKUP(A145,Memória!A:T,20,FALSE)</f>
        <v>M3</v>
      </c>
      <c r="E145" s="331">
        <f>VLOOKUP(A145,Memória!A:S,19,FALSE)</f>
        <v>165.02</v>
      </c>
    </row>
    <row r="146" spans="1:5" s="309" customFormat="1" x14ac:dyDescent="0.2">
      <c r="A146" s="685" t="s">
        <v>1893</v>
      </c>
      <c r="B146" s="328">
        <f>VLOOKUP(A146,Memória!A:S,2,FALSE)</f>
        <v>40360</v>
      </c>
      <c r="C146" s="329" t="str">
        <f>VLOOKUP(A146,Memória!A:S,3,FALSE)</f>
        <v>Concreto estrutural fck = 20,0 MPa, tudo incluído</v>
      </c>
      <c r="D146" s="330" t="str">
        <f>VLOOKUP(A146,Memória!A:T,20,FALSE)</f>
        <v>M3</v>
      </c>
      <c r="E146" s="331">
        <f>VLOOKUP(A146,Memória!A:S,19,FALSE)</f>
        <v>17.7</v>
      </c>
    </row>
    <row r="147" spans="1:5" s="309" customFormat="1" x14ac:dyDescent="0.2">
      <c r="A147" s="685" t="s">
        <v>1894</v>
      </c>
      <c r="B147" s="328">
        <f>VLOOKUP(A147,Memória!A:S,2,FALSE)</f>
        <v>40376</v>
      </c>
      <c r="C147" s="329" t="str">
        <f>VLOOKUP(A147,Memória!A:S,3,FALSE)</f>
        <v>Aço CA-50, fornecimento, dobragem e colocação nas formas (preço médio das bitolas)</v>
      </c>
      <c r="D147" s="330" t="str">
        <f>VLOOKUP(A147,Memória!A:T,20,FALSE)</f>
        <v>kg</v>
      </c>
      <c r="E147" s="331">
        <f>VLOOKUP(A147,Memória!A:S,19,FALSE)</f>
        <v>16354</v>
      </c>
    </row>
    <row r="148" spans="1:5" s="309" customFormat="1" ht="30" x14ac:dyDescent="0.2">
      <c r="A148" s="685" t="s">
        <v>1895</v>
      </c>
      <c r="B148" s="328">
        <f>VLOOKUP(A148,Memória!A:S,2,FALSE)</f>
        <v>40387</v>
      </c>
      <c r="C148" s="329" t="str">
        <f>VLOOKUP(A148,Memória!A:S,3,FALSE)</f>
        <v>Aparelho de apoio de neoprene fretado, fornecimento e assentamento, inclusive grauteamento e transporte do neoprene</v>
      </c>
      <c r="D148" s="330" t="str">
        <f>VLOOKUP(A148,Memória!A:T,20,FALSE)</f>
        <v>dm3</v>
      </c>
      <c r="E148" s="331">
        <f>VLOOKUP(A148,Memória!A:S,19,FALSE)</f>
        <v>74.88</v>
      </c>
    </row>
    <row r="149" spans="1:5" s="309" customFormat="1" x14ac:dyDescent="0.2">
      <c r="A149" s="685" t="s">
        <v>1896</v>
      </c>
      <c r="B149" s="328">
        <f>VLOOKUP(A149,Memória!A:S,2,FALSE)</f>
        <v>40389</v>
      </c>
      <c r="C149" s="329" t="str">
        <f>VLOOKUP(A149,Memória!A:S,3,FALSE)</f>
        <v>Guarda corpo metálico</v>
      </c>
      <c r="D149" s="330" t="str">
        <f>VLOOKUP(A149,Memória!A:T,20,FALSE)</f>
        <v>M</v>
      </c>
      <c r="E149" s="331">
        <f>VLOOKUP(A149,Memória!A:S,19,FALSE)</f>
        <v>50</v>
      </c>
    </row>
    <row r="150" spans="1:5" s="309" customFormat="1" x14ac:dyDescent="0.2">
      <c r="A150" s="685" t="s">
        <v>1897</v>
      </c>
      <c r="B150" s="328" t="str">
        <f>VLOOKUP(A150,Memória!A:S,2,FALSE)</f>
        <v>LG-005</v>
      </c>
      <c r="C150" s="329" t="str">
        <f>VLOOKUP(A150,Memória!A:S,3,FALSE)</f>
        <v>Sistema termo-elástico para movimentação de juntas rodoviárias tipo Nafutekt</v>
      </c>
      <c r="D150" s="330" t="str">
        <f>VLOOKUP(A150,Memória!A:T,20,FALSE)</f>
        <v>m</v>
      </c>
      <c r="E150" s="331">
        <f>VLOOKUP(A150,Memória!A:S,19,FALSE)</f>
        <v>61.6</v>
      </c>
    </row>
    <row r="151" spans="1:5" s="309" customFormat="1" x14ac:dyDescent="0.2">
      <c r="A151" s="685" t="s">
        <v>1898</v>
      </c>
      <c r="B151" s="328" t="str">
        <f>VLOOKUP(A151,Memória!A:S,2,FALSE)</f>
        <v>LG-006</v>
      </c>
      <c r="C151" s="329" t="str">
        <f>VLOOKUP(A151,Memória!A:S,3,FALSE)</f>
        <v>Tubo condutor de instalações sob passeio</v>
      </c>
      <c r="D151" s="330" t="str">
        <f>VLOOKUP(A151,Memória!A:T,20,FALSE)</f>
        <v>m</v>
      </c>
      <c r="E151" s="331">
        <f>VLOOKUP(A151,Memória!A:S,19,FALSE)</f>
        <v>270</v>
      </c>
    </row>
    <row r="152" spans="1:5" s="309" customFormat="1" ht="30" x14ac:dyDescent="0.2">
      <c r="A152" s="685" t="s">
        <v>1899</v>
      </c>
      <c r="B152" s="328">
        <f>VLOOKUP(A152,Memória!A:S,2,FALSE)</f>
        <v>40310</v>
      </c>
      <c r="C152" s="329" t="str">
        <f>VLOOKUP(A152,Memória!A:S,3,FALSE)</f>
        <v>Formas planas de madeira sem reaproveitamento (forma perdida), inclusive fornecimento e transporte das madeiras</v>
      </c>
      <c r="D152" s="330" t="str">
        <f>VLOOKUP(A152,Memória!A:T,20,FALSE)</f>
        <v>M2</v>
      </c>
      <c r="E152" s="331">
        <f>VLOOKUP(A152,Memória!A:S,19,FALSE)</f>
        <v>265.2</v>
      </c>
    </row>
    <row r="153" spans="1:5" s="309" customFormat="1" ht="30" x14ac:dyDescent="0.2">
      <c r="A153" s="685" t="s">
        <v>1900</v>
      </c>
      <c r="B153" s="328" t="str">
        <f>VLOOKUP(A153,Memória!A:S,2,FALSE)</f>
        <v>LG-007</v>
      </c>
      <c r="C153" s="329" t="str">
        <f>VLOOKUP(A153,Memória!A:S,3,FALSE)</f>
        <v>Estrutura metálica em perfis laminados ASTM A36 (fornecimento, tratamento anti-corrosivo e montagem)</v>
      </c>
      <c r="D153" s="330" t="str">
        <f>VLOOKUP(A153,Memória!A:T,20,FALSE)</f>
        <v>kg</v>
      </c>
      <c r="E153" s="331">
        <f>VLOOKUP(A153,Memória!A:S,19,FALSE)</f>
        <v>2514.6999999999998</v>
      </c>
    </row>
    <row r="154" spans="1:5" s="309" customFormat="1" ht="30" x14ac:dyDescent="0.2">
      <c r="A154" s="685" t="s">
        <v>1901</v>
      </c>
      <c r="B154" s="328" t="str">
        <f>VLOOKUP(A154,Memória!A:S,2,FALSE)</f>
        <v>LG-008</v>
      </c>
      <c r="C154" s="329" t="str">
        <f>VLOOKUP(A154,Memória!A:S,3,FALSE)</f>
        <v>Estrutura metálica em perfis laminados tipo Histar (fornecimento, tratamento anti-corrosivo e montagem)</v>
      </c>
      <c r="D154" s="330" t="str">
        <f>VLOOKUP(A154,Memória!A:T,20,FALSE)</f>
        <v>kg</v>
      </c>
      <c r="E154" s="331">
        <f>VLOOKUP(A154,Memória!A:S,19,FALSE)</f>
        <v>32097.3</v>
      </c>
    </row>
    <row r="155" spans="1:5" s="309" customFormat="1" ht="30" x14ac:dyDescent="0.2">
      <c r="A155" s="685" t="s">
        <v>1902</v>
      </c>
      <c r="B155" s="328" t="str">
        <f>VLOOKUP(A155,Memória!A:S,2,FALSE)</f>
        <v>LG-009</v>
      </c>
      <c r="C155" s="329" t="str">
        <f>VLOOKUP(A155,Memória!A:S,3,FALSE)</f>
        <v>Estrutura metálica em perfis soldados em chapa USI SAC 50 (fornecimento, tratamento anti-corrosivo e montagem)</v>
      </c>
      <c r="D155" s="330" t="str">
        <f>VLOOKUP(A155,Memória!A:T,20,FALSE)</f>
        <v>kg</v>
      </c>
      <c r="E155" s="331">
        <f>VLOOKUP(A155,Memória!A:S,19,FALSE)</f>
        <v>969</v>
      </c>
    </row>
    <row r="156" spans="1:5" x14ac:dyDescent="0.2">
      <c r="A156" s="581">
        <v>9</v>
      </c>
      <c r="B156" s="631"/>
      <c r="C156" s="322" t="str">
        <f>VLOOKUP(A156,Memória!A:S,3,FALSE)</f>
        <v xml:space="preserve"> INSTALAÇÃO DE CANTEIRO. MOBILIZAÇÃO E DESMOBILIZAÇÃO</v>
      </c>
      <c r="D156" s="629"/>
      <c r="E156" s="331"/>
    </row>
    <row r="157" spans="1:5" x14ac:dyDescent="0.2">
      <c r="A157" s="582" t="s">
        <v>1027</v>
      </c>
      <c r="B157" s="328"/>
      <c r="C157" s="325" t="str">
        <f>VLOOKUP(A157,Memória!A:S,3,FALSE)</f>
        <v>Serviços preliminares</v>
      </c>
      <c r="D157" s="330"/>
      <c r="E157" s="331"/>
    </row>
    <row r="158" spans="1:5" ht="30" x14ac:dyDescent="0.2">
      <c r="A158" s="585" t="s">
        <v>1039</v>
      </c>
      <c r="B158" s="328">
        <f>VLOOKUP(A158,Memória!A:S,2,FALSE)</f>
        <v>40167</v>
      </c>
      <c r="C158" s="329" t="str">
        <f>VLOOKUP(A158,Memória!A:S,3,FALSE)</f>
        <v>Limpeza, desmatamento e destocamento de árvores com diâmetro até 15 cm, com trator de esteira</v>
      </c>
      <c r="D158" s="330" t="str">
        <f>VLOOKUP(A158,Memória!A:T,20,FALSE)</f>
        <v>M2</v>
      </c>
      <c r="E158" s="331">
        <f>VLOOKUP(A158,Memória!A:S,19,FALSE)</f>
        <v>2800</v>
      </c>
    </row>
    <row r="159" spans="1:5" x14ac:dyDescent="0.2">
      <c r="A159" s="585" t="s">
        <v>1040</v>
      </c>
      <c r="B159" s="328">
        <f>VLOOKUP(A159,Memória!A:S,2,FALSE)</f>
        <v>40221</v>
      </c>
      <c r="C159" s="329" t="str">
        <f>VLOOKUP(A159,Memória!A:S,3,FALSE)</f>
        <v>Escavação e carga de material de 1ª categoria, com trator de esteira e pá carregadeira</v>
      </c>
      <c r="D159" s="330" t="str">
        <f>VLOOKUP(A159,Memória!A:T,20,FALSE)</f>
        <v>M3</v>
      </c>
      <c r="E159" s="331">
        <f>VLOOKUP(A159,Memória!A:S,19,FALSE)</f>
        <v>720</v>
      </c>
    </row>
    <row r="160" spans="1:5" x14ac:dyDescent="0.2">
      <c r="A160" s="585" t="s">
        <v>1041</v>
      </c>
      <c r="B160" s="328">
        <f>VLOOKUP(A160,Memória!A:S,2,FALSE)</f>
        <v>40177</v>
      </c>
      <c r="C160" s="329" t="str">
        <f>VLOOKUP(A160,Memória!A:S,3,FALSE)</f>
        <v>Espalhamento de material de 1ª categoria com trator de esteiras</v>
      </c>
      <c r="D160" s="330" t="str">
        <f>VLOOKUP(A160,Memória!A:T,20,FALSE)</f>
        <v>M3</v>
      </c>
      <c r="E160" s="331">
        <f>VLOOKUP(A160,Memória!A:S,19,FALSE)</f>
        <v>720</v>
      </c>
    </row>
    <row r="161" spans="1:5" x14ac:dyDescent="0.2">
      <c r="A161" s="585" t="s">
        <v>1482</v>
      </c>
      <c r="B161" s="328">
        <f>VLOOKUP(A161,Memória!A:S,2,FALSE)</f>
        <v>42201</v>
      </c>
      <c r="C161" s="329" t="str">
        <f>VLOOKUP(A161,Memória!A:S,3,FALSE)</f>
        <v>Hidrossemeadura simples em terrenos planos</v>
      </c>
      <c r="D161" s="330" t="str">
        <f>VLOOKUP(A161,Memória!A:T,20,FALSE)</f>
        <v>M2</v>
      </c>
      <c r="E161" s="331">
        <f>VLOOKUP(A161,Memória!A:S,19,FALSE)</f>
        <v>2800</v>
      </c>
    </row>
    <row r="162" spans="1:5" x14ac:dyDescent="0.2">
      <c r="A162" s="585" t="s">
        <v>1483</v>
      </c>
      <c r="B162" s="328">
        <f>VLOOKUP(A162,Memória!A:S,2,FALSE)</f>
        <v>41500</v>
      </c>
      <c r="C162" s="329" t="str">
        <f>VLOOKUP(A162,Memória!A:S,3,FALSE)</f>
        <v>Placa de obra nas dimensões de 3,0 x 6,0 m, padrão DER-ES</v>
      </c>
      <c r="D162" s="330" t="str">
        <f>VLOOKUP(A162,Memória!A:T,20,FALSE)</f>
        <v>M2</v>
      </c>
      <c r="E162" s="331">
        <f>VLOOKUP(A162,Memória!A:S,19,FALSE)</f>
        <v>36</v>
      </c>
    </row>
    <row r="163" spans="1:5" ht="30" x14ac:dyDescent="0.2">
      <c r="A163" s="585" t="s">
        <v>1484</v>
      </c>
      <c r="B163" s="328">
        <f>VLOOKUP(A163,Memória!A:S,2,FALSE)</f>
        <v>41501</v>
      </c>
      <c r="C163" s="329" t="str">
        <f>VLOOKUP(A163,Memória!A:S,3,FALSE)</f>
        <v>Rede de água c/ padrão de entrada d'água diâm. 3/4" conf. CESAN, incl. tubos e conexões p/ aliment., distrib., extravas. e limp., cons. o padrão a 25m</v>
      </c>
      <c r="D163" s="330" t="str">
        <f>VLOOKUP(A163,Memória!A:T,20,FALSE)</f>
        <v>M</v>
      </c>
      <c r="E163" s="331">
        <f>VLOOKUP(A163,Memória!A:S,19,FALSE)</f>
        <v>60</v>
      </c>
    </row>
    <row r="164" spans="1:5" ht="30" x14ac:dyDescent="0.2">
      <c r="A164" s="585" t="s">
        <v>1485</v>
      </c>
      <c r="B164" s="328">
        <f>VLOOKUP(A164,Memória!A:S,2,FALSE)</f>
        <v>41499</v>
      </c>
      <c r="C164" s="329" t="str">
        <f>VLOOKUP(A164,Memória!A:S,3,FALSE)</f>
        <v>Rede de esgoto, contendo fossa e filtro, incl. tubos e conexões de ligação entre caixas, considerando distância de 25m</v>
      </c>
      <c r="D164" s="330" t="str">
        <f>VLOOKUP(A164,Memória!A:T,20,FALSE)</f>
        <v>M</v>
      </c>
      <c r="E164" s="331">
        <f>VLOOKUP(A164,Memória!A:S,19,FALSE)</f>
        <v>60</v>
      </c>
    </row>
    <row r="165" spans="1:5" ht="30" x14ac:dyDescent="0.2">
      <c r="A165" s="585" t="s">
        <v>1486</v>
      </c>
      <c r="B165" s="328">
        <f>VLOOKUP(A165,Memória!A:S,2,FALSE)</f>
        <v>41503</v>
      </c>
      <c r="C165" s="329" t="str">
        <f>VLOOKUP(A165,Memória!A:S,3,FALSE)</f>
        <v>Rede de luz, incl. padrão entr. energia trifás. cabo ligação até barracões, quadro distrib., disj. e chave de força, cons. 20m entre padrão entr.e QDG</v>
      </c>
      <c r="D165" s="330" t="str">
        <f>VLOOKUP(A165,Memória!A:T,20,FALSE)</f>
        <v>M</v>
      </c>
      <c r="E165" s="331">
        <f>VLOOKUP(A165,Memória!A:S,19,FALSE)</f>
        <v>60</v>
      </c>
    </row>
    <row r="166" spans="1:5" ht="30" x14ac:dyDescent="0.2">
      <c r="A166" s="585" t="s">
        <v>1487</v>
      </c>
      <c r="B166" s="328">
        <f>VLOOKUP(A166,Memória!A:S,2,FALSE)</f>
        <v>41527</v>
      </c>
      <c r="C166" s="329" t="str">
        <f>VLOOKUP(A166,Memória!A:S,3,FALSE)</f>
        <v>Reservatório de fibra de vidro de 1000 L, incl. suporte em madeira de 7x12cm, elevado de 4m</v>
      </c>
      <c r="D166" s="330" t="str">
        <f>VLOOKUP(A166,Memória!A:T,20,FALSE)</f>
        <v>Ud</v>
      </c>
      <c r="E166" s="331">
        <f>VLOOKUP(A166,Memória!A:S,19,FALSE)</f>
        <v>1</v>
      </c>
    </row>
    <row r="167" spans="1:5" x14ac:dyDescent="0.2">
      <c r="A167" s="585" t="s">
        <v>1490</v>
      </c>
      <c r="B167" s="328">
        <f>VLOOKUP(A167,Memória!A:S,2,FALSE)</f>
        <v>41556</v>
      </c>
      <c r="C167" s="329" t="str">
        <f>VLOOKUP(A167,Memória!A:S,3,FALSE)</f>
        <v>Pó de pedra inclusive fornecimento, espalhamento e transporte</v>
      </c>
      <c r="D167" s="330" t="str">
        <f>VLOOKUP(A167,Memória!A:T,20,FALSE)</f>
        <v>M3</v>
      </c>
      <c r="E167" s="331">
        <f>VLOOKUP(A167,Memória!A:S,19,FALSE)</f>
        <v>120</v>
      </c>
    </row>
    <row r="168" spans="1:5" ht="30" x14ac:dyDescent="0.2">
      <c r="A168" s="585" t="s">
        <v>1493</v>
      </c>
      <c r="B168" s="328">
        <f>VLOOKUP(A168,Memória!A:S,2,FALSE)</f>
        <v>40915</v>
      </c>
      <c r="C168" s="329" t="str">
        <f>VLOOKUP(A168,Memória!A:S,3,FALSE)</f>
        <v>Calçada de concreto fck=15 MP, camurçado c/ argam. cimento e areia 1:4, lastro de brita e 8 cm de concreto, incl. preparo da caixa e transp. da brita</v>
      </c>
      <c r="D168" s="330" t="str">
        <f>VLOOKUP(A168,Memória!A:T,20,FALSE)</f>
        <v>M2</v>
      </c>
      <c r="E168" s="331">
        <f>VLOOKUP(A168,Memória!A:S,19,FALSE)</f>
        <v>90</v>
      </c>
    </row>
    <row r="169" spans="1:5" ht="30" x14ac:dyDescent="0.2">
      <c r="A169" s="585" t="s">
        <v>1504</v>
      </c>
      <c r="B169" s="328">
        <f>VLOOKUP(A169,Memória!A:S,2,FALSE)</f>
        <v>40901</v>
      </c>
      <c r="C169" s="329" t="str">
        <f>VLOOKUP(A169,Memória!A:S,3,FALSE)</f>
        <v>Cerca de arame liso 4 fios com mourões cada 2,0 m, esticadores de madeira, a cada 20,0 m, inclusive transporte de mourão e arame liso</v>
      </c>
      <c r="D169" s="330" t="str">
        <f>VLOOKUP(A169,Memória!A:T,20,FALSE)</f>
        <v>M</v>
      </c>
      <c r="E169" s="331">
        <f>VLOOKUP(A169,Memória!A:S,19,FALSE)</f>
        <v>220</v>
      </c>
    </row>
    <row r="170" spans="1:5" x14ac:dyDescent="0.2">
      <c r="A170" s="585" t="s">
        <v>1505</v>
      </c>
      <c r="B170" s="328">
        <f>VLOOKUP(A170,Memória!A:S,2,FALSE)</f>
        <v>41555</v>
      </c>
      <c r="C170" s="329" t="str">
        <f>VLOOKUP(A170,Memória!A:S,3,FALSE)</f>
        <v>Sistema separador de água e óleo</v>
      </c>
      <c r="D170" s="330" t="str">
        <f>VLOOKUP(A170,Memória!A:T,20,FALSE)</f>
        <v>Ud</v>
      </c>
      <c r="E170" s="331">
        <f>VLOOKUP(A170,Memória!A:S,19,FALSE)</f>
        <v>1</v>
      </c>
    </row>
    <row r="171" spans="1:5" x14ac:dyDescent="0.2">
      <c r="A171" s="614" t="s">
        <v>1042</v>
      </c>
      <c r="B171" s="328"/>
      <c r="C171" s="325" t="str">
        <f>VLOOKUP(A171,Memória!A:S,3,FALSE)</f>
        <v>Instalações</v>
      </c>
      <c r="D171" s="330"/>
      <c r="E171" s="331"/>
    </row>
    <row r="172" spans="1:5" ht="30" x14ac:dyDescent="0.2">
      <c r="A172" s="585" t="s">
        <v>1043</v>
      </c>
      <c r="B172" s="328">
        <f>VLOOKUP(A172,Memória!A:S,2,FALSE)</f>
        <v>41528</v>
      </c>
      <c r="C172" s="329" t="str">
        <f>VLOOKUP(A172,Memória!A:S,3,FALSE)</f>
        <v>Galpão em peças de madeira 8x8cm e contravent. de 5x7cm, cobertura de telhas de fibroc. de 6mm, incl. ponto e cabo de alimentação da máquina</v>
      </c>
      <c r="D172" s="330" t="str">
        <f>VLOOKUP(A172,Memória!A:T,20,FALSE)</f>
        <v>M2</v>
      </c>
      <c r="E172" s="331">
        <f>VLOOKUP(A172,Memória!A:S,19,FALSE)</f>
        <v>223</v>
      </c>
    </row>
    <row r="173" spans="1:5" ht="45" x14ac:dyDescent="0.2">
      <c r="A173" s="585" t="s">
        <v>1044</v>
      </c>
      <c r="B173" s="328">
        <f>VLOOKUP(A173,Memória!A:S,2,FALSE)</f>
        <v>41529</v>
      </c>
      <c r="C173" s="329" t="str">
        <f>VLOOKUP(A173,Memória!A:S,3,FALSE)</f>
        <v>Sanitário e vestiário de 40/60 func., c/ 33,90m², paredes chapa compens. 12mm e pont. 8x8cm
, piso ciment., cobert. telha fibroc., incl. luz e cx. insp</v>
      </c>
      <c r="D173" s="330" t="str">
        <f>VLOOKUP(A173,Memória!A:T,20,FALSE)</f>
        <v>Ud</v>
      </c>
      <c r="E173" s="331">
        <f>VLOOKUP(A173,Memória!A:S,19,FALSE)</f>
        <v>1</v>
      </c>
    </row>
    <row r="174" spans="1:5" ht="30" x14ac:dyDescent="0.2">
      <c r="A174" s="585" t="s">
        <v>1045</v>
      </c>
      <c r="B174" s="328">
        <f>VLOOKUP(A174,Memória!A:S,2,FALSE)</f>
        <v>41530</v>
      </c>
      <c r="C174" s="329" t="str">
        <f>VLOOKUP(A174,Memória!A:S,3,FALSE)</f>
        <v>Refeitório c/ paredes chapa de comp. 12mm e pont. 8x8cm, piso ciment. e cob. telhas fibroc. 6mm, incl. ponto de luz e cx. de insp. (1,21m²/func/turno)</v>
      </c>
      <c r="D174" s="330" t="str">
        <f>VLOOKUP(A174,Memória!A:T,20,FALSE)</f>
        <v>M2</v>
      </c>
      <c r="E174" s="331">
        <f>VLOOKUP(A174,Memória!A:S,19,FALSE)</f>
        <v>20</v>
      </c>
    </row>
    <row r="175" spans="1:5" x14ac:dyDescent="0.2">
      <c r="A175" s="585" t="s">
        <v>1046</v>
      </c>
      <c r="B175" s="328">
        <f>VLOOKUP(A175,Memória!A:S,2,FALSE)</f>
        <v>40376</v>
      </c>
      <c r="C175" s="329" t="str">
        <f>VLOOKUP(A175,Memória!A:S,3,FALSE)</f>
        <v>Aço CA-50, fornecimento, dobragem e colocação nas formas (preço médio das bitolas)</v>
      </c>
      <c r="D175" s="330" t="str">
        <f>VLOOKUP(A175,Memória!A:T,20,FALSE)</f>
        <v>kg</v>
      </c>
      <c r="E175" s="331">
        <f>VLOOKUP(A175,Memória!A:S,19,FALSE)</f>
        <v>658</v>
      </c>
    </row>
    <row r="176" spans="1:5" ht="30" x14ac:dyDescent="0.2">
      <c r="A176" s="585" t="s">
        <v>1047</v>
      </c>
      <c r="B176" s="328">
        <f>VLOOKUP(A176,Memória!A:S,2,FALSE)</f>
        <v>40313</v>
      </c>
      <c r="C176" s="329" t="str">
        <f>VLOOKUP(A176,Memória!A:S,3,FALSE)</f>
        <v>Formas planas de madeira com 04 (quatro) reaproveitamentos, inclusive fornecimento e transporte das madeiras</v>
      </c>
      <c r="D176" s="330" t="str">
        <f>VLOOKUP(A176,Memória!A:T,20,FALSE)</f>
        <v>M2</v>
      </c>
      <c r="E176" s="331">
        <f>VLOOKUP(A176,Memória!A:S,19,FALSE)</f>
        <v>44.8</v>
      </c>
    </row>
    <row r="177" spans="1:5" x14ac:dyDescent="0.2">
      <c r="A177" s="585" t="s">
        <v>1048</v>
      </c>
      <c r="B177" s="328">
        <f>VLOOKUP(A177,Memória!A:S,2,FALSE)</f>
        <v>40360</v>
      </c>
      <c r="C177" s="329" t="str">
        <f>VLOOKUP(A177,Memória!A:S,3,FALSE)</f>
        <v>Concreto estrutural fck = 20,0 MPa, tudo incluído</v>
      </c>
      <c r="D177" s="330" t="str">
        <f>VLOOKUP(A177,Memória!A:T,20,FALSE)</f>
        <v>M3</v>
      </c>
      <c r="E177" s="331">
        <f>VLOOKUP(A177,Memória!A:S,19,FALSE)</f>
        <v>13.16</v>
      </c>
    </row>
    <row r="178" spans="1:5" x14ac:dyDescent="0.2">
      <c r="A178" s="614" t="s">
        <v>1049</v>
      </c>
      <c r="B178" s="328"/>
      <c r="C178" s="325" t="str">
        <f>VLOOKUP(A178,Memória!A:S,3,FALSE)</f>
        <v>Mobilização e Desmobilização</v>
      </c>
      <c r="D178" s="330"/>
      <c r="E178" s="331"/>
    </row>
    <row r="179" spans="1:5" x14ac:dyDescent="0.2">
      <c r="A179" s="585" t="s">
        <v>1050</v>
      </c>
      <c r="B179" s="328">
        <f>VLOOKUP(A179,Memória!A:S,2,FALSE)</f>
        <v>41544</v>
      </c>
      <c r="C179" s="329" t="str">
        <f>VLOOKUP(A179,Memória!A:S,3,FALSE)</f>
        <v>Mobilização e desmobilização de equipamentos com carreta prancha (máximo)</v>
      </c>
      <c r="D179" s="330" t="str">
        <f>VLOOKUP(A179,Memória!A:T,20,FALSE)</f>
        <v>h</v>
      </c>
      <c r="E179" s="331">
        <f>VLOOKUP(A179,Memória!A:S,19,FALSE)</f>
        <v>96.9</v>
      </c>
    </row>
    <row r="180" spans="1:5" x14ac:dyDescent="0.2">
      <c r="A180" s="585" t="s">
        <v>1051</v>
      </c>
      <c r="B180" s="328">
        <f>VLOOKUP(A180,Memória!A:S,2,FALSE)</f>
        <v>41545</v>
      </c>
      <c r="C180" s="329" t="str">
        <f>VLOOKUP(A180,Memória!A:S,3,FALSE)</f>
        <v>Mobilização e desmobilização de caminhão carroceria (máximo)</v>
      </c>
      <c r="D180" s="330" t="str">
        <f>VLOOKUP(A180,Memória!A:T,20,FALSE)</f>
        <v>h</v>
      </c>
      <c r="E180" s="331">
        <f>VLOOKUP(A180,Memória!A:S,19,FALSE)</f>
        <v>57</v>
      </c>
    </row>
    <row r="181" spans="1:5" x14ac:dyDescent="0.2">
      <c r="A181" s="585" t="s">
        <v>1052</v>
      </c>
      <c r="B181" s="328">
        <f>VLOOKUP(A181,Memória!A:S,2,FALSE)</f>
        <v>41546</v>
      </c>
      <c r="C181" s="329" t="str">
        <f>VLOOKUP(A181,Memória!A:S,3,FALSE)</f>
        <v>Mobilização e desmobilização de caminhão basculante (máximo)</v>
      </c>
      <c r="D181" s="330" t="str">
        <f>VLOOKUP(A181,Memória!A:T,20,FALSE)</f>
        <v>h</v>
      </c>
      <c r="E181" s="331">
        <f>VLOOKUP(A181,Memória!A:S,19,FALSE)</f>
        <v>81.5</v>
      </c>
    </row>
    <row r="182" spans="1:5" x14ac:dyDescent="0.2">
      <c r="A182" s="585" t="s">
        <v>1053</v>
      </c>
      <c r="B182" s="328">
        <f>VLOOKUP(A182,Memória!A:S,2,FALSE)</f>
        <v>41547</v>
      </c>
      <c r="C182" s="329" t="str">
        <f>VLOOKUP(A182,Memória!A:S,3,FALSE)</f>
        <v>Mobilização e desmobilização de caminhão tanque (6.000 L) (máximo)</v>
      </c>
      <c r="D182" s="330" t="str">
        <f>VLOOKUP(A182,Memória!A:T,20,FALSE)</f>
        <v>h</v>
      </c>
      <c r="E182" s="331">
        <f>VLOOKUP(A182,Memória!A:S,19,FALSE)</f>
        <v>5.43</v>
      </c>
    </row>
    <row r="183" spans="1:5" x14ac:dyDescent="0.2">
      <c r="A183" s="581">
        <v>10</v>
      </c>
      <c r="B183" s="631"/>
      <c r="C183" s="322" t="str">
        <f>VLOOKUP(A183,Memória!A:S,3,FALSE)</f>
        <v>ADMINISTRAÇÃO LOCAL E SERVIÇOS AUXILIARES</v>
      </c>
      <c r="D183" s="629"/>
      <c r="E183" s="331"/>
    </row>
    <row r="184" spans="1:5" x14ac:dyDescent="0.2">
      <c r="A184" s="582" t="s">
        <v>1038</v>
      </c>
      <c r="B184" s="328"/>
      <c r="C184" s="325" t="str">
        <f>VLOOKUP(A184,Memória!A:S,3,FALSE)</f>
        <v>Administração Local</v>
      </c>
      <c r="D184" s="330"/>
      <c r="E184" s="331"/>
    </row>
    <row r="185" spans="1:5" x14ac:dyDescent="0.2">
      <c r="A185" s="585" t="s">
        <v>1219</v>
      </c>
      <c r="B185" s="328" t="str">
        <f>VLOOKUP(A185,Memória!A:S,2,FALSE)</f>
        <v>LG-001</v>
      </c>
      <c r="C185" s="329" t="str">
        <f>VLOOKUP(A185,Memória!A:S,3,FALSE)</f>
        <v>Administração local</v>
      </c>
      <c r="D185" s="330" t="str">
        <f>VLOOKUP(A185,Memória!A:T,20,FALSE)</f>
        <v>vb</v>
      </c>
      <c r="E185" s="331">
        <f>VLOOKUP(A185,Memória!A:S,19,FALSE)</f>
        <v>1</v>
      </c>
    </row>
    <row r="186" spans="1:5" x14ac:dyDescent="0.2">
      <c r="A186" s="582" t="s">
        <v>1081</v>
      </c>
      <c r="B186" s="328"/>
      <c r="C186" s="325" t="str">
        <f>VLOOKUP(A186,Memória!A:S,3,FALSE)</f>
        <v>Controle Tecnológico dos Serviços</v>
      </c>
      <c r="D186" s="330"/>
      <c r="E186" s="331"/>
    </row>
    <row r="187" spans="1:5" x14ac:dyDescent="0.2">
      <c r="A187" s="585" t="s">
        <v>1220</v>
      </c>
      <c r="B187" s="328" t="str">
        <f>VLOOKUP(A187,Memória!A:S,2,FALSE)</f>
        <v>LG-002</v>
      </c>
      <c r="C187" s="329" t="str">
        <f>VLOOKUP(A187,Memória!A:S,3,FALSE)</f>
        <v>Equipe de Topografia</v>
      </c>
      <c r="D187" s="330" t="str">
        <f>VLOOKUP(A187,Memória!A:T,20,FALSE)</f>
        <v>mês</v>
      </c>
      <c r="E187" s="331">
        <f>VLOOKUP(A187,Memória!A:S,19,FALSE)</f>
        <v>12</v>
      </c>
    </row>
    <row r="188" spans="1:5" x14ac:dyDescent="0.2">
      <c r="A188" s="585" t="s">
        <v>1221</v>
      </c>
      <c r="B188" s="328" t="str">
        <f>VLOOKUP(A188,Memória!A:S,2,FALSE)</f>
        <v>LG-003</v>
      </c>
      <c r="C188" s="329" t="str">
        <f>VLOOKUP(A188,Memória!A:S,3,FALSE)</f>
        <v>Equipe de Laboratório</v>
      </c>
      <c r="D188" s="330" t="str">
        <f>VLOOKUP(A188,Memória!A:T,20,FALSE)</f>
        <v>mês</v>
      </c>
      <c r="E188" s="331">
        <f>VLOOKUP(A188,Memória!A:S,19,FALSE)</f>
        <v>12</v>
      </c>
    </row>
  </sheetData>
  <mergeCells count="6">
    <mergeCell ref="A1:E1"/>
    <mergeCell ref="A2:E2"/>
    <mergeCell ref="A3:B3"/>
    <mergeCell ref="C3:C4"/>
    <mergeCell ref="D3:D4"/>
    <mergeCell ref="E3:E4"/>
  </mergeCells>
  <printOptions horizontalCentered="1" gridLines="1"/>
  <pageMargins left="0.59055118110236227" right="0.78740157480314965" top="0.78740157480314965" bottom="0.78740157480314965" header="0.31496062992125984" footer="0.31496062992125984"/>
  <pageSetup paperSize="9" scale="70" firstPageNumber="12" orientation="portrait" useFirstPageNumber="1" horizontalDpi="4294967295" verticalDpi="4294967295" r:id="rId1"/>
  <headerFooter scaleWithDoc="0"/>
  <rowBreaks count="2" manualBreakCount="2">
    <brk id="98" max="4" man="1"/>
    <brk id="152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87"/>
  <sheetViews>
    <sheetView view="pageBreakPreview" zoomScale="85" zoomScaleNormal="90" zoomScaleSheetLayoutView="85" workbookViewId="0">
      <selection activeCell="A13" sqref="A13:XFD13"/>
    </sheetView>
  </sheetViews>
  <sheetFormatPr defaultColWidth="9" defaultRowHeight="15" x14ac:dyDescent="0.2"/>
  <cols>
    <col min="1" max="1" width="7.5" style="223" customWidth="1"/>
    <col min="2" max="2" width="73.25" style="223" customWidth="1"/>
    <col min="3" max="3" width="12.875" style="225" customWidth="1"/>
    <col min="4" max="4" width="27.625" style="223" customWidth="1"/>
    <col min="5" max="10" width="11.875" style="223" customWidth="1"/>
    <col min="11" max="11" width="93.25" style="223" customWidth="1"/>
    <col min="12" max="16384" width="9" style="223"/>
  </cols>
  <sheetData>
    <row r="1" spans="1:11" x14ac:dyDescent="0.2">
      <c r="A1" s="219" t="s">
        <v>2479</v>
      </c>
      <c r="B1" s="222"/>
      <c r="C1" s="221" t="s">
        <v>988</v>
      </c>
      <c r="D1" s="863"/>
      <c r="H1" s="223" t="s">
        <v>8</v>
      </c>
      <c r="I1" s="223" t="s">
        <v>8</v>
      </c>
      <c r="J1" s="223" t="s">
        <v>8</v>
      </c>
      <c r="K1" s="223" t="s">
        <v>1868</v>
      </c>
    </row>
    <row r="2" spans="1:11" x14ac:dyDescent="0.2">
      <c r="A2" s="220" t="s">
        <v>987</v>
      </c>
      <c r="B2" s="222"/>
      <c r="C2" s="221" t="s">
        <v>163</v>
      </c>
      <c r="D2" s="222"/>
    </row>
    <row r="3" spans="1:11" ht="28.5" x14ac:dyDescent="0.2">
      <c r="A3" s="224" t="s">
        <v>1208</v>
      </c>
      <c r="B3" s="565">
        <v>0.23319999999999999</v>
      </c>
      <c r="C3" s="221" t="s">
        <v>164</v>
      </c>
      <c r="D3" s="224"/>
    </row>
    <row r="4" spans="1:11" x14ac:dyDescent="0.2">
      <c r="A4" s="222"/>
      <c r="B4" s="222"/>
      <c r="C4" s="863"/>
      <c r="D4" s="222"/>
      <c r="E4" s="1112" t="s">
        <v>165</v>
      </c>
      <c r="F4" s="1112"/>
      <c r="G4" s="1112"/>
      <c r="H4" s="1113" t="s">
        <v>166</v>
      </c>
      <c r="I4" s="1113"/>
      <c r="J4" s="1113"/>
      <c r="K4" s="1113" t="s">
        <v>1865</v>
      </c>
    </row>
    <row r="5" spans="1:11" s="821" customFormat="1" x14ac:dyDescent="0.2">
      <c r="A5" s="226" t="s">
        <v>0</v>
      </c>
      <c r="B5" s="226" t="s">
        <v>289</v>
      </c>
      <c r="C5" s="226" t="s">
        <v>1</v>
      </c>
      <c r="D5" s="227" t="s">
        <v>986</v>
      </c>
      <c r="E5" s="304" t="s">
        <v>21</v>
      </c>
      <c r="F5" s="304" t="s">
        <v>20</v>
      </c>
      <c r="G5" s="304" t="s">
        <v>167</v>
      </c>
      <c r="H5" s="308" t="s">
        <v>21</v>
      </c>
      <c r="I5" s="308" t="s">
        <v>20</v>
      </c>
      <c r="J5" s="308" t="s">
        <v>167</v>
      </c>
      <c r="K5" s="1113"/>
    </row>
    <row r="6" spans="1:11" s="821" customFormat="1" x14ac:dyDescent="0.2">
      <c r="A6" s="822">
        <v>60019</v>
      </c>
      <c r="B6" s="823" t="s">
        <v>1812</v>
      </c>
      <c r="C6" s="556" t="s">
        <v>1719</v>
      </c>
      <c r="D6" s="823" t="s">
        <v>3253</v>
      </c>
      <c r="E6" s="864">
        <v>0.88</v>
      </c>
      <c r="F6" s="864">
        <v>0.97199999999999998</v>
      </c>
      <c r="G6" s="864">
        <v>1.544</v>
      </c>
      <c r="H6" s="824">
        <f>+TRUNC(E6*(1+$B$3),3)</f>
        <v>1.085</v>
      </c>
      <c r="I6" s="824">
        <f t="shared" ref="H6:J20" si="0">+TRUNC(F6*(1+$B$3),3)</f>
        <v>1.198</v>
      </c>
      <c r="J6" s="824">
        <f t="shared" si="0"/>
        <v>1.9039999999999999</v>
      </c>
      <c r="K6" s="825" t="str">
        <f>+CONCATENATE(B6,H6,$H$5,$I$1,I6,$I$5,$I$1,J6,K1)</f>
        <v>LOCAL COM DMT ATÉ 3,0 KM (Caminhão basculante)1,085XP+1,198XR+1,904 (Incluindo BDI= 23,32%)</v>
      </c>
    </row>
    <row r="7" spans="1:11" s="821" customFormat="1" x14ac:dyDescent="0.2">
      <c r="A7" s="822">
        <v>60022</v>
      </c>
      <c r="B7" s="823" t="s">
        <v>1815</v>
      </c>
      <c r="C7" s="556" t="s">
        <v>1719</v>
      </c>
      <c r="D7" s="823" t="s">
        <v>3254</v>
      </c>
      <c r="E7" s="864">
        <v>0.60699999999999998</v>
      </c>
      <c r="F7" s="864">
        <v>0.64200000000000002</v>
      </c>
      <c r="G7" s="864">
        <v>1.365</v>
      </c>
      <c r="H7" s="824">
        <f t="shared" si="0"/>
        <v>0.748</v>
      </c>
      <c r="I7" s="824">
        <f t="shared" si="0"/>
        <v>0.79100000000000004</v>
      </c>
      <c r="J7" s="824">
        <f t="shared" si="0"/>
        <v>1.6830000000000001</v>
      </c>
      <c r="K7" s="825" t="str">
        <f t="shared" ref="K7:K19" si="1">+CONCATENATE(B7,H7,$H$5,$I$1,I7,$I$5,$I$1,J7)</f>
        <v>LOCAL COM DMT DE 10,1 A 15,0 KM (Caminhão basculante)0,748XP+0,791XR+1,683</v>
      </c>
    </row>
    <row r="8" spans="1:11" s="821" customFormat="1" x14ac:dyDescent="0.2">
      <c r="A8" s="822">
        <v>60020</v>
      </c>
      <c r="B8" s="823" t="s">
        <v>1813</v>
      </c>
      <c r="C8" s="556" t="s">
        <v>1719</v>
      </c>
      <c r="D8" s="823" t="s">
        <v>3255</v>
      </c>
      <c r="E8" s="864">
        <v>0.78900000000000003</v>
      </c>
      <c r="F8" s="864">
        <v>0.88700000000000001</v>
      </c>
      <c r="G8" s="864">
        <v>1.4790000000000001</v>
      </c>
      <c r="H8" s="824">
        <f t="shared" si="0"/>
        <v>0.97199999999999998</v>
      </c>
      <c r="I8" s="824">
        <f t="shared" si="0"/>
        <v>1.093</v>
      </c>
      <c r="J8" s="824">
        <f t="shared" si="0"/>
        <v>1.823</v>
      </c>
      <c r="K8" s="825" t="str">
        <f t="shared" si="1"/>
        <v>LOCAL COM DMT DE 3,1 A 5,0 KM (Caminhão basculante)0,972XP+1,093XR+1,823</v>
      </c>
    </row>
    <row r="9" spans="1:11" s="821" customFormat="1" x14ac:dyDescent="0.2">
      <c r="A9" s="822">
        <v>60021</v>
      </c>
      <c r="B9" s="823" t="s">
        <v>1814</v>
      </c>
      <c r="C9" s="556" t="s">
        <v>1719</v>
      </c>
      <c r="D9" s="823" t="s">
        <v>3256</v>
      </c>
      <c r="E9" s="864">
        <v>0.68100000000000005</v>
      </c>
      <c r="F9" s="864">
        <v>0.75700000000000001</v>
      </c>
      <c r="G9" s="864">
        <v>1.42</v>
      </c>
      <c r="H9" s="824">
        <f t="shared" si="0"/>
        <v>0.83899999999999997</v>
      </c>
      <c r="I9" s="824">
        <f t="shared" si="0"/>
        <v>0.93300000000000005</v>
      </c>
      <c r="J9" s="824">
        <f t="shared" si="0"/>
        <v>1.7509999999999999</v>
      </c>
      <c r="K9" s="825" t="str">
        <f t="shared" si="1"/>
        <v>LOCAL COM DMT DE 5,1 A 10,0 KM (Caminhão basculante)0,839XP+0,933XR+1,751</v>
      </c>
    </row>
    <row r="10" spans="1:11" s="821" customFormat="1" x14ac:dyDescent="0.2">
      <c r="A10" s="822">
        <v>60024</v>
      </c>
      <c r="B10" s="823" t="s">
        <v>1816</v>
      </c>
      <c r="C10" s="556" t="s">
        <v>1719</v>
      </c>
      <c r="D10" s="823" t="s">
        <v>3257</v>
      </c>
      <c r="E10" s="864">
        <v>0.2</v>
      </c>
      <c r="F10" s="864">
        <v>0.21199999999999999</v>
      </c>
      <c r="G10" s="864">
        <v>7.6779999999999999</v>
      </c>
      <c r="H10" s="824">
        <f t="shared" si="0"/>
        <v>0.246</v>
      </c>
      <c r="I10" s="824">
        <f t="shared" si="0"/>
        <v>0.26100000000000001</v>
      </c>
      <c r="J10" s="824">
        <f t="shared" si="0"/>
        <v>9.468</v>
      </c>
      <c r="K10" s="825" t="str">
        <f>+CONCATENATE(B10,H10,$H$5,$I$1,I10,$I$5,$I$1,J10,K1)</f>
        <v>Transporte de materiais para DMT acima de 15 KM (Caminhão basculante)0,246XP+0,261XR+9,468 (Incluindo BDI= 23,32%)</v>
      </c>
    </row>
    <row r="11" spans="1:11" s="821" customFormat="1" x14ac:dyDescent="0.2">
      <c r="A11" s="822">
        <v>100849</v>
      </c>
      <c r="B11" s="823" t="s">
        <v>1229</v>
      </c>
      <c r="C11" s="556" t="s">
        <v>1719</v>
      </c>
      <c r="D11" s="823" t="s">
        <v>3258</v>
      </c>
      <c r="E11" s="864">
        <v>0.436</v>
      </c>
      <c r="F11" s="864">
        <v>0.51600000000000001</v>
      </c>
      <c r="G11" s="864">
        <v>46.578000000000003</v>
      </c>
      <c r="H11" s="824">
        <f t="shared" si="0"/>
        <v>0.53700000000000003</v>
      </c>
      <c r="I11" s="824">
        <f t="shared" si="0"/>
        <v>0.63600000000000001</v>
      </c>
      <c r="J11" s="824">
        <f t="shared" si="0"/>
        <v>57.439</v>
      </c>
      <c r="K11" s="825" t="str">
        <f t="shared" si="1"/>
        <v>Transporte de Material Asfáltico (DNIT), inclusive BDI diferenciado0,537XP+0,636XR+57,439</v>
      </c>
    </row>
    <row r="12" spans="1:11" s="821" customFormat="1" x14ac:dyDescent="0.2">
      <c r="A12" s="822">
        <v>60010</v>
      </c>
      <c r="B12" s="823" t="s">
        <v>1808</v>
      </c>
      <c r="C12" s="556" t="s">
        <v>3</v>
      </c>
      <c r="D12" s="823" t="s">
        <v>3259</v>
      </c>
      <c r="E12" s="864">
        <v>1.0640000000000001</v>
      </c>
      <c r="F12" s="864">
        <v>1.419</v>
      </c>
      <c r="G12" s="864">
        <v>1.774</v>
      </c>
      <c r="H12" s="824">
        <f t="shared" si="0"/>
        <v>1.3120000000000001</v>
      </c>
      <c r="I12" s="824">
        <f t="shared" si="0"/>
        <v>1.7490000000000001</v>
      </c>
      <c r="J12" s="824">
        <f t="shared" si="0"/>
        <v>2.1869999999999998</v>
      </c>
      <c r="K12" s="825" t="str">
        <f t="shared" si="1"/>
        <v>Transporte Local de Materiais (TR-101-01) (Vias urbanas - Caminhão basculante)1,312XP+1,749XR+2,187</v>
      </c>
    </row>
    <row r="13" spans="1:11" s="821" customFormat="1" x14ac:dyDescent="0.2">
      <c r="A13" s="822">
        <v>60002</v>
      </c>
      <c r="B13" s="823" t="s">
        <v>1803</v>
      </c>
      <c r="C13" s="556" t="s">
        <v>1719</v>
      </c>
      <c r="D13" s="823" t="s">
        <v>3260</v>
      </c>
      <c r="E13" s="864">
        <v>0.68100000000000005</v>
      </c>
      <c r="F13" s="864">
        <v>0.71</v>
      </c>
      <c r="G13" s="864">
        <v>2.8410000000000002</v>
      </c>
      <c r="H13" s="824">
        <f t="shared" si="0"/>
        <v>0.83899999999999997</v>
      </c>
      <c r="I13" s="824">
        <f t="shared" si="0"/>
        <v>0.875</v>
      </c>
      <c r="J13" s="824">
        <f t="shared" si="0"/>
        <v>3.5030000000000001</v>
      </c>
      <c r="K13" s="825" t="str">
        <f t="shared" si="1"/>
        <v>TR-201-00 (Comercial - Caminhão basculante)0,839XP+0,875XR+3,503</v>
      </c>
    </row>
    <row r="14" spans="1:11" s="821" customFormat="1" x14ac:dyDescent="0.2">
      <c r="A14" s="822">
        <v>60003</v>
      </c>
      <c r="B14" s="823" t="s">
        <v>1804</v>
      </c>
      <c r="C14" s="556" t="s">
        <v>1719</v>
      </c>
      <c r="D14" s="823" t="s">
        <v>3261</v>
      </c>
      <c r="E14" s="864">
        <v>0.68100000000000005</v>
      </c>
      <c r="F14" s="864">
        <v>0.71</v>
      </c>
      <c r="G14" s="864">
        <v>0</v>
      </c>
      <c r="H14" s="824">
        <f t="shared" si="0"/>
        <v>0.83899999999999997</v>
      </c>
      <c r="I14" s="824">
        <f t="shared" si="0"/>
        <v>0.875</v>
      </c>
      <c r="J14" s="824">
        <f t="shared" si="0"/>
        <v>0</v>
      </c>
      <c r="K14" s="825" t="str">
        <f t="shared" si="1"/>
        <v>TR-202-00 (Comercial - Caminhão basculante)0,839XP+0,875XR+0</v>
      </c>
    </row>
    <row r="15" spans="1:11" s="821" customFormat="1" x14ac:dyDescent="0.2">
      <c r="A15" s="822">
        <v>60012</v>
      </c>
      <c r="B15" s="823" t="s">
        <v>1809</v>
      </c>
      <c r="C15" s="556" t="s">
        <v>1719</v>
      </c>
      <c r="D15" s="823" t="s">
        <v>3261</v>
      </c>
      <c r="E15" s="864">
        <v>0.68100000000000005</v>
      </c>
      <c r="F15" s="864">
        <v>0.71</v>
      </c>
      <c r="G15" s="864">
        <v>0</v>
      </c>
      <c r="H15" s="824">
        <f t="shared" si="0"/>
        <v>0.83899999999999997</v>
      </c>
      <c r="I15" s="824">
        <f t="shared" si="0"/>
        <v>0.875</v>
      </c>
      <c r="J15" s="824">
        <f t="shared" si="0"/>
        <v>0</v>
      </c>
      <c r="K15" s="825" t="str">
        <f>+CONCATENATE(B15,H15,$H$5,$I$1,I15,$I$5,$I$1,J15,K1)</f>
        <v>TR-202-01 (Comercial - Caminhão basculante)0,839XP+0,875XR+0 (Incluindo BDI= 23,32%)</v>
      </c>
    </row>
    <row r="16" spans="1:11" s="821" customFormat="1" x14ac:dyDescent="0.2">
      <c r="A16" s="822">
        <v>60004</v>
      </c>
      <c r="B16" s="823" t="s">
        <v>1805</v>
      </c>
      <c r="C16" s="556" t="s">
        <v>1719</v>
      </c>
      <c r="D16" s="823" t="s">
        <v>3262</v>
      </c>
      <c r="E16" s="864">
        <v>0.67600000000000005</v>
      </c>
      <c r="F16" s="864">
        <v>0.70299999999999996</v>
      </c>
      <c r="G16" s="864">
        <v>0</v>
      </c>
      <c r="H16" s="824">
        <f t="shared" si="0"/>
        <v>0.83299999999999996</v>
      </c>
      <c r="I16" s="824">
        <f t="shared" si="0"/>
        <v>0.86599999999999999</v>
      </c>
      <c r="J16" s="824">
        <f t="shared" si="0"/>
        <v>0</v>
      </c>
      <c r="K16" s="825" t="str">
        <f>+CONCATENATE(B16,H16,$H$5,$I$1,I16,$I$5,$I$1,J16,K1)</f>
        <v>TR-203-00 (Comercial - Caminhão carroceria)0,833XP+0,866XR+0 (Incluindo BDI= 23,32%)</v>
      </c>
    </row>
    <row r="17" spans="1:11" s="821" customFormat="1" x14ac:dyDescent="0.2">
      <c r="A17" s="822">
        <v>60013</v>
      </c>
      <c r="B17" s="823" t="s">
        <v>1810</v>
      </c>
      <c r="C17" s="556" t="s">
        <v>1719</v>
      </c>
      <c r="D17" s="823" t="s">
        <v>3262</v>
      </c>
      <c r="E17" s="864">
        <v>0.67600000000000005</v>
      </c>
      <c r="F17" s="864">
        <v>0.70299999999999996</v>
      </c>
      <c r="G17" s="864">
        <v>0</v>
      </c>
      <c r="H17" s="824">
        <f t="shared" si="0"/>
        <v>0.83299999999999996</v>
      </c>
      <c r="I17" s="824">
        <f t="shared" si="0"/>
        <v>0.86599999999999999</v>
      </c>
      <c r="J17" s="824">
        <f t="shared" si="0"/>
        <v>0</v>
      </c>
      <c r="K17" s="825" t="str">
        <f>+CONCATENATE(B17,H17,$H$5,$I$1,I17,$I$5,$I$1,J17,K1)</f>
        <v>TR-203-01 (Comercial - Caminhão carroceria)0,833XP+0,866XR+0 (Incluindo BDI= 23,32%)</v>
      </c>
    </row>
    <row r="18" spans="1:11" s="821" customFormat="1" x14ac:dyDescent="0.2">
      <c r="A18" s="822">
        <v>60005</v>
      </c>
      <c r="B18" s="823" t="s">
        <v>1806</v>
      </c>
      <c r="C18" s="556" t="s">
        <v>1719</v>
      </c>
      <c r="D18" s="823" t="s">
        <v>3263</v>
      </c>
      <c r="E18" s="864">
        <v>1.1259999999999999</v>
      </c>
      <c r="F18" s="864">
        <v>1.173</v>
      </c>
      <c r="G18" s="864">
        <v>0</v>
      </c>
      <c r="H18" s="824">
        <f t="shared" si="0"/>
        <v>1.3879999999999999</v>
      </c>
      <c r="I18" s="824">
        <f t="shared" si="0"/>
        <v>1.446</v>
      </c>
      <c r="J18" s="824">
        <f t="shared" si="0"/>
        <v>0</v>
      </c>
      <c r="K18" s="825" t="str">
        <f>+CONCATENATE(B18,H18,$H$5,$I$1,I18,$I$5,$I$1,J18,K1)</f>
        <v>TR-204-00 (Comercial - Carreta prancha)1,388XP+1,446XR+0 (Incluindo BDI= 23,32%)</v>
      </c>
    </row>
    <row r="19" spans="1:11" s="821" customFormat="1" x14ac:dyDescent="0.2">
      <c r="A19" s="822">
        <v>60014</v>
      </c>
      <c r="B19" s="823" t="s">
        <v>1811</v>
      </c>
      <c r="C19" s="556" t="s">
        <v>1719</v>
      </c>
      <c r="D19" s="823" t="s">
        <v>3263</v>
      </c>
      <c r="E19" s="864">
        <v>1.1259999999999999</v>
      </c>
      <c r="F19" s="864">
        <v>1.173</v>
      </c>
      <c r="G19" s="864">
        <v>0</v>
      </c>
      <c r="H19" s="824">
        <f t="shared" si="0"/>
        <v>1.3879999999999999</v>
      </c>
      <c r="I19" s="824">
        <f t="shared" si="0"/>
        <v>1.446</v>
      </c>
      <c r="J19" s="824">
        <f t="shared" si="0"/>
        <v>0</v>
      </c>
      <c r="K19" s="825" t="str">
        <f t="shared" si="1"/>
        <v>TR-204-01 (Comercial - Carreta com Prancha)1,388XP+1,446XR+0</v>
      </c>
    </row>
    <row r="20" spans="1:11" s="828" customFormat="1" x14ac:dyDescent="0.2">
      <c r="A20" s="822">
        <v>60006</v>
      </c>
      <c r="B20" s="823" t="s">
        <v>1807</v>
      </c>
      <c r="C20" s="556" t="s">
        <v>1719</v>
      </c>
      <c r="D20" s="823" t="s">
        <v>3264</v>
      </c>
      <c r="E20" s="865">
        <v>1.0249999999999999</v>
      </c>
      <c r="F20" s="865">
        <v>1.0649999999999999</v>
      </c>
      <c r="G20" s="865">
        <v>7.891</v>
      </c>
      <c r="H20" s="826">
        <f t="shared" si="0"/>
        <v>1.264</v>
      </c>
      <c r="I20" s="826">
        <f t="shared" si="0"/>
        <v>1.3129999999999999</v>
      </c>
      <c r="J20" s="826">
        <f t="shared" si="0"/>
        <v>9.7309999999999999</v>
      </c>
      <c r="K20" s="827" t="str">
        <f>+CONCATENATE(B20,H20,$H$5,$I$1,I20,$I$5,$I$1,J20)</f>
        <v>TR-301-00 (Massa Asfáltica)1,264XP+1,313XR+9,731</v>
      </c>
    </row>
    <row r="21" spans="1:11" s="821" customFormat="1" x14ac:dyDescent="0.2">
      <c r="C21" s="304"/>
    </row>
    <row r="22" spans="1:11" s="821" customFormat="1" x14ac:dyDescent="0.2">
      <c r="A22" s="230">
        <v>1253</v>
      </c>
      <c r="B22" s="231" t="s">
        <v>1199</v>
      </c>
      <c r="C22" s="556" t="s">
        <v>985</v>
      </c>
      <c r="D22" s="823" t="s">
        <v>3262</v>
      </c>
      <c r="E22" s="864">
        <v>0.67600000000000005</v>
      </c>
      <c r="F22" s="864">
        <v>0.70299999999999996</v>
      </c>
      <c r="G22" s="864">
        <v>0</v>
      </c>
      <c r="H22" s="824">
        <f t="shared" ref="H22:J34" si="2">+TRUNC(E22*(1+$B$3),3)</f>
        <v>0.83299999999999996</v>
      </c>
      <c r="I22" s="824">
        <f t="shared" si="2"/>
        <v>0.86599999999999999</v>
      </c>
      <c r="J22" s="824">
        <f t="shared" si="2"/>
        <v>0</v>
      </c>
      <c r="K22" s="825" t="str">
        <f t="shared" ref="K22:K34" si="3">+CONCATENATE(B22,H22,$H$5,$I$1,I22,$I$5,$I$1,J22)</f>
        <v>Transp. de Tubo de concreto armado D=0,30m CA-1 MF0,833XP+0,866XR+0</v>
      </c>
    </row>
    <row r="23" spans="1:11" s="821" customFormat="1" x14ac:dyDescent="0.2">
      <c r="A23" s="230">
        <v>1261</v>
      </c>
      <c r="B23" s="231" t="s">
        <v>1200</v>
      </c>
      <c r="C23" s="556" t="s">
        <v>985</v>
      </c>
      <c r="D23" s="823" t="s">
        <v>3261</v>
      </c>
      <c r="E23" s="864">
        <v>0.68100000000000005</v>
      </c>
      <c r="F23" s="864">
        <v>0.71</v>
      </c>
      <c r="G23" s="864">
        <v>0</v>
      </c>
      <c r="H23" s="824">
        <f t="shared" si="2"/>
        <v>0.83899999999999997</v>
      </c>
      <c r="I23" s="824">
        <f t="shared" si="2"/>
        <v>0.875</v>
      </c>
      <c r="J23" s="824">
        <f t="shared" si="2"/>
        <v>0</v>
      </c>
      <c r="K23" s="825" t="str">
        <f t="shared" si="3"/>
        <v>Transp. de Tubo de concreto armado D=0,60m CA-1 PB0,839XP+0,875XR+0</v>
      </c>
    </row>
    <row r="24" spans="1:11" s="821" customFormat="1" x14ac:dyDescent="0.2">
      <c r="A24" s="230">
        <v>1275</v>
      </c>
      <c r="B24" s="231" t="s">
        <v>1201</v>
      </c>
      <c r="C24" s="556" t="s">
        <v>985</v>
      </c>
      <c r="D24" s="823" t="s">
        <v>3262</v>
      </c>
      <c r="E24" s="864">
        <v>0.67600000000000005</v>
      </c>
      <c r="F24" s="864">
        <v>0.70299999999999996</v>
      </c>
      <c r="G24" s="864">
        <v>0</v>
      </c>
      <c r="H24" s="824">
        <f t="shared" si="2"/>
        <v>0.83299999999999996</v>
      </c>
      <c r="I24" s="824">
        <f t="shared" si="2"/>
        <v>0.86599999999999999</v>
      </c>
      <c r="J24" s="824">
        <f t="shared" si="2"/>
        <v>0</v>
      </c>
      <c r="K24" s="825" t="str">
        <f t="shared" si="3"/>
        <v>Transp. de Tubo de concreto armado D=1,20m CA-2 PB0,833XP+0,866XR+0</v>
      </c>
    </row>
    <row r="25" spans="1:11" s="821" customFormat="1" x14ac:dyDescent="0.2">
      <c r="A25" s="230">
        <v>1345</v>
      </c>
      <c r="B25" s="231" t="s">
        <v>1202</v>
      </c>
      <c r="C25" s="556" t="s">
        <v>985</v>
      </c>
      <c r="D25" s="823" t="s">
        <v>3261</v>
      </c>
      <c r="E25" s="864">
        <v>0.68100000000000005</v>
      </c>
      <c r="F25" s="864">
        <v>0.71</v>
      </c>
      <c r="G25" s="864">
        <v>0</v>
      </c>
      <c r="H25" s="824">
        <f t="shared" si="2"/>
        <v>0.83899999999999997</v>
      </c>
      <c r="I25" s="824">
        <f t="shared" si="2"/>
        <v>0.875</v>
      </c>
      <c r="J25" s="824">
        <f t="shared" si="2"/>
        <v>0</v>
      </c>
      <c r="K25" s="825" t="str">
        <f t="shared" si="3"/>
        <v>Transp. de Tampao F.F. articulado pesado - poço visita0,839XP+0,875XR+0</v>
      </c>
    </row>
    <row r="26" spans="1:11" s="821" customFormat="1" x14ac:dyDescent="0.2">
      <c r="A26" s="230">
        <v>1643</v>
      </c>
      <c r="B26" s="231" t="s">
        <v>1203</v>
      </c>
      <c r="C26" s="556" t="s">
        <v>985</v>
      </c>
      <c r="D26" s="823" t="s">
        <v>3261</v>
      </c>
      <c r="E26" s="864">
        <v>0.68100000000000005</v>
      </c>
      <c r="F26" s="864">
        <v>0.71</v>
      </c>
      <c r="G26" s="864">
        <v>0</v>
      </c>
      <c r="H26" s="824">
        <f t="shared" si="2"/>
        <v>0.83899999999999997</v>
      </c>
      <c r="I26" s="824">
        <f t="shared" si="2"/>
        <v>0.875</v>
      </c>
      <c r="J26" s="824">
        <f t="shared" si="2"/>
        <v>0</v>
      </c>
      <c r="K26" s="825" t="str">
        <f t="shared" si="3"/>
        <v>Transp. de Ladrilho hidraúlico 2 cores p/ calçada0,839XP+0,875XR+0</v>
      </c>
    </row>
    <row r="27" spans="1:11" s="821" customFormat="1" x14ac:dyDescent="0.2">
      <c r="A27" s="230">
        <v>1091</v>
      </c>
      <c r="B27" s="231" t="s">
        <v>1204</v>
      </c>
      <c r="C27" s="556" t="s">
        <v>985</v>
      </c>
      <c r="D27" s="823" t="s">
        <v>3262</v>
      </c>
      <c r="E27" s="864">
        <v>0.67600000000000005</v>
      </c>
      <c r="F27" s="864">
        <v>0.70299999999999996</v>
      </c>
      <c r="G27" s="864">
        <v>0</v>
      </c>
      <c r="H27" s="824">
        <f t="shared" si="2"/>
        <v>0.83299999999999996</v>
      </c>
      <c r="I27" s="824">
        <f t="shared" si="2"/>
        <v>0.86599999999999999</v>
      </c>
      <c r="J27" s="824">
        <f t="shared" si="2"/>
        <v>0</v>
      </c>
      <c r="K27" s="825" t="str">
        <f t="shared" si="3"/>
        <v>Transp. de Defensa (lâmina 4 m) - semi maleável0,833XP+0,866XR+0</v>
      </c>
    </row>
    <row r="28" spans="1:11" s="821" customFormat="1" x14ac:dyDescent="0.2">
      <c r="A28" s="230">
        <v>1144</v>
      </c>
      <c r="B28" s="231" t="s">
        <v>1205</v>
      </c>
      <c r="C28" s="556" t="s">
        <v>985</v>
      </c>
      <c r="D28" s="823" t="s">
        <v>3262</v>
      </c>
      <c r="E28" s="864">
        <v>0.67600000000000005</v>
      </c>
      <c r="F28" s="864">
        <v>0.70299999999999996</v>
      </c>
      <c r="G28" s="864">
        <v>0</v>
      </c>
      <c r="H28" s="824">
        <f t="shared" si="2"/>
        <v>0.83299999999999996</v>
      </c>
      <c r="I28" s="824">
        <f t="shared" si="2"/>
        <v>0.86599999999999999</v>
      </c>
      <c r="J28" s="824">
        <f t="shared" si="2"/>
        <v>0</v>
      </c>
      <c r="K28" s="825" t="str">
        <f t="shared" si="3"/>
        <v>Transp. de Pranchoes 30 X 5 cm (p/ ensecadeira)0,833XP+0,866XR+0</v>
      </c>
    </row>
    <row r="29" spans="1:11" s="821" customFormat="1" x14ac:dyDescent="0.2">
      <c r="A29" s="230">
        <v>1116</v>
      </c>
      <c r="B29" s="231" t="s">
        <v>1206</v>
      </c>
      <c r="C29" s="556" t="s">
        <v>985</v>
      </c>
      <c r="D29" s="823" t="s">
        <v>3262</v>
      </c>
      <c r="E29" s="864">
        <v>0.67600000000000005</v>
      </c>
      <c r="F29" s="864">
        <v>0.70299999999999996</v>
      </c>
      <c r="G29" s="864">
        <v>0</v>
      </c>
      <c r="H29" s="824">
        <f t="shared" si="2"/>
        <v>0.83299999999999996</v>
      </c>
      <c r="I29" s="824">
        <f t="shared" si="2"/>
        <v>0.86599999999999999</v>
      </c>
      <c r="J29" s="824">
        <f t="shared" si="2"/>
        <v>0</v>
      </c>
      <c r="K29" s="825" t="str">
        <f t="shared" si="3"/>
        <v>Transp. de Ripao de 2.5 X 7.0 cm0,833XP+0,866XR+0</v>
      </c>
    </row>
    <row r="30" spans="1:11" s="821" customFormat="1" x14ac:dyDescent="0.2">
      <c r="A30" s="230">
        <v>1436</v>
      </c>
      <c r="B30" s="231" t="s">
        <v>1207</v>
      </c>
      <c r="C30" s="556" t="s">
        <v>985</v>
      </c>
      <c r="D30" s="823" t="s">
        <v>3260</v>
      </c>
      <c r="E30" s="864">
        <v>0.68100000000000005</v>
      </c>
      <c r="F30" s="864">
        <v>0.71</v>
      </c>
      <c r="G30" s="864">
        <v>2.8410000000000002</v>
      </c>
      <c r="H30" s="824">
        <f t="shared" si="2"/>
        <v>0.83899999999999997</v>
      </c>
      <c r="I30" s="824">
        <f t="shared" si="2"/>
        <v>0.875</v>
      </c>
      <c r="J30" s="824">
        <f t="shared" si="2"/>
        <v>3.5030000000000001</v>
      </c>
      <c r="K30" s="825" t="str">
        <f t="shared" si="3"/>
        <v>Transp. De Escoria de Aciaria0,839XP+0,875XR+3,503</v>
      </c>
    </row>
    <row r="31" spans="1:11" s="821" customFormat="1" x14ac:dyDescent="0.2">
      <c r="A31" s="230">
        <v>1263</v>
      </c>
      <c r="B31" s="231" t="s">
        <v>1214</v>
      </c>
      <c r="C31" s="556" t="s">
        <v>3</v>
      </c>
      <c r="D31" s="823" t="s">
        <v>3261</v>
      </c>
      <c r="E31" s="864">
        <v>0.68100000000000005</v>
      </c>
      <c r="F31" s="864">
        <v>0.71</v>
      </c>
      <c r="G31" s="864">
        <v>0</v>
      </c>
      <c r="H31" s="824">
        <f t="shared" si="2"/>
        <v>0.83899999999999997</v>
      </c>
      <c r="I31" s="824">
        <f t="shared" si="2"/>
        <v>0.875</v>
      </c>
      <c r="J31" s="824">
        <f t="shared" si="2"/>
        <v>0</v>
      </c>
      <c r="K31" s="825" t="str">
        <f t="shared" si="3"/>
        <v>Transp. De Tubo de concreto armado D=0,60m CA-2PB0,839XP+0,875XR+0</v>
      </c>
    </row>
    <row r="32" spans="1:11" s="821" customFormat="1" x14ac:dyDescent="0.2">
      <c r="A32" s="230">
        <v>1267</v>
      </c>
      <c r="B32" s="231" t="s">
        <v>1215</v>
      </c>
      <c r="C32" s="556" t="s">
        <v>3</v>
      </c>
      <c r="D32" s="823" t="s">
        <v>3262</v>
      </c>
      <c r="E32" s="864">
        <v>0.67600000000000005</v>
      </c>
      <c r="F32" s="864">
        <v>0.70299999999999996</v>
      </c>
      <c r="G32" s="864">
        <v>0</v>
      </c>
      <c r="H32" s="824">
        <f t="shared" si="2"/>
        <v>0.83299999999999996</v>
      </c>
      <c r="I32" s="824">
        <f t="shared" si="2"/>
        <v>0.86599999999999999</v>
      </c>
      <c r="J32" s="824">
        <f t="shared" si="2"/>
        <v>0</v>
      </c>
      <c r="K32" s="825" t="str">
        <f t="shared" si="3"/>
        <v>Transp. De Tubo de concreto armado D=0,80m CA-2PB0,833XP+0,866XR+0</v>
      </c>
    </row>
    <row r="33" spans="1:11" s="821" customFormat="1" x14ac:dyDescent="0.2">
      <c r="A33" s="230">
        <v>1271</v>
      </c>
      <c r="B33" s="231" t="s">
        <v>1216</v>
      </c>
      <c r="C33" s="556" t="s">
        <v>3</v>
      </c>
      <c r="D33" s="823" t="s">
        <v>3262</v>
      </c>
      <c r="E33" s="864">
        <v>0.67600000000000005</v>
      </c>
      <c r="F33" s="864">
        <v>0.70299999999999996</v>
      </c>
      <c r="G33" s="864">
        <v>0</v>
      </c>
      <c r="H33" s="824">
        <f t="shared" si="2"/>
        <v>0.83299999999999996</v>
      </c>
      <c r="I33" s="824">
        <f t="shared" si="2"/>
        <v>0.86599999999999999</v>
      </c>
      <c r="J33" s="824">
        <f t="shared" si="2"/>
        <v>0</v>
      </c>
      <c r="K33" s="825" t="str">
        <f t="shared" si="3"/>
        <v>Transp. De Tubo de concreto armado D=1,00m CA-2PB0,833XP+0,866XR+0</v>
      </c>
    </row>
    <row r="34" spans="1:11" s="821" customFormat="1" x14ac:dyDescent="0.2">
      <c r="A34" s="304">
        <v>1256</v>
      </c>
      <c r="B34" s="231" t="s">
        <v>1217</v>
      </c>
      <c r="C34" s="556" t="s">
        <v>3</v>
      </c>
      <c r="D34" s="823" t="s">
        <v>3262</v>
      </c>
      <c r="E34" s="864">
        <v>0.67600000000000005</v>
      </c>
      <c r="F34" s="864">
        <v>0.70299999999999996</v>
      </c>
      <c r="G34" s="864">
        <v>0</v>
      </c>
      <c r="H34" s="824">
        <f t="shared" si="2"/>
        <v>0.83299999999999996</v>
      </c>
      <c r="I34" s="824">
        <f t="shared" si="2"/>
        <v>0.86599999999999999</v>
      </c>
      <c r="J34" s="824">
        <f t="shared" si="2"/>
        <v>0</v>
      </c>
      <c r="K34" s="825" t="str">
        <f t="shared" si="3"/>
        <v>Transp. De Tubo de concreto armado D=0,40m CA-1 MF0,833XP+0,866XR+0</v>
      </c>
    </row>
    <row r="35" spans="1:11" s="821" customFormat="1" x14ac:dyDescent="0.2">
      <c r="C35" s="304"/>
      <c r="E35" s="864"/>
      <c r="F35" s="864"/>
      <c r="G35" s="864"/>
    </row>
    <row r="36" spans="1:11" s="821" customFormat="1" x14ac:dyDescent="0.2">
      <c r="A36" s="230">
        <v>1006</v>
      </c>
      <c r="B36" s="231" t="s">
        <v>1067</v>
      </c>
      <c r="C36" s="556" t="s">
        <v>985</v>
      </c>
      <c r="D36" s="823" t="s">
        <v>3262</v>
      </c>
      <c r="E36" s="864">
        <v>0.67600000000000005</v>
      </c>
      <c r="F36" s="864">
        <v>0.70299999999999996</v>
      </c>
      <c r="G36" s="864">
        <v>0</v>
      </c>
      <c r="H36" s="824">
        <f t="shared" ref="H36:J63" si="4">+TRUNC(E36*(1+$B$3),3)</f>
        <v>0.83299999999999996</v>
      </c>
      <c r="I36" s="824">
        <f t="shared" si="4"/>
        <v>0.86599999999999999</v>
      </c>
      <c r="J36" s="824">
        <f t="shared" si="4"/>
        <v>0</v>
      </c>
      <c r="K36" s="825" t="str">
        <f t="shared" ref="K36:K63" si="5">+CONCATENATE(B36,H36,$H$5,$I$1,I36,$I$5,$I$1,J36)</f>
        <v xml:space="preserve"> Transp. de Tubo de concreto armado D=0,80m CA-1 PB0,833XP+0,866XR+0</v>
      </c>
    </row>
    <row r="37" spans="1:11" s="821" customFormat="1" x14ac:dyDescent="0.2">
      <c r="A37" s="230">
        <v>1269</v>
      </c>
      <c r="B37" s="231" t="s">
        <v>1184</v>
      </c>
      <c r="C37" s="556" t="s">
        <v>985</v>
      </c>
      <c r="D37" s="823" t="s">
        <v>3262</v>
      </c>
      <c r="E37" s="864">
        <v>0.67600000000000005</v>
      </c>
      <c r="F37" s="864">
        <v>0.70299999999999996</v>
      </c>
      <c r="G37" s="864">
        <v>0</v>
      </c>
      <c r="H37" s="824">
        <f t="shared" si="4"/>
        <v>0.83299999999999996</v>
      </c>
      <c r="I37" s="824">
        <f t="shared" si="4"/>
        <v>0.86599999999999999</v>
      </c>
      <c r="J37" s="824">
        <f t="shared" si="4"/>
        <v>0</v>
      </c>
      <c r="K37" s="825" t="str">
        <f t="shared" si="5"/>
        <v>Transp. de Tubo de concreto armado D=1,00m CA-1 PB0,833XP+0,866XR+0</v>
      </c>
    </row>
    <row r="38" spans="1:11" s="821" customFormat="1" x14ac:dyDescent="0.2">
      <c r="A38" s="230">
        <v>1026</v>
      </c>
      <c r="B38" s="231" t="s">
        <v>1089</v>
      </c>
      <c r="C38" s="556" t="s">
        <v>985</v>
      </c>
      <c r="D38" s="823" t="s">
        <v>3260</v>
      </c>
      <c r="E38" s="864">
        <v>0.68100000000000005</v>
      </c>
      <c r="F38" s="864">
        <v>0.71</v>
      </c>
      <c r="G38" s="864">
        <v>2.8410000000000002</v>
      </c>
      <c r="H38" s="824">
        <f t="shared" si="4"/>
        <v>0.83899999999999997</v>
      </c>
      <c r="I38" s="824">
        <f t="shared" si="4"/>
        <v>0.875</v>
      </c>
      <c r="J38" s="824">
        <f t="shared" si="4"/>
        <v>3.5030000000000001</v>
      </c>
      <c r="K38" s="825" t="str">
        <f t="shared" si="5"/>
        <v>Transp. de Areia grossa jazida c/ carreg.mecânico0,839XP+0,875XR+3,503</v>
      </c>
    </row>
    <row r="39" spans="1:11" s="821" customFormat="1" x14ac:dyDescent="0.2">
      <c r="A39" s="230">
        <v>1083</v>
      </c>
      <c r="B39" s="231" t="s">
        <v>1090</v>
      </c>
      <c r="C39" s="556" t="s">
        <v>985</v>
      </c>
      <c r="D39" s="823" t="s">
        <v>3262</v>
      </c>
      <c r="E39" s="864">
        <v>0.67600000000000005</v>
      </c>
      <c r="F39" s="864">
        <v>0.70299999999999996</v>
      </c>
      <c r="G39" s="864">
        <v>0</v>
      </c>
      <c r="H39" s="824">
        <f t="shared" si="4"/>
        <v>0.83299999999999996</v>
      </c>
      <c r="I39" s="824">
        <f t="shared" si="4"/>
        <v>0.86599999999999999</v>
      </c>
      <c r="J39" s="824">
        <f t="shared" si="4"/>
        <v>0</v>
      </c>
      <c r="K39" s="825" t="str">
        <f t="shared" si="5"/>
        <v>Transp. de Tubo poroso D=0,20 m (preço médio)0,833XP+0,866XR+0</v>
      </c>
    </row>
    <row r="40" spans="1:11" s="821" customFormat="1" x14ac:dyDescent="0.2">
      <c r="A40" s="230">
        <v>1250</v>
      </c>
      <c r="B40" s="231" t="s">
        <v>1185</v>
      </c>
      <c r="C40" s="556" t="s">
        <v>985</v>
      </c>
      <c r="D40" s="823" t="s">
        <v>3261</v>
      </c>
      <c r="E40" s="864">
        <v>0.68100000000000005</v>
      </c>
      <c r="F40" s="864">
        <v>0.71</v>
      </c>
      <c r="G40" s="864">
        <v>0</v>
      </c>
      <c r="H40" s="824">
        <f t="shared" si="4"/>
        <v>0.83899999999999997</v>
      </c>
      <c r="I40" s="824">
        <f t="shared" si="4"/>
        <v>0.875</v>
      </c>
      <c r="J40" s="824">
        <f t="shared" si="4"/>
        <v>0</v>
      </c>
      <c r="K40" s="825" t="str">
        <f t="shared" si="5"/>
        <v>Transp. de Tubo de concreto s/ armaçao D=0,20m PB0,839XP+0,875XR+0</v>
      </c>
    </row>
    <row r="41" spans="1:11" s="821" customFormat="1" x14ac:dyDescent="0.2">
      <c r="A41" s="230">
        <v>1024</v>
      </c>
      <c r="B41" s="231" t="s">
        <v>1186</v>
      </c>
      <c r="C41" s="556" t="s">
        <v>985</v>
      </c>
      <c r="D41" s="823" t="s">
        <v>3260</v>
      </c>
      <c r="E41" s="864">
        <v>0.68100000000000005</v>
      </c>
      <c r="F41" s="864">
        <v>0.71</v>
      </c>
      <c r="G41" s="864">
        <v>2.8410000000000002</v>
      </c>
      <c r="H41" s="824">
        <f t="shared" si="4"/>
        <v>0.83899999999999997</v>
      </c>
      <c r="I41" s="824">
        <f t="shared" si="4"/>
        <v>0.875</v>
      </c>
      <c r="J41" s="824">
        <f t="shared" si="4"/>
        <v>3.5030000000000001</v>
      </c>
      <c r="K41" s="825" t="str">
        <f t="shared" si="5"/>
        <v>Transp. de Brita 0 (incl. 0% IUM) s/ frete0,839XP+0,875XR+3,503</v>
      </c>
    </row>
    <row r="42" spans="1:11" s="821" customFormat="1" x14ac:dyDescent="0.2">
      <c r="A42" s="230">
        <v>1025</v>
      </c>
      <c r="B42" s="231" t="s">
        <v>1187</v>
      </c>
      <c r="C42" s="556" t="s">
        <v>985</v>
      </c>
      <c r="D42" s="823" t="s">
        <v>3260</v>
      </c>
      <c r="E42" s="864">
        <v>0.68100000000000005</v>
      </c>
      <c r="F42" s="864">
        <v>0.71</v>
      </c>
      <c r="G42" s="864">
        <v>2.8410000000000002</v>
      </c>
      <c r="H42" s="824">
        <f t="shared" si="4"/>
        <v>0.83899999999999997</v>
      </c>
      <c r="I42" s="824">
        <f t="shared" si="4"/>
        <v>0.875</v>
      </c>
      <c r="J42" s="824">
        <f t="shared" si="4"/>
        <v>3.5030000000000001</v>
      </c>
      <c r="K42" s="825" t="str">
        <f t="shared" si="5"/>
        <v>Transp. de Brita 1 (incl. 0% IUM) s/ frete0,839XP+0,875XR+3,503</v>
      </c>
    </row>
    <row r="43" spans="1:11" s="821" customFormat="1" x14ac:dyDescent="0.2">
      <c r="A43" s="230">
        <v>1002</v>
      </c>
      <c r="B43" s="231" t="s">
        <v>1188</v>
      </c>
      <c r="C43" s="556" t="s">
        <v>985</v>
      </c>
      <c r="D43" s="823" t="s">
        <v>3262</v>
      </c>
      <c r="E43" s="864">
        <v>0.67600000000000005</v>
      </c>
      <c r="F43" s="864">
        <v>0.70299999999999996</v>
      </c>
      <c r="G43" s="864">
        <v>0</v>
      </c>
      <c r="H43" s="824">
        <f t="shared" si="4"/>
        <v>0.83299999999999996</v>
      </c>
      <c r="I43" s="824">
        <f t="shared" si="4"/>
        <v>0.86599999999999999</v>
      </c>
      <c r="J43" s="824">
        <f t="shared" si="4"/>
        <v>0</v>
      </c>
      <c r="K43" s="825" t="str">
        <f t="shared" si="5"/>
        <v>Transp. de Arame farpado fio 16 rolo 500 m0,833XP+0,866XR+0</v>
      </c>
    </row>
    <row r="44" spans="1:11" s="821" customFormat="1" x14ac:dyDescent="0.2">
      <c r="A44" s="230">
        <v>1630</v>
      </c>
      <c r="B44" s="231" t="s">
        <v>1189</v>
      </c>
      <c r="C44" s="556" t="s">
        <v>985</v>
      </c>
      <c r="D44" s="823" t="s">
        <v>3262</v>
      </c>
      <c r="E44" s="864">
        <v>0.67600000000000005</v>
      </c>
      <c r="F44" s="864">
        <v>0.70299999999999996</v>
      </c>
      <c r="G44" s="864">
        <v>0</v>
      </c>
      <c r="H44" s="824">
        <f t="shared" si="4"/>
        <v>0.83299999999999996</v>
      </c>
      <c r="I44" s="824">
        <f t="shared" si="4"/>
        <v>0.86599999999999999</v>
      </c>
      <c r="J44" s="824">
        <f t="shared" si="4"/>
        <v>0</v>
      </c>
      <c r="K44" s="825" t="str">
        <f t="shared" si="5"/>
        <v>Transp. de Mourao quadrado (tipo DNER) 10 X 10 cm X 2,20 m0,833XP+0,866XR+0</v>
      </c>
    </row>
    <row r="45" spans="1:11" s="821" customFormat="1" x14ac:dyDescent="0.2">
      <c r="A45" s="230">
        <v>1631</v>
      </c>
      <c r="B45" s="231" t="s">
        <v>1190</v>
      </c>
      <c r="C45" s="556" t="s">
        <v>985</v>
      </c>
      <c r="D45" s="823" t="s">
        <v>3262</v>
      </c>
      <c r="E45" s="864">
        <v>0.67600000000000005</v>
      </c>
      <c r="F45" s="864">
        <v>0.70299999999999996</v>
      </c>
      <c r="G45" s="864">
        <v>0</v>
      </c>
      <c r="H45" s="824">
        <f t="shared" si="4"/>
        <v>0.83299999999999996</v>
      </c>
      <c r="I45" s="824">
        <f t="shared" si="4"/>
        <v>0.86599999999999999</v>
      </c>
      <c r="J45" s="824">
        <f t="shared" si="4"/>
        <v>0</v>
      </c>
      <c r="K45" s="825" t="str">
        <f t="shared" si="5"/>
        <v>Transp. de Mourao triangular (tipo DNER) 10 cm X 2,00 m0,833XP+0,866XR+0</v>
      </c>
    </row>
    <row r="46" spans="1:11" s="821" customFormat="1" x14ac:dyDescent="0.2">
      <c r="A46" s="230">
        <v>1090</v>
      </c>
      <c r="B46" s="231" t="s">
        <v>236</v>
      </c>
      <c r="C46" s="556" t="s">
        <v>985</v>
      </c>
      <c r="D46" s="823" t="s">
        <v>3262</v>
      </c>
      <c r="E46" s="864">
        <v>0.67600000000000005</v>
      </c>
      <c r="F46" s="864">
        <v>0.70299999999999996</v>
      </c>
      <c r="G46" s="864">
        <v>0</v>
      </c>
      <c r="H46" s="824">
        <f t="shared" si="4"/>
        <v>0.83299999999999996</v>
      </c>
      <c r="I46" s="824">
        <f t="shared" si="4"/>
        <v>0.86599999999999999</v>
      </c>
      <c r="J46" s="824">
        <f t="shared" si="4"/>
        <v>0</v>
      </c>
      <c r="K46" s="825" t="str">
        <f t="shared" si="5"/>
        <v>Transp. de Micro-esfera (preço médio)0,833XP+0,866XR+0</v>
      </c>
    </row>
    <row r="47" spans="1:11" s="821" customFormat="1" x14ac:dyDescent="0.2">
      <c r="A47" s="230">
        <v>1088</v>
      </c>
      <c r="B47" s="231" t="s">
        <v>237</v>
      </c>
      <c r="C47" s="556" t="s">
        <v>985</v>
      </c>
      <c r="D47" s="823" t="s">
        <v>3262</v>
      </c>
      <c r="E47" s="864">
        <v>0.67600000000000005</v>
      </c>
      <c r="F47" s="864">
        <v>0.70299999999999996</v>
      </c>
      <c r="G47" s="864">
        <v>0</v>
      </c>
      <c r="H47" s="824">
        <f t="shared" si="4"/>
        <v>0.83299999999999996</v>
      </c>
      <c r="I47" s="824">
        <f t="shared" si="4"/>
        <v>0.86599999999999999</v>
      </c>
      <c r="J47" s="824">
        <f t="shared" si="4"/>
        <v>0</v>
      </c>
      <c r="K47" s="825" t="str">
        <f t="shared" si="5"/>
        <v>Transp. de Tinta0,833XP+0,866XR+0</v>
      </c>
    </row>
    <row r="48" spans="1:11" s="821" customFormat="1" x14ac:dyDescent="0.2">
      <c r="A48" s="230">
        <v>1089</v>
      </c>
      <c r="B48" s="231" t="s">
        <v>1191</v>
      </c>
      <c r="C48" s="556" t="s">
        <v>985</v>
      </c>
      <c r="D48" s="823" t="s">
        <v>3262</v>
      </c>
      <c r="E48" s="864">
        <v>0.67600000000000005</v>
      </c>
      <c r="F48" s="864">
        <v>0.70299999999999996</v>
      </c>
      <c r="G48" s="864">
        <v>0</v>
      </c>
      <c r="H48" s="824">
        <f t="shared" si="4"/>
        <v>0.83299999999999996</v>
      </c>
      <c r="I48" s="824">
        <f t="shared" si="4"/>
        <v>0.86599999999999999</v>
      </c>
      <c r="J48" s="824">
        <f t="shared" si="4"/>
        <v>0</v>
      </c>
      <c r="K48" s="825" t="str">
        <f t="shared" si="5"/>
        <v>Transp. de Tinta borracha clorada (preço médio)0,833XP+0,866XR+0</v>
      </c>
    </row>
    <row r="49" spans="1:11" s="821" customFormat="1" x14ac:dyDescent="0.2">
      <c r="A49" s="230">
        <v>1169</v>
      </c>
      <c r="B49" s="231" t="s">
        <v>1192</v>
      </c>
      <c r="C49" s="556" t="s">
        <v>985</v>
      </c>
      <c r="D49" s="823" t="s">
        <v>3262</v>
      </c>
      <c r="E49" s="864">
        <v>0.67600000000000005</v>
      </c>
      <c r="F49" s="864">
        <v>0.70299999999999996</v>
      </c>
      <c r="G49" s="864">
        <v>0</v>
      </c>
      <c r="H49" s="824">
        <f t="shared" si="4"/>
        <v>0.83299999999999996</v>
      </c>
      <c r="I49" s="824">
        <f t="shared" si="4"/>
        <v>0.86599999999999999</v>
      </c>
      <c r="J49" s="824">
        <f t="shared" si="4"/>
        <v>0</v>
      </c>
      <c r="K49" s="825" t="str">
        <f t="shared" si="5"/>
        <v>Transp. de Geotêxtil0,833XP+0,866XR+0</v>
      </c>
    </row>
    <row r="50" spans="1:11" s="821" customFormat="1" x14ac:dyDescent="0.2">
      <c r="A50" s="230">
        <v>1168</v>
      </c>
      <c r="B50" s="231" t="s">
        <v>1193</v>
      </c>
      <c r="C50" s="556" t="s">
        <v>985</v>
      </c>
      <c r="D50" s="823" t="s">
        <v>3262</v>
      </c>
      <c r="E50" s="864">
        <v>0.67600000000000005</v>
      </c>
      <c r="F50" s="864">
        <v>0.70299999999999996</v>
      </c>
      <c r="G50" s="864">
        <v>0</v>
      </c>
      <c r="H50" s="824">
        <f t="shared" si="4"/>
        <v>0.83299999999999996</v>
      </c>
      <c r="I50" s="824">
        <f t="shared" si="4"/>
        <v>0.86599999999999999</v>
      </c>
      <c r="J50" s="824">
        <f t="shared" si="4"/>
        <v>0</v>
      </c>
      <c r="K50" s="825" t="str">
        <f t="shared" si="5"/>
        <v>Transp. de Madeira roliça0,833XP+0,866XR+0</v>
      </c>
    </row>
    <row r="51" spans="1:11" s="821" customFormat="1" x14ac:dyDescent="0.2">
      <c r="A51" s="230">
        <v>1628</v>
      </c>
      <c r="B51" s="557" t="s">
        <v>1194</v>
      </c>
      <c r="C51" s="556" t="s">
        <v>985</v>
      </c>
      <c r="D51" s="823" t="s">
        <v>3262</v>
      </c>
      <c r="E51" s="864">
        <v>0.67600000000000005</v>
      </c>
      <c r="F51" s="864">
        <v>0.70299999999999996</v>
      </c>
      <c r="G51" s="864">
        <v>0</v>
      </c>
      <c r="H51" s="824">
        <f t="shared" si="4"/>
        <v>0.83299999999999996</v>
      </c>
      <c r="I51" s="824">
        <f t="shared" si="4"/>
        <v>0.86599999999999999</v>
      </c>
      <c r="J51" s="824">
        <f t="shared" si="4"/>
        <v>0</v>
      </c>
      <c r="K51" s="825" t="str">
        <f t="shared" si="5"/>
        <v>Transp. de Arame ovalado liso (cerca) 45 kg - 1000 m0,833XP+0,866XR+0</v>
      </c>
    </row>
    <row r="52" spans="1:11" s="821" customFormat="1" x14ac:dyDescent="0.2">
      <c r="A52" s="230">
        <v>1015</v>
      </c>
      <c r="B52" s="557" t="s">
        <v>1195</v>
      </c>
      <c r="C52" s="556" t="s">
        <v>985</v>
      </c>
      <c r="D52" s="823" t="s">
        <v>3262</v>
      </c>
      <c r="E52" s="864">
        <v>0.67600000000000005</v>
      </c>
      <c r="F52" s="864">
        <v>0.70299999999999996</v>
      </c>
      <c r="G52" s="864">
        <v>0</v>
      </c>
      <c r="H52" s="824">
        <f t="shared" si="4"/>
        <v>0.83299999999999996</v>
      </c>
      <c r="I52" s="824">
        <f t="shared" si="4"/>
        <v>0.86599999999999999</v>
      </c>
      <c r="J52" s="824">
        <f t="shared" si="4"/>
        <v>0</v>
      </c>
      <c r="K52" s="825" t="str">
        <f t="shared" si="5"/>
        <v>Transp. de Mourao p/ cerca (2,20m - D=0,10m) m. branca0,833XP+0,866XR+0</v>
      </c>
    </row>
    <row r="53" spans="1:11" s="821" customFormat="1" x14ac:dyDescent="0.2">
      <c r="A53" s="230">
        <v>1000</v>
      </c>
      <c r="B53" s="231" t="s">
        <v>1196</v>
      </c>
      <c r="C53" s="556" t="s">
        <v>985</v>
      </c>
      <c r="D53" s="823" t="s">
        <v>3262</v>
      </c>
      <c r="E53" s="864">
        <v>0.67600000000000005</v>
      </c>
      <c r="F53" s="864">
        <v>0.70299999999999996</v>
      </c>
      <c r="G53" s="864">
        <v>0</v>
      </c>
      <c r="H53" s="824">
        <f t="shared" si="4"/>
        <v>0.83299999999999996</v>
      </c>
      <c r="I53" s="824">
        <f t="shared" si="4"/>
        <v>0.86599999999999999</v>
      </c>
      <c r="J53" s="824">
        <f t="shared" si="4"/>
        <v>0</v>
      </c>
      <c r="K53" s="825" t="str">
        <f t="shared" si="5"/>
        <v>Transp. de Mourao p/ cerca (2,50m - D=0,20m) m. bran (estic.)0,833XP+0,866XR+0</v>
      </c>
    </row>
    <row r="54" spans="1:11" s="821" customFormat="1" x14ac:dyDescent="0.2">
      <c r="A54" s="230">
        <v>1153</v>
      </c>
      <c r="B54" s="231" t="s">
        <v>225</v>
      </c>
      <c r="C54" s="556" t="s">
        <v>985</v>
      </c>
      <c r="D54" s="823" t="s">
        <v>3262</v>
      </c>
      <c r="E54" s="864">
        <v>0.67600000000000005</v>
      </c>
      <c r="F54" s="864">
        <v>0.70299999999999996</v>
      </c>
      <c r="G54" s="864">
        <v>0</v>
      </c>
      <c r="H54" s="824">
        <f t="shared" si="4"/>
        <v>0.83299999999999996</v>
      </c>
      <c r="I54" s="824">
        <f t="shared" si="4"/>
        <v>0.86599999999999999</v>
      </c>
      <c r="J54" s="824">
        <f t="shared" si="4"/>
        <v>0</v>
      </c>
      <c r="K54" s="825" t="str">
        <f t="shared" si="5"/>
        <v>Transp. de Cimento0,833XP+0,866XR+0</v>
      </c>
    </row>
    <row r="55" spans="1:11" s="821" customFormat="1" x14ac:dyDescent="0.2">
      <c r="A55" s="230">
        <v>1162</v>
      </c>
      <c r="B55" s="231" t="s">
        <v>226</v>
      </c>
      <c r="C55" s="556" t="s">
        <v>985</v>
      </c>
      <c r="D55" s="823" t="s">
        <v>3260</v>
      </c>
      <c r="E55" s="864">
        <v>0.68100000000000005</v>
      </c>
      <c r="F55" s="864">
        <v>0.71</v>
      </c>
      <c r="G55" s="864">
        <v>2.8410000000000002</v>
      </c>
      <c r="H55" s="824">
        <f t="shared" si="4"/>
        <v>0.83899999999999997</v>
      </c>
      <c r="I55" s="824">
        <f t="shared" si="4"/>
        <v>0.875</v>
      </c>
      <c r="J55" s="824">
        <f t="shared" si="4"/>
        <v>3.5030000000000001</v>
      </c>
      <c r="K55" s="825" t="str">
        <f t="shared" si="5"/>
        <v>Transp. de Pedra britada p/ concreto0,839XP+0,875XR+3,503</v>
      </c>
    </row>
    <row r="56" spans="1:11" s="821" customFormat="1" x14ac:dyDescent="0.2">
      <c r="A56" s="230">
        <v>1115</v>
      </c>
      <c r="B56" s="231" t="s">
        <v>224</v>
      </c>
      <c r="C56" s="556" t="s">
        <v>985</v>
      </c>
      <c r="D56" s="823" t="s">
        <v>3262</v>
      </c>
      <c r="E56" s="864">
        <v>0.67600000000000005</v>
      </c>
      <c r="F56" s="864">
        <v>0.70299999999999996</v>
      </c>
      <c r="G56" s="864">
        <v>0</v>
      </c>
      <c r="H56" s="824">
        <f t="shared" si="4"/>
        <v>0.83299999999999996</v>
      </c>
      <c r="I56" s="824">
        <f t="shared" si="4"/>
        <v>0.86599999999999999</v>
      </c>
      <c r="J56" s="824">
        <f t="shared" si="4"/>
        <v>0</v>
      </c>
      <c r="K56" s="825" t="str">
        <f t="shared" si="5"/>
        <v>Transp. de Taipá de 1ª com 2,5 cm0,833XP+0,866XR+0</v>
      </c>
    </row>
    <row r="57" spans="1:11" s="821" customFormat="1" x14ac:dyDescent="0.2">
      <c r="A57" s="230">
        <v>1124</v>
      </c>
      <c r="B57" s="231" t="s">
        <v>1197</v>
      </c>
      <c r="C57" s="556" t="s">
        <v>985</v>
      </c>
      <c r="D57" s="823" t="s">
        <v>3261</v>
      </c>
      <c r="E57" s="864">
        <v>0.68100000000000005</v>
      </c>
      <c r="F57" s="864">
        <v>0.71</v>
      </c>
      <c r="G57" s="864">
        <v>0</v>
      </c>
      <c r="H57" s="824">
        <f t="shared" si="4"/>
        <v>0.83899999999999997</v>
      </c>
      <c r="I57" s="824">
        <f t="shared" si="4"/>
        <v>0.875</v>
      </c>
      <c r="J57" s="824">
        <f t="shared" si="4"/>
        <v>0</v>
      </c>
      <c r="K57" s="825" t="str">
        <f t="shared" si="5"/>
        <v>Transp. de Madeirit (ou similar) 2.20 X 1.10 - 17mm0,839XP+0,875XR+0</v>
      </c>
    </row>
    <row r="58" spans="1:11" s="821" customFormat="1" x14ac:dyDescent="0.2">
      <c r="A58" s="230">
        <v>1036</v>
      </c>
      <c r="B58" s="231" t="s">
        <v>234</v>
      </c>
      <c r="C58" s="228" t="s">
        <v>985</v>
      </c>
      <c r="D58" s="823" t="s">
        <v>3258</v>
      </c>
      <c r="E58" s="864">
        <v>0.436</v>
      </c>
      <c r="F58" s="864">
        <v>0.51600000000000001</v>
      </c>
      <c r="G58" s="864">
        <v>46.578000000000003</v>
      </c>
      <c r="H58" s="824">
        <f t="shared" si="4"/>
        <v>0.53700000000000003</v>
      </c>
      <c r="I58" s="824">
        <f t="shared" si="4"/>
        <v>0.63600000000000001</v>
      </c>
      <c r="J58" s="824">
        <f t="shared" si="4"/>
        <v>57.439</v>
      </c>
      <c r="K58" s="825" t="str">
        <f t="shared" si="5"/>
        <v>Transp. de Oleo combustível BPF - baixo pto. fusao0,537XP+0,636XR+57,439</v>
      </c>
    </row>
    <row r="59" spans="1:11" s="821" customFormat="1" x14ac:dyDescent="0.2">
      <c r="A59" s="230">
        <v>1134</v>
      </c>
      <c r="B59" s="231" t="s">
        <v>1198</v>
      </c>
      <c r="C59" s="556" t="s">
        <v>985</v>
      </c>
      <c r="D59" s="823" t="s">
        <v>3261</v>
      </c>
      <c r="E59" s="864">
        <v>0.68100000000000005</v>
      </c>
      <c r="F59" s="864">
        <v>0.71</v>
      </c>
      <c r="G59" s="864">
        <v>0</v>
      </c>
      <c r="H59" s="824">
        <f t="shared" si="4"/>
        <v>0.83899999999999997</v>
      </c>
      <c r="I59" s="824">
        <f t="shared" si="4"/>
        <v>0.875</v>
      </c>
      <c r="J59" s="824">
        <f t="shared" si="4"/>
        <v>0</v>
      </c>
      <c r="K59" s="825" t="str">
        <f t="shared" si="5"/>
        <v>Transp. de Madeira roliça (aprox. 8,00m - D=0,15m)0,839XP+0,875XR+0</v>
      </c>
    </row>
    <row r="60" spans="1:11" s="821" customFormat="1" x14ac:dyDescent="0.2">
      <c r="A60" s="230">
        <v>1661</v>
      </c>
      <c r="B60" s="231" t="s">
        <v>235</v>
      </c>
      <c r="C60" s="556" t="s">
        <v>985</v>
      </c>
      <c r="D60" s="823" t="s">
        <v>3261</v>
      </c>
      <c r="E60" s="864">
        <v>0.68100000000000005</v>
      </c>
      <c r="F60" s="864">
        <v>0.71</v>
      </c>
      <c r="G60" s="864">
        <v>0</v>
      </c>
      <c r="H60" s="824">
        <f t="shared" si="4"/>
        <v>0.83899999999999997</v>
      </c>
      <c r="I60" s="824">
        <f t="shared" si="4"/>
        <v>0.875</v>
      </c>
      <c r="J60" s="824">
        <f t="shared" si="4"/>
        <v>0</v>
      </c>
      <c r="K60" s="825" t="str">
        <f t="shared" si="5"/>
        <v>Transp. de Material termoplástico (SPRAY)0,839XP+0,875XR+0</v>
      </c>
    </row>
    <row r="61" spans="1:11" s="821" customFormat="1" x14ac:dyDescent="0.2">
      <c r="A61" s="230">
        <v>1155</v>
      </c>
      <c r="B61" s="231" t="s">
        <v>228</v>
      </c>
      <c r="C61" s="556" t="s">
        <v>985</v>
      </c>
      <c r="D61" s="823" t="s">
        <v>3261</v>
      </c>
      <c r="E61" s="864">
        <v>0.68100000000000005</v>
      </c>
      <c r="F61" s="864">
        <v>0.71</v>
      </c>
      <c r="G61" s="864">
        <v>0</v>
      </c>
      <c r="H61" s="824">
        <f t="shared" si="4"/>
        <v>0.83899999999999997</v>
      </c>
      <c r="I61" s="824">
        <f t="shared" si="4"/>
        <v>0.875</v>
      </c>
      <c r="J61" s="824">
        <f t="shared" si="4"/>
        <v>0</v>
      </c>
      <c r="K61" s="825" t="str">
        <f t="shared" si="5"/>
        <v>Transp. de Bloco p/ alvenaria 40 X 20 X 20 cm0,839XP+0,875XR+0</v>
      </c>
    </row>
    <row r="62" spans="1:11" s="821" customFormat="1" x14ac:dyDescent="0.2">
      <c r="A62" s="230">
        <v>1152</v>
      </c>
      <c r="B62" s="231" t="s">
        <v>238</v>
      </c>
      <c r="C62" s="556" t="s">
        <v>985</v>
      </c>
      <c r="D62" s="823" t="s">
        <v>3262</v>
      </c>
      <c r="E62" s="864">
        <v>0.67600000000000005</v>
      </c>
      <c r="F62" s="864">
        <v>0.70299999999999996</v>
      </c>
      <c r="G62" s="864">
        <v>0</v>
      </c>
      <c r="H62" s="824">
        <f t="shared" si="4"/>
        <v>0.83299999999999996</v>
      </c>
      <c r="I62" s="824">
        <f t="shared" si="4"/>
        <v>0.86599999999999999</v>
      </c>
      <c r="J62" s="824">
        <f t="shared" si="4"/>
        <v>0</v>
      </c>
      <c r="K62" s="825" t="str">
        <f t="shared" si="5"/>
        <v>Transp. de Lajota de 20 X 20 X 10 cm0,833XP+0,866XR+0</v>
      </c>
    </row>
    <row r="63" spans="1:11" s="821" customFormat="1" x14ac:dyDescent="0.2">
      <c r="A63" s="230">
        <v>1239</v>
      </c>
      <c r="B63" s="231" t="s">
        <v>1225</v>
      </c>
      <c r="C63" s="228" t="s">
        <v>3</v>
      </c>
      <c r="D63" s="823" t="s">
        <v>3260</v>
      </c>
      <c r="E63" s="864">
        <v>0.68100000000000005</v>
      </c>
      <c r="F63" s="864">
        <v>0.71</v>
      </c>
      <c r="G63" s="864">
        <v>2.8410000000000002</v>
      </c>
      <c r="H63" s="824">
        <f t="shared" si="4"/>
        <v>0.83899999999999997</v>
      </c>
      <c r="I63" s="824">
        <f t="shared" si="4"/>
        <v>0.875</v>
      </c>
      <c r="J63" s="824">
        <f t="shared" si="4"/>
        <v>3.5030000000000001</v>
      </c>
      <c r="K63" s="825" t="str">
        <f t="shared" si="5"/>
        <v>Transp. De Brita 2 (incl. 0% IUM) s/ frete0,839XP+0,875XR+3,503</v>
      </c>
    </row>
    <row r="64" spans="1:11" s="821" customFormat="1" x14ac:dyDescent="0.2">
      <c r="A64" s="230"/>
      <c r="B64" s="231"/>
      <c r="C64" s="228"/>
      <c r="D64" s="229"/>
      <c r="E64" s="864"/>
      <c r="F64" s="864"/>
      <c r="G64" s="864"/>
      <c r="H64" s="824"/>
      <c r="I64" s="824"/>
      <c r="J64" s="824"/>
      <c r="K64" s="825"/>
    </row>
    <row r="65" spans="1:11" s="821" customFormat="1" x14ac:dyDescent="0.2">
      <c r="A65" s="230"/>
      <c r="B65" s="231"/>
      <c r="C65" s="228"/>
      <c r="D65" s="229"/>
      <c r="E65" s="864"/>
      <c r="F65" s="864"/>
      <c r="G65" s="864"/>
      <c r="H65" s="824"/>
      <c r="I65" s="824"/>
      <c r="J65" s="824"/>
      <c r="K65" s="825"/>
    </row>
    <row r="66" spans="1:11" s="821" customFormat="1" x14ac:dyDescent="0.2">
      <c r="A66" s="230">
        <v>1028</v>
      </c>
      <c r="B66" s="231" t="s">
        <v>1171</v>
      </c>
      <c r="C66" s="228" t="s">
        <v>985</v>
      </c>
      <c r="D66" s="823" t="s">
        <v>3260</v>
      </c>
      <c r="E66" s="864">
        <v>0.68100000000000005</v>
      </c>
      <c r="F66" s="864">
        <v>0.71</v>
      </c>
      <c r="G66" s="864">
        <v>2.8410000000000002</v>
      </c>
      <c r="H66" s="824">
        <f t="shared" ref="H66:J79" si="6">+TRUNC(E66*(1+$B$3),3)</f>
        <v>0.83899999999999997</v>
      </c>
      <c r="I66" s="824">
        <f t="shared" si="6"/>
        <v>0.875</v>
      </c>
      <c r="J66" s="824">
        <f t="shared" si="6"/>
        <v>3.5030000000000001</v>
      </c>
      <c r="K66" s="825" t="str">
        <f t="shared" ref="K66:K79" si="7">+CONCATENATE(B66,H66,$H$5,$I$1,I66,$I$5,$I$1,J66)</f>
        <v>Transporte de Brita Gadruada0,839XP+0,875XR+3,503</v>
      </c>
    </row>
    <row r="67" spans="1:11" s="821" customFormat="1" x14ac:dyDescent="0.2">
      <c r="A67" s="230">
        <v>1032</v>
      </c>
      <c r="B67" s="231" t="s">
        <v>1172</v>
      </c>
      <c r="C67" s="556" t="s">
        <v>985</v>
      </c>
      <c r="D67" s="823" t="s">
        <v>3262</v>
      </c>
      <c r="E67" s="864">
        <v>0.67600000000000005</v>
      </c>
      <c r="F67" s="864">
        <v>0.70299999999999996</v>
      </c>
      <c r="G67" s="864">
        <v>0</v>
      </c>
      <c r="H67" s="824">
        <f t="shared" si="6"/>
        <v>0.83299999999999996</v>
      </c>
      <c r="I67" s="824">
        <f t="shared" si="6"/>
        <v>0.86599999999999999</v>
      </c>
      <c r="J67" s="824">
        <f t="shared" si="6"/>
        <v>0</v>
      </c>
      <c r="K67" s="825" t="str">
        <f t="shared" si="7"/>
        <v>Transporte de Filler0,833XP+0,866XR+0</v>
      </c>
    </row>
    <row r="68" spans="1:11" s="821" customFormat="1" x14ac:dyDescent="0.2">
      <c r="A68" s="230">
        <v>1029</v>
      </c>
      <c r="B68" s="231" t="s">
        <v>1173</v>
      </c>
      <c r="C68" s="228" t="s">
        <v>985</v>
      </c>
      <c r="D68" s="823" t="s">
        <v>3260</v>
      </c>
      <c r="E68" s="864">
        <v>0.68100000000000005</v>
      </c>
      <c r="F68" s="864">
        <v>0.71</v>
      </c>
      <c r="G68" s="864">
        <v>2.8410000000000002</v>
      </c>
      <c r="H68" s="824">
        <f t="shared" si="6"/>
        <v>0.83899999999999997</v>
      </c>
      <c r="I68" s="824">
        <f t="shared" si="6"/>
        <v>0.875</v>
      </c>
      <c r="J68" s="824">
        <f t="shared" si="6"/>
        <v>3.5030000000000001</v>
      </c>
      <c r="K68" s="825" t="str">
        <f t="shared" si="7"/>
        <v>Transporte de pó de pedra (Incl. 0% IUM) s/ frete0,839XP+0,875XR+3,503</v>
      </c>
    </row>
    <row r="69" spans="1:11" s="821" customFormat="1" x14ac:dyDescent="0.2">
      <c r="A69" s="230">
        <v>1093</v>
      </c>
      <c r="B69" s="231" t="s">
        <v>1174</v>
      </c>
      <c r="C69" s="556" t="s">
        <v>985</v>
      </c>
      <c r="D69" s="823" t="s">
        <v>3260</v>
      </c>
      <c r="E69" s="864">
        <v>0.68100000000000005</v>
      </c>
      <c r="F69" s="864">
        <v>0.71</v>
      </c>
      <c r="G69" s="864">
        <v>2.8410000000000002</v>
      </c>
      <c r="H69" s="824">
        <f t="shared" si="6"/>
        <v>0.83899999999999997</v>
      </c>
      <c r="I69" s="824">
        <f t="shared" si="6"/>
        <v>0.875</v>
      </c>
      <c r="J69" s="824">
        <f t="shared" si="6"/>
        <v>3.5030000000000001</v>
      </c>
      <c r="K69" s="825" t="str">
        <f t="shared" si="7"/>
        <v>Transporte de areia suja jazida c/ carregamento mecânico0,839XP+0,875XR+3,503</v>
      </c>
    </row>
    <row r="70" spans="1:11" s="821" customFormat="1" x14ac:dyDescent="0.2">
      <c r="A70" s="230">
        <v>1026</v>
      </c>
      <c r="B70" s="231" t="s">
        <v>1175</v>
      </c>
      <c r="C70" s="556" t="s">
        <v>985</v>
      </c>
      <c r="D70" s="823" t="s">
        <v>3260</v>
      </c>
      <c r="E70" s="864">
        <v>0.68100000000000005</v>
      </c>
      <c r="F70" s="864">
        <v>0.71</v>
      </c>
      <c r="G70" s="864">
        <v>2.8410000000000002</v>
      </c>
      <c r="H70" s="824">
        <f t="shared" si="6"/>
        <v>0.83899999999999997</v>
      </c>
      <c r="I70" s="824">
        <f t="shared" si="6"/>
        <v>0.875</v>
      </c>
      <c r="J70" s="824">
        <f t="shared" si="6"/>
        <v>3.5030000000000001</v>
      </c>
      <c r="K70" s="825" t="str">
        <f t="shared" si="7"/>
        <v>Transporte de areia grossa jazida c/ carregamento mecânico0,839XP+0,875XR+3,503</v>
      </c>
    </row>
    <row r="71" spans="1:11" s="821" customFormat="1" x14ac:dyDescent="0.2">
      <c r="A71" s="230">
        <v>1605</v>
      </c>
      <c r="B71" s="231" t="s">
        <v>1176</v>
      </c>
      <c r="C71" s="556" t="s">
        <v>985</v>
      </c>
      <c r="D71" s="823" t="s">
        <v>3260</v>
      </c>
      <c r="E71" s="864">
        <v>0.68100000000000005</v>
      </c>
      <c r="F71" s="864">
        <v>0.71</v>
      </c>
      <c r="G71" s="864">
        <v>2.8410000000000002</v>
      </c>
      <c r="H71" s="824">
        <f t="shared" si="6"/>
        <v>0.83899999999999997</v>
      </c>
      <c r="I71" s="824">
        <f t="shared" si="6"/>
        <v>0.875</v>
      </c>
      <c r="J71" s="824">
        <f t="shared" si="6"/>
        <v>3.5030000000000001</v>
      </c>
      <c r="K71" s="825" t="str">
        <f t="shared" si="7"/>
        <v>Transporte de bloco p/ pavimentação - esp= 8 cm0,839XP+0,875XR+3,503</v>
      </c>
    </row>
    <row r="72" spans="1:11" s="821" customFormat="1" x14ac:dyDescent="0.2">
      <c r="A72" s="230">
        <v>1014</v>
      </c>
      <c r="B72" s="231" t="s">
        <v>1177</v>
      </c>
      <c r="C72" s="556" t="s">
        <v>985</v>
      </c>
      <c r="D72" s="823" t="s">
        <v>3262</v>
      </c>
      <c r="E72" s="864">
        <v>0.67600000000000005</v>
      </c>
      <c r="F72" s="864">
        <v>0.70299999999999996</v>
      </c>
      <c r="G72" s="864">
        <v>0</v>
      </c>
      <c r="H72" s="824">
        <f t="shared" si="6"/>
        <v>0.83299999999999996</v>
      </c>
      <c r="I72" s="824">
        <f t="shared" si="6"/>
        <v>0.86599999999999999</v>
      </c>
      <c r="J72" s="824">
        <f t="shared" si="6"/>
        <v>0</v>
      </c>
      <c r="K72" s="825" t="str">
        <f t="shared" si="7"/>
        <v>Transporte de Grama0,833XP+0,866XR+0</v>
      </c>
    </row>
    <row r="73" spans="1:11" s="821" customFormat="1" x14ac:dyDescent="0.2">
      <c r="A73" s="230">
        <v>1649</v>
      </c>
      <c r="B73" s="231" t="s">
        <v>1178</v>
      </c>
      <c r="C73" s="556" t="s">
        <v>985</v>
      </c>
      <c r="D73" s="823" t="s">
        <v>3261</v>
      </c>
      <c r="E73" s="864">
        <v>0.68100000000000005</v>
      </c>
      <c r="F73" s="864">
        <v>0.71</v>
      </c>
      <c r="G73" s="864">
        <v>0</v>
      </c>
      <c r="H73" s="824">
        <f t="shared" si="6"/>
        <v>0.83899999999999997</v>
      </c>
      <c r="I73" s="824">
        <f t="shared" si="6"/>
        <v>0.875</v>
      </c>
      <c r="J73" s="824">
        <f t="shared" si="6"/>
        <v>0</v>
      </c>
      <c r="K73" s="825" t="str">
        <f t="shared" si="7"/>
        <v>Transporte de Muda de árvore0,839XP+0,875XR+0</v>
      </c>
    </row>
    <row r="74" spans="1:11" s="821" customFormat="1" x14ac:dyDescent="0.2">
      <c r="A74" s="230">
        <v>1087</v>
      </c>
      <c r="B74" s="231" t="s">
        <v>1179</v>
      </c>
      <c r="C74" s="556" t="s">
        <v>985</v>
      </c>
      <c r="D74" s="823" t="s">
        <v>3261</v>
      </c>
      <c r="E74" s="864">
        <v>0.68100000000000005</v>
      </c>
      <c r="F74" s="864">
        <v>0.71</v>
      </c>
      <c r="G74" s="864">
        <v>0</v>
      </c>
      <c r="H74" s="824">
        <f t="shared" si="6"/>
        <v>0.83899999999999997</v>
      </c>
      <c r="I74" s="824">
        <f t="shared" si="6"/>
        <v>0.875</v>
      </c>
      <c r="J74" s="824">
        <f t="shared" si="6"/>
        <v>0</v>
      </c>
      <c r="K74" s="825" t="str">
        <f t="shared" si="7"/>
        <v>Transporte de Caibros 8 X 8 cm0,839XP+0,875XR+0</v>
      </c>
    </row>
    <row r="75" spans="1:11" s="821" customFormat="1" x14ac:dyDescent="0.2">
      <c r="A75" s="230">
        <v>1150</v>
      </c>
      <c r="B75" s="231" t="s">
        <v>1180</v>
      </c>
      <c r="C75" s="556" t="s">
        <v>985</v>
      </c>
      <c r="D75" s="823" t="s">
        <v>3261</v>
      </c>
      <c r="E75" s="864">
        <v>0.68100000000000005</v>
      </c>
      <c r="F75" s="864">
        <v>0.71</v>
      </c>
      <c r="G75" s="864">
        <v>0</v>
      </c>
      <c r="H75" s="824">
        <f t="shared" si="6"/>
        <v>0.83899999999999997</v>
      </c>
      <c r="I75" s="824">
        <f t="shared" si="6"/>
        <v>0.875</v>
      </c>
      <c r="J75" s="824">
        <f t="shared" si="6"/>
        <v>0</v>
      </c>
      <c r="K75" s="825" t="str">
        <f t="shared" si="7"/>
        <v>Transporte de Pedra de mao (incl. 0% IUM) s/ frete0,839XP+0,875XR+0</v>
      </c>
    </row>
    <row r="76" spans="1:11" s="821" customFormat="1" x14ac:dyDescent="0.2">
      <c r="A76" s="230">
        <v>1095</v>
      </c>
      <c r="B76" s="231" t="s">
        <v>1181</v>
      </c>
      <c r="C76" s="556" t="s">
        <v>985</v>
      </c>
      <c r="D76" s="823" t="s">
        <v>3262</v>
      </c>
      <c r="E76" s="864">
        <v>0.67600000000000005</v>
      </c>
      <c r="F76" s="864">
        <v>0.70299999999999996</v>
      </c>
      <c r="G76" s="864">
        <v>0</v>
      </c>
      <c r="H76" s="824">
        <f t="shared" si="6"/>
        <v>0.83299999999999996</v>
      </c>
      <c r="I76" s="824">
        <f t="shared" si="6"/>
        <v>0.86599999999999999</v>
      </c>
      <c r="J76" s="824">
        <f t="shared" si="6"/>
        <v>0</v>
      </c>
      <c r="K76" s="825" t="str">
        <f t="shared" si="7"/>
        <v>Transporte de Caibros 8 X 8 cm (pontalete)0,833XP+0,866XR+0</v>
      </c>
    </row>
    <row r="77" spans="1:11" s="821" customFormat="1" x14ac:dyDescent="0.2">
      <c r="A77" s="230">
        <v>1096</v>
      </c>
      <c r="B77" s="231" t="s">
        <v>1182</v>
      </c>
      <c r="C77" s="556" t="s">
        <v>985</v>
      </c>
      <c r="D77" s="823" t="s">
        <v>3262</v>
      </c>
      <c r="E77" s="864">
        <v>0.67600000000000005</v>
      </c>
      <c r="F77" s="864">
        <v>0.70299999999999996</v>
      </c>
      <c r="G77" s="864">
        <v>0</v>
      </c>
      <c r="H77" s="824">
        <f t="shared" si="6"/>
        <v>0.83299999999999996</v>
      </c>
      <c r="I77" s="824">
        <f t="shared" si="6"/>
        <v>0.86599999999999999</v>
      </c>
      <c r="J77" s="824">
        <f t="shared" si="6"/>
        <v>0</v>
      </c>
      <c r="K77" s="825" t="str">
        <f t="shared" si="7"/>
        <v>Transporte de Sarrafo 10 X 2,5 cm0,833XP+0,866XR+0</v>
      </c>
    </row>
    <row r="78" spans="1:11" s="821" customFormat="1" x14ac:dyDescent="0.2">
      <c r="A78" s="230">
        <v>1094</v>
      </c>
      <c r="B78" s="231" t="s">
        <v>1183</v>
      </c>
      <c r="C78" s="556" t="s">
        <v>985</v>
      </c>
      <c r="D78" s="823" t="s">
        <v>3262</v>
      </c>
      <c r="E78" s="864">
        <v>0.67600000000000005</v>
      </c>
      <c r="F78" s="864">
        <v>0.70299999999999996</v>
      </c>
      <c r="G78" s="864">
        <v>0</v>
      </c>
      <c r="H78" s="824">
        <f t="shared" si="6"/>
        <v>0.83299999999999996</v>
      </c>
      <c r="I78" s="824">
        <f t="shared" si="6"/>
        <v>0.86599999999999999</v>
      </c>
      <c r="J78" s="824">
        <f t="shared" si="6"/>
        <v>0</v>
      </c>
      <c r="K78" s="825" t="str">
        <f t="shared" si="7"/>
        <v>Transporte de Tábuas de 2,5 cm0,833XP+0,866XR+0</v>
      </c>
    </row>
    <row r="79" spans="1:11" s="821" customFormat="1" x14ac:dyDescent="0.2">
      <c r="A79" s="304">
        <v>1614</v>
      </c>
      <c r="B79" s="821" t="s">
        <v>1211</v>
      </c>
      <c r="C79" s="304" t="s">
        <v>3</v>
      </c>
      <c r="D79" s="823" t="s">
        <v>3260</v>
      </c>
      <c r="E79" s="864">
        <v>0.68100000000000005</v>
      </c>
      <c r="F79" s="864">
        <v>0.71</v>
      </c>
      <c r="G79" s="864">
        <v>2.8410000000000002</v>
      </c>
      <c r="H79" s="824">
        <f t="shared" si="6"/>
        <v>0.83899999999999997</v>
      </c>
      <c r="I79" s="824">
        <f t="shared" si="6"/>
        <v>0.875</v>
      </c>
      <c r="J79" s="824">
        <f t="shared" si="6"/>
        <v>3.5030000000000001</v>
      </c>
      <c r="K79" s="825" t="str">
        <f t="shared" si="7"/>
        <v>Transporte de pedra portuguesa (só a pedra)0,839XP+0,875XR+3,503</v>
      </c>
    </row>
    <row r="80" spans="1:11" x14ac:dyDescent="0.2">
      <c r="E80" s="864"/>
      <c r="F80" s="864"/>
      <c r="G80" s="864"/>
    </row>
    <row r="81" spans="1:11" x14ac:dyDescent="0.2">
      <c r="A81" s="223">
        <v>1081</v>
      </c>
      <c r="B81" s="223" t="s">
        <v>1817</v>
      </c>
      <c r="C81" s="225" t="s">
        <v>3</v>
      </c>
      <c r="D81" s="823" t="s">
        <v>3261</v>
      </c>
      <c r="E81" s="864">
        <v>0.68100000000000005</v>
      </c>
      <c r="F81" s="864">
        <v>0.71</v>
      </c>
      <c r="G81" s="864">
        <v>0</v>
      </c>
      <c r="H81" s="824">
        <f t="shared" ref="H81:J86" si="8">+TRUNC(E81*(1+$B$3),3)</f>
        <v>0.83899999999999997</v>
      </c>
      <c r="I81" s="824">
        <f t="shared" si="8"/>
        <v>0.875</v>
      </c>
      <c r="J81" s="824">
        <f t="shared" si="8"/>
        <v>0</v>
      </c>
      <c r="K81" s="825" t="str">
        <f>+CONCATENATE(B81,H81,$H$5,$I$1,I81,$I$5,$I$1,J81)</f>
        <v>Transp. de Meio fio 12 X 30 X 15 cm X 1 m0,839XP+0,875XR+0</v>
      </c>
    </row>
    <row r="82" spans="1:11" x14ac:dyDescent="0.2">
      <c r="A82" s="223">
        <v>1354</v>
      </c>
      <c r="B82" s="223" t="s">
        <v>1818</v>
      </c>
      <c r="C82" s="225" t="s">
        <v>3</v>
      </c>
      <c r="D82" s="823" t="s">
        <v>3261</v>
      </c>
      <c r="E82" s="864">
        <v>0.68100000000000005</v>
      </c>
      <c r="F82" s="864">
        <v>0.71</v>
      </c>
      <c r="G82" s="864">
        <v>0</v>
      </c>
      <c r="H82" s="824">
        <f t="shared" si="8"/>
        <v>0.83899999999999997</v>
      </c>
      <c r="I82" s="824">
        <f t="shared" si="8"/>
        <v>0.875</v>
      </c>
      <c r="J82" s="824">
        <f t="shared" si="8"/>
        <v>0</v>
      </c>
      <c r="K82" s="825" t="str">
        <f>+CONCATENATE(B82,H82,$H$5,$I$1,I82,$I$5,$I$1,J82)</f>
        <v>Transp. de Caixa ralo sup e inf p/ carga média0,839XP+0,875XR+0</v>
      </c>
    </row>
    <row r="83" spans="1:11" s="821" customFormat="1" x14ac:dyDescent="0.2">
      <c r="A83" s="821">
        <v>1352</v>
      </c>
      <c r="B83" s="821" t="s">
        <v>1819</v>
      </c>
      <c r="C83" s="304" t="s">
        <v>3</v>
      </c>
      <c r="D83" s="823" t="s">
        <v>3262</v>
      </c>
      <c r="E83" s="864">
        <v>0.67600000000000005</v>
      </c>
      <c r="F83" s="864">
        <v>0.70299999999999996</v>
      </c>
      <c r="G83" s="864">
        <v>0</v>
      </c>
      <c r="H83" s="824">
        <f t="shared" si="8"/>
        <v>0.83299999999999996</v>
      </c>
      <c r="I83" s="824">
        <f t="shared" si="8"/>
        <v>0.86599999999999999</v>
      </c>
      <c r="J83" s="824">
        <f t="shared" si="8"/>
        <v>0</v>
      </c>
      <c r="K83" s="825" t="str">
        <f>+CONCATENATE(B83,H83,$H$5,$I$1,I83,$I$5,$I$1,J83)</f>
        <v>Transp. de Grelha e caixilho de concreto (cx. ralo)0,833XP+0,866XR+0</v>
      </c>
    </row>
    <row r="84" spans="1:11" s="821" customFormat="1" x14ac:dyDescent="0.2">
      <c r="A84" s="821">
        <v>1607</v>
      </c>
      <c r="B84" s="821" t="s">
        <v>1820</v>
      </c>
      <c r="C84" s="304" t="s">
        <v>3</v>
      </c>
      <c r="D84" s="823" t="s">
        <v>3260</v>
      </c>
      <c r="E84" s="864">
        <v>0.68100000000000005</v>
      </c>
      <c r="F84" s="864">
        <v>0.71</v>
      </c>
      <c r="G84" s="864">
        <v>2.8410000000000002</v>
      </c>
      <c r="H84" s="824">
        <f t="shared" si="8"/>
        <v>0.83899999999999997</v>
      </c>
      <c r="I84" s="824">
        <f t="shared" si="8"/>
        <v>0.875</v>
      </c>
      <c r="J84" s="825">
        <f t="shared" si="8"/>
        <v>3.5030000000000001</v>
      </c>
      <c r="K84" s="825" t="str">
        <f>+CONCATENATE(B84,H84,$H$5,$I$1,I84,$I$5,$I$1,J84)</f>
        <v>Trans. de Bloco p/ pavimentação - esp=10 cm0,839XP+0,875XR+3,503</v>
      </c>
    </row>
    <row r="85" spans="1:11" s="821" customFormat="1" x14ac:dyDescent="0.2">
      <c r="A85" s="821">
        <v>1227</v>
      </c>
      <c r="B85" s="821" t="s">
        <v>1866</v>
      </c>
      <c r="C85" s="304" t="s">
        <v>3</v>
      </c>
      <c r="D85" s="823" t="s">
        <v>3262</v>
      </c>
      <c r="E85" s="864">
        <v>0.67600000000000005</v>
      </c>
      <c r="F85" s="864">
        <v>0.70299999999999996</v>
      </c>
      <c r="G85" s="864">
        <v>0</v>
      </c>
      <c r="H85" s="824">
        <f t="shared" si="8"/>
        <v>0.83299999999999996</v>
      </c>
      <c r="I85" s="824">
        <f t="shared" si="8"/>
        <v>0.86599999999999999</v>
      </c>
      <c r="J85" s="824">
        <f t="shared" si="8"/>
        <v>0</v>
      </c>
      <c r="K85" s="825" t="str">
        <f t="shared" ref="K85:K86" si="9">+CONCATENATE(B85,H85,$H$5,$I$1,I85,$I$5,$I$1,J85)</f>
        <v>Transp. de Silica ativa (micro-silica) saco 15 kg0,833XP+0,866XR+0</v>
      </c>
    </row>
    <row r="86" spans="1:11" s="821" customFormat="1" x14ac:dyDescent="0.2">
      <c r="A86" s="821">
        <v>1213</v>
      </c>
      <c r="B86" s="821" t="s">
        <v>1867</v>
      </c>
      <c r="C86" s="304" t="s">
        <v>3</v>
      </c>
      <c r="D86" s="823" t="s">
        <v>3262</v>
      </c>
      <c r="E86" s="864">
        <v>0.67600000000000005</v>
      </c>
      <c r="F86" s="864">
        <v>0.70299999999999996</v>
      </c>
      <c r="G86" s="864">
        <v>0</v>
      </c>
      <c r="H86" s="824">
        <f t="shared" si="8"/>
        <v>0.83299999999999996</v>
      </c>
      <c r="I86" s="824">
        <f t="shared" si="8"/>
        <v>0.86599999999999999</v>
      </c>
      <c r="J86" s="824">
        <f t="shared" si="8"/>
        <v>0</v>
      </c>
      <c r="K86" s="825" t="str">
        <f t="shared" si="9"/>
        <v>Transp. de Placa neoprene (18% I.P.I. eembalagem)0,833XP+0,866XR+0</v>
      </c>
    </row>
    <row r="87" spans="1:11" s="821" customFormat="1" x14ac:dyDescent="0.2">
      <c r="C87" s="304"/>
    </row>
  </sheetData>
  <mergeCells count="3">
    <mergeCell ref="E4:G4"/>
    <mergeCell ref="H4:J4"/>
    <mergeCell ref="K4:K5"/>
  </mergeCells>
  <pageMargins left="0.51181102362204722" right="0.51181102362204722" top="0.78740157480314965" bottom="0.78740157480314965" header="0.31496062992125984" footer="0.31496062992125984"/>
  <pageSetup paperSize="9" scale="4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K22"/>
  <sheetViews>
    <sheetView zoomScale="90" zoomScaleNormal="90" workbookViewId="0">
      <selection activeCell="G4" sqref="G4"/>
    </sheetView>
  </sheetViews>
  <sheetFormatPr defaultColWidth="9" defaultRowHeight="14.25" x14ac:dyDescent="0.2"/>
  <cols>
    <col min="1" max="1" width="9" style="416"/>
    <col min="2" max="2" width="25.5" style="416" customWidth="1"/>
    <col min="3" max="3" width="28.875" style="416" hidden="1" customWidth="1"/>
    <col min="4" max="4" width="19.5" style="416" customWidth="1"/>
    <col min="5" max="6" width="9" style="417"/>
    <col min="7" max="7" width="10.25" style="418" customWidth="1"/>
    <col min="8" max="16384" width="9" style="416"/>
  </cols>
  <sheetData>
    <row r="1" spans="2:11" ht="20.100000000000001" customHeight="1" x14ac:dyDescent="0.2"/>
    <row r="2" spans="2:11" ht="20.100000000000001" customHeight="1" x14ac:dyDescent="0.2">
      <c r="B2" s="1114" t="s">
        <v>63</v>
      </c>
      <c r="C2" s="1114" t="s">
        <v>114</v>
      </c>
      <c r="D2" s="1114" t="s">
        <v>126</v>
      </c>
      <c r="E2" s="1115" t="s">
        <v>1029</v>
      </c>
      <c r="F2" s="1115"/>
      <c r="G2" s="1114" t="s">
        <v>227</v>
      </c>
    </row>
    <row r="3" spans="2:11" ht="20.100000000000001" customHeight="1" x14ac:dyDescent="0.2">
      <c r="B3" s="1114"/>
      <c r="C3" s="1114"/>
      <c r="D3" s="1114"/>
      <c r="E3" s="522" t="s">
        <v>21</v>
      </c>
      <c r="F3" s="522" t="s">
        <v>20</v>
      </c>
      <c r="G3" s="1114"/>
    </row>
    <row r="4" spans="2:11" s="625" customFormat="1" ht="20.100000000000001" customHeight="1" x14ac:dyDescent="0.2">
      <c r="B4" s="622" t="s">
        <v>115</v>
      </c>
      <c r="C4" s="622" t="s">
        <v>1109</v>
      </c>
      <c r="D4" s="622" t="s">
        <v>1114</v>
      </c>
      <c r="E4" s="623">
        <v>10</v>
      </c>
      <c r="F4" s="623">
        <v>5.6</v>
      </c>
      <c r="G4" s="624">
        <v>60002</v>
      </c>
    </row>
    <row r="5" spans="2:11" s="523" customFormat="1" ht="20.100000000000001" customHeight="1" x14ac:dyDescent="0.2">
      <c r="B5" s="525" t="s">
        <v>1059</v>
      </c>
      <c r="C5" s="525"/>
      <c r="D5" s="526" t="s">
        <v>1115</v>
      </c>
      <c r="E5" s="527">
        <v>37.200000000000003</v>
      </c>
      <c r="F5" s="527">
        <v>5.6</v>
      </c>
      <c r="G5" s="528"/>
      <c r="I5" s="681"/>
      <c r="J5" s="681"/>
      <c r="K5" s="681"/>
    </row>
    <row r="6" spans="2:11" s="523" customFormat="1" ht="20.100000000000001" customHeight="1" x14ac:dyDescent="0.2">
      <c r="B6" s="526" t="s">
        <v>116</v>
      </c>
      <c r="C6" s="526" t="s">
        <v>119</v>
      </c>
      <c r="D6" s="526" t="s">
        <v>127</v>
      </c>
      <c r="E6" s="529">
        <v>159</v>
      </c>
      <c r="F6" s="529">
        <v>5.6</v>
      </c>
      <c r="G6" s="530">
        <v>60002</v>
      </c>
    </row>
    <row r="7" spans="2:11" s="523" customFormat="1" ht="20.100000000000001" customHeight="1" x14ac:dyDescent="0.2">
      <c r="B7" s="526" t="s">
        <v>1056</v>
      </c>
      <c r="C7" s="526" t="s">
        <v>1057</v>
      </c>
      <c r="D7" s="526" t="s">
        <v>1115</v>
      </c>
      <c r="E7" s="527">
        <v>37.200000000000003</v>
      </c>
      <c r="F7" s="527">
        <v>5.6</v>
      </c>
      <c r="G7" s="530"/>
    </row>
    <row r="8" spans="2:11" s="523" customFormat="1" ht="20.100000000000001" customHeight="1" x14ac:dyDescent="0.2">
      <c r="B8" s="526" t="s">
        <v>174</v>
      </c>
      <c r="C8" s="526" t="s">
        <v>178</v>
      </c>
      <c r="D8" s="526" t="s">
        <v>1115</v>
      </c>
      <c r="E8" s="527">
        <v>37.200000000000003</v>
      </c>
      <c r="F8" s="527">
        <v>5.6</v>
      </c>
      <c r="G8" s="530">
        <v>60004</v>
      </c>
    </row>
    <row r="9" spans="2:11" s="523" customFormat="1" ht="20.100000000000001" customHeight="1" x14ac:dyDescent="0.2">
      <c r="B9" s="526" t="s">
        <v>239</v>
      </c>
      <c r="C9" s="526" t="s">
        <v>129</v>
      </c>
      <c r="D9" s="526" t="s">
        <v>1115</v>
      </c>
      <c r="E9" s="527">
        <v>37.200000000000003</v>
      </c>
      <c r="F9" s="527">
        <v>5.6</v>
      </c>
      <c r="G9" s="530">
        <v>60004</v>
      </c>
    </row>
    <row r="10" spans="2:11" s="523" customFormat="1" ht="20.100000000000001" customHeight="1" x14ac:dyDescent="0.2">
      <c r="B10" s="526" t="s">
        <v>120</v>
      </c>
      <c r="C10" s="526"/>
      <c r="D10" s="526" t="s">
        <v>1115</v>
      </c>
      <c r="E10" s="527">
        <v>37.200000000000003</v>
      </c>
      <c r="F10" s="527">
        <v>5.6</v>
      </c>
      <c r="G10" s="530"/>
    </row>
    <row r="11" spans="2:11" s="523" customFormat="1" ht="20.100000000000001" customHeight="1" x14ac:dyDescent="0.2">
      <c r="B11" s="526" t="s">
        <v>1060</v>
      </c>
      <c r="C11" s="531"/>
      <c r="D11" s="526" t="s">
        <v>130</v>
      </c>
      <c r="E11" s="529">
        <v>159</v>
      </c>
      <c r="F11" s="529">
        <v>5.6</v>
      </c>
      <c r="G11" s="530">
        <v>60004</v>
      </c>
    </row>
    <row r="12" spans="2:11" s="523" customFormat="1" ht="20.100000000000001" customHeight="1" x14ac:dyDescent="0.2">
      <c r="B12" s="526" t="s">
        <v>125</v>
      </c>
      <c r="C12" s="531"/>
      <c r="D12" s="526" t="s">
        <v>1115</v>
      </c>
      <c r="E12" s="527">
        <v>37.200000000000003</v>
      </c>
      <c r="F12" s="527">
        <v>5.6</v>
      </c>
      <c r="G12" s="530">
        <v>60004</v>
      </c>
    </row>
    <row r="13" spans="2:11" s="523" customFormat="1" ht="20.100000000000001" customHeight="1" x14ac:dyDescent="0.2">
      <c r="B13" s="526" t="s">
        <v>122</v>
      </c>
      <c r="C13" s="526" t="s">
        <v>132</v>
      </c>
      <c r="D13" s="576" t="s">
        <v>128</v>
      </c>
      <c r="E13" s="529">
        <v>159</v>
      </c>
      <c r="F13" s="529">
        <v>5.6</v>
      </c>
      <c r="G13" s="530">
        <v>60004</v>
      </c>
    </row>
    <row r="14" spans="2:11" s="523" customFormat="1" ht="20.100000000000001" customHeight="1" x14ac:dyDescent="0.2">
      <c r="B14" s="526" t="s">
        <v>123</v>
      </c>
      <c r="C14" s="531"/>
      <c r="D14" s="577" t="s">
        <v>1113</v>
      </c>
      <c r="E14" s="529">
        <v>159</v>
      </c>
      <c r="F14" s="529">
        <v>5.6</v>
      </c>
      <c r="G14" s="530">
        <v>60004</v>
      </c>
    </row>
    <row r="15" spans="2:11" s="523" customFormat="1" ht="20.100000000000001" customHeight="1" x14ac:dyDescent="0.2">
      <c r="B15" s="526" t="s">
        <v>121</v>
      </c>
      <c r="C15" s="526" t="s">
        <v>129</v>
      </c>
      <c r="D15" s="526" t="s">
        <v>1115</v>
      </c>
      <c r="E15" s="527">
        <v>37.200000000000003</v>
      </c>
      <c r="F15" s="527">
        <v>5.6</v>
      </c>
      <c r="G15" s="530">
        <v>60004</v>
      </c>
    </row>
    <row r="16" spans="2:11" s="523" customFormat="1" ht="20.100000000000001" customHeight="1" x14ac:dyDescent="0.2">
      <c r="B16" s="526" t="s">
        <v>131</v>
      </c>
      <c r="C16" s="526"/>
      <c r="D16" s="526" t="s">
        <v>1110</v>
      </c>
      <c r="E16" s="529">
        <v>411.8</v>
      </c>
      <c r="F16" s="529">
        <v>5.7</v>
      </c>
      <c r="G16" s="530">
        <v>60007</v>
      </c>
    </row>
    <row r="17" spans="2:7" s="523" customFormat="1" ht="20.100000000000001" customHeight="1" x14ac:dyDescent="0.2">
      <c r="B17" s="526" t="s">
        <v>117</v>
      </c>
      <c r="C17" s="526" t="s">
        <v>1112</v>
      </c>
      <c r="D17" s="526" t="s">
        <v>1115</v>
      </c>
      <c r="E17" s="527">
        <v>37.200000000000003</v>
      </c>
      <c r="F17" s="527">
        <v>5.6</v>
      </c>
      <c r="G17" s="530">
        <v>60002</v>
      </c>
    </row>
    <row r="18" spans="2:7" s="523" customFormat="1" ht="20.100000000000001" customHeight="1" x14ac:dyDescent="0.2">
      <c r="B18" s="526" t="s">
        <v>1058</v>
      </c>
      <c r="C18" s="526"/>
      <c r="D18" s="526" t="s">
        <v>1115</v>
      </c>
      <c r="E18" s="527">
        <v>37.200000000000003</v>
      </c>
      <c r="F18" s="527">
        <v>5.6</v>
      </c>
      <c r="G18" s="530"/>
    </row>
    <row r="19" spans="2:7" s="523" customFormat="1" ht="20.100000000000001" customHeight="1" x14ac:dyDescent="0.2">
      <c r="B19" s="526" t="s">
        <v>118</v>
      </c>
      <c r="C19" s="526"/>
      <c r="D19" s="526" t="s">
        <v>1115</v>
      </c>
      <c r="E19" s="527">
        <v>37.200000000000003</v>
      </c>
      <c r="F19" s="527">
        <v>5.6</v>
      </c>
      <c r="G19" s="530">
        <v>60004</v>
      </c>
    </row>
    <row r="20" spans="2:7" s="523" customFormat="1" ht="20.100000000000001" customHeight="1" x14ac:dyDescent="0.2">
      <c r="B20" s="526" t="s">
        <v>113</v>
      </c>
      <c r="C20" s="526" t="s">
        <v>1111</v>
      </c>
      <c r="D20" s="526" t="s">
        <v>1115</v>
      </c>
      <c r="E20" s="527">
        <v>37.200000000000003</v>
      </c>
      <c r="F20" s="527">
        <v>5.6</v>
      </c>
      <c r="G20" s="530">
        <v>60002</v>
      </c>
    </row>
    <row r="21" spans="2:7" s="523" customFormat="1" ht="20.100000000000001" customHeight="1" x14ac:dyDescent="0.2">
      <c r="B21" s="532" t="s">
        <v>124</v>
      </c>
      <c r="C21" s="532" t="s">
        <v>129</v>
      </c>
      <c r="D21" s="532" t="s">
        <v>130</v>
      </c>
      <c r="E21" s="529">
        <v>159</v>
      </c>
      <c r="F21" s="719">
        <v>5.6</v>
      </c>
      <c r="G21" s="533">
        <v>60004</v>
      </c>
    </row>
    <row r="22" spans="2:7" x14ac:dyDescent="0.2">
      <c r="E22" s="621"/>
    </row>
  </sheetData>
  <sortState ref="B5:G20">
    <sortCondition ref="B4"/>
  </sortState>
  <mergeCells count="5">
    <mergeCell ref="B2:B3"/>
    <mergeCell ref="C2:C3"/>
    <mergeCell ref="D2:D3"/>
    <mergeCell ref="E2:F2"/>
    <mergeCell ref="G2:G3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65"/>
  <sheetViews>
    <sheetView showGridLines="0" topLeftCell="A19" workbookViewId="0">
      <selection activeCell="C55" sqref="C55"/>
    </sheetView>
  </sheetViews>
  <sheetFormatPr defaultColWidth="9" defaultRowHeight="12.75" x14ac:dyDescent="0.25"/>
  <cols>
    <col min="1" max="1" width="9" style="184"/>
    <col min="2" max="3" width="17" style="184" customWidth="1"/>
    <col min="4" max="4" width="9" style="184"/>
    <col min="5" max="10" width="6.875" style="184" customWidth="1"/>
    <col min="11" max="11" width="8.875" style="184" customWidth="1"/>
    <col min="12" max="12" width="49.25" style="184" customWidth="1"/>
    <col min="13" max="13" width="6.75" style="184" customWidth="1"/>
    <col min="14" max="14" width="9.25" style="184" customWidth="1"/>
    <col min="15" max="15" width="18.75" style="184" customWidth="1"/>
    <col min="16" max="16" width="7.75" style="184" customWidth="1"/>
    <col min="17" max="17" width="9.625" style="184" customWidth="1"/>
    <col min="18" max="18" width="12" style="184" customWidth="1"/>
    <col min="19" max="19" width="4.875" style="184" customWidth="1"/>
    <col min="20" max="20" width="8.625" style="184" customWidth="1"/>
    <col min="21" max="21" width="11.75" style="184" customWidth="1"/>
    <col min="22" max="16384" width="9" style="184"/>
  </cols>
  <sheetData>
    <row r="1" spans="1:22" ht="15" x14ac:dyDescent="0.25">
      <c r="A1" s="183" t="s">
        <v>71</v>
      </c>
      <c r="B1" s="172" t="s">
        <v>72</v>
      </c>
      <c r="C1" s="172"/>
      <c r="D1" s="172"/>
      <c r="E1" s="172"/>
      <c r="F1" s="172"/>
      <c r="G1" s="172"/>
      <c r="H1" s="172"/>
      <c r="I1" s="183" t="s">
        <v>73</v>
      </c>
      <c r="J1" s="183" t="s">
        <v>74</v>
      </c>
      <c r="L1"/>
      <c r="M1"/>
      <c r="N1"/>
      <c r="O1"/>
      <c r="P1"/>
      <c r="Q1"/>
      <c r="R1"/>
      <c r="S1"/>
      <c r="T1"/>
      <c r="U1"/>
      <c r="V1"/>
    </row>
    <row r="2" spans="1:22" ht="15" x14ac:dyDescent="0.25">
      <c r="A2" s="1161" t="e">
        <f>+Planilha!#REF!</f>
        <v>#REF!</v>
      </c>
      <c r="B2" s="1163" t="e">
        <f>+Planilha!#REF!</f>
        <v>#REF!</v>
      </c>
      <c r="C2" s="1164"/>
      <c r="D2" s="1164"/>
      <c r="E2" s="1164"/>
      <c r="F2" s="1164"/>
      <c r="G2" s="1164"/>
      <c r="H2" s="1165"/>
      <c r="I2" s="1169" t="s">
        <v>62</v>
      </c>
      <c r="J2" s="1170" t="s">
        <v>168</v>
      </c>
      <c r="L2"/>
      <c r="M2"/>
      <c r="N2"/>
      <c r="O2"/>
      <c r="P2"/>
      <c r="Q2"/>
      <c r="R2"/>
      <c r="S2"/>
      <c r="T2"/>
      <c r="U2"/>
      <c r="V2"/>
    </row>
    <row r="3" spans="1:22" ht="15" x14ac:dyDescent="0.25">
      <c r="A3" s="1162"/>
      <c r="B3" s="1166"/>
      <c r="C3" s="1167"/>
      <c r="D3" s="1167"/>
      <c r="E3" s="1167"/>
      <c r="F3" s="1167"/>
      <c r="G3" s="1167"/>
      <c r="H3" s="1168"/>
      <c r="I3" s="1162"/>
      <c r="J3" s="1171"/>
      <c r="L3"/>
      <c r="M3"/>
      <c r="N3"/>
      <c r="O3"/>
      <c r="P3"/>
      <c r="Q3"/>
      <c r="R3"/>
      <c r="S3"/>
      <c r="T3"/>
      <c r="U3"/>
      <c r="V3"/>
    </row>
    <row r="4" spans="1:22" ht="15" x14ac:dyDescent="0.25">
      <c r="A4" s="1160" t="s">
        <v>75</v>
      </c>
      <c r="B4" s="1160"/>
      <c r="C4" s="1160"/>
      <c r="D4" s="1140" t="s">
        <v>60</v>
      </c>
      <c r="E4" s="1140" t="s">
        <v>76</v>
      </c>
      <c r="F4" s="1151" t="s">
        <v>77</v>
      </c>
      <c r="G4" s="1152"/>
      <c r="H4" s="1151" t="s">
        <v>78</v>
      </c>
      <c r="I4" s="1152"/>
      <c r="J4" s="1154" t="s">
        <v>79</v>
      </c>
      <c r="L4"/>
      <c r="M4"/>
      <c r="N4"/>
      <c r="O4"/>
      <c r="P4"/>
      <c r="Q4"/>
      <c r="R4"/>
      <c r="S4"/>
      <c r="T4"/>
      <c r="U4"/>
      <c r="V4"/>
    </row>
    <row r="5" spans="1:22" ht="15" x14ac:dyDescent="0.25">
      <c r="A5" s="1160"/>
      <c r="B5" s="1160"/>
      <c r="C5" s="1160"/>
      <c r="D5" s="1141"/>
      <c r="E5" s="1141"/>
      <c r="F5" s="120" t="s">
        <v>190</v>
      </c>
      <c r="G5" s="120" t="s">
        <v>191</v>
      </c>
      <c r="H5" s="120" t="s">
        <v>190</v>
      </c>
      <c r="I5" s="120" t="s">
        <v>191</v>
      </c>
      <c r="J5" s="1154"/>
      <c r="L5"/>
      <c r="M5"/>
      <c r="N5"/>
      <c r="O5"/>
      <c r="P5"/>
      <c r="Q5"/>
      <c r="R5"/>
      <c r="S5"/>
      <c r="T5"/>
      <c r="U5"/>
      <c r="V5"/>
    </row>
    <row r="6" spans="1:22" ht="11.25" customHeight="1" x14ac:dyDescent="0.25">
      <c r="A6" s="158" t="str">
        <f>VLOOKUP(D6,equip.!A1:G154,2,FALSE)</f>
        <v>Retroescavadeira MF 86 TM (MASSEY FERGUSSON) ou equivalente</v>
      </c>
      <c r="B6" s="185"/>
      <c r="C6" s="186"/>
      <c r="D6" s="122">
        <v>30029</v>
      </c>
      <c r="E6" s="123">
        <v>1</v>
      </c>
      <c r="F6" s="123">
        <v>0.05</v>
      </c>
      <c r="G6" s="123">
        <v>0.95</v>
      </c>
      <c r="H6" s="184">
        <f>VLOOKUP(D6,equip.!A1:G130,6,FALSE)</f>
        <v>106.71</v>
      </c>
      <c r="I6" s="123">
        <f>VLOOKUP(D6,equip.!A1:AB130,7,FALSE)</f>
        <v>41.33</v>
      </c>
      <c r="J6" s="123">
        <f>TRUNC(E6*F6*H6+E6*G6*I6,2)</f>
        <v>44.59</v>
      </c>
      <c r="L6"/>
      <c r="M6"/>
      <c r="N6"/>
      <c r="O6"/>
      <c r="P6"/>
      <c r="Q6"/>
      <c r="R6"/>
      <c r="S6"/>
      <c r="T6"/>
      <c r="U6"/>
      <c r="V6"/>
    </row>
    <row r="7" spans="1:22" ht="15" x14ac:dyDescent="0.25">
      <c r="A7" s="149"/>
      <c r="B7" s="150"/>
      <c r="C7" s="151"/>
      <c r="D7" s="124"/>
      <c r="E7" s="123"/>
      <c r="F7" s="123"/>
      <c r="G7" s="123"/>
      <c r="H7" s="123"/>
      <c r="I7" s="123"/>
      <c r="J7" s="123"/>
      <c r="L7"/>
      <c r="M7"/>
      <c r="N7"/>
      <c r="O7"/>
      <c r="P7"/>
      <c r="Q7"/>
      <c r="R7"/>
      <c r="S7"/>
      <c r="T7"/>
      <c r="U7"/>
      <c r="V7"/>
    </row>
    <row r="8" spans="1:22" ht="15" x14ac:dyDescent="0.25">
      <c r="A8" s="129"/>
      <c r="B8" s="130"/>
      <c r="C8" s="131"/>
      <c r="D8" s="124"/>
      <c r="E8" s="123"/>
      <c r="F8" s="123"/>
      <c r="G8" s="123"/>
      <c r="H8" s="123"/>
      <c r="I8" s="123"/>
      <c r="J8" s="123"/>
      <c r="L8"/>
      <c r="M8"/>
      <c r="N8"/>
      <c r="O8"/>
      <c r="P8"/>
      <c r="Q8"/>
      <c r="R8"/>
      <c r="S8"/>
      <c r="T8"/>
      <c r="U8"/>
      <c r="V8"/>
    </row>
    <row r="9" spans="1:22" ht="15" x14ac:dyDescent="0.25">
      <c r="A9" s="1122"/>
      <c r="B9" s="1123"/>
      <c r="C9" s="1124"/>
      <c r="D9" s="124"/>
      <c r="E9" s="123"/>
      <c r="F9" s="123"/>
      <c r="G9" s="123"/>
      <c r="H9" s="123"/>
      <c r="I9" s="123"/>
      <c r="J9" s="123"/>
      <c r="L9"/>
      <c r="M9"/>
      <c r="N9"/>
      <c r="O9"/>
      <c r="P9"/>
      <c r="Q9"/>
      <c r="R9"/>
      <c r="S9"/>
      <c r="T9"/>
      <c r="U9"/>
      <c r="V9"/>
    </row>
    <row r="10" spans="1:22" ht="15" x14ac:dyDescent="0.25">
      <c r="A10" s="1122"/>
      <c r="B10" s="1123"/>
      <c r="C10" s="1124"/>
      <c r="D10" s="124"/>
      <c r="E10" s="123"/>
      <c r="F10" s="123"/>
      <c r="G10" s="123"/>
      <c r="H10" s="123"/>
      <c r="I10" s="123"/>
      <c r="J10" s="123"/>
      <c r="L10"/>
      <c r="M10"/>
      <c r="N10"/>
      <c r="O10"/>
      <c r="P10"/>
      <c r="Q10"/>
      <c r="R10"/>
      <c r="S10"/>
      <c r="T10"/>
      <c r="U10"/>
      <c r="V10"/>
    </row>
    <row r="11" spans="1:22" ht="15" x14ac:dyDescent="0.25">
      <c r="A11" s="1122"/>
      <c r="B11" s="1123"/>
      <c r="C11" s="1124"/>
      <c r="D11" s="124"/>
      <c r="E11" s="123"/>
      <c r="F11" s="123"/>
      <c r="G11" s="123"/>
      <c r="H11" s="123"/>
      <c r="I11" s="123"/>
      <c r="J11" s="123"/>
      <c r="L11"/>
      <c r="M11"/>
      <c r="N11"/>
      <c r="O11"/>
      <c r="P11"/>
      <c r="Q11"/>
      <c r="R11"/>
      <c r="S11"/>
      <c r="T11"/>
      <c r="U11"/>
      <c r="V11"/>
    </row>
    <row r="12" spans="1:22" ht="15" x14ac:dyDescent="0.25">
      <c r="A12" s="129"/>
      <c r="B12" s="130"/>
      <c r="C12" s="131"/>
      <c r="D12" s="124"/>
      <c r="E12" s="123"/>
      <c r="F12" s="123"/>
      <c r="G12" s="123"/>
      <c r="H12" s="123"/>
      <c r="I12" s="123"/>
      <c r="J12" s="123"/>
      <c r="L12"/>
      <c r="M12"/>
      <c r="N12"/>
      <c r="O12"/>
      <c r="P12"/>
      <c r="Q12"/>
      <c r="R12"/>
      <c r="S12"/>
      <c r="T12"/>
      <c r="U12"/>
      <c r="V12"/>
    </row>
    <row r="13" spans="1:22" ht="15" x14ac:dyDescent="0.25">
      <c r="A13" s="1125"/>
      <c r="B13" s="1126"/>
      <c r="C13" s="1127"/>
      <c r="D13" s="134"/>
      <c r="E13" s="135"/>
      <c r="F13" s="135"/>
      <c r="G13" s="123"/>
      <c r="H13" s="123"/>
      <c r="I13" s="123"/>
      <c r="J13" s="123"/>
      <c r="L13"/>
      <c r="M13"/>
      <c r="N13"/>
      <c r="O13"/>
      <c r="P13"/>
      <c r="Q13"/>
      <c r="R13"/>
      <c r="S13"/>
      <c r="T13"/>
      <c r="U13"/>
      <c r="V13"/>
    </row>
    <row r="14" spans="1:22" ht="15" x14ac:dyDescent="0.25">
      <c r="A14" s="1128" t="s">
        <v>82</v>
      </c>
      <c r="B14" s="1129"/>
      <c r="C14" s="1129"/>
      <c r="D14" s="1129"/>
      <c r="E14" s="1129"/>
      <c r="F14" s="1129"/>
      <c r="G14" s="1129"/>
      <c r="H14" s="1129"/>
      <c r="I14" s="1130"/>
      <c r="J14" s="136">
        <f>SUM(J6:J13)</f>
        <v>44.59</v>
      </c>
      <c r="L14"/>
      <c r="M14"/>
      <c r="N14"/>
      <c r="O14"/>
      <c r="P14"/>
      <c r="Q14"/>
      <c r="R14"/>
      <c r="S14"/>
      <c r="T14"/>
      <c r="U14"/>
      <c r="V14"/>
    </row>
    <row r="15" spans="1:22" ht="15" x14ac:dyDescent="0.25">
      <c r="A15" s="1145" t="s">
        <v>83</v>
      </c>
      <c r="B15" s="1146"/>
      <c r="C15" s="1146"/>
      <c r="D15" s="1146"/>
      <c r="E15" s="1158"/>
      <c r="F15" s="1140" t="s">
        <v>60</v>
      </c>
      <c r="G15" s="1140" t="s">
        <v>84</v>
      </c>
      <c r="H15" s="1140" t="s">
        <v>76</v>
      </c>
      <c r="I15" s="1154" t="s">
        <v>85</v>
      </c>
      <c r="J15" s="1140" t="s">
        <v>79</v>
      </c>
      <c r="L15"/>
      <c r="M15"/>
      <c r="N15"/>
      <c r="O15"/>
      <c r="P15"/>
      <c r="Q15"/>
      <c r="R15"/>
      <c r="S15"/>
      <c r="T15"/>
      <c r="U15"/>
      <c r="V15"/>
    </row>
    <row r="16" spans="1:22" ht="15" x14ac:dyDescent="0.25">
      <c r="A16" s="1147"/>
      <c r="B16" s="1148"/>
      <c r="C16" s="1148"/>
      <c r="D16" s="1148"/>
      <c r="E16" s="1159"/>
      <c r="F16" s="1141"/>
      <c r="G16" s="1141"/>
      <c r="H16" s="1141"/>
      <c r="I16" s="1154"/>
      <c r="J16" s="1141"/>
      <c r="L16"/>
      <c r="M16"/>
      <c r="N16"/>
      <c r="O16"/>
      <c r="P16"/>
      <c r="Q16"/>
      <c r="R16"/>
      <c r="S16"/>
      <c r="T16"/>
      <c r="U16"/>
      <c r="V16"/>
    </row>
    <row r="17" spans="1:22" ht="15" x14ac:dyDescent="0.25">
      <c r="A17" s="1122" t="str">
        <f>VLOOKUP(F17,m.o.!A1:F153,2,FALSE)</f>
        <v>Encarregado de O.A.C.</v>
      </c>
      <c r="B17" s="1123"/>
      <c r="C17" s="1123"/>
      <c r="D17" s="1123"/>
      <c r="E17" s="1124"/>
      <c r="F17" s="137">
        <v>20060</v>
      </c>
      <c r="G17" s="138"/>
      <c r="H17" s="123">
        <v>0.2</v>
      </c>
      <c r="I17" s="123">
        <f>VLOOKUP(F17,m.o.!A1:F128,5,FALSE)</f>
        <v>10.220000000000001</v>
      </c>
      <c r="J17" s="123">
        <f>TRUNC(H17*I17,2)</f>
        <v>2.04</v>
      </c>
      <c r="L17"/>
      <c r="M17"/>
      <c r="N17"/>
      <c r="O17"/>
      <c r="P17"/>
      <c r="Q17"/>
      <c r="R17"/>
      <c r="S17"/>
      <c r="T17"/>
      <c r="U17"/>
      <c r="V17"/>
    </row>
    <row r="18" spans="1:22" ht="15" x14ac:dyDescent="0.25">
      <c r="A18" s="1122" t="str">
        <f>VLOOKUP(F18,m.o.!A2:F154,2,FALSE)</f>
        <v>Pedreiro de O.A.C.</v>
      </c>
      <c r="B18" s="1123"/>
      <c r="C18" s="1123"/>
      <c r="D18" s="1123"/>
      <c r="E18" s="1124"/>
      <c r="F18" s="137">
        <v>20109</v>
      </c>
      <c r="G18" s="138"/>
      <c r="H18" s="123">
        <v>0.5</v>
      </c>
      <c r="I18" s="123">
        <f>VLOOKUP(F18,m.o.!A2:F129,5,FALSE)</f>
        <v>5.61</v>
      </c>
      <c r="J18" s="123">
        <f>TRUNC(H18*I18,2)</f>
        <v>2.8</v>
      </c>
      <c r="L18"/>
      <c r="M18"/>
      <c r="N18"/>
      <c r="O18"/>
      <c r="P18"/>
      <c r="Q18"/>
      <c r="R18"/>
      <c r="S18"/>
      <c r="T18"/>
      <c r="U18"/>
      <c r="V18"/>
    </row>
    <row r="19" spans="1:22" ht="15" x14ac:dyDescent="0.25">
      <c r="A19" s="1122" t="str">
        <f>VLOOKUP(F19,m.o.!A4:F155,2,FALSE)</f>
        <v>Servente</v>
      </c>
      <c r="B19" s="1123"/>
      <c r="C19" s="1123"/>
      <c r="D19" s="1123"/>
      <c r="E19" s="1124"/>
      <c r="F19" s="137">
        <v>20002</v>
      </c>
      <c r="G19" s="138"/>
      <c r="H19" s="123">
        <v>4</v>
      </c>
      <c r="I19" s="123">
        <f>VLOOKUP(F19,m.o.!A4:F130,5,FALSE)</f>
        <v>4.5199999999999996</v>
      </c>
      <c r="J19" s="123">
        <f>TRUNC(H19*I19,2)</f>
        <v>18.079999999999998</v>
      </c>
      <c r="L19"/>
      <c r="M19"/>
      <c r="N19"/>
      <c r="O19"/>
      <c r="P19"/>
      <c r="Q19"/>
      <c r="R19"/>
      <c r="S19"/>
      <c r="T19"/>
      <c r="U19"/>
      <c r="V19"/>
    </row>
    <row r="20" spans="1:22" ht="15" x14ac:dyDescent="0.25">
      <c r="A20" s="139"/>
      <c r="B20" s="140"/>
      <c r="C20" s="140"/>
      <c r="D20" s="140"/>
      <c r="E20" s="141"/>
      <c r="F20" s="137"/>
      <c r="G20" s="138"/>
      <c r="H20" s="123"/>
      <c r="I20" s="123"/>
      <c r="J20" s="123"/>
      <c r="L20"/>
      <c r="M20"/>
      <c r="N20"/>
      <c r="O20"/>
      <c r="P20"/>
      <c r="Q20"/>
      <c r="R20"/>
      <c r="S20"/>
      <c r="T20"/>
      <c r="U20"/>
      <c r="V20"/>
    </row>
    <row r="21" spans="1:22" ht="15" x14ac:dyDescent="0.25">
      <c r="A21" s="139"/>
      <c r="B21" s="140"/>
      <c r="C21" s="140"/>
      <c r="D21" s="140"/>
      <c r="E21" s="141"/>
      <c r="F21" s="137"/>
      <c r="G21" s="142"/>
      <c r="H21" s="123"/>
      <c r="I21" s="123"/>
      <c r="J21" s="123"/>
      <c r="L21"/>
      <c r="M21"/>
      <c r="N21"/>
      <c r="O21"/>
      <c r="P21"/>
      <c r="Q21"/>
      <c r="R21"/>
      <c r="S21"/>
      <c r="T21"/>
      <c r="U21"/>
      <c r="V21"/>
    </row>
    <row r="22" spans="1:22" ht="15" x14ac:dyDescent="0.25">
      <c r="A22" s="129"/>
      <c r="B22" s="130"/>
      <c r="C22" s="130"/>
      <c r="D22" s="130"/>
      <c r="E22" s="131"/>
      <c r="F22" s="137"/>
      <c r="G22" s="142"/>
      <c r="H22" s="123"/>
      <c r="I22" s="123"/>
      <c r="J22" s="123"/>
      <c r="L22"/>
      <c r="M22"/>
      <c r="N22"/>
      <c r="O22"/>
      <c r="P22"/>
      <c r="Q22"/>
      <c r="R22"/>
      <c r="S22"/>
      <c r="T22"/>
      <c r="U22"/>
      <c r="V22"/>
    </row>
    <row r="23" spans="1:22" ht="15" x14ac:dyDescent="0.25">
      <c r="A23" s="139"/>
      <c r="B23" s="140"/>
      <c r="C23" s="140"/>
      <c r="D23" s="140"/>
      <c r="E23" s="141"/>
      <c r="F23" s="137"/>
      <c r="G23" s="142"/>
      <c r="H23" s="123"/>
      <c r="I23" s="123"/>
      <c r="J23" s="123"/>
      <c r="L23"/>
      <c r="M23"/>
      <c r="N23"/>
      <c r="O23"/>
      <c r="P23"/>
      <c r="Q23"/>
      <c r="R23"/>
      <c r="S23"/>
      <c r="T23"/>
      <c r="U23"/>
      <c r="V23"/>
    </row>
    <row r="24" spans="1:22" ht="1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  <c r="L24"/>
      <c r="M24"/>
      <c r="N24"/>
      <c r="O24"/>
      <c r="P24"/>
      <c r="Q24"/>
      <c r="R24"/>
      <c r="S24"/>
      <c r="T24"/>
      <c r="U24"/>
      <c r="V24"/>
    </row>
    <row r="25" spans="1:22" x14ac:dyDescent="0.25">
      <c r="A25" s="1125"/>
      <c r="B25" s="1126"/>
      <c r="C25" s="1126"/>
      <c r="D25" s="1126"/>
      <c r="E25" s="1127"/>
      <c r="F25" s="134"/>
      <c r="G25" s="143"/>
      <c r="H25" s="135"/>
      <c r="I25" s="135"/>
      <c r="J25" s="123"/>
    </row>
    <row r="26" spans="1:22" x14ac:dyDescent="0.25">
      <c r="A26" s="132"/>
      <c r="B26" s="133"/>
      <c r="C26" s="133"/>
      <c r="D26" s="133"/>
      <c r="E26" s="133"/>
      <c r="F26" s="187"/>
      <c r="G26" s="188"/>
      <c r="H26" s="189"/>
      <c r="I26" s="190"/>
      <c r="J26" s="123"/>
    </row>
    <row r="27" spans="1:22" x14ac:dyDescent="0.25">
      <c r="A27" s="132"/>
      <c r="B27" s="133"/>
      <c r="C27" s="133"/>
      <c r="D27" s="133"/>
      <c r="E27" s="133"/>
      <c r="F27" s="187"/>
      <c r="G27" s="188"/>
      <c r="H27" s="189"/>
      <c r="I27" s="190"/>
      <c r="J27" s="123"/>
    </row>
    <row r="28" spans="1:22" x14ac:dyDescent="0.25">
      <c r="A28" s="132"/>
      <c r="B28" s="133"/>
      <c r="C28" s="133"/>
      <c r="D28" s="133"/>
      <c r="E28" s="133"/>
      <c r="F28" s="187"/>
      <c r="G28" s="188"/>
      <c r="H28" s="189"/>
      <c r="I28" s="190"/>
      <c r="J28" s="123"/>
    </row>
    <row r="29" spans="1:22" x14ac:dyDescent="0.25">
      <c r="A29" s="132"/>
      <c r="B29" s="133"/>
      <c r="C29" s="133"/>
      <c r="D29" s="133"/>
      <c r="E29" s="133"/>
      <c r="F29" s="187"/>
      <c r="G29" s="188"/>
      <c r="H29" s="189"/>
      <c r="I29" s="190"/>
      <c r="J29" s="123"/>
    </row>
    <row r="30" spans="1:22" x14ac:dyDescent="0.25">
      <c r="A30" s="132"/>
      <c r="B30" s="133"/>
      <c r="C30" s="133"/>
      <c r="D30" s="133"/>
      <c r="E30" s="133"/>
      <c r="F30" s="187"/>
      <c r="G30" s="188"/>
      <c r="H30" s="189"/>
      <c r="I30" s="190"/>
      <c r="J30" s="123"/>
    </row>
    <row r="31" spans="1:22" x14ac:dyDescent="0.25">
      <c r="A31" s="132"/>
      <c r="B31" s="133"/>
      <c r="C31" s="133"/>
      <c r="D31" s="133"/>
      <c r="E31" s="133"/>
      <c r="F31" s="187"/>
      <c r="G31" s="188"/>
      <c r="H31" s="189"/>
      <c r="I31" s="190"/>
      <c r="J31" s="123"/>
    </row>
    <row r="32" spans="1:22" x14ac:dyDescent="0.25">
      <c r="A32" s="132"/>
      <c r="B32" s="133"/>
      <c r="C32" s="133"/>
      <c r="D32" s="133"/>
      <c r="E32" s="133"/>
      <c r="F32" s="187"/>
      <c r="G32" s="188"/>
      <c r="H32" s="189"/>
      <c r="I32" s="190"/>
      <c r="J32" s="123"/>
    </row>
    <row r="33" spans="1:10" x14ac:dyDescent="0.25">
      <c r="A33" s="132"/>
      <c r="B33" s="133"/>
      <c r="C33" s="133"/>
      <c r="D33" s="133"/>
      <c r="E33" s="133"/>
      <c r="F33" s="187"/>
      <c r="G33" s="188"/>
      <c r="H33" s="189"/>
      <c r="I33" s="190"/>
      <c r="J33" s="123"/>
    </row>
    <row r="34" spans="1:10" x14ac:dyDescent="0.25">
      <c r="A34" s="132"/>
      <c r="B34" s="133"/>
      <c r="C34" s="133"/>
      <c r="D34" s="133"/>
      <c r="E34" s="133"/>
      <c r="F34" s="187"/>
      <c r="G34" s="188"/>
      <c r="H34" s="189"/>
      <c r="I34" s="190"/>
      <c r="J34" s="123"/>
    </row>
    <row r="35" spans="1:10" x14ac:dyDescent="0.25">
      <c r="A35" s="132"/>
      <c r="B35" s="133"/>
      <c r="C35" s="133"/>
      <c r="D35" s="133"/>
      <c r="E35" s="133"/>
      <c r="F35" s="187"/>
      <c r="G35" s="188"/>
      <c r="H35" s="189"/>
      <c r="I35" s="190"/>
      <c r="J35" s="123"/>
    </row>
    <row r="36" spans="1:10" x14ac:dyDescent="0.25">
      <c r="A36" s="132"/>
      <c r="B36" s="133"/>
      <c r="C36" s="133"/>
      <c r="D36" s="133"/>
      <c r="E36" s="133"/>
      <c r="F36" s="187"/>
      <c r="G36" s="188"/>
      <c r="H36" s="189"/>
      <c r="I36" s="190"/>
      <c r="J36" s="123"/>
    </row>
    <row r="37" spans="1:10" x14ac:dyDescent="0.25">
      <c r="A37" s="1128" t="s">
        <v>86</v>
      </c>
      <c r="B37" s="1129"/>
      <c r="C37" s="1129"/>
      <c r="D37" s="1129"/>
      <c r="E37" s="1129"/>
      <c r="F37" s="1129"/>
      <c r="G37" s="1129"/>
      <c r="H37" s="1129"/>
      <c r="I37" s="1130"/>
      <c r="J37" s="136">
        <f>ROUND(SUM(J17:J25),2)</f>
        <v>22.92</v>
      </c>
    </row>
    <row r="38" spans="1:10" x14ac:dyDescent="0.25">
      <c r="A38" s="1155" t="s">
        <v>87</v>
      </c>
      <c r="B38" s="1156"/>
      <c r="C38" s="1156"/>
      <c r="D38" s="1156"/>
      <c r="E38" s="1156"/>
      <c r="F38" s="135">
        <v>0.83</v>
      </c>
      <c r="G38" s="1155" t="s">
        <v>88</v>
      </c>
      <c r="H38" s="1156"/>
      <c r="I38" s="1156"/>
      <c r="J38" s="144">
        <f>+J37+J14</f>
        <v>67.510000000000005</v>
      </c>
    </row>
    <row r="39" spans="1:10" x14ac:dyDescent="0.25">
      <c r="A39" s="1120" t="s">
        <v>89</v>
      </c>
      <c r="B39" s="1121"/>
      <c r="C39" s="1121"/>
      <c r="D39" s="1121"/>
      <c r="E39" s="1121"/>
      <c r="F39" s="1121"/>
      <c r="G39" s="1121"/>
      <c r="H39" s="1121"/>
      <c r="I39" s="1157"/>
      <c r="J39" s="136">
        <f>TRUNC(J38/F38,2)</f>
        <v>81.33</v>
      </c>
    </row>
    <row r="40" spans="1:10" x14ac:dyDescent="0.25">
      <c r="A40" s="1134" t="s">
        <v>90</v>
      </c>
      <c r="B40" s="1135"/>
      <c r="C40" s="1135"/>
      <c r="D40" s="1135"/>
      <c r="E40" s="1136"/>
      <c r="F40" s="1140" t="s">
        <v>60</v>
      </c>
      <c r="G40" s="1140" t="s">
        <v>1</v>
      </c>
      <c r="H40" s="1154" t="s">
        <v>64</v>
      </c>
      <c r="I40" s="1140" t="s">
        <v>91</v>
      </c>
      <c r="J40" s="1140" t="s">
        <v>92</v>
      </c>
    </row>
    <row r="41" spans="1:10" x14ac:dyDescent="0.25">
      <c r="A41" s="1137"/>
      <c r="B41" s="1138"/>
      <c r="C41" s="1138"/>
      <c r="D41" s="1138"/>
      <c r="E41" s="1139"/>
      <c r="F41" s="1141"/>
      <c r="G41" s="1141"/>
      <c r="H41" s="1154"/>
      <c r="I41" s="1141"/>
      <c r="J41" s="1141"/>
    </row>
    <row r="42" spans="1:10" x14ac:dyDescent="0.25">
      <c r="A42" s="158"/>
      <c r="B42" s="191"/>
      <c r="C42" s="191"/>
      <c r="D42" s="191"/>
      <c r="E42" s="186"/>
      <c r="F42" s="148"/>
      <c r="G42" s="152"/>
      <c r="H42" s="145"/>
      <c r="I42" s="146"/>
      <c r="J42" s="123"/>
    </row>
    <row r="43" spans="1:10" ht="12.95" customHeight="1" x14ac:dyDescent="0.25">
      <c r="A43" s="1131"/>
      <c r="B43" s="1132"/>
      <c r="C43" s="1132"/>
      <c r="D43" s="1132"/>
      <c r="E43" s="1133"/>
      <c r="F43" s="148"/>
      <c r="G43" s="152"/>
      <c r="H43" s="145"/>
      <c r="I43" s="146"/>
      <c r="J43" s="123"/>
    </row>
    <row r="44" spans="1:10" ht="12.95" customHeight="1" x14ac:dyDescent="0.25">
      <c r="A44" s="1122"/>
      <c r="B44" s="1123"/>
      <c r="C44" s="1123"/>
      <c r="D44" s="1123"/>
      <c r="E44" s="1124"/>
      <c r="F44" s="148"/>
      <c r="G44" s="152"/>
      <c r="H44" s="145"/>
      <c r="I44" s="146"/>
      <c r="J44" s="123"/>
    </row>
    <row r="45" spans="1:10" ht="12.95" customHeight="1" x14ac:dyDescent="0.25">
      <c r="A45" s="1122"/>
      <c r="B45" s="1123"/>
      <c r="C45" s="1123"/>
      <c r="D45" s="1123"/>
      <c r="E45" s="1124"/>
      <c r="F45" s="148"/>
      <c r="G45" s="152"/>
      <c r="H45" s="145"/>
      <c r="I45" s="146"/>
      <c r="J45" s="123"/>
    </row>
    <row r="46" spans="1:10" ht="12.95" customHeight="1" x14ac:dyDescent="0.25">
      <c r="A46" s="1122"/>
      <c r="B46" s="1123"/>
      <c r="C46" s="1123"/>
      <c r="D46" s="1123"/>
      <c r="E46" s="1124"/>
      <c r="F46" s="148"/>
      <c r="G46" s="152"/>
      <c r="H46" s="145"/>
      <c r="I46" s="146"/>
      <c r="J46" s="123"/>
    </row>
    <row r="47" spans="1:10" ht="12.95" customHeight="1" x14ac:dyDescent="0.25">
      <c r="A47" s="1131"/>
      <c r="B47" s="1132"/>
      <c r="C47" s="1132"/>
      <c r="D47" s="1132"/>
      <c r="E47" s="1133"/>
      <c r="F47" s="148"/>
      <c r="G47" s="152"/>
      <c r="H47" s="145"/>
      <c r="I47" s="146"/>
      <c r="J47" s="123"/>
    </row>
    <row r="48" spans="1:10" ht="12.95" customHeight="1" x14ac:dyDescent="0.25">
      <c r="A48" s="129"/>
      <c r="B48" s="153"/>
      <c r="C48" s="153"/>
      <c r="D48" s="153"/>
      <c r="E48" s="154"/>
      <c r="F48" s="148"/>
      <c r="G48" s="152"/>
      <c r="H48" s="145"/>
      <c r="I48" s="146"/>
      <c r="J48" s="123"/>
    </row>
    <row r="49" spans="1:13" ht="12.95" customHeight="1" x14ac:dyDescent="0.25">
      <c r="A49" s="1122"/>
      <c r="B49" s="1123"/>
      <c r="C49" s="1123"/>
      <c r="D49" s="1123"/>
      <c r="E49" s="1124"/>
      <c r="F49" s="148"/>
      <c r="G49" s="152"/>
      <c r="H49" s="145"/>
      <c r="I49" s="146"/>
      <c r="J49" s="123"/>
    </row>
    <row r="50" spans="1:13" ht="12.95" customHeight="1" x14ac:dyDescent="0.25">
      <c r="A50" s="1122"/>
      <c r="B50" s="1123"/>
      <c r="C50" s="1123"/>
      <c r="D50" s="1123"/>
      <c r="E50" s="1124"/>
      <c r="F50" s="148"/>
      <c r="G50" s="152"/>
      <c r="H50" s="145"/>
      <c r="I50" s="146"/>
      <c r="J50" s="123"/>
    </row>
    <row r="51" spans="1:13" ht="12.95" customHeight="1" x14ac:dyDescent="0.25">
      <c r="A51" s="1125"/>
      <c r="B51" s="1126"/>
      <c r="C51" s="1126"/>
      <c r="D51" s="1126"/>
      <c r="E51" s="1127"/>
      <c r="F51" s="155"/>
      <c r="G51" s="156"/>
      <c r="H51" s="157"/>
      <c r="I51" s="146"/>
      <c r="J51" s="123"/>
    </row>
    <row r="52" spans="1:13" x14ac:dyDescent="0.25">
      <c r="A52" s="1128" t="s">
        <v>93</v>
      </c>
      <c r="B52" s="1129"/>
      <c r="C52" s="1129"/>
      <c r="D52" s="1129"/>
      <c r="E52" s="1129"/>
      <c r="F52" s="1129"/>
      <c r="G52" s="1129"/>
      <c r="H52" s="1129"/>
      <c r="I52" s="1130"/>
      <c r="J52" s="136">
        <f>ROUND(SUM(J42:J51),2)</f>
        <v>0</v>
      </c>
    </row>
    <row r="53" spans="1:13" x14ac:dyDescent="0.25">
      <c r="A53" s="1145" t="s">
        <v>94</v>
      </c>
      <c r="B53" s="1146"/>
      <c r="C53" s="1146"/>
      <c r="D53" s="1146"/>
      <c r="E53" s="1149" t="s">
        <v>60</v>
      </c>
      <c r="F53" s="1151" t="s">
        <v>95</v>
      </c>
      <c r="G53" s="1152"/>
      <c r="H53" s="1153" t="s">
        <v>96</v>
      </c>
      <c r="I53" s="1153" t="s">
        <v>97</v>
      </c>
      <c r="J53" s="1140" t="s">
        <v>64</v>
      </c>
    </row>
    <row r="54" spans="1:13" x14ac:dyDescent="0.25">
      <c r="A54" s="1147"/>
      <c r="B54" s="1148"/>
      <c r="C54" s="1148"/>
      <c r="D54" s="1148"/>
      <c r="E54" s="1150"/>
      <c r="F54" s="120" t="s">
        <v>21</v>
      </c>
      <c r="G54" s="120" t="s">
        <v>20</v>
      </c>
      <c r="H54" s="1153"/>
      <c r="I54" s="1153"/>
      <c r="J54" s="1141"/>
    </row>
    <row r="55" spans="1:13" x14ac:dyDescent="0.25">
      <c r="A55" s="158" t="str">
        <f>VLOOKUP(E55,tranp.!A4:J43,4,FALSE)</f>
        <v>0,436XP + 0,516XR + 46,578</v>
      </c>
      <c r="B55" s="159"/>
      <c r="C55" s="159" t="s">
        <v>169</v>
      </c>
      <c r="D55" s="160"/>
      <c r="E55" s="161">
        <f>+tranp.!A11</f>
        <v>100849</v>
      </c>
      <c r="F55" s="162">
        <v>11.8</v>
      </c>
      <c r="G55" s="123">
        <v>0.2</v>
      </c>
      <c r="H55" s="123">
        <f>TRUNC(F55*K55+G55*L55+M55,2)</f>
        <v>51.82</v>
      </c>
      <c r="I55" s="163">
        <v>1.9179999999999999</v>
      </c>
      <c r="J55" s="123">
        <f>TRUNC(I55*H55,2)</f>
        <v>99.39</v>
      </c>
      <c r="K55" s="184">
        <f>VLOOKUP(E55,tranp.!A4:K21,5,FALSE)</f>
        <v>0.436</v>
      </c>
      <c r="L55" s="184">
        <f>VLOOKUP(E55,tranp.!A5:G19,6,FALSE)</f>
        <v>0.51600000000000001</v>
      </c>
      <c r="M55" s="184">
        <f>VLOOKUP(E55,tranp.!A5:G19,7,FALSE)</f>
        <v>46.578000000000003</v>
      </c>
    </row>
    <row r="56" spans="1:13" x14ac:dyDescent="0.25">
      <c r="A56" s="1122"/>
      <c r="B56" s="1123"/>
      <c r="C56" s="1123"/>
      <c r="D56" s="1124"/>
      <c r="E56" s="145"/>
      <c r="F56" s="145"/>
      <c r="G56" s="145"/>
      <c r="H56" s="145"/>
      <c r="I56" s="165"/>
      <c r="J56" s="145">
        <f>+I56*H56</f>
        <v>0</v>
      </c>
    </row>
    <row r="57" spans="1:13" x14ac:dyDescent="0.25">
      <c r="A57" s="1122"/>
      <c r="B57" s="1123"/>
      <c r="C57" s="1123"/>
      <c r="D57" s="1124"/>
      <c r="E57" s="123"/>
      <c r="F57" s="123"/>
      <c r="G57" s="123"/>
      <c r="H57" s="123"/>
      <c r="I57" s="163"/>
      <c r="J57" s="145"/>
    </row>
    <row r="58" spans="1:13" x14ac:dyDescent="0.25">
      <c r="A58" s="1122"/>
      <c r="B58" s="1123"/>
      <c r="C58" s="1123"/>
      <c r="D58" s="1124"/>
      <c r="E58" s="123"/>
      <c r="F58" s="123"/>
      <c r="G58" s="123"/>
      <c r="H58" s="123"/>
      <c r="I58" s="163"/>
      <c r="J58" s="145"/>
    </row>
    <row r="59" spans="1:13" x14ac:dyDescent="0.25">
      <c r="A59" s="1142" t="s">
        <v>98</v>
      </c>
      <c r="B59" s="1143"/>
      <c r="C59" s="1143"/>
      <c r="D59" s="1143"/>
      <c r="E59" s="1143"/>
      <c r="F59" s="1143"/>
      <c r="G59" s="1143"/>
      <c r="H59" s="1143"/>
      <c r="I59" s="1144"/>
      <c r="J59" s="170">
        <f>SUM(J55:J58)</f>
        <v>99.39</v>
      </c>
    </row>
    <row r="60" spans="1:13" x14ac:dyDescent="0.25">
      <c r="A60" s="1116" t="s">
        <v>99</v>
      </c>
      <c r="B60" s="1117"/>
      <c r="C60" s="1117"/>
      <c r="D60" s="1117"/>
      <c r="E60" s="1117"/>
      <c r="F60" s="1117"/>
      <c r="G60" s="171" t="s">
        <v>100</v>
      </c>
      <c r="H60" s="172"/>
      <c r="I60" s="173" t="s">
        <v>101</v>
      </c>
      <c r="J60" s="162">
        <f>J59+J52+J39</f>
        <v>180.72</v>
      </c>
    </row>
    <row r="61" spans="1:13" x14ac:dyDescent="0.25">
      <c r="A61" s="1118" t="s">
        <v>102</v>
      </c>
      <c r="B61" s="1119"/>
      <c r="C61" s="1119"/>
      <c r="D61" s="1119"/>
      <c r="E61" s="1119"/>
      <c r="F61" s="1119"/>
      <c r="G61" s="174">
        <v>0.35</v>
      </c>
      <c r="H61" s="175"/>
      <c r="I61" s="176" t="s">
        <v>101</v>
      </c>
      <c r="J61" s="144">
        <f>+J60*G61</f>
        <v>63.25</v>
      </c>
    </row>
    <row r="62" spans="1:13" x14ac:dyDescent="0.25">
      <c r="A62" s="1120" t="s">
        <v>103</v>
      </c>
      <c r="B62" s="1121"/>
      <c r="C62" s="1121"/>
      <c r="D62" s="1121"/>
      <c r="E62" s="1121"/>
      <c r="F62" s="1121"/>
      <c r="G62" s="177"/>
      <c r="H62" s="178"/>
      <c r="I62" s="179" t="s">
        <v>101</v>
      </c>
      <c r="J62" s="136">
        <f>+J61+J60</f>
        <v>243.97</v>
      </c>
    </row>
    <row r="63" spans="1:13" x14ac:dyDescent="0.25">
      <c r="A63" s="180" t="s">
        <v>104</v>
      </c>
      <c r="B63" s="172"/>
      <c r="C63" s="172"/>
      <c r="D63" s="172"/>
      <c r="E63" s="172"/>
      <c r="F63" s="172"/>
      <c r="G63" s="172"/>
      <c r="H63" s="181"/>
      <c r="I63" s="181"/>
      <c r="J63" s="182"/>
    </row>
    <row r="64" spans="1:13" x14ac:dyDescent="0.25">
      <c r="A64" s="192"/>
      <c r="B64" s="193" t="str">
        <f>+tranp.!B11</f>
        <v>Transporte de Material Asfáltico (DNIT), inclusive BDI diferenciado</v>
      </c>
      <c r="C64" s="193"/>
      <c r="D64" s="193"/>
      <c r="E64" s="193"/>
      <c r="F64" s="193"/>
      <c r="G64" s="193"/>
      <c r="H64" s="194"/>
      <c r="I64" s="194"/>
      <c r="J64" s="182"/>
    </row>
    <row r="65" spans="1:10" x14ac:dyDescent="0.25">
      <c r="A65" s="195"/>
      <c r="B65" s="188"/>
      <c r="C65" s="188"/>
      <c r="D65" s="196"/>
      <c r="E65" s="196"/>
      <c r="F65" s="196"/>
      <c r="G65" s="196"/>
      <c r="H65" s="196"/>
      <c r="I65" s="196"/>
      <c r="J65" s="197"/>
    </row>
  </sheetData>
  <mergeCells count="57">
    <mergeCell ref="A2:A3"/>
    <mergeCell ref="B2:H3"/>
    <mergeCell ref="I2:I3"/>
    <mergeCell ref="J2:J3"/>
    <mergeCell ref="J4:J5"/>
    <mergeCell ref="D4:D5"/>
    <mergeCell ref="E4:E5"/>
    <mergeCell ref="F4:G4"/>
    <mergeCell ref="H4:I4"/>
    <mergeCell ref="A9:C9"/>
    <mergeCell ref="A10:C10"/>
    <mergeCell ref="A11:C11"/>
    <mergeCell ref="A13:C13"/>
    <mergeCell ref="A4:C5"/>
    <mergeCell ref="J15:J16"/>
    <mergeCell ref="A17:E17"/>
    <mergeCell ref="A18:E18"/>
    <mergeCell ref="A14:I14"/>
    <mergeCell ref="A15:E16"/>
    <mergeCell ref="F15:F16"/>
    <mergeCell ref="G15:G16"/>
    <mergeCell ref="H15:H16"/>
    <mergeCell ref="I15:I16"/>
    <mergeCell ref="H40:H41"/>
    <mergeCell ref="I40:I41"/>
    <mergeCell ref="J40:J41"/>
    <mergeCell ref="A25:E25"/>
    <mergeCell ref="A37:I37"/>
    <mergeCell ref="A38:E38"/>
    <mergeCell ref="G38:I38"/>
    <mergeCell ref="A39:I39"/>
    <mergeCell ref="J53:J54"/>
    <mergeCell ref="A56:D56"/>
    <mergeCell ref="A57:D57"/>
    <mergeCell ref="A58:D58"/>
    <mergeCell ref="A59:I59"/>
    <mergeCell ref="A53:D54"/>
    <mergeCell ref="E53:E54"/>
    <mergeCell ref="F53:G53"/>
    <mergeCell ref="H53:H54"/>
    <mergeCell ref="I53:I54"/>
    <mergeCell ref="A60:F60"/>
    <mergeCell ref="A61:F61"/>
    <mergeCell ref="A62:F62"/>
    <mergeCell ref="A19:E19"/>
    <mergeCell ref="A50:E50"/>
    <mergeCell ref="A51:E51"/>
    <mergeCell ref="A52:I52"/>
    <mergeCell ref="A43:E43"/>
    <mergeCell ref="A44:E44"/>
    <mergeCell ref="A45:E45"/>
    <mergeCell ref="A46:E46"/>
    <mergeCell ref="A47:E47"/>
    <mergeCell ref="A49:E49"/>
    <mergeCell ref="A40:E41"/>
    <mergeCell ref="F40:F41"/>
    <mergeCell ref="G40:G4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 t="e">
        <f>+Planilha!#REF!</f>
        <v>#REF!</v>
      </c>
      <c r="B3" s="1218" t="e">
        <f>+Planilha!#REF!</f>
        <v>#REF!</v>
      </c>
      <c r="C3" s="1219"/>
      <c r="D3" s="1219"/>
      <c r="E3" s="1219"/>
      <c r="F3" s="1219"/>
      <c r="G3" s="1219"/>
      <c r="H3" s="1220"/>
      <c r="I3" s="1224" t="e">
        <f>+Planilha!#REF!</f>
        <v>#REF!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x14ac:dyDescent="0.2">
      <c r="A5" s="1227" t="s">
        <v>75</v>
      </c>
      <c r="B5" s="1227"/>
      <c r="C5" s="1227"/>
      <c r="D5" s="1179" t="s">
        <v>60</v>
      </c>
      <c r="E5" s="1179" t="s">
        <v>76</v>
      </c>
      <c r="F5" s="1198" t="s">
        <v>77</v>
      </c>
      <c r="G5" s="1199"/>
      <c r="H5" s="1198" t="s">
        <v>78</v>
      </c>
      <c r="I5" s="1199"/>
      <c r="J5" s="1210" t="s">
        <v>79</v>
      </c>
    </row>
    <row r="6" spans="1:10" x14ac:dyDescent="0.2">
      <c r="A6" s="1227"/>
      <c r="B6" s="1227"/>
      <c r="C6" s="1227"/>
      <c r="D6" s="1180"/>
      <c r="E6" s="1180"/>
      <c r="F6" s="103" t="s">
        <v>80</v>
      </c>
      <c r="G6" s="34" t="s">
        <v>81</v>
      </c>
      <c r="H6" s="103" t="s">
        <v>80</v>
      </c>
      <c r="I6" s="103" t="s">
        <v>81</v>
      </c>
      <c r="J6" s="1210"/>
    </row>
    <row r="7" spans="1:10" x14ac:dyDescent="0.2">
      <c r="A7" s="1228" t="s">
        <v>142</v>
      </c>
      <c r="B7" s="1229"/>
      <c r="C7" s="1230"/>
      <c r="D7" s="35"/>
      <c r="E7" s="110">
        <v>0.05</v>
      </c>
      <c r="F7" s="36"/>
      <c r="G7" s="36"/>
      <c r="H7" s="36">
        <f>+J27</f>
        <v>11.1</v>
      </c>
      <c r="I7" s="36"/>
      <c r="J7" s="36">
        <f>TRUNC(H7*E7)</f>
        <v>0</v>
      </c>
    </row>
    <row r="8" spans="1:10" x14ac:dyDescent="0.2">
      <c r="A8" s="1231"/>
      <c r="B8" s="1232"/>
      <c r="C8" s="1233"/>
      <c r="D8" s="40"/>
      <c r="E8" s="36"/>
      <c r="F8" s="36"/>
      <c r="G8" s="36"/>
      <c r="H8" s="36"/>
      <c r="I8" s="36"/>
      <c r="J8" s="36"/>
    </row>
    <row r="9" spans="1:10" x14ac:dyDescent="0.2">
      <c r="A9" s="94"/>
      <c r="B9" s="95"/>
      <c r="C9" s="96"/>
      <c r="D9" s="40"/>
      <c r="E9" s="36"/>
      <c r="F9" s="36"/>
      <c r="G9" s="36"/>
      <c r="H9" s="36"/>
      <c r="I9" s="36"/>
      <c r="J9" s="36"/>
    </row>
    <row r="10" spans="1:10" x14ac:dyDescent="0.2">
      <c r="A10" s="1176"/>
      <c r="B10" s="1177"/>
      <c r="C10" s="1178"/>
      <c r="D10" s="40"/>
      <c r="E10" s="36"/>
      <c r="F10" s="36"/>
      <c r="G10" s="36"/>
      <c r="H10" s="36"/>
      <c r="I10" s="36"/>
      <c r="J10" s="36"/>
    </row>
    <row r="11" spans="1:10" x14ac:dyDescent="0.2">
      <c r="A11" s="1176"/>
      <c r="B11" s="1177"/>
      <c r="C11" s="1178"/>
      <c r="D11" s="40"/>
      <c r="E11" s="36"/>
      <c r="F11" s="36"/>
      <c r="G11" s="36"/>
      <c r="H11" s="36"/>
      <c r="I11" s="36"/>
      <c r="J11" s="36"/>
    </row>
    <row r="12" spans="1:10" x14ac:dyDescent="0.2">
      <c r="A12" s="1176"/>
      <c r="B12" s="1177"/>
      <c r="C12" s="1178"/>
      <c r="D12" s="40"/>
      <c r="E12" s="36"/>
      <c r="F12" s="36"/>
      <c r="G12" s="36"/>
      <c r="H12" s="36"/>
      <c r="I12" s="36"/>
      <c r="J12" s="36"/>
    </row>
    <row r="13" spans="1:10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x14ac:dyDescent="0.2">
      <c r="A14" s="1186"/>
      <c r="B14" s="1187"/>
      <c r="C14" s="1188"/>
      <c r="D14" s="41"/>
      <c r="E14" s="42"/>
      <c r="F14" s="42"/>
      <c r="G14" s="36"/>
      <c r="H14" s="36"/>
      <c r="I14" s="36"/>
      <c r="J14" s="36"/>
    </row>
    <row r="15" spans="1:10" x14ac:dyDescent="0.2">
      <c r="A15" s="1189" t="s">
        <v>82</v>
      </c>
      <c r="B15" s="1190"/>
      <c r="C15" s="1190"/>
      <c r="D15" s="1190"/>
      <c r="E15" s="1190"/>
      <c r="F15" s="1190"/>
      <c r="G15" s="1190"/>
      <c r="H15" s="1190"/>
      <c r="I15" s="1191"/>
      <c r="J15" s="43">
        <f>SUM(J7:J14)</f>
        <v>0</v>
      </c>
    </row>
    <row r="16" spans="1:10" x14ac:dyDescent="0.2">
      <c r="A16" s="1192" t="s">
        <v>83</v>
      </c>
      <c r="B16" s="1193"/>
      <c r="C16" s="1193"/>
      <c r="D16" s="1193"/>
      <c r="E16" s="1211"/>
      <c r="F16" s="1179" t="s">
        <v>60</v>
      </c>
      <c r="G16" s="1179" t="s">
        <v>84</v>
      </c>
      <c r="H16" s="1179" t="s">
        <v>76</v>
      </c>
      <c r="I16" s="1210" t="s">
        <v>85</v>
      </c>
      <c r="J16" s="1179" t="s">
        <v>79</v>
      </c>
    </row>
    <row r="17" spans="1:10" x14ac:dyDescent="0.2">
      <c r="A17" s="1194"/>
      <c r="B17" s="1195"/>
      <c r="C17" s="1195"/>
      <c r="D17" s="1195"/>
      <c r="E17" s="1212"/>
      <c r="F17" s="1180"/>
      <c r="G17" s="1180"/>
      <c r="H17" s="1180"/>
      <c r="I17" s="1210"/>
      <c r="J17" s="1180"/>
    </row>
    <row r="18" spans="1:10" x14ac:dyDescent="0.2">
      <c r="A18" s="1176" t="str">
        <f>VLOOKUP(F18,m.o.!A1:F153,2,FALSE)</f>
        <v>Ajudante de carpinteiro</v>
      </c>
      <c r="B18" s="1177"/>
      <c r="C18" s="1177"/>
      <c r="D18" s="1177"/>
      <c r="E18" s="1178"/>
      <c r="F18" s="44">
        <v>20039</v>
      </c>
      <c r="G18" s="45"/>
      <c r="H18" s="36">
        <v>0.8</v>
      </c>
      <c r="I18" s="36">
        <f>VLOOKUP(F18,m.o.!A1:F128,5,FALSE)</f>
        <v>4.5599999999999996</v>
      </c>
      <c r="J18" s="36">
        <f>TRUNC(H18*I18,2)</f>
        <v>3.64</v>
      </c>
    </row>
    <row r="19" spans="1:10" x14ac:dyDescent="0.2">
      <c r="A19" s="1176" t="str">
        <f>VLOOKUP(F19,m.o.!A2:F154,2,FALSE)</f>
        <v>Carpinteiro de O.A.E.</v>
      </c>
      <c r="B19" s="1177"/>
      <c r="C19" s="1177"/>
      <c r="D19" s="1177"/>
      <c r="E19" s="1178"/>
      <c r="F19" s="44">
        <v>20040</v>
      </c>
      <c r="G19" s="45"/>
      <c r="H19" s="36">
        <v>1</v>
      </c>
      <c r="I19" s="36">
        <f>VLOOKUP(F19,m.o.!A2:F129,5,FALSE)</f>
        <v>7.46</v>
      </c>
      <c r="J19" s="36">
        <f>TRUNC(H19*I19,2)</f>
        <v>7.46</v>
      </c>
    </row>
    <row r="20" spans="1:10" x14ac:dyDescent="0.2">
      <c r="A20" s="1176"/>
      <c r="B20" s="1177"/>
      <c r="C20" s="1177"/>
      <c r="D20" s="1177"/>
      <c r="E20" s="1178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186"/>
      <c r="B26" s="1187"/>
      <c r="C26" s="1187"/>
      <c r="D26" s="1187"/>
      <c r="E26" s="1188"/>
      <c r="F26" s="41"/>
      <c r="G26" s="47"/>
      <c r="H26" s="42"/>
      <c r="I26" s="42"/>
      <c r="J26" s="36"/>
    </row>
    <row r="27" spans="1:10" x14ac:dyDescent="0.2">
      <c r="A27" s="1189" t="s">
        <v>86</v>
      </c>
      <c r="B27" s="1190"/>
      <c r="C27" s="1190"/>
      <c r="D27" s="1190"/>
      <c r="E27" s="1190"/>
      <c r="F27" s="1190"/>
      <c r="G27" s="1190"/>
      <c r="H27" s="1190"/>
      <c r="I27" s="1191"/>
      <c r="J27" s="43">
        <f>ROUND(SUM(J18:J26),2)</f>
        <v>11.1</v>
      </c>
    </row>
    <row r="28" spans="1:10" x14ac:dyDescent="0.2">
      <c r="A28" s="1201" t="s">
        <v>87</v>
      </c>
      <c r="B28" s="1202"/>
      <c r="C28" s="1202"/>
      <c r="D28" s="1202"/>
      <c r="E28" s="1202"/>
      <c r="F28" s="42">
        <v>0.83</v>
      </c>
      <c r="G28" s="1201" t="s">
        <v>88</v>
      </c>
      <c r="H28" s="1202"/>
      <c r="I28" s="1202"/>
      <c r="J28" s="48">
        <f>+J27+J15</f>
        <v>11.1</v>
      </c>
    </row>
    <row r="29" spans="1:10" x14ac:dyDescent="0.2">
      <c r="A29" s="1174" t="s">
        <v>89</v>
      </c>
      <c r="B29" s="1175"/>
      <c r="C29" s="1175"/>
      <c r="D29" s="1175"/>
      <c r="E29" s="1175"/>
      <c r="F29" s="1175"/>
      <c r="G29" s="1175"/>
      <c r="H29" s="1175"/>
      <c r="I29" s="1203"/>
      <c r="J29" s="43">
        <f>TRUNC(J28/F28,2)</f>
        <v>13.37</v>
      </c>
    </row>
    <row r="30" spans="1:10" x14ac:dyDescent="0.2">
      <c r="A30" s="1204" t="s">
        <v>90</v>
      </c>
      <c r="B30" s="1205"/>
      <c r="C30" s="1205"/>
      <c r="D30" s="1205"/>
      <c r="E30" s="1206"/>
      <c r="F30" s="1179" t="s">
        <v>60</v>
      </c>
      <c r="G30" s="1179" t="s">
        <v>1</v>
      </c>
      <c r="H30" s="1210" t="s">
        <v>64</v>
      </c>
      <c r="I30" s="1179" t="s">
        <v>91</v>
      </c>
      <c r="J30" s="1179" t="s">
        <v>92</v>
      </c>
    </row>
    <row r="31" spans="1:10" x14ac:dyDescent="0.2">
      <c r="A31" s="1207"/>
      <c r="B31" s="1208"/>
      <c r="C31" s="1208"/>
      <c r="D31" s="1208"/>
      <c r="E31" s="1209"/>
      <c r="F31" s="1180"/>
      <c r="G31" s="1180"/>
      <c r="H31" s="1210"/>
      <c r="I31" s="1180"/>
      <c r="J31" s="1180"/>
    </row>
    <row r="32" spans="1:10" x14ac:dyDescent="0.2">
      <c r="A32" s="1176" t="str">
        <f>VLOOKUP(F32,mat.!$A$3:$D$642,2,FALSE)</f>
        <v>Caibros 7 X 7 cm</v>
      </c>
      <c r="B32" s="1177"/>
      <c r="C32" s="1177"/>
      <c r="D32" s="1177"/>
      <c r="E32" s="1178"/>
      <c r="F32" s="44">
        <v>10062</v>
      </c>
      <c r="G32" s="54" t="str">
        <f>VLOOKUP(F32,mat.!$A$3:$D$638,3,FALSE)</f>
        <v>m</v>
      </c>
      <c r="H32" s="54">
        <f>VLOOKUP(F32,mat.!$A$3:$E$638,4,FALSE)</f>
        <v>7.92</v>
      </c>
      <c r="I32" s="55">
        <v>3</v>
      </c>
      <c r="J32" s="36">
        <f>TRUNC(I32*H32,2)</f>
        <v>23.76</v>
      </c>
    </row>
    <row r="33" spans="1:13" ht="12.95" customHeight="1" x14ac:dyDescent="0.2">
      <c r="A33" s="1176" t="str">
        <f>VLOOKUP(F33,mat.!$A$3:$D$642,2,FALSE)</f>
        <v>Madeira roliça (aprox. 8,00m - D=0,15m)</v>
      </c>
      <c r="B33" s="1177"/>
      <c r="C33" s="1177"/>
      <c r="D33" s="1177"/>
      <c r="E33" s="1178"/>
      <c r="F33" s="114">
        <v>10071</v>
      </c>
      <c r="G33" s="54" t="str">
        <f>VLOOKUP(F33,mat.!$A$3:$D$638,3,FALSE)</f>
        <v>m</v>
      </c>
      <c r="H33" s="54">
        <f>VLOOKUP(F33,mat.!$A$3:$E$638,4,FALSE)</f>
        <v>21.21</v>
      </c>
      <c r="I33" s="55">
        <v>3</v>
      </c>
      <c r="J33" s="36">
        <f>TRUNC(I33*H33,2)</f>
        <v>63.63</v>
      </c>
    </row>
    <row r="34" spans="1:13" ht="12.95" customHeight="1" x14ac:dyDescent="0.2">
      <c r="A34" s="1176" t="str">
        <f>VLOOKUP(F34,mat.!$A$3:$D$642,2,FALSE)</f>
        <v>Prego 18 X 24</v>
      </c>
      <c r="B34" s="1177"/>
      <c r="C34" s="1177"/>
      <c r="D34" s="1177"/>
      <c r="E34" s="1178"/>
      <c r="F34" s="114">
        <v>10135</v>
      </c>
      <c r="G34" s="54" t="str">
        <f>VLOOKUP(F34,mat.!$A$3:$D$638,3,FALSE)</f>
        <v>kg</v>
      </c>
      <c r="H34" s="54">
        <f>VLOOKUP(F34,mat.!$A$3:$E$638,4,FALSE)</f>
        <v>10.54</v>
      </c>
      <c r="I34" s="55">
        <v>0.2</v>
      </c>
      <c r="J34" s="36">
        <f>TRUNC(I34*H34,2)</f>
        <v>2.1</v>
      </c>
    </row>
    <row r="35" spans="1:13" ht="12.95" customHeight="1" x14ac:dyDescent="0.2">
      <c r="A35" s="1176" t="str">
        <f>VLOOKUP(F35,mat.!$A$3:$D$642,2,FALSE)</f>
        <v>Taipá de 1ª com 2,5 cm</v>
      </c>
      <c r="B35" s="1177"/>
      <c r="C35" s="1177"/>
      <c r="D35" s="1177"/>
      <c r="E35" s="1178"/>
      <c r="F35" s="114">
        <v>10057</v>
      </c>
      <c r="G35" s="54" t="str">
        <f>VLOOKUP(F35,mat.!$A$3:$D$638,3,FALSE)</f>
        <v>m3</v>
      </c>
      <c r="H35" s="54">
        <f>VLOOKUP(F35,mat.!$A$3:$E$638,4,FALSE)</f>
        <v>1246.67</v>
      </c>
      <c r="I35" s="55">
        <v>2.5000000000000001E-2</v>
      </c>
      <c r="J35" s="36">
        <f>TRUNC(I35*H35,2)</f>
        <v>31.16</v>
      </c>
    </row>
    <row r="36" spans="1:13" ht="12.95" customHeight="1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ht="12.95" customHeight="1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ht="12.95" customHeight="1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ht="12.95" customHeight="1" x14ac:dyDescent="0.2">
      <c r="A39" s="1176"/>
      <c r="B39" s="1177"/>
      <c r="C39" s="1177"/>
      <c r="D39" s="1177"/>
      <c r="E39" s="1178"/>
      <c r="F39" s="52"/>
      <c r="G39" s="53"/>
      <c r="H39" s="54"/>
      <c r="I39" s="55"/>
      <c r="J39" s="36"/>
    </row>
    <row r="40" spans="1:13" ht="12.95" customHeight="1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3" ht="12.95" customHeight="1" x14ac:dyDescent="0.2">
      <c r="A41" s="1186"/>
      <c r="B41" s="1187"/>
      <c r="C41" s="1187"/>
      <c r="D41" s="1187"/>
      <c r="E41" s="1188"/>
      <c r="F41" s="58"/>
      <c r="G41" s="59"/>
      <c r="H41" s="60"/>
      <c r="I41" s="55"/>
      <c r="J41" s="36"/>
    </row>
    <row r="42" spans="1:13" x14ac:dyDescent="0.2">
      <c r="A42" s="1189" t="s">
        <v>93</v>
      </c>
      <c r="B42" s="1190"/>
      <c r="C42" s="1190"/>
      <c r="D42" s="1190"/>
      <c r="E42" s="1190"/>
      <c r="F42" s="1190"/>
      <c r="G42" s="1190"/>
      <c r="H42" s="1190"/>
      <c r="I42" s="1191"/>
      <c r="J42" s="43">
        <f>ROUND(SUM(J32:J41),2)</f>
        <v>120.65</v>
      </c>
    </row>
    <row r="43" spans="1:13" x14ac:dyDescent="0.2">
      <c r="A43" s="1192" t="s">
        <v>94</v>
      </c>
      <c r="B43" s="1193"/>
      <c r="C43" s="1193"/>
      <c r="D43" s="1193"/>
      <c r="E43" s="1196" t="s">
        <v>60</v>
      </c>
      <c r="F43" s="1198" t="s">
        <v>95</v>
      </c>
      <c r="G43" s="1199"/>
      <c r="H43" s="1200" t="s">
        <v>96</v>
      </c>
      <c r="I43" s="1200" t="s">
        <v>97</v>
      </c>
      <c r="J43" s="1179" t="s">
        <v>64</v>
      </c>
    </row>
    <row r="44" spans="1:13" x14ac:dyDescent="0.2">
      <c r="A44" s="1194"/>
      <c r="B44" s="1195"/>
      <c r="C44" s="1195"/>
      <c r="D44" s="1195"/>
      <c r="E44" s="1197"/>
      <c r="F44" s="103" t="s">
        <v>21</v>
      </c>
      <c r="G44" s="103" t="s">
        <v>20</v>
      </c>
      <c r="H44" s="1200"/>
      <c r="I44" s="1200"/>
      <c r="J44" s="1180"/>
    </row>
    <row r="45" spans="1:13" x14ac:dyDescent="0.2">
      <c r="A45" s="49" t="str">
        <f>VLOOKUP(E45,tranp.!A4:J43,4,FALSE)</f>
        <v>0,676XP + 0,703XR</v>
      </c>
      <c r="B45" s="104"/>
      <c r="C45" s="104" t="s">
        <v>170</v>
      </c>
      <c r="D45" s="105"/>
      <c r="E45" s="106">
        <v>60013</v>
      </c>
      <c r="F45" s="61">
        <v>24</v>
      </c>
      <c r="G45" s="36">
        <v>0</v>
      </c>
      <c r="H45" s="36">
        <f>TRUNC(F45*K45+G45*L45+M45,2)</f>
        <v>16.22</v>
      </c>
      <c r="I45" s="62">
        <v>0.154</v>
      </c>
      <c r="J45" s="36">
        <f>TRUNC(I45*H45,2)</f>
        <v>2.4900000000000002</v>
      </c>
      <c r="K45" s="22">
        <f>VLOOKUP(E45,tranp.!A4:K21,5,FALSE)</f>
        <v>0.67600000000000005</v>
      </c>
      <c r="L45" s="22">
        <f>VLOOKUP(E45,tranp.!A5:G19,6,FALSE)</f>
        <v>0.70299999999999996</v>
      </c>
      <c r="M45" s="22">
        <f>VLOOKUP(E45,tranp.!A5:G19,7,FALSE)</f>
        <v>0</v>
      </c>
    </row>
    <row r="46" spans="1:13" x14ac:dyDescent="0.2">
      <c r="A46" s="107" t="str">
        <f>VLOOKUP(E46,tranp.!A5:J44,4,FALSE)</f>
        <v>0,676XP + 0,703XR</v>
      </c>
      <c r="B46" s="108"/>
      <c r="C46" s="108" t="s">
        <v>171</v>
      </c>
      <c r="D46" s="109"/>
      <c r="E46" s="118">
        <v>60013</v>
      </c>
      <c r="F46" s="54">
        <v>24</v>
      </c>
      <c r="G46" s="54">
        <v>0</v>
      </c>
      <c r="H46" s="36">
        <f>TRUNC(F46*K46+G46*L46+M46,2)</f>
        <v>16.22</v>
      </c>
      <c r="I46" s="63">
        <v>0.42399999999999999</v>
      </c>
      <c r="J46" s="54">
        <f>+I46*H46</f>
        <v>6.88</v>
      </c>
      <c r="K46" s="22">
        <f>VLOOKUP(E46,tranp.!A5:K36,5,FALSE)</f>
        <v>0.67600000000000005</v>
      </c>
      <c r="L46" s="22">
        <f>VLOOKUP(E46,tranp.!A6:G21,6,FALSE)</f>
        <v>0.70299999999999996</v>
      </c>
      <c r="M46" s="22">
        <f>VLOOKUP(E46,tranp.!A6:G21,7,FALSE)</f>
        <v>0</v>
      </c>
    </row>
    <row r="47" spans="1:13" x14ac:dyDescent="0.2">
      <c r="A47" s="107" t="str">
        <f>VLOOKUP(E47,tranp.!A6:J45,4,FALSE)</f>
        <v>0,676XP + 0,703XR</v>
      </c>
      <c r="B47" s="108"/>
      <c r="C47" s="108" t="s">
        <v>172</v>
      </c>
      <c r="D47" s="109"/>
      <c r="E47" s="119">
        <v>60013</v>
      </c>
      <c r="F47" s="36">
        <v>24</v>
      </c>
      <c r="G47" s="36">
        <v>0</v>
      </c>
      <c r="H47" s="36">
        <f>TRUNC(F47*K47+G47*L47+M47,2)</f>
        <v>16.22</v>
      </c>
      <c r="I47" s="62">
        <v>0.02</v>
      </c>
      <c r="J47" s="54">
        <f>+I47*H47</f>
        <v>0.32</v>
      </c>
      <c r="K47" s="22">
        <f>VLOOKUP(E47,tranp.!A6:K37,5,FALSE)</f>
        <v>0.67600000000000005</v>
      </c>
      <c r="L47" s="22">
        <f>VLOOKUP(E47,tranp.!A7:G36,6,FALSE)</f>
        <v>0.70299999999999996</v>
      </c>
      <c r="M47" s="22">
        <f>VLOOKUP(E47,tranp.!A7:G36,7,FALSE)</f>
        <v>0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181" t="s">
        <v>98</v>
      </c>
      <c r="B49" s="1182"/>
      <c r="C49" s="1182"/>
      <c r="D49" s="1182"/>
      <c r="E49" s="1182"/>
      <c r="F49" s="1182"/>
      <c r="G49" s="1182"/>
      <c r="H49" s="1182"/>
      <c r="I49" s="1183"/>
      <c r="J49" s="64">
        <f>SUM(J45:J48)</f>
        <v>9.69</v>
      </c>
    </row>
    <row r="50" spans="1:10" x14ac:dyDescent="0.2">
      <c r="A50" s="1184" t="s">
        <v>99</v>
      </c>
      <c r="B50" s="1185"/>
      <c r="C50" s="1185"/>
      <c r="D50" s="1185"/>
      <c r="E50" s="1185"/>
      <c r="F50" s="1185"/>
      <c r="G50" s="102" t="s">
        <v>100</v>
      </c>
      <c r="H50" s="25"/>
      <c r="I50" s="66" t="s">
        <v>101</v>
      </c>
      <c r="J50" s="61">
        <f>J49+J42+J29</f>
        <v>143.71</v>
      </c>
    </row>
    <row r="51" spans="1:10" x14ac:dyDescent="0.2">
      <c r="A51" s="1172" t="s">
        <v>102</v>
      </c>
      <c r="B51" s="1173"/>
      <c r="C51" s="1173"/>
      <c r="D51" s="1173"/>
      <c r="E51" s="1173"/>
      <c r="F51" s="1173"/>
      <c r="G51" s="67">
        <v>0.35</v>
      </c>
      <c r="H51" s="68"/>
      <c r="I51" s="69" t="s">
        <v>101</v>
      </c>
      <c r="J51" s="48">
        <f>+J50*G51</f>
        <v>50.3</v>
      </c>
    </row>
    <row r="52" spans="1:10" x14ac:dyDescent="0.2">
      <c r="A52" s="1174" t="s">
        <v>103</v>
      </c>
      <c r="B52" s="1175"/>
      <c r="C52" s="1175"/>
      <c r="D52" s="1175"/>
      <c r="E52" s="1175"/>
      <c r="F52" s="1175"/>
      <c r="G52" s="98"/>
      <c r="H52" s="71"/>
      <c r="I52" s="97" t="s">
        <v>101</v>
      </c>
      <c r="J52" s="43">
        <f>+J51+J50</f>
        <v>194.01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5">
    <mergeCell ref="A14:C14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8"/>
    <mergeCell ref="A10:C10"/>
    <mergeCell ref="A11:C11"/>
    <mergeCell ref="A12:C12"/>
    <mergeCell ref="A27:I27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J30:J31"/>
    <mergeCell ref="A33:E33"/>
    <mergeCell ref="A34:E34"/>
    <mergeCell ref="A35:E35"/>
    <mergeCell ref="A28:E28"/>
    <mergeCell ref="G28:I28"/>
    <mergeCell ref="A29:I29"/>
    <mergeCell ref="A30:E31"/>
    <mergeCell ref="F30:F31"/>
    <mergeCell ref="G30:G31"/>
    <mergeCell ref="H30:H31"/>
    <mergeCell ref="I30:I31"/>
    <mergeCell ref="A51:F51"/>
    <mergeCell ref="A52:F52"/>
    <mergeCell ref="A32:E32"/>
    <mergeCell ref="J43:J44"/>
    <mergeCell ref="A49:I49"/>
    <mergeCell ref="A50:F50"/>
    <mergeCell ref="A39:E39"/>
    <mergeCell ref="A40:E40"/>
    <mergeCell ref="A41:E41"/>
    <mergeCell ref="A42:I42"/>
    <mergeCell ref="A43:D44"/>
    <mergeCell ref="E43:E44"/>
    <mergeCell ref="F43:G43"/>
    <mergeCell ref="H43:H44"/>
    <mergeCell ref="I43:I4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topLeftCell="A13"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 t="e">
        <f>+Planilha!#REF!</f>
        <v>#REF!</v>
      </c>
      <c r="B3" s="1218" t="e">
        <f>+Planilha!#REF!</f>
        <v>#REF!</v>
      </c>
      <c r="C3" s="1219"/>
      <c r="D3" s="1219"/>
      <c r="E3" s="1219"/>
      <c r="F3" s="1219"/>
      <c r="G3" s="1219"/>
      <c r="H3" s="1220"/>
      <c r="I3" s="1224" t="e">
        <f>+Planilha!#REF!</f>
        <v>#REF!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x14ac:dyDescent="0.2">
      <c r="A5" s="1227" t="s">
        <v>75</v>
      </c>
      <c r="B5" s="1227"/>
      <c r="C5" s="1227"/>
      <c r="D5" s="1179" t="s">
        <v>60</v>
      </c>
      <c r="E5" s="1179" t="s">
        <v>76</v>
      </c>
      <c r="F5" s="1198" t="s">
        <v>77</v>
      </c>
      <c r="G5" s="1199"/>
      <c r="H5" s="1198" t="s">
        <v>78</v>
      </c>
      <c r="I5" s="1199"/>
      <c r="J5" s="1210" t="s">
        <v>79</v>
      </c>
    </row>
    <row r="6" spans="1:10" x14ac:dyDescent="0.2">
      <c r="A6" s="1227"/>
      <c r="B6" s="1227"/>
      <c r="C6" s="1227"/>
      <c r="D6" s="1180"/>
      <c r="E6" s="1180"/>
      <c r="F6" s="103" t="s">
        <v>80</v>
      </c>
      <c r="G6" s="34" t="s">
        <v>81</v>
      </c>
      <c r="H6" s="103" t="s">
        <v>80</v>
      </c>
      <c r="I6" s="103" t="s">
        <v>81</v>
      </c>
      <c r="J6" s="1210"/>
    </row>
    <row r="7" spans="1:10" ht="15" customHeight="1" x14ac:dyDescent="0.2">
      <c r="A7" s="1237" t="str">
        <f>VLOOKUP(D7,equip.!A1:G154,2,FALSE)</f>
        <v>Betoneira 600 l com carregador (elétrica)</v>
      </c>
      <c r="B7" s="1238"/>
      <c r="C7" s="1239"/>
      <c r="D7" s="35">
        <v>30070</v>
      </c>
      <c r="E7" s="36">
        <v>1</v>
      </c>
      <c r="F7" s="36">
        <v>1</v>
      </c>
      <c r="G7" s="36">
        <v>0</v>
      </c>
      <c r="H7" s="36">
        <f>VLOOKUP(D7,equip.!A1:G130,6,FALSE)</f>
        <v>24.55</v>
      </c>
      <c r="I7" s="36">
        <f>VLOOKUP(D7,equip.!A1:AB130,7,FALSE)</f>
        <v>19.8</v>
      </c>
      <c r="J7" s="36">
        <f>TRUNC(E7*F7*H7+E7*G7*I7,2)</f>
        <v>24.55</v>
      </c>
    </row>
    <row r="8" spans="1:10" ht="15" customHeight="1" x14ac:dyDescent="0.2">
      <c r="A8" s="1234" t="str">
        <f>VLOOKUP(D8,equip.!A2:G155,2,FALSE)</f>
        <v>Carrinho de mão</v>
      </c>
      <c r="B8" s="1235"/>
      <c r="C8" s="1236"/>
      <c r="D8" s="40">
        <v>30076</v>
      </c>
      <c r="E8" s="36">
        <v>3</v>
      </c>
      <c r="F8" s="36">
        <v>1</v>
      </c>
      <c r="G8" s="36">
        <v>0</v>
      </c>
      <c r="H8" s="36">
        <f>VLOOKUP(D8,equip.!A2:G131,6,FALSE)</f>
        <v>0.18</v>
      </c>
      <c r="I8" s="36">
        <f>VLOOKUP(D8,equip.!A2:AB131,7,FALSE)</f>
        <v>0.12</v>
      </c>
      <c r="J8" s="36">
        <f>TRUNC(E8*F8*H8+E8*G8*I8,2)</f>
        <v>0.54</v>
      </c>
    </row>
    <row r="9" spans="1:10" ht="30" customHeight="1" x14ac:dyDescent="0.2">
      <c r="A9" s="1234" t="str">
        <f>VLOOKUP(D9,equip.!A3:G156,2,FALSE)</f>
        <v>Vibrador de imersao AA67 c/ mangote, marca de referência ATLAS COPCO ou equivalente</v>
      </c>
      <c r="B9" s="1235"/>
      <c r="C9" s="1236"/>
      <c r="D9" s="40">
        <v>30071</v>
      </c>
      <c r="E9" s="36">
        <v>2</v>
      </c>
      <c r="F9" s="36">
        <v>1</v>
      </c>
      <c r="G9" s="36">
        <v>0</v>
      </c>
      <c r="H9" s="36">
        <f>VLOOKUP(D9,equip.!A3:G132,6,FALSE)</f>
        <v>15.14</v>
      </c>
      <c r="I9" s="36">
        <f>VLOOKUP(D9,equip.!A3:AB132,7,FALSE)</f>
        <v>12.3</v>
      </c>
      <c r="J9" s="36">
        <f>TRUNC(E9*F9*H9+E9*G9*I9,2)</f>
        <v>30.28</v>
      </c>
    </row>
    <row r="10" spans="1:10" x14ac:dyDescent="0.2">
      <c r="A10" s="94" t="s">
        <v>173</v>
      </c>
      <c r="B10" s="95"/>
      <c r="C10" s="96"/>
      <c r="D10" s="35"/>
      <c r="E10" s="110">
        <v>0.05</v>
      </c>
      <c r="F10" s="36"/>
      <c r="G10" s="36"/>
      <c r="H10" s="36">
        <f>+J27</f>
        <v>67.540000000000006</v>
      </c>
      <c r="I10" s="36"/>
      <c r="J10" s="36">
        <f>TRUNC(H10*E10,2)</f>
        <v>3.37</v>
      </c>
    </row>
    <row r="11" spans="1:10" ht="15" customHeight="1" x14ac:dyDescent="0.2">
      <c r="A11" s="1176"/>
      <c r="B11" s="1177"/>
      <c r="C11" s="1178"/>
      <c r="D11" s="40"/>
      <c r="E11" s="36"/>
      <c r="F11" s="36"/>
      <c r="G11" s="36"/>
      <c r="H11" s="36"/>
      <c r="I11" s="36"/>
      <c r="J11" s="36"/>
    </row>
    <row r="12" spans="1:10" ht="15" customHeight="1" x14ac:dyDescent="0.2">
      <c r="A12" s="1176"/>
      <c r="B12" s="1177"/>
      <c r="C12" s="1178"/>
      <c r="D12" s="40"/>
      <c r="E12" s="36"/>
      <c r="F12" s="36"/>
      <c r="G12" s="36"/>
      <c r="H12" s="36"/>
      <c r="I12" s="36"/>
      <c r="J12" s="36"/>
    </row>
    <row r="13" spans="1:10" ht="15" customHeight="1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ht="15" customHeight="1" x14ac:dyDescent="0.2">
      <c r="A14" s="1186"/>
      <c r="B14" s="1187"/>
      <c r="C14" s="1188"/>
      <c r="D14" s="41"/>
      <c r="E14" s="42"/>
      <c r="F14" s="42"/>
      <c r="G14" s="36"/>
      <c r="H14" s="36"/>
      <c r="I14" s="36"/>
      <c r="J14" s="36"/>
    </row>
    <row r="15" spans="1:10" x14ac:dyDescent="0.2">
      <c r="A15" s="1189" t="s">
        <v>82</v>
      </c>
      <c r="B15" s="1190"/>
      <c r="C15" s="1190"/>
      <c r="D15" s="1190"/>
      <c r="E15" s="1190"/>
      <c r="F15" s="1190"/>
      <c r="G15" s="1190"/>
      <c r="H15" s="1190"/>
      <c r="I15" s="1191"/>
      <c r="J15" s="43">
        <f>SUM(J7:J14)</f>
        <v>58.74</v>
      </c>
    </row>
    <row r="16" spans="1:10" x14ac:dyDescent="0.2">
      <c r="A16" s="1192" t="s">
        <v>83</v>
      </c>
      <c r="B16" s="1193"/>
      <c r="C16" s="1193"/>
      <c r="D16" s="1193"/>
      <c r="E16" s="1211"/>
      <c r="F16" s="1179" t="s">
        <v>60</v>
      </c>
      <c r="G16" s="1179" t="s">
        <v>84</v>
      </c>
      <c r="H16" s="1179" t="s">
        <v>76</v>
      </c>
      <c r="I16" s="1210" t="s">
        <v>85</v>
      </c>
      <c r="J16" s="1179" t="s">
        <v>79</v>
      </c>
    </row>
    <row r="17" spans="1:10" x14ac:dyDescent="0.2">
      <c r="A17" s="1194"/>
      <c r="B17" s="1195"/>
      <c r="C17" s="1195"/>
      <c r="D17" s="1195"/>
      <c r="E17" s="1212"/>
      <c r="F17" s="1180"/>
      <c r="G17" s="1180"/>
      <c r="H17" s="1180"/>
      <c r="I17" s="1210"/>
      <c r="J17" s="1180"/>
    </row>
    <row r="18" spans="1:10" x14ac:dyDescent="0.2">
      <c r="A18" s="1176" t="str">
        <f>VLOOKUP(F18,m.o.!A1:F153,2,FALSE)</f>
        <v>Encarregado de O.A.C.</v>
      </c>
      <c r="B18" s="1177"/>
      <c r="C18" s="1177"/>
      <c r="D18" s="1177"/>
      <c r="E18" s="1178"/>
      <c r="F18" s="44">
        <v>20060</v>
      </c>
      <c r="G18" s="45"/>
      <c r="H18" s="36">
        <v>1</v>
      </c>
      <c r="I18" s="36">
        <f>VLOOKUP(F18,m.o.!A1:F128,5,FALSE)</f>
        <v>10.220000000000001</v>
      </c>
      <c r="J18" s="36">
        <f>TRUNC(H18*I18,2)</f>
        <v>10.220000000000001</v>
      </c>
    </row>
    <row r="19" spans="1:10" x14ac:dyDescent="0.2">
      <c r="A19" s="1176" t="str">
        <f>VLOOKUP(F19,m.o.!A2:F154,2,FALSE)</f>
        <v>Operário braçal</v>
      </c>
      <c r="B19" s="1177"/>
      <c r="C19" s="1177"/>
      <c r="D19" s="1177"/>
      <c r="E19" s="1178"/>
      <c r="F19" s="44">
        <v>20107</v>
      </c>
      <c r="G19" s="45"/>
      <c r="H19" s="36">
        <v>10</v>
      </c>
      <c r="I19" s="36">
        <f>VLOOKUP(F19,m.o.!A2:F129,5,FALSE)</f>
        <v>4.6100000000000003</v>
      </c>
      <c r="J19" s="36">
        <f>TRUNC(H19*I19,2)</f>
        <v>46.1</v>
      </c>
    </row>
    <row r="20" spans="1:10" ht="15" customHeight="1" x14ac:dyDescent="0.2">
      <c r="A20" s="1176" t="str">
        <f>VLOOKUP(F20,m.o.!A4:F155,2,FALSE)</f>
        <v>Pedreiro de O.A.C.</v>
      </c>
      <c r="B20" s="1177"/>
      <c r="C20" s="1177"/>
      <c r="D20" s="1177"/>
      <c r="E20" s="1178"/>
      <c r="F20" s="44">
        <v>20109</v>
      </c>
      <c r="G20" s="45"/>
      <c r="H20" s="36">
        <v>2</v>
      </c>
      <c r="I20" s="36">
        <f>VLOOKUP(F20,m.o.!A4:F130,5,FALSE)</f>
        <v>5.61</v>
      </c>
      <c r="J20" s="36">
        <f>TRUNC(H20*I20,2)</f>
        <v>11.22</v>
      </c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hidden="1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186"/>
      <c r="B26" s="1187"/>
      <c r="C26" s="1187"/>
      <c r="D26" s="1187"/>
      <c r="E26" s="1188"/>
      <c r="F26" s="41"/>
      <c r="G26" s="47"/>
      <c r="H26" s="42"/>
      <c r="I26" s="42"/>
      <c r="J26" s="36"/>
    </row>
    <row r="27" spans="1:10" x14ac:dyDescent="0.2">
      <c r="A27" s="1189" t="s">
        <v>86</v>
      </c>
      <c r="B27" s="1190"/>
      <c r="C27" s="1190"/>
      <c r="D27" s="1190"/>
      <c r="E27" s="1190"/>
      <c r="F27" s="1190"/>
      <c r="G27" s="1190"/>
      <c r="H27" s="1190"/>
      <c r="I27" s="1191"/>
      <c r="J27" s="43">
        <f>ROUND(SUM(J18:J26),2)</f>
        <v>67.540000000000006</v>
      </c>
    </row>
    <row r="28" spans="1:10" x14ac:dyDescent="0.2">
      <c r="A28" s="1201" t="s">
        <v>87</v>
      </c>
      <c r="B28" s="1202"/>
      <c r="C28" s="1202"/>
      <c r="D28" s="1202"/>
      <c r="E28" s="1202"/>
      <c r="F28" s="42">
        <v>1</v>
      </c>
      <c r="G28" s="1201" t="s">
        <v>88</v>
      </c>
      <c r="H28" s="1202"/>
      <c r="I28" s="1202"/>
      <c r="J28" s="48">
        <f>+J27+J15</f>
        <v>126.28</v>
      </c>
    </row>
    <row r="29" spans="1:10" x14ac:dyDescent="0.2">
      <c r="A29" s="1174" t="s">
        <v>89</v>
      </c>
      <c r="B29" s="1175"/>
      <c r="C29" s="1175"/>
      <c r="D29" s="1175"/>
      <c r="E29" s="1175"/>
      <c r="F29" s="1175"/>
      <c r="G29" s="1175"/>
      <c r="H29" s="1175"/>
      <c r="I29" s="1203"/>
      <c r="J29" s="43">
        <f>TRUNC(J28/F28,2)</f>
        <v>126.28</v>
      </c>
    </row>
    <row r="30" spans="1:10" x14ac:dyDescent="0.2">
      <c r="A30" s="1204" t="s">
        <v>90</v>
      </c>
      <c r="B30" s="1205"/>
      <c r="C30" s="1205"/>
      <c r="D30" s="1205"/>
      <c r="E30" s="1206"/>
      <c r="F30" s="1179" t="s">
        <v>60</v>
      </c>
      <c r="G30" s="1179" t="s">
        <v>1</v>
      </c>
      <c r="H30" s="1210" t="s">
        <v>64</v>
      </c>
      <c r="I30" s="1179" t="s">
        <v>91</v>
      </c>
      <c r="J30" s="1179" t="s">
        <v>92</v>
      </c>
    </row>
    <row r="31" spans="1:10" x14ac:dyDescent="0.2">
      <c r="A31" s="1207"/>
      <c r="B31" s="1208"/>
      <c r="C31" s="1208"/>
      <c r="D31" s="1208"/>
      <c r="E31" s="1209"/>
      <c r="F31" s="1180"/>
      <c r="G31" s="1180"/>
      <c r="H31" s="1210"/>
      <c r="I31" s="1180"/>
      <c r="J31" s="1180"/>
    </row>
    <row r="32" spans="1:10" x14ac:dyDescent="0.2">
      <c r="A32" s="1176" t="str">
        <f>VLOOKUP(F32,mat.!$A$3:$D$642,2,FALSE)</f>
        <v>Areia grossa jazida com carregamento mecânico</v>
      </c>
      <c r="B32" s="1177"/>
      <c r="C32" s="1177"/>
      <c r="D32" s="1177"/>
      <c r="E32" s="1178"/>
      <c r="F32" s="44">
        <v>10109</v>
      </c>
      <c r="G32" s="54" t="str">
        <f>VLOOKUP(F32,mat.!$A$3:$D$638,3,FALSE)</f>
        <v>m3</v>
      </c>
      <c r="H32" s="54">
        <f>VLOOKUP(F32,mat.!$A$3:$E$638,4,FALSE)</f>
        <v>64.22</v>
      </c>
      <c r="I32" s="55">
        <v>3</v>
      </c>
      <c r="J32" s="36">
        <f>TRUNC(I32*H32,2)</f>
        <v>192.66</v>
      </c>
    </row>
    <row r="33" spans="1:13" x14ac:dyDescent="0.2">
      <c r="A33" s="1176" t="str">
        <f>VLOOKUP(F33,mat.!$A$3:$D$642,2,FALSE)</f>
        <v>Cimento CP III</v>
      </c>
      <c r="B33" s="1177"/>
      <c r="C33" s="1177"/>
      <c r="D33" s="1177"/>
      <c r="E33" s="1178"/>
      <c r="F33" s="114">
        <v>10092</v>
      </c>
      <c r="G33" s="54" t="str">
        <f>VLOOKUP(F33,mat.!$A$3:$D$638,3,FALSE)</f>
        <v>kg</v>
      </c>
      <c r="H33" s="54">
        <f>VLOOKUP(F33,mat.!$A$3:$E$638,4,FALSE)</f>
        <v>0.38</v>
      </c>
      <c r="I33" s="55">
        <v>3</v>
      </c>
      <c r="J33" s="36">
        <f>TRUNC(I33*H33,2)</f>
        <v>1.1399999999999999</v>
      </c>
    </row>
    <row r="34" spans="1:13" x14ac:dyDescent="0.2">
      <c r="A34" s="1176" t="str">
        <f>VLOOKUP(F34,mat.!$A$3:$D$642,2,FALSE)</f>
        <v>Pedra britada p/ concreto, sem frete</v>
      </c>
      <c r="B34" s="1177"/>
      <c r="C34" s="1177"/>
      <c r="D34" s="1177"/>
      <c r="E34" s="1178"/>
      <c r="F34" s="114">
        <v>10125</v>
      </c>
      <c r="G34" s="54" t="str">
        <f>VLOOKUP(F34,mat.!$A$3:$D$638,3,FALSE)</f>
        <v>m3</v>
      </c>
      <c r="H34" s="54">
        <f>VLOOKUP(F34,mat.!$A$3:$E$638,4,FALSE)</f>
        <v>60.76</v>
      </c>
      <c r="I34" s="55">
        <v>0.2</v>
      </c>
      <c r="J34" s="36">
        <f>TRUNC(I34*H34,2)</f>
        <v>12.15</v>
      </c>
    </row>
    <row r="35" spans="1:13" x14ac:dyDescent="0.2">
      <c r="A35" s="1176"/>
      <c r="B35" s="1177"/>
      <c r="C35" s="1177"/>
      <c r="D35" s="1177"/>
      <c r="E35" s="1178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176"/>
      <c r="B39" s="1177"/>
      <c r="C39" s="1177"/>
      <c r="D39" s="1177"/>
      <c r="E39" s="1178"/>
      <c r="F39" s="52"/>
      <c r="G39" s="53"/>
      <c r="H39" s="54"/>
      <c r="I39" s="55"/>
      <c r="J39" s="36"/>
    </row>
    <row r="40" spans="1:13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3" x14ac:dyDescent="0.2">
      <c r="A41" s="1186"/>
      <c r="B41" s="1187"/>
      <c r="C41" s="1187"/>
      <c r="D41" s="1187"/>
      <c r="E41" s="1188"/>
      <c r="F41" s="58"/>
      <c r="G41" s="59"/>
      <c r="H41" s="60"/>
      <c r="I41" s="55"/>
      <c r="J41" s="36"/>
    </row>
    <row r="42" spans="1:13" x14ac:dyDescent="0.2">
      <c r="A42" s="1189" t="s">
        <v>93</v>
      </c>
      <c r="B42" s="1190"/>
      <c r="C42" s="1190"/>
      <c r="D42" s="1190"/>
      <c r="E42" s="1190"/>
      <c r="F42" s="1190"/>
      <c r="G42" s="1190"/>
      <c r="H42" s="1190"/>
      <c r="I42" s="1191"/>
      <c r="J42" s="43">
        <f>ROUND(SUM(J32:J41),2)</f>
        <v>205.95</v>
      </c>
    </row>
    <row r="43" spans="1:13" x14ac:dyDescent="0.2">
      <c r="A43" s="1192" t="s">
        <v>94</v>
      </c>
      <c r="B43" s="1193"/>
      <c r="C43" s="1193"/>
      <c r="D43" s="1193"/>
      <c r="E43" s="1196" t="s">
        <v>60</v>
      </c>
      <c r="F43" s="1198" t="s">
        <v>95</v>
      </c>
      <c r="G43" s="1199"/>
      <c r="H43" s="1200" t="s">
        <v>96</v>
      </c>
      <c r="I43" s="1200" t="s">
        <v>97</v>
      </c>
      <c r="J43" s="1179" t="s">
        <v>64</v>
      </c>
    </row>
    <row r="44" spans="1:13" x14ac:dyDescent="0.2">
      <c r="A44" s="1194"/>
      <c r="B44" s="1195"/>
      <c r="C44" s="1195"/>
      <c r="D44" s="1195"/>
      <c r="E44" s="1197"/>
      <c r="F44" s="103" t="s">
        <v>21</v>
      </c>
      <c r="G44" s="103" t="s">
        <v>20</v>
      </c>
      <c r="H44" s="1200"/>
      <c r="I44" s="1200"/>
      <c r="J44" s="1180"/>
    </row>
    <row r="45" spans="1:13" x14ac:dyDescent="0.2">
      <c r="A45" s="49" t="str">
        <f>VLOOKUP(E45,tranp.!A4:J43,4,FALSE)</f>
        <v>0,681XP + 0,710XR + 2,841</v>
      </c>
      <c r="B45" s="104"/>
      <c r="C45" s="104" t="s">
        <v>115</v>
      </c>
      <c r="D45" s="105"/>
      <c r="E45" s="106">
        <v>60002</v>
      </c>
      <c r="F45" s="61">
        <v>28</v>
      </c>
      <c r="G45" s="36">
        <v>0</v>
      </c>
      <c r="H45" s="36">
        <f>TRUNC(F45*K45+G45*L45+M45,2)</f>
        <v>21.9</v>
      </c>
      <c r="I45" s="62">
        <v>0.154</v>
      </c>
      <c r="J45" s="36">
        <f>TRUNC(I45*H45,2)</f>
        <v>3.37</v>
      </c>
      <c r="K45" s="22">
        <f>VLOOKUP(E45,tranp.!$A$4:$K$21,5,FALSE)</f>
        <v>0.68100000000000005</v>
      </c>
      <c r="L45" s="22">
        <f>VLOOKUP(E45,tranp.!$A$4:$G$19,6,FALSE)</f>
        <v>0.71</v>
      </c>
      <c r="M45" s="22">
        <f>VLOOKUP(E45,tranp.!$A$4:$G$19,7,FALSE)</f>
        <v>2.8410000000000002</v>
      </c>
    </row>
    <row r="46" spans="1:13" x14ac:dyDescent="0.2">
      <c r="A46" s="107" t="str">
        <f>VLOOKUP(E46,tranp.!A5:J44,4,FALSE)</f>
        <v>0,676XP + 0,703XR</v>
      </c>
      <c r="B46" s="108"/>
      <c r="C46" s="108" t="s">
        <v>174</v>
      </c>
      <c r="D46" s="109"/>
      <c r="E46" s="118">
        <v>60013</v>
      </c>
      <c r="F46" s="54">
        <v>141</v>
      </c>
      <c r="G46" s="54">
        <v>0</v>
      </c>
      <c r="H46" s="36">
        <f>TRUNC(F46*K46+G46*L46+M46,2)</f>
        <v>95.31</v>
      </c>
      <c r="I46" s="63">
        <v>0.42399999999999999</v>
      </c>
      <c r="J46" s="54">
        <f>+I46*H46</f>
        <v>40.409999999999997</v>
      </c>
      <c r="K46" s="22">
        <f>VLOOKUP(E46,tranp.!$A$4:$K$21,5,FALSE)</f>
        <v>0.67600000000000005</v>
      </c>
      <c r="L46" s="22">
        <f>VLOOKUP(E46,tranp.!$A$4:$G$19,6,FALSE)</f>
        <v>0.70299999999999996</v>
      </c>
      <c r="M46" s="22">
        <f>VLOOKUP(E46,tranp.!$A$4:$G$19,7,FALSE)</f>
        <v>0</v>
      </c>
    </row>
    <row r="47" spans="1:13" x14ac:dyDescent="0.2">
      <c r="A47" s="107" t="str">
        <f>VLOOKUP(E47,tranp.!A6:J45,4,FALSE)</f>
        <v>0,681XP + 0,710XR + 2,841</v>
      </c>
      <c r="B47" s="108"/>
      <c r="C47" s="108" t="s">
        <v>175</v>
      </c>
      <c r="D47" s="109"/>
      <c r="E47" s="119">
        <v>60002</v>
      </c>
      <c r="F47" s="36">
        <v>7.5</v>
      </c>
      <c r="G47" s="36">
        <v>1</v>
      </c>
      <c r="H47" s="36">
        <f>TRUNC(F47*K47+G47*L47+M47,2)</f>
        <v>8.65</v>
      </c>
      <c r="I47" s="62">
        <v>0.02</v>
      </c>
      <c r="J47" s="54">
        <f>+I47*H47</f>
        <v>0.17</v>
      </c>
      <c r="K47" s="22">
        <f>VLOOKUP(E47,tranp.!$A$4:$K$21,5,FALSE)</f>
        <v>0.68100000000000005</v>
      </c>
      <c r="L47" s="22">
        <f>VLOOKUP(E47,tranp.!$A$4:$G$19,6,FALSE)</f>
        <v>0.71</v>
      </c>
      <c r="M47" s="22">
        <f>VLOOKUP(E47,tranp.!$A$4:$G$19,7,FALSE)</f>
        <v>2.8410000000000002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181" t="s">
        <v>98</v>
      </c>
      <c r="B49" s="1182"/>
      <c r="C49" s="1182"/>
      <c r="D49" s="1182"/>
      <c r="E49" s="1182"/>
      <c r="F49" s="1182"/>
      <c r="G49" s="1182"/>
      <c r="H49" s="1182"/>
      <c r="I49" s="1183"/>
      <c r="J49" s="64">
        <f>SUM(J45:J48)</f>
        <v>43.95</v>
      </c>
    </row>
    <row r="50" spans="1:10" x14ac:dyDescent="0.2">
      <c r="A50" s="1184" t="s">
        <v>99</v>
      </c>
      <c r="B50" s="1185"/>
      <c r="C50" s="1185"/>
      <c r="D50" s="1185"/>
      <c r="E50" s="1185"/>
      <c r="F50" s="1185"/>
      <c r="G50" s="102" t="s">
        <v>100</v>
      </c>
      <c r="H50" s="25"/>
      <c r="I50" s="66" t="s">
        <v>101</v>
      </c>
      <c r="J50" s="61">
        <f>J49+J42+J29</f>
        <v>376.18</v>
      </c>
    </row>
    <row r="51" spans="1:10" x14ac:dyDescent="0.2">
      <c r="A51" s="1172" t="s">
        <v>102</v>
      </c>
      <c r="B51" s="1173"/>
      <c r="C51" s="1173"/>
      <c r="D51" s="1173"/>
      <c r="E51" s="1173"/>
      <c r="F51" s="1173"/>
      <c r="G51" s="67">
        <v>0.35</v>
      </c>
      <c r="H51" s="68"/>
      <c r="I51" s="69" t="s">
        <v>101</v>
      </c>
      <c r="J51" s="48">
        <f>+J50*G51</f>
        <v>131.66</v>
      </c>
    </row>
    <row r="52" spans="1:10" x14ac:dyDescent="0.2">
      <c r="A52" s="1174" t="s">
        <v>103</v>
      </c>
      <c r="B52" s="1175"/>
      <c r="C52" s="1175"/>
      <c r="D52" s="1175"/>
      <c r="E52" s="1175"/>
      <c r="F52" s="1175"/>
      <c r="G52" s="98"/>
      <c r="H52" s="71"/>
      <c r="I52" s="97" t="s">
        <v>101</v>
      </c>
      <c r="J52" s="43">
        <f>+J51+J50</f>
        <v>507.84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J5:J6"/>
    <mergeCell ref="A11:C11"/>
    <mergeCell ref="A12:C12"/>
    <mergeCell ref="A14:C14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A7:C7"/>
    <mergeCell ref="A8:C8"/>
    <mergeCell ref="J16:J17"/>
    <mergeCell ref="A18:E18"/>
    <mergeCell ref="A19:E19"/>
    <mergeCell ref="A20:E20"/>
    <mergeCell ref="A26:E26"/>
    <mergeCell ref="A16:E17"/>
    <mergeCell ref="F16:F17"/>
    <mergeCell ref="G16:G17"/>
    <mergeCell ref="H16:H17"/>
    <mergeCell ref="I16:I17"/>
    <mergeCell ref="J30:J31"/>
    <mergeCell ref="A32:E32"/>
    <mergeCell ref="A33:E33"/>
    <mergeCell ref="A34:E34"/>
    <mergeCell ref="A35:E35"/>
    <mergeCell ref="A30:E31"/>
    <mergeCell ref="F30:F31"/>
    <mergeCell ref="G30:G31"/>
    <mergeCell ref="H30:H31"/>
    <mergeCell ref="I30:I31"/>
    <mergeCell ref="A42:I42"/>
    <mergeCell ref="A43:D44"/>
    <mergeCell ref="E43:E44"/>
    <mergeCell ref="F43:G43"/>
    <mergeCell ref="H43:H44"/>
    <mergeCell ref="I43:I44"/>
    <mergeCell ref="A9:C9"/>
    <mergeCell ref="A40:E40"/>
    <mergeCell ref="A41:E41"/>
    <mergeCell ref="A39:E39"/>
    <mergeCell ref="A28:E28"/>
    <mergeCell ref="A27:I27"/>
    <mergeCell ref="A15:I15"/>
    <mergeCell ref="G28:I28"/>
    <mergeCell ref="A29:I29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topLeftCell="A16"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f>+Planilha!B29</f>
        <v>40303</v>
      </c>
      <c r="B3" s="1218" t="str">
        <f>+Planilha!C29</f>
        <v>Reaterro de cavas c/ compactação mecânica (compactador manual)</v>
      </c>
      <c r="C3" s="1219"/>
      <c r="D3" s="1219"/>
      <c r="E3" s="1219"/>
      <c r="F3" s="1219"/>
      <c r="G3" s="1219"/>
      <c r="H3" s="1220"/>
      <c r="I3" s="1224" t="s">
        <v>62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x14ac:dyDescent="0.2">
      <c r="A5" s="1227" t="s">
        <v>75</v>
      </c>
      <c r="B5" s="1227"/>
      <c r="C5" s="1227"/>
      <c r="D5" s="1179" t="s">
        <v>60</v>
      </c>
      <c r="E5" s="1179" t="s">
        <v>76</v>
      </c>
      <c r="F5" s="1198" t="s">
        <v>77</v>
      </c>
      <c r="G5" s="1199"/>
      <c r="H5" s="1198" t="s">
        <v>78</v>
      </c>
      <c r="I5" s="1199"/>
      <c r="J5" s="1210" t="s">
        <v>79</v>
      </c>
    </row>
    <row r="6" spans="1:10" x14ac:dyDescent="0.2">
      <c r="A6" s="1227"/>
      <c r="B6" s="1227"/>
      <c r="C6" s="1227"/>
      <c r="D6" s="1180"/>
      <c r="E6" s="1180"/>
      <c r="F6" s="103" t="s">
        <v>80</v>
      </c>
      <c r="G6" s="34" t="s">
        <v>81</v>
      </c>
      <c r="H6" s="103" t="s">
        <v>80</v>
      </c>
      <c r="I6" s="103" t="s">
        <v>81</v>
      </c>
      <c r="J6" s="1210"/>
    </row>
    <row r="7" spans="1:10" ht="30" customHeight="1" x14ac:dyDescent="0.2">
      <c r="A7" s="1237" t="str">
        <f>VLOOKUP(D7,equip.!A1:G154,2,FALSE)</f>
        <v>Guindaste de esteira para 40.0t (KOEHRING BANTAM) ou equivalente</v>
      </c>
      <c r="B7" s="1238"/>
      <c r="C7" s="1239"/>
      <c r="D7" s="35">
        <v>30028</v>
      </c>
      <c r="E7" s="36">
        <v>1</v>
      </c>
      <c r="F7" s="36">
        <v>0.9</v>
      </c>
      <c r="G7" s="36">
        <v>0.1</v>
      </c>
      <c r="H7" s="36">
        <f>VLOOKUP(D7,equip.!A1:G130,6,FALSE)</f>
        <v>328.56</v>
      </c>
      <c r="I7" s="36">
        <f>VLOOKUP(D7,equip.!A1:AB130,7,FALSE)</f>
        <v>149.4</v>
      </c>
      <c r="J7" s="36">
        <f>TRUNC(E7*F7*H7+E7*G7*I7,2)</f>
        <v>310.64</v>
      </c>
    </row>
    <row r="8" spans="1:10" ht="15" customHeight="1" x14ac:dyDescent="0.2">
      <c r="A8" s="1234" t="str">
        <f>VLOOKUP(D8,equip.!A2:G155,2,FALSE)</f>
        <v>Carrinho de mão</v>
      </c>
      <c r="B8" s="1235"/>
      <c r="C8" s="1236"/>
      <c r="D8" s="40">
        <v>30076</v>
      </c>
      <c r="E8" s="36">
        <v>3</v>
      </c>
      <c r="F8" s="36">
        <v>1</v>
      </c>
      <c r="G8" s="36">
        <v>0</v>
      </c>
      <c r="H8" s="36">
        <f>VLOOKUP(D8,equip.!A2:G131,6,FALSE)</f>
        <v>0.18</v>
      </c>
      <c r="I8" s="36">
        <f>VLOOKUP(D8,equip.!A2:AB131,7,FALSE)</f>
        <v>0.12</v>
      </c>
      <c r="J8" s="36">
        <f>TRUNC(E8*F8*H8+E8*G8*I8,2)</f>
        <v>0.54</v>
      </c>
    </row>
    <row r="9" spans="1:10" ht="30" hidden="1" customHeight="1" x14ac:dyDescent="0.2">
      <c r="A9" s="1234"/>
      <c r="B9" s="1235"/>
      <c r="C9" s="1236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173</v>
      </c>
      <c r="B10" s="95"/>
      <c r="C10" s="96"/>
      <c r="D10" s="35"/>
      <c r="E10" s="110">
        <v>0.05</v>
      </c>
      <c r="F10" s="36"/>
      <c r="G10" s="36"/>
      <c r="H10" s="36">
        <f>+J27</f>
        <v>27.71</v>
      </c>
      <c r="I10" s="36"/>
      <c r="J10" s="36">
        <f>TRUNC(H10*E10,2)</f>
        <v>1.38</v>
      </c>
    </row>
    <row r="11" spans="1:10" ht="15" customHeight="1" x14ac:dyDescent="0.2">
      <c r="A11" s="1176"/>
      <c r="B11" s="1177"/>
      <c r="C11" s="1178"/>
      <c r="D11" s="40"/>
      <c r="E11" s="36"/>
      <c r="F11" s="36"/>
      <c r="G11" s="36"/>
      <c r="H11" s="36"/>
      <c r="I11" s="36"/>
      <c r="J11" s="36"/>
    </row>
    <row r="12" spans="1:10" ht="15" customHeight="1" x14ac:dyDescent="0.2">
      <c r="A12" s="1176"/>
      <c r="B12" s="1177"/>
      <c r="C12" s="1178"/>
      <c r="D12" s="40"/>
      <c r="E12" s="36"/>
      <c r="F12" s="36"/>
      <c r="G12" s="36"/>
      <c r="H12" s="36"/>
      <c r="I12" s="36"/>
      <c r="J12" s="36"/>
    </row>
    <row r="13" spans="1:10" ht="15" customHeight="1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ht="15" customHeight="1" x14ac:dyDescent="0.2">
      <c r="A14" s="1186"/>
      <c r="B14" s="1187"/>
      <c r="C14" s="1188"/>
      <c r="D14" s="41"/>
      <c r="E14" s="42"/>
      <c r="F14" s="42"/>
      <c r="G14" s="36"/>
      <c r="H14" s="36"/>
      <c r="I14" s="36"/>
      <c r="J14" s="36"/>
    </row>
    <row r="15" spans="1:10" x14ac:dyDescent="0.2">
      <c r="A15" s="1189" t="s">
        <v>82</v>
      </c>
      <c r="B15" s="1190"/>
      <c r="C15" s="1190"/>
      <c r="D15" s="1190"/>
      <c r="E15" s="1190"/>
      <c r="F15" s="1190"/>
      <c r="G15" s="1190"/>
      <c r="H15" s="1190"/>
      <c r="I15" s="1191"/>
      <c r="J15" s="43">
        <f>SUM(J7:J14)</f>
        <v>312.56</v>
      </c>
    </row>
    <row r="16" spans="1:10" x14ac:dyDescent="0.2">
      <c r="A16" s="1192" t="s">
        <v>83</v>
      </c>
      <c r="B16" s="1193"/>
      <c r="C16" s="1193"/>
      <c r="D16" s="1193"/>
      <c r="E16" s="1211"/>
      <c r="F16" s="1179" t="s">
        <v>60</v>
      </c>
      <c r="G16" s="1179" t="s">
        <v>84</v>
      </c>
      <c r="H16" s="1179" t="s">
        <v>76</v>
      </c>
      <c r="I16" s="1210" t="s">
        <v>85</v>
      </c>
      <c r="J16" s="1179" t="s">
        <v>79</v>
      </c>
    </row>
    <row r="17" spans="1:10" x14ac:dyDescent="0.2">
      <c r="A17" s="1194"/>
      <c r="B17" s="1195"/>
      <c r="C17" s="1195"/>
      <c r="D17" s="1195"/>
      <c r="E17" s="1212"/>
      <c r="F17" s="1180"/>
      <c r="G17" s="1180"/>
      <c r="H17" s="1180"/>
      <c r="I17" s="1210"/>
      <c r="J17" s="1180"/>
    </row>
    <row r="18" spans="1:10" x14ac:dyDescent="0.2">
      <c r="A18" s="1176" t="str">
        <f>VLOOKUP(F18,m.o.!A1:F153,2,FALSE)</f>
        <v>Encarregado de O.A.C.</v>
      </c>
      <c r="B18" s="1177"/>
      <c r="C18" s="1177"/>
      <c r="D18" s="1177"/>
      <c r="E18" s="1178"/>
      <c r="F18" s="44">
        <v>20060</v>
      </c>
      <c r="G18" s="45"/>
      <c r="H18" s="36">
        <v>0.5</v>
      </c>
      <c r="I18" s="36">
        <f>VLOOKUP(F18,m.o.!A1:F128,5,FALSE)</f>
        <v>10.220000000000001</v>
      </c>
      <c r="J18" s="36">
        <f>TRUNC(H18*I18,2)</f>
        <v>5.1100000000000003</v>
      </c>
    </row>
    <row r="19" spans="1:10" x14ac:dyDescent="0.2">
      <c r="A19" s="1176" t="str">
        <f>VLOOKUP(F19,m.o.!A2:F154,2,FALSE)</f>
        <v>Servente</v>
      </c>
      <c r="B19" s="1177"/>
      <c r="C19" s="1177"/>
      <c r="D19" s="1177"/>
      <c r="E19" s="1178"/>
      <c r="F19" s="44">
        <v>20002</v>
      </c>
      <c r="G19" s="45"/>
      <c r="H19" s="36">
        <v>5</v>
      </c>
      <c r="I19" s="36">
        <f>VLOOKUP(F19,m.o.!A2:F129,5,FALSE)</f>
        <v>4.5199999999999996</v>
      </c>
      <c r="J19" s="36">
        <f>TRUNC(H19*I19,2)</f>
        <v>22.6</v>
      </c>
    </row>
    <row r="20" spans="1:10" x14ac:dyDescent="0.2">
      <c r="A20" s="1176"/>
      <c r="B20" s="1177"/>
      <c r="C20" s="1177"/>
      <c r="D20" s="1177"/>
      <c r="E20" s="1178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186"/>
      <c r="B26" s="1187"/>
      <c r="C26" s="1187"/>
      <c r="D26" s="1187"/>
      <c r="E26" s="1188"/>
      <c r="F26" s="41"/>
      <c r="G26" s="47"/>
      <c r="H26" s="42"/>
      <c r="I26" s="42"/>
      <c r="J26" s="36"/>
    </row>
    <row r="27" spans="1:10" x14ac:dyDescent="0.2">
      <c r="A27" s="1189" t="s">
        <v>86</v>
      </c>
      <c r="B27" s="1190"/>
      <c r="C27" s="1190"/>
      <c r="D27" s="1190"/>
      <c r="E27" s="1190"/>
      <c r="F27" s="1190"/>
      <c r="G27" s="1190"/>
      <c r="H27" s="1190"/>
      <c r="I27" s="1191"/>
      <c r="J27" s="43">
        <f>ROUND(SUM(J18:J26),2)</f>
        <v>27.71</v>
      </c>
    </row>
    <row r="28" spans="1:10" x14ac:dyDescent="0.2">
      <c r="A28" s="1201" t="s">
        <v>87</v>
      </c>
      <c r="B28" s="1202"/>
      <c r="C28" s="1202"/>
      <c r="D28" s="1202"/>
      <c r="E28" s="1202"/>
      <c r="F28" s="42">
        <v>1</v>
      </c>
      <c r="G28" s="1201" t="s">
        <v>88</v>
      </c>
      <c r="H28" s="1202"/>
      <c r="I28" s="1202"/>
      <c r="J28" s="48">
        <f>+J27+J15</f>
        <v>340.27</v>
      </c>
    </row>
    <row r="29" spans="1:10" x14ac:dyDescent="0.2">
      <c r="A29" s="1174" t="s">
        <v>89</v>
      </c>
      <c r="B29" s="1175"/>
      <c r="C29" s="1175"/>
      <c r="D29" s="1175"/>
      <c r="E29" s="1175"/>
      <c r="F29" s="1175"/>
      <c r="G29" s="1175"/>
      <c r="H29" s="1175"/>
      <c r="I29" s="1203"/>
      <c r="J29" s="43">
        <f>TRUNC(J28/F28,2)</f>
        <v>340.27</v>
      </c>
    </row>
    <row r="30" spans="1:10" x14ac:dyDescent="0.2">
      <c r="A30" s="1204" t="s">
        <v>90</v>
      </c>
      <c r="B30" s="1205"/>
      <c r="C30" s="1205"/>
      <c r="D30" s="1205"/>
      <c r="E30" s="1206"/>
      <c r="F30" s="1179" t="s">
        <v>60</v>
      </c>
      <c r="G30" s="1179" t="s">
        <v>1</v>
      </c>
      <c r="H30" s="1210" t="s">
        <v>64</v>
      </c>
      <c r="I30" s="1179" t="s">
        <v>91</v>
      </c>
      <c r="J30" s="1179" t="s">
        <v>92</v>
      </c>
    </row>
    <row r="31" spans="1:10" x14ac:dyDescent="0.2">
      <c r="A31" s="1207"/>
      <c r="B31" s="1208"/>
      <c r="C31" s="1208"/>
      <c r="D31" s="1208"/>
      <c r="E31" s="1209"/>
      <c r="F31" s="1180"/>
      <c r="G31" s="1180"/>
      <c r="H31" s="1210"/>
      <c r="I31" s="1180"/>
      <c r="J31" s="1180"/>
    </row>
    <row r="32" spans="1:10" x14ac:dyDescent="0.2">
      <c r="A32" s="49" t="s">
        <v>161</v>
      </c>
      <c r="B32" s="50"/>
      <c r="C32" s="50"/>
      <c r="D32" s="50"/>
      <c r="E32" s="51"/>
      <c r="F32" s="52" t="s">
        <v>105</v>
      </c>
      <c r="G32" s="53" t="s">
        <v>106</v>
      </c>
      <c r="H32" s="54">
        <f>1523*1.05</f>
        <v>1599.15</v>
      </c>
      <c r="I32" s="55">
        <v>1</v>
      </c>
      <c r="J32" s="36">
        <f>+I32*H32</f>
        <v>1599.15</v>
      </c>
    </row>
    <row r="33" spans="1:13" x14ac:dyDescent="0.2">
      <c r="A33" s="1234" t="s">
        <v>59</v>
      </c>
      <c r="B33" s="1235"/>
      <c r="C33" s="1235"/>
      <c r="D33" s="1235"/>
      <c r="E33" s="1236"/>
      <c r="F33" s="52" t="s">
        <v>176</v>
      </c>
      <c r="G33" s="53" t="s">
        <v>69</v>
      </c>
      <c r="H33" s="54">
        <f>+'42714'!J50</f>
        <v>376.18</v>
      </c>
      <c r="I33" s="55">
        <v>0.28000000000000003</v>
      </c>
      <c r="J33" s="36">
        <f>+I33*H33</f>
        <v>105.33</v>
      </c>
    </row>
    <row r="34" spans="1:13" x14ac:dyDescent="0.2">
      <c r="A34" s="1176"/>
      <c r="B34" s="1177"/>
      <c r="C34" s="1177"/>
      <c r="D34" s="1177"/>
      <c r="E34" s="1178"/>
      <c r="F34" s="114"/>
      <c r="G34" s="54"/>
      <c r="H34" s="54"/>
      <c r="I34" s="55"/>
      <c r="J34" s="36"/>
    </row>
    <row r="35" spans="1:13" x14ac:dyDescent="0.2">
      <c r="A35" s="1176"/>
      <c r="B35" s="1177"/>
      <c r="C35" s="1177"/>
      <c r="D35" s="1177"/>
      <c r="E35" s="1178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176"/>
      <c r="B39" s="1177"/>
      <c r="C39" s="1177"/>
      <c r="D39" s="1177"/>
      <c r="E39" s="1178"/>
      <c r="F39" s="52"/>
      <c r="G39" s="53"/>
      <c r="H39" s="54"/>
      <c r="I39" s="55"/>
      <c r="J39" s="36"/>
    </row>
    <row r="40" spans="1:13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3" x14ac:dyDescent="0.2">
      <c r="A41" s="1186"/>
      <c r="B41" s="1187"/>
      <c r="C41" s="1187"/>
      <c r="D41" s="1187"/>
      <c r="E41" s="1188"/>
      <c r="F41" s="58"/>
      <c r="G41" s="59"/>
      <c r="H41" s="60"/>
      <c r="I41" s="55"/>
      <c r="J41" s="36"/>
    </row>
    <row r="42" spans="1:13" x14ac:dyDescent="0.2">
      <c r="A42" s="1189" t="s">
        <v>93</v>
      </c>
      <c r="B42" s="1190"/>
      <c r="C42" s="1190"/>
      <c r="D42" s="1190"/>
      <c r="E42" s="1190"/>
      <c r="F42" s="1190"/>
      <c r="G42" s="1190"/>
      <c r="H42" s="1190"/>
      <c r="I42" s="1191"/>
      <c r="J42" s="43">
        <f>ROUND(SUM(J32:J41),2)</f>
        <v>1704.48</v>
      </c>
    </row>
    <row r="43" spans="1:13" x14ac:dyDescent="0.2">
      <c r="A43" s="1192" t="s">
        <v>94</v>
      </c>
      <c r="B43" s="1193"/>
      <c r="C43" s="1193"/>
      <c r="D43" s="1193"/>
      <c r="E43" s="1196" t="s">
        <v>60</v>
      </c>
      <c r="F43" s="1198" t="s">
        <v>95</v>
      </c>
      <c r="G43" s="1199"/>
      <c r="H43" s="1200" t="s">
        <v>96</v>
      </c>
      <c r="I43" s="1200" t="s">
        <v>97</v>
      </c>
      <c r="J43" s="1179" t="s">
        <v>64</v>
      </c>
    </row>
    <row r="44" spans="1:13" x14ac:dyDescent="0.2">
      <c r="A44" s="1194"/>
      <c r="B44" s="1195"/>
      <c r="C44" s="1195"/>
      <c r="D44" s="1195"/>
      <c r="E44" s="1197"/>
      <c r="F44" s="103" t="s">
        <v>21</v>
      </c>
      <c r="G44" s="103" t="s">
        <v>20</v>
      </c>
      <c r="H44" s="1200"/>
      <c r="I44" s="1200"/>
      <c r="J44" s="1180"/>
    </row>
    <row r="45" spans="1:13" x14ac:dyDescent="0.2">
      <c r="A45" s="49" t="str">
        <f>VLOOKUP(E45,tranp.!A4:J43,4,FALSE)</f>
        <v>0,676XP + 0,703XR</v>
      </c>
      <c r="B45" s="104"/>
      <c r="C45" s="104" t="s">
        <v>177</v>
      </c>
      <c r="D45" s="105"/>
      <c r="E45" s="106">
        <v>60004</v>
      </c>
      <c r="F45" s="61">
        <v>141</v>
      </c>
      <c r="G45" s="36">
        <v>0</v>
      </c>
      <c r="H45" s="36">
        <f>TRUNC(F45*K45+G45*L45+M45,2)</f>
        <v>95.31</v>
      </c>
      <c r="I45" s="62">
        <v>3.5750000000000002</v>
      </c>
      <c r="J45" s="36">
        <f>TRUNC(I45*H45,2)</f>
        <v>340.73</v>
      </c>
      <c r="K45" s="22">
        <f>VLOOKUP(E45,tranp.!$A$4:$K$21,5,FALSE)</f>
        <v>0.67600000000000005</v>
      </c>
      <c r="L45" s="22">
        <f>VLOOKUP(E45,tranp.!$A$4:$G$19,6,FALSE)</f>
        <v>0.70299999999999996</v>
      </c>
      <c r="M45" s="22">
        <f>VLOOKUP(E45,tranp.!$A$4:$G$19,7,FALSE)</f>
        <v>0</v>
      </c>
    </row>
    <row r="46" spans="1:13" x14ac:dyDescent="0.2">
      <c r="A46" s="107"/>
      <c r="B46" s="108"/>
      <c r="C46" s="108"/>
      <c r="D46" s="109"/>
      <c r="E46" s="118"/>
      <c r="F46" s="54"/>
      <c r="G46" s="54"/>
      <c r="H46" s="36"/>
      <c r="I46" s="63"/>
      <c r="J46" s="54"/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181" t="s">
        <v>98</v>
      </c>
      <c r="B49" s="1182"/>
      <c r="C49" s="1182"/>
      <c r="D49" s="1182"/>
      <c r="E49" s="1182"/>
      <c r="F49" s="1182"/>
      <c r="G49" s="1182"/>
      <c r="H49" s="1182"/>
      <c r="I49" s="1183"/>
      <c r="J49" s="64">
        <f>SUM(J45:J48)</f>
        <v>340.73</v>
      </c>
    </row>
    <row r="50" spans="1:10" x14ac:dyDescent="0.2">
      <c r="A50" s="1184" t="s">
        <v>99</v>
      </c>
      <c r="B50" s="1185"/>
      <c r="C50" s="1185"/>
      <c r="D50" s="1185"/>
      <c r="E50" s="1185"/>
      <c r="F50" s="1185"/>
      <c r="G50" s="102" t="s">
        <v>100</v>
      </c>
      <c r="H50" s="25"/>
      <c r="I50" s="66" t="s">
        <v>101</v>
      </c>
      <c r="J50" s="61">
        <f>J49+J42+J29</f>
        <v>2385.48</v>
      </c>
    </row>
    <row r="51" spans="1:10" x14ac:dyDescent="0.2">
      <c r="A51" s="1172" t="s">
        <v>102</v>
      </c>
      <c r="B51" s="1173"/>
      <c r="C51" s="1173"/>
      <c r="D51" s="1173"/>
      <c r="E51" s="1173"/>
      <c r="F51" s="1173"/>
      <c r="G51" s="67">
        <v>0.35</v>
      </c>
      <c r="H51" s="68"/>
      <c r="I51" s="69" t="s">
        <v>101</v>
      </c>
      <c r="J51" s="48">
        <f>+J50*G51</f>
        <v>834.92</v>
      </c>
    </row>
    <row r="52" spans="1:10" x14ac:dyDescent="0.2">
      <c r="A52" s="1174" t="s">
        <v>103</v>
      </c>
      <c r="B52" s="1175"/>
      <c r="C52" s="1175"/>
      <c r="D52" s="1175"/>
      <c r="E52" s="1175"/>
      <c r="F52" s="1175"/>
      <c r="G52" s="98"/>
      <c r="H52" s="71"/>
      <c r="I52" s="97" t="s">
        <v>101</v>
      </c>
      <c r="J52" s="43">
        <f>+J51+J50</f>
        <v>3220.4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 t="s">
        <v>107</v>
      </c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5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3:E33"/>
    <mergeCell ref="A34:E34"/>
    <mergeCell ref="A35:E35"/>
    <mergeCell ref="A39:E39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f>+Planilha!B32</f>
        <v>40591</v>
      </c>
      <c r="B3" s="1218" t="str">
        <f>+Planilha!C34</f>
        <v>Corpo BDTC (grota) diâmetro 1,20 m CA-2 PB exclusive escavação e reaterro, inclusive transporte do tubo</v>
      </c>
      <c r="C3" s="1219"/>
      <c r="D3" s="1219"/>
      <c r="E3" s="1219"/>
      <c r="F3" s="1219"/>
      <c r="G3" s="1219"/>
      <c r="H3" s="1220"/>
      <c r="I3" s="1224" t="s">
        <v>62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x14ac:dyDescent="0.2">
      <c r="A5" s="1227" t="s">
        <v>75</v>
      </c>
      <c r="B5" s="1227"/>
      <c r="C5" s="1227"/>
      <c r="D5" s="1179" t="s">
        <v>60</v>
      </c>
      <c r="E5" s="1179" t="s">
        <v>76</v>
      </c>
      <c r="F5" s="1198" t="s">
        <v>77</v>
      </c>
      <c r="G5" s="1199"/>
      <c r="H5" s="1198" t="s">
        <v>78</v>
      </c>
      <c r="I5" s="1199"/>
      <c r="J5" s="1210" t="s">
        <v>79</v>
      </c>
    </row>
    <row r="6" spans="1:10" x14ac:dyDescent="0.2">
      <c r="A6" s="1227"/>
      <c r="B6" s="1227"/>
      <c r="C6" s="1227"/>
      <c r="D6" s="1180"/>
      <c r="E6" s="1180"/>
      <c r="F6" s="103" t="s">
        <v>80</v>
      </c>
      <c r="G6" s="34" t="s">
        <v>81</v>
      </c>
      <c r="H6" s="103" t="s">
        <v>80</v>
      </c>
      <c r="I6" s="103" t="s">
        <v>81</v>
      </c>
      <c r="J6" s="1210"/>
    </row>
    <row r="7" spans="1:10" ht="30" customHeight="1" x14ac:dyDescent="0.2">
      <c r="A7" s="1237" t="str">
        <f>VLOOKUP(D7,equip.!A1:G154,2,FALSE)</f>
        <v>Guindaste de esteira para 40.0t (KOEHRING BANTAM) ou equivalente</v>
      </c>
      <c r="B7" s="1238"/>
      <c r="C7" s="1239"/>
      <c r="D7" s="35">
        <v>30028</v>
      </c>
      <c r="E7" s="36">
        <v>1</v>
      </c>
      <c r="F7" s="36">
        <v>0.9</v>
      </c>
      <c r="G7" s="36">
        <v>0.1</v>
      </c>
      <c r="H7" s="36">
        <f>VLOOKUP(D7,equip.!A1:G130,6,FALSE)</f>
        <v>328.56</v>
      </c>
      <c r="I7" s="36">
        <f>VLOOKUP(D7,equip.!A1:AB130,7,FALSE)</f>
        <v>149.4</v>
      </c>
      <c r="J7" s="36">
        <f>TRUNC(E7*F7*H7+E7*G7*I7,2)</f>
        <v>310.64</v>
      </c>
    </row>
    <row r="8" spans="1:10" ht="15" customHeight="1" x14ac:dyDescent="0.2">
      <c r="A8" s="1234" t="str">
        <f>VLOOKUP(D8,equip.!A2:G155,2,FALSE)</f>
        <v>Carrinho de mão</v>
      </c>
      <c r="B8" s="1235"/>
      <c r="C8" s="1236"/>
      <c r="D8" s="40">
        <v>30076</v>
      </c>
      <c r="E8" s="36">
        <v>3</v>
      </c>
      <c r="F8" s="36">
        <v>1</v>
      </c>
      <c r="G8" s="36">
        <v>0</v>
      </c>
      <c r="H8" s="36">
        <f>VLOOKUP(D8,equip.!A2:G131,6,FALSE)</f>
        <v>0.18</v>
      </c>
      <c r="I8" s="36">
        <f>VLOOKUP(D8,equip.!A2:AB131,7,FALSE)</f>
        <v>0.12</v>
      </c>
      <c r="J8" s="36">
        <f>TRUNC(E8*F8*H8+E8*G8*I8,2)</f>
        <v>0.54</v>
      </c>
    </row>
    <row r="9" spans="1:10" ht="30" hidden="1" customHeight="1" x14ac:dyDescent="0.2">
      <c r="A9" s="1234"/>
      <c r="B9" s="1235"/>
      <c r="C9" s="1236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173</v>
      </c>
      <c r="B10" s="95"/>
      <c r="C10" s="96"/>
      <c r="D10" s="35"/>
      <c r="E10" s="110">
        <v>0.05</v>
      </c>
      <c r="F10" s="36"/>
      <c r="G10" s="36"/>
      <c r="H10" s="36">
        <f>+J27</f>
        <v>27.71</v>
      </c>
      <c r="I10" s="36"/>
      <c r="J10" s="36">
        <f>TRUNC(H10*E10,2)</f>
        <v>1.38</v>
      </c>
    </row>
    <row r="11" spans="1:10" ht="15" customHeight="1" x14ac:dyDescent="0.2">
      <c r="A11" s="1176"/>
      <c r="B11" s="1177"/>
      <c r="C11" s="1178"/>
      <c r="D11" s="40"/>
      <c r="E11" s="36"/>
      <c r="F11" s="36"/>
      <c r="G11" s="36"/>
      <c r="H11" s="36"/>
      <c r="I11" s="36"/>
      <c r="J11" s="36"/>
    </row>
    <row r="12" spans="1:10" ht="15" customHeight="1" x14ac:dyDescent="0.2">
      <c r="A12" s="1176"/>
      <c r="B12" s="1177"/>
      <c r="C12" s="1178"/>
      <c r="D12" s="40"/>
      <c r="E12" s="36"/>
      <c r="F12" s="36"/>
      <c r="G12" s="36"/>
      <c r="H12" s="36"/>
      <c r="I12" s="36"/>
      <c r="J12" s="36"/>
    </row>
    <row r="13" spans="1:10" ht="15" customHeight="1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ht="15" customHeight="1" x14ac:dyDescent="0.2">
      <c r="A14" s="1186"/>
      <c r="B14" s="1187"/>
      <c r="C14" s="1188"/>
      <c r="D14" s="41"/>
      <c r="E14" s="42"/>
      <c r="F14" s="42"/>
      <c r="G14" s="36"/>
      <c r="H14" s="36"/>
      <c r="I14" s="36"/>
      <c r="J14" s="36"/>
    </row>
    <row r="15" spans="1:10" x14ac:dyDescent="0.2">
      <c r="A15" s="1189" t="s">
        <v>82</v>
      </c>
      <c r="B15" s="1190"/>
      <c r="C15" s="1190"/>
      <c r="D15" s="1190"/>
      <c r="E15" s="1190"/>
      <c r="F15" s="1190"/>
      <c r="G15" s="1190"/>
      <c r="H15" s="1190"/>
      <c r="I15" s="1191"/>
      <c r="J15" s="43">
        <f>SUM(J7:J14)</f>
        <v>312.56</v>
      </c>
    </row>
    <row r="16" spans="1:10" x14ac:dyDescent="0.2">
      <c r="A16" s="1192" t="s">
        <v>83</v>
      </c>
      <c r="B16" s="1193"/>
      <c r="C16" s="1193"/>
      <c r="D16" s="1193"/>
      <c r="E16" s="1211"/>
      <c r="F16" s="1179" t="s">
        <v>60</v>
      </c>
      <c r="G16" s="1179" t="s">
        <v>84</v>
      </c>
      <c r="H16" s="1179" t="s">
        <v>76</v>
      </c>
      <c r="I16" s="1210" t="s">
        <v>85</v>
      </c>
      <c r="J16" s="1179" t="s">
        <v>79</v>
      </c>
    </row>
    <row r="17" spans="1:10" x14ac:dyDescent="0.2">
      <c r="A17" s="1194"/>
      <c r="B17" s="1195"/>
      <c r="C17" s="1195"/>
      <c r="D17" s="1195"/>
      <c r="E17" s="1212"/>
      <c r="F17" s="1180"/>
      <c r="G17" s="1180"/>
      <c r="H17" s="1180"/>
      <c r="I17" s="1210"/>
      <c r="J17" s="1180"/>
    </row>
    <row r="18" spans="1:10" x14ac:dyDescent="0.2">
      <c r="A18" s="1176" t="str">
        <f>VLOOKUP(F18,m.o.!A1:F153,2,FALSE)</f>
        <v>Encarregado de O.A.C.</v>
      </c>
      <c r="B18" s="1177"/>
      <c r="C18" s="1177"/>
      <c r="D18" s="1177"/>
      <c r="E18" s="1178"/>
      <c r="F18" s="44">
        <v>20060</v>
      </c>
      <c r="G18" s="45"/>
      <c r="H18" s="36">
        <v>0.5</v>
      </c>
      <c r="I18" s="36">
        <f>VLOOKUP(F18,m.o.!A1:F128,5,FALSE)</f>
        <v>10.220000000000001</v>
      </c>
      <c r="J18" s="36">
        <f>TRUNC(H18*I18,2)</f>
        <v>5.1100000000000003</v>
      </c>
    </row>
    <row r="19" spans="1:10" x14ac:dyDescent="0.2">
      <c r="A19" s="1176" t="str">
        <f>VLOOKUP(F19,m.o.!A2:F154,2,FALSE)</f>
        <v>Servente</v>
      </c>
      <c r="B19" s="1177"/>
      <c r="C19" s="1177"/>
      <c r="D19" s="1177"/>
      <c r="E19" s="1178"/>
      <c r="F19" s="44">
        <v>20002</v>
      </c>
      <c r="G19" s="45"/>
      <c r="H19" s="36">
        <v>5</v>
      </c>
      <c r="I19" s="36">
        <f>VLOOKUP(F19,m.o.!A2:F129,5,FALSE)</f>
        <v>4.5199999999999996</v>
      </c>
      <c r="J19" s="36">
        <f>TRUNC(H19*I19,2)</f>
        <v>22.6</v>
      </c>
    </row>
    <row r="20" spans="1:10" x14ac:dyDescent="0.2">
      <c r="A20" s="1176"/>
      <c r="B20" s="1177"/>
      <c r="C20" s="1177"/>
      <c r="D20" s="1177"/>
      <c r="E20" s="1178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186"/>
      <c r="B26" s="1187"/>
      <c r="C26" s="1187"/>
      <c r="D26" s="1187"/>
      <c r="E26" s="1188"/>
      <c r="F26" s="41"/>
      <c r="G26" s="47"/>
      <c r="H26" s="42"/>
      <c r="I26" s="42"/>
      <c r="J26" s="36"/>
    </row>
    <row r="27" spans="1:10" x14ac:dyDescent="0.2">
      <c r="A27" s="1189" t="s">
        <v>86</v>
      </c>
      <c r="B27" s="1190"/>
      <c r="C27" s="1190"/>
      <c r="D27" s="1190"/>
      <c r="E27" s="1190"/>
      <c r="F27" s="1190"/>
      <c r="G27" s="1190"/>
      <c r="H27" s="1190"/>
      <c r="I27" s="1191"/>
      <c r="J27" s="43">
        <f>ROUND(SUM(J18:J26),2)</f>
        <v>27.71</v>
      </c>
    </row>
    <row r="28" spans="1:10" x14ac:dyDescent="0.2">
      <c r="A28" s="1201" t="s">
        <v>87</v>
      </c>
      <c r="B28" s="1202"/>
      <c r="C28" s="1202"/>
      <c r="D28" s="1202"/>
      <c r="E28" s="1202"/>
      <c r="F28" s="42">
        <v>0.5</v>
      </c>
      <c r="G28" s="1201" t="s">
        <v>88</v>
      </c>
      <c r="H28" s="1202"/>
      <c r="I28" s="1202"/>
      <c r="J28" s="48">
        <f>+J27+J15</f>
        <v>340.27</v>
      </c>
    </row>
    <row r="29" spans="1:10" x14ac:dyDescent="0.2">
      <c r="A29" s="1174" t="s">
        <v>89</v>
      </c>
      <c r="B29" s="1175"/>
      <c r="C29" s="1175"/>
      <c r="D29" s="1175"/>
      <c r="E29" s="1175"/>
      <c r="F29" s="1175"/>
      <c r="G29" s="1175"/>
      <c r="H29" s="1175"/>
      <c r="I29" s="1203"/>
      <c r="J29" s="43">
        <f>TRUNC(J28/F28,2)</f>
        <v>680.54</v>
      </c>
    </row>
    <row r="30" spans="1:10" x14ac:dyDescent="0.2">
      <c r="A30" s="1204" t="s">
        <v>90</v>
      </c>
      <c r="B30" s="1205"/>
      <c r="C30" s="1205"/>
      <c r="D30" s="1205"/>
      <c r="E30" s="1206"/>
      <c r="F30" s="1179" t="s">
        <v>60</v>
      </c>
      <c r="G30" s="1179" t="s">
        <v>1</v>
      </c>
      <c r="H30" s="1210" t="s">
        <v>64</v>
      </c>
      <c r="I30" s="1179" t="s">
        <v>91</v>
      </c>
      <c r="J30" s="1179" t="s">
        <v>92</v>
      </c>
    </row>
    <row r="31" spans="1:10" x14ac:dyDescent="0.2">
      <c r="A31" s="1207"/>
      <c r="B31" s="1208"/>
      <c r="C31" s="1208"/>
      <c r="D31" s="1208"/>
      <c r="E31" s="1209"/>
      <c r="F31" s="1180"/>
      <c r="G31" s="1180"/>
      <c r="H31" s="1210"/>
      <c r="I31" s="1180"/>
      <c r="J31" s="1180"/>
    </row>
    <row r="32" spans="1:10" x14ac:dyDescent="0.2">
      <c r="A32" s="49" t="s">
        <v>109</v>
      </c>
      <c r="B32" s="50"/>
      <c r="C32" s="50"/>
      <c r="D32" s="50"/>
      <c r="E32" s="51"/>
      <c r="F32" s="52" t="s">
        <v>108</v>
      </c>
      <c r="G32" s="53" t="s">
        <v>106</v>
      </c>
      <c r="H32" s="54">
        <v>3312.2</v>
      </c>
      <c r="I32" s="55">
        <v>2</v>
      </c>
      <c r="J32" s="36">
        <f>+I32*H32</f>
        <v>6624.4</v>
      </c>
    </row>
    <row r="33" spans="1:13" x14ac:dyDescent="0.2">
      <c r="A33" s="1234" t="s">
        <v>59</v>
      </c>
      <c r="B33" s="1235"/>
      <c r="C33" s="1235"/>
      <c r="D33" s="1235"/>
      <c r="E33" s="1236"/>
      <c r="F33" s="52" t="s">
        <v>176</v>
      </c>
      <c r="G33" s="53" t="s">
        <v>69</v>
      </c>
      <c r="H33" s="54">
        <f>+'42714'!J50</f>
        <v>376.18</v>
      </c>
      <c r="I33" s="55">
        <v>0.55000000000000004</v>
      </c>
      <c r="J33" s="36">
        <f>+I33*H33</f>
        <v>206.9</v>
      </c>
    </row>
    <row r="34" spans="1:13" x14ac:dyDescent="0.2">
      <c r="A34" s="1176"/>
      <c r="B34" s="1177"/>
      <c r="C34" s="1177"/>
      <c r="D34" s="1177"/>
      <c r="E34" s="1178"/>
      <c r="F34" s="114"/>
      <c r="G34" s="54"/>
      <c r="H34" s="54"/>
      <c r="I34" s="55"/>
      <c r="J34" s="36"/>
    </row>
    <row r="35" spans="1:13" x14ac:dyDescent="0.2">
      <c r="A35" s="1176"/>
      <c r="B35" s="1177"/>
      <c r="C35" s="1177"/>
      <c r="D35" s="1177"/>
      <c r="E35" s="1178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176"/>
      <c r="B39" s="1177"/>
      <c r="C39" s="1177"/>
      <c r="D39" s="1177"/>
      <c r="E39" s="1178"/>
      <c r="F39" s="52"/>
      <c r="G39" s="53"/>
      <c r="H39" s="54"/>
      <c r="I39" s="55"/>
      <c r="J39" s="36"/>
    </row>
    <row r="40" spans="1:13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3" x14ac:dyDescent="0.2">
      <c r="A41" s="1186"/>
      <c r="B41" s="1187"/>
      <c r="C41" s="1187"/>
      <c r="D41" s="1187"/>
      <c r="E41" s="1188"/>
      <c r="F41" s="58"/>
      <c r="G41" s="59"/>
      <c r="H41" s="60"/>
      <c r="I41" s="55"/>
      <c r="J41" s="36"/>
    </row>
    <row r="42" spans="1:13" x14ac:dyDescent="0.2">
      <c r="A42" s="1189" t="s">
        <v>93</v>
      </c>
      <c r="B42" s="1190"/>
      <c r="C42" s="1190"/>
      <c r="D42" s="1190"/>
      <c r="E42" s="1190"/>
      <c r="F42" s="1190"/>
      <c r="G42" s="1190"/>
      <c r="H42" s="1190"/>
      <c r="I42" s="1191"/>
      <c r="J42" s="43">
        <f>ROUND(SUM(J32:J41),2)</f>
        <v>6831.3</v>
      </c>
    </row>
    <row r="43" spans="1:13" x14ac:dyDescent="0.2">
      <c r="A43" s="1192" t="s">
        <v>94</v>
      </c>
      <c r="B43" s="1193"/>
      <c r="C43" s="1193"/>
      <c r="D43" s="1193"/>
      <c r="E43" s="1196" t="s">
        <v>60</v>
      </c>
      <c r="F43" s="1198" t="s">
        <v>95</v>
      </c>
      <c r="G43" s="1199"/>
      <c r="H43" s="1200" t="s">
        <v>96</v>
      </c>
      <c r="I43" s="1200" t="s">
        <v>97</v>
      </c>
      <c r="J43" s="1179" t="s">
        <v>64</v>
      </c>
    </row>
    <row r="44" spans="1:13" x14ac:dyDescent="0.2">
      <c r="A44" s="1194"/>
      <c r="B44" s="1195"/>
      <c r="C44" s="1195"/>
      <c r="D44" s="1195"/>
      <c r="E44" s="1197"/>
      <c r="F44" s="103" t="s">
        <v>21</v>
      </c>
      <c r="G44" s="103" t="s">
        <v>20</v>
      </c>
      <c r="H44" s="1200"/>
      <c r="I44" s="1200"/>
      <c r="J44" s="1180"/>
    </row>
    <row r="45" spans="1:13" x14ac:dyDescent="0.2">
      <c r="A45" s="49" t="str">
        <f>VLOOKUP(E45,tranp.!A4:J43,4,FALSE)</f>
        <v>0,676XP + 0,703XR</v>
      </c>
      <c r="B45" s="104"/>
      <c r="C45" s="104" t="s">
        <v>177</v>
      </c>
      <c r="D45" s="105"/>
      <c r="E45" s="106">
        <v>60004</v>
      </c>
      <c r="F45" s="61">
        <v>141</v>
      </c>
      <c r="G45" s="36">
        <v>0</v>
      </c>
      <c r="H45" s="36">
        <f>TRUNC(F45*K45+G45*L45+M45,2)</f>
        <v>95.31</v>
      </c>
      <c r="I45" s="62">
        <v>7.74</v>
      </c>
      <c r="J45" s="36">
        <f>TRUNC(I45*H45,2)</f>
        <v>737.69</v>
      </c>
      <c r="K45" s="22">
        <f>VLOOKUP(E45,tranp.!$A$4:$K$21,5,FALSE)</f>
        <v>0.67600000000000005</v>
      </c>
      <c r="L45" s="22">
        <f>VLOOKUP(E45,tranp.!$A$4:$G$19,6,FALSE)</f>
        <v>0.70299999999999996</v>
      </c>
      <c r="M45" s="22">
        <f>VLOOKUP(E45,tranp.!$A$4:$G$19,7,FALSE)</f>
        <v>0</v>
      </c>
    </row>
    <row r="46" spans="1:13" x14ac:dyDescent="0.2">
      <c r="A46" s="107"/>
      <c r="B46" s="108"/>
      <c r="C46" s="108"/>
      <c r="D46" s="109"/>
      <c r="E46" s="118"/>
      <c r="F46" s="54"/>
      <c r="G46" s="54"/>
      <c r="H46" s="36"/>
      <c r="I46" s="63"/>
      <c r="J46" s="54"/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181" t="s">
        <v>98</v>
      </c>
      <c r="B49" s="1182"/>
      <c r="C49" s="1182"/>
      <c r="D49" s="1182"/>
      <c r="E49" s="1182"/>
      <c r="F49" s="1182"/>
      <c r="G49" s="1182"/>
      <c r="H49" s="1182"/>
      <c r="I49" s="1183"/>
      <c r="J49" s="64">
        <f>SUM(J45:J48)</f>
        <v>737.69</v>
      </c>
    </row>
    <row r="50" spans="1:10" x14ac:dyDescent="0.2">
      <c r="A50" s="1184" t="s">
        <v>99</v>
      </c>
      <c r="B50" s="1185"/>
      <c r="C50" s="1185"/>
      <c r="D50" s="1185"/>
      <c r="E50" s="1185"/>
      <c r="F50" s="1185"/>
      <c r="G50" s="102" t="s">
        <v>100</v>
      </c>
      <c r="H50" s="25"/>
      <c r="I50" s="66" t="s">
        <v>101</v>
      </c>
      <c r="J50" s="61">
        <f>J49+J42+J29</f>
        <v>8249.5300000000007</v>
      </c>
    </row>
    <row r="51" spans="1:10" x14ac:dyDescent="0.2">
      <c r="A51" s="1172" t="s">
        <v>102</v>
      </c>
      <c r="B51" s="1173"/>
      <c r="C51" s="1173"/>
      <c r="D51" s="1173"/>
      <c r="E51" s="1173"/>
      <c r="F51" s="1173"/>
      <c r="G51" s="67">
        <v>0.35</v>
      </c>
      <c r="H51" s="68"/>
      <c r="I51" s="69" t="s">
        <v>101</v>
      </c>
      <c r="J51" s="48">
        <f>+J50*G51</f>
        <v>2887.34</v>
      </c>
    </row>
    <row r="52" spans="1:10" x14ac:dyDescent="0.2">
      <c r="A52" s="1174" t="s">
        <v>103</v>
      </c>
      <c r="B52" s="1175"/>
      <c r="C52" s="1175"/>
      <c r="D52" s="1175"/>
      <c r="E52" s="1175"/>
      <c r="F52" s="1175"/>
      <c r="G52" s="98"/>
      <c r="H52" s="71"/>
      <c r="I52" s="97" t="s">
        <v>101</v>
      </c>
      <c r="J52" s="43">
        <f>+J51+J50</f>
        <v>11136.87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 t="s">
        <v>107</v>
      </c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5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40:E40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3:E33"/>
    <mergeCell ref="A34:E34"/>
    <mergeCell ref="A35:E35"/>
    <mergeCell ref="A39:E39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f>+Planilha!B33</f>
        <v>40478</v>
      </c>
      <c r="B3" s="1218" t="str">
        <f>+Planilha!C33</f>
        <v>Corpo BDTC (grota) diâmetro 1,00 m CA-2 PB exclusive escavação e reaterro, inclusive transporte do tubo</v>
      </c>
      <c r="C3" s="1219"/>
      <c r="D3" s="1219"/>
      <c r="E3" s="1219"/>
      <c r="F3" s="1219"/>
      <c r="G3" s="1219"/>
      <c r="H3" s="1220"/>
      <c r="I3" s="1224" t="s">
        <v>62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x14ac:dyDescent="0.2">
      <c r="A5" s="1227" t="s">
        <v>75</v>
      </c>
      <c r="B5" s="1227"/>
      <c r="C5" s="1227"/>
      <c r="D5" s="1179" t="s">
        <v>60</v>
      </c>
      <c r="E5" s="1179" t="s">
        <v>76</v>
      </c>
      <c r="F5" s="1198" t="s">
        <v>77</v>
      </c>
      <c r="G5" s="1199"/>
      <c r="H5" s="1198" t="s">
        <v>78</v>
      </c>
      <c r="I5" s="1199"/>
      <c r="J5" s="1210" t="s">
        <v>79</v>
      </c>
    </row>
    <row r="6" spans="1:10" x14ac:dyDescent="0.2">
      <c r="A6" s="1227"/>
      <c r="B6" s="1227"/>
      <c r="C6" s="1227"/>
      <c r="D6" s="1180"/>
      <c r="E6" s="1180"/>
      <c r="F6" s="103" t="s">
        <v>80</v>
      </c>
      <c r="G6" s="34" t="s">
        <v>81</v>
      </c>
      <c r="H6" s="103" t="s">
        <v>80</v>
      </c>
      <c r="I6" s="103" t="s">
        <v>81</v>
      </c>
      <c r="J6" s="1210"/>
    </row>
    <row r="7" spans="1:10" x14ac:dyDescent="0.2">
      <c r="A7" s="1237"/>
      <c r="B7" s="1238"/>
      <c r="C7" s="1239"/>
      <c r="D7" s="35"/>
      <c r="E7" s="36"/>
      <c r="F7" s="36"/>
      <c r="G7" s="36"/>
      <c r="H7" s="36"/>
      <c r="I7" s="36"/>
      <c r="J7" s="36"/>
    </row>
    <row r="8" spans="1:10" x14ac:dyDescent="0.2">
      <c r="A8" s="1234"/>
      <c r="B8" s="1235"/>
      <c r="C8" s="1236"/>
      <c r="D8" s="40"/>
      <c r="E8" s="36"/>
      <c r="F8" s="36"/>
      <c r="G8" s="36"/>
      <c r="H8" s="36"/>
      <c r="I8" s="36"/>
      <c r="J8" s="36"/>
    </row>
    <row r="9" spans="1:10" x14ac:dyDescent="0.2">
      <c r="A9" s="1234"/>
      <c r="B9" s="1235"/>
      <c r="C9" s="1236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142</v>
      </c>
      <c r="B10" s="95"/>
      <c r="C10" s="96"/>
      <c r="D10" s="35"/>
      <c r="E10" s="110">
        <v>0.05</v>
      </c>
      <c r="F10" s="36"/>
      <c r="G10" s="36"/>
      <c r="H10" s="36">
        <f>+J27</f>
        <v>18.829999999999998</v>
      </c>
      <c r="I10" s="36"/>
      <c r="J10" s="36">
        <f>TRUNC(H10*E10,2)</f>
        <v>0.94</v>
      </c>
    </row>
    <row r="11" spans="1:10" x14ac:dyDescent="0.2">
      <c r="A11" s="1176"/>
      <c r="B11" s="1177"/>
      <c r="C11" s="1178"/>
      <c r="D11" s="40"/>
      <c r="E11" s="36"/>
      <c r="F11" s="36"/>
      <c r="G11" s="36"/>
      <c r="H11" s="36"/>
      <c r="I11" s="36"/>
      <c r="J11" s="36"/>
    </row>
    <row r="12" spans="1:10" x14ac:dyDescent="0.2">
      <c r="A12" s="1176"/>
      <c r="B12" s="1177"/>
      <c r="C12" s="1178"/>
      <c r="D12" s="40"/>
      <c r="E12" s="36"/>
      <c r="F12" s="36"/>
      <c r="G12" s="36"/>
      <c r="H12" s="36"/>
      <c r="I12" s="36"/>
      <c r="J12" s="36"/>
    </row>
    <row r="13" spans="1:10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x14ac:dyDescent="0.2">
      <c r="A14" s="1186"/>
      <c r="B14" s="1187"/>
      <c r="C14" s="1188"/>
      <c r="D14" s="41"/>
      <c r="E14" s="42"/>
      <c r="F14" s="42"/>
      <c r="G14" s="36"/>
      <c r="H14" s="36"/>
      <c r="I14" s="36"/>
      <c r="J14" s="36"/>
    </row>
    <row r="15" spans="1:10" x14ac:dyDescent="0.2">
      <c r="A15" s="1189" t="s">
        <v>82</v>
      </c>
      <c r="B15" s="1190"/>
      <c r="C15" s="1190"/>
      <c r="D15" s="1190"/>
      <c r="E15" s="1190"/>
      <c r="F15" s="1190"/>
      <c r="G15" s="1190"/>
      <c r="H15" s="1190"/>
      <c r="I15" s="1191"/>
      <c r="J15" s="43">
        <f>SUM(J7:J14)</f>
        <v>0.94</v>
      </c>
    </row>
    <row r="16" spans="1:10" x14ac:dyDescent="0.2">
      <c r="A16" s="1192" t="s">
        <v>83</v>
      </c>
      <c r="B16" s="1193"/>
      <c r="C16" s="1193"/>
      <c r="D16" s="1193"/>
      <c r="E16" s="1211"/>
      <c r="F16" s="1179" t="s">
        <v>60</v>
      </c>
      <c r="G16" s="1179" t="s">
        <v>84</v>
      </c>
      <c r="H16" s="1179" t="s">
        <v>76</v>
      </c>
      <c r="I16" s="1210" t="s">
        <v>85</v>
      </c>
      <c r="J16" s="1179" t="s">
        <v>79</v>
      </c>
    </row>
    <row r="17" spans="1:10" x14ac:dyDescent="0.2">
      <c r="A17" s="1194"/>
      <c r="B17" s="1195"/>
      <c r="C17" s="1195"/>
      <c r="D17" s="1195"/>
      <c r="E17" s="1212"/>
      <c r="F17" s="1180"/>
      <c r="G17" s="1180"/>
      <c r="H17" s="1180"/>
      <c r="I17" s="1210"/>
      <c r="J17" s="1180"/>
    </row>
    <row r="18" spans="1:10" x14ac:dyDescent="0.2">
      <c r="A18" s="1176" t="str">
        <f>VLOOKUP(F18,m.o.!A1:F153,2,FALSE)</f>
        <v>Encarregado de O.A.C.</v>
      </c>
      <c r="B18" s="1177"/>
      <c r="C18" s="1177"/>
      <c r="D18" s="1177"/>
      <c r="E18" s="1178"/>
      <c r="F18" s="44">
        <v>20060</v>
      </c>
      <c r="G18" s="45"/>
      <c r="H18" s="36">
        <v>0.3</v>
      </c>
      <c r="I18" s="36">
        <f>VLOOKUP(F18,m.o.!A1:F128,5,FALSE)</f>
        <v>10.220000000000001</v>
      </c>
      <c r="J18" s="36">
        <f>TRUNC(H18*I18,2)</f>
        <v>3.06</v>
      </c>
    </row>
    <row r="19" spans="1:10" x14ac:dyDescent="0.2">
      <c r="A19" s="1176" t="str">
        <f>VLOOKUP(F19,m.o.!A2:F154,2,FALSE)</f>
        <v>Pedreiro de O.A.C.</v>
      </c>
      <c r="B19" s="1177"/>
      <c r="C19" s="1177"/>
      <c r="D19" s="1177"/>
      <c r="E19" s="1178"/>
      <c r="F19" s="44">
        <v>20109</v>
      </c>
      <c r="G19" s="45"/>
      <c r="H19" s="36">
        <v>1.2</v>
      </c>
      <c r="I19" s="36">
        <f>VLOOKUP(F19,m.o.!A2:F129,5,FALSE)</f>
        <v>5.61</v>
      </c>
      <c r="J19" s="36">
        <f>TRUNC(H19*I19,2)</f>
        <v>6.73</v>
      </c>
    </row>
    <row r="20" spans="1:10" x14ac:dyDescent="0.2">
      <c r="A20" s="1176" t="str">
        <f>VLOOKUP(F20,m.o.!A4:F155,2,FALSE)</f>
        <v>Servente</v>
      </c>
      <c r="B20" s="1177"/>
      <c r="C20" s="1177"/>
      <c r="D20" s="1177"/>
      <c r="E20" s="1178"/>
      <c r="F20" s="44">
        <v>20002</v>
      </c>
      <c r="G20" s="45"/>
      <c r="H20" s="36">
        <v>2</v>
      </c>
      <c r="I20" s="36">
        <f>VLOOKUP(F20,m.o.!A4:F130,5,FALSE)</f>
        <v>4.5199999999999996</v>
      </c>
      <c r="J20" s="36">
        <f>TRUNC(H20*I20,2)</f>
        <v>9.0399999999999991</v>
      </c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186"/>
      <c r="B26" s="1187"/>
      <c r="C26" s="1187"/>
      <c r="D26" s="1187"/>
      <c r="E26" s="1188"/>
      <c r="F26" s="41"/>
      <c r="G26" s="47"/>
      <c r="H26" s="42"/>
      <c r="I26" s="42"/>
      <c r="J26" s="36"/>
    </row>
    <row r="27" spans="1:10" x14ac:dyDescent="0.2">
      <c r="A27" s="1189" t="s">
        <v>86</v>
      </c>
      <c r="B27" s="1190"/>
      <c r="C27" s="1190"/>
      <c r="D27" s="1190"/>
      <c r="E27" s="1190"/>
      <c r="F27" s="1190"/>
      <c r="G27" s="1190"/>
      <c r="H27" s="1190"/>
      <c r="I27" s="1191"/>
      <c r="J27" s="43">
        <f>ROUND(SUM(J18:J26),2)</f>
        <v>18.829999999999998</v>
      </c>
    </row>
    <row r="28" spans="1:10" x14ac:dyDescent="0.2">
      <c r="A28" s="1201" t="s">
        <v>87</v>
      </c>
      <c r="B28" s="1202"/>
      <c r="C28" s="1202"/>
      <c r="D28" s="1202"/>
      <c r="E28" s="1202"/>
      <c r="F28" s="42">
        <v>0.83</v>
      </c>
      <c r="G28" s="1201" t="s">
        <v>88</v>
      </c>
      <c r="H28" s="1202"/>
      <c r="I28" s="1202"/>
      <c r="J28" s="48">
        <f>+J27+J15</f>
        <v>19.77</v>
      </c>
    </row>
    <row r="29" spans="1:10" x14ac:dyDescent="0.2">
      <c r="A29" s="1174" t="s">
        <v>89</v>
      </c>
      <c r="B29" s="1175"/>
      <c r="C29" s="1175"/>
      <c r="D29" s="1175"/>
      <c r="E29" s="1175"/>
      <c r="F29" s="1175"/>
      <c r="G29" s="1175"/>
      <c r="H29" s="1175"/>
      <c r="I29" s="1203"/>
      <c r="J29" s="43">
        <f>TRUNC(J28/F28,2)</f>
        <v>23.81</v>
      </c>
    </row>
    <row r="30" spans="1:10" x14ac:dyDescent="0.2">
      <c r="A30" s="1204" t="s">
        <v>90</v>
      </c>
      <c r="B30" s="1205"/>
      <c r="C30" s="1205"/>
      <c r="D30" s="1205"/>
      <c r="E30" s="1206"/>
      <c r="F30" s="1179" t="s">
        <v>60</v>
      </c>
      <c r="G30" s="1179" t="s">
        <v>1</v>
      </c>
      <c r="H30" s="1210" t="s">
        <v>64</v>
      </c>
      <c r="I30" s="1179" t="s">
        <v>91</v>
      </c>
      <c r="J30" s="1179" t="s">
        <v>92</v>
      </c>
    </row>
    <row r="31" spans="1:10" x14ac:dyDescent="0.2">
      <c r="A31" s="1207"/>
      <c r="B31" s="1208"/>
      <c r="C31" s="1208"/>
      <c r="D31" s="1208"/>
      <c r="E31" s="1209"/>
      <c r="F31" s="1180"/>
      <c r="G31" s="1180"/>
      <c r="H31" s="1210"/>
      <c r="I31" s="1180"/>
      <c r="J31" s="1180"/>
    </row>
    <row r="32" spans="1:10" x14ac:dyDescent="0.2">
      <c r="A32" s="1176" t="str">
        <f>VLOOKUP(F32,mat.!$A$3:$D$642,2,FALSE)</f>
        <v>Tubo de concreto armado D=0,60m CA-2 PB</v>
      </c>
      <c r="B32" s="1177"/>
      <c r="C32" s="1177"/>
      <c r="D32" s="1177"/>
      <c r="E32" s="1178"/>
      <c r="F32" s="44">
        <v>10235</v>
      </c>
      <c r="G32" s="54" t="str">
        <f>VLOOKUP(F32,mat.!$A$3:$D$638,3,FALSE)</f>
        <v>M</v>
      </c>
      <c r="H32" s="54">
        <f>VLOOKUP(F32,mat.!$A$3:$E$638,4,FALSE)</f>
        <v>88.63</v>
      </c>
      <c r="I32" s="55">
        <v>1</v>
      </c>
      <c r="J32" s="36">
        <f>TRUNC(I32*H32,2)</f>
        <v>88.63</v>
      </c>
    </row>
    <row r="33" spans="1:13" x14ac:dyDescent="0.2">
      <c r="A33" s="1176"/>
      <c r="B33" s="1177"/>
      <c r="C33" s="1177"/>
      <c r="D33" s="1177"/>
      <c r="E33" s="1178"/>
      <c r="F33" s="114"/>
      <c r="G33" s="54"/>
      <c r="H33" s="54"/>
      <c r="I33" s="55"/>
      <c r="J33" s="36"/>
    </row>
    <row r="34" spans="1:13" x14ac:dyDescent="0.2">
      <c r="A34" s="1176"/>
      <c r="B34" s="1177"/>
      <c r="C34" s="1177"/>
      <c r="D34" s="1177"/>
      <c r="E34" s="1178"/>
      <c r="F34" s="114"/>
      <c r="G34" s="54"/>
      <c r="H34" s="54"/>
      <c r="I34" s="55"/>
      <c r="J34" s="36"/>
    </row>
    <row r="35" spans="1:13" x14ac:dyDescent="0.2">
      <c r="A35" s="1176"/>
      <c r="B35" s="1177"/>
      <c r="C35" s="1177"/>
      <c r="D35" s="1177"/>
      <c r="E35" s="1178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176" t="s">
        <v>162</v>
      </c>
      <c r="B39" s="1177"/>
      <c r="C39" s="1177"/>
      <c r="D39" s="1177"/>
      <c r="E39" s="1178"/>
      <c r="F39" s="52" t="s">
        <v>151</v>
      </c>
      <c r="G39" s="53" t="s">
        <v>69</v>
      </c>
      <c r="H39" s="54">
        <f>+'42611'!J50</f>
        <v>358.58</v>
      </c>
      <c r="I39" s="55">
        <v>1.4999999999999999E-2</v>
      </c>
      <c r="J39" s="36">
        <f>TRUNC(I39*H39,2)</f>
        <v>5.37</v>
      </c>
    </row>
    <row r="40" spans="1:13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3" x14ac:dyDescent="0.2">
      <c r="A41" s="1186"/>
      <c r="B41" s="1187"/>
      <c r="C41" s="1187"/>
      <c r="D41" s="1187"/>
      <c r="E41" s="1188"/>
      <c r="F41" s="58"/>
      <c r="G41" s="59"/>
      <c r="H41" s="60"/>
      <c r="I41" s="55"/>
      <c r="J41" s="36"/>
    </row>
    <row r="42" spans="1:13" x14ac:dyDescent="0.2">
      <c r="A42" s="1189" t="s">
        <v>93</v>
      </c>
      <c r="B42" s="1190"/>
      <c r="C42" s="1190"/>
      <c r="D42" s="1190"/>
      <c r="E42" s="1190"/>
      <c r="F42" s="1190"/>
      <c r="G42" s="1190"/>
      <c r="H42" s="1190"/>
      <c r="I42" s="1191"/>
      <c r="J42" s="43">
        <f>ROUND(SUM(J32:J41),2)</f>
        <v>94</v>
      </c>
    </row>
    <row r="43" spans="1:13" x14ac:dyDescent="0.2">
      <c r="A43" s="1192" t="s">
        <v>94</v>
      </c>
      <c r="B43" s="1193"/>
      <c r="C43" s="1193"/>
      <c r="D43" s="1193"/>
      <c r="E43" s="1196" t="s">
        <v>60</v>
      </c>
      <c r="F43" s="1198" t="s">
        <v>95</v>
      </c>
      <c r="G43" s="1199"/>
      <c r="H43" s="1200" t="s">
        <v>96</v>
      </c>
      <c r="I43" s="1200" t="s">
        <v>97</v>
      </c>
      <c r="J43" s="1179" t="s">
        <v>64</v>
      </c>
    </row>
    <row r="44" spans="1:13" x14ac:dyDescent="0.2">
      <c r="A44" s="1194"/>
      <c r="B44" s="1195"/>
      <c r="C44" s="1195"/>
      <c r="D44" s="1195"/>
      <c r="E44" s="1197"/>
      <c r="F44" s="103" t="s">
        <v>21</v>
      </c>
      <c r="G44" s="103" t="s">
        <v>20</v>
      </c>
      <c r="H44" s="1200"/>
      <c r="I44" s="1200"/>
      <c r="J44" s="1180"/>
    </row>
    <row r="45" spans="1:13" x14ac:dyDescent="0.2">
      <c r="A45" s="49" t="str">
        <f>VLOOKUP(E45,tranp.!A4:J43,4,FALSE)</f>
        <v>0,676XP + 0,703XR</v>
      </c>
      <c r="B45" s="104"/>
      <c r="C45" s="104" t="s">
        <v>179</v>
      </c>
      <c r="D45" s="105"/>
      <c r="E45" s="106">
        <v>60004</v>
      </c>
      <c r="F45" s="61">
        <v>32</v>
      </c>
      <c r="G45" s="36">
        <v>0</v>
      </c>
      <c r="H45" s="36">
        <f>TRUNC(F45*K45+G45*L45+M45,2)</f>
        <v>21.63</v>
      </c>
      <c r="I45" s="62">
        <v>0.32500000000000001</v>
      </c>
      <c r="J45" s="36">
        <f>TRUNC(I45*H45,2)</f>
        <v>7.02</v>
      </c>
      <c r="K45" s="22">
        <f>VLOOKUP(E45,tranp.!$A$4:$K$21,5,FALSE)</f>
        <v>0.67600000000000005</v>
      </c>
      <c r="L45" s="22">
        <f>VLOOKUP(E45,tranp.!$A$4:$G$19,6,FALSE)</f>
        <v>0.70299999999999996</v>
      </c>
      <c r="M45" s="22">
        <f>VLOOKUP(E45,tranp.!$A$4:$G$19,7,FALSE)</f>
        <v>0</v>
      </c>
    </row>
    <row r="46" spans="1:13" x14ac:dyDescent="0.2">
      <c r="A46" s="107"/>
      <c r="B46" s="108"/>
      <c r="C46" s="108"/>
      <c r="D46" s="109"/>
      <c r="E46" s="118"/>
      <c r="F46" s="54"/>
      <c r="G46" s="54"/>
      <c r="H46" s="36"/>
      <c r="I46" s="63"/>
      <c r="J46" s="54"/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181" t="s">
        <v>98</v>
      </c>
      <c r="B49" s="1182"/>
      <c r="C49" s="1182"/>
      <c r="D49" s="1182"/>
      <c r="E49" s="1182"/>
      <c r="F49" s="1182"/>
      <c r="G49" s="1182"/>
      <c r="H49" s="1182"/>
      <c r="I49" s="1183"/>
      <c r="J49" s="64">
        <f>SUM(J45:J48)</f>
        <v>7.02</v>
      </c>
    </row>
    <row r="50" spans="1:10" x14ac:dyDescent="0.2">
      <c r="A50" s="1184" t="s">
        <v>99</v>
      </c>
      <c r="B50" s="1185"/>
      <c r="C50" s="1185"/>
      <c r="D50" s="1185"/>
      <c r="E50" s="1185"/>
      <c r="F50" s="1185"/>
      <c r="G50" s="102" t="s">
        <v>100</v>
      </c>
      <c r="H50" s="25"/>
      <c r="I50" s="66" t="s">
        <v>101</v>
      </c>
      <c r="J50" s="61">
        <f>J49+J42+J29</f>
        <v>124.83</v>
      </c>
    </row>
    <row r="51" spans="1:10" x14ac:dyDescent="0.2">
      <c r="A51" s="1172" t="s">
        <v>102</v>
      </c>
      <c r="B51" s="1173"/>
      <c r="C51" s="1173"/>
      <c r="D51" s="1173"/>
      <c r="E51" s="1173"/>
      <c r="F51" s="1173"/>
      <c r="G51" s="67">
        <v>0.35</v>
      </c>
      <c r="H51" s="68"/>
      <c r="I51" s="69" t="s">
        <v>101</v>
      </c>
      <c r="J51" s="48">
        <f>+J50*G51</f>
        <v>43.69</v>
      </c>
    </row>
    <row r="52" spans="1:10" x14ac:dyDescent="0.2">
      <c r="A52" s="1174" t="s">
        <v>103</v>
      </c>
      <c r="B52" s="1175"/>
      <c r="C52" s="1175"/>
      <c r="D52" s="1175"/>
      <c r="E52" s="1175"/>
      <c r="F52" s="1175"/>
      <c r="G52" s="98"/>
      <c r="H52" s="71"/>
      <c r="I52" s="97" t="s">
        <v>101</v>
      </c>
      <c r="J52" s="43">
        <f>+J51+J50</f>
        <v>168.52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topLeftCell="A16"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f>+Planilha!B34</f>
        <v>40483</v>
      </c>
      <c r="B3" s="1218" t="str">
        <f>+Planilha!C34</f>
        <v>Corpo BDTC (grota) diâmetro 1,20 m CA-2 PB exclusive escavação e reaterro, inclusive transporte do tubo</v>
      </c>
      <c r="C3" s="1219"/>
      <c r="D3" s="1219"/>
      <c r="E3" s="1219"/>
      <c r="F3" s="1219"/>
      <c r="G3" s="1219"/>
      <c r="H3" s="1220"/>
      <c r="I3" s="1224" t="s">
        <v>62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ht="12.75" x14ac:dyDescent="0.25">
      <c r="A5" s="1160" t="s">
        <v>75</v>
      </c>
      <c r="B5" s="1160"/>
      <c r="C5" s="1160"/>
      <c r="D5" s="1140" t="s">
        <v>60</v>
      </c>
      <c r="E5" s="1140" t="s">
        <v>76</v>
      </c>
      <c r="F5" s="1151" t="s">
        <v>77</v>
      </c>
      <c r="G5" s="1152"/>
      <c r="H5" s="1151" t="s">
        <v>78</v>
      </c>
      <c r="I5" s="1152"/>
      <c r="J5" s="1154" t="s">
        <v>79</v>
      </c>
    </row>
    <row r="6" spans="1:10" ht="12.75" x14ac:dyDescent="0.25">
      <c r="A6" s="1160"/>
      <c r="B6" s="1160"/>
      <c r="C6" s="1160"/>
      <c r="D6" s="1141"/>
      <c r="E6" s="1141"/>
      <c r="F6" s="120" t="s">
        <v>80</v>
      </c>
      <c r="G6" s="121" t="s">
        <v>81</v>
      </c>
      <c r="H6" s="120" t="s">
        <v>80</v>
      </c>
      <c r="I6" s="120" t="s">
        <v>81</v>
      </c>
      <c r="J6" s="1154"/>
    </row>
    <row r="7" spans="1:10" ht="30" customHeight="1" x14ac:dyDescent="0.25">
      <c r="A7" s="1240" t="str">
        <f>VLOOKUP(D7,equip.!A1:G154,2,FALSE)</f>
        <v>Carregadeira de rodas ref. Caterpillar modelo 924H (1,9 m3) ( cab + ar ) ou equivalente</v>
      </c>
      <c r="B7" s="1241"/>
      <c r="C7" s="1242"/>
      <c r="D7" s="122">
        <v>30023</v>
      </c>
      <c r="E7" s="123">
        <v>1</v>
      </c>
      <c r="F7" s="123">
        <v>0.1</v>
      </c>
      <c r="G7" s="123">
        <v>0.9</v>
      </c>
      <c r="H7" s="123">
        <f>VLOOKUP(D7,equip.!A1:G130,6,FALSE)</f>
        <v>204.45</v>
      </c>
      <c r="I7" s="123">
        <f>VLOOKUP(D7,equip.!A1:AB130,7,FALSE)</f>
        <v>66.489999999999995</v>
      </c>
      <c r="J7" s="123">
        <f>TRUNC(E7*F7*H7+E7*G7*I7,2)</f>
        <v>80.28</v>
      </c>
    </row>
    <row r="8" spans="1:10" ht="12.75" x14ac:dyDescent="0.25">
      <c r="A8" s="1131"/>
      <c r="B8" s="1132"/>
      <c r="C8" s="1133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131"/>
      <c r="B9" s="1132"/>
      <c r="C9" s="1133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142</v>
      </c>
      <c r="B10" s="126"/>
      <c r="C10" s="127"/>
      <c r="D10" s="122"/>
      <c r="E10" s="128">
        <v>0.05</v>
      </c>
      <c r="F10" s="123"/>
      <c r="G10" s="123"/>
      <c r="H10" s="123">
        <f>+J27</f>
        <v>28.76</v>
      </c>
      <c r="I10" s="123"/>
      <c r="J10" s="123">
        <f>TRUNC(H10*E10,2)</f>
        <v>1.43</v>
      </c>
    </row>
    <row r="11" spans="1:10" ht="12.75" x14ac:dyDescent="0.25">
      <c r="A11" s="1122"/>
      <c r="B11" s="1123"/>
      <c r="C11" s="1124"/>
      <c r="D11" s="124"/>
      <c r="E11" s="123"/>
      <c r="F11" s="123"/>
      <c r="G11" s="123"/>
      <c r="H11" s="123"/>
      <c r="I11" s="123"/>
      <c r="J11" s="123"/>
    </row>
    <row r="12" spans="1:10" ht="12.75" hidden="1" x14ac:dyDescent="0.25">
      <c r="A12" s="1122"/>
      <c r="B12" s="1123"/>
      <c r="C12" s="1124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1125"/>
      <c r="B14" s="1126"/>
      <c r="C14" s="1127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1128" t="s">
        <v>82</v>
      </c>
      <c r="B15" s="1129"/>
      <c r="C15" s="1129"/>
      <c r="D15" s="1129"/>
      <c r="E15" s="1129"/>
      <c r="F15" s="1129"/>
      <c r="G15" s="1129"/>
      <c r="H15" s="1129"/>
      <c r="I15" s="1130"/>
      <c r="J15" s="136">
        <f>SUM(J7:J14)</f>
        <v>81.709999999999994</v>
      </c>
    </row>
    <row r="16" spans="1:10" x14ac:dyDescent="0.2">
      <c r="A16" s="1145" t="s">
        <v>83</v>
      </c>
      <c r="B16" s="1146"/>
      <c r="C16" s="1146"/>
      <c r="D16" s="1146"/>
      <c r="E16" s="1158"/>
      <c r="F16" s="1140" t="s">
        <v>60</v>
      </c>
      <c r="G16" s="1140" t="s">
        <v>84</v>
      </c>
      <c r="H16" s="1140" t="s">
        <v>76</v>
      </c>
      <c r="I16" s="1154" t="s">
        <v>85</v>
      </c>
      <c r="J16" s="1140" t="s">
        <v>79</v>
      </c>
    </row>
    <row r="17" spans="1:10" x14ac:dyDescent="0.2">
      <c r="A17" s="1147"/>
      <c r="B17" s="1148"/>
      <c r="C17" s="1148"/>
      <c r="D17" s="1148"/>
      <c r="E17" s="1159"/>
      <c r="F17" s="1141"/>
      <c r="G17" s="1141"/>
      <c r="H17" s="1141"/>
      <c r="I17" s="1154"/>
      <c r="J17" s="1141"/>
    </row>
    <row r="18" spans="1:10" ht="12.75" x14ac:dyDescent="0.25">
      <c r="A18" s="1122" t="str">
        <f>VLOOKUP(F18,m.o.!A1:F153,2,FALSE)</f>
        <v>Encarregado de O.A.C.</v>
      </c>
      <c r="B18" s="1123"/>
      <c r="C18" s="1123"/>
      <c r="D18" s="1123"/>
      <c r="E18" s="1124"/>
      <c r="F18" s="137">
        <v>20060</v>
      </c>
      <c r="G18" s="138"/>
      <c r="H18" s="123">
        <v>0.5</v>
      </c>
      <c r="I18" s="123">
        <f>VLOOKUP(F18,m.o.!A1:F128,5,FALSE)</f>
        <v>10.220000000000001</v>
      </c>
      <c r="J18" s="123">
        <f>TRUNC(H18*I18,2)</f>
        <v>5.1100000000000003</v>
      </c>
    </row>
    <row r="19" spans="1:10" ht="12.75" x14ac:dyDescent="0.25">
      <c r="A19" s="1122" t="str">
        <f>VLOOKUP(F19,m.o.!A2:F154,2,FALSE)</f>
        <v>Pedreiro de O.A.C.</v>
      </c>
      <c r="B19" s="1123"/>
      <c r="C19" s="1123"/>
      <c r="D19" s="1123"/>
      <c r="E19" s="1124"/>
      <c r="F19" s="137">
        <v>20109</v>
      </c>
      <c r="G19" s="138"/>
      <c r="H19" s="123">
        <v>1.8</v>
      </c>
      <c r="I19" s="123">
        <f>VLOOKUP(F19,m.o.!A2:F129,5,FALSE)</f>
        <v>5.61</v>
      </c>
      <c r="J19" s="123">
        <f>TRUNC(H19*I19,2)</f>
        <v>10.09</v>
      </c>
    </row>
    <row r="20" spans="1:10" ht="12.75" x14ac:dyDescent="0.25">
      <c r="A20" s="1122" t="str">
        <f>VLOOKUP(F20,m.o.!A4:F155,2,FALSE)</f>
        <v>Servente</v>
      </c>
      <c r="B20" s="1123"/>
      <c r="C20" s="1123"/>
      <c r="D20" s="1123"/>
      <c r="E20" s="1124"/>
      <c r="F20" s="137">
        <v>20002</v>
      </c>
      <c r="G20" s="138"/>
      <c r="H20" s="123">
        <v>3</v>
      </c>
      <c r="I20" s="123">
        <f>VLOOKUP(F20,m.o.!A4:F130,5,FALSE)</f>
        <v>4.5199999999999996</v>
      </c>
      <c r="J20" s="123">
        <f>TRUNC(H20*I20,2)</f>
        <v>13.56</v>
      </c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1125"/>
      <c r="B26" s="1126"/>
      <c r="C26" s="1126"/>
      <c r="D26" s="1126"/>
      <c r="E26" s="1127"/>
      <c r="F26" s="134"/>
      <c r="G26" s="143"/>
      <c r="H26" s="135"/>
      <c r="I26" s="135"/>
      <c r="J26" s="123"/>
    </row>
    <row r="27" spans="1:10" ht="12.75" x14ac:dyDescent="0.25">
      <c r="A27" s="1128" t="s">
        <v>86</v>
      </c>
      <c r="B27" s="1129"/>
      <c r="C27" s="1129"/>
      <c r="D27" s="1129"/>
      <c r="E27" s="1129"/>
      <c r="F27" s="1129"/>
      <c r="G27" s="1129"/>
      <c r="H27" s="1129"/>
      <c r="I27" s="1130"/>
      <c r="J27" s="136">
        <f>ROUND(SUM(J18:J26),2)</f>
        <v>28.76</v>
      </c>
    </row>
    <row r="28" spans="1:10" ht="12.75" x14ac:dyDescent="0.25">
      <c r="A28" s="1155" t="s">
        <v>87</v>
      </c>
      <c r="B28" s="1156"/>
      <c r="C28" s="1156"/>
      <c r="D28" s="1156"/>
      <c r="E28" s="1156"/>
      <c r="F28" s="135">
        <v>0.83</v>
      </c>
      <c r="G28" s="1155" t="s">
        <v>88</v>
      </c>
      <c r="H28" s="1156"/>
      <c r="I28" s="1156"/>
      <c r="J28" s="144">
        <f>+J27+J15</f>
        <v>110.47</v>
      </c>
    </row>
    <row r="29" spans="1:10" ht="12.75" x14ac:dyDescent="0.25">
      <c r="A29" s="1120" t="s">
        <v>89</v>
      </c>
      <c r="B29" s="1121"/>
      <c r="C29" s="1121"/>
      <c r="D29" s="1121"/>
      <c r="E29" s="1121"/>
      <c r="F29" s="1121"/>
      <c r="G29" s="1121"/>
      <c r="H29" s="1121"/>
      <c r="I29" s="1157"/>
      <c r="J29" s="136">
        <f>TRUNC(J28/F28,2)</f>
        <v>133.09</v>
      </c>
    </row>
    <row r="30" spans="1:10" x14ac:dyDescent="0.2">
      <c r="A30" s="1134" t="s">
        <v>90</v>
      </c>
      <c r="B30" s="1135"/>
      <c r="C30" s="1135"/>
      <c r="D30" s="1135"/>
      <c r="E30" s="1136"/>
      <c r="F30" s="1140" t="s">
        <v>60</v>
      </c>
      <c r="G30" s="1140" t="s">
        <v>1</v>
      </c>
      <c r="H30" s="1154" t="s">
        <v>64</v>
      </c>
      <c r="I30" s="1140" t="s">
        <v>91</v>
      </c>
      <c r="J30" s="1140" t="s">
        <v>92</v>
      </c>
    </row>
    <row r="31" spans="1:10" x14ac:dyDescent="0.2">
      <c r="A31" s="1137"/>
      <c r="B31" s="1138"/>
      <c r="C31" s="1138"/>
      <c r="D31" s="1138"/>
      <c r="E31" s="1139"/>
      <c r="F31" s="1141"/>
      <c r="G31" s="1141"/>
      <c r="H31" s="1154"/>
      <c r="I31" s="1141"/>
      <c r="J31" s="1141"/>
    </row>
    <row r="32" spans="1:10" ht="12.75" x14ac:dyDescent="0.25">
      <c r="A32" s="1122" t="str">
        <f>VLOOKUP(F32,mat.!$A$3:$D$642,2,FALSE)</f>
        <v>Tubo de concreto armado D=0,80m CA-2 PB</v>
      </c>
      <c r="B32" s="1123"/>
      <c r="C32" s="1123"/>
      <c r="D32" s="1123"/>
      <c r="E32" s="1124"/>
      <c r="F32" s="137">
        <v>10236</v>
      </c>
      <c r="G32" s="145" t="str">
        <f>VLOOKUP(F32,mat.!$A$3:$D$638,3,FALSE)</f>
        <v>M</v>
      </c>
      <c r="H32" s="145">
        <f>VLOOKUP(F32,mat.!$A$3:$E$638,4,FALSE)</f>
        <v>163.83000000000001</v>
      </c>
      <c r="I32" s="146">
        <v>1</v>
      </c>
      <c r="J32" s="123">
        <f>TRUNC(I32*H32,2)</f>
        <v>163.83000000000001</v>
      </c>
    </row>
    <row r="33" spans="1:13" ht="12.75" x14ac:dyDescent="0.25">
      <c r="A33" s="1122"/>
      <c r="B33" s="1123"/>
      <c r="C33" s="1123"/>
      <c r="D33" s="1123"/>
      <c r="E33" s="1124"/>
      <c r="F33" s="147"/>
      <c r="G33" s="145"/>
      <c r="H33" s="145"/>
      <c r="I33" s="146"/>
      <c r="J33" s="123"/>
    </row>
    <row r="34" spans="1:13" ht="12.75" x14ac:dyDescent="0.25">
      <c r="A34" s="1122"/>
      <c r="B34" s="1123"/>
      <c r="C34" s="1123"/>
      <c r="D34" s="1123"/>
      <c r="E34" s="1124"/>
      <c r="F34" s="147"/>
      <c r="G34" s="145"/>
      <c r="H34" s="145"/>
      <c r="I34" s="146"/>
      <c r="J34" s="123"/>
    </row>
    <row r="35" spans="1:13" ht="12.75" x14ac:dyDescent="0.25">
      <c r="A35" s="1122"/>
      <c r="B35" s="1123"/>
      <c r="C35" s="1123"/>
      <c r="D35" s="1123"/>
      <c r="E35" s="1124"/>
      <c r="F35" s="147"/>
      <c r="G35" s="145"/>
      <c r="H35" s="145"/>
      <c r="I35" s="146"/>
      <c r="J35" s="123"/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3" ht="12.75" x14ac:dyDescent="0.25">
      <c r="A39" s="1122" t="s">
        <v>162</v>
      </c>
      <c r="B39" s="1123"/>
      <c r="C39" s="1123"/>
      <c r="D39" s="1123"/>
      <c r="E39" s="1124"/>
      <c r="F39" s="148" t="s">
        <v>151</v>
      </c>
      <c r="G39" s="152" t="s">
        <v>69</v>
      </c>
      <c r="H39" s="145">
        <f>+'42611'!J50</f>
        <v>358.58</v>
      </c>
      <c r="I39" s="146">
        <v>2.5000000000000001E-2</v>
      </c>
      <c r="J39" s="123">
        <f>TRUNC(I39*H39,2)</f>
        <v>8.9600000000000009</v>
      </c>
    </row>
    <row r="40" spans="1:13" ht="12.75" x14ac:dyDescent="0.25">
      <c r="A40" s="1122"/>
      <c r="B40" s="1123"/>
      <c r="C40" s="1123"/>
      <c r="D40" s="1123"/>
      <c r="E40" s="1124"/>
      <c r="F40" s="148"/>
      <c r="G40" s="152"/>
      <c r="H40" s="145"/>
      <c r="I40" s="146"/>
      <c r="J40" s="123"/>
    </row>
    <row r="41" spans="1:13" ht="12.75" x14ac:dyDescent="0.25">
      <c r="A41" s="1125"/>
      <c r="B41" s="1126"/>
      <c r="C41" s="1126"/>
      <c r="D41" s="1126"/>
      <c r="E41" s="1127"/>
      <c r="F41" s="155"/>
      <c r="G41" s="156"/>
      <c r="H41" s="157"/>
      <c r="I41" s="146"/>
      <c r="J41" s="123"/>
    </row>
    <row r="42" spans="1:13" ht="12.75" x14ac:dyDescent="0.25">
      <c r="A42" s="1128" t="s">
        <v>93</v>
      </c>
      <c r="B42" s="1129"/>
      <c r="C42" s="1129"/>
      <c r="D42" s="1129"/>
      <c r="E42" s="1129"/>
      <c r="F42" s="1129"/>
      <c r="G42" s="1129"/>
      <c r="H42" s="1129"/>
      <c r="I42" s="1130"/>
      <c r="J42" s="136">
        <f>ROUND(SUM(J32:J41),2)</f>
        <v>172.79</v>
      </c>
    </row>
    <row r="43" spans="1:13" ht="12.75" x14ac:dyDescent="0.25">
      <c r="A43" s="1145" t="s">
        <v>94</v>
      </c>
      <c r="B43" s="1146"/>
      <c r="C43" s="1146"/>
      <c r="D43" s="1146"/>
      <c r="E43" s="1149" t="s">
        <v>60</v>
      </c>
      <c r="F43" s="1151" t="s">
        <v>95</v>
      </c>
      <c r="G43" s="1152"/>
      <c r="H43" s="1153" t="s">
        <v>96</v>
      </c>
      <c r="I43" s="1153" t="s">
        <v>97</v>
      </c>
      <c r="J43" s="1140" t="s">
        <v>64</v>
      </c>
    </row>
    <row r="44" spans="1:13" ht="12.75" x14ac:dyDescent="0.25">
      <c r="A44" s="1147"/>
      <c r="B44" s="1148"/>
      <c r="C44" s="1148"/>
      <c r="D44" s="1148"/>
      <c r="E44" s="1150"/>
      <c r="F44" s="120" t="s">
        <v>21</v>
      </c>
      <c r="G44" s="120" t="s">
        <v>20</v>
      </c>
      <c r="H44" s="1153"/>
      <c r="I44" s="1153"/>
      <c r="J44" s="1141"/>
    </row>
    <row r="45" spans="1:13" ht="12.75" x14ac:dyDescent="0.25">
      <c r="A45" s="158" t="str">
        <f>VLOOKUP(E45,tranp.!A4:J43,4,FALSE)</f>
        <v>0,676XP + 0,703XR</v>
      </c>
      <c r="B45" s="159"/>
      <c r="C45" s="159" t="s">
        <v>179</v>
      </c>
      <c r="D45" s="160"/>
      <c r="E45" s="161">
        <v>60004</v>
      </c>
      <c r="F45" s="162">
        <v>32</v>
      </c>
      <c r="G45" s="123">
        <v>0</v>
      </c>
      <c r="H45" s="123">
        <f>TRUNC(F45*K45+G45*L45+M45,2)</f>
        <v>21.63</v>
      </c>
      <c r="I45" s="163">
        <v>0.66</v>
      </c>
      <c r="J45" s="123">
        <f>TRUNC(I45*H45,2)</f>
        <v>14.27</v>
      </c>
      <c r="K45" s="22">
        <f>VLOOKUP(E45,tranp.!$A$4:$K$21,5,FALSE)</f>
        <v>0.67600000000000005</v>
      </c>
      <c r="L45" s="22">
        <f>VLOOKUP(E45,tranp.!$A$4:$G$19,6,FALSE)</f>
        <v>0.70299999999999996</v>
      </c>
      <c r="M45" s="22">
        <f>VLOOKUP(E45,tranp.!$A$4:$G$19,7,FALSE)</f>
        <v>0</v>
      </c>
    </row>
    <row r="46" spans="1:13" ht="12.75" x14ac:dyDescent="0.25">
      <c r="A46" s="139"/>
      <c r="B46" s="140"/>
      <c r="C46" s="140"/>
      <c r="D46" s="141"/>
      <c r="E46" s="164"/>
      <c r="F46" s="145"/>
      <c r="G46" s="145"/>
      <c r="H46" s="123"/>
      <c r="I46" s="165"/>
      <c r="J46" s="145"/>
    </row>
    <row r="47" spans="1:13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3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142" t="s">
        <v>98</v>
      </c>
      <c r="B49" s="1143"/>
      <c r="C49" s="1143"/>
      <c r="D49" s="1143"/>
      <c r="E49" s="1143"/>
      <c r="F49" s="1143"/>
      <c r="G49" s="1143"/>
      <c r="H49" s="1143"/>
      <c r="I49" s="1144"/>
      <c r="J49" s="170">
        <f>SUM(J45:J48)</f>
        <v>14.27</v>
      </c>
    </row>
    <row r="50" spans="1:10" ht="12.75" x14ac:dyDescent="0.25">
      <c r="A50" s="1116" t="s">
        <v>99</v>
      </c>
      <c r="B50" s="1117"/>
      <c r="C50" s="1117"/>
      <c r="D50" s="1117"/>
      <c r="E50" s="1117"/>
      <c r="F50" s="1117"/>
      <c r="G50" s="171" t="s">
        <v>100</v>
      </c>
      <c r="H50" s="172"/>
      <c r="I50" s="173" t="s">
        <v>101</v>
      </c>
      <c r="J50" s="162">
        <f>J49+J42+J29</f>
        <v>320.14999999999998</v>
      </c>
    </row>
    <row r="51" spans="1:10" ht="12.75" x14ac:dyDescent="0.25">
      <c r="A51" s="1118" t="s">
        <v>102</v>
      </c>
      <c r="B51" s="1119"/>
      <c r="C51" s="1119"/>
      <c r="D51" s="1119"/>
      <c r="E51" s="1119"/>
      <c r="F51" s="1119"/>
      <c r="G51" s="174">
        <v>0.35</v>
      </c>
      <c r="H51" s="175"/>
      <c r="I51" s="176" t="s">
        <v>101</v>
      </c>
      <c r="J51" s="144">
        <f>+J50*G51</f>
        <v>112.05</v>
      </c>
    </row>
    <row r="52" spans="1:10" ht="12.75" x14ac:dyDescent="0.25">
      <c r="A52" s="1120" t="s">
        <v>103</v>
      </c>
      <c r="B52" s="1121"/>
      <c r="C52" s="1121"/>
      <c r="D52" s="1121"/>
      <c r="E52" s="1121"/>
      <c r="F52" s="1121"/>
      <c r="G52" s="177"/>
      <c r="H52" s="178"/>
      <c r="I52" s="179" t="s">
        <v>101</v>
      </c>
      <c r="J52" s="136">
        <f>+J51+J50</f>
        <v>432.2</v>
      </c>
    </row>
    <row r="53" spans="1:10" ht="12.75" x14ac:dyDescent="0.25">
      <c r="A53" s="180" t="s">
        <v>104</v>
      </c>
      <c r="B53" s="172"/>
      <c r="C53" s="172"/>
      <c r="D53" s="172"/>
      <c r="E53" s="172"/>
      <c r="F53" s="172"/>
      <c r="G53" s="172"/>
      <c r="H53" s="181"/>
      <c r="I53" s="181"/>
      <c r="J53" s="182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f>+Planilha!B35</f>
        <v>41102</v>
      </c>
      <c r="B3" s="1218" t="str">
        <f>+Planilha!C35</f>
        <v>BSCC (pré-moldado) 1,50 x 1,50 x 1,00m CL 45t, inclusive transporte do Anel de Bueiro Celular Pré-moldado</v>
      </c>
      <c r="C3" s="1219"/>
      <c r="D3" s="1219"/>
      <c r="E3" s="1219"/>
      <c r="F3" s="1219"/>
      <c r="G3" s="1219"/>
      <c r="H3" s="1220"/>
      <c r="I3" s="1224" t="s">
        <v>62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ht="12.75" x14ac:dyDescent="0.25">
      <c r="A5" s="1160" t="s">
        <v>75</v>
      </c>
      <c r="B5" s="1160"/>
      <c r="C5" s="1160"/>
      <c r="D5" s="1140" t="s">
        <v>60</v>
      </c>
      <c r="E5" s="1140" t="s">
        <v>76</v>
      </c>
      <c r="F5" s="1151" t="s">
        <v>77</v>
      </c>
      <c r="G5" s="1152"/>
      <c r="H5" s="1151" t="s">
        <v>78</v>
      </c>
      <c r="I5" s="1152"/>
      <c r="J5" s="1154" t="s">
        <v>79</v>
      </c>
    </row>
    <row r="6" spans="1:10" ht="12.75" x14ac:dyDescent="0.25">
      <c r="A6" s="1160"/>
      <c r="B6" s="1160"/>
      <c r="C6" s="1160"/>
      <c r="D6" s="1141"/>
      <c r="E6" s="1141"/>
      <c r="F6" s="120" t="s">
        <v>80</v>
      </c>
      <c r="G6" s="121" t="s">
        <v>81</v>
      </c>
      <c r="H6" s="120" t="s">
        <v>80</v>
      </c>
      <c r="I6" s="120" t="s">
        <v>81</v>
      </c>
      <c r="J6" s="1154"/>
    </row>
    <row r="7" spans="1:10" ht="30" customHeight="1" x14ac:dyDescent="0.25">
      <c r="A7" s="1240"/>
      <c r="B7" s="1241"/>
      <c r="C7" s="1242"/>
      <c r="D7" s="122"/>
      <c r="E7" s="123"/>
      <c r="F7" s="123"/>
      <c r="G7" s="123"/>
      <c r="H7" s="123"/>
      <c r="I7" s="123"/>
      <c r="J7" s="123"/>
    </row>
    <row r="8" spans="1:10" ht="12.75" x14ac:dyDescent="0.25">
      <c r="A8" s="1131"/>
      <c r="B8" s="1132"/>
      <c r="C8" s="1133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131"/>
      <c r="B9" s="1132"/>
      <c r="C9" s="1133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142</v>
      </c>
      <c r="B10" s="126"/>
      <c r="C10" s="127"/>
      <c r="D10" s="122"/>
      <c r="E10" s="128">
        <v>0.05</v>
      </c>
      <c r="F10" s="123"/>
      <c r="G10" s="123"/>
      <c r="H10" s="123">
        <f>+J27</f>
        <v>0</v>
      </c>
      <c r="I10" s="123"/>
      <c r="J10" s="123">
        <f>TRUNC(H10*E10,2)</f>
        <v>0</v>
      </c>
    </row>
    <row r="11" spans="1:10" ht="12.75" x14ac:dyDescent="0.25">
      <c r="A11" s="1122"/>
      <c r="B11" s="1123"/>
      <c r="C11" s="1124"/>
      <c r="D11" s="124"/>
      <c r="E11" s="123"/>
      <c r="F11" s="123"/>
      <c r="G11" s="123"/>
      <c r="H11" s="123"/>
      <c r="I11" s="123"/>
      <c r="J11" s="123"/>
    </row>
    <row r="12" spans="1:10" ht="12.75" x14ac:dyDescent="0.25">
      <c r="A12" s="1122"/>
      <c r="B12" s="1123"/>
      <c r="C12" s="1124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1125"/>
      <c r="B14" s="1126"/>
      <c r="C14" s="1127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1128" t="s">
        <v>82</v>
      </c>
      <c r="B15" s="1129"/>
      <c r="C15" s="1129"/>
      <c r="D15" s="1129"/>
      <c r="E15" s="1129"/>
      <c r="F15" s="1129"/>
      <c r="G15" s="1129"/>
      <c r="H15" s="1129"/>
      <c r="I15" s="1130"/>
      <c r="J15" s="136">
        <f>SUM(J7:J14)</f>
        <v>0</v>
      </c>
    </row>
    <row r="16" spans="1:10" x14ac:dyDescent="0.2">
      <c r="A16" s="1145" t="s">
        <v>83</v>
      </c>
      <c r="B16" s="1146"/>
      <c r="C16" s="1146"/>
      <c r="D16" s="1146"/>
      <c r="E16" s="1158"/>
      <c r="F16" s="1140" t="s">
        <v>60</v>
      </c>
      <c r="G16" s="1140" t="s">
        <v>84</v>
      </c>
      <c r="H16" s="1140" t="s">
        <v>76</v>
      </c>
      <c r="I16" s="1154" t="s">
        <v>85</v>
      </c>
      <c r="J16" s="1140" t="s">
        <v>79</v>
      </c>
    </row>
    <row r="17" spans="1:10" x14ac:dyDescent="0.2">
      <c r="A17" s="1147"/>
      <c r="B17" s="1148"/>
      <c r="C17" s="1148"/>
      <c r="D17" s="1148"/>
      <c r="E17" s="1159"/>
      <c r="F17" s="1141"/>
      <c r="G17" s="1141"/>
      <c r="H17" s="1141"/>
      <c r="I17" s="1154"/>
      <c r="J17" s="1141"/>
    </row>
    <row r="18" spans="1:10" ht="12.75" x14ac:dyDescent="0.25">
      <c r="A18" s="1122"/>
      <c r="B18" s="1123"/>
      <c r="C18" s="1123"/>
      <c r="D18" s="1123"/>
      <c r="E18" s="1124"/>
      <c r="F18" s="137"/>
      <c r="G18" s="138"/>
      <c r="H18" s="123"/>
      <c r="I18" s="123"/>
      <c r="J18" s="123"/>
    </row>
    <row r="19" spans="1:10" ht="12.75" x14ac:dyDescent="0.25">
      <c r="A19" s="1122"/>
      <c r="B19" s="1123"/>
      <c r="C19" s="1123"/>
      <c r="D19" s="1123"/>
      <c r="E19" s="1124"/>
      <c r="F19" s="137"/>
      <c r="G19" s="138"/>
      <c r="H19" s="123"/>
      <c r="I19" s="123"/>
      <c r="J19" s="123"/>
    </row>
    <row r="20" spans="1:10" ht="12.75" x14ac:dyDescent="0.25">
      <c r="A20" s="1122"/>
      <c r="B20" s="1123"/>
      <c r="C20" s="1123"/>
      <c r="D20" s="1123"/>
      <c r="E20" s="1124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1125"/>
      <c r="B26" s="1126"/>
      <c r="C26" s="1126"/>
      <c r="D26" s="1126"/>
      <c r="E26" s="1127"/>
      <c r="F26" s="134"/>
      <c r="G26" s="143"/>
      <c r="H26" s="135"/>
      <c r="I26" s="135"/>
      <c r="J26" s="123"/>
    </row>
    <row r="27" spans="1:10" ht="12.75" x14ac:dyDescent="0.25">
      <c r="A27" s="1128" t="s">
        <v>86</v>
      </c>
      <c r="B27" s="1129"/>
      <c r="C27" s="1129"/>
      <c r="D27" s="1129"/>
      <c r="E27" s="1129"/>
      <c r="F27" s="1129"/>
      <c r="G27" s="1129"/>
      <c r="H27" s="1129"/>
      <c r="I27" s="1130"/>
      <c r="J27" s="136">
        <f>ROUND(SUM(J18:J26),2)</f>
        <v>0</v>
      </c>
    </row>
    <row r="28" spans="1:10" ht="12.75" x14ac:dyDescent="0.25">
      <c r="A28" s="1155" t="s">
        <v>87</v>
      </c>
      <c r="B28" s="1156"/>
      <c r="C28" s="1156"/>
      <c r="D28" s="1156"/>
      <c r="E28" s="1156"/>
      <c r="F28" s="135">
        <v>0.83</v>
      </c>
      <c r="G28" s="1155" t="s">
        <v>88</v>
      </c>
      <c r="H28" s="1156"/>
      <c r="I28" s="1156"/>
      <c r="J28" s="144">
        <f>+J27+J15</f>
        <v>0</v>
      </c>
    </row>
    <row r="29" spans="1:10" ht="12.75" x14ac:dyDescent="0.25">
      <c r="A29" s="1120" t="s">
        <v>89</v>
      </c>
      <c r="B29" s="1121"/>
      <c r="C29" s="1121"/>
      <c r="D29" s="1121"/>
      <c r="E29" s="1121"/>
      <c r="F29" s="1121"/>
      <c r="G29" s="1121"/>
      <c r="H29" s="1121"/>
      <c r="I29" s="1157"/>
      <c r="J29" s="136">
        <f>TRUNC(J28/F28,2)</f>
        <v>0</v>
      </c>
    </row>
    <row r="30" spans="1:10" x14ac:dyDescent="0.2">
      <c r="A30" s="1134" t="s">
        <v>90</v>
      </c>
      <c r="B30" s="1135"/>
      <c r="C30" s="1135"/>
      <c r="D30" s="1135"/>
      <c r="E30" s="1136"/>
      <c r="F30" s="1140" t="s">
        <v>60</v>
      </c>
      <c r="G30" s="1140" t="s">
        <v>1</v>
      </c>
      <c r="H30" s="1154" t="s">
        <v>64</v>
      </c>
      <c r="I30" s="1140" t="s">
        <v>91</v>
      </c>
      <c r="J30" s="1140" t="s">
        <v>92</v>
      </c>
    </row>
    <row r="31" spans="1:10" x14ac:dyDescent="0.2">
      <c r="A31" s="1137"/>
      <c r="B31" s="1138"/>
      <c r="C31" s="1138"/>
      <c r="D31" s="1138"/>
      <c r="E31" s="1139"/>
      <c r="F31" s="1141"/>
      <c r="G31" s="1141"/>
      <c r="H31" s="1154"/>
      <c r="I31" s="1141"/>
      <c r="J31" s="1141"/>
    </row>
    <row r="32" spans="1:10" ht="12.75" x14ac:dyDescent="0.25">
      <c r="A32" s="1122"/>
      <c r="B32" s="1123"/>
      <c r="C32" s="1123"/>
      <c r="D32" s="1123"/>
      <c r="E32" s="1124"/>
      <c r="F32" s="137"/>
      <c r="G32" s="145"/>
      <c r="H32" s="145"/>
      <c r="I32" s="146"/>
      <c r="J32" s="123"/>
    </row>
    <row r="33" spans="1:10" ht="12.75" x14ac:dyDescent="0.25">
      <c r="A33" s="1122"/>
      <c r="B33" s="1123"/>
      <c r="C33" s="1123"/>
      <c r="D33" s="1123"/>
      <c r="E33" s="1124"/>
      <c r="F33" s="147"/>
      <c r="G33" s="145"/>
      <c r="H33" s="145"/>
      <c r="I33" s="146"/>
      <c r="J33" s="123"/>
    </row>
    <row r="34" spans="1:10" ht="12.75" x14ac:dyDescent="0.25">
      <c r="A34" s="1122"/>
      <c r="B34" s="1123"/>
      <c r="C34" s="1123"/>
      <c r="D34" s="1123"/>
      <c r="E34" s="1124"/>
      <c r="F34" s="147"/>
      <c r="G34" s="145"/>
      <c r="H34" s="145"/>
      <c r="I34" s="146"/>
      <c r="J34" s="123"/>
    </row>
    <row r="35" spans="1:10" ht="12.75" x14ac:dyDescent="0.25">
      <c r="A35" s="1122"/>
      <c r="B35" s="1123"/>
      <c r="C35" s="1123"/>
      <c r="D35" s="1123"/>
      <c r="E35" s="1124"/>
      <c r="F35" s="147"/>
      <c r="G35" s="145"/>
      <c r="H35" s="145"/>
      <c r="I35" s="146"/>
      <c r="J35" s="123"/>
    </row>
    <row r="36" spans="1:10" ht="12.75" hidden="1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0" ht="12.75" hidden="1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0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0" ht="24.95" customHeight="1" x14ac:dyDescent="0.25">
      <c r="A39" s="1131" t="s">
        <v>180</v>
      </c>
      <c r="B39" s="1132"/>
      <c r="C39" s="1132"/>
      <c r="D39" s="1132"/>
      <c r="E39" s="1133"/>
      <c r="F39" s="148" t="s">
        <v>189</v>
      </c>
      <c r="G39" s="152" t="s">
        <v>69</v>
      </c>
      <c r="H39" s="145">
        <f>+'40351'!J50</f>
        <v>380.06</v>
      </c>
      <c r="I39" s="146">
        <v>0.23799999999999999</v>
      </c>
      <c r="J39" s="123">
        <f>TRUNC(I39*H39,2)</f>
        <v>90.45</v>
      </c>
    </row>
    <row r="40" spans="1:10" ht="24.95" customHeight="1" x14ac:dyDescent="0.25">
      <c r="A40" s="1131" t="s">
        <v>188</v>
      </c>
      <c r="B40" s="1132"/>
      <c r="C40" s="1132"/>
      <c r="D40" s="1132"/>
      <c r="E40" s="1133"/>
      <c r="F40" s="148" t="s">
        <v>187</v>
      </c>
      <c r="G40" s="152" t="s">
        <v>68</v>
      </c>
      <c r="H40" s="145">
        <f>+'40313'!J50</f>
        <v>50.08</v>
      </c>
      <c r="I40" s="146">
        <v>0.68</v>
      </c>
      <c r="J40" s="123">
        <f>TRUNC(I40*H40,2)</f>
        <v>34.049999999999997</v>
      </c>
    </row>
    <row r="41" spans="1:10" ht="12.75" x14ac:dyDescent="0.25">
      <c r="A41" s="1125"/>
      <c r="B41" s="1126"/>
      <c r="C41" s="1126"/>
      <c r="D41" s="1126"/>
      <c r="E41" s="1127"/>
      <c r="F41" s="155"/>
      <c r="G41" s="156"/>
      <c r="H41" s="157"/>
      <c r="I41" s="146"/>
      <c r="J41" s="123"/>
    </row>
    <row r="42" spans="1:10" ht="12.75" x14ac:dyDescent="0.25">
      <c r="A42" s="1128" t="s">
        <v>93</v>
      </c>
      <c r="B42" s="1129"/>
      <c r="C42" s="1129"/>
      <c r="D42" s="1129"/>
      <c r="E42" s="1129"/>
      <c r="F42" s="1129"/>
      <c r="G42" s="1129"/>
      <c r="H42" s="1129"/>
      <c r="I42" s="1130"/>
      <c r="J42" s="136">
        <f>ROUND(SUM(J32:J41),2)</f>
        <v>124.5</v>
      </c>
    </row>
    <row r="43" spans="1:10" ht="12.75" x14ac:dyDescent="0.25">
      <c r="A43" s="1145" t="s">
        <v>94</v>
      </c>
      <c r="B43" s="1146"/>
      <c r="C43" s="1146"/>
      <c r="D43" s="1146"/>
      <c r="E43" s="1149" t="s">
        <v>60</v>
      </c>
      <c r="F43" s="1151" t="s">
        <v>95</v>
      </c>
      <c r="G43" s="1152"/>
      <c r="H43" s="1153" t="s">
        <v>96</v>
      </c>
      <c r="I43" s="1153" t="s">
        <v>97</v>
      </c>
      <c r="J43" s="1140" t="s">
        <v>64</v>
      </c>
    </row>
    <row r="44" spans="1:10" ht="12.75" x14ac:dyDescent="0.25">
      <c r="A44" s="1147"/>
      <c r="B44" s="1148"/>
      <c r="C44" s="1148"/>
      <c r="D44" s="1148"/>
      <c r="E44" s="1150"/>
      <c r="F44" s="120" t="s">
        <v>21</v>
      </c>
      <c r="G44" s="120" t="s">
        <v>20</v>
      </c>
      <c r="H44" s="1153"/>
      <c r="I44" s="1153"/>
      <c r="J44" s="1141"/>
    </row>
    <row r="45" spans="1:10" ht="12.75" x14ac:dyDescent="0.25">
      <c r="A45" s="158"/>
      <c r="B45" s="159"/>
      <c r="C45" s="159"/>
      <c r="D45" s="160"/>
      <c r="E45" s="161"/>
      <c r="F45" s="162"/>
      <c r="G45" s="123"/>
      <c r="H45" s="123"/>
      <c r="I45" s="163"/>
      <c r="J45" s="123"/>
    </row>
    <row r="46" spans="1:10" ht="12.75" x14ac:dyDescent="0.25">
      <c r="A46" s="139"/>
      <c r="B46" s="140"/>
      <c r="C46" s="140"/>
      <c r="D46" s="141"/>
      <c r="E46" s="164"/>
      <c r="F46" s="145"/>
      <c r="G46" s="145"/>
      <c r="H46" s="123"/>
      <c r="I46" s="165"/>
      <c r="J46" s="145"/>
    </row>
    <row r="47" spans="1:10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0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142" t="s">
        <v>98</v>
      </c>
      <c r="B49" s="1143"/>
      <c r="C49" s="1143"/>
      <c r="D49" s="1143"/>
      <c r="E49" s="1143"/>
      <c r="F49" s="1143"/>
      <c r="G49" s="1143"/>
      <c r="H49" s="1143"/>
      <c r="I49" s="1144"/>
      <c r="J49" s="170">
        <f>SUM(J45:J48)</f>
        <v>0</v>
      </c>
    </row>
    <row r="50" spans="1:10" ht="12.75" x14ac:dyDescent="0.25">
      <c r="A50" s="1116" t="s">
        <v>99</v>
      </c>
      <c r="B50" s="1117"/>
      <c r="C50" s="1117"/>
      <c r="D50" s="1117"/>
      <c r="E50" s="1117"/>
      <c r="F50" s="1117"/>
      <c r="G50" s="171" t="s">
        <v>100</v>
      </c>
      <c r="H50" s="172"/>
      <c r="I50" s="173" t="s">
        <v>101</v>
      </c>
      <c r="J50" s="162">
        <f>J49+J42+J29</f>
        <v>124.5</v>
      </c>
    </row>
    <row r="51" spans="1:10" ht="12.75" x14ac:dyDescent="0.25">
      <c r="A51" s="1118" t="s">
        <v>102</v>
      </c>
      <c r="B51" s="1119"/>
      <c r="C51" s="1119"/>
      <c r="D51" s="1119"/>
      <c r="E51" s="1119"/>
      <c r="F51" s="1119"/>
      <c r="G51" s="174">
        <v>0.35</v>
      </c>
      <c r="H51" s="175"/>
      <c r="I51" s="176" t="s">
        <v>101</v>
      </c>
      <c r="J51" s="144">
        <f>+J50*G51</f>
        <v>43.58</v>
      </c>
    </row>
    <row r="52" spans="1:10" ht="12.75" x14ac:dyDescent="0.25">
      <c r="A52" s="1120" t="s">
        <v>103</v>
      </c>
      <c r="B52" s="1121"/>
      <c r="C52" s="1121"/>
      <c r="D52" s="1121"/>
      <c r="E52" s="1121"/>
      <c r="F52" s="1121"/>
      <c r="G52" s="177"/>
      <c r="H52" s="178"/>
      <c r="I52" s="179" t="s">
        <v>101</v>
      </c>
      <c r="J52" s="136">
        <f>+J51+J50</f>
        <v>168.08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view="pageBreakPreview" zoomScale="130" zoomScaleNormal="100" zoomScaleSheetLayoutView="130" workbookViewId="0">
      <selection activeCell="T32" sqref="A1:T32"/>
    </sheetView>
  </sheetViews>
  <sheetFormatPr defaultColWidth="9" defaultRowHeight="12.75" x14ac:dyDescent="0.2"/>
  <cols>
    <col min="1" max="1" width="39.625" style="428" customWidth="1"/>
    <col min="2" max="20" width="5.25" style="428" customWidth="1"/>
    <col min="21" max="16384" width="9" style="428"/>
  </cols>
  <sheetData>
    <row r="1" spans="1:20" x14ac:dyDescent="0.2">
      <c r="A1" s="1038" t="s">
        <v>1037</v>
      </c>
      <c r="B1" s="1033" t="s">
        <v>1085</v>
      </c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5"/>
    </row>
    <row r="2" spans="1:20" x14ac:dyDescent="0.2">
      <c r="A2" s="1039"/>
      <c r="B2" s="1022">
        <v>30</v>
      </c>
      <c r="C2" s="1022">
        <f>+B2+30</f>
        <v>60</v>
      </c>
      <c r="D2" s="1022">
        <f t="shared" ref="D2:F2" si="0">+C2+30</f>
        <v>90</v>
      </c>
      <c r="E2" s="1022">
        <f t="shared" si="0"/>
        <v>120</v>
      </c>
      <c r="F2" s="1022">
        <f t="shared" si="0"/>
        <v>150</v>
      </c>
      <c r="G2" s="1022">
        <f>+F2+30</f>
        <v>180</v>
      </c>
      <c r="H2" s="1022">
        <f t="shared" ref="H2:M2" si="1">+G2+30</f>
        <v>210</v>
      </c>
      <c r="I2" s="1022">
        <f t="shared" si="1"/>
        <v>240</v>
      </c>
      <c r="J2" s="1022">
        <f t="shared" si="1"/>
        <v>270</v>
      </c>
      <c r="K2" s="1022">
        <f t="shared" si="1"/>
        <v>300</v>
      </c>
      <c r="L2" s="1022">
        <f t="shared" si="1"/>
        <v>330</v>
      </c>
      <c r="M2" s="1022">
        <f t="shared" si="1"/>
        <v>360</v>
      </c>
      <c r="N2" s="1022">
        <f t="shared" ref="N2" si="2">+M2+30</f>
        <v>390</v>
      </c>
      <c r="O2" s="1022">
        <f t="shared" ref="O2" si="3">+N2+30</f>
        <v>420</v>
      </c>
      <c r="P2" s="1022">
        <f t="shared" ref="P2" si="4">+O2+30</f>
        <v>450</v>
      </c>
      <c r="Q2" s="1022">
        <f t="shared" ref="Q2" si="5">+P2+30</f>
        <v>480</v>
      </c>
      <c r="R2" s="1022">
        <f t="shared" ref="R2" si="6">+Q2+30</f>
        <v>510</v>
      </c>
      <c r="S2" s="1022">
        <f t="shared" ref="S2" si="7">+R2+30</f>
        <v>540</v>
      </c>
      <c r="T2" s="1022">
        <f t="shared" ref="T2" si="8">+S2+30</f>
        <v>570</v>
      </c>
    </row>
    <row r="3" spans="1:20" ht="10.5" customHeight="1" x14ac:dyDescent="0.2">
      <c r="A3" s="1037" t="str">
        <f>Resumo!A3</f>
        <v>TERRAPLENAGEM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</row>
    <row r="4" spans="1:20" ht="10.5" customHeight="1" x14ac:dyDescent="0.2">
      <c r="A4" s="1037"/>
      <c r="B4" s="430"/>
      <c r="C4" s="432"/>
      <c r="D4" s="432"/>
      <c r="E4" s="432"/>
      <c r="F4" s="432"/>
      <c r="G4" s="432"/>
      <c r="H4" s="432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</row>
    <row r="5" spans="1:20" ht="10.5" customHeight="1" x14ac:dyDescent="0.2">
      <c r="A5" s="1037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</row>
    <row r="6" spans="1:20" ht="10.5" customHeight="1" x14ac:dyDescent="0.2">
      <c r="A6" s="1037" t="str">
        <f>Resumo!A4</f>
        <v>DRENAGEM E OAC</v>
      </c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</row>
    <row r="7" spans="1:20" ht="10.5" customHeight="1" x14ac:dyDescent="0.2">
      <c r="A7" s="1037"/>
      <c r="B7" s="430"/>
      <c r="C7" s="430"/>
      <c r="D7" s="430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  <c r="Q7" s="432"/>
      <c r="R7" s="432"/>
      <c r="S7" s="432"/>
      <c r="T7" s="430"/>
    </row>
    <row r="8" spans="1:20" ht="10.5" customHeight="1" x14ac:dyDescent="0.2">
      <c r="A8" s="1037"/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</row>
    <row r="9" spans="1:20" ht="10.5" customHeight="1" x14ac:dyDescent="0.2">
      <c r="A9" s="1037" t="str">
        <f>Resumo!A5</f>
        <v>PAVIMENTAÇÃO</v>
      </c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</row>
    <row r="10" spans="1:20" ht="10.5" customHeight="1" x14ac:dyDescent="0.2">
      <c r="A10" s="1037"/>
      <c r="B10" s="430"/>
      <c r="C10" s="430"/>
      <c r="D10" s="430"/>
      <c r="E10" s="430"/>
      <c r="F10" s="430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0"/>
      <c r="T10" s="430"/>
    </row>
    <row r="11" spans="1:20" ht="10.5" customHeight="1" x14ac:dyDescent="0.2">
      <c r="A11" s="1037"/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/>
      <c r="R11" s="431"/>
      <c r="S11" s="431"/>
      <c r="T11" s="431"/>
    </row>
    <row r="12" spans="1:20" ht="10.5" customHeight="1" x14ac:dyDescent="0.2">
      <c r="A12" s="1037" t="str">
        <f>Resumo!A6</f>
        <v>FORNECIMENTO E TRANSPORTE DE MATERIAL BETUMINOSO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</row>
    <row r="13" spans="1:20" ht="10.5" customHeight="1" x14ac:dyDescent="0.2">
      <c r="A13" s="1037"/>
      <c r="B13" s="430"/>
      <c r="C13" s="430"/>
      <c r="D13" s="430"/>
      <c r="E13" s="430"/>
      <c r="F13" s="430"/>
      <c r="G13" s="432"/>
      <c r="H13" s="432"/>
      <c r="I13" s="432"/>
      <c r="J13" s="432"/>
      <c r="K13" s="432"/>
      <c r="L13" s="432"/>
      <c r="M13" s="432"/>
      <c r="N13" s="432"/>
      <c r="O13" s="432"/>
      <c r="P13" s="432"/>
      <c r="Q13" s="432"/>
      <c r="R13" s="432"/>
      <c r="S13" s="430"/>
      <c r="T13" s="430"/>
    </row>
    <row r="14" spans="1:20" ht="10.5" customHeight="1" x14ac:dyDescent="0.2">
      <c r="A14" s="1037"/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</row>
    <row r="15" spans="1:20" ht="10.5" customHeight="1" x14ac:dyDescent="0.2">
      <c r="A15" s="1036" t="str">
        <f>Resumo!A7</f>
        <v>OBRAS COMPLEMENTARES</v>
      </c>
      <c r="B15" s="429"/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</row>
    <row r="16" spans="1:20" ht="10.5" customHeight="1" x14ac:dyDescent="0.2">
      <c r="A16" s="1036"/>
      <c r="B16" s="430"/>
      <c r="C16" s="430"/>
      <c r="D16" s="430"/>
      <c r="E16" s="430"/>
      <c r="F16" s="430"/>
      <c r="G16" s="430"/>
      <c r="H16" s="430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</row>
    <row r="17" spans="1:20" ht="10.5" customHeight="1" x14ac:dyDescent="0.2">
      <c r="A17" s="1036"/>
      <c r="B17" s="431"/>
      <c r="C17" s="431"/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</row>
    <row r="18" spans="1:20" ht="10.5" customHeight="1" x14ac:dyDescent="0.2">
      <c r="A18" s="1036" t="str">
        <f>Resumo!A8</f>
        <v>SINALIZAÇÃO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</row>
    <row r="19" spans="1:20" ht="10.5" customHeight="1" x14ac:dyDescent="0.2">
      <c r="A19" s="1036"/>
      <c r="B19" s="430"/>
      <c r="C19" s="430"/>
      <c r="D19" s="430"/>
      <c r="E19" s="430"/>
      <c r="F19" s="430"/>
      <c r="G19" s="430"/>
      <c r="H19" s="430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</row>
    <row r="20" spans="1:20" ht="10.5" customHeight="1" x14ac:dyDescent="0.2">
      <c r="A20" s="1036"/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  <c r="P20" s="431"/>
      <c r="Q20" s="431"/>
      <c r="R20" s="431"/>
      <c r="S20" s="431"/>
      <c r="T20" s="431"/>
    </row>
    <row r="21" spans="1:20" ht="10.5" customHeight="1" x14ac:dyDescent="0.2">
      <c r="A21" s="1036" t="str">
        <f>Resumo!A9</f>
        <v>RECUPERAÇÃO AMBIENTAL</v>
      </c>
      <c r="B21" s="429"/>
      <c r="C21" s="429"/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</row>
    <row r="22" spans="1:20" ht="10.5" customHeight="1" x14ac:dyDescent="0.2">
      <c r="A22" s="1036"/>
      <c r="B22" s="430"/>
      <c r="C22" s="430"/>
      <c r="D22" s="430"/>
      <c r="E22" s="430"/>
      <c r="F22" s="430"/>
      <c r="G22" s="430"/>
      <c r="H22" s="430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</row>
    <row r="23" spans="1:20" ht="10.5" customHeight="1" x14ac:dyDescent="0.2">
      <c r="A23" s="1036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431"/>
      <c r="N23" s="431"/>
      <c r="O23" s="431"/>
      <c r="P23" s="431"/>
      <c r="Q23" s="431"/>
      <c r="R23" s="431"/>
      <c r="S23" s="431"/>
      <c r="T23" s="431"/>
    </row>
    <row r="24" spans="1:20" ht="10.5" customHeight="1" x14ac:dyDescent="0.2">
      <c r="A24" s="1036" t="str">
        <f>Resumo!A10</f>
        <v>OBRAS DE ARTE ESPECIAIS</v>
      </c>
      <c r="B24" s="430"/>
      <c r="C24" s="430"/>
      <c r="D24" s="430"/>
      <c r="E24" s="430"/>
      <c r="F24" s="430"/>
      <c r="G24" s="430"/>
      <c r="H24" s="430"/>
      <c r="I24" s="430"/>
      <c r="J24" s="430"/>
      <c r="K24" s="430"/>
      <c r="L24" s="430"/>
      <c r="M24" s="430"/>
      <c r="N24" s="430"/>
      <c r="O24" s="430"/>
      <c r="P24" s="430"/>
      <c r="Q24" s="430"/>
      <c r="R24" s="430"/>
      <c r="S24" s="430"/>
      <c r="T24" s="430"/>
    </row>
    <row r="25" spans="1:20" ht="10.5" customHeight="1" x14ac:dyDescent="0.2">
      <c r="A25" s="1036"/>
      <c r="B25" s="430"/>
      <c r="C25" s="430"/>
      <c r="D25" s="430"/>
      <c r="E25" s="432"/>
      <c r="F25" s="432"/>
      <c r="G25" s="432"/>
      <c r="H25" s="432"/>
      <c r="I25" s="432"/>
      <c r="J25" s="432"/>
      <c r="K25" s="432"/>
      <c r="L25" s="432"/>
      <c r="M25" s="432"/>
      <c r="N25" s="430"/>
      <c r="O25" s="430"/>
      <c r="P25" s="430"/>
      <c r="Q25" s="430"/>
      <c r="R25" s="430"/>
      <c r="S25" s="430"/>
      <c r="T25" s="430"/>
    </row>
    <row r="26" spans="1:20" ht="10.5" customHeight="1" x14ac:dyDescent="0.2">
      <c r="A26" s="1036"/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</row>
    <row r="27" spans="1:20" ht="10.5" customHeight="1" x14ac:dyDescent="0.2">
      <c r="A27" s="1036" t="str">
        <f>Resumo!A11</f>
        <v xml:space="preserve"> INSTALAÇÃO DE CANTEIRO. MOBILIZAÇÃO E DESMOBILIZAÇÃO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</row>
    <row r="28" spans="1:20" ht="10.5" customHeight="1" x14ac:dyDescent="0.2">
      <c r="A28" s="1036"/>
      <c r="B28" s="432"/>
      <c r="C28" s="432"/>
      <c r="D28" s="432"/>
      <c r="E28" s="432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2"/>
      <c r="S28" s="432"/>
      <c r="T28" s="432"/>
    </row>
    <row r="29" spans="1:20" ht="10.5" customHeight="1" x14ac:dyDescent="0.2">
      <c r="A29" s="1036"/>
      <c r="B29" s="431"/>
      <c r="C29" s="431"/>
      <c r="D29" s="431"/>
      <c r="E29" s="431"/>
      <c r="F29" s="431"/>
      <c r="G29" s="431"/>
      <c r="H29" s="431"/>
      <c r="I29" s="431"/>
      <c r="J29" s="431"/>
      <c r="K29" s="431"/>
      <c r="L29" s="431"/>
      <c r="M29" s="431"/>
      <c r="N29" s="431"/>
      <c r="O29" s="431"/>
      <c r="P29" s="431"/>
      <c r="Q29" s="431"/>
      <c r="R29" s="431"/>
      <c r="S29" s="431"/>
      <c r="T29" s="431"/>
    </row>
    <row r="30" spans="1:20" ht="10.5" customHeight="1" x14ac:dyDescent="0.2">
      <c r="A30" s="1036" t="str">
        <f>Resumo!A12</f>
        <v>ADMINISTRAÇÃO LOCAL E SERVIÇOS AUXILIARES</v>
      </c>
      <c r="B30" s="429"/>
      <c r="C30" s="429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</row>
    <row r="31" spans="1:20" ht="10.5" customHeight="1" x14ac:dyDescent="0.2">
      <c r="A31" s="1036"/>
      <c r="B31" s="432"/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</row>
    <row r="32" spans="1:20" ht="10.5" customHeight="1" x14ac:dyDescent="0.2">
      <c r="A32" s="1036"/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  <c r="P32" s="431"/>
      <c r="Q32" s="431"/>
      <c r="R32" s="431"/>
      <c r="S32" s="431"/>
      <c r="T32" s="431"/>
    </row>
  </sheetData>
  <mergeCells count="12">
    <mergeCell ref="B1:T1"/>
    <mergeCell ref="A30:A32"/>
    <mergeCell ref="A9:A11"/>
    <mergeCell ref="A12:A14"/>
    <mergeCell ref="A1:A2"/>
    <mergeCell ref="A3:A5"/>
    <mergeCell ref="A6:A8"/>
    <mergeCell ref="A27:A29"/>
    <mergeCell ref="A15:A17"/>
    <mergeCell ref="A18:A20"/>
    <mergeCell ref="A21:A23"/>
    <mergeCell ref="A24:A26"/>
  </mergeCells>
  <pageMargins left="0.51181102362204722" right="0.51181102362204722" top="0.78740157480314965" bottom="0.78740157480314965" header="0.31496062992125984" footer="0.31496062992125984"/>
  <pageSetup paperSize="9" scale="8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f>+Planilha!B36</f>
        <v>41103</v>
      </c>
      <c r="B3" s="1218" t="str">
        <f>+Planilha!C36</f>
        <v>BSCC (pré-moldado) 2,00 x 2,00 x 1,00m CL 45t, inclusive transporte de Anel de Bueiro Celular Pré-moldado</v>
      </c>
      <c r="C3" s="1219"/>
      <c r="D3" s="1219"/>
      <c r="E3" s="1219"/>
      <c r="F3" s="1219"/>
      <c r="G3" s="1219"/>
      <c r="H3" s="1220"/>
      <c r="I3" s="1224" t="s">
        <v>62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ht="12.75" x14ac:dyDescent="0.25">
      <c r="A5" s="1160" t="s">
        <v>75</v>
      </c>
      <c r="B5" s="1160"/>
      <c r="C5" s="1160"/>
      <c r="D5" s="1140" t="s">
        <v>60</v>
      </c>
      <c r="E5" s="1140" t="s">
        <v>76</v>
      </c>
      <c r="F5" s="1151" t="s">
        <v>77</v>
      </c>
      <c r="G5" s="1152"/>
      <c r="H5" s="1151" t="s">
        <v>78</v>
      </c>
      <c r="I5" s="1152"/>
      <c r="J5" s="1154" t="s">
        <v>79</v>
      </c>
    </row>
    <row r="6" spans="1:10" ht="12.75" x14ac:dyDescent="0.25">
      <c r="A6" s="1160"/>
      <c r="B6" s="1160"/>
      <c r="C6" s="1160"/>
      <c r="D6" s="1141"/>
      <c r="E6" s="1141"/>
      <c r="F6" s="120" t="s">
        <v>80</v>
      </c>
      <c r="G6" s="121" t="s">
        <v>81</v>
      </c>
      <c r="H6" s="120" t="s">
        <v>80</v>
      </c>
      <c r="I6" s="120" t="s">
        <v>81</v>
      </c>
      <c r="J6" s="1154"/>
    </row>
    <row r="7" spans="1:10" ht="12.75" x14ac:dyDescent="0.25">
      <c r="A7" s="1240"/>
      <c r="B7" s="1241"/>
      <c r="C7" s="1242"/>
      <c r="D7" s="122"/>
      <c r="E7" s="123"/>
      <c r="F7" s="123"/>
      <c r="G7" s="123"/>
      <c r="H7" s="123"/>
      <c r="I7" s="123"/>
      <c r="J7" s="123"/>
    </row>
    <row r="8" spans="1:10" ht="12.75" x14ac:dyDescent="0.25">
      <c r="A8" s="1131"/>
      <c r="B8" s="1132"/>
      <c r="C8" s="1133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131"/>
      <c r="B9" s="1132"/>
      <c r="C9" s="1133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142</v>
      </c>
      <c r="B10" s="126"/>
      <c r="C10" s="127"/>
      <c r="D10" s="122"/>
      <c r="E10" s="128">
        <v>0.05</v>
      </c>
      <c r="F10" s="123"/>
      <c r="G10" s="123"/>
      <c r="H10" s="123">
        <f>+J27</f>
        <v>0</v>
      </c>
      <c r="I10" s="123"/>
      <c r="J10" s="123">
        <f>TRUNC(H10*E10,2)</f>
        <v>0</v>
      </c>
    </row>
    <row r="11" spans="1:10" ht="12.75" x14ac:dyDescent="0.25">
      <c r="A11" s="1122"/>
      <c r="B11" s="1123"/>
      <c r="C11" s="1124"/>
      <c r="D11" s="124"/>
      <c r="E11" s="123"/>
      <c r="F11" s="123"/>
      <c r="G11" s="123"/>
      <c r="H11" s="123"/>
      <c r="I11" s="123"/>
      <c r="J11" s="123"/>
    </row>
    <row r="12" spans="1:10" ht="12.75" x14ac:dyDescent="0.25">
      <c r="A12" s="1122"/>
      <c r="B12" s="1123"/>
      <c r="C12" s="1124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1125"/>
      <c r="B14" s="1126"/>
      <c r="C14" s="1127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1128" t="s">
        <v>82</v>
      </c>
      <c r="B15" s="1129"/>
      <c r="C15" s="1129"/>
      <c r="D15" s="1129"/>
      <c r="E15" s="1129"/>
      <c r="F15" s="1129"/>
      <c r="G15" s="1129"/>
      <c r="H15" s="1129"/>
      <c r="I15" s="1130"/>
      <c r="J15" s="136">
        <f>SUM(J7:J14)</f>
        <v>0</v>
      </c>
    </row>
    <row r="16" spans="1:10" x14ac:dyDescent="0.2">
      <c r="A16" s="1145" t="s">
        <v>83</v>
      </c>
      <c r="B16" s="1146"/>
      <c r="C16" s="1146"/>
      <c r="D16" s="1146"/>
      <c r="E16" s="1158"/>
      <c r="F16" s="1140" t="s">
        <v>60</v>
      </c>
      <c r="G16" s="1140" t="s">
        <v>84</v>
      </c>
      <c r="H16" s="1140" t="s">
        <v>76</v>
      </c>
      <c r="I16" s="1154" t="s">
        <v>85</v>
      </c>
      <c r="J16" s="1140" t="s">
        <v>79</v>
      </c>
    </row>
    <row r="17" spans="1:10" x14ac:dyDescent="0.2">
      <c r="A17" s="1147"/>
      <c r="B17" s="1148"/>
      <c r="C17" s="1148"/>
      <c r="D17" s="1148"/>
      <c r="E17" s="1159"/>
      <c r="F17" s="1141"/>
      <c r="G17" s="1141"/>
      <c r="H17" s="1141"/>
      <c r="I17" s="1154"/>
      <c r="J17" s="1141"/>
    </row>
    <row r="18" spans="1:10" ht="12.75" x14ac:dyDescent="0.25">
      <c r="A18" s="1122"/>
      <c r="B18" s="1123"/>
      <c r="C18" s="1123"/>
      <c r="D18" s="1123"/>
      <c r="E18" s="1124"/>
      <c r="F18" s="137"/>
      <c r="G18" s="138"/>
      <c r="H18" s="123"/>
      <c r="I18" s="123"/>
      <c r="J18" s="123"/>
    </row>
    <row r="19" spans="1:10" ht="12.75" x14ac:dyDescent="0.25">
      <c r="A19" s="1122"/>
      <c r="B19" s="1123"/>
      <c r="C19" s="1123"/>
      <c r="D19" s="1123"/>
      <c r="E19" s="1124"/>
      <c r="F19" s="137"/>
      <c r="G19" s="138"/>
      <c r="H19" s="123"/>
      <c r="I19" s="123"/>
      <c r="J19" s="123"/>
    </row>
    <row r="20" spans="1:10" ht="12.75" x14ac:dyDescent="0.25">
      <c r="A20" s="1122"/>
      <c r="B20" s="1123"/>
      <c r="C20" s="1123"/>
      <c r="D20" s="1123"/>
      <c r="E20" s="1124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1125"/>
      <c r="B26" s="1126"/>
      <c r="C26" s="1126"/>
      <c r="D26" s="1126"/>
      <c r="E26" s="1127"/>
      <c r="F26" s="134"/>
      <c r="G26" s="143"/>
      <c r="H26" s="135"/>
      <c r="I26" s="135"/>
      <c r="J26" s="123"/>
    </row>
    <row r="27" spans="1:10" ht="12.75" x14ac:dyDescent="0.25">
      <c r="A27" s="1128" t="s">
        <v>86</v>
      </c>
      <c r="B27" s="1129"/>
      <c r="C27" s="1129"/>
      <c r="D27" s="1129"/>
      <c r="E27" s="1129"/>
      <c r="F27" s="1129"/>
      <c r="G27" s="1129"/>
      <c r="H27" s="1129"/>
      <c r="I27" s="1130"/>
      <c r="J27" s="136">
        <f>ROUND(SUM(J18:J26),2)</f>
        <v>0</v>
      </c>
    </row>
    <row r="28" spans="1:10" ht="12.75" x14ac:dyDescent="0.25">
      <c r="A28" s="1155" t="s">
        <v>87</v>
      </c>
      <c r="B28" s="1156"/>
      <c r="C28" s="1156"/>
      <c r="D28" s="1156"/>
      <c r="E28" s="1156"/>
      <c r="F28" s="135">
        <v>0.83</v>
      </c>
      <c r="G28" s="1155" t="s">
        <v>88</v>
      </c>
      <c r="H28" s="1156"/>
      <c r="I28" s="1156"/>
      <c r="J28" s="144">
        <f>+J27+J15</f>
        <v>0</v>
      </c>
    </row>
    <row r="29" spans="1:10" ht="12.75" x14ac:dyDescent="0.25">
      <c r="A29" s="1120" t="s">
        <v>89</v>
      </c>
      <c r="B29" s="1121"/>
      <c r="C29" s="1121"/>
      <c r="D29" s="1121"/>
      <c r="E29" s="1121"/>
      <c r="F29" s="1121"/>
      <c r="G29" s="1121"/>
      <c r="H29" s="1121"/>
      <c r="I29" s="1157"/>
      <c r="J29" s="136">
        <f>TRUNC(J28/F28,2)</f>
        <v>0</v>
      </c>
    </row>
    <row r="30" spans="1:10" x14ac:dyDescent="0.2">
      <c r="A30" s="1134" t="s">
        <v>90</v>
      </c>
      <c r="B30" s="1135"/>
      <c r="C30" s="1135"/>
      <c r="D30" s="1135"/>
      <c r="E30" s="1136"/>
      <c r="F30" s="1140" t="s">
        <v>60</v>
      </c>
      <c r="G30" s="1140" t="s">
        <v>1</v>
      </c>
      <c r="H30" s="1154" t="s">
        <v>64</v>
      </c>
      <c r="I30" s="1140" t="s">
        <v>91</v>
      </c>
      <c r="J30" s="1140" t="s">
        <v>92</v>
      </c>
    </row>
    <row r="31" spans="1:10" x14ac:dyDescent="0.2">
      <c r="A31" s="1137"/>
      <c r="B31" s="1138"/>
      <c r="C31" s="1138"/>
      <c r="D31" s="1138"/>
      <c r="E31" s="1139"/>
      <c r="F31" s="1141"/>
      <c r="G31" s="1141"/>
      <c r="H31" s="1154"/>
      <c r="I31" s="1141"/>
      <c r="J31" s="1141"/>
    </row>
    <row r="32" spans="1:10" ht="12.75" x14ac:dyDescent="0.25">
      <c r="A32" s="1122"/>
      <c r="B32" s="1123"/>
      <c r="C32" s="1123"/>
      <c r="D32" s="1123"/>
      <c r="E32" s="1124"/>
      <c r="F32" s="137"/>
      <c r="G32" s="145"/>
      <c r="H32" s="145"/>
      <c r="I32" s="146"/>
      <c r="J32" s="123"/>
    </row>
    <row r="33" spans="1:10" ht="12.75" x14ac:dyDescent="0.25">
      <c r="A33" s="1122"/>
      <c r="B33" s="1123"/>
      <c r="C33" s="1123"/>
      <c r="D33" s="1123"/>
      <c r="E33" s="1124"/>
      <c r="F33" s="147"/>
      <c r="G33" s="145"/>
      <c r="H33" s="145"/>
      <c r="I33" s="146"/>
      <c r="J33" s="123"/>
    </row>
    <row r="34" spans="1:10" ht="12.75" hidden="1" x14ac:dyDescent="0.25">
      <c r="A34" s="1122"/>
      <c r="B34" s="1123"/>
      <c r="C34" s="1123"/>
      <c r="D34" s="1123"/>
      <c r="E34" s="1124"/>
      <c r="F34" s="147"/>
      <c r="G34" s="145"/>
      <c r="H34" s="145"/>
      <c r="I34" s="146"/>
      <c r="J34" s="123"/>
    </row>
    <row r="35" spans="1:10" ht="12.75" hidden="1" x14ac:dyDescent="0.25">
      <c r="A35" s="1122"/>
      <c r="B35" s="1123"/>
      <c r="C35" s="1123"/>
      <c r="D35" s="1123"/>
      <c r="E35" s="1124"/>
      <c r="F35" s="147"/>
      <c r="G35" s="145"/>
      <c r="H35" s="145"/>
      <c r="I35" s="146"/>
      <c r="J35" s="123"/>
    </row>
    <row r="36" spans="1:10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0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0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0" ht="24.95" customHeight="1" x14ac:dyDescent="0.25">
      <c r="A39" s="1131" t="s">
        <v>180</v>
      </c>
      <c r="B39" s="1132"/>
      <c r="C39" s="1132"/>
      <c r="D39" s="1132"/>
      <c r="E39" s="1133"/>
      <c r="F39" s="148" t="s">
        <v>189</v>
      </c>
      <c r="G39" s="152" t="s">
        <v>69</v>
      </c>
      <c r="H39" s="145">
        <f>+'40351'!J50</f>
        <v>380.06</v>
      </c>
      <c r="I39" s="146">
        <v>0.38600000000000001</v>
      </c>
      <c r="J39" s="123">
        <f>TRUNC(I39*H39,2)</f>
        <v>146.69999999999999</v>
      </c>
    </row>
    <row r="40" spans="1:10" ht="24.95" customHeight="1" x14ac:dyDescent="0.25">
      <c r="A40" s="1131" t="s">
        <v>188</v>
      </c>
      <c r="B40" s="1132"/>
      <c r="C40" s="1132"/>
      <c r="D40" s="1132"/>
      <c r="E40" s="1133"/>
      <c r="F40" s="148" t="s">
        <v>187</v>
      </c>
      <c r="G40" s="152" t="s">
        <v>68</v>
      </c>
      <c r="H40" s="145">
        <f>+'40313'!J50</f>
        <v>50.08</v>
      </c>
      <c r="I40" s="146">
        <v>0.9</v>
      </c>
      <c r="J40" s="123">
        <f>TRUNC(I40*H40,2)</f>
        <v>45.07</v>
      </c>
    </row>
    <row r="41" spans="1:10" ht="12.75" x14ac:dyDescent="0.25">
      <c r="A41" s="1125"/>
      <c r="B41" s="1126"/>
      <c r="C41" s="1126"/>
      <c r="D41" s="1126"/>
      <c r="E41" s="1127"/>
      <c r="F41" s="155"/>
      <c r="G41" s="156"/>
      <c r="H41" s="157"/>
      <c r="I41" s="146"/>
      <c r="J41" s="123"/>
    </row>
    <row r="42" spans="1:10" ht="12.75" x14ac:dyDescent="0.25">
      <c r="A42" s="1128" t="s">
        <v>93</v>
      </c>
      <c r="B42" s="1129"/>
      <c r="C42" s="1129"/>
      <c r="D42" s="1129"/>
      <c r="E42" s="1129"/>
      <c r="F42" s="1129"/>
      <c r="G42" s="1129"/>
      <c r="H42" s="1129"/>
      <c r="I42" s="1130"/>
      <c r="J42" s="136">
        <f>ROUND(SUM(J32:J41),2)</f>
        <v>191.77</v>
      </c>
    </row>
    <row r="43" spans="1:10" ht="12.75" x14ac:dyDescent="0.25">
      <c r="A43" s="1145" t="s">
        <v>94</v>
      </c>
      <c r="B43" s="1146"/>
      <c r="C43" s="1146"/>
      <c r="D43" s="1146"/>
      <c r="E43" s="1149" t="s">
        <v>60</v>
      </c>
      <c r="F43" s="1151" t="s">
        <v>95</v>
      </c>
      <c r="G43" s="1152"/>
      <c r="H43" s="1153" t="s">
        <v>96</v>
      </c>
      <c r="I43" s="1153" t="s">
        <v>97</v>
      </c>
      <c r="J43" s="1140" t="s">
        <v>64</v>
      </c>
    </row>
    <row r="44" spans="1:10" ht="12.75" x14ac:dyDescent="0.25">
      <c r="A44" s="1147"/>
      <c r="B44" s="1148"/>
      <c r="C44" s="1148"/>
      <c r="D44" s="1148"/>
      <c r="E44" s="1150"/>
      <c r="F44" s="120" t="s">
        <v>21</v>
      </c>
      <c r="G44" s="120" t="s">
        <v>20</v>
      </c>
      <c r="H44" s="1153"/>
      <c r="I44" s="1153"/>
      <c r="J44" s="1141"/>
    </row>
    <row r="45" spans="1:10" ht="12.75" x14ac:dyDescent="0.25">
      <c r="A45" s="158"/>
      <c r="B45" s="159"/>
      <c r="C45" s="159"/>
      <c r="D45" s="160"/>
      <c r="E45" s="161"/>
      <c r="F45" s="162"/>
      <c r="G45" s="123"/>
      <c r="H45" s="123"/>
      <c r="I45" s="163"/>
      <c r="J45" s="123"/>
    </row>
    <row r="46" spans="1:10" ht="12.75" x14ac:dyDescent="0.25">
      <c r="A46" s="139"/>
      <c r="B46" s="140"/>
      <c r="C46" s="140"/>
      <c r="D46" s="141"/>
      <c r="E46" s="164"/>
      <c r="F46" s="145"/>
      <c r="G46" s="145"/>
      <c r="H46" s="123"/>
      <c r="I46" s="165"/>
      <c r="J46" s="145"/>
    </row>
    <row r="47" spans="1:10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0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142" t="s">
        <v>98</v>
      </c>
      <c r="B49" s="1143"/>
      <c r="C49" s="1143"/>
      <c r="D49" s="1143"/>
      <c r="E49" s="1143"/>
      <c r="F49" s="1143"/>
      <c r="G49" s="1143"/>
      <c r="H49" s="1143"/>
      <c r="I49" s="1144"/>
      <c r="J49" s="170">
        <f>SUM(J45:J48)</f>
        <v>0</v>
      </c>
    </row>
    <row r="50" spans="1:10" ht="12.75" x14ac:dyDescent="0.25">
      <c r="A50" s="1116" t="s">
        <v>99</v>
      </c>
      <c r="B50" s="1117"/>
      <c r="C50" s="1117"/>
      <c r="D50" s="1117"/>
      <c r="E50" s="1117"/>
      <c r="F50" s="1117"/>
      <c r="G50" s="171" t="s">
        <v>100</v>
      </c>
      <c r="H50" s="172"/>
      <c r="I50" s="173" t="s">
        <v>101</v>
      </c>
      <c r="J50" s="162">
        <f>J49+J42+J29</f>
        <v>191.77</v>
      </c>
    </row>
    <row r="51" spans="1:10" ht="12.75" x14ac:dyDescent="0.25">
      <c r="A51" s="1118" t="s">
        <v>102</v>
      </c>
      <c r="B51" s="1119"/>
      <c r="C51" s="1119"/>
      <c r="D51" s="1119"/>
      <c r="E51" s="1119"/>
      <c r="F51" s="1119"/>
      <c r="G51" s="174">
        <v>0.35</v>
      </c>
      <c r="H51" s="175"/>
      <c r="I51" s="176" t="s">
        <v>101</v>
      </c>
      <c r="J51" s="144">
        <f>+J50*G51</f>
        <v>67.12</v>
      </c>
    </row>
    <row r="52" spans="1:10" ht="12.75" x14ac:dyDescent="0.25">
      <c r="A52" s="1120" t="s">
        <v>103</v>
      </c>
      <c r="B52" s="1121"/>
      <c r="C52" s="1121"/>
      <c r="D52" s="1121"/>
      <c r="E52" s="1121"/>
      <c r="F52" s="1121"/>
      <c r="G52" s="177"/>
      <c r="H52" s="178"/>
      <c r="I52" s="179" t="s">
        <v>101</v>
      </c>
      <c r="J52" s="136">
        <f>+J51+J50</f>
        <v>258.89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8"/>
  <sheetViews>
    <sheetView workbookViewId="0">
      <selection activeCell="C55" sqref="C55"/>
    </sheetView>
  </sheetViews>
  <sheetFormatPr defaultColWidth="9" defaultRowHeight="11.25" x14ac:dyDescent="0.2"/>
  <cols>
    <col min="1" max="16384" width="9" style="22"/>
  </cols>
  <sheetData>
    <row r="1" spans="1:10" ht="18" customHeight="1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23"/>
      <c r="B2" s="82"/>
      <c r="C2" s="83"/>
      <c r="D2" s="83"/>
      <c r="E2" s="83"/>
      <c r="F2" s="83"/>
      <c r="G2" s="83"/>
      <c r="H2" s="23"/>
      <c r="I2" s="83"/>
      <c r="J2" s="84"/>
    </row>
    <row r="3" spans="1:10" x14ac:dyDescent="0.2">
      <c r="A3" s="26"/>
      <c r="B3" s="85"/>
      <c r="C3" s="27"/>
      <c r="D3" s="27"/>
      <c r="E3" s="27"/>
      <c r="F3" s="27"/>
      <c r="G3" s="27"/>
      <c r="H3" s="26"/>
      <c r="I3" s="27"/>
      <c r="J3" s="86"/>
    </row>
    <row r="4" spans="1:10" x14ac:dyDescent="0.2">
      <c r="A4" s="26"/>
      <c r="B4" s="28"/>
      <c r="C4" s="27"/>
      <c r="D4" s="27"/>
      <c r="E4" s="27"/>
      <c r="F4" s="27"/>
      <c r="G4" s="27"/>
      <c r="H4" s="26"/>
      <c r="I4" s="27"/>
      <c r="J4" s="86"/>
    </row>
    <row r="5" spans="1:10" x14ac:dyDescent="0.2">
      <c r="A5" s="29"/>
      <c r="B5" s="30"/>
      <c r="C5" s="31"/>
      <c r="D5" s="31"/>
      <c r="E5" s="31"/>
      <c r="F5" s="31"/>
      <c r="G5" s="31"/>
      <c r="H5" s="29"/>
      <c r="I5" s="31"/>
      <c r="J5" s="87"/>
    </row>
    <row r="6" spans="1:10" x14ac:dyDescent="0.2">
      <c r="A6" s="32" t="s">
        <v>71</v>
      </c>
      <c r="B6" s="83" t="s">
        <v>72</v>
      </c>
      <c r="C6" s="83"/>
      <c r="D6" s="83"/>
      <c r="E6" s="83"/>
      <c r="F6" s="83"/>
      <c r="G6" s="83"/>
      <c r="H6" s="83"/>
      <c r="I6" s="32" t="s">
        <v>73</v>
      </c>
      <c r="J6" s="32" t="s">
        <v>74</v>
      </c>
    </row>
    <row r="7" spans="1:10" ht="11.25" customHeight="1" x14ac:dyDescent="0.2">
      <c r="A7" s="1216" t="s">
        <v>110</v>
      </c>
      <c r="B7" s="1218" t="s">
        <v>141</v>
      </c>
      <c r="C7" s="1219"/>
      <c r="D7" s="1219"/>
      <c r="E7" s="1219"/>
      <c r="F7" s="1219"/>
      <c r="G7" s="1219"/>
      <c r="H7" s="1220"/>
      <c r="I7" s="1224" t="s">
        <v>68</v>
      </c>
      <c r="J7" s="1225" t="s">
        <v>168</v>
      </c>
    </row>
    <row r="8" spans="1:10" x14ac:dyDescent="0.2">
      <c r="A8" s="1217"/>
      <c r="B8" s="1221"/>
      <c r="C8" s="1222"/>
      <c r="D8" s="1222"/>
      <c r="E8" s="1222"/>
      <c r="F8" s="1222"/>
      <c r="G8" s="1222"/>
      <c r="H8" s="1223"/>
      <c r="I8" s="1217"/>
      <c r="J8" s="1226"/>
    </row>
    <row r="9" spans="1:10" ht="11.25" customHeight="1" x14ac:dyDescent="0.2">
      <c r="A9" s="1227" t="s">
        <v>75</v>
      </c>
      <c r="B9" s="1227"/>
      <c r="C9" s="1227"/>
      <c r="D9" s="1179" t="s">
        <v>60</v>
      </c>
      <c r="E9" s="1179" t="s">
        <v>76</v>
      </c>
      <c r="F9" s="1198" t="s">
        <v>77</v>
      </c>
      <c r="G9" s="1199"/>
      <c r="H9" s="1198" t="s">
        <v>78</v>
      </c>
      <c r="I9" s="1199"/>
      <c r="J9" s="1210" t="s">
        <v>79</v>
      </c>
    </row>
    <row r="10" spans="1:10" x14ac:dyDescent="0.2">
      <c r="A10" s="1227"/>
      <c r="B10" s="1227"/>
      <c r="C10" s="1227"/>
      <c r="D10" s="1180"/>
      <c r="E10" s="1180"/>
      <c r="F10" s="33" t="s">
        <v>80</v>
      </c>
      <c r="G10" s="34" t="s">
        <v>81</v>
      </c>
      <c r="H10" s="33" t="s">
        <v>80</v>
      </c>
      <c r="I10" s="33" t="s">
        <v>81</v>
      </c>
      <c r="J10" s="1210"/>
    </row>
    <row r="11" spans="1:10" x14ac:dyDescent="0.2">
      <c r="A11" s="1176" t="s">
        <v>142</v>
      </c>
      <c r="B11" s="1177"/>
      <c r="C11" s="1178"/>
      <c r="D11" s="35"/>
      <c r="E11" s="36">
        <v>0.05</v>
      </c>
      <c r="F11" s="36">
        <v>1</v>
      </c>
      <c r="G11" s="36">
        <v>0</v>
      </c>
      <c r="H11" s="36">
        <f>+J31</f>
        <v>2.4</v>
      </c>
      <c r="I11" s="36"/>
      <c r="J11" s="36">
        <f>TRUNC((E11*F11*H11)+(E11*G11*I11),2)</f>
        <v>0.12</v>
      </c>
    </row>
    <row r="12" spans="1:10" x14ac:dyDescent="0.2">
      <c r="A12" s="75"/>
      <c r="B12" s="76"/>
      <c r="C12" s="77"/>
      <c r="D12" s="40"/>
      <c r="E12" s="36"/>
      <c r="F12" s="36"/>
      <c r="G12" s="36"/>
      <c r="H12" s="36"/>
      <c r="I12" s="36"/>
      <c r="J12" s="36"/>
    </row>
    <row r="13" spans="1:10" x14ac:dyDescent="0.2">
      <c r="A13" s="75"/>
      <c r="B13" s="76"/>
      <c r="C13" s="77"/>
      <c r="D13" s="40"/>
      <c r="E13" s="36"/>
      <c r="F13" s="36"/>
      <c r="G13" s="36"/>
      <c r="H13" s="36"/>
      <c r="I13" s="36"/>
      <c r="J13" s="36"/>
    </row>
    <row r="14" spans="1:10" x14ac:dyDescent="0.2">
      <c r="A14" s="1176"/>
      <c r="B14" s="1177"/>
      <c r="C14" s="1178"/>
      <c r="D14" s="40"/>
      <c r="E14" s="36"/>
      <c r="F14" s="36"/>
      <c r="G14" s="36"/>
      <c r="H14" s="36"/>
      <c r="I14" s="36"/>
      <c r="J14" s="36"/>
    </row>
    <row r="15" spans="1:10" x14ac:dyDescent="0.2">
      <c r="A15" s="1176"/>
      <c r="B15" s="1177"/>
      <c r="C15" s="1178"/>
      <c r="D15" s="40"/>
      <c r="E15" s="36"/>
      <c r="F15" s="36"/>
      <c r="G15" s="36"/>
      <c r="H15" s="36"/>
      <c r="I15" s="36"/>
      <c r="J15" s="36"/>
    </row>
    <row r="16" spans="1:10" x14ac:dyDescent="0.2">
      <c r="A16" s="1176"/>
      <c r="B16" s="1177"/>
      <c r="C16" s="1178"/>
      <c r="D16" s="40"/>
      <c r="E16" s="36"/>
      <c r="F16" s="36"/>
      <c r="G16" s="36"/>
      <c r="H16" s="36"/>
      <c r="I16" s="36"/>
      <c r="J16" s="36"/>
    </row>
    <row r="17" spans="1:10" x14ac:dyDescent="0.2">
      <c r="A17" s="75"/>
      <c r="B17" s="76"/>
      <c r="C17" s="77"/>
      <c r="D17" s="40"/>
      <c r="E17" s="36"/>
      <c r="F17" s="36"/>
      <c r="G17" s="36"/>
      <c r="H17" s="36"/>
      <c r="I17" s="36"/>
      <c r="J17" s="36"/>
    </row>
    <row r="18" spans="1:10" x14ac:dyDescent="0.2">
      <c r="A18" s="1186"/>
      <c r="B18" s="1187"/>
      <c r="C18" s="1188"/>
      <c r="D18" s="41"/>
      <c r="E18" s="42"/>
      <c r="F18" s="42"/>
      <c r="G18" s="36"/>
      <c r="H18" s="36"/>
      <c r="I18" s="36"/>
      <c r="J18" s="36"/>
    </row>
    <row r="19" spans="1:10" x14ac:dyDescent="0.2">
      <c r="A19" s="1189" t="s">
        <v>82</v>
      </c>
      <c r="B19" s="1190"/>
      <c r="C19" s="1190"/>
      <c r="D19" s="1190"/>
      <c r="E19" s="1190"/>
      <c r="F19" s="1190"/>
      <c r="G19" s="1190"/>
      <c r="H19" s="1190"/>
      <c r="I19" s="1191"/>
      <c r="J19" s="43">
        <f>SUM(J11:J18)</f>
        <v>0.12</v>
      </c>
    </row>
    <row r="20" spans="1:10" x14ac:dyDescent="0.2">
      <c r="A20" s="1192" t="s">
        <v>83</v>
      </c>
      <c r="B20" s="1245"/>
      <c r="C20" s="1245"/>
      <c r="D20" s="1245"/>
      <c r="E20" s="1211"/>
      <c r="F20" s="1179" t="s">
        <v>60</v>
      </c>
      <c r="G20" s="1179" t="s">
        <v>84</v>
      </c>
      <c r="H20" s="1179" t="s">
        <v>76</v>
      </c>
      <c r="I20" s="1210" t="s">
        <v>85</v>
      </c>
      <c r="J20" s="1179" t="s">
        <v>79</v>
      </c>
    </row>
    <row r="21" spans="1:10" x14ac:dyDescent="0.2">
      <c r="A21" s="1194"/>
      <c r="B21" s="1195"/>
      <c r="C21" s="1195"/>
      <c r="D21" s="1195"/>
      <c r="E21" s="1212"/>
      <c r="F21" s="1180"/>
      <c r="G21" s="1180"/>
      <c r="H21" s="1180"/>
      <c r="I21" s="1210"/>
      <c r="J21" s="1180"/>
    </row>
    <row r="22" spans="1:10" x14ac:dyDescent="0.2">
      <c r="A22" s="1176" t="s">
        <v>143</v>
      </c>
      <c r="B22" s="1177"/>
      <c r="C22" s="1177"/>
      <c r="D22" s="1177"/>
      <c r="E22" s="1178"/>
      <c r="F22" s="44">
        <v>20109</v>
      </c>
      <c r="G22" s="45"/>
      <c r="H22" s="36">
        <v>0.2</v>
      </c>
      <c r="I22" s="36">
        <v>12.02</v>
      </c>
      <c r="J22" s="36">
        <f>+I22*H22</f>
        <v>2.4</v>
      </c>
    </row>
    <row r="23" spans="1:10" x14ac:dyDescent="0.2">
      <c r="A23" s="1176"/>
      <c r="B23" s="1177"/>
      <c r="C23" s="1177"/>
      <c r="D23" s="1177"/>
      <c r="E23" s="1178"/>
      <c r="F23" s="44"/>
      <c r="G23" s="45"/>
      <c r="H23" s="36"/>
      <c r="I23" s="36"/>
      <c r="J23" s="36"/>
    </row>
    <row r="24" spans="1:10" x14ac:dyDescent="0.2">
      <c r="A24" s="75"/>
      <c r="B24" s="76"/>
      <c r="C24" s="76"/>
      <c r="D24" s="76"/>
      <c r="E24" s="77"/>
      <c r="F24" s="44"/>
      <c r="G24" s="45"/>
      <c r="H24" s="36"/>
      <c r="I24" s="36"/>
      <c r="J24" s="36"/>
    </row>
    <row r="25" spans="1:10" x14ac:dyDescent="0.2">
      <c r="A25" s="1176"/>
      <c r="B25" s="1177"/>
      <c r="C25" s="1177"/>
      <c r="D25" s="1177"/>
      <c r="E25" s="1178"/>
      <c r="F25" s="44"/>
      <c r="G25" s="45"/>
      <c r="H25" s="36"/>
      <c r="I25" s="36"/>
      <c r="J25" s="36"/>
    </row>
    <row r="26" spans="1:10" x14ac:dyDescent="0.2">
      <c r="A26" s="1176"/>
      <c r="B26" s="1177"/>
      <c r="C26" s="1177"/>
      <c r="D26" s="1177"/>
      <c r="E26" s="1178"/>
      <c r="F26" s="44"/>
      <c r="G26" s="46"/>
      <c r="H26" s="36"/>
      <c r="I26" s="36"/>
      <c r="J26" s="36"/>
    </row>
    <row r="27" spans="1:10" x14ac:dyDescent="0.2">
      <c r="A27" s="75"/>
      <c r="B27" s="76"/>
      <c r="C27" s="76"/>
      <c r="D27" s="76"/>
      <c r="E27" s="77"/>
      <c r="F27" s="44"/>
      <c r="G27" s="46"/>
      <c r="H27" s="36"/>
      <c r="I27" s="36"/>
      <c r="J27" s="36"/>
    </row>
    <row r="28" spans="1:10" x14ac:dyDescent="0.2">
      <c r="A28" s="1176"/>
      <c r="B28" s="1177"/>
      <c r="C28" s="1177"/>
      <c r="D28" s="1177"/>
      <c r="E28" s="1178"/>
      <c r="F28" s="44"/>
      <c r="G28" s="46"/>
      <c r="H28" s="36"/>
      <c r="I28" s="36"/>
      <c r="J28" s="36"/>
    </row>
    <row r="29" spans="1:10" x14ac:dyDescent="0.2">
      <c r="A29" s="1176"/>
      <c r="B29" s="1177"/>
      <c r="C29" s="1177"/>
      <c r="D29" s="1177"/>
      <c r="E29" s="1178"/>
      <c r="F29" s="44"/>
      <c r="G29" s="46"/>
      <c r="H29" s="36"/>
      <c r="I29" s="36"/>
      <c r="J29" s="36"/>
    </row>
    <row r="30" spans="1:10" x14ac:dyDescent="0.2">
      <c r="A30" s="1186"/>
      <c r="B30" s="1187"/>
      <c r="C30" s="1187"/>
      <c r="D30" s="1187"/>
      <c r="E30" s="1188"/>
      <c r="F30" s="41"/>
      <c r="G30" s="47"/>
      <c r="H30" s="42"/>
      <c r="I30" s="42"/>
      <c r="J30" s="36"/>
    </row>
    <row r="31" spans="1:10" x14ac:dyDescent="0.2">
      <c r="A31" s="1189" t="s">
        <v>86</v>
      </c>
      <c r="B31" s="1190"/>
      <c r="C31" s="1190"/>
      <c r="D31" s="1190"/>
      <c r="E31" s="1190"/>
      <c r="F31" s="1190"/>
      <c r="G31" s="1190"/>
      <c r="H31" s="1190"/>
      <c r="I31" s="1191"/>
      <c r="J31" s="43">
        <f>ROUND(SUM(J22:J30),2)</f>
        <v>2.4</v>
      </c>
    </row>
    <row r="32" spans="1:10" x14ac:dyDescent="0.2">
      <c r="A32" s="1201" t="s">
        <v>87</v>
      </c>
      <c r="B32" s="1202"/>
      <c r="C32" s="1202"/>
      <c r="D32" s="1202"/>
      <c r="E32" s="1202"/>
      <c r="F32" s="88">
        <v>1</v>
      </c>
      <c r="G32" s="1201" t="s">
        <v>88</v>
      </c>
      <c r="H32" s="1202"/>
      <c r="I32" s="1202"/>
      <c r="J32" s="48">
        <f>+J31+J19</f>
        <v>2.52</v>
      </c>
    </row>
    <row r="33" spans="1:10" x14ac:dyDescent="0.2">
      <c r="A33" s="1174" t="s">
        <v>89</v>
      </c>
      <c r="B33" s="1175"/>
      <c r="C33" s="1175"/>
      <c r="D33" s="1175"/>
      <c r="E33" s="1175"/>
      <c r="F33" s="1175"/>
      <c r="G33" s="1175"/>
      <c r="H33" s="1175"/>
      <c r="I33" s="1203"/>
      <c r="J33" s="43">
        <f>ROUND(J32/F32,2)</f>
        <v>2.52</v>
      </c>
    </row>
    <row r="34" spans="1:10" ht="11.25" customHeight="1" x14ac:dyDescent="0.2">
      <c r="A34" s="1204" t="s">
        <v>90</v>
      </c>
      <c r="B34" s="1247"/>
      <c r="C34" s="1247"/>
      <c r="D34" s="1247"/>
      <c r="E34" s="1206"/>
      <c r="F34" s="1179" t="s">
        <v>60</v>
      </c>
      <c r="G34" s="1179" t="s">
        <v>1</v>
      </c>
      <c r="H34" s="1210" t="s">
        <v>64</v>
      </c>
      <c r="I34" s="1179" t="s">
        <v>91</v>
      </c>
      <c r="J34" s="1179" t="s">
        <v>92</v>
      </c>
    </row>
    <row r="35" spans="1:10" x14ac:dyDescent="0.2">
      <c r="A35" s="1207"/>
      <c r="B35" s="1208"/>
      <c r="C35" s="1208"/>
      <c r="D35" s="1208"/>
      <c r="E35" s="1209"/>
      <c r="F35" s="1180"/>
      <c r="G35" s="1180"/>
      <c r="H35" s="1210"/>
      <c r="I35" s="1180"/>
      <c r="J35" s="1180"/>
    </row>
    <row r="36" spans="1:10" x14ac:dyDescent="0.2">
      <c r="A36" s="49"/>
      <c r="B36" s="89"/>
      <c r="C36" s="89"/>
      <c r="D36" s="89"/>
      <c r="E36" s="51"/>
      <c r="F36" s="52"/>
      <c r="G36" s="53"/>
      <c r="H36" s="54"/>
      <c r="I36" s="90"/>
      <c r="J36" s="36"/>
    </row>
    <row r="37" spans="1:10" ht="22.5" customHeight="1" x14ac:dyDescent="0.2">
      <c r="A37" s="1234"/>
      <c r="B37" s="1235"/>
      <c r="C37" s="1235"/>
      <c r="D37" s="1235"/>
      <c r="E37" s="1236"/>
      <c r="F37" s="52"/>
      <c r="G37" s="53"/>
      <c r="H37" s="54"/>
      <c r="I37" s="90"/>
      <c r="J37" s="36"/>
    </row>
    <row r="38" spans="1:10" x14ac:dyDescent="0.2">
      <c r="A38" s="1176"/>
      <c r="B38" s="1177"/>
      <c r="C38" s="1177"/>
      <c r="D38" s="1177"/>
      <c r="E38" s="1178"/>
      <c r="F38" s="52"/>
      <c r="G38" s="53"/>
      <c r="H38" s="54"/>
      <c r="I38" s="90"/>
      <c r="J38" s="36"/>
    </row>
    <row r="39" spans="1:10" x14ac:dyDescent="0.2">
      <c r="A39" s="1176"/>
      <c r="B39" s="1177"/>
      <c r="C39" s="1177"/>
      <c r="D39" s="1177"/>
      <c r="E39" s="1178"/>
      <c r="F39" s="52"/>
      <c r="G39" s="53"/>
      <c r="H39" s="54"/>
      <c r="I39" s="90"/>
      <c r="J39" s="36"/>
    </row>
    <row r="40" spans="1:10" x14ac:dyDescent="0.2">
      <c r="A40" s="1176"/>
      <c r="B40" s="1177"/>
      <c r="C40" s="1177"/>
      <c r="D40" s="1177"/>
      <c r="E40" s="1178"/>
      <c r="F40" s="52"/>
      <c r="G40" s="53"/>
      <c r="H40" s="54"/>
      <c r="I40" s="90"/>
      <c r="J40" s="36"/>
    </row>
    <row r="41" spans="1:10" ht="22.5" customHeight="1" x14ac:dyDescent="0.2">
      <c r="A41" s="1234"/>
      <c r="B41" s="1235"/>
      <c r="C41" s="1235"/>
      <c r="D41" s="1235"/>
      <c r="E41" s="1236"/>
      <c r="F41" s="52"/>
      <c r="G41" s="53"/>
      <c r="H41" s="54"/>
      <c r="I41" s="90"/>
      <c r="J41" s="36"/>
    </row>
    <row r="42" spans="1:10" x14ac:dyDescent="0.2">
      <c r="A42" s="75"/>
      <c r="B42" s="80"/>
      <c r="C42" s="80"/>
      <c r="D42" s="80"/>
      <c r="E42" s="81"/>
      <c r="F42" s="52"/>
      <c r="G42" s="53"/>
      <c r="H42" s="54"/>
      <c r="I42" s="90"/>
      <c r="J42" s="36"/>
    </row>
    <row r="43" spans="1:10" x14ac:dyDescent="0.2">
      <c r="A43" s="1176"/>
      <c r="B43" s="1177"/>
      <c r="C43" s="1177"/>
      <c r="D43" s="1177"/>
      <c r="E43" s="1178"/>
      <c r="F43" s="52"/>
      <c r="G43" s="53"/>
      <c r="H43" s="54"/>
      <c r="I43" s="90"/>
      <c r="J43" s="36"/>
    </row>
    <row r="44" spans="1:10" x14ac:dyDescent="0.2">
      <c r="A44" s="1176"/>
      <c r="B44" s="1177"/>
      <c r="C44" s="1177"/>
      <c r="D44" s="1177"/>
      <c r="E44" s="1178"/>
      <c r="F44" s="52"/>
      <c r="G44" s="53"/>
      <c r="H44" s="54"/>
      <c r="I44" s="90"/>
      <c r="J44" s="36"/>
    </row>
    <row r="45" spans="1:10" x14ac:dyDescent="0.2">
      <c r="A45" s="1186"/>
      <c r="B45" s="1187"/>
      <c r="C45" s="1187"/>
      <c r="D45" s="1187"/>
      <c r="E45" s="1188"/>
      <c r="F45" s="58"/>
      <c r="G45" s="59"/>
      <c r="H45" s="60"/>
      <c r="I45" s="62"/>
      <c r="J45" s="36"/>
    </row>
    <row r="46" spans="1:10" x14ac:dyDescent="0.2">
      <c r="A46" s="1189" t="s">
        <v>93</v>
      </c>
      <c r="B46" s="1190"/>
      <c r="C46" s="1190"/>
      <c r="D46" s="1190"/>
      <c r="E46" s="1190"/>
      <c r="F46" s="1190"/>
      <c r="G46" s="1190"/>
      <c r="H46" s="1190"/>
      <c r="I46" s="1191"/>
      <c r="J46" s="43">
        <f>ROUND(SUM(J36:J45),2)</f>
        <v>0</v>
      </c>
    </row>
    <row r="47" spans="1:10" x14ac:dyDescent="0.2">
      <c r="A47" s="1192" t="s">
        <v>94</v>
      </c>
      <c r="B47" s="1245"/>
      <c r="C47" s="1245"/>
      <c r="D47" s="1211"/>
      <c r="E47" s="1246" t="s">
        <v>95</v>
      </c>
      <c r="F47" s="1246"/>
      <c r="G47" s="1246"/>
      <c r="H47" s="1200" t="s">
        <v>96</v>
      </c>
      <c r="I47" s="1200" t="s">
        <v>97</v>
      </c>
      <c r="J47" s="1179" t="s">
        <v>64</v>
      </c>
    </row>
    <row r="48" spans="1:10" x14ac:dyDescent="0.2">
      <c r="A48" s="1194"/>
      <c r="B48" s="1195"/>
      <c r="C48" s="1195"/>
      <c r="D48" s="1212"/>
      <c r="E48" s="33" t="s">
        <v>144</v>
      </c>
      <c r="F48" s="33" t="s">
        <v>145</v>
      </c>
      <c r="G48" s="33" t="s">
        <v>146</v>
      </c>
      <c r="H48" s="1200"/>
      <c r="I48" s="1200"/>
      <c r="J48" s="1180"/>
    </row>
    <row r="49" spans="1:10" x14ac:dyDescent="0.2">
      <c r="A49" s="1176"/>
      <c r="B49" s="1177"/>
      <c r="C49" s="1177"/>
      <c r="D49" s="1178"/>
      <c r="E49" s="61"/>
      <c r="F49" s="61"/>
      <c r="G49" s="36"/>
      <c r="H49" s="36"/>
      <c r="I49" s="62"/>
      <c r="J49" s="36"/>
    </row>
    <row r="50" spans="1:10" x14ac:dyDescent="0.2">
      <c r="A50" s="1176"/>
      <c r="B50" s="1177"/>
      <c r="C50" s="1177"/>
      <c r="D50" s="1178"/>
      <c r="E50" s="54"/>
      <c r="F50" s="54"/>
      <c r="G50" s="54"/>
      <c r="H50" s="54"/>
      <c r="I50" s="63"/>
      <c r="J50" s="54"/>
    </row>
    <row r="51" spans="1:10" x14ac:dyDescent="0.2">
      <c r="A51" s="1176"/>
      <c r="B51" s="1177"/>
      <c r="C51" s="1177"/>
      <c r="D51" s="1178"/>
      <c r="E51" s="36"/>
      <c r="F51" s="36"/>
      <c r="G51" s="36"/>
      <c r="H51" s="36"/>
      <c r="I51" s="62"/>
      <c r="J51" s="54"/>
    </row>
    <row r="52" spans="1:10" x14ac:dyDescent="0.2">
      <c r="A52" s="1176"/>
      <c r="B52" s="1177"/>
      <c r="C52" s="1177"/>
      <c r="D52" s="1178"/>
      <c r="E52" s="36"/>
      <c r="F52" s="36"/>
      <c r="G52" s="36"/>
      <c r="H52" s="36"/>
      <c r="I52" s="62"/>
      <c r="J52" s="54"/>
    </row>
    <row r="53" spans="1:10" x14ac:dyDescent="0.2">
      <c r="A53" s="1181" t="s">
        <v>98</v>
      </c>
      <c r="B53" s="1244"/>
      <c r="C53" s="1244"/>
      <c r="D53" s="1244"/>
      <c r="E53" s="1244"/>
      <c r="F53" s="1244"/>
      <c r="G53" s="1244"/>
      <c r="H53" s="1244"/>
      <c r="I53" s="1183"/>
      <c r="J53" s="64">
        <f>SUM(J49:J52)</f>
        <v>0</v>
      </c>
    </row>
    <row r="54" spans="1:10" x14ac:dyDescent="0.2">
      <c r="A54" s="1184" t="s">
        <v>99</v>
      </c>
      <c r="B54" s="1243"/>
      <c r="C54" s="1243"/>
      <c r="D54" s="1243"/>
      <c r="E54" s="1243"/>
      <c r="F54" s="1243"/>
      <c r="G54" s="91" t="s">
        <v>100</v>
      </c>
      <c r="H54" s="83"/>
      <c r="I54" s="92" t="s">
        <v>101</v>
      </c>
      <c r="J54" s="61">
        <f>J53+J46+J33</f>
        <v>2.52</v>
      </c>
    </row>
    <row r="55" spans="1:10" x14ac:dyDescent="0.2">
      <c r="A55" s="1172" t="s">
        <v>102</v>
      </c>
      <c r="B55" s="1173"/>
      <c r="C55" s="1173"/>
      <c r="D55" s="1173"/>
      <c r="E55" s="1173"/>
      <c r="F55" s="1173"/>
      <c r="G55" s="67">
        <v>0.35</v>
      </c>
      <c r="H55" s="68"/>
      <c r="I55" s="69" t="s">
        <v>101</v>
      </c>
      <c r="J55" s="48">
        <f>+J54*G55</f>
        <v>0.88</v>
      </c>
    </row>
    <row r="56" spans="1:10" x14ac:dyDescent="0.2">
      <c r="A56" s="1174" t="s">
        <v>103</v>
      </c>
      <c r="B56" s="1175"/>
      <c r="C56" s="1175"/>
      <c r="D56" s="1175"/>
      <c r="E56" s="1175"/>
      <c r="F56" s="1175"/>
      <c r="G56" s="79"/>
      <c r="H56" s="71"/>
      <c r="I56" s="78" t="s">
        <v>101</v>
      </c>
      <c r="J56" s="43">
        <f>+J55+J54</f>
        <v>3.4</v>
      </c>
    </row>
    <row r="57" spans="1:10" x14ac:dyDescent="0.2">
      <c r="A57" s="23" t="s">
        <v>104</v>
      </c>
      <c r="B57" s="83"/>
      <c r="C57" s="83"/>
      <c r="D57" s="83"/>
      <c r="E57" s="83"/>
      <c r="F57" s="83"/>
      <c r="G57" s="83"/>
      <c r="H57" s="83"/>
      <c r="I57" s="83"/>
      <c r="J57" s="84"/>
    </row>
    <row r="58" spans="1:10" x14ac:dyDescent="0.2">
      <c r="A58" s="29"/>
      <c r="B58" s="31"/>
      <c r="C58" s="31"/>
      <c r="D58" s="30"/>
      <c r="E58" s="30"/>
      <c r="F58" s="30"/>
      <c r="G58" s="30"/>
      <c r="H58" s="30"/>
      <c r="I58" s="30"/>
      <c r="J58" s="87"/>
    </row>
  </sheetData>
  <mergeCells count="62">
    <mergeCell ref="A18:C18"/>
    <mergeCell ref="A1:J1"/>
    <mergeCell ref="A7:A8"/>
    <mergeCell ref="B7:H8"/>
    <mergeCell ref="I7:I8"/>
    <mergeCell ref="J7:J8"/>
    <mergeCell ref="A9:C10"/>
    <mergeCell ref="D9:D10"/>
    <mergeCell ref="E9:E10"/>
    <mergeCell ref="F9:G9"/>
    <mergeCell ref="H9:I9"/>
    <mergeCell ref="J9:J10"/>
    <mergeCell ref="A11:C11"/>
    <mergeCell ref="A14:C14"/>
    <mergeCell ref="A15:C15"/>
    <mergeCell ref="A16:C16"/>
    <mergeCell ref="A28:E28"/>
    <mergeCell ref="A19:I19"/>
    <mergeCell ref="A20:E21"/>
    <mergeCell ref="F20:F21"/>
    <mergeCell ref="G20:G21"/>
    <mergeCell ref="H20:H21"/>
    <mergeCell ref="I20:I21"/>
    <mergeCell ref="J20:J21"/>
    <mergeCell ref="A22:E22"/>
    <mergeCell ref="A23:E23"/>
    <mergeCell ref="A25:E25"/>
    <mergeCell ref="A26:E26"/>
    <mergeCell ref="I34:I35"/>
    <mergeCell ref="J34:J35"/>
    <mergeCell ref="A29:E29"/>
    <mergeCell ref="A30:E30"/>
    <mergeCell ref="A31:I31"/>
    <mergeCell ref="A32:E32"/>
    <mergeCell ref="G32:I32"/>
    <mergeCell ref="A33:I33"/>
    <mergeCell ref="A43:E43"/>
    <mergeCell ref="A34:E35"/>
    <mergeCell ref="F34:F35"/>
    <mergeCell ref="G34:G35"/>
    <mergeCell ref="H34:H35"/>
    <mergeCell ref="A37:E37"/>
    <mergeCell ref="A38:E38"/>
    <mergeCell ref="A39:E39"/>
    <mergeCell ref="A40:E40"/>
    <mergeCell ref="A41:E41"/>
    <mergeCell ref="A44:E44"/>
    <mergeCell ref="A45:E45"/>
    <mergeCell ref="A46:I46"/>
    <mergeCell ref="A47:D48"/>
    <mergeCell ref="E47:G47"/>
    <mergeCell ref="H47:H48"/>
    <mergeCell ref="I47:I48"/>
    <mergeCell ref="A54:F54"/>
    <mergeCell ref="A55:F55"/>
    <mergeCell ref="A56:F56"/>
    <mergeCell ref="J47:J48"/>
    <mergeCell ref="A49:D49"/>
    <mergeCell ref="A50:D50"/>
    <mergeCell ref="A51:D51"/>
    <mergeCell ref="A52:D52"/>
    <mergeCell ref="A53:I53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8"/>
  <sheetViews>
    <sheetView topLeftCell="A7" workbookViewId="0">
      <selection activeCell="C55" sqref="C55"/>
    </sheetView>
  </sheetViews>
  <sheetFormatPr defaultColWidth="9" defaultRowHeight="11.25" x14ac:dyDescent="0.2"/>
  <cols>
    <col min="1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23"/>
      <c r="B2" s="82"/>
      <c r="C2" s="83"/>
      <c r="D2" s="83"/>
      <c r="E2" s="83"/>
      <c r="F2" s="83"/>
      <c r="G2" s="83"/>
      <c r="H2" s="23"/>
      <c r="I2" s="83"/>
      <c r="J2" s="84"/>
    </row>
    <row r="3" spans="1:10" x14ac:dyDescent="0.2">
      <c r="A3" s="26"/>
      <c r="B3" s="85"/>
      <c r="C3" s="27"/>
      <c r="D3" s="27"/>
      <c r="E3" s="27"/>
      <c r="F3" s="27"/>
      <c r="G3" s="27"/>
      <c r="H3" s="26"/>
      <c r="I3" s="27"/>
      <c r="J3" s="86"/>
    </row>
    <row r="4" spans="1:10" x14ac:dyDescent="0.2">
      <c r="A4" s="26"/>
      <c r="B4" s="28"/>
      <c r="C4" s="27"/>
      <c r="D4" s="27"/>
      <c r="E4" s="27"/>
      <c r="F4" s="27"/>
      <c r="G4" s="27"/>
      <c r="H4" s="26"/>
      <c r="I4" s="27"/>
      <c r="J4" s="86"/>
    </row>
    <row r="5" spans="1:10" x14ac:dyDescent="0.2">
      <c r="A5" s="29"/>
      <c r="B5" s="30"/>
      <c r="C5" s="31"/>
      <c r="D5" s="31"/>
      <c r="E5" s="31"/>
      <c r="F5" s="31"/>
      <c r="G5" s="31"/>
      <c r="H5" s="29"/>
      <c r="I5" s="31"/>
      <c r="J5" s="87"/>
    </row>
    <row r="6" spans="1:10" x14ac:dyDescent="0.2">
      <c r="A6" s="32" t="s">
        <v>71</v>
      </c>
      <c r="B6" s="83" t="s">
        <v>72</v>
      </c>
      <c r="C6" s="83"/>
      <c r="D6" s="83"/>
      <c r="E6" s="83"/>
      <c r="F6" s="83"/>
      <c r="G6" s="83"/>
      <c r="H6" s="83"/>
      <c r="I6" s="32" t="s">
        <v>73</v>
      </c>
      <c r="J6" s="32" t="s">
        <v>74</v>
      </c>
    </row>
    <row r="7" spans="1:10" x14ac:dyDescent="0.2">
      <c r="A7" s="1216" t="s">
        <v>153</v>
      </c>
      <c r="B7" s="1218" t="s">
        <v>152</v>
      </c>
      <c r="C7" s="1219"/>
      <c r="D7" s="1219"/>
      <c r="E7" s="1219"/>
      <c r="F7" s="1219"/>
      <c r="G7" s="1219"/>
      <c r="H7" s="1220"/>
      <c r="I7" s="1224" t="s">
        <v>62</v>
      </c>
      <c r="J7" s="1225" t="s">
        <v>168</v>
      </c>
    </row>
    <row r="8" spans="1:10" x14ac:dyDescent="0.2">
      <c r="A8" s="1217"/>
      <c r="B8" s="1221"/>
      <c r="C8" s="1222"/>
      <c r="D8" s="1222"/>
      <c r="E8" s="1222"/>
      <c r="F8" s="1222"/>
      <c r="G8" s="1222"/>
      <c r="H8" s="1223"/>
      <c r="I8" s="1217"/>
      <c r="J8" s="1226"/>
    </row>
    <row r="9" spans="1:10" x14ac:dyDescent="0.2">
      <c r="A9" s="1227" t="s">
        <v>75</v>
      </c>
      <c r="B9" s="1227"/>
      <c r="C9" s="1227"/>
      <c r="D9" s="1179" t="s">
        <v>60</v>
      </c>
      <c r="E9" s="1179" t="s">
        <v>76</v>
      </c>
      <c r="F9" s="1198" t="s">
        <v>77</v>
      </c>
      <c r="G9" s="1199"/>
      <c r="H9" s="1198" t="s">
        <v>78</v>
      </c>
      <c r="I9" s="1199"/>
      <c r="J9" s="1210" t="s">
        <v>79</v>
      </c>
    </row>
    <row r="10" spans="1:10" x14ac:dyDescent="0.2">
      <c r="A10" s="1227"/>
      <c r="B10" s="1227"/>
      <c r="C10" s="1227"/>
      <c r="D10" s="1180"/>
      <c r="E10" s="1180"/>
      <c r="F10" s="33" t="s">
        <v>80</v>
      </c>
      <c r="G10" s="34" t="s">
        <v>81</v>
      </c>
      <c r="H10" s="33" t="s">
        <v>80</v>
      </c>
      <c r="I10" s="33" t="s">
        <v>81</v>
      </c>
      <c r="J10" s="1210"/>
    </row>
    <row r="11" spans="1:10" x14ac:dyDescent="0.2">
      <c r="A11" s="1176" t="s">
        <v>142</v>
      </c>
      <c r="B11" s="1177"/>
      <c r="C11" s="1178"/>
      <c r="D11" s="35"/>
      <c r="E11" s="36">
        <v>0.05</v>
      </c>
      <c r="F11" s="36">
        <v>1</v>
      </c>
      <c r="G11" s="36">
        <v>0</v>
      </c>
      <c r="H11" s="36">
        <f>+J31</f>
        <v>8.35</v>
      </c>
      <c r="I11" s="36"/>
      <c r="J11" s="36">
        <f>TRUNC((E11*F11*H11)+(E11*G11*I11),2)</f>
        <v>0.41</v>
      </c>
    </row>
    <row r="12" spans="1:10" x14ac:dyDescent="0.2">
      <c r="A12" s="75"/>
      <c r="B12" s="76"/>
      <c r="C12" s="77"/>
      <c r="D12" s="40"/>
      <c r="E12" s="36"/>
      <c r="F12" s="36"/>
      <c r="G12" s="36"/>
      <c r="H12" s="36"/>
      <c r="I12" s="36"/>
      <c r="J12" s="36"/>
    </row>
    <row r="13" spans="1:10" x14ac:dyDescent="0.2">
      <c r="A13" s="75"/>
      <c r="B13" s="76"/>
      <c r="C13" s="77"/>
      <c r="D13" s="40"/>
      <c r="E13" s="36"/>
      <c r="F13" s="36"/>
      <c r="G13" s="36"/>
      <c r="H13" s="36"/>
      <c r="I13" s="36"/>
      <c r="J13" s="36"/>
    </row>
    <row r="14" spans="1:10" x14ac:dyDescent="0.2">
      <c r="A14" s="1176"/>
      <c r="B14" s="1177"/>
      <c r="C14" s="1178"/>
      <c r="D14" s="40"/>
      <c r="E14" s="36"/>
      <c r="F14" s="36"/>
      <c r="G14" s="36"/>
      <c r="H14" s="36"/>
      <c r="I14" s="36"/>
      <c r="J14" s="36"/>
    </row>
    <row r="15" spans="1:10" x14ac:dyDescent="0.2">
      <c r="A15" s="1176"/>
      <c r="B15" s="1177"/>
      <c r="C15" s="1178"/>
      <c r="D15" s="40"/>
      <c r="E15" s="36"/>
      <c r="F15" s="36"/>
      <c r="G15" s="36"/>
      <c r="H15" s="36"/>
      <c r="I15" s="36"/>
      <c r="J15" s="36"/>
    </row>
    <row r="16" spans="1:10" x14ac:dyDescent="0.2">
      <c r="A16" s="1176"/>
      <c r="B16" s="1177"/>
      <c r="C16" s="1178"/>
      <c r="D16" s="40"/>
      <c r="E16" s="36"/>
      <c r="F16" s="36"/>
      <c r="G16" s="36"/>
      <c r="H16" s="36"/>
      <c r="I16" s="36"/>
      <c r="J16" s="36"/>
    </row>
    <row r="17" spans="1:10" x14ac:dyDescent="0.2">
      <c r="A17" s="75"/>
      <c r="B17" s="76"/>
      <c r="C17" s="77"/>
      <c r="D17" s="40"/>
      <c r="E17" s="36"/>
      <c r="F17" s="36"/>
      <c r="G17" s="36"/>
      <c r="H17" s="36"/>
      <c r="I17" s="36"/>
      <c r="J17" s="36"/>
    </row>
    <row r="18" spans="1:10" x14ac:dyDescent="0.2">
      <c r="A18" s="1186"/>
      <c r="B18" s="1187"/>
      <c r="C18" s="1188"/>
      <c r="D18" s="41"/>
      <c r="E18" s="42"/>
      <c r="F18" s="42"/>
      <c r="G18" s="36"/>
      <c r="H18" s="36"/>
      <c r="I18" s="36"/>
      <c r="J18" s="36"/>
    </row>
    <row r="19" spans="1:10" x14ac:dyDescent="0.2">
      <c r="A19" s="1189" t="s">
        <v>82</v>
      </c>
      <c r="B19" s="1190"/>
      <c r="C19" s="1190"/>
      <c r="D19" s="1190"/>
      <c r="E19" s="1190"/>
      <c r="F19" s="1190"/>
      <c r="G19" s="1190"/>
      <c r="H19" s="1190"/>
      <c r="I19" s="1191"/>
      <c r="J19" s="43">
        <f>SUM(J11:J18)</f>
        <v>0.41</v>
      </c>
    </row>
    <row r="20" spans="1:10" x14ac:dyDescent="0.2">
      <c r="A20" s="1192" t="s">
        <v>83</v>
      </c>
      <c r="B20" s="1245"/>
      <c r="C20" s="1245"/>
      <c r="D20" s="1245"/>
      <c r="E20" s="1211"/>
      <c r="F20" s="1179" t="s">
        <v>60</v>
      </c>
      <c r="G20" s="1179" t="s">
        <v>84</v>
      </c>
      <c r="H20" s="1179" t="s">
        <v>76</v>
      </c>
      <c r="I20" s="1210" t="s">
        <v>85</v>
      </c>
      <c r="J20" s="1179" t="s">
        <v>79</v>
      </c>
    </row>
    <row r="21" spans="1:10" x14ac:dyDescent="0.2">
      <c r="A21" s="1194"/>
      <c r="B21" s="1195"/>
      <c r="C21" s="1195"/>
      <c r="D21" s="1195"/>
      <c r="E21" s="1212"/>
      <c r="F21" s="1180"/>
      <c r="G21" s="1180"/>
      <c r="H21" s="1180"/>
      <c r="I21" s="1210"/>
      <c r="J21" s="1180"/>
    </row>
    <row r="22" spans="1:10" x14ac:dyDescent="0.2">
      <c r="A22" s="1176" t="s">
        <v>143</v>
      </c>
      <c r="B22" s="1177"/>
      <c r="C22" s="1177"/>
      <c r="D22" s="1177"/>
      <c r="E22" s="1178"/>
      <c r="F22" s="44">
        <v>20109</v>
      </c>
      <c r="G22" s="45"/>
      <c r="H22" s="36">
        <v>0.4</v>
      </c>
      <c r="I22" s="36">
        <v>12.02</v>
      </c>
      <c r="J22" s="36">
        <f>+I22*H22</f>
        <v>4.8099999999999996</v>
      </c>
    </row>
    <row r="23" spans="1:10" x14ac:dyDescent="0.2">
      <c r="A23" s="1176" t="s">
        <v>66</v>
      </c>
      <c r="B23" s="1177"/>
      <c r="C23" s="1177"/>
      <c r="D23" s="1177"/>
      <c r="E23" s="1178"/>
      <c r="F23" s="44">
        <v>20002</v>
      </c>
      <c r="G23" s="45"/>
      <c r="H23" s="36">
        <v>0.4</v>
      </c>
      <c r="I23" s="36">
        <v>8.84</v>
      </c>
      <c r="J23" s="36">
        <f>+I23*H23</f>
        <v>3.54</v>
      </c>
    </row>
    <row r="24" spans="1:10" x14ac:dyDescent="0.2">
      <c r="A24" s="75"/>
      <c r="B24" s="76"/>
      <c r="C24" s="76"/>
      <c r="D24" s="76"/>
      <c r="E24" s="77"/>
      <c r="F24" s="44"/>
      <c r="G24" s="45"/>
      <c r="H24" s="36"/>
      <c r="I24" s="36"/>
      <c r="J24" s="36"/>
    </row>
    <row r="25" spans="1:10" x14ac:dyDescent="0.2">
      <c r="A25" s="1176"/>
      <c r="B25" s="1177"/>
      <c r="C25" s="1177"/>
      <c r="D25" s="1177"/>
      <c r="E25" s="1178"/>
      <c r="F25" s="44"/>
      <c r="G25" s="45"/>
      <c r="H25" s="36"/>
      <c r="I25" s="36"/>
      <c r="J25" s="36"/>
    </row>
    <row r="26" spans="1:10" x14ac:dyDescent="0.2">
      <c r="A26" s="1176"/>
      <c r="B26" s="1177"/>
      <c r="C26" s="1177"/>
      <c r="D26" s="1177"/>
      <c r="E26" s="1178"/>
      <c r="F26" s="44"/>
      <c r="G26" s="46"/>
      <c r="H26" s="36"/>
      <c r="I26" s="36"/>
      <c r="J26" s="36"/>
    </row>
    <row r="27" spans="1:10" x14ac:dyDescent="0.2">
      <c r="A27" s="75"/>
      <c r="B27" s="76"/>
      <c r="C27" s="76"/>
      <c r="D27" s="76"/>
      <c r="E27" s="77"/>
      <c r="F27" s="44"/>
      <c r="G27" s="46"/>
      <c r="H27" s="36"/>
      <c r="I27" s="36"/>
      <c r="J27" s="36"/>
    </row>
    <row r="28" spans="1:10" x14ac:dyDescent="0.2">
      <c r="A28" s="1176"/>
      <c r="B28" s="1177"/>
      <c r="C28" s="1177"/>
      <c r="D28" s="1177"/>
      <c r="E28" s="1178"/>
      <c r="F28" s="44"/>
      <c r="G28" s="46"/>
      <c r="H28" s="36"/>
      <c r="I28" s="36"/>
      <c r="J28" s="36"/>
    </row>
    <row r="29" spans="1:10" x14ac:dyDescent="0.2">
      <c r="A29" s="1176"/>
      <c r="B29" s="1177"/>
      <c r="C29" s="1177"/>
      <c r="D29" s="1177"/>
      <c r="E29" s="1178"/>
      <c r="F29" s="44"/>
      <c r="G29" s="46"/>
      <c r="H29" s="36"/>
      <c r="I29" s="36"/>
      <c r="J29" s="36"/>
    </row>
    <row r="30" spans="1:10" x14ac:dyDescent="0.2">
      <c r="A30" s="1186"/>
      <c r="B30" s="1187"/>
      <c r="C30" s="1187"/>
      <c r="D30" s="1187"/>
      <c r="E30" s="1188"/>
      <c r="F30" s="41"/>
      <c r="G30" s="47"/>
      <c r="H30" s="42"/>
      <c r="I30" s="42"/>
      <c r="J30" s="36"/>
    </row>
    <row r="31" spans="1:10" x14ac:dyDescent="0.2">
      <c r="A31" s="1189" t="s">
        <v>86</v>
      </c>
      <c r="B31" s="1190"/>
      <c r="C31" s="1190"/>
      <c r="D31" s="1190"/>
      <c r="E31" s="1190"/>
      <c r="F31" s="1190"/>
      <c r="G31" s="1190"/>
      <c r="H31" s="1190"/>
      <c r="I31" s="1191"/>
      <c r="J31" s="43">
        <f>ROUND(SUM(J22:J30),2)</f>
        <v>8.35</v>
      </c>
    </row>
    <row r="32" spans="1:10" x14ac:dyDescent="0.2">
      <c r="A32" s="1201" t="s">
        <v>87</v>
      </c>
      <c r="B32" s="1202"/>
      <c r="C32" s="1202"/>
      <c r="D32" s="1202"/>
      <c r="E32" s="1202"/>
      <c r="F32" s="88">
        <v>1</v>
      </c>
      <c r="G32" s="1201" t="s">
        <v>88</v>
      </c>
      <c r="H32" s="1202"/>
      <c r="I32" s="1202"/>
      <c r="J32" s="48">
        <f>+J31+J19</f>
        <v>8.76</v>
      </c>
    </row>
    <row r="33" spans="1:11" x14ac:dyDescent="0.2">
      <c r="A33" s="1174" t="s">
        <v>89</v>
      </c>
      <c r="B33" s="1175"/>
      <c r="C33" s="1175"/>
      <c r="D33" s="1175"/>
      <c r="E33" s="1175"/>
      <c r="F33" s="1175"/>
      <c r="G33" s="1175"/>
      <c r="H33" s="1175"/>
      <c r="I33" s="1203"/>
      <c r="J33" s="43">
        <f>ROUND(J32/F32,2)</f>
        <v>8.76</v>
      </c>
    </row>
    <row r="34" spans="1:11" ht="11.25" customHeight="1" x14ac:dyDescent="0.2">
      <c r="A34" s="1204" t="s">
        <v>90</v>
      </c>
      <c r="B34" s="1247"/>
      <c r="C34" s="1247"/>
      <c r="D34" s="1247"/>
      <c r="E34" s="1206"/>
      <c r="F34" s="1179" t="s">
        <v>60</v>
      </c>
      <c r="G34" s="1179" t="s">
        <v>1</v>
      </c>
      <c r="H34" s="1210" t="s">
        <v>64</v>
      </c>
      <c r="I34" s="1179" t="s">
        <v>91</v>
      </c>
      <c r="J34" s="1179" t="s">
        <v>92</v>
      </c>
    </row>
    <row r="35" spans="1:11" x14ac:dyDescent="0.2">
      <c r="A35" s="1207"/>
      <c r="B35" s="1208"/>
      <c r="C35" s="1208"/>
      <c r="D35" s="1208"/>
      <c r="E35" s="1209"/>
      <c r="F35" s="1180"/>
      <c r="G35" s="1180"/>
      <c r="H35" s="1210"/>
      <c r="I35" s="1180"/>
      <c r="J35" s="1180"/>
    </row>
    <row r="36" spans="1:11" x14ac:dyDescent="0.2">
      <c r="A36" s="49" t="s">
        <v>147</v>
      </c>
      <c r="B36" s="89"/>
      <c r="C36" s="89"/>
      <c r="D36" s="89"/>
      <c r="E36" s="51"/>
      <c r="F36" s="52" t="s">
        <v>148</v>
      </c>
      <c r="G36" s="53" t="s">
        <v>68</v>
      </c>
      <c r="H36" s="54">
        <v>34.46</v>
      </c>
      <c r="I36" s="55">
        <f>+(0.4+1.2+0.4)*1</f>
        <v>2</v>
      </c>
      <c r="J36" s="36">
        <f>+I36*H36</f>
        <v>68.92</v>
      </c>
    </row>
    <row r="37" spans="1:11" ht="11.25" customHeight="1" x14ac:dyDescent="0.2">
      <c r="A37" s="1234" t="s">
        <v>149</v>
      </c>
      <c r="B37" s="1235"/>
      <c r="C37" s="1235"/>
      <c r="D37" s="1235"/>
      <c r="E37" s="1236"/>
      <c r="F37" s="52" t="s">
        <v>150</v>
      </c>
      <c r="G37" s="53" t="s">
        <v>69</v>
      </c>
      <c r="H37" s="54">
        <v>353.6</v>
      </c>
      <c r="I37" s="55">
        <v>0.02</v>
      </c>
      <c r="J37" s="36">
        <f>+H37*I37</f>
        <v>7.07</v>
      </c>
      <c r="K37" s="93"/>
    </row>
    <row r="38" spans="1:11" x14ac:dyDescent="0.2">
      <c r="A38" s="1176"/>
      <c r="B38" s="1177"/>
      <c r="C38" s="1177"/>
      <c r="D38" s="1177"/>
      <c r="E38" s="1178"/>
      <c r="F38" s="52"/>
      <c r="G38" s="53"/>
      <c r="H38" s="54"/>
      <c r="I38" s="55"/>
      <c r="J38" s="36"/>
    </row>
    <row r="39" spans="1:11" x14ac:dyDescent="0.2">
      <c r="A39" s="1176"/>
      <c r="B39" s="1177"/>
      <c r="C39" s="1177"/>
      <c r="D39" s="1177"/>
      <c r="E39" s="1178"/>
      <c r="F39" s="52"/>
      <c r="G39" s="53"/>
      <c r="H39" s="54"/>
      <c r="I39" s="55"/>
      <c r="J39" s="36"/>
    </row>
    <row r="40" spans="1:11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1" x14ac:dyDescent="0.2">
      <c r="A41" s="1234"/>
      <c r="B41" s="1235"/>
      <c r="C41" s="1235"/>
      <c r="D41" s="1235"/>
      <c r="E41" s="1236"/>
      <c r="F41" s="52"/>
      <c r="G41" s="53"/>
      <c r="H41" s="54"/>
      <c r="I41" s="55"/>
      <c r="J41" s="36"/>
    </row>
    <row r="42" spans="1:11" x14ac:dyDescent="0.2">
      <c r="A42" s="75"/>
      <c r="B42" s="80"/>
      <c r="C42" s="80"/>
      <c r="D42" s="80"/>
      <c r="E42" s="81"/>
      <c r="F42" s="52"/>
      <c r="G42" s="53"/>
      <c r="H42" s="54"/>
      <c r="I42" s="55"/>
      <c r="J42" s="36"/>
    </row>
    <row r="43" spans="1:11" x14ac:dyDescent="0.2">
      <c r="A43" s="1176"/>
      <c r="B43" s="1177"/>
      <c r="C43" s="1177"/>
      <c r="D43" s="1177"/>
      <c r="E43" s="1178"/>
      <c r="F43" s="52"/>
      <c r="G43" s="53"/>
      <c r="H43" s="54"/>
      <c r="I43" s="55"/>
      <c r="J43" s="36"/>
    </row>
    <row r="44" spans="1:11" x14ac:dyDescent="0.2">
      <c r="A44" s="1176"/>
      <c r="B44" s="1177"/>
      <c r="C44" s="1177"/>
      <c r="D44" s="1177"/>
      <c r="E44" s="1178"/>
      <c r="F44" s="52"/>
      <c r="G44" s="53"/>
      <c r="H44" s="54"/>
      <c r="I44" s="55"/>
      <c r="J44" s="36"/>
    </row>
    <row r="45" spans="1:11" x14ac:dyDescent="0.2">
      <c r="A45" s="1186"/>
      <c r="B45" s="1187"/>
      <c r="C45" s="1187"/>
      <c r="D45" s="1187"/>
      <c r="E45" s="1188"/>
      <c r="F45" s="58"/>
      <c r="G45" s="59"/>
      <c r="H45" s="60"/>
      <c r="I45" s="55"/>
      <c r="J45" s="36"/>
    </row>
    <row r="46" spans="1:11" x14ac:dyDescent="0.2">
      <c r="A46" s="1189" t="s">
        <v>93</v>
      </c>
      <c r="B46" s="1190"/>
      <c r="C46" s="1190"/>
      <c r="D46" s="1190"/>
      <c r="E46" s="1190"/>
      <c r="F46" s="1190"/>
      <c r="G46" s="1190"/>
      <c r="H46" s="1190"/>
      <c r="I46" s="1191"/>
      <c r="J46" s="43">
        <f>ROUND(SUM(J36:J45),2)</f>
        <v>75.989999999999995</v>
      </c>
    </row>
    <row r="47" spans="1:11" x14ac:dyDescent="0.2">
      <c r="A47" s="1192" t="s">
        <v>94</v>
      </c>
      <c r="B47" s="1245"/>
      <c r="C47" s="1245"/>
      <c r="D47" s="1211"/>
      <c r="E47" s="1246" t="s">
        <v>95</v>
      </c>
      <c r="F47" s="1246"/>
      <c r="G47" s="1246"/>
      <c r="H47" s="1200" t="s">
        <v>96</v>
      </c>
      <c r="I47" s="1200" t="s">
        <v>97</v>
      </c>
      <c r="J47" s="1179" t="s">
        <v>64</v>
      </c>
    </row>
    <row r="48" spans="1:11" x14ac:dyDescent="0.2">
      <c r="A48" s="1194"/>
      <c r="B48" s="1195"/>
      <c r="C48" s="1195"/>
      <c r="D48" s="1212"/>
      <c r="E48" s="33" t="s">
        <v>144</v>
      </c>
      <c r="F48" s="33" t="s">
        <v>145</v>
      </c>
      <c r="G48" s="33" t="s">
        <v>146</v>
      </c>
      <c r="H48" s="1200"/>
      <c r="I48" s="1200"/>
      <c r="J48" s="1180"/>
    </row>
    <row r="49" spans="1:10" x14ac:dyDescent="0.2">
      <c r="A49" s="1176"/>
      <c r="B49" s="1177"/>
      <c r="C49" s="1177"/>
      <c r="D49" s="1178"/>
      <c r="E49" s="61"/>
      <c r="F49" s="61"/>
      <c r="G49" s="36"/>
      <c r="H49" s="36"/>
      <c r="I49" s="62"/>
      <c r="J49" s="36"/>
    </row>
    <row r="50" spans="1:10" x14ac:dyDescent="0.2">
      <c r="A50" s="1176"/>
      <c r="B50" s="1177"/>
      <c r="C50" s="1177"/>
      <c r="D50" s="1178"/>
      <c r="E50" s="54"/>
      <c r="F50" s="54"/>
      <c r="G50" s="54"/>
      <c r="H50" s="54"/>
      <c r="I50" s="63"/>
      <c r="J50" s="54"/>
    </row>
    <row r="51" spans="1:10" x14ac:dyDescent="0.2">
      <c r="A51" s="1176"/>
      <c r="B51" s="1177"/>
      <c r="C51" s="1177"/>
      <c r="D51" s="1178"/>
      <c r="E51" s="36"/>
      <c r="F51" s="36"/>
      <c r="G51" s="36"/>
      <c r="H51" s="36"/>
      <c r="I51" s="62"/>
      <c r="J51" s="54"/>
    </row>
    <row r="52" spans="1:10" x14ac:dyDescent="0.2">
      <c r="A52" s="1176"/>
      <c r="B52" s="1177"/>
      <c r="C52" s="1177"/>
      <c r="D52" s="1178"/>
      <c r="E52" s="36"/>
      <c r="F52" s="36"/>
      <c r="G52" s="36"/>
      <c r="H52" s="36"/>
      <c r="I52" s="62"/>
      <c r="J52" s="54"/>
    </row>
    <row r="53" spans="1:10" x14ac:dyDescent="0.2">
      <c r="A53" s="1181" t="s">
        <v>98</v>
      </c>
      <c r="B53" s="1244"/>
      <c r="C53" s="1244"/>
      <c r="D53" s="1244"/>
      <c r="E53" s="1244"/>
      <c r="F53" s="1244"/>
      <c r="G53" s="1244"/>
      <c r="H53" s="1244"/>
      <c r="I53" s="1183"/>
      <c r="J53" s="64">
        <f>SUM(J49:J52)</f>
        <v>0</v>
      </c>
    </row>
    <row r="54" spans="1:10" x14ac:dyDescent="0.2">
      <c r="A54" s="1184" t="s">
        <v>99</v>
      </c>
      <c r="B54" s="1243"/>
      <c r="C54" s="1243"/>
      <c r="D54" s="1243"/>
      <c r="E54" s="1243"/>
      <c r="F54" s="1243"/>
      <c r="G54" s="91" t="s">
        <v>100</v>
      </c>
      <c r="H54" s="83"/>
      <c r="I54" s="92" t="s">
        <v>101</v>
      </c>
      <c r="J54" s="61">
        <f>J53+J46+J33</f>
        <v>84.75</v>
      </c>
    </row>
    <row r="55" spans="1:10" x14ac:dyDescent="0.2">
      <c r="A55" s="1172" t="s">
        <v>102</v>
      </c>
      <c r="B55" s="1173"/>
      <c r="C55" s="1173"/>
      <c r="D55" s="1173"/>
      <c r="E55" s="1173"/>
      <c r="F55" s="1173"/>
      <c r="G55" s="67">
        <v>0.35</v>
      </c>
      <c r="H55" s="68"/>
      <c r="I55" s="69" t="s">
        <v>101</v>
      </c>
      <c r="J55" s="48">
        <f>+J54*G55</f>
        <v>29.66</v>
      </c>
    </row>
    <row r="56" spans="1:10" x14ac:dyDescent="0.2">
      <c r="A56" s="1174" t="s">
        <v>103</v>
      </c>
      <c r="B56" s="1175"/>
      <c r="C56" s="1175"/>
      <c r="D56" s="1175"/>
      <c r="E56" s="1175"/>
      <c r="F56" s="1175"/>
      <c r="G56" s="79"/>
      <c r="H56" s="71"/>
      <c r="I56" s="78" t="s">
        <v>101</v>
      </c>
      <c r="J56" s="43">
        <f>+J55+J54</f>
        <v>114.41</v>
      </c>
    </row>
    <row r="57" spans="1:10" x14ac:dyDescent="0.2">
      <c r="A57" s="23" t="s">
        <v>104</v>
      </c>
      <c r="B57" s="83"/>
      <c r="C57" s="83"/>
      <c r="D57" s="83"/>
      <c r="E57" s="83"/>
      <c r="F57" s="83"/>
      <c r="G57" s="83"/>
      <c r="H57" s="83"/>
      <c r="I57" s="83"/>
      <c r="J57" s="84"/>
    </row>
    <row r="58" spans="1:10" x14ac:dyDescent="0.2">
      <c r="A58" s="29"/>
      <c r="B58" s="31"/>
      <c r="C58" s="31"/>
      <c r="D58" s="30"/>
      <c r="E58" s="30"/>
      <c r="F58" s="30"/>
      <c r="G58" s="30"/>
      <c r="H58" s="30"/>
      <c r="I58" s="30"/>
      <c r="J58" s="87"/>
    </row>
  </sheetData>
  <mergeCells count="62">
    <mergeCell ref="A18:C18"/>
    <mergeCell ref="A1:J1"/>
    <mergeCell ref="A7:A8"/>
    <mergeCell ref="B7:H8"/>
    <mergeCell ref="I7:I8"/>
    <mergeCell ref="J7:J8"/>
    <mergeCell ref="A9:C10"/>
    <mergeCell ref="D9:D10"/>
    <mergeCell ref="E9:E10"/>
    <mergeCell ref="F9:G9"/>
    <mergeCell ref="H9:I9"/>
    <mergeCell ref="J9:J10"/>
    <mergeCell ref="A11:C11"/>
    <mergeCell ref="A14:C14"/>
    <mergeCell ref="A15:C15"/>
    <mergeCell ref="A16:C16"/>
    <mergeCell ref="A28:E28"/>
    <mergeCell ref="A19:I19"/>
    <mergeCell ref="A20:E21"/>
    <mergeCell ref="F20:F21"/>
    <mergeCell ref="G20:G21"/>
    <mergeCell ref="H20:H21"/>
    <mergeCell ref="I20:I21"/>
    <mergeCell ref="J20:J21"/>
    <mergeCell ref="A22:E22"/>
    <mergeCell ref="A23:E23"/>
    <mergeCell ref="A25:E25"/>
    <mergeCell ref="A26:E26"/>
    <mergeCell ref="I34:I35"/>
    <mergeCell ref="J34:J35"/>
    <mergeCell ref="A29:E29"/>
    <mergeCell ref="A30:E30"/>
    <mergeCell ref="A31:I31"/>
    <mergeCell ref="A32:E32"/>
    <mergeCell ref="G32:I32"/>
    <mergeCell ref="A33:I33"/>
    <mergeCell ref="A43:E43"/>
    <mergeCell ref="A34:E35"/>
    <mergeCell ref="F34:F35"/>
    <mergeCell ref="G34:G35"/>
    <mergeCell ref="H34:H35"/>
    <mergeCell ref="A37:E37"/>
    <mergeCell ref="A38:E38"/>
    <mergeCell ref="A39:E39"/>
    <mergeCell ref="A40:E40"/>
    <mergeCell ref="A41:E41"/>
    <mergeCell ref="A44:E44"/>
    <mergeCell ref="A45:E45"/>
    <mergeCell ref="A46:I46"/>
    <mergeCell ref="A47:D48"/>
    <mergeCell ref="E47:G47"/>
    <mergeCell ref="H47:H48"/>
    <mergeCell ref="I47:I48"/>
    <mergeCell ref="A54:F54"/>
    <mergeCell ref="A55:F55"/>
    <mergeCell ref="A56:F56"/>
    <mergeCell ref="J47:J48"/>
    <mergeCell ref="A49:D49"/>
    <mergeCell ref="A50:D50"/>
    <mergeCell ref="A51:D51"/>
    <mergeCell ref="A52:D52"/>
    <mergeCell ref="A53:I53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 t="s">
        <v>159</v>
      </c>
      <c r="B3" s="1218" t="s">
        <v>111</v>
      </c>
      <c r="C3" s="1219"/>
      <c r="D3" s="1219"/>
      <c r="E3" s="1219"/>
      <c r="F3" s="1219"/>
      <c r="G3" s="1219"/>
      <c r="H3" s="1220"/>
      <c r="I3" s="1224" t="s">
        <v>112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x14ac:dyDescent="0.2">
      <c r="A5" s="1227" t="s">
        <v>75</v>
      </c>
      <c r="B5" s="1227"/>
      <c r="C5" s="1227"/>
      <c r="D5" s="1179" t="s">
        <v>60</v>
      </c>
      <c r="E5" s="1179" t="s">
        <v>76</v>
      </c>
      <c r="F5" s="1198" t="s">
        <v>77</v>
      </c>
      <c r="G5" s="1199"/>
      <c r="H5" s="1198" t="s">
        <v>78</v>
      </c>
      <c r="I5" s="1199"/>
      <c r="J5" s="1210" t="s">
        <v>79</v>
      </c>
    </row>
    <row r="6" spans="1:10" x14ac:dyDescent="0.2">
      <c r="A6" s="1227"/>
      <c r="B6" s="1227"/>
      <c r="C6" s="1227"/>
      <c r="D6" s="1180"/>
      <c r="E6" s="1180"/>
      <c r="F6" s="33" t="s">
        <v>80</v>
      </c>
      <c r="G6" s="34" t="s">
        <v>81</v>
      </c>
      <c r="H6" s="33" t="s">
        <v>80</v>
      </c>
      <c r="I6" s="33" t="s">
        <v>81</v>
      </c>
      <c r="J6" s="1210"/>
    </row>
    <row r="7" spans="1:10" x14ac:dyDescent="0.2">
      <c r="A7" s="1176" t="s">
        <v>61</v>
      </c>
      <c r="B7" s="1177"/>
      <c r="C7" s="1178"/>
      <c r="D7" s="35">
        <v>30106</v>
      </c>
      <c r="E7" s="36">
        <v>1</v>
      </c>
      <c r="F7" s="36">
        <v>0.7</v>
      </c>
      <c r="G7" s="36">
        <v>0.3</v>
      </c>
      <c r="H7" s="36">
        <v>17.559999999999999</v>
      </c>
      <c r="I7" s="36">
        <v>14.8</v>
      </c>
      <c r="J7" s="36">
        <f>E7*(F7*H7+I7*G7)</f>
        <v>16.73</v>
      </c>
    </row>
    <row r="8" spans="1:10" x14ac:dyDescent="0.2">
      <c r="A8" s="37"/>
      <c r="B8" s="38"/>
      <c r="C8" s="39"/>
      <c r="D8" s="40"/>
      <c r="E8" s="36"/>
      <c r="F8" s="36"/>
      <c r="G8" s="36"/>
      <c r="H8" s="36"/>
      <c r="I8" s="36"/>
      <c r="J8" s="36"/>
    </row>
    <row r="9" spans="1:10" x14ac:dyDescent="0.2">
      <c r="A9" s="37"/>
      <c r="B9" s="38"/>
      <c r="C9" s="39"/>
      <c r="D9" s="40"/>
      <c r="E9" s="36"/>
      <c r="F9" s="36"/>
      <c r="G9" s="36"/>
      <c r="H9" s="36"/>
      <c r="I9" s="36"/>
      <c r="J9" s="36"/>
    </row>
    <row r="10" spans="1:10" x14ac:dyDescent="0.2">
      <c r="A10" s="1176"/>
      <c r="B10" s="1177"/>
      <c r="C10" s="1178"/>
      <c r="D10" s="40"/>
      <c r="E10" s="36"/>
      <c r="F10" s="36"/>
      <c r="G10" s="36"/>
      <c r="H10" s="36"/>
      <c r="I10" s="36"/>
      <c r="J10" s="36"/>
    </row>
    <row r="11" spans="1:10" x14ac:dyDescent="0.2">
      <c r="A11" s="1176"/>
      <c r="B11" s="1177"/>
      <c r="C11" s="1178"/>
      <c r="D11" s="40"/>
      <c r="E11" s="36"/>
      <c r="F11" s="36"/>
      <c r="G11" s="36"/>
      <c r="H11" s="36"/>
      <c r="I11" s="36"/>
      <c r="J11" s="36"/>
    </row>
    <row r="12" spans="1:10" x14ac:dyDescent="0.2">
      <c r="A12" s="1176"/>
      <c r="B12" s="1177"/>
      <c r="C12" s="1178"/>
      <c r="D12" s="40"/>
      <c r="E12" s="36"/>
      <c r="F12" s="36"/>
      <c r="G12" s="36"/>
      <c r="H12" s="36"/>
      <c r="I12" s="36"/>
      <c r="J12" s="36"/>
    </row>
    <row r="13" spans="1:10" x14ac:dyDescent="0.2">
      <c r="A13" s="37"/>
      <c r="B13" s="38"/>
      <c r="C13" s="39"/>
      <c r="D13" s="40"/>
      <c r="E13" s="36"/>
      <c r="F13" s="36"/>
      <c r="G13" s="36"/>
      <c r="H13" s="36"/>
      <c r="I13" s="36"/>
      <c r="J13" s="36"/>
    </row>
    <row r="14" spans="1:10" x14ac:dyDescent="0.2">
      <c r="A14" s="1186"/>
      <c r="B14" s="1187"/>
      <c r="C14" s="1188"/>
      <c r="D14" s="41"/>
      <c r="E14" s="42"/>
      <c r="F14" s="42"/>
      <c r="G14" s="36"/>
      <c r="H14" s="36"/>
      <c r="I14" s="36"/>
      <c r="J14" s="36"/>
    </row>
    <row r="15" spans="1:10" x14ac:dyDescent="0.2">
      <c r="A15" s="1189" t="s">
        <v>82</v>
      </c>
      <c r="B15" s="1190"/>
      <c r="C15" s="1190"/>
      <c r="D15" s="1190"/>
      <c r="E15" s="1190"/>
      <c r="F15" s="1190"/>
      <c r="G15" s="1190"/>
      <c r="H15" s="1190"/>
      <c r="I15" s="1191"/>
      <c r="J15" s="43">
        <f>SUM(J7:J14)</f>
        <v>16.73</v>
      </c>
    </row>
    <row r="16" spans="1:10" x14ac:dyDescent="0.2">
      <c r="A16" s="1192" t="s">
        <v>83</v>
      </c>
      <c r="B16" s="1193"/>
      <c r="C16" s="1193"/>
      <c r="D16" s="1193"/>
      <c r="E16" s="1211"/>
      <c r="F16" s="1179" t="s">
        <v>60</v>
      </c>
      <c r="G16" s="1179" t="s">
        <v>84</v>
      </c>
      <c r="H16" s="1179" t="s">
        <v>76</v>
      </c>
      <c r="I16" s="1210" t="s">
        <v>85</v>
      </c>
      <c r="J16" s="1179" t="s">
        <v>79</v>
      </c>
    </row>
    <row r="17" spans="1:10" x14ac:dyDescent="0.2">
      <c r="A17" s="1194"/>
      <c r="B17" s="1195"/>
      <c r="C17" s="1195"/>
      <c r="D17" s="1195"/>
      <c r="E17" s="1212"/>
      <c r="F17" s="1180"/>
      <c r="G17" s="1180"/>
      <c r="H17" s="1180"/>
      <c r="I17" s="1210"/>
      <c r="J17" s="1180"/>
    </row>
    <row r="18" spans="1:10" x14ac:dyDescent="0.2">
      <c r="A18" s="1176" t="s">
        <v>160</v>
      </c>
      <c r="B18" s="1177"/>
      <c r="C18" s="1177"/>
      <c r="D18" s="1177"/>
      <c r="E18" s="1178"/>
      <c r="F18" s="44">
        <v>20071</v>
      </c>
      <c r="G18" s="45"/>
      <c r="H18" s="36">
        <v>3</v>
      </c>
      <c r="I18" s="36">
        <v>165.65</v>
      </c>
      <c r="J18" s="36">
        <f>+I18*H18</f>
        <v>496.95</v>
      </c>
    </row>
    <row r="19" spans="1:10" x14ac:dyDescent="0.2">
      <c r="A19" s="1176" t="s">
        <v>67</v>
      </c>
      <c r="B19" s="1177"/>
      <c r="C19" s="1177"/>
      <c r="D19" s="1177"/>
      <c r="E19" s="1178"/>
      <c r="F19" s="44">
        <v>20051</v>
      </c>
      <c r="G19" s="45"/>
      <c r="H19" s="36">
        <v>3</v>
      </c>
      <c r="I19" s="36">
        <v>31.25</v>
      </c>
      <c r="J19" s="36">
        <f>+I19*H19</f>
        <v>93.75</v>
      </c>
    </row>
    <row r="20" spans="1:10" x14ac:dyDescent="0.2">
      <c r="A20" s="37"/>
      <c r="B20" s="38"/>
      <c r="C20" s="38"/>
      <c r="D20" s="38"/>
      <c r="E20" s="39"/>
      <c r="F20" s="44"/>
      <c r="G20" s="45"/>
      <c r="H20" s="36"/>
      <c r="I20" s="36"/>
      <c r="J20" s="36"/>
    </row>
    <row r="21" spans="1:10" x14ac:dyDescent="0.2">
      <c r="A21" s="1176"/>
      <c r="B21" s="1177"/>
      <c r="C21" s="1177"/>
      <c r="D21" s="1177"/>
      <c r="E21" s="1178"/>
      <c r="F21" s="44"/>
      <c r="G21" s="45"/>
      <c r="H21" s="36"/>
      <c r="I21" s="36"/>
      <c r="J21" s="36"/>
    </row>
    <row r="22" spans="1:10" x14ac:dyDescent="0.2">
      <c r="A22" s="1176"/>
      <c r="B22" s="1177"/>
      <c r="C22" s="1177"/>
      <c r="D22" s="1177"/>
      <c r="E22" s="1178"/>
      <c r="F22" s="44"/>
      <c r="G22" s="46"/>
      <c r="H22" s="36"/>
      <c r="I22" s="36"/>
      <c r="J22" s="36"/>
    </row>
    <row r="23" spans="1:10" x14ac:dyDescent="0.2">
      <c r="A23" s="37"/>
      <c r="B23" s="38"/>
      <c r="C23" s="38"/>
      <c r="D23" s="38"/>
      <c r="E23" s="39"/>
      <c r="F23" s="44"/>
      <c r="G23" s="46"/>
      <c r="H23" s="36"/>
      <c r="I23" s="36"/>
      <c r="J23" s="36"/>
    </row>
    <row r="24" spans="1:10" x14ac:dyDescent="0.2">
      <c r="A24" s="1176"/>
      <c r="B24" s="1177"/>
      <c r="C24" s="1177"/>
      <c r="D24" s="1177"/>
      <c r="E24" s="1178"/>
      <c r="F24" s="44"/>
      <c r="G24" s="46"/>
      <c r="H24" s="36"/>
      <c r="I24" s="36"/>
      <c r="J24" s="36"/>
    </row>
    <row r="25" spans="1:10" x14ac:dyDescent="0.2">
      <c r="A25" s="1176"/>
      <c r="B25" s="1177"/>
      <c r="C25" s="1177"/>
      <c r="D25" s="1177"/>
      <c r="E25" s="1178"/>
      <c r="F25" s="44"/>
      <c r="G25" s="46"/>
      <c r="H25" s="36"/>
      <c r="I25" s="36"/>
      <c r="J25" s="36"/>
    </row>
    <row r="26" spans="1:10" x14ac:dyDescent="0.2">
      <c r="A26" s="1186"/>
      <c r="B26" s="1187"/>
      <c r="C26" s="1187"/>
      <c r="D26" s="1187"/>
      <c r="E26" s="1188"/>
      <c r="F26" s="41"/>
      <c r="G26" s="47"/>
      <c r="H26" s="42"/>
      <c r="I26" s="42"/>
      <c r="J26" s="36"/>
    </row>
    <row r="27" spans="1:10" x14ac:dyDescent="0.2">
      <c r="A27" s="1189" t="s">
        <v>86</v>
      </c>
      <c r="B27" s="1190"/>
      <c r="C27" s="1190"/>
      <c r="D27" s="1190"/>
      <c r="E27" s="1190"/>
      <c r="F27" s="1190"/>
      <c r="G27" s="1190"/>
      <c r="H27" s="1190"/>
      <c r="I27" s="1191"/>
      <c r="J27" s="43">
        <f>ROUND(SUM(J18:J26),2)</f>
        <v>590.70000000000005</v>
      </c>
    </row>
    <row r="28" spans="1:10" x14ac:dyDescent="0.2">
      <c r="A28" s="1201" t="s">
        <v>87</v>
      </c>
      <c r="B28" s="1202"/>
      <c r="C28" s="1202"/>
      <c r="D28" s="1202"/>
      <c r="E28" s="1202"/>
      <c r="F28" s="42">
        <v>1</v>
      </c>
      <c r="G28" s="1201" t="s">
        <v>88</v>
      </c>
      <c r="H28" s="1202"/>
      <c r="I28" s="1202"/>
      <c r="J28" s="48">
        <f>+J27+J15</f>
        <v>607.42999999999995</v>
      </c>
    </row>
    <row r="29" spans="1:10" x14ac:dyDescent="0.2">
      <c r="A29" s="1174" t="s">
        <v>89</v>
      </c>
      <c r="B29" s="1175"/>
      <c r="C29" s="1175"/>
      <c r="D29" s="1175"/>
      <c r="E29" s="1175"/>
      <c r="F29" s="1175"/>
      <c r="G29" s="1175"/>
      <c r="H29" s="1175"/>
      <c r="I29" s="1203"/>
      <c r="J29" s="43">
        <f>ROUND(J28/F28,2)</f>
        <v>607.42999999999995</v>
      </c>
    </row>
    <row r="30" spans="1:10" x14ac:dyDescent="0.2">
      <c r="A30" s="1204" t="s">
        <v>90</v>
      </c>
      <c r="B30" s="1205"/>
      <c r="C30" s="1205"/>
      <c r="D30" s="1205"/>
      <c r="E30" s="1206"/>
      <c r="F30" s="1179" t="s">
        <v>60</v>
      </c>
      <c r="G30" s="1179" t="s">
        <v>1</v>
      </c>
      <c r="H30" s="1210" t="s">
        <v>64</v>
      </c>
      <c r="I30" s="1179" t="s">
        <v>91</v>
      </c>
      <c r="J30" s="1179" t="s">
        <v>92</v>
      </c>
    </row>
    <row r="31" spans="1:10" x14ac:dyDescent="0.2">
      <c r="A31" s="1207"/>
      <c r="B31" s="1208"/>
      <c r="C31" s="1208"/>
      <c r="D31" s="1208"/>
      <c r="E31" s="1209"/>
      <c r="F31" s="1180"/>
      <c r="G31" s="1180"/>
      <c r="H31" s="1210"/>
      <c r="I31" s="1180"/>
      <c r="J31" s="1180"/>
    </row>
    <row r="32" spans="1:10" x14ac:dyDescent="0.2">
      <c r="A32" s="49"/>
      <c r="B32" s="50"/>
      <c r="C32" s="50"/>
      <c r="D32" s="50"/>
      <c r="E32" s="51"/>
      <c r="F32" s="52"/>
      <c r="G32" s="53"/>
      <c r="H32" s="54"/>
      <c r="I32" s="55"/>
      <c r="J32" s="36"/>
    </row>
    <row r="33" spans="1:15" ht="12.95" customHeight="1" x14ac:dyDescent="0.2">
      <c r="A33" s="1234"/>
      <c r="B33" s="1235"/>
      <c r="C33" s="1235"/>
      <c r="D33" s="1235"/>
      <c r="E33" s="1236"/>
      <c r="F33" s="52"/>
      <c r="G33" s="53"/>
      <c r="H33" s="54"/>
      <c r="I33" s="55"/>
      <c r="J33" s="36"/>
    </row>
    <row r="34" spans="1:15" ht="12.95" customHeight="1" x14ac:dyDescent="0.2">
      <c r="A34" s="1176"/>
      <c r="B34" s="1177"/>
      <c r="C34" s="1177"/>
      <c r="D34" s="1177"/>
      <c r="E34" s="1178"/>
      <c r="F34" s="52"/>
      <c r="G34" s="53"/>
      <c r="H34" s="54"/>
      <c r="I34" s="55"/>
      <c r="J34" s="36"/>
    </row>
    <row r="35" spans="1:15" ht="12.95" customHeight="1" x14ac:dyDescent="0.2">
      <c r="A35" s="1176"/>
      <c r="B35" s="1177"/>
      <c r="C35" s="1177"/>
      <c r="D35" s="1177"/>
      <c r="E35" s="1178"/>
      <c r="F35" s="52"/>
      <c r="G35" s="53"/>
      <c r="H35" s="54"/>
      <c r="I35" s="55"/>
      <c r="J35" s="36"/>
    </row>
    <row r="36" spans="1:15" ht="12.95" customHeight="1" x14ac:dyDescent="0.2">
      <c r="A36" s="1176"/>
      <c r="B36" s="1177"/>
      <c r="C36" s="1177"/>
      <c r="D36" s="1177"/>
      <c r="E36" s="1178"/>
      <c r="F36" s="52"/>
      <c r="G36" s="53"/>
      <c r="H36" s="54"/>
      <c r="I36" s="55"/>
      <c r="J36" s="36"/>
    </row>
    <row r="37" spans="1:15" ht="12.95" customHeight="1" x14ac:dyDescent="0.2">
      <c r="A37" s="1234"/>
      <c r="B37" s="1235"/>
      <c r="C37" s="1235"/>
      <c r="D37" s="1235"/>
      <c r="E37" s="1236"/>
      <c r="F37" s="52"/>
      <c r="G37" s="53"/>
      <c r="H37" s="54"/>
      <c r="I37" s="55"/>
      <c r="J37" s="36"/>
    </row>
    <row r="38" spans="1:15" ht="12.95" customHeight="1" x14ac:dyDescent="0.2">
      <c r="A38" s="37"/>
      <c r="B38" s="56"/>
      <c r="C38" s="56"/>
      <c r="D38" s="56"/>
      <c r="E38" s="57"/>
      <c r="F38" s="52"/>
      <c r="G38" s="53"/>
      <c r="H38" s="54"/>
      <c r="I38" s="55"/>
      <c r="J38" s="36"/>
    </row>
    <row r="39" spans="1:15" ht="12.95" customHeight="1" x14ac:dyDescent="0.2">
      <c r="A39" s="1176"/>
      <c r="B39" s="1177"/>
      <c r="C39" s="1177"/>
      <c r="D39" s="1177"/>
      <c r="E39" s="1178"/>
      <c r="F39" s="52"/>
      <c r="G39" s="53"/>
      <c r="H39" s="54"/>
      <c r="I39" s="55"/>
      <c r="J39" s="36"/>
    </row>
    <row r="40" spans="1:15" ht="12.95" customHeight="1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5" ht="12.95" customHeight="1" x14ac:dyDescent="0.2">
      <c r="A41" s="1186"/>
      <c r="B41" s="1187"/>
      <c r="C41" s="1187"/>
      <c r="D41" s="1187"/>
      <c r="E41" s="1188"/>
      <c r="F41" s="58"/>
      <c r="G41" s="59"/>
      <c r="H41" s="60"/>
      <c r="I41" s="55"/>
      <c r="J41" s="36"/>
    </row>
    <row r="42" spans="1:15" x14ac:dyDescent="0.2">
      <c r="A42" s="1189" t="s">
        <v>93</v>
      </c>
      <c r="B42" s="1190"/>
      <c r="C42" s="1190"/>
      <c r="D42" s="1190"/>
      <c r="E42" s="1190"/>
      <c r="F42" s="1190"/>
      <c r="G42" s="1190"/>
      <c r="H42" s="1190"/>
      <c r="I42" s="1191"/>
      <c r="J42" s="43">
        <f>ROUND(SUM(J32:J41),2)</f>
        <v>0</v>
      </c>
    </row>
    <row r="43" spans="1:15" x14ac:dyDescent="0.2">
      <c r="A43" s="1192" t="s">
        <v>94</v>
      </c>
      <c r="B43" s="1193"/>
      <c r="C43" s="1193"/>
      <c r="D43" s="1193"/>
      <c r="E43" s="1196" t="s">
        <v>60</v>
      </c>
      <c r="F43" s="1198" t="s">
        <v>95</v>
      </c>
      <c r="G43" s="1199"/>
      <c r="H43" s="1200" t="s">
        <v>96</v>
      </c>
      <c r="I43" s="1200" t="s">
        <v>97</v>
      </c>
      <c r="J43" s="1179" t="s">
        <v>64</v>
      </c>
      <c r="O43" s="22">
        <f>1.43*2.5</f>
        <v>3.5750000000000002</v>
      </c>
    </row>
    <row r="44" spans="1:15" x14ac:dyDescent="0.2">
      <c r="A44" s="1194"/>
      <c r="B44" s="1195"/>
      <c r="C44" s="1195"/>
      <c r="D44" s="1195"/>
      <c r="E44" s="1197"/>
      <c r="F44" s="33" t="s">
        <v>21</v>
      </c>
      <c r="G44" s="33" t="s">
        <v>20</v>
      </c>
      <c r="H44" s="1200"/>
      <c r="I44" s="1200"/>
      <c r="J44" s="1180"/>
    </row>
    <row r="45" spans="1:15" x14ac:dyDescent="0.2">
      <c r="A45" s="1176"/>
      <c r="B45" s="1177"/>
      <c r="C45" s="1177"/>
      <c r="D45" s="1178"/>
      <c r="E45" s="61"/>
      <c r="F45" s="61"/>
      <c r="G45" s="36"/>
      <c r="H45" s="36"/>
      <c r="I45" s="62"/>
      <c r="J45" s="36"/>
    </row>
    <row r="46" spans="1:15" x14ac:dyDescent="0.2">
      <c r="A46" s="1176"/>
      <c r="B46" s="1177"/>
      <c r="C46" s="1177"/>
      <c r="D46" s="1178"/>
      <c r="E46" s="54"/>
      <c r="F46" s="54"/>
      <c r="G46" s="54"/>
      <c r="H46" s="54"/>
      <c r="I46" s="63"/>
      <c r="J46" s="54"/>
    </row>
    <row r="47" spans="1:15" x14ac:dyDescent="0.2">
      <c r="A47" s="1176"/>
      <c r="B47" s="1177"/>
      <c r="C47" s="1177"/>
      <c r="D47" s="1178"/>
      <c r="E47" s="36"/>
      <c r="F47" s="36"/>
      <c r="G47" s="36"/>
      <c r="H47" s="36"/>
      <c r="I47" s="62"/>
      <c r="J47" s="54"/>
    </row>
    <row r="48" spans="1:15" x14ac:dyDescent="0.2">
      <c r="A48" s="1176"/>
      <c r="B48" s="1177"/>
      <c r="C48" s="1177"/>
      <c r="D48" s="1178"/>
      <c r="E48" s="36"/>
      <c r="F48" s="36"/>
      <c r="G48" s="36"/>
      <c r="H48" s="36"/>
      <c r="I48" s="62"/>
      <c r="J48" s="54"/>
    </row>
    <row r="49" spans="1:10" x14ac:dyDescent="0.2">
      <c r="A49" s="1181" t="s">
        <v>98</v>
      </c>
      <c r="B49" s="1182"/>
      <c r="C49" s="1182"/>
      <c r="D49" s="1182"/>
      <c r="E49" s="1182"/>
      <c r="F49" s="1182"/>
      <c r="G49" s="1182"/>
      <c r="H49" s="1182"/>
      <c r="I49" s="1183"/>
      <c r="J49" s="64">
        <f>SUM(J45:J48)</f>
        <v>0</v>
      </c>
    </row>
    <row r="50" spans="1:10" x14ac:dyDescent="0.2">
      <c r="A50" s="1184" t="s">
        <v>99</v>
      </c>
      <c r="B50" s="1185"/>
      <c r="C50" s="1185"/>
      <c r="D50" s="1185"/>
      <c r="E50" s="1185"/>
      <c r="F50" s="1185"/>
      <c r="G50" s="65" t="s">
        <v>100</v>
      </c>
      <c r="H50" s="25"/>
      <c r="I50" s="66" t="s">
        <v>101</v>
      </c>
      <c r="J50" s="61">
        <f>J49+J42+J29</f>
        <v>607.42999999999995</v>
      </c>
    </row>
    <row r="51" spans="1:10" x14ac:dyDescent="0.2">
      <c r="A51" s="1172" t="s">
        <v>102</v>
      </c>
      <c r="B51" s="1173"/>
      <c r="C51" s="1173"/>
      <c r="D51" s="1173"/>
      <c r="E51" s="1173"/>
      <c r="F51" s="1173"/>
      <c r="G51" s="67">
        <v>0.35</v>
      </c>
      <c r="H51" s="68"/>
      <c r="I51" s="69" t="s">
        <v>101</v>
      </c>
      <c r="J51" s="48">
        <f>+J50*G51</f>
        <v>212.6</v>
      </c>
    </row>
    <row r="52" spans="1:10" x14ac:dyDescent="0.2">
      <c r="A52" s="1174" t="s">
        <v>103</v>
      </c>
      <c r="B52" s="1175"/>
      <c r="C52" s="1175"/>
      <c r="D52" s="1175"/>
      <c r="E52" s="1175"/>
      <c r="F52" s="1175"/>
      <c r="G52" s="70"/>
      <c r="H52" s="71"/>
      <c r="I52" s="72" t="s">
        <v>101</v>
      </c>
      <c r="J52" s="43">
        <f>+J51+J50</f>
        <v>820.03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63">
    <mergeCell ref="A50:F50"/>
    <mergeCell ref="A51:F51"/>
    <mergeCell ref="A52:F52"/>
    <mergeCell ref="J43:J44"/>
    <mergeCell ref="A45:D45"/>
    <mergeCell ref="A46:D46"/>
    <mergeCell ref="A47:D47"/>
    <mergeCell ref="A48:D48"/>
    <mergeCell ref="A49:I49"/>
    <mergeCell ref="A40:E40"/>
    <mergeCell ref="A41:E41"/>
    <mergeCell ref="A42:I42"/>
    <mergeCell ref="A43:D44"/>
    <mergeCell ref="E43:E44"/>
    <mergeCell ref="F43:G43"/>
    <mergeCell ref="H43:H44"/>
    <mergeCell ref="I43:I44"/>
    <mergeCell ref="A39:E39"/>
    <mergeCell ref="A30:E31"/>
    <mergeCell ref="F30:F31"/>
    <mergeCell ref="G30:G31"/>
    <mergeCell ref="H30:H31"/>
    <mergeCell ref="A33:E33"/>
    <mergeCell ref="A34:E34"/>
    <mergeCell ref="A35:E35"/>
    <mergeCell ref="A36:E36"/>
    <mergeCell ref="A37:E37"/>
    <mergeCell ref="I30:I31"/>
    <mergeCell ref="J30:J31"/>
    <mergeCell ref="A25:E25"/>
    <mergeCell ref="A26:E26"/>
    <mergeCell ref="A27:I27"/>
    <mergeCell ref="A28:E28"/>
    <mergeCell ref="G28:I28"/>
    <mergeCell ref="A29:I29"/>
    <mergeCell ref="J16:J17"/>
    <mergeCell ref="A18:E18"/>
    <mergeCell ref="A19:E19"/>
    <mergeCell ref="A21:E21"/>
    <mergeCell ref="A22:E22"/>
    <mergeCell ref="A24:E24"/>
    <mergeCell ref="A15:I15"/>
    <mergeCell ref="A16:E17"/>
    <mergeCell ref="F16:F17"/>
    <mergeCell ref="G16:G17"/>
    <mergeCell ref="H16:H17"/>
    <mergeCell ref="I16:I17"/>
    <mergeCell ref="A14:C14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10:C10"/>
    <mergeCell ref="A11:C11"/>
    <mergeCell ref="A12:C1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N38"/>
  <sheetViews>
    <sheetView topLeftCell="B1" zoomScaleNormal="100" workbookViewId="0">
      <selection activeCell="C55" sqref="C55"/>
    </sheetView>
  </sheetViews>
  <sheetFormatPr defaultRowHeight="14.25" x14ac:dyDescent="0.2"/>
  <sheetData>
    <row r="7" spans="3:14" x14ac:dyDescent="0.2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3:14" x14ac:dyDescent="0.2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3:14" x14ac:dyDescent="0.2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3:14" x14ac:dyDescent="0.2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3:14" x14ac:dyDescent="0.2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3:14" x14ac:dyDescent="0.2"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3:14" x14ac:dyDescent="0.2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3:14" x14ac:dyDescent="0.2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3:14" x14ac:dyDescent="0.2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3:14" x14ac:dyDescent="0.2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3:14" x14ac:dyDescent="0.2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3:14" x14ac:dyDescent="0.2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3:14" x14ac:dyDescent="0.2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3:14" x14ac:dyDescent="0.2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3:14" x14ac:dyDescent="0.2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3:14" x14ac:dyDescent="0.2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3:14" x14ac:dyDescent="0.2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3:14" x14ac:dyDescent="0.2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3:14" x14ac:dyDescent="0.2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3:14" x14ac:dyDescent="0.2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3:14" x14ac:dyDescent="0.2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3:14" x14ac:dyDescent="0.2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3:14" x14ac:dyDescent="0.2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3:14" x14ac:dyDescent="0.2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3:14" x14ac:dyDescent="0.2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3:14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3:14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3:14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3:14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3:14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3:14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3:14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F32"/>
  <sheetViews>
    <sheetView workbookViewId="0">
      <selection activeCell="C55" sqref="C55"/>
    </sheetView>
  </sheetViews>
  <sheetFormatPr defaultColWidth="9" defaultRowHeight="14.25" x14ac:dyDescent="0.2"/>
  <cols>
    <col min="1" max="1" width="9" style="1"/>
    <col min="2" max="4" width="15.625" style="1" customWidth="1"/>
    <col min="5" max="7" width="12.625" style="1" customWidth="1"/>
    <col min="8" max="11" width="12.625" style="11" customWidth="1"/>
    <col min="12" max="12" width="13.875" style="11" customWidth="1"/>
    <col min="13" max="13" width="13.5" style="11" customWidth="1"/>
    <col min="14" max="14" width="12.5" style="11" customWidth="1"/>
    <col min="15" max="15" width="10.875" style="11" customWidth="1"/>
    <col min="16" max="16" width="12.5" style="11" customWidth="1"/>
    <col min="17" max="17" width="20.625" style="11" customWidth="1"/>
    <col min="18" max="18" width="13" style="11" customWidth="1"/>
    <col min="19" max="19" width="11.625" style="11" customWidth="1"/>
    <col min="20" max="20" width="15.25" style="11" customWidth="1"/>
    <col min="21" max="32" width="12.625" style="11" customWidth="1"/>
    <col min="33" max="33" width="12.625" style="1" customWidth="1"/>
    <col min="34" max="39" width="11.125" style="1" customWidth="1"/>
    <col min="40" max="16384" width="9" style="1"/>
  </cols>
  <sheetData>
    <row r="3" spans="2:14" ht="17.100000000000001" customHeight="1" x14ac:dyDescent="0.2">
      <c r="B3" s="1248" t="s">
        <v>29</v>
      </c>
      <c r="C3" s="1248"/>
      <c r="D3" s="1248"/>
      <c r="E3" s="1248"/>
      <c r="F3" s="1248"/>
    </row>
    <row r="4" spans="2:14" ht="42.75" customHeight="1" x14ac:dyDescent="0.2">
      <c r="B4" s="4" t="s">
        <v>24</v>
      </c>
      <c r="C4" s="4" t="s">
        <v>25</v>
      </c>
      <c r="D4" s="4" t="s">
        <v>26</v>
      </c>
      <c r="E4" s="4" t="s">
        <v>27</v>
      </c>
      <c r="F4" s="4" t="s">
        <v>28</v>
      </c>
    </row>
    <row r="5" spans="2:14" ht="17.100000000000001" customHeight="1" x14ac:dyDescent="0.2">
      <c r="B5" s="5" t="s">
        <v>19</v>
      </c>
      <c r="C5" s="5">
        <v>154.66560000000001</v>
      </c>
      <c r="D5" s="2">
        <v>30.36</v>
      </c>
      <c r="E5" s="5">
        <v>3.01</v>
      </c>
      <c r="F5" s="5">
        <v>3.2311000000000001</v>
      </c>
    </row>
    <row r="6" spans="2:14" ht="17.100000000000001" customHeight="1" x14ac:dyDescent="0.2">
      <c r="B6" s="5" t="s">
        <v>22</v>
      </c>
      <c r="C6" s="5">
        <v>193.1712</v>
      </c>
      <c r="D6" s="3">
        <v>33.46</v>
      </c>
      <c r="E6" s="5">
        <v>3.93</v>
      </c>
      <c r="F6" s="5">
        <v>3.6796000000000002</v>
      </c>
    </row>
    <row r="7" spans="2:14" ht="17.100000000000001" customHeight="1" x14ac:dyDescent="0.2">
      <c r="B7" s="5" t="s">
        <v>23</v>
      </c>
      <c r="C7" s="5">
        <v>158.01599999999999</v>
      </c>
      <c r="D7" s="3">
        <v>26.66</v>
      </c>
      <c r="E7" s="5">
        <v>2.9</v>
      </c>
      <c r="F7" s="5">
        <v>3.1650999999999998</v>
      </c>
    </row>
    <row r="8" spans="2:14" ht="17.100000000000001" customHeight="1" x14ac:dyDescent="0.2"/>
    <row r="13" spans="2:14" x14ac:dyDescent="0.2">
      <c r="N13" s="16"/>
    </row>
    <row r="19" spans="5:25" ht="15" thickBot="1" x14ac:dyDescent="0.25"/>
    <row r="20" spans="5:25" x14ac:dyDescent="0.2">
      <c r="F20" s="1249" t="s">
        <v>49</v>
      </c>
      <c r="G20" s="1250"/>
      <c r="H20" s="1250"/>
      <c r="I20" s="12"/>
      <c r="J20" s="13" t="s">
        <v>38</v>
      </c>
      <c r="K20" s="13"/>
      <c r="L20" s="1249" t="s">
        <v>40</v>
      </c>
      <c r="M20" s="1250"/>
      <c r="N20" s="1250"/>
      <c r="O20" s="1250"/>
      <c r="P20" s="1250"/>
      <c r="Q20" s="1250"/>
      <c r="R20" s="1250"/>
      <c r="S20" s="1251"/>
      <c r="T20" s="1249" t="s">
        <v>50</v>
      </c>
      <c r="U20" s="1250"/>
      <c r="V20" s="1251"/>
      <c r="W20" s="1249" t="s">
        <v>54</v>
      </c>
      <c r="X20" s="1250"/>
      <c r="Y20" s="1251"/>
    </row>
    <row r="21" spans="5:25" x14ac:dyDescent="0.2">
      <c r="E21" s="6" t="s">
        <v>24</v>
      </c>
      <c r="F21" s="7" t="s">
        <v>36</v>
      </c>
      <c r="G21" s="8" t="s">
        <v>39</v>
      </c>
      <c r="H21" s="14" t="s">
        <v>37</v>
      </c>
      <c r="I21" s="15" t="s">
        <v>36</v>
      </c>
      <c r="J21" s="16" t="s">
        <v>39</v>
      </c>
      <c r="K21" s="14" t="s">
        <v>37</v>
      </c>
      <c r="L21" s="15" t="s">
        <v>41</v>
      </c>
      <c r="M21" s="16" t="s">
        <v>43</v>
      </c>
      <c r="N21" s="16" t="s">
        <v>44</v>
      </c>
      <c r="O21" s="16" t="s">
        <v>45</v>
      </c>
      <c r="P21" s="16" t="s">
        <v>42</v>
      </c>
      <c r="Q21" s="16" t="s">
        <v>46</v>
      </c>
      <c r="R21" s="16" t="s">
        <v>47</v>
      </c>
      <c r="S21" s="17" t="s">
        <v>48</v>
      </c>
      <c r="T21" s="15" t="s">
        <v>51</v>
      </c>
      <c r="U21" s="16" t="s">
        <v>52</v>
      </c>
      <c r="V21" s="17" t="s">
        <v>53</v>
      </c>
      <c r="W21" s="15" t="s">
        <v>42</v>
      </c>
      <c r="X21" s="16" t="s">
        <v>55</v>
      </c>
      <c r="Y21" s="17" t="s">
        <v>37</v>
      </c>
    </row>
    <row r="22" spans="5:25" x14ac:dyDescent="0.2">
      <c r="E22" s="6" t="s">
        <v>19</v>
      </c>
      <c r="F22" s="7">
        <v>4.42</v>
      </c>
      <c r="G22" s="8">
        <v>0.05</v>
      </c>
      <c r="H22" s="14">
        <f>+F22*G22</f>
        <v>0.221</v>
      </c>
      <c r="I22" s="15">
        <v>1.89</v>
      </c>
      <c r="J22" s="16">
        <v>1.2</v>
      </c>
      <c r="K22" s="14">
        <f>+I22*J22</f>
        <v>2.2679999999999998</v>
      </c>
      <c r="L22" s="15">
        <v>12.04</v>
      </c>
      <c r="M22" s="16">
        <v>9.92</v>
      </c>
      <c r="N22" s="16">
        <v>1.2</v>
      </c>
      <c r="O22" s="16">
        <v>0.15</v>
      </c>
      <c r="P22" s="16">
        <v>5.88</v>
      </c>
      <c r="Q22" s="16">
        <f>+O22*M22</f>
        <v>1.488</v>
      </c>
      <c r="R22" s="16">
        <f>+L22*N22</f>
        <v>14.448</v>
      </c>
      <c r="S22" s="17">
        <f>+R22+Q22+P22</f>
        <v>21.815999999999999</v>
      </c>
      <c r="T22" s="15">
        <v>78.150000000000006</v>
      </c>
      <c r="U22" s="16">
        <v>0.96</v>
      </c>
      <c r="V22" s="17">
        <f>+U22*T22</f>
        <v>75.024000000000001</v>
      </c>
      <c r="W22" s="15">
        <f>+P22</f>
        <v>5.88</v>
      </c>
      <c r="X22" s="16">
        <v>0.15</v>
      </c>
      <c r="Y22" s="17">
        <f>+X22*W22</f>
        <v>0.88200000000000001</v>
      </c>
    </row>
    <row r="23" spans="5:25" x14ac:dyDescent="0.2">
      <c r="E23" s="6" t="s">
        <v>22</v>
      </c>
      <c r="F23" s="7">
        <v>8.34</v>
      </c>
      <c r="G23" s="8">
        <f>+G22</f>
        <v>0.05</v>
      </c>
      <c r="H23" s="14">
        <f t="shared" ref="H23:H30" si="0">+F23*G23</f>
        <v>0.41699999999999998</v>
      </c>
      <c r="I23" s="15">
        <v>2.23</v>
      </c>
      <c r="J23" s="16">
        <v>1.2</v>
      </c>
      <c r="K23" s="14">
        <f t="shared" ref="K23:K30" si="1">+I23*J23</f>
        <v>2.6760000000000002</v>
      </c>
      <c r="L23" s="15">
        <v>13.77</v>
      </c>
      <c r="M23" s="16">
        <v>13.47</v>
      </c>
      <c r="N23" s="16">
        <v>1.2</v>
      </c>
      <c r="O23" s="16">
        <v>0.15</v>
      </c>
      <c r="P23" s="16">
        <v>11.22</v>
      </c>
      <c r="Q23" s="16">
        <f t="shared" ref="Q23:Q30" si="2">+O23*M23</f>
        <v>2.0205000000000002</v>
      </c>
      <c r="R23" s="16">
        <f t="shared" ref="R23:R30" si="3">+L23*N23</f>
        <v>16.524000000000001</v>
      </c>
      <c r="S23" s="17">
        <f t="shared" ref="S23:S30" si="4">+R23+Q23+P23</f>
        <v>29.764500000000002</v>
      </c>
      <c r="T23" s="15">
        <v>158.96</v>
      </c>
      <c r="U23" s="16">
        <v>0.96</v>
      </c>
      <c r="V23" s="17">
        <f t="shared" ref="V23:V30" si="5">+U23*T23</f>
        <v>152.60159999999999</v>
      </c>
      <c r="W23" s="15">
        <f t="shared" ref="W23:W30" si="6">+P23</f>
        <v>11.22</v>
      </c>
      <c r="X23" s="16">
        <v>0.15</v>
      </c>
      <c r="Y23" s="17">
        <f t="shared" ref="Y23:Y30" si="7">+X23*W23</f>
        <v>1.6830000000000001</v>
      </c>
    </row>
    <row r="24" spans="5:25" x14ac:dyDescent="0.2">
      <c r="E24" s="6" t="s">
        <v>23</v>
      </c>
      <c r="F24" s="7">
        <v>5.82</v>
      </c>
      <c r="G24" s="8">
        <f t="shared" ref="G24:G30" si="8">+G23</f>
        <v>0.05</v>
      </c>
      <c r="H24" s="14">
        <f t="shared" si="0"/>
        <v>0.29099999999999998</v>
      </c>
      <c r="I24" s="15">
        <v>2.41</v>
      </c>
      <c r="J24" s="16">
        <v>1.2</v>
      </c>
      <c r="K24" s="14">
        <f t="shared" si="1"/>
        <v>2.8919999999999999</v>
      </c>
      <c r="L24" s="15">
        <v>10.43</v>
      </c>
      <c r="M24" s="16">
        <v>11.81</v>
      </c>
      <c r="N24" s="16">
        <v>1.2</v>
      </c>
      <c r="O24" s="16">
        <v>0.15</v>
      </c>
      <c r="P24" s="16">
        <v>8.69</v>
      </c>
      <c r="Q24" s="16">
        <f t="shared" si="2"/>
        <v>1.7715000000000001</v>
      </c>
      <c r="R24" s="16">
        <f t="shared" si="3"/>
        <v>12.516</v>
      </c>
      <c r="S24" s="17">
        <f t="shared" si="4"/>
        <v>22.977499999999999</v>
      </c>
      <c r="T24" s="15">
        <v>110.64</v>
      </c>
      <c r="U24" s="16">
        <v>0.96</v>
      </c>
      <c r="V24" s="17">
        <f t="shared" si="5"/>
        <v>106.2144</v>
      </c>
      <c r="W24" s="15">
        <f t="shared" si="6"/>
        <v>8.69</v>
      </c>
      <c r="X24" s="16">
        <v>0.15</v>
      </c>
      <c r="Y24" s="17">
        <f t="shared" si="7"/>
        <v>1.3035000000000001</v>
      </c>
    </row>
    <row r="25" spans="5:25" x14ac:dyDescent="0.2">
      <c r="E25" s="6" t="s">
        <v>30</v>
      </c>
      <c r="F25" s="7">
        <v>8.11</v>
      </c>
      <c r="G25" s="8">
        <f t="shared" si="8"/>
        <v>0.05</v>
      </c>
      <c r="H25" s="14">
        <f t="shared" si="0"/>
        <v>0.40550000000000003</v>
      </c>
      <c r="I25" s="15">
        <v>3.25</v>
      </c>
      <c r="J25" s="16">
        <v>1.2</v>
      </c>
      <c r="K25" s="14">
        <f t="shared" si="1"/>
        <v>3.9</v>
      </c>
      <c r="L25" s="15">
        <v>12.89</v>
      </c>
      <c r="M25" s="16">
        <v>12.98</v>
      </c>
      <c r="N25" s="16">
        <v>1.2</v>
      </c>
      <c r="O25" s="16">
        <v>0.15</v>
      </c>
      <c r="P25" s="16">
        <v>10.96</v>
      </c>
      <c r="Q25" s="16">
        <f t="shared" si="2"/>
        <v>1.9470000000000001</v>
      </c>
      <c r="R25" s="16">
        <f t="shared" si="3"/>
        <v>15.468</v>
      </c>
      <c r="S25" s="17">
        <f t="shared" si="4"/>
        <v>28.375</v>
      </c>
      <c r="T25" s="15">
        <v>155.08000000000001</v>
      </c>
      <c r="U25" s="16">
        <v>0.96</v>
      </c>
      <c r="V25" s="17">
        <f t="shared" si="5"/>
        <v>148.8768</v>
      </c>
      <c r="W25" s="15">
        <f t="shared" si="6"/>
        <v>10.96</v>
      </c>
      <c r="X25" s="16">
        <v>0.15</v>
      </c>
      <c r="Y25" s="17">
        <f t="shared" si="7"/>
        <v>1.6439999999999999</v>
      </c>
    </row>
    <row r="26" spans="5:25" x14ac:dyDescent="0.2">
      <c r="E26" s="6" t="s">
        <v>31</v>
      </c>
      <c r="F26" s="7">
        <v>8.01</v>
      </c>
      <c r="G26" s="8">
        <f t="shared" si="8"/>
        <v>0.05</v>
      </c>
      <c r="H26" s="14">
        <f t="shared" si="0"/>
        <v>0.40050000000000002</v>
      </c>
      <c r="I26" s="15">
        <v>3.23</v>
      </c>
      <c r="J26" s="16">
        <v>1.2</v>
      </c>
      <c r="K26" s="14">
        <f t="shared" si="1"/>
        <v>3.8759999999999999</v>
      </c>
      <c r="L26" s="15">
        <v>12.64</v>
      </c>
      <c r="M26" s="16">
        <v>12.86</v>
      </c>
      <c r="N26" s="16">
        <v>1.2</v>
      </c>
      <c r="O26" s="16">
        <v>0.15</v>
      </c>
      <c r="P26" s="16">
        <v>10.89</v>
      </c>
      <c r="Q26" s="16">
        <f t="shared" si="2"/>
        <v>1.929</v>
      </c>
      <c r="R26" s="16">
        <f t="shared" si="3"/>
        <v>15.167999999999999</v>
      </c>
      <c r="S26" s="17">
        <f t="shared" si="4"/>
        <v>27.986999999999998</v>
      </c>
      <c r="T26" s="15">
        <v>154.08000000000001</v>
      </c>
      <c r="U26" s="16">
        <v>0.96</v>
      </c>
      <c r="V26" s="17">
        <f t="shared" si="5"/>
        <v>147.91679999999999</v>
      </c>
      <c r="W26" s="15">
        <f t="shared" si="6"/>
        <v>10.89</v>
      </c>
      <c r="X26" s="16">
        <v>0.15</v>
      </c>
      <c r="Y26" s="17">
        <f t="shared" si="7"/>
        <v>1.6335</v>
      </c>
    </row>
    <row r="27" spans="5:25" x14ac:dyDescent="0.2">
      <c r="E27" s="6" t="s">
        <v>32</v>
      </c>
      <c r="F27" s="7">
        <v>5.45</v>
      </c>
      <c r="G27" s="8">
        <f t="shared" si="8"/>
        <v>0.05</v>
      </c>
      <c r="H27" s="14">
        <f t="shared" si="0"/>
        <v>0.27250000000000002</v>
      </c>
      <c r="I27" s="15">
        <v>2.35</v>
      </c>
      <c r="J27" s="16">
        <v>1.2</v>
      </c>
      <c r="K27" s="14">
        <f t="shared" si="1"/>
        <v>2.82</v>
      </c>
      <c r="L27" s="15">
        <v>9.7100000000000009</v>
      </c>
      <c r="M27" s="16">
        <v>11.45</v>
      </c>
      <c r="N27" s="16">
        <v>1.2</v>
      </c>
      <c r="O27" s="16">
        <v>0.15</v>
      </c>
      <c r="P27" s="16">
        <v>8.33</v>
      </c>
      <c r="Q27" s="16">
        <f t="shared" si="2"/>
        <v>1.7175</v>
      </c>
      <c r="R27" s="16">
        <f t="shared" si="3"/>
        <v>11.651999999999999</v>
      </c>
      <c r="S27" s="17">
        <f t="shared" si="4"/>
        <v>21.6995</v>
      </c>
      <c r="T27" s="15">
        <v>134.09</v>
      </c>
      <c r="U27" s="16">
        <v>0.96</v>
      </c>
      <c r="V27" s="17">
        <f t="shared" si="5"/>
        <v>128.72640000000001</v>
      </c>
      <c r="W27" s="15">
        <f t="shared" si="6"/>
        <v>8.33</v>
      </c>
      <c r="X27" s="16">
        <v>0.15</v>
      </c>
      <c r="Y27" s="17">
        <f t="shared" si="7"/>
        <v>1.2495000000000001</v>
      </c>
    </row>
    <row r="28" spans="5:25" x14ac:dyDescent="0.2">
      <c r="E28" s="6" t="s">
        <v>33</v>
      </c>
      <c r="F28" s="7">
        <v>7.49</v>
      </c>
      <c r="G28" s="8">
        <f t="shared" si="8"/>
        <v>0.05</v>
      </c>
      <c r="H28" s="14">
        <f t="shared" si="0"/>
        <v>0.3745</v>
      </c>
      <c r="I28" s="15">
        <v>3.11</v>
      </c>
      <c r="J28" s="16">
        <v>1.2</v>
      </c>
      <c r="K28" s="14">
        <f t="shared" si="1"/>
        <v>3.7320000000000002</v>
      </c>
      <c r="L28" s="15">
        <v>12.07</v>
      </c>
      <c r="M28" s="16">
        <v>10.37</v>
      </c>
      <c r="N28" s="16">
        <v>1.2</v>
      </c>
      <c r="O28" s="16">
        <v>0.15</v>
      </c>
      <c r="P28" s="16">
        <v>10.37</v>
      </c>
      <c r="Q28" s="16">
        <f t="shared" si="2"/>
        <v>1.5555000000000001</v>
      </c>
      <c r="R28" s="16">
        <f t="shared" si="3"/>
        <v>14.484</v>
      </c>
      <c r="S28" s="17">
        <f t="shared" si="4"/>
        <v>26.409500000000001</v>
      </c>
      <c r="T28" s="15">
        <v>179.45</v>
      </c>
      <c r="U28" s="16">
        <v>0.96</v>
      </c>
      <c r="V28" s="17">
        <f t="shared" si="5"/>
        <v>172.27199999999999</v>
      </c>
      <c r="W28" s="15">
        <f t="shared" si="6"/>
        <v>10.37</v>
      </c>
      <c r="X28" s="16">
        <v>0.15</v>
      </c>
      <c r="Y28" s="17">
        <f t="shared" si="7"/>
        <v>1.5555000000000001</v>
      </c>
    </row>
    <row r="29" spans="5:25" x14ac:dyDescent="0.2">
      <c r="E29" s="6" t="s">
        <v>34</v>
      </c>
      <c r="F29" s="7">
        <v>5.17</v>
      </c>
      <c r="G29" s="8">
        <f t="shared" si="8"/>
        <v>0.05</v>
      </c>
      <c r="H29" s="14">
        <f t="shared" si="0"/>
        <v>0.25850000000000001</v>
      </c>
      <c r="I29" s="15">
        <v>2.2799999999999998</v>
      </c>
      <c r="J29" s="16">
        <v>1.2</v>
      </c>
      <c r="K29" s="14">
        <f t="shared" si="1"/>
        <v>2.7360000000000002</v>
      </c>
      <c r="L29" s="15">
        <v>9.2799999999999994</v>
      </c>
      <c r="M29" s="16">
        <v>11.23</v>
      </c>
      <c r="N29" s="16">
        <v>1.2</v>
      </c>
      <c r="O29" s="16">
        <v>0.15</v>
      </c>
      <c r="P29" s="16">
        <v>8.0500000000000007</v>
      </c>
      <c r="Q29" s="16">
        <f t="shared" si="2"/>
        <v>1.6845000000000001</v>
      </c>
      <c r="R29" s="16">
        <f t="shared" si="3"/>
        <v>11.135999999999999</v>
      </c>
      <c r="S29" s="17">
        <f t="shared" si="4"/>
        <v>20.8705</v>
      </c>
      <c r="T29" s="15">
        <v>138.83000000000001</v>
      </c>
      <c r="U29" s="16">
        <v>0.96</v>
      </c>
      <c r="V29" s="17">
        <f t="shared" si="5"/>
        <v>133.27680000000001</v>
      </c>
      <c r="W29" s="15">
        <f t="shared" si="6"/>
        <v>8.0500000000000007</v>
      </c>
      <c r="X29" s="16">
        <v>0.15</v>
      </c>
      <c r="Y29" s="17">
        <f t="shared" si="7"/>
        <v>1.2075</v>
      </c>
    </row>
    <row r="30" spans="5:25" ht="15" thickBot="1" x14ac:dyDescent="0.25">
      <c r="E30" s="6" t="s">
        <v>35</v>
      </c>
      <c r="F30" s="9">
        <v>7.39</v>
      </c>
      <c r="G30" s="10">
        <f t="shared" si="8"/>
        <v>0.05</v>
      </c>
      <c r="H30" s="18">
        <f t="shared" si="0"/>
        <v>0.3695</v>
      </c>
      <c r="I30" s="19">
        <v>2.71</v>
      </c>
      <c r="J30" s="20">
        <v>1.3</v>
      </c>
      <c r="K30" s="18">
        <f t="shared" si="1"/>
        <v>3.5230000000000001</v>
      </c>
      <c r="L30" s="19">
        <v>12.01</v>
      </c>
      <c r="M30" s="20">
        <v>13.78</v>
      </c>
      <c r="N30" s="20">
        <v>1.3</v>
      </c>
      <c r="O30" s="20">
        <v>0.15</v>
      </c>
      <c r="P30" s="20">
        <v>11</v>
      </c>
      <c r="Q30" s="20">
        <f t="shared" si="2"/>
        <v>2.0670000000000002</v>
      </c>
      <c r="R30" s="20">
        <f t="shared" si="3"/>
        <v>15.613</v>
      </c>
      <c r="S30" s="21">
        <f t="shared" si="4"/>
        <v>28.68</v>
      </c>
      <c r="T30" s="19">
        <v>183.11</v>
      </c>
      <c r="U30" s="20">
        <v>0.96</v>
      </c>
      <c r="V30" s="21">
        <f t="shared" si="5"/>
        <v>175.78559999999999</v>
      </c>
      <c r="W30" s="19">
        <f t="shared" si="6"/>
        <v>11</v>
      </c>
      <c r="X30" s="20">
        <v>0.15</v>
      </c>
      <c r="Y30" s="21">
        <f t="shared" si="7"/>
        <v>1.65</v>
      </c>
    </row>
    <row r="31" spans="5:25" x14ac:dyDescent="0.2">
      <c r="E31" s="6"/>
      <c r="F31" s="6"/>
      <c r="G31" s="6"/>
    </row>
    <row r="32" spans="5:25" x14ac:dyDescent="0.2">
      <c r="S32" s="11" t="s">
        <v>56</v>
      </c>
      <c r="T32" s="15">
        <v>16</v>
      </c>
      <c r="U32" s="16">
        <v>0.62</v>
      </c>
      <c r="V32" s="17">
        <f>+U32*T32</f>
        <v>9.92</v>
      </c>
      <c r="W32" s="11" t="s">
        <v>57</v>
      </c>
    </row>
  </sheetData>
  <mergeCells count="5">
    <mergeCell ref="B3:F3"/>
    <mergeCell ref="F20:H20"/>
    <mergeCell ref="L20:S20"/>
    <mergeCell ref="T20:V20"/>
    <mergeCell ref="W20:Y20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 t="e">
        <f>+Planilha!#REF!</f>
        <v>#REF!</v>
      </c>
      <c r="B3" s="1218" t="e">
        <f>+Planilha!#REF!</f>
        <v>#REF!</v>
      </c>
      <c r="C3" s="1219"/>
      <c r="D3" s="1219"/>
      <c r="E3" s="1219"/>
      <c r="F3" s="1219"/>
      <c r="G3" s="1219"/>
      <c r="H3" s="1220"/>
      <c r="I3" s="1224" t="e">
        <f>+Planilha!#REF!</f>
        <v>#REF!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x14ac:dyDescent="0.2">
      <c r="A5" s="1227" t="s">
        <v>75</v>
      </c>
      <c r="B5" s="1227"/>
      <c r="C5" s="1227"/>
      <c r="D5" s="1179" t="s">
        <v>60</v>
      </c>
      <c r="E5" s="1179" t="s">
        <v>76</v>
      </c>
      <c r="F5" s="1198" t="s">
        <v>77</v>
      </c>
      <c r="G5" s="1199"/>
      <c r="H5" s="1198" t="s">
        <v>78</v>
      </c>
      <c r="I5" s="1199"/>
      <c r="J5" s="1210" t="s">
        <v>79</v>
      </c>
    </row>
    <row r="6" spans="1:10" x14ac:dyDescent="0.2">
      <c r="A6" s="1227"/>
      <c r="B6" s="1227"/>
      <c r="C6" s="1227"/>
      <c r="D6" s="1180"/>
      <c r="E6" s="1180"/>
      <c r="F6" s="103" t="s">
        <v>80</v>
      </c>
      <c r="G6" s="34" t="s">
        <v>81</v>
      </c>
      <c r="H6" s="103" t="s">
        <v>80</v>
      </c>
      <c r="I6" s="103" t="s">
        <v>81</v>
      </c>
      <c r="J6" s="1210"/>
    </row>
    <row r="7" spans="1:10" x14ac:dyDescent="0.2">
      <c r="A7" s="1237"/>
      <c r="B7" s="1238"/>
      <c r="C7" s="1239"/>
      <c r="D7" s="35"/>
      <c r="E7" s="36"/>
      <c r="F7" s="36"/>
      <c r="G7" s="36"/>
      <c r="H7" s="36"/>
      <c r="I7" s="36"/>
      <c r="J7" s="36"/>
    </row>
    <row r="8" spans="1:10" x14ac:dyDescent="0.2">
      <c r="A8" s="1234" t="str">
        <f>VLOOKUP(D8,equip.!A2:G155,2,FALSE)</f>
        <v>Carrinho de mão</v>
      </c>
      <c r="B8" s="1235"/>
      <c r="C8" s="1236"/>
      <c r="D8" s="40">
        <v>30076</v>
      </c>
      <c r="E8" s="36">
        <v>2</v>
      </c>
      <c r="F8" s="36">
        <v>1</v>
      </c>
      <c r="G8" s="36">
        <v>0</v>
      </c>
      <c r="H8" s="36">
        <f>VLOOKUP(D8,equip.!A2:G131,6,FALSE)</f>
        <v>0.18</v>
      </c>
      <c r="I8" s="36">
        <f>VLOOKUP(D8,equip.!A2:AB131,7,FALSE)</f>
        <v>0.12</v>
      </c>
      <c r="J8" s="36">
        <f>TRUNC(E8*F8*H8+E8*G8*I8,2)</f>
        <v>0.36</v>
      </c>
    </row>
    <row r="9" spans="1:10" x14ac:dyDescent="0.2">
      <c r="A9" s="1234"/>
      <c r="B9" s="1235"/>
      <c r="C9" s="1236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173</v>
      </c>
      <c r="B10" s="95"/>
      <c r="C10" s="96"/>
      <c r="D10" s="35"/>
      <c r="E10" s="110">
        <v>0.05</v>
      </c>
      <c r="F10" s="36"/>
      <c r="G10" s="36"/>
      <c r="H10" s="36">
        <f>+J27</f>
        <v>56.32</v>
      </c>
      <c r="I10" s="36"/>
      <c r="J10" s="36">
        <f>TRUNC(H10*E10,2)</f>
        <v>2.81</v>
      </c>
    </row>
    <row r="11" spans="1:10" x14ac:dyDescent="0.2">
      <c r="A11" s="1176"/>
      <c r="B11" s="1177"/>
      <c r="C11" s="1178"/>
      <c r="D11" s="40"/>
      <c r="E11" s="36"/>
      <c r="F11" s="36"/>
      <c r="G11" s="36"/>
      <c r="H11" s="36"/>
      <c r="I11" s="36"/>
      <c r="J11" s="36"/>
    </row>
    <row r="12" spans="1:10" x14ac:dyDescent="0.2">
      <c r="A12" s="1176"/>
      <c r="B12" s="1177"/>
      <c r="C12" s="1178"/>
      <c r="D12" s="40"/>
      <c r="E12" s="36"/>
      <c r="F12" s="36"/>
      <c r="G12" s="36"/>
      <c r="H12" s="36"/>
      <c r="I12" s="36"/>
      <c r="J12" s="36"/>
    </row>
    <row r="13" spans="1:10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x14ac:dyDescent="0.2">
      <c r="A14" s="1186"/>
      <c r="B14" s="1187"/>
      <c r="C14" s="1188"/>
      <c r="D14" s="41"/>
      <c r="E14" s="42"/>
      <c r="F14" s="42"/>
      <c r="G14" s="36"/>
      <c r="H14" s="36"/>
      <c r="I14" s="36"/>
      <c r="J14" s="36"/>
    </row>
    <row r="15" spans="1:10" x14ac:dyDescent="0.2">
      <c r="A15" s="1189" t="s">
        <v>82</v>
      </c>
      <c r="B15" s="1190"/>
      <c r="C15" s="1190"/>
      <c r="D15" s="1190"/>
      <c r="E15" s="1190"/>
      <c r="F15" s="1190"/>
      <c r="G15" s="1190"/>
      <c r="H15" s="1190"/>
      <c r="I15" s="1191"/>
      <c r="J15" s="43">
        <f>SUM(J7:J14)</f>
        <v>3.17</v>
      </c>
    </row>
    <row r="16" spans="1:10" x14ac:dyDescent="0.2">
      <c r="A16" s="1192" t="s">
        <v>83</v>
      </c>
      <c r="B16" s="1193"/>
      <c r="C16" s="1193"/>
      <c r="D16" s="1193"/>
      <c r="E16" s="1211"/>
      <c r="F16" s="1179" t="s">
        <v>60</v>
      </c>
      <c r="G16" s="1179" t="s">
        <v>84</v>
      </c>
      <c r="H16" s="1179" t="s">
        <v>76</v>
      </c>
      <c r="I16" s="1210" t="s">
        <v>85</v>
      </c>
      <c r="J16" s="1179" t="s">
        <v>79</v>
      </c>
    </row>
    <row r="17" spans="1:10" x14ac:dyDescent="0.2">
      <c r="A17" s="1194"/>
      <c r="B17" s="1195"/>
      <c r="C17" s="1195"/>
      <c r="D17" s="1195"/>
      <c r="E17" s="1212"/>
      <c r="F17" s="1180"/>
      <c r="G17" s="1180"/>
      <c r="H17" s="1180"/>
      <c r="I17" s="1210"/>
      <c r="J17" s="1180"/>
    </row>
    <row r="18" spans="1:10" x14ac:dyDescent="0.2">
      <c r="A18" s="1176" t="str">
        <f>VLOOKUP(F18,m.o.!A1:F153,2,FALSE)</f>
        <v>Encarregado de O.A.C.</v>
      </c>
      <c r="B18" s="1177"/>
      <c r="C18" s="1177"/>
      <c r="D18" s="1177"/>
      <c r="E18" s="1178"/>
      <c r="F18" s="44">
        <v>20060</v>
      </c>
      <c r="G18" s="45"/>
      <c r="H18" s="36">
        <v>1</v>
      </c>
      <c r="I18" s="36">
        <f>VLOOKUP(F18,m.o.!A1:F128,5,FALSE)</f>
        <v>10.220000000000001</v>
      </c>
      <c r="J18" s="36">
        <f>TRUNC(H18*I18,2)</f>
        <v>10.220000000000001</v>
      </c>
    </row>
    <row r="19" spans="1:10" x14ac:dyDescent="0.2">
      <c r="A19" s="1176" t="str">
        <f>VLOOKUP(F19,m.o.!A2:F154,2,FALSE)</f>
        <v>Operário braçal</v>
      </c>
      <c r="B19" s="1177"/>
      <c r="C19" s="1177"/>
      <c r="D19" s="1177"/>
      <c r="E19" s="1178"/>
      <c r="F19" s="44">
        <v>20107</v>
      </c>
      <c r="G19" s="45"/>
      <c r="H19" s="36">
        <v>10</v>
      </c>
      <c r="I19" s="36">
        <f>VLOOKUP(F19,m.o.!A2:F129,5,FALSE)</f>
        <v>4.6100000000000003</v>
      </c>
      <c r="J19" s="36">
        <f>TRUNC(H19*I19,2)</f>
        <v>46.1</v>
      </c>
    </row>
    <row r="20" spans="1:10" x14ac:dyDescent="0.2">
      <c r="A20" s="1176"/>
      <c r="B20" s="1177"/>
      <c r="C20" s="1177"/>
      <c r="D20" s="1177"/>
      <c r="E20" s="1178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186"/>
      <c r="B26" s="1187"/>
      <c r="C26" s="1187"/>
      <c r="D26" s="1187"/>
      <c r="E26" s="1188"/>
      <c r="F26" s="41"/>
      <c r="G26" s="47"/>
      <c r="H26" s="42"/>
      <c r="I26" s="42"/>
      <c r="J26" s="36"/>
    </row>
    <row r="27" spans="1:10" x14ac:dyDescent="0.2">
      <c r="A27" s="1189" t="s">
        <v>86</v>
      </c>
      <c r="B27" s="1190"/>
      <c r="C27" s="1190"/>
      <c r="D27" s="1190"/>
      <c r="E27" s="1190"/>
      <c r="F27" s="1190"/>
      <c r="G27" s="1190"/>
      <c r="H27" s="1190"/>
      <c r="I27" s="1191"/>
      <c r="J27" s="43">
        <f>ROUND(SUM(J18:J26),2)</f>
        <v>56.32</v>
      </c>
    </row>
    <row r="28" spans="1:10" x14ac:dyDescent="0.2">
      <c r="A28" s="1201" t="s">
        <v>87</v>
      </c>
      <c r="B28" s="1202"/>
      <c r="C28" s="1202"/>
      <c r="D28" s="1202"/>
      <c r="E28" s="1202"/>
      <c r="F28" s="42">
        <v>0.83</v>
      </c>
      <c r="G28" s="1201" t="s">
        <v>88</v>
      </c>
      <c r="H28" s="1202"/>
      <c r="I28" s="1202"/>
      <c r="J28" s="48">
        <f>+J27+J15</f>
        <v>59.49</v>
      </c>
    </row>
    <row r="29" spans="1:10" x14ac:dyDescent="0.2">
      <c r="A29" s="1174" t="s">
        <v>89</v>
      </c>
      <c r="B29" s="1175"/>
      <c r="C29" s="1175"/>
      <c r="D29" s="1175"/>
      <c r="E29" s="1175"/>
      <c r="F29" s="1175"/>
      <c r="G29" s="1175"/>
      <c r="H29" s="1175"/>
      <c r="I29" s="1203"/>
      <c r="J29" s="43">
        <f>TRUNC(J28/F28,2)</f>
        <v>71.67</v>
      </c>
    </row>
    <row r="30" spans="1:10" x14ac:dyDescent="0.2">
      <c r="A30" s="1204" t="s">
        <v>90</v>
      </c>
      <c r="B30" s="1205"/>
      <c r="C30" s="1205"/>
      <c r="D30" s="1205"/>
      <c r="E30" s="1206"/>
      <c r="F30" s="1179" t="s">
        <v>60</v>
      </c>
      <c r="G30" s="1179" t="s">
        <v>1</v>
      </c>
      <c r="H30" s="1210" t="s">
        <v>64</v>
      </c>
      <c r="I30" s="1179" t="s">
        <v>91</v>
      </c>
      <c r="J30" s="1179" t="s">
        <v>92</v>
      </c>
    </row>
    <row r="31" spans="1:10" x14ac:dyDescent="0.2">
      <c r="A31" s="1207"/>
      <c r="B31" s="1208"/>
      <c r="C31" s="1208"/>
      <c r="D31" s="1208"/>
      <c r="E31" s="1209"/>
      <c r="F31" s="1180"/>
      <c r="G31" s="1180"/>
      <c r="H31" s="1210"/>
      <c r="I31" s="1180"/>
      <c r="J31" s="1180"/>
    </row>
    <row r="32" spans="1:10" x14ac:dyDescent="0.2">
      <c r="A32" s="1176" t="str">
        <f>VLOOKUP(F32,mat.!$A$3:$D$642,2,FALSE)</f>
        <v>Areia grossa jazida com carregamento mecânico</v>
      </c>
      <c r="B32" s="1177"/>
      <c r="C32" s="1177"/>
      <c r="D32" s="1177"/>
      <c r="E32" s="1178"/>
      <c r="F32" s="44">
        <v>10109</v>
      </c>
      <c r="G32" s="54" t="str">
        <f>VLOOKUP(F32,mat.!$A$3:$D$638,3,FALSE)</f>
        <v>m3</v>
      </c>
      <c r="H32" s="54">
        <f>VLOOKUP(F32,mat.!$A$3:$E$638,4,FALSE)</f>
        <v>64.22</v>
      </c>
      <c r="I32" s="55">
        <v>1.2070000000000001</v>
      </c>
      <c r="J32" s="36">
        <f>TRUNC(I32*H32,2)</f>
        <v>77.510000000000005</v>
      </c>
    </row>
    <row r="33" spans="1:13" x14ac:dyDescent="0.2">
      <c r="A33" s="1176" t="str">
        <f>VLOOKUP(F33,mat.!$A$3:$D$642,2,FALSE)</f>
        <v>Cimento CP III</v>
      </c>
      <c r="B33" s="1177"/>
      <c r="C33" s="1177"/>
      <c r="D33" s="1177"/>
      <c r="E33" s="1178"/>
      <c r="F33" s="114">
        <v>10092</v>
      </c>
      <c r="G33" s="54" t="str">
        <f>VLOOKUP(F33,mat.!$A$3:$D$638,3,FALSE)</f>
        <v>kg</v>
      </c>
      <c r="H33" s="54">
        <f>VLOOKUP(F33,mat.!$A$3:$E$638,4,FALSE)</f>
        <v>0.38</v>
      </c>
      <c r="I33" s="55">
        <v>367.5</v>
      </c>
      <c r="J33" s="36">
        <f>TRUNC(I33*H33,2)</f>
        <v>139.65</v>
      </c>
    </row>
    <row r="34" spans="1:13" x14ac:dyDescent="0.2">
      <c r="A34" s="1176"/>
      <c r="B34" s="1177"/>
      <c r="C34" s="1177"/>
      <c r="D34" s="1177"/>
      <c r="E34" s="1178"/>
      <c r="F34" s="114"/>
      <c r="G34" s="54"/>
      <c r="H34" s="54"/>
      <c r="I34" s="55"/>
      <c r="J34" s="36"/>
    </row>
    <row r="35" spans="1:13" x14ac:dyDescent="0.2">
      <c r="A35" s="1176"/>
      <c r="B35" s="1177"/>
      <c r="C35" s="1177"/>
      <c r="D35" s="1177"/>
      <c r="E35" s="1178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176"/>
      <c r="B39" s="1177"/>
      <c r="C39" s="1177"/>
      <c r="D39" s="1177"/>
      <c r="E39" s="1178"/>
      <c r="F39" s="52"/>
      <c r="G39" s="53"/>
      <c r="H39" s="54"/>
      <c r="I39" s="55"/>
      <c r="J39" s="36"/>
    </row>
    <row r="40" spans="1:13" x14ac:dyDescent="0.2">
      <c r="A40" s="1176"/>
      <c r="B40" s="1177"/>
      <c r="C40" s="1177"/>
      <c r="D40" s="1177"/>
      <c r="E40" s="1178"/>
      <c r="F40" s="52"/>
      <c r="G40" s="53"/>
      <c r="H40" s="54"/>
      <c r="I40" s="55"/>
      <c r="J40" s="36"/>
    </row>
    <row r="41" spans="1:13" x14ac:dyDescent="0.2">
      <c r="A41" s="1186"/>
      <c r="B41" s="1187"/>
      <c r="C41" s="1187"/>
      <c r="D41" s="1187"/>
      <c r="E41" s="1188"/>
      <c r="F41" s="58"/>
      <c r="G41" s="59"/>
      <c r="H41" s="60"/>
      <c r="I41" s="55"/>
      <c r="J41" s="36"/>
    </row>
    <row r="42" spans="1:13" x14ac:dyDescent="0.2">
      <c r="A42" s="1189" t="s">
        <v>93</v>
      </c>
      <c r="B42" s="1190"/>
      <c r="C42" s="1190"/>
      <c r="D42" s="1190"/>
      <c r="E42" s="1190"/>
      <c r="F42" s="1190"/>
      <c r="G42" s="1190"/>
      <c r="H42" s="1190"/>
      <c r="I42" s="1191"/>
      <c r="J42" s="43">
        <f>ROUND(SUM(J32:J41),2)</f>
        <v>217.16</v>
      </c>
    </row>
    <row r="43" spans="1:13" x14ac:dyDescent="0.2">
      <c r="A43" s="1192" t="s">
        <v>94</v>
      </c>
      <c r="B43" s="1193"/>
      <c r="C43" s="1193"/>
      <c r="D43" s="1193"/>
      <c r="E43" s="1196" t="s">
        <v>60</v>
      </c>
      <c r="F43" s="1198" t="s">
        <v>95</v>
      </c>
      <c r="G43" s="1199"/>
      <c r="H43" s="1200" t="s">
        <v>96</v>
      </c>
      <c r="I43" s="1200" t="s">
        <v>97</v>
      </c>
      <c r="J43" s="1179" t="s">
        <v>64</v>
      </c>
    </row>
    <row r="44" spans="1:13" x14ac:dyDescent="0.2">
      <c r="A44" s="1194"/>
      <c r="B44" s="1195"/>
      <c r="C44" s="1195"/>
      <c r="D44" s="1195"/>
      <c r="E44" s="1197"/>
      <c r="F44" s="103" t="s">
        <v>21</v>
      </c>
      <c r="G44" s="103" t="s">
        <v>20</v>
      </c>
      <c r="H44" s="1200"/>
      <c r="I44" s="1200"/>
      <c r="J44" s="1180"/>
    </row>
    <row r="45" spans="1:13" x14ac:dyDescent="0.2">
      <c r="A45" s="49" t="str">
        <f>VLOOKUP(E45,tranp.!A4:J43,4,FALSE)</f>
        <v>0,681XP + 0,710XR + 2,841</v>
      </c>
      <c r="B45" s="104"/>
      <c r="C45" s="104" t="s">
        <v>115</v>
      </c>
      <c r="D45" s="105"/>
      <c r="E45" s="106">
        <v>60002</v>
      </c>
      <c r="F45" s="61">
        <v>24</v>
      </c>
      <c r="G45" s="36">
        <v>0</v>
      </c>
      <c r="H45" s="36">
        <f>TRUNC(F45*K45+G45*L45+M45,2)</f>
        <v>19.18</v>
      </c>
      <c r="I45" s="62">
        <v>1.8105</v>
      </c>
      <c r="J45" s="36">
        <f>TRUNC(I45*H45,2)</f>
        <v>34.72</v>
      </c>
      <c r="K45" s="22">
        <f>VLOOKUP(E45,tranp.!$A$4:$K$21,5,FALSE)</f>
        <v>0.68100000000000005</v>
      </c>
      <c r="L45" s="22">
        <f>VLOOKUP(E45,tranp.!$A$4:$G$19,6,FALSE)</f>
        <v>0.71</v>
      </c>
      <c r="M45" s="22">
        <f>VLOOKUP(E45,tranp.!$A$4:$G$19,7,FALSE)</f>
        <v>2.8410000000000002</v>
      </c>
    </row>
    <row r="46" spans="1:13" x14ac:dyDescent="0.2">
      <c r="A46" s="107" t="str">
        <f>VLOOKUP(E46,tranp.!A5:J44,4,FALSE)</f>
        <v>0,676XP + 0,703XR</v>
      </c>
      <c r="B46" s="108"/>
      <c r="C46" s="108" t="s">
        <v>174</v>
      </c>
      <c r="D46" s="109"/>
      <c r="E46" s="118">
        <v>60013</v>
      </c>
      <c r="F46" s="54">
        <v>141</v>
      </c>
      <c r="G46" s="54">
        <v>0</v>
      </c>
      <c r="H46" s="36">
        <f>TRUNC(F46*K46+G46*L46+M46,2)</f>
        <v>95.31</v>
      </c>
      <c r="I46" s="63">
        <v>0.36749999999999999</v>
      </c>
      <c r="J46" s="54">
        <f>+I46*H46</f>
        <v>35.03</v>
      </c>
      <c r="K46" s="22">
        <f>VLOOKUP(E46,tranp.!$A$4:$K$21,5,FALSE)</f>
        <v>0.67600000000000005</v>
      </c>
      <c r="L46" s="22">
        <f>VLOOKUP(E46,tranp.!$A$4:$G$19,6,FALSE)</f>
        <v>0.70299999999999996</v>
      </c>
      <c r="M46" s="22">
        <f>VLOOKUP(E46,tranp.!$A$4:$G$19,7,FALSE)</f>
        <v>0</v>
      </c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181" t="s">
        <v>98</v>
      </c>
      <c r="B49" s="1182"/>
      <c r="C49" s="1182"/>
      <c r="D49" s="1182"/>
      <c r="E49" s="1182"/>
      <c r="F49" s="1182"/>
      <c r="G49" s="1182"/>
      <c r="H49" s="1182"/>
      <c r="I49" s="1183"/>
      <c r="J49" s="64">
        <f>SUM(J45:J48)</f>
        <v>69.75</v>
      </c>
    </row>
    <row r="50" spans="1:10" x14ac:dyDescent="0.2">
      <c r="A50" s="1184" t="s">
        <v>99</v>
      </c>
      <c r="B50" s="1185"/>
      <c r="C50" s="1185"/>
      <c r="D50" s="1185"/>
      <c r="E50" s="1185"/>
      <c r="F50" s="1185"/>
      <c r="G50" s="102" t="s">
        <v>100</v>
      </c>
      <c r="H50" s="25"/>
      <c r="I50" s="66" t="s">
        <v>101</v>
      </c>
      <c r="J50" s="61">
        <f>J49+J42+J29</f>
        <v>358.58</v>
      </c>
    </row>
    <row r="51" spans="1:10" x14ac:dyDescent="0.2">
      <c r="A51" s="1172" t="s">
        <v>102</v>
      </c>
      <c r="B51" s="1173"/>
      <c r="C51" s="1173"/>
      <c r="D51" s="1173"/>
      <c r="E51" s="1173"/>
      <c r="F51" s="1173"/>
      <c r="G51" s="67">
        <v>0.35</v>
      </c>
      <c r="H51" s="68"/>
      <c r="I51" s="69" t="s">
        <v>101</v>
      </c>
      <c r="J51" s="48">
        <f>+J50*G51</f>
        <v>125.5</v>
      </c>
    </row>
    <row r="52" spans="1:10" x14ac:dyDescent="0.2">
      <c r="A52" s="1174" t="s">
        <v>103</v>
      </c>
      <c r="B52" s="1175"/>
      <c r="C52" s="1175"/>
      <c r="D52" s="1175"/>
      <c r="E52" s="1175"/>
      <c r="F52" s="1175"/>
      <c r="G52" s="98"/>
      <c r="H52" s="71"/>
      <c r="I52" s="97" t="s">
        <v>101</v>
      </c>
      <c r="J52" s="43">
        <f>+J51+J50</f>
        <v>484.08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v>40313</v>
      </c>
      <c r="B3" s="1218" t="s">
        <v>183</v>
      </c>
      <c r="C3" s="1219"/>
      <c r="D3" s="1219"/>
      <c r="E3" s="1219"/>
      <c r="F3" s="1219"/>
      <c r="G3" s="1219"/>
      <c r="H3" s="1220"/>
      <c r="I3" s="1224" t="s">
        <v>68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ht="12.75" x14ac:dyDescent="0.25">
      <c r="A5" s="1160" t="s">
        <v>75</v>
      </c>
      <c r="B5" s="1160"/>
      <c r="C5" s="1160"/>
      <c r="D5" s="1140" t="s">
        <v>60</v>
      </c>
      <c r="E5" s="1140" t="s">
        <v>76</v>
      </c>
      <c r="F5" s="1151" t="s">
        <v>77</v>
      </c>
      <c r="G5" s="1152"/>
      <c r="H5" s="1151" t="s">
        <v>78</v>
      </c>
      <c r="I5" s="1152"/>
      <c r="J5" s="1154" t="s">
        <v>79</v>
      </c>
    </row>
    <row r="6" spans="1:10" ht="12.75" x14ac:dyDescent="0.25">
      <c r="A6" s="1160"/>
      <c r="B6" s="1160"/>
      <c r="C6" s="1160"/>
      <c r="D6" s="1141"/>
      <c r="E6" s="1141"/>
      <c r="F6" s="120" t="s">
        <v>80</v>
      </c>
      <c r="G6" s="121" t="s">
        <v>81</v>
      </c>
      <c r="H6" s="120" t="s">
        <v>80</v>
      </c>
      <c r="I6" s="120" t="s">
        <v>81</v>
      </c>
      <c r="J6" s="1154"/>
    </row>
    <row r="7" spans="1:10" ht="12.75" customHeight="1" x14ac:dyDescent="0.2">
      <c r="A7" s="1237" t="str">
        <f>VLOOKUP(D7,equip.!A1:G154,2,FALSE)</f>
        <v>Serra circular (WEG) ou equivalente</v>
      </c>
      <c r="B7" s="1238"/>
      <c r="C7" s="1239"/>
      <c r="D7" s="35">
        <v>30073</v>
      </c>
      <c r="E7" s="36">
        <v>1</v>
      </c>
      <c r="F7" s="36">
        <v>0.26</v>
      </c>
      <c r="G7" s="36">
        <f>1-F7</f>
        <v>0.74</v>
      </c>
      <c r="H7" s="36">
        <f>VLOOKUP(D7,equip.!A1:G130,6,FALSE)</f>
        <v>18.22</v>
      </c>
      <c r="I7" s="36">
        <f>VLOOKUP(D7,equip.!A1:AB130,7,FALSE)</f>
        <v>14.81</v>
      </c>
      <c r="J7" s="36">
        <f>TRUNC(E7*F7*H7+E7*G7*I7,2)</f>
        <v>15.69</v>
      </c>
    </row>
    <row r="8" spans="1:10" x14ac:dyDescent="0.2">
      <c r="A8" s="1234"/>
      <c r="B8" s="1235"/>
      <c r="C8" s="1236"/>
      <c r="D8" s="35"/>
      <c r="E8" s="36"/>
      <c r="F8" s="36"/>
      <c r="G8" s="36"/>
      <c r="H8" s="36"/>
      <c r="I8" s="36"/>
      <c r="J8" s="36"/>
    </row>
    <row r="9" spans="1:10" x14ac:dyDescent="0.2">
      <c r="A9" s="1234"/>
      <c r="B9" s="1235"/>
      <c r="C9" s="1236"/>
      <c r="D9" s="35"/>
      <c r="E9" s="36"/>
      <c r="F9" s="36"/>
      <c r="G9" s="36"/>
      <c r="H9" s="36"/>
      <c r="I9" s="36"/>
      <c r="J9" s="36"/>
    </row>
    <row r="10" spans="1:10" x14ac:dyDescent="0.2">
      <c r="A10" s="99"/>
      <c r="B10" s="100"/>
      <c r="C10" s="101"/>
      <c r="D10" s="35"/>
      <c r="E10" s="36"/>
      <c r="F10" s="36"/>
      <c r="G10" s="36"/>
      <c r="H10" s="36"/>
      <c r="I10" s="36"/>
      <c r="J10" s="36"/>
    </row>
    <row r="11" spans="1:10" x14ac:dyDescent="0.2">
      <c r="A11" s="99"/>
      <c r="B11" s="100"/>
      <c r="C11" s="101"/>
      <c r="D11" s="35"/>
      <c r="E11" s="36"/>
      <c r="F11" s="36"/>
      <c r="G11" s="36"/>
      <c r="H11" s="36"/>
      <c r="I11" s="36"/>
      <c r="J11" s="36"/>
    </row>
    <row r="12" spans="1:10" x14ac:dyDescent="0.2">
      <c r="A12" s="99"/>
      <c r="B12" s="100"/>
      <c r="C12" s="101"/>
      <c r="D12" s="35"/>
      <c r="E12" s="36"/>
      <c r="F12" s="36"/>
      <c r="G12" s="36"/>
      <c r="H12" s="36"/>
      <c r="I12" s="36"/>
      <c r="J12" s="36"/>
    </row>
    <row r="13" spans="1:10" ht="12.75" x14ac:dyDescent="0.25">
      <c r="A13" s="125" t="s">
        <v>142</v>
      </c>
      <c r="B13" s="126"/>
      <c r="C13" s="127"/>
      <c r="D13" s="122"/>
      <c r="E13" s="128">
        <v>0.05</v>
      </c>
      <c r="F13" s="123"/>
      <c r="G13" s="123"/>
      <c r="H13" s="123">
        <f>+J27</f>
        <v>8.44</v>
      </c>
      <c r="I13" s="123"/>
      <c r="J13" s="123">
        <f>TRUNC(H13*E13,2)</f>
        <v>0.42</v>
      </c>
    </row>
    <row r="14" spans="1:10" ht="12.75" x14ac:dyDescent="0.25">
      <c r="A14" s="1122"/>
      <c r="B14" s="1123"/>
      <c r="C14" s="1124"/>
      <c r="D14" s="124"/>
      <c r="E14" s="123"/>
      <c r="F14" s="123"/>
      <c r="G14" s="123"/>
      <c r="H14" s="123"/>
      <c r="I14" s="123"/>
      <c r="J14" s="123"/>
    </row>
    <row r="15" spans="1:10" ht="12.75" x14ac:dyDescent="0.25">
      <c r="A15" s="1128" t="s">
        <v>82</v>
      </c>
      <c r="B15" s="1129"/>
      <c r="C15" s="1129"/>
      <c r="D15" s="1129"/>
      <c r="E15" s="1129"/>
      <c r="F15" s="1129"/>
      <c r="G15" s="1129"/>
      <c r="H15" s="1129"/>
      <c r="I15" s="1130"/>
      <c r="J15" s="136">
        <f>SUM(J7:J14)</f>
        <v>16.11</v>
      </c>
    </row>
    <row r="16" spans="1:10" x14ac:dyDescent="0.2">
      <c r="A16" s="1145" t="s">
        <v>83</v>
      </c>
      <c r="B16" s="1146"/>
      <c r="C16" s="1146"/>
      <c r="D16" s="1146"/>
      <c r="E16" s="1158"/>
      <c r="F16" s="1140" t="s">
        <v>60</v>
      </c>
      <c r="G16" s="1140" t="s">
        <v>84</v>
      </c>
      <c r="H16" s="1140" t="s">
        <v>76</v>
      </c>
      <c r="I16" s="1154" t="s">
        <v>85</v>
      </c>
      <c r="J16" s="1140" t="s">
        <v>79</v>
      </c>
    </row>
    <row r="17" spans="1:10" x14ac:dyDescent="0.2">
      <c r="A17" s="1147"/>
      <c r="B17" s="1148"/>
      <c r="C17" s="1148"/>
      <c r="D17" s="1148"/>
      <c r="E17" s="1159"/>
      <c r="F17" s="1141"/>
      <c r="G17" s="1141"/>
      <c r="H17" s="1141"/>
      <c r="I17" s="1154"/>
      <c r="J17" s="1141"/>
    </row>
    <row r="18" spans="1:10" ht="12.75" x14ac:dyDescent="0.25">
      <c r="A18" s="1122" t="str">
        <f>VLOOKUP(F18,m.o.!A1:F153,2,FALSE)</f>
        <v>Carpinteiro de O.A.C.</v>
      </c>
      <c r="B18" s="1123"/>
      <c r="C18" s="1123"/>
      <c r="D18" s="1123"/>
      <c r="E18" s="1124"/>
      <c r="F18" s="137">
        <v>20038</v>
      </c>
      <c r="G18" s="138"/>
      <c r="H18" s="123">
        <v>0.52</v>
      </c>
      <c r="I18" s="123">
        <f>VLOOKUP(F18,m.o.!A1:F128,5,FALSE)</f>
        <v>5.61</v>
      </c>
      <c r="J18" s="123">
        <f>TRUNC(H18*I18,2)</f>
        <v>2.91</v>
      </c>
    </row>
    <row r="19" spans="1:10" ht="12.75" x14ac:dyDescent="0.25">
      <c r="A19" s="1122" t="str">
        <f>VLOOKUP(F19,m.o.!A2:F154,2,FALSE)</f>
        <v>Operário braçal</v>
      </c>
      <c r="B19" s="1123"/>
      <c r="C19" s="1123"/>
      <c r="D19" s="1123"/>
      <c r="E19" s="1124"/>
      <c r="F19" s="137">
        <v>20107</v>
      </c>
      <c r="G19" s="138"/>
      <c r="H19" s="123">
        <v>1.2</v>
      </c>
      <c r="I19" s="123">
        <f>VLOOKUP(F19,m.o.!A2:F129,5,FALSE)</f>
        <v>4.6100000000000003</v>
      </c>
      <c r="J19" s="123">
        <f>TRUNC(H19*I19,2)</f>
        <v>5.53</v>
      </c>
    </row>
    <row r="20" spans="1:10" ht="12.75" x14ac:dyDescent="0.25">
      <c r="A20" s="1122"/>
      <c r="B20" s="1123"/>
      <c r="C20" s="1123"/>
      <c r="D20" s="1123"/>
      <c r="E20" s="1124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1125"/>
      <c r="B26" s="1126"/>
      <c r="C26" s="1126"/>
      <c r="D26" s="1126"/>
      <c r="E26" s="1127"/>
      <c r="F26" s="134"/>
      <c r="G26" s="143"/>
      <c r="H26" s="135"/>
      <c r="I26" s="135"/>
      <c r="J26" s="123"/>
    </row>
    <row r="27" spans="1:10" ht="12.75" x14ac:dyDescent="0.25">
      <c r="A27" s="1128" t="s">
        <v>86</v>
      </c>
      <c r="B27" s="1129"/>
      <c r="C27" s="1129"/>
      <c r="D27" s="1129"/>
      <c r="E27" s="1129"/>
      <c r="F27" s="1129"/>
      <c r="G27" s="1129"/>
      <c r="H27" s="1129"/>
      <c r="I27" s="1130"/>
      <c r="J27" s="136">
        <f>ROUND(SUM(J18:J26),2)</f>
        <v>8.44</v>
      </c>
    </row>
    <row r="28" spans="1:10" ht="12.75" x14ac:dyDescent="0.25">
      <c r="A28" s="1155" t="s">
        <v>87</v>
      </c>
      <c r="B28" s="1156"/>
      <c r="C28" s="1156"/>
      <c r="D28" s="1156"/>
      <c r="E28" s="1156"/>
      <c r="F28" s="135">
        <v>1</v>
      </c>
      <c r="G28" s="1155" t="s">
        <v>88</v>
      </c>
      <c r="H28" s="1156"/>
      <c r="I28" s="1156"/>
      <c r="J28" s="144">
        <f>+J27+J15</f>
        <v>24.55</v>
      </c>
    </row>
    <row r="29" spans="1:10" ht="12.75" x14ac:dyDescent="0.25">
      <c r="A29" s="1120" t="s">
        <v>89</v>
      </c>
      <c r="B29" s="1121"/>
      <c r="C29" s="1121"/>
      <c r="D29" s="1121"/>
      <c r="E29" s="1121"/>
      <c r="F29" s="1121"/>
      <c r="G29" s="1121"/>
      <c r="H29" s="1121"/>
      <c r="I29" s="1157"/>
      <c r="J29" s="136">
        <f>TRUNC(J28/F28,2)</f>
        <v>24.55</v>
      </c>
    </row>
    <row r="30" spans="1:10" x14ac:dyDescent="0.2">
      <c r="A30" s="1134" t="s">
        <v>90</v>
      </c>
      <c r="B30" s="1135"/>
      <c r="C30" s="1135"/>
      <c r="D30" s="1135"/>
      <c r="E30" s="1136"/>
      <c r="F30" s="1140" t="s">
        <v>60</v>
      </c>
      <c r="G30" s="1140" t="s">
        <v>1</v>
      </c>
      <c r="H30" s="1154" t="s">
        <v>64</v>
      </c>
      <c r="I30" s="1140" t="s">
        <v>91</v>
      </c>
      <c r="J30" s="1140" t="s">
        <v>92</v>
      </c>
    </row>
    <row r="31" spans="1:10" x14ac:dyDescent="0.2">
      <c r="A31" s="1137"/>
      <c r="B31" s="1138"/>
      <c r="C31" s="1138"/>
      <c r="D31" s="1138"/>
      <c r="E31" s="1139"/>
      <c r="F31" s="1141"/>
      <c r="G31" s="1141"/>
      <c r="H31" s="1154"/>
      <c r="I31" s="1141"/>
      <c r="J31" s="1141"/>
    </row>
    <row r="32" spans="1:10" ht="12.75" x14ac:dyDescent="0.25">
      <c r="A32" s="1122" t="str">
        <f>VLOOKUP(F32,mat.!$A$3:$D$642,2,FALSE)</f>
        <v>Caibros 7 X 7 cm (pontalete)</v>
      </c>
      <c r="B32" s="1123"/>
      <c r="C32" s="1123"/>
      <c r="D32" s="1123"/>
      <c r="E32" s="1124"/>
      <c r="F32" s="137">
        <v>10066</v>
      </c>
      <c r="G32" s="145" t="str">
        <f>VLOOKUP(F32,mat.!$A$3:$D$638,3,FALSE)</f>
        <v>M3</v>
      </c>
      <c r="H32" s="145">
        <f>VLOOKUP(F32,mat.!$A$3:$E$638,4,FALSE)</f>
        <v>1616</v>
      </c>
      <c r="I32" s="146">
        <v>2.3999999999999998E-3</v>
      </c>
      <c r="J32" s="123">
        <f>TRUNC(I32*H32,2)</f>
        <v>3.87</v>
      </c>
    </row>
    <row r="33" spans="1:13" ht="12.75" x14ac:dyDescent="0.25">
      <c r="A33" s="1122" t="str">
        <f>VLOOKUP(F33,mat.!$A$3:$D$642,2,FALSE)</f>
        <v>Prego 18 X 24</v>
      </c>
      <c r="B33" s="1123"/>
      <c r="C33" s="1123"/>
      <c r="D33" s="1123"/>
      <c r="E33" s="1124"/>
      <c r="F33" s="147">
        <v>10135</v>
      </c>
      <c r="G33" s="145" t="str">
        <f>VLOOKUP(F33,mat.!$A$3:$D$638,3,FALSE)</f>
        <v>kg</v>
      </c>
      <c r="H33" s="145">
        <f>VLOOKUP(F33,mat.!$A$3:$E$638,4,FALSE)</f>
        <v>10.54</v>
      </c>
      <c r="I33" s="146">
        <v>0.2</v>
      </c>
      <c r="J33" s="123">
        <f>TRUNC(I33*H33,2)</f>
        <v>2.1</v>
      </c>
    </row>
    <row r="34" spans="1:13" ht="12.75" x14ac:dyDescent="0.25">
      <c r="A34" s="1122" t="str">
        <f>VLOOKUP(F34,mat.!$A$3:$D$642,2,FALSE)</f>
        <v>Sarrafo 10 X 2,5 cm</v>
      </c>
      <c r="B34" s="1123"/>
      <c r="C34" s="1123"/>
      <c r="D34" s="1123"/>
      <c r="E34" s="1124"/>
      <c r="F34" s="147">
        <v>10067</v>
      </c>
      <c r="G34" s="145" t="str">
        <f>VLOOKUP(F34,mat.!$A$3:$D$638,3,FALSE)</f>
        <v>M3</v>
      </c>
      <c r="H34" s="145">
        <f>VLOOKUP(F34,mat.!$A$3:$E$638,4,FALSE)</f>
        <v>1012</v>
      </c>
      <c r="I34" s="146">
        <v>1.5E-3</v>
      </c>
      <c r="J34" s="123">
        <f>TRUNC(I34*H34,2)</f>
        <v>1.51</v>
      </c>
    </row>
    <row r="35" spans="1:13" ht="12.75" x14ac:dyDescent="0.25">
      <c r="A35" s="1122" t="str">
        <f>VLOOKUP(F35,mat.!$A$3:$D$642,2,FALSE)</f>
        <v>Tábuas de 2,5 cm (Não Aparelhada)</v>
      </c>
      <c r="B35" s="1123"/>
      <c r="C35" s="1123"/>
      <c r="D35" s="1123"/>
      <c r="E35" s="1124"/>
      <c r="F35" s="147">
        <v>10065</v>
      </c>
      <c r="G35" s="145" t="str">
        <f>VLOOKUP(F35,mat.!$A$3:$D$638,3,FALSE)</f>
        <v>M3</v>
      </c>
      <c r="H35" s="145">
        <f>VLOOKUP(F35,mat.!$A$3:$E$638,4,FALSE)</f>
        <v>1884</v>
      </c>
      <c r="I35" s="146">
        <v>9.4999999999999998E-3</v>
      </c>
      <c r="J35" s="123">
        <f>TRUNC(I35*H35,2)</f>
        <v>17.89</v>
      </c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3" ht="12.75" x14ac:dyDescent="0.25">
      <c r="A39" s="1122"/>
      <c r="B39" s="1123"/>
      <c r="C39" s="1123"/>
      <c r="D39" s="1123"/>
      <c r="E39" s="1124"/>
      <c r="F39" s="148"/>
      <c r="G39" s="152"/>
      <c r="H39" s="145"/>
      <c r="I39" s="146"/>
      <c r="J39" s="123"/>
    </row>
    <row r="40" spans="1:13" ht="12.75" x14ac:dyDescent="0.25">
      <c r="A40" s="1122"/>
      <c r="B40" s="1123"/>
      <c r="C40" s="1123"/>
      <c r="D40" s="1123"/>
      <c r="E40" s="1124"/>
      <c r="F40" s="148"/>
      <c r="G40" s="152"/>
      <c r="H40" s="145"/>
      <c r="I40" s="146"/>
      <c r="J40" s="123"/>
    </row>
    <row r="41" spans="1:13" ht="12.75" x14ac:dyDescent="0.25">
      <c r="A41" s="1125"/>
      <c r="B41" s="1126"/>
      <c r="C41" s="1126"/>
      <c r="D41" s="1126"/>
      <c r="E41" s="1127"/>
      <c r="F41" s="155"/>
      <c r="G41" s="156"/>
      <c r="H41" s="157"/>
      <c r="I41" s="146"/>
      <c r="J41" s="123"/>
    </row>
    <row r="42" spans="1:13" ht="12.75" x14ac:dyDescent="0.25">
      <c r="A42" s="1128" t="s">
        <v>93</v>
      </c>
      <c r="B42" s="1129"/>
      <c r="C42" s="1129"/>
      <c r="D42" s="1129"/>
      <c r="E42" s="1129"/>
      <c r="F42" s="1129"/>
      <c r="G42" s="1129"/>
      <c r="H42" s="1129"/>
      <c r="I42" s="1130"/>
      <c r="J42" s="136">
        <f>ROUND(SUM(J32:J41),2)</f>
        <v>25.37</v>
      </c>
    </row>
    <row r="43" spans="1:13" ht="12.75" x14ac:dyDescent="0.25">
      <c r="A43" s="1145" t="s">
        <v>94</v>
      </c>
      <c r="B43" s="1146"/>
      <c r="C43" s="1146"/>
      <c r="D43" s="1146"/>
      <c r="E43" s="1149" t="s">
        <v>60</v>
      </c>
      <c r="F43" s="1151" t="s">
        <v>95</v>
      </c>
      <c r="G43" s="1152"/>
      <c r="H43" s="1153" t="s">
        <v>96</v>
      </c>
      <c r="I43" s="1153" t="s">
        <v>97</v>
      </c>
      <c r="J43" s="1140" t="s">
        <v>64</v>
      </c>
    </row>
    <row r="44" spans="1:13" ht="12.75" x14ac:dyDescent="0.25">
      <c r="A44" s="1147"/>
      <c r="B44" s="1148"/>
      <c r="C44" s="1148"/>
      <c r="D44" s="1148"/>
      <c r="E44" s="1150"/>
      <c r="F44" s="120" t="s">
        <v>21</v>
      </c>
      <c r="G44" s="120" t="s">
        <v>20</v>
      </c>
      <c r="H44" s="1153"/>
      <c r="I44" s="1153"/>
      <c r="J44" s="1141"/>
    </row>
    <row r="45" spans="1:13" x14ac:dyDescent="0.2">
      <c r="A45" s="49" t="str">
        <f>VLOOKUP(E45,tranp.!A4:J43,4,FALSE)</f>
        <v>0,676XP + 0,703XR</v>
      </c>
      <c r="B45" s="104"/>
      <c r="C45" s="104" t="s">
        <v>184</v>
      </c>
      <c r="D45" s="105"/>
      <c r="E45" s="106">
        <v>60013</v>
      </c>
      <c r="F45" s="61">
        <v>24</v>
      </c>
      <c r="G45" s="36">
        <v>0</v>
      </c>
      <c r="H45" s="36">
        <f>TRUNC(F45*K45+G45*L45+M45,2)</f>
        <v>16.22</v>
      </c>
      <c r="I45" s="62">
        <v>1.9E-3</v>
      </c>
      <c r="J45" s="36">
        <f>TRUNC(I45*H45,2)</f>
        <v>0.03</v>
      </c>
      <c r="K45" s="22">
        <f>VLOOKUP(E45,tranp.!$A$4:$K$21,5,FALSE)</f>
        <v>0.67600000000000005</v>
      </c>
      <c r="L45" s="22">
        <f>VLOOKUP(E45,tranp.!$A$4:$G$19,6,FALSE)</f>
        <v>0.70299999999999996</v>
      </c>
      <c r="M45" s="22">
        <f>VLOOKUP(E45,tranp.!$A$4:$G$19,7,FALSE)</f>
        <v>0</v>
      </c>
    </row>
    <row r="46" spans="1:13" x14ac:dyDescent="0.2">
      <c r="A46" s="107" t="str">
        <f>VLOOKUP(E46,tranp.!A5:J44,4,FALSE)</f>
        <v>0,676XP + 0,703XR</v>
      </c>
      <c r="B46" s="108"/>
      <c r="C46" s="108" t="s">
        <v>185</v>
      </c>
      <c r="D46" s="109"/>
      <c r="E46" s="118">
        <v>60013</v>
      </c>
      <c r="F46" s="54">
        <v>24</v>
      </c>
      <c r="G46" s="54">
        <v>0</v>
      </c>
      <c r="H46" s="36">
        <f>TRUNC(F46*K46+G46*L46+M46,2)</f>
        <v>16.22</v>
      </c>
      <c r="I46" s="63">
        <v>1.1999999999999999E-3</v>
      </c>
      <c r="J46" s="36">
        <f>TRUNC(I46*H46,2)</f>
        <v>0.01</v>
      </c>
      <c r="K46" s="22">
        <f>VLOOKUP(E46,tranp.!$A$4:$K$21,5,FALSE)</f>
        <v>0.67600000000000005</v>
      </c>
      <c r="L46" s="22">
        <f>VLOOKUP(E46,tranp.!$A$4:$G$19,6,FALSE)</f>
        <v>0.70299999999999996</v>
      </c>
      <c r="M46" s="22">
        <f>VLOOKUP(E46,tranp.!$A$4:$G$19,7,FALSE)</f>
        <v>0</v>
      </c>
    </row>
    <row r="47" spans="1:13" x14ac:dyDescent="0.2">
      <c r="A47" s="107" t="str">
        <f>VLOOKUP(E47,tranp.!A6:J45,4,FALSE)</f>
        <v>0,676XP + 0,703XR</v>
      </c>
      <c r="B47" s="108"/>
      <c r="C47" s="108" t="s">
        <v>186</v>
      </c>
      <c r="D47" s="109"/>
      <c r="E47" s="119">
        <v>60013</v>
      </c>
      <c r="F47" s="36">
        <v>24</v>
      </c>
      <c r="G47" s="36">
        <v>0</v>
      </c>
      <c r="H47" s="36">
        <f>TRUNC(F47*K47+G47*L47+M47,2)</f>
        <v>16.22</v>
      </c>
      <c r="I47" s="62">
        <v>7.6E-3</v>
      </c>
      <c r="J47" s="36">
        <f>TRUNC(I47*H47,2)</f>
        <v>0.12</v>
      </c>
      <c r="K47" s="22">
        <f>VLOOKUP(E47,tranp.!$A$4:$K$21,5,FALSE)</f>
        <v>0.67600000000000005</v>
      </c>
      <c r="L47" s="22">
        <f>VLOOKUP(E47,tranp.!$A$4:$G$19,6,FALSE)</f>
        <v>0.70299999999999996</v>
      </c>
      <c r="M47" s="22">
        <f>VLOOKUP(E47,tranp.!$A$4:$G$19,7,FALSE)</f>
        <v>0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ht="12.75" x14ac:dyDescent="0.25">
      <c r="A49" s="1142" t="s">
        <v>98</v>
      </c>
      <c r="B49" s="1143"/>
      <c r="C49" s="1143"/>
      <c r="D49" s="1143"/>
      <c r="E49" s="1143"/>
      <c r="F49" s="1143"/>
      <c r="G49" s="1143"/>
      <c r="H49" s="1143"/>
      <c r="I49" s="1144"/>
      <c r="J49" s="170">
        <f>SUM(J45:J48)</f>
        <v>0.16</v>
      </c>
    </row>
    <row r="50" spans="1:10" ht="12.75" x14ac:dyDescent="0.25">
      <c r="A50" s="1116" t="s">
        <v>99</v>
      </c>
      <c r="B50" s="1117"/>
      <c r="C50" s="1117"/>
      <c r="D50" s="1117"/>
      <c r="E50" s="1117"/>
      <c r="F50" s="1117"/>
      <c r="G50" s="171" t="s">
        <v>100</v>
      </c>
      <c r="H50" s="172"/>
      <c r="I50" s="173" t="s">
        <v>101</v>
      </c>
      <c r="J50" s="162">
        <f>J49+J42+J29</f>
        <v>50.08</v>
      </c>
    </row>
    <row r="51" spans="1:10" ht="12.75" x14ac:dyDescent="0.25">
      <c r="A51" s="1118" t="s">
        <v>102</v>
      </c>
      <c r="B51" s="1119"/>
      <c r="C51" s="1119"/>
      <c r="D51" s="1119"/>
      <c r="E51" s="1119"/>
      <c r="F51" s="1119"/>
      <c r="G51" s="174">
        <v>0.35</v>
      </c>
      <c r="H51" s="175"/>
      <c r="I51" s="176" t="s">
        <v>101</v>
      </c>
      <c r="J51" s="144">
        <f>+J50*G51</f>
        <v>17.53</v>
      </c>
    </row>
    <row r="52" spans="1:10" ht="12.75" x14ac:dyDescent="0.25">
      <c r="A52" s="1120" t="s">
        <v>103</v>
      </c>
      <c r="B52" s="1121"/>
      <c r="C52" s="1121"/>
      <c r="D52" s="1121"/>
      <c r="E52" s="1121"/>
      <c r="F52" s="1121"/>
      <c r="G52" s="177"/>
      <c r="H52" s="178"/>
      <c r="I52" s="179" t="s">
        <v>101</v>
      </c>
      <c r="J52" s="136">
        <f>+J51+J50</f>
        <v>67.61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4">
    <mergeCell ref="A1:J1"/>
    <mergeCell ref="A3:A4"/>
    <mergeCell ref="B3:H4"/>
    <mergeCell ref="I3:I4"/>
    <mergeCell ref="J3:J4"/>
    <mergeCell ref="J16:J17"/>
    <mergeCell ref="J5:J6"/>
    <mergeCell ref="A7:C7"/>
    <mergeCell ref="A8:C8"/>
    <mergeCell ref="A9:C9"/>
    <mergeCell ref="A14:C14"/>
    <mergeCell ref="A15:I15"/>
    <mergeCell ref="A5:C6"/>
    <mergeCell ref="D5:D6"/>
    <mergeCell ref="E5:E6"/>
    <mergeCell ref="F5:G5"/>
    <mergeCell ref="H5:I5"/>
    <mergeCell ref="A28:E28"/>
    <mergeCell ref="G28:I28"/>
    <mergeCell ref="A16:E17"/>
    <mergeCell ref="F16:F17"/>
    <mergeCell ref="G16:G17"/>
    <mergeCell ref="H16:H17"/>
    <mergeCell ref="I16:I17"/>
    <mergeCell ref="A18:E18"/>
    <mergeCell ref="A19:E19"/>
    <mergeCell ref="A20:E20"/>
    <mergeCell ref="A26:E26"/>
    <mergeCell ref="A27:I27"/>
    <mergeCell ref="A39:E39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ht="12.75" x14ac:dyDescent="0.25">
      <c r="A2" s="183" t="s">
        <v>71</v>
      </c>
      <c r="B2" s="172" t="s">
        <v>72</v>
      </c>
      <c r="C2" s="172"/>
      <c r="D2" s="172"/>
      <c r="E2" s="172"/>
      <c r="F2" s="172"/>
      <c r="G2" s="172"/>
      <c r="H2" s="172"/>
      <c r="I2" s="183" t="s">
        <v>73</v>
      </c>
      <c r="J2" s="183" t="s">
        <v>74</v>
      </c>
    </row>
    <row r="3" spans="1:10" x14ac:dyDescent="0.2">
      <c r="A3" s="1161">
        <v>40351</v>
      </c>
      <c r="B3" s="1163" t="s">
        <v>180</v>
      </c>
      <c r="C3" s="1164"/>
      <c r="D3" s="1164"/>
      <c r="E3" s="1164"/>
      <c r="F3" s="1164"/>
      <c r="G3" s="1164"/>
      <c r="H3" s="1165"/>
      <c r="I3" s="1169" t="s">
        <v>69</v>
      </c>
      <c r="J3" s="1170" t="s">
        <v>168</v>
      </c>
    </row>
    <row r="4" spans="1:10" x14ac:dyDescent="0.2">
      <c r="A4" s="1162"/>
      <c r="B4" s="1166"/>
      <c r="C4" s="1167"/>
      <c r="D4" s="1167"/>
      <c r="E4" s="1167"/>
      <c r="F4" s="1167"/>
      <c r="G4" s="1167"/>
      <c r="H4" s="1168"/>
      <c r="I4" s="1162"/>
      <c r="J4" s="1171"/>
    </row>
    <row r="5" spans="1:10" ht="12.75" x14ac:dyDescent="0.25">
      <c r="A5" s="1160" t="s">
        <v>75</v>
      </c>
      <c r="B5" s="1160"/>
      <c r="C5" s="1160"/>
      <c r="D5" s="1140" t="s">
        <v>60</v>
      </c>
      <c r="E5" s="1140" t="s">
        <v>76</v>
      </c>
      <c r="F5" s="1151" t="s">
        <v>77</v>
      </c>
      <c r="G5" s="1152"/>
      <c r="H5" s="1151" t="s">
        <v>78</v>
      </c>
      <c r="I5" s="1152"/>
      <c r="J5" s="1154" t="s">
        <v>79</v>
      </c>
    </row>
    <row r="6" spans="1:10" ht="12.75" x14ac:dyDescent="0.25">
      <c r="A6" s="1160"/>
      <c r="B6" s="1160"/>
      <c r="C6" s="1160"/>
      <c r="D6" s="1141"/>
      <c r="E6" s="1141"/>
      <c r="F6" s="120" t="s">
        <v>80</v>
      </c>
      <c r="G6" s="121" t="s">
        <v>81</v>
      </c>
      <c r="H6" s="120" t="s">
        <v>80</v>
      </c>
      <c r="I6" s="120" t="s">
        <v>81</v>
      </c>
      <c r="J6" s="1154"/>
    </row>
    <row r="7" spans="1:10" ht="12.75" x14ac:dyDescent="0.25">
      <c r="A7" s="1240"/>
      <c r="B7" s="1241"/>
      <c r="C7" s="1242"/>
      <c r="D7" s="122"/>
      <c r="E7" s="123"/>
      <c r="F7" s="123"/>
      <c r="G7" s="123"/>
      <c r="H7" s="123"/>
      <c r="I7" s="123"/>
      <c r="J7" s="123"/>
    </row>
    <row r="8" spans="1:10" ht="12.75" x14ac:dyDescent="0.25">
      <c r="A8" s="1131"/>
      <c r="B8" s="1132"/>
      <c r="C8" s="1133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131"/>
      <c r="B9" s="1132"/>
      <c r="C9" s="1133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142</v>
      </c>
      <c r="B10" s="126"/>
      <c r="C10" s="127"/>
      <c r="D10" s="122"/>
      <c r="E10" s="128">
        <v>0.05</v>
      </c>
      <c r="F10" s="123"/>
      <c r="G10" s="123"/>
      <c r="H10" s="123">
        <f>+J27</f>
        <v>4.41</v>
      </c>
      <c r="I10" s="123"/>
      <c r="J10" s="123">
        <f>TRUNC(H10*E10,2)</f>
        <v>0.22</v>
      </c>
    </row>
    <row r="11" spans="1:10" ht="12.75" x14ac:dyDescent="0.25">
      <c r="A11" s="1122"/>
      <c r="B11" s="1123"/>
      <c r="C11" s="1124"/>
      <c r="D11" s="124"/>
      <c r="E11" s="123"/>
      <c r="F11" s="123"/>
      <c r="G11" s="123"/>
      <c r="H11" s="123"/>
      <c r="I11" s="123"/>
      <c r="J11" s="123"/>
    </row>
    <row r="12" spans="1:10" ht="12.75" x14ac:dyDescent="0.25">
      <c r="A12" s="1122"/>
      <c r="B12" s="1123"/>
      <c r="C12" s="1124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1125"/>
      <c r="B14" s="1126"/>
      <c r="C14" s="1127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1128" t="s">
        <v>82</v>
      </c>
      <c r="B15" s="1129"/>
      <c r="C15" s="1129"/>
      <c r="D15" s="1129"/>
      <c r="E15" s="1129"/>
      <c r="F15" s="1129"/>
      <c r="G15" s="1129"/>
      <c r="H15" s="1129"/>
      <c r="I15" s="1130"/>
      <c r="J15" s="136">
        <f>SUM(J7:J14)</f>
        <v>0.22</v>
      </c>
    </row>
    <row r="16" spans="1:10" x14ac:dyDescent="0.2">
      <c r="A16" s="1145" t="s">
        <v>83</v>
      </c>
      <c r="B16" s="1146"/>
      <c r="C16" s="1146"/>
      <c r="D16" s="1146"/>
      <c r="E16" s="1158"/>
      <c r="F16" s="1140" t="s">
        <v>60</v>
      </c>
      <c r="G16" s="1140" t="s">
        <v>84</v>
      </c>
      <c r="H16" s="1140" t="s">
        <v>76</v>
      </c>
      <c r="I16" s="1154" t="s">
        <v>85</v>
      </c>
      <c r="J16" s="1140" t="s">
        <v>79</v>
      </c>
    </row>
    <row r="17" spans="1:10" x14ac:dyDescent="0.2">
      <c r="A17" s="1147"/>
      <c r="B17" s="1148"/>
      <c r="C17" s="1148"/>
      <c r="D17" s="1148"/>
      <c r="E17" s="1159"/>
      <c r="F17" s="1141"/>
      <c r="G17" s="1141"/>
      <c r="H17" s="1141"/>
      <c r="I17" s="1154"/>
      <c r="J17" s="1141"/>
    </row>
    <row r="18" spans="1:10" ht="12.75" x14ac:dyDescent="0.25">
      <c r="A18" s="1122" t="str">
        <f>VLOOKUP(F18,m.o.!A1:F153,2,FALSE)</f>
        <v>Ajudante de pedreiro O.A.C.</v>
      </c>
      <c r="B18" s="1123"/>
      <c r="C18" s="1123"/>
      <c r="D18" s="1123"/>
      <c r="E18" s="1124"/>
      <c r="F18" s="137">
        <v>20072</v>
      </c>
      <c r="G18" s="138"/>
      <c r="H18" s="123">
        <v>0.6</v>
      </c>
      <c r="I18" s="123">
        <f>VLOOKUP(F18,m.o.!A1:F128,5,FALSE)</f>
        <v>4.5599999999999996</v>
      </c>
      <c r="J18" s="123">
        <f>TRUNC(H18*I18,2)</f>
        <v>2.73</v>
      </c>
    </row>
    <row r="19" spans="1:10" ht="12.75" x14ac:dyDescent="0.25">
      <c r="A19" s="1122" t="str">
        <f>VLOOKUP(F19,m.o.!A2:F154,2,FALSE)</f>
        <v>Pedreiro de O.A.C.</v>
      </c>
      <c r="B19" s="1123"/>
      <c r="C19" s="1123"/>
      <c r="D19" s="1123"/>
      <c r="E19" s="1124"/>
      <c r="F19" s="137">
        <v>20109</v>
      </c>
      <c r="G19" s="138"/>
      <c r="H19" s="123">
        <v>0.3</v>
      </c>
      <c r="I19" s="123">
        <f>VLOOKUP(F19,m.o.!A2:F129,5,FALSE)</f>
        <v>5.61</v>
      </c>
      <c r="J19" s="123">
        <f>TRUNC(H19*I19,2)</f>
        <v>1.68</v>
      </c>
    </row>
    <row r="20" spans="1:10" ht="12.75" x14ac:dyDescent="0.25">
      <c r="A20" s="1122"/>
      <c r="B20" s="1123"/>
      <c r="C20" s="1123"/>
      <c r="D20" s="1123"/>
      <c r="E20" s="1124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1125"/>
      <c r="B26" s="1126"/>
      <c r="C26" s="1126"/>
      <c r="D26" s="1126"/>
      <c r="E26" s="1127"/>
      <c r="F26" s="134"/>
      <c r="G26" s="143"/>
      <c r="H26" s="135"/>
      <c r="I26" s="135"/>
      <c r="J26" s="123"/>
    </row>
    <row r="27" spans="1:10" ht="12.75" x14ac:dyDescent="0.25">
      <c r="A27" s="1128" t="s">
        <v>86</v>
      </c>
      <c r="B27" s="1129"/>
      <c r="C27" s="1129"/>
      <c r="D27" s="1129"/>
      <c r="E27" s="1129"/>
      <c r="F27" s="1129"/>
      <c r="G27" s="1129"/>
      <c r="H27" s="1129"/>
      <c r="I27" s="1130"/>
      <c r="J27" s="136">
        <f>ROUND(SUM(J18:J26),2)</f>
        <v>4.41</v>
      </c>
    </row>
    <row r="28" spans="1:10" ht="12.75" x14ac:dyDescent="0.25">
      <c r="A28" s="1155" t="s">
        <v>87</v>
      </c>
      <c r="B28" s="1156"/>
      <c r="C28" s="1156"/>
      <c r="D28" s="1156"/>
      <c r="E28" s="1156"/>
      <c r="F28" s="135">
        <v>0.83</v>
      </c>
      <c r="G28" s="1155" t="s">
        <v>88</v>
      </c>
      <c r="H28" s="1156"/>
      <c r="I28" s="1156"/>
      <c r="J28" s="144">
        <f>+J27+J15</f>
        <v>4.63</v>
      </c>
    </row>
    <row r="29" spans="1:10" ht="12.75" x14ac:dyDescent="0.25">
      <c r="A29" s="1120" t="s">
        <v>89</v>
      </c>
      <c r="B29" s="1121"/>
      <c r="C29" s="1121"/>
      <c r="D29" s="1121"/>
      <c r="E29" s="1121"/>
      <c r="F29" s="1121"/>
      <c r="G29" s="1121"/>
      <c r="H29" s="1121"/>
      <c r="I29" s="1157"/>
      <c r="J29" s="136">
        <f>TRUNC(J28/F28,2)</f>
        <v>5.57</v>
      </c>
    </row>
    <row r="30" spans="1:10" x14ac:dyDescent="0.2">
      <c r="A30" s="1134" t="s">
        <v>90</v>
      </c>
      <c r="B30" s="1135"/>
      <c r="C30" s="1135"/>
      <c r="D30" s="1135"/>
      <c r="E30" s="1136"/>
      <c r="F30" s="1140" t="s">
        <v>60</v>
      </c>
      <c r="G30" s="1140" t="s">
        <v>1</v>
      </c>
      <c r="H30" s="1154" t="s">
        <v>64</v>
      </c>
      <c r="I30" s="1140" t="s">
        <v>91</v>
      </c>
      <c r="J30" s="1140" t="s">
        <v>92</v>
      </c>
    </row>
    <row r="31" spans="1:10" x14ac:dyDescent="0.2">
      <c r="A31" s="1137"/>
      <c r="B31" s="1138"/>
      <c r="C31" s="1138"/>
      <c r="D31" s="1138"/>
      <c r="E31" s="1139"/>
      <c r="F31" s="1141"/>
      <c r="G31" s="1141"/>
      <c r="H31" s="1154"/>
      <c r="I31" s="1141"/>
      <c r="J31" s="1141"/>
    </row>
    <row r="32" spans="1:10" ht="12.75" x14ac:dyDescent="0.25">
      <c r="A32" s="1122" t="str">
        <f>VLOOKUP(F32,mat.!$A$3:$D$642,2,FALSE)</f>
        <v>Pedra de mao (incl. 0% IUM) s/ frete</v>
      </c>
      <c r="B32" s="1123"/>
      <c r="C32" s="1123"/>
      <c r="D32" s="1123"/>
      <c r="E32" s="1124"/>
      <c r="F32" s="137">
        <v>10121</v>
      </c>
      <c r="G32" s="145" t="str">
        <f>VLOOKUP(F32,mat.!$A$3:$D$638,3,FALSE)</f>
        <v>m3</v>
      </c>
      <c r="H32" s="145">
        <f>VLOOKUP(F32,mat.!$A$3:$E$638,4,FALSE)</f>
        <v>45.57</v>
      </c>
      <c r="I32" s="146">
        <v>0.3</v>
      </c>
      <c r="J32" s="123">
        <f>TRUNC(I32*H32,2)</f>
        <v>13.67</v>
      </c>
    </row>
    <row r="33" spans="1:13" ht="12.75" x14ac:dyDescent="0.25">
      <c r="A33" s="1122"/>
      <c r="B33" s="1123"/>
      <c r="C33" s="1123"/>
      <c r="D33" s="1123"/>
      <c r="E33" s="1124"/>
      <c r="F33" s="147"/>
      <c r="G33" s="145"/>
      <c r="H33" s="145"/>
      <c r="I33" s="146"/>
      <c r="J33" s="123"/>
    </row>
    <row r="34" spans="1:13" ht="12.75" x14ac:dyDescent="0.25">
      <c r="A34" s="1122"/>
      <c r="B34" s="1123"/>
      <c r="C34" s="1123"/>
      <c r="D34" s="1123"/>
      <c r="E34" s="1124"/>
      <c r="F34" s="147"/>
      <c r="G34" s="145"/>
      <c r="H34" s="145"/>
      <c r="I34" s="146"/>
      <c r="J34" s="123"/>
    </row>
    <row r="35" spans="1:13" ht="12.75" x14ac:dyDescent="0.25">
      <c r="A35" s="1122"/>
      <c r="B35" s="1123"/>
      <c r="C35" s="1123"/>
      <c r="D35" s="1123"/>
      <c r="E35" s="1124"/>
      <c r="F35" s="147"/>
      <c r="G35" s="145"/>
      <c r="H35" s="145"/>
      <c r="I35" s="146"/>
      <c r="J35" s="123"/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131" t="s">
        <v>181</v>
      </c>
      <c r="B38" s="1132"/>
      <c r="C38" s="1132"/>
      <c r="D38" s="1132"/>
      <c r="E38" s="1133"/>
      <c r="F38" s="148" t="s">
        <v>182</v>
      </c>
      <c r="G38" s="152" t="s">
        <v>69</v>
      </c>
      <c r="H38" s="145">
        <f>+'40358'!J50</f>
        <v>415.82</v>
      </c>
      <c r="I38" s="146">
        <v>0.7</v>
      </c>
      <c r="J38" s="123">
        <f>+I38*H38</f>
        <v>291.07</v>
      </c>
    </row>
    <row r="39" spans="1:13" ht="12.75" x14ac:dyDescent="0.25">
      <c r="A39" s="1122"/>
      <c r="B39" s="1123"/>
      <c r="C39" s="1123"/>
      <c r="D39" s="1123"/>
      <c r="E39" s="1124"/>
      <c r="F39" s="148"/>
      <c r="G39" s="152"/>
      <c r="H39" s="145"/>
      <c r="I39" s="146"/>
      <c r="J39" s="123"/>
    </row>
    <row r="40" spans="1:13" ht="12.75" x14ac:dyDescent="0.25">
      <c r="A40" s="1122"/>
      <c r="B40" s="1123"/>
      <c r="C40" s="1123"/>
      <c r="D40" s="1123"/>
      <c r="E40" s="1124"/>
      <c r="F40" s="148"/>
      <c r="G40" s="152"/>
      <c r="H40" s="145"/>
      <c r="I40" s="146"/>
      <c r="J40" s="123"/>
    </row>
    <row r="41" spans="1:13" ht="12.75" x14ac:dyDescent="0.25">
      <c r="A41" s="1125"/>
      <c r="B41" s="1126"/>
      <c r="C41" s="1126"/>
      <c r="D41" s="1126"/>
      <c r="E41" s="1127"/>
      <c r="F41" s="155"/>
      <c r="G41" s="156"/>
      <c r="H41" s="157"/>
      <c r="I41" s="146"/>
      <c r="J41" s="123"/>
    </row>
    <row r="42" spans="1:13" ht="12.75" x14ac:dyDescent="0.25">
      <c r="A42" s="1128" t="s">
        <v>93</v>
      </c>
      <c r="B42" s="1129"/>
      <c r="C42" s="1129"/>
      <c r="D42" s="1129"/>
      <c r="E42" s="1129"/>
      <c r="F42" s="1129"/>
      <c r="G42" s="1129"/>
      <c r="H42" s="1129"/>
      <c r="I42" s="1130"/>
      <c r="J42" s="136">
        <f>ROUND(SUM(J32:J41),2)</f>
        <v>304.74</v>
      </c>
    </row>
    <row r="43" spans="1:13" ht="12.75" x14ac:dyDescent="0.25">
      <c r="A43" s="1145" t="s">
        <v>94</v>
      </c>
      <c r="B43" s="1146"/>
      <c r="C43" s="1146"/>
      <c r="D43" s="1146"/>
      <c r="E43" s="1149" t="s">
        <v>60</v>
      </c>
      <c r="F43" s="1151" t="s">
        <v>95</v>
      </c>
      <c r="G43" s="1152"/>
      <c r="H43" s="1153" t="s">
        <v>96</v>
      </c>
      <c r="I43" s="1153" t="s">
        <v>97</v>
      </c>
      <c r="J43" s="1140" t="s">
        <v>64</v>
      </c>
    </row>
    <row r="44" spans="1:13" ht="12.75" x14ac:dyDescent="0.25">
      <c r="A44" s="1147"/>
      <c r="B44" s="1148"/>
      <c r="C44" s="1148"/>
      <c r="D44" s="1148"/>
      <c r="E44" s="1150"/>
      <c r="F44" s="120" t="s">
        <v>21</v>
      </c>
      <c r="G44" s="120" t="s">
        <v>20</v>
      </c>
      <c r="H44" s="1153"/>
      <c r="I44" s="1153"/>
      <c r="J44" s="1141"/>
    </row>
    <row r="45" spans="1:13" ht="12.75" x14ac:dyDescent="0.25">
      <c r="A45" s="158" t="str">
        <f>VLOOKUP(E45,tranp.!A4:J43,4,FALSE)</f>
        <v>0,681XP + 0,710XR + 2,841</v>
      </c>
      <c r="B45" s="159"/>
      <c r="C45" s="159" t="s">
        <v>115</v>
      </c>
      <c r="D45" s="160"/>
      <c r="E45" s="161">
        <v>60002</v>
      </c>
      <c r="F45" s="162">
        <v>24</v>
      </c>
      <c r="G45" s="123">
        <v>0</v>
      </c>
      <c r="H45" s="123">
        <f>TRUNC(F45*K45+G45*L45+M45,2)</f>
        <v>19.18</v>
      </c>
      <c r="I45" s="163">
        <v>1.8105</v>
      </c>
      <c r="J45" s="123">
        <f>TRUNC(I45*H45,2)</f>
        <v>34.72</v>
      </c>
      <c r="K45" s="22">
        <f>VLOOKUP(E45,tranp.!$A$4:$K$21,5,FALSE)</f>
        <v>0.68100000000000005</v>
      </c>
      <c r="L45" s="22">
        <f>VLOOKUP(E45,tranp.!$A$4:$G$19,6,FALSE)</f>
        <v>0.71</v>
      </c>
      <c r="M45" s="22">
        <f>VLOOKUP(E45,tranp.!$A$4:$G$19,7,FALSE)</f>
        <v>2.8410000000000002</v>
      </c>
    </row>
    <row r="46" spans="1:13" ht="12.75" x14ac:dyDescent="0.25">
      <c r="A46" s="139" t="str">
        <f>VLOOKUP(E46,tranp.!A5:J44,4,FALSE)</f>
        <v>0,676XP + 0,703XR</v>
      </c>
      <c r="B46" s="140"/>
      <c r="C46" s="140" t="s">
        <v>174</v>
      </c>
      <c r="D46" s="141"/>
      <c r="E46" s="164">
        <v>60013</v>
      </c>
      <c r="F46" s="145">
        <v>141</v>
      </c>
      <c r="G46" s="145">
        <v>0</v>
      </c>
      <c r="H46" s="123">
        <f>TRUNC(F46*K46+G46*L46+M46,2)</f>
        <v>95.31</v>
      </c>
      <c r="I46" s="165">
        <v>0.36749999999999999</v>
      </c>
      <c r="J46" s="145">
        <f>+I46*H46</f>
        <v>35.03</v>
      </c>
      <c r="K46" s="22">
        <f>VLOOKUP(E46,tranp.!$A$4:$K$21,5,FALSE)</f>
        <v>0.67600000000000005</v>
      </c>
      <c r="L46" s="22">
        <f>VLOOKUP(E46,tranp.!$A$4:$G$19,6,FALSE)</f>
        <v>0.70299999999999996</v>
      </c>
      <c r="M46" s="22">
        <f>VLOOKUP(E46,tranp.!$A$4:$G$19,7,FALSE)</f>
        <v>0</v>
      </c>
    </row>
    <row r="47" spans="1:13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3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142" t="s">
        <v>98</v>
      </c>
      <c r="B49" s="1143"/>
      <c r="C49" s="1143"/>
      <c r="D49" s="1143"/>
      <c r="E49" s="1143"/>
      <c r="F49" s="1143"/>
      <c r="G49" s="1143"/>
      <c r="H49" s="1143"/>
      <c r="I49" s="1144"/>
      <c r="J49" s="170">
        <f>SUM(J45:J48)</f>
        <v>69.75</v>
      </c>
    </row>
    <row r="50" spans="1:10" ht="12.75" x14ac:dyDescent="0.25">
      <c r="A50" s="1116" t="s">
        <v>99</v>
      </c>
      <c r="B50" s="1117"/>
      <c r="C50" s="1117"/>
      <c r="D50" s="1117"/>
      <c r="E50" s="1117"/>
      <c r="F50" s="1117"/>
      <c r="G50" s="171" t="s">
        <v>100</v>
      </c>
      <c r="H50" s="172"/>
      <c r="I50" s="173" t="s">
        <v>101</v>
      </c>
      <c r="J50" s="162">
        <f>J49+J42+J29</f>
        <v>380.06</v>
      </c>
    </row>
    <row r="51" spans="1:10" ht="12.75" x14ac:dyDescent="0.25">
      <c r="A51" s="1118" t="s">
        <v>102</v>
      </c>
      <c r="B51" s="1119"/>
      <c r="C51" s="1119"/>
      <c r="D51" s="1119"/>
      <c r="E51" s="1119"/>
      <c r="F51" s="1119"/>
      <c r="G51" s="174">
        <v>0.35</v>
      </c>
      <c r="H51" s="175"/>
      <c r="I51" s="176" t="s">
        <v>101</v>
      </c>
      <c r="J51" s="144">
        <f>+J50*G51</f>
        <v>133.02000000000001</v>
      </c>
    </row>
    <row r="52" spans="1:10" ht="12.75" x14ac:dyDescent="0.25">
      <c r="A52" s="1120" t="s">
        <v>103</v>
      </c>
      <c r="B52" s="1121"/>
      <c r="C52" s="1121"/>
      <c r="D52" s="1121"/>
      <c r="E52" s="1121"/>
      <c r="F52" s="1121"/>
      <c r="G52" s="177"/>
      <c r="H52" s="178"/>
      <c r="I52" s="179" t="s">
        <v>101</v>
      </c>
      <c r="J52" s="136">
        <f>+J51+J50</f>
        <v>513.08000000000004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7"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  <mergeCell ref="A27:I27"/>
    <mergeCell ref="A14:C1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38:E38"/>
    <mergeCell ref="A40:E40"/>
    <mergeCell ref="A41:E41"/>
    <mergeCell ref="A42:I42"/>
    <mergeCell ref="A43:D44"/>
    <mergeCell ref="E43:E44"/>
    <mergeCell ref="F43:G43"/>
    <mergeCell ref="H43:H44"/>
    <mergeCell ref="I43:I44"/>
    <mergeCell ref="A39:E39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213" t="s">
        <v>70</v>
      </c>
      <c r="B1" s="1214"/>
      <c r="C1" s="1214"/>
      <c r="D1" s="1214"/>
      <c r="E1" s="1214"/>
      <c r="F1" s="1214"/>
      <c r="G1" s="1214"/>
      <c r="H1" s="1214"/>
      <c r="I1" s="1214"/>
      <c r="J1" s="1215"/>
    </row>
    <row r="2" spans="1:10" x14ac:dyDescent="0.2">
      <c r="A2" s="32" t="s">
        <v>71</v>
      </c>
      <c r="B2" s="25" t="s">
        <v>72</v>
      </c>
      <c r="C2" s="25"/>
      <c r="D2" s="25"/>
      <c r="E2" s="25"/>
      <c r="F2" s="25"/>
      <c r="G2" s="25"/>
      <c r="H2" s="25"/>
      <c r="I2" s="32" t="s">
        <v>73</v>
      </c>
      <c r="J2" s="32" t="s">
        <v>74</v>
      </c>
    </row>
    <row r="3" spans="1:10" x14ac:dyDescent="0.2">
      <c r="A3" s="1216">
        <v>40358</v>
      </c>
      <c r="B3" s="1218" t="s">
        <v>181</v>
      </c>
      <c r="C3" s="1219"/>
      <c r="D3" s="1219"/>
      <c r="E3" s="1219"/>
      <c r="F3" s="1219"/>
      <c r="G3" s="1219"/>
      <c r="H3" s="1220"/>
      <c r="I3" s="1224" t="s">
        <v>69</v>
      </c>
      <c r="J3" s="1225" t="s">
        <v>168</v>
      </c>
    </row>
    <row r="4" spans="1:10" x14ac:dyDescent="0.2">
      <c r="A4" s="1217"/>
      <c r="B4" s="1221"/>
      <c r="C4" s="1222"/>
      <c r="D4" s="1222"/>
      <c r="E4" s="1222"/>
      <c r="F4" s="1222"/>
      <c r="G4" s="1222"/>
      <c r="H4" s="1223"/>
      <c r="I4" s="1217"/>
      <c r="J4" s="1226"/>
    </row>
    <row r="5" spans="1:10" ht="12.75" x14ac:dyDescent="0.25">
      <c r="A5" s="1160" t="s">
        <v>75</v>
      </c>
      <c r="B5" s="1160"/>
      <c r="C5" s="1160"/>
      <c r="D5" s="1140" t="s">
        <v>60</v>
      </c>
      <c r="E5" s="1140" t="s">
        <v>76</v>
      </c>
      <c r="F5" s="1151" t="s">
        <v>77</v>
      </c>
      <c r="G5" s="1152"/>
      <c r="H5" s="1151" t="s">
        <v>78</v>
      </c>
      <c r="I5" s="1152"/>
      <c r="J5" s="1154" t="s">
        <v>79</v>
      </c>
    </row>
    <row r="6" spans="1:10" ht="12.75" x14ac:dyDescent="0.25">
      <c r="A6" s="1160"/>
      <c r="B6" s="1160"/>
      <c r="C6" s="1160"/>
      <c r="D6" s="1141"/>
      <c r="E6" s="1141"/>
      <c r="F6" s="120" t="s">
        <v>80</v>
      </c>
      <c r="G6" s="121" t="s">
        <v>81</v>
      </c>
      <c r="H6" s="120" t="s">
        <v>80</v>
      </c>
      <c r="I6" s="120" t="s">
        <v>81</v>
      </c>
      <c r="J6" s="1154"/>
    </row>
    <row r="7" spans="1:10" ht="12.75" customHeight="1" x14ac:dyDescent="0.2">
      <c r="A7" s="1237" t="str">
        <f>VLOOKUP(D7,equip.!A1:G154,2,FALSE)</f>
        <v>Betoneira 600 l com carregador (elétrica)</v>
      </c>
      <c r="B7" s="1238"/>
      <c r="C7" s="1239"/>
      <c r="D7" s="35">
        <v>30070</v>
      </c>
      <c r="E7" s="36">
        <v>1</v>
      </c>
      <c r="F7" s="36">
        <v>1</v>
      </c>
      <c r="G7" s="36">
        <v>0</v>
      </c>
      <c r="H7" s="36">
        <f>VLOOKUP(D7,equip.!A1:G130,6,FALSE)</f>
        <v>24.55</v>
      </c>
      <c r="I7" s="36">
        <f>VLOOKUP(D7,equip.!A1:AB130,7,FALSE)</f>
        <v>19.8</v>
      </c>
      <c r="J7" s="36">
        <f>TRUNC(E7*F7*H7+E7*G7*I7,2)</f>
        <v>24.55</v>
      </c>
    </row>
    <row r="8" spans="1:10" x14ac:dyDescent="0.2">
      <c r="A8" s="1234" t="str">
        <f>VLOOKUP(D8,equip.!A2:G155,2,FALSE)</f>
        <v>Carrinho de mão</v>
      </c>
      <c r="B8" s="1235"/>
      <c r="C8" s="1236"/>
      <c r="D8" s="35">
        <v>30076</v>
      </c>
      <c r="E8" s="36">
        <v>3</v>
      </c>
      <c r="F8" s="36">
        <v>1</v>
      </c>
      <c r="G8" s="36">
        <v>0</v>
      </c>
      <c r="H8" s="36">
        <f>VLOOKUP(D8,equip.!A2:G131,6,FALSE)</f>
        <v>0.18</v>
      </c>
      <c r="I8" s="36">
        <f>VLOOKUP(D8,equip.!A2:AB131,7,FALSE)</f>
        <v>0.12</v>
      </c>
      <c r="J8" s="36">
        <f>TRUNC(E8*F8*H8+E8*G8*I8,2)</f>
        <v>0.54</v>
      </c>
    </row>
    <row r="9" spans="1:10" x14ac:dyDescent="0.2">
      <c r="A9" s="1234" t="str">
        <f>VLOOKUP(D9,equip.!A3:G156,2,FALSE)</f>
        <v>Vibrador de imersao AA67 c/ mangote, marca de referência ATLAS COPCO ou equivalente</v>
      </c>
      <c r="B9" s="1235"/>
      <c r="C9" s="1236"/>
      <c r="D9" s="35">
        <v>30071</v>
      </c>
      <c r="E9" s="36">
        <v>2</v>
      </c>
      <c r="F9" s="36">
        <v>1</v>
      </c>
      <c r="G9" s="36">
        <v>0</v>
      </c>
      <c r="H9" s="36">
        <f>VLOOKUP(D9,equip.!A3:G132,6,FALSE)</f>
        <v>15.14</v>
      </c>
      <c r="I9" s="36">
        <f>VLOOKUP(D9,equip.!A3:AB132,7,FALSE)</f>
        <v>12.3</v>
      </c>
      <c r="J9" s="36">
        <f>TRUNC(E9*F9*H9+E9*G9*I9,2)</f>
        <v>30.28</v>
      </c>
    </row>
    <row r="10" spans="1:10" x14ac:dyDescent="0.2">
      <c r="A10" s="99"/>
      <c r="B10" s="100"/>
      <c r="C10" s="101"/>
      <c r="D10" s="35"/>
      <c r="E10" s="36"/>
      <c r="F10" s="36"/>
      <c r="G10" s="36"/>
      <c r="H10" s="36"/>
      <c r="I10" s="36"/>
      <c r="J10" s="36"/>
    </row>
    <row r="11" spans="1:10" x14ac:dyDescent="0.2">
      <c r="A11" s="99"/>
      <c r="B11" s="100"/>
      <c r="C11" s="101"/>
      <c r="D11" s="35"/>
      <c r="E11" s="36"/>
      <c r="F11" s="36"/>
      <c r="G11" s="36"/>
      <c r="H11" s="36"/>
      <c r="I11" s="36"/>
      <c r="J11" s="36"/>
    </row>
    <row r="12" spans="1:10" x14ac:dyDescent="0.2">
      <c r="A12" s="99"/>
      <c r="B12" s="100"/>
      <c r="C12" s="101"/>
      <c r="D12" s="35"/>
      <c r="E12" s="36"/>
      <c r="F12" s="36"/>
      <c r="G12" s="36"/>
      <c r="H12" s="36"/>
      <c r="I12" s="36"/>
      <c r="J12" s="36"/>
    </row>
    <row r="13" spans="1:10" ht="12.75" x14ac:dyDescent="0.25">
      <c r="A13" s="125" t="s">
        <v>142</v>
      </c>
      <c r="B13" s="126"/>
      <c r="C13" s="127"/>
      <c r="D13" s="122"/>
      <c r="E13" s="128">
        <v>0.05</v>
      </c>
      <c r="F13" s="123"/>
      <c r="G13" s="123"/>
      <c r="H13" s="123">
        <f>+J27</f>
        <v>67.540000000000006</v>
      </c>
      <c r="I13" s="123"/>
      <c r="J13" s="123">
        <f>TRUNC(H13*E13,2)</f>
        <v>3.37</v>
      </c>
    </row>
    <row r="14" spans="1:10" ht="12.75" x14ac:dyDescent="0.25">
      <c r="A14" s="1122"/>
      <c r="B14" s="1123"/>
      <c r="C14" s="1124"/>
      <c r="D14" s="124"/>
      <c r="E14" s="123"/>
      <c r="F14" s="123"/>
      <c r="G14" s="123"/>
      <c r="H14" s="123"/>
      <c r="I14" s="123"/>
      <c r="J14" s="123"/>
    </row>
    <row r="15" spans="1:10" ht="12.75" x14ac:dyDescent="0.25">
      <c r="A15" s="1128" t="s">
        <v>82</v>
      </c>
      <c r="B15" s="1129"/>
      <c r="C15" s="1129"/>
      <c r="D15" s="1129"/>
      <c r="E15" s="1129"/>
      <c r="F15" s="1129"/>
      <c r="G15" s="1129"/>
      <c r="H15" s="1129"/>
      <c r="I15" s="1130"/>
      <c r="J15" s="136">
        <f>SUM(J7:J14)</f>
        <v>58.74</v>
      </c>
    </row>
    <row r="16" spans="1:10" x14ac:dyDescent="0.2">
      <c r="A16" s="1145" t="s">
        <v>83</v>
      </c>
      <c r="B16" s="1146"/>
      <c r="C16" s="1146"/>
      <c r="D16" s="1146"/>
      <c r="E16" s="1158"/>
      <c r="F16" s="1140" t="s">
        <v>60</v>
      </c>
      <c r="G16" s="1140" t="s">
        <v>84</v>
      </c>
      <c r="H16" s="1140" t="s">
        <v>76</v>
      </c>
      <c r="I16" s="1154" t="s">
        <v>85</v>
      </c>
      <c r="J16" s="1140" t="s">
        <v>79</v>
      </c>
    </row>
    <row r="17" spans="1:10" x14ac:dyDescent="0.2">
      <c r="A17" s="1147"/>
      <c r="B17" s="1148"/>
      <c r="C17" s="1148"/>
      <c r="D17" s="1148"/>
      <c r="E17" s="1159"/>
      <c r="F17" s="1141"/>
      <c r="G17" s="1141"/>
      <c r="H17" s="1141"/>
      <c r="I17" s="1154"/>
      <c r="J17" s="1141"/>
    </row>
    <row r="18" spans="1:10" ht="12.75" x14ac:dyDescent="0.25">
      <c r="A18" s="1122" t="str">
        <f>VLOOKUP(F18,m.o.!A1:F153,2,FALSE)</f>
        <v>Encarregado de O.A.C.</v>
      </c>
      <c r="B18" s="1123"/>
      <c r="C18" s="1123"/>
      <c r="D18" s="1123"/>
      <c r="E18" s="1124"/>
      <c r="F18" s="137">
        <v>20060</v>
      </c>
      <c r="G18" s="138"/>
      <c r="H18" s="123">
        <v>1</v>
      </c>
      <c r="I18" s="123">
        <f>VLOOKUP(F18,m.o.!A1:F128,5,FALSE)</f>
        <v>10.220000000000001</v>
      </c>
      <c r="J18" s="123">
        <f>TRUNC(H18*I18,2)</f>
        <v>10.220000000000001</v>
      </c>
    </row>
    <row r="19" spans="1:10" ht="12.75" x14ac:dyDescent="0.25">
      <c r="A19" s="1122" t="str">
        <f>VLOOKUP(F19,m.o.!A2:F154,2,FALSE)</f>
        <v>Operário braçal</v>
      </c>
      <c r="B19" s="1123"/>
      <c r="C19" s="1123"/>
      <c r="D19" s="1123"/>
      <c r="E19" s="1124"/>
      <c r="F19" s="137">
        <v>20107</v>
      </c>
      <c r="G19" s="138"/>
      <c r="H19" s="123">
        <v>10</v>
      </c>
      <c r="I19" s="123">
        <f>VLOOKUP(F19,m.o.!A2:F129,5,FALSE)</f>
        <v>4.6100000000000003</v>
      </c>
      <c r="J19" s="123">
        <f>TRUNC(H19*I19,2)</f>
        <v>46.1</v>
      </c>
    </row>
    <row r="20" spans="1:10" ht="12.75" x14ac:dyDescent="0.25">
      <c r="A20" s="1122" t="str">
        <f>VLOOKUP(F20,m.o.!A4:F155,2,FALSE)</f>
        <v>Pedreiro de O.A.C.</v>
      </c>
      <c r="B20" s="1123"/>
      <c r="C20" s="1123"/>
      <c r="D20" s="1123"/>
      <c r="E20" s="1124"/>
      <c r="F20" s="137">
        <v>20109</v>
      </c>
      <c r="G20" s="138"/>
      <c r="H20" s="123">
        <v>2</v>
      </c>
      <c r="I20" s="123">
        <f>VLOOKUP(F20,m.o.!A4:F130,5,FALSE)</f>
        <v>5.61</v>
      </c>
      <c r="J20" s="123">
        <f>TRUNC(H20*I20,2)</f>
        <v>11.22</v>
      </c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1125"/>
      <c r="B26" s="1126"/>
      <c r="C26" s="1126"/>
      <c r="D26" s="1126"/>
      <c r="E26" s="1127"/>
      <c r="F26" s="134"/>
      <c r="G26" s="143"/>
      <c r="H26" s="135"/>
      <c r="I26" s="135"/>
      <c r="J26" s="123"/>
    </row>
    <row r="27" spans="1:10" ht="12.75" x14ac:dyDescent="0.25">
      <c r="A27" s="1128" t="s">
        <v>86</v>
      </c>
      <c r="B27" s="1129"/>
      <c r="C27" s="1129"/>
      <c r="D27" s="1129"/>
      <c r="E27" s="1129"/>
      <c r="F27" s="1129"/>
      <c r="G27" s="1129"/>
      <c r="H27" s="1129"/>
      <c r="I27" s="1130"/>
      <c r="J27" s="136">
        <f>ROUND(SUM(J18:J26),2)</f>
        <v>67.540000000000006</v>
      </c>
    </row>
    <row r="28" spans="1:10" ht="12.75" x14ac:dyDescent="0.25">
      <c r="A28" s="1155" t="s">
        <v>87</v>
      </c>
      <c r="B28" s="1156"/>
      <c r="C28" s="1156"/>
      <c r="D28" s="1156"/>
      <c r="E28" s="1156"/>
      <c r="F28" s="135">
        <v>1</v>
      </c>
      <c r="G28" s="1155" t="s">
        <v>88</v>
      </c>
      <c r="H28" s="1156"/>
      <c r="I28" s="1156"/>
      <c r="J28" s="144">
        <f>+J27+J15</f>
        <v>126.28</v>
      </c>
    </row>
    <row r="29" spans="1:10" ht="12.75" x14ac:dyDescent="0.25">
      <c r="A29" s="1120" t="s">
        <v>89</v>
      </c>
      <c r="B29" s="1121"/>
      <c r="C29" s="1121"/>
      <c r="D29" s="1121"/>
      <c r="E29" s="1121"/>
      <c r="F29" s="1121"/>
      <c r="G29" s="1121"/>
      <c r="H29" s="1121"/>
      <c r="I29" s="1157"/>
      <c r="J29" s="136">
        <f>TRUNC(J28/F28,2)</f>
        <v>126.28</v>
      </c>
    </row>
    <row r="30" spans="1:10" x14ac:dyDescent="0.2">
      <c r="A30" s="1134" t="s">
        <v>90</v>
      </c>
      <c r="B30" s="1135"/>
      <c r="C30" s="1135"/>
      <c r="D30" s="1135"/>
      <c r="E30" s="1136"/>
      <c r="F30" s="1140" t="s">
        <v>60</v>
      </c>
      <c r="G30" s="1140" t="s">
        <v>1</v>
      </c>
      <c r="H30" s="1154" t="s">
        <v>64</v>
      </c>
      <c r="I30" s="1140" t="s">
        <v>91</v>
      </c>
      <c r="J30" s="1140" t="s">
        <v>92</v>
      </c>
    </row>
    <row r="31" spans="1:10" x14ac:dyDescent="0.2">
      <c r="A31" s="1137"/>
      <c r="B31" s="1138"/>
      <c r="C31" s="1138"/>
      <c r="D31" s="1138"/>
      <c r="E31" s="1139"/>
      <c r="F31" s="1141"/>
      <c r="G31" s="1141"/>
      <c r="H31" s="1154"/>
      <c r="I31" s="1141"/>
      <c r="J31" s="1141"/>
    </row>
    <row r="32" spans="1:10" ht="12.75" x14ac:dyDescent="0.25">
      <c r="A32" s="1122" t="str">
        <f>VLOOKUP(F32,mat.!$A$3:$D$642,2,FALSE)</f>
        <v>Areia grossa jazida com carregamento mecânico</v>
      </c>
      <c r="B32" s="1123"/>
      <c r="C32" s="1123"/>
      <c r="D32" s="1123"/>
      <c r="E32" s="1124"/>
      <c r="F32" s="137">
        <v>10109</v>
      </c>
      <c r="G32" s="145" t="str">
        <f>VLOOKUP(F32,mat.!$A$3:$D$638,3,FALSE)</f>
        <v>m3</v>
      </c>
      <c r="H32" s="145">
        <f>VLOOKUP(F32,mat.!$A$3:$E$638,4,FALSE)</f>
        <v>64.22</v>
      </c>
      <c r="I32" s="146">
        <v>0.64470000000000005</v>
      </c>
      <c r="J32" s="123">
        <f>TRUNC(I32*H32,2)</f>
        <v>41.4</v>
      </c>
    </row>
    <row r="33" spans="1:13" ht="12.75" x14ac:dyDescent="0.25">
      <c r="A33" s="1122" t="str">
        <f>VLOOKUP(F33,mat.!$A$3:$D$642,2,FALSE)</f>
        <v>Cimento CP III</v>
      </c>
      <c r="B33" s="1123"/>
      <c r="C33" s="1123"/>
      <c r="D33" s="1123"/>
      <c r="E33" s="1124"/>
      <c r="F33" s="147">
        <v>10092</v>
      </c>
      <c r="G33" s="145" t="str">
        <f>VLOOKUP(F33,mat.!$A$3:$D$638,3,FALSE)</f>
        <v>kg</v>
      </c>
      <c r="H33" s="145">
        <f>VLOOKUP(F33,mat.!$A$3:$E$638,4,FALSE)</f>
        <v>0.38</v>
      </c>
      <c r="I33" s="146">
        <v>357</v>
      </c>
      <c r="J33" s="123">
        <f>TRUNC(I33*H33,2)</f>
        <v>135.66</v>
      </c>
    </row>
    <row r="34" spans="1:13" ht="12.75" x14ac:dyDescent="0.25">
      <c r="A34" s="1122" t="str">
        <f>VLOOKUP(F34,mat.!$A$3:$D$642,2,FALSE)</f>
        <v>Pedra britada p/ concreto, sem frete</v>
      </c>
      <c r="B34" s="1123"/>
      <c r="C34" s="1123"/>
      <c r="D34" s="1123"/>
      <c r="E34" s="1124"/>
      <c r="F34" s="147">
        <v>10125</v>
      </c>
      <c r="G34" s="145" t="str">
        <f>VLOOKUP(F34,mat.!$A$3:$D$638,3,FALSE)</f>
        <v>m3</v>
      </c>
      <c r="H34" s="145">
        <f>VLOOKUP(F34,mat.!$A$3:$E$638,4,FALSE)</f>
        <v>60.76</v>
      </c>
      <c r="I34" s="146">
        <v>0.77700000000000002</v>
      </c>
      <c r="J34" s="123">
        <f>TRUNC(I34*H34,2)</f>
        <v>47.21</v>
      </c>
    </row>
    <row r="35" spans="1:13" ht="12.75" x14ac:dyDescent="0.25">
      <c r="A35" s="1122"/>
      <c r="B35" s="1123"/>
      <c r="C35" s="1123"/>
      <c r="D35" s="1123"/>
      <c r="E35" s="1124"/>
      <c r="F35" s="147"/>
      <c r="G35" s="145"/>
      <c r="H35" s="145"/>
      <c r="I35" s="146"/>
      <c r="J35" s="123"/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3" ht="12.75" x14ac:dyDescent="0.25">
      <c r="A39" s="1122"/>
      <c r="B39" s="1123"/>
      <c r="C39" s="1123"/>
      <c r="D39" s="1123"/>
      <c r="E39" s="1124"/>
      <c r="F39" s="148"/>
      <c r="G39" s="152"/>
      <c r="H39" s="145"/>
      <c r="I39" s="146"/>
      <c r="J39" s="123"/>
    </row>
    <row r="40" spans="1:13" ht="12.75" x14ac:dyDescent="0.25">
      <c r="A40" s="1122"/>
      <c r="B40" s="1123"/>
      <c r="C40" s="1123"/>
      <c r="D40" s="1123"/>
      <c r="E40" s="1124"/>
      <c r="F40" s="148"/>
      <c r="G40" s="152"/>
      <c r="H40" s="145"/>
      <c r="I40" s="146"/>
      <c r="J40" s="123"/>
    </row>
    <row r="41" spans="1:13" ht="12.75" x14ac:dyDescent="0.25">
      <c r="A41" s="1125"/>
      <c r="B41" s="1126"/>
      <c r="C41" s="1126"/>
      <c r="D41" s="1126"/>
      <c r="E41" s="1127"/>
      <c r="F41" s="155"/>
      <c r="G41" s="156"/>
      <c r="H41" s="157"/>
      <c r="I41" s="146"/>
      <c r="J41" s="123"/>
    </row>
    <row r="42" spans="1:13" ht="12.75" x14ac:dyDescent="0.25">
      <c r="A42" s="1128" t="s">
        <v>93</v>
      </c>
      <c r="B42" s="1129"/>
      <c r="C42" s="1129"/>
      <c r="D42" s="1129"/>
      <c r="E42" s="1129"/>
      <c r="F42" s="1129"/>
      <c r="G42" s="1129"/>
      <c r="H42" s="1129"/>
      <c r="I42" s="1130"/>
      <c r="J42" s="136">
        <f>ROUND(SUM(J32:J41),2)</f>
        <v>224.27</v>
      </c>
    </row>
    <row r="43" spans="1:13" ht="12.75" x14ac:dyDescent="0.25">
      <c r="A43" s="1145" t="s">
        <v>94</v>
      </c>
      <c r="B43" s="1146"/>
      <c r="C43" s="1146"/>
      <c r="D43" s="1146"/>
      <c r="E43" s="1149" t="s">
        <v>60</v>
      </c>
      <c r="F43" s="1151" t="s">
        <v>95</v>
      </c>
      <c r="G43" s="1152"/>
      <c r="H43" s="1153" t="s">
        <v>96</v>
      </c>
      <c r="I43" s="1153" t="s">
        <v>97</v>
      </c>
      <c r="J43" s="1140" t="s">
        <v>64</v>
      </c>
    </row>
    <row r="44" spans="1:13" ht="12.75" x14ac:dyDescent="0.25">
      <c r="A44" s="1147"/>
      <c r="B44" s="1148"/>
      <c r="C44" s="1148"/>
      <c r="D44" s="1148"/>
      <c r="E44" s="1150"/>
      <c r="F44" s="120" t="s">
        <v>21</v>
      </c>
      <c r="G44" s="120" t="s">
        <v>20</v>
      </c>
      <c r="H44" s="1153"/>
      <c r="I44" s="1153"/>
      <c r="J44" s="1141"/>
    </row>
    <row r="45" spans="1:13" x14ac:dyDescent="0.2">
      <c r="A45" s="49" t="str">
        <f>VLOOKUP(E45,tranp.!A4:J43,4,FALSE)</f>
        <v>0,681XP + 0,710XR + 2,841</v>
      </c>
      <c r="B45" s="104"/>
      <c r="C45" s="104" t="s">
        <v>115</v>
      </c>
      <c r="D45" s="105"/>
      <c r="E45" s="106">
        <v>60002</v>
      </c>
      <c r="F45" s="61">
        <v>28</v>
      </c>
      <c r="G45" s="36">
        <v>0</v>
      </c>
      <c r="H45" s="36">
        <f>TRUNC(F45*K45+G45*L45+M45,2)</f>
        <v>21.9</v>
      </c>
      <c r="I45" s="62">
        <v>0.96709999999999996</v>
      </c>
      <c r="J45" s="36">
        <f>TRUNC(I45*H45,2)</f>
        <v>21.17</v>
      </c>
      <c r="K45" s="22">
        <f>VLOOKUP(E45,tranp.!$A$4:$K$21,5,FALSE)</f>
        <v>0.68100000000000005</v>
      </c>
      <c r="L45" s="22">
        <f>VLOOKUP(E45,tranp.!$A$4:$G$19,6,FALSE)</f>
        <v>0.71</v>
      </c>
      <c r="M45" s="22">
        <f>VLOOKUP(E45,tranp.!$A$4:$G$19,7,FALSE)</f>
        <v>2.8410000000000002</v>
      </c>
    </row>
    <row r="46" spans="1:13" x14ac:dyDescent="0.2">
      <c r="A46" s="107" t="str">
        <f>VLOOKUP(E46,tranp.!A5:J44,4,FALSE)</f>
        <v>0,676XP + 0,703XR</v>
      </c>
      <c r="B46" s="108"/>
      <c r="C46" s="108" t="s">
        <v>174</v>
      </c>
      <c r="D46" s="109"/>
      <c r="E46" s="118">
        <v>60013</v>
      </c>
      <c r="F46" s="54">
        <v>141</v>
      </c>
      <c r="G46" s="54">
        <v>0</v>
      </c>
      <c r="H46" s="36">
        <f>TRUNC(F46*K46+G46*L46+M46,2)</f>
        <v>95.31</v>
      </c>
      <c r="I46" s="63">
        <v>0.35699999999999998</v>
      </c>
      <c r="J46" s="36">
        <f>TRUNC(I46*H46,2)</f>
        <v>34.020000000000003</v>
      </c>
      <c r="K46" s="22">
        <f>VLOOKUP(E46,tranp.!$A$4:$K$21,5,FALSE)</f>
        <v>0.67600000000000005</v>
      </c>
      <c r="L46" s="22">
        <f>VLOOKUP(E46,tranp.!$A$4:$G$19,6,FALSE)</f>
        <v>0.70299999999999996</v>
      </c>
      <c r="M46" s="22">
        <f>VLOOKUP(E46,tranp.!$A$4:$G$19,7,FALSE)</f>
        <v>0</v>
      </c>
    </row>
    <row r="47" spans="1:13" x14ac:dyDescent="0.2">
      <c r="A47" s="107" t="str">
        <f>VLOOKUP(E47,tranp.!A6:J45,4,FALSE)</f>
        <v>0,681XP + 0,710XR + 2,841</v>
      </c>
      <c r="B47" s="108"/>
      <c r="C47" s="108" t="s">
        <v>175</v>
      </c>
      <c r="D47" s="109"/>
      <c r="E47" s="119">
        <v>60002</v>
      </c>
      <c r="F47" s="36">
        <v>7.5</v>
      </c>
      <c r="G47" s="36">
        <v>1</v>
      </c>
      <c r="H47" s="36">
        <f>TRUNC(F47*K47+G47*L47+M47,2)</f>
        <v>8.65</v>
      </c>
      <c r="I47" s="62">
        <v>1.1655</v>
      </c>
      <c r="J47" s="36">
        <f>TRUNC(I47*H47,2)</f>
        <v>10.08</v>
      </c>
      <c r="K47" s="22">
        <f>VLOOKUP(E47,tranp.!$A$4:$K$21,5,FALSE)</f>
        <v>0.68100000000000005</v>
      </c>
      <c r="L47" s="22">
        <f>VLOOKUP(E47,tranp.!$A$4:$G$19,6,FALSE)</f>
        <v>0.71</v>
      </c>
      <c r="M47" s="22">
        <f>VLOOKUP(E47,tranp.!$A$4:$G$19,7,FALSE)</f>
        <v>2.8410000000000002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ht="12.75" x14ac:dyDescent="0.25">
      <c r="A49" s="1142" t="s">
        <v>98</v>
      </c>
      <c r="B49" s="1143"/>
      <c r="C49" s="1143"/>
      <c r="D49" s="1143"/>
      <c r="E49" s="1143"/>
      <c r="F49" s="1143"/>
      <c r="G49" s="1143"/>
      <c r="H49" s="1143"/>
      <c r="I49" s="1144"/>
      <c r="J49" s="170">
        <f>SUM(J45:J48)</f>
        <v>65.27</v>
      </c>
    </row>
    <row r="50" spans="1:10" ht="12.75" x14ac:dyDescent="0.25">
      <c r="A50" s="1116" t="s">
        <v>99</v>
      </c>
      <c r="B50" s="1117"/>
      <c r="C50" s="1117"/>
      <c r="D50" s="1117"/>
      <c r="E50" s="1117"/>
      <c r="F50" s="1117"/>
      <c r="G50" s="171" t="s">
        <v>100</v>
      </c>
      <c r="H50" s="172"/>
      <c r="I50" s="173" t="s">
        <v>101</v>
      </c>
      <c r="J50" s="162">
        <f>J49+J42+J29</f>
        <v>415.82</v>
      </c>
    </row>
    <row r="51" spans="1:10" ht="12.75" x14ac:dyDescent="0.25">
      <c r="A51" s="1118" t="s">
        <v>102</v>
      </c>
      <c r="B51" s="1119"/>
      <c r="C51" s="1119"/>
      <c r="D51" s="1119"/>
      <c r="E51" s="1119"/>
      <c r="F51" s="1119"/>
      <c r="G51" s="174">
        <v>0.35</v>
      </c>
      <c r="H51" s="175"/>
      <c r="I51" s="176" t="s">
        <v>101</v>
      </c>
      <c r="J51" s="144">
        <f>+J50*G51</f>
        <v>145.54</v>
      </c>
    </row>
    <row r="52" spans="1:10" ht="12.75" x14ac:dyDescent="0.25">
      <c r="A52" s="1120" t="s">
        <v>103</v>
      </c>
      <c r="B52" s="1121"/>
      <c r="C52" s="1121"/>
      <c r="D52" s="1121"/>
      <c r="E52" s="1121"/>
      <c r="F52" s="1121"/>
      <c r="G52" s="177"/>
      <c r="H52" s="178"/>
      <c r="I52" s="179" t="s">
        <v>101</v>
      </c>
      <c r="J52" s="136">
        <f>+J51+J50</f>
        <v>561.36</v>
      </c>
    </row>
    <row r="53" spans="1:10" x14ac:dyDescent="0.2">
      <c r="A53" s="23" t="s">
        <v>104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4">
    <mergeCell ref="A1:J1"/>
    <mergeCell ref="A3:A4"/>
    <mergeCell ref="B3:H4"/>
    <mergeCell ref="I3:I4"/>
    <mergeCell ref="J3:J4"/>
    <mergeCell ref="J5:J6"/>
    <mergeCell ref="A7:C7"/>
    <mergeCell ref="A8:C8"/>
    <mergeCell ref="A9:C9"/>
    <mergeCell ref="A14:C14"/>
    <mergeCell ref="A5:C6"/>
    <mergeCell ref="D5:D6"/>
    <mergeCell ref="E5:E6"/>
    <mergeCell ref="F5:G5"/>
    <mergeCell ref="H5:I5"/>
    <mergeCell ref="A27:I27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0:E20"/>
    <mergeCell ref="A26:E26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30:J31"/>
    <mergeCell ref="A32:E32"/>
    <mergeCell ref="A33:E33"/>
    <mergeCell ref="A34:E34"/>
    <mergeCell ref="A35:E35"/>
    <mergeCell ref="A40:E40"/>
    <mergeCell ref="A41:E41"/>
    <mergeCell ref="A42:I42"/>
    <mergeCell ref="A43:D44"/>
    <mergeCell ref="E43:E44"/>
    <mergeCell ref="F43:G43"/>
    <mergeCell ref="H43:H44"/>
    <mergeCell ref="I43:I44"/>
    <mergeCell ref="J43:J44"/>
    <mergeCell ref="A49:I49"/>
    <mergeCell ref="A50:F50"/>
    <mergeCell ref="A51:F51"/>
    <mergeCell ref="A52:F5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view="pageBreakPreview" zoomScale="130" zoomScaleNormal="100" zoomScaleSheetLayoutView="130" workbookViewId="0">
      <selection activeCell="A14" sqref="A14:XFD14"/>
    </sheetView>
  </sheetViews>
  <sheetFormatPr defaultColWidth="9" defaultRowHeight="14.25" x14ac:dyDescent="0.2"/>
  <cols>
    <col min="1" max="1" width="45" style="407" customWidth="1"/>
    <col min="2" max="2" width="14.625" style="407" customWidth="1"/>
    <col min="3" max="3" width="13.625" style="407" customWidth="1"/>
    <col min="4" max="4" width="15.125" style="407" customWidth="1"/>
    <col min="5" max="5" width="9" style="407"/>
    <col min="6" max="6" width="12.375" style="407" bestFit="1" customWidth="1"/>
    <col min="7" max="7" width="11.625" style="407" customWidth="1"/>
    <col min="8" max="8" width="13.75" style="407" bestFit="1" customWidth="1"/>
    <col min="9" max="16384" width="9" style="407"/>
  </cols>
  <sheetData>
    <row r="1" spans="1:8" ht="15" x14ac:dyDescent="0.2">
      <c r="A1" s="1040" t="s">
        <v>1037</v>
      </c>
      <c r="B1" s="1042" t="s">
        <v>1035</v>
      </c>
      <c r="C1" s="1042"/>
      <c r="D1" s="1042" t="s">
        <v>17</v>
      </c>
    </row>
    <row r="2" spans="1:8" ht="15" x14ac:dyDescent="0.2">
      <c r="A2" s="1041"/>
      <c r="B2" s="731" t="s">
        <v>1036</v>
      </c>
      <c r="C2" s="731" t="s">
        <v>16</v>
      </c>
      <c r="D2" s="1042"/>
    </row>
    <row r="3" spans="1:8" x14ac:dyDescent="0.2">
      <c r="A3" s="408" t="str">
        <f>Planilha!C5</f>
        <v>TERRAPLENAGEM</v>
      </c>
      <c r="B3" s="409">
        <f>+Planilha!G25</f>
        <v>2511656.15</v>
      </c>
      <c r="C3" s="409">
        <f t="shared" ref="C3:C12" si="0">+B3/$C$14</f>
        <v>199813.54</v>
      </c>
      <c r="D3" s="422">
        <f>ROUND(B3/$B$13,6)</f>
        <v>8.77E-2</v>
      </c>
      <c r="E3" s="542"/>
      <c r="F3" s="729"/>
      <c r="H3" s="414"/>
    </row>
    <row r="4" spans="1:8" x14ac:dyDescent="0.2">
      <c r="A4" s="410" t="str">
        <f>Planilha!C26</f>
        <v>DRENAGEM E OAC</v>
      </c>
      <c r="B4" s="411">
        <f>+Planilha!G72</f>
        <v>5494722.8200000003</v>
      </c>
      <c r="C4" s="411">
        <f t="shared" si="0"/>
        <v>437129.9</v>
      </c>
      <c r="D4" s="423">
        <f t="shared" ref="D4:D12" si="1">ROUND(B4/$B$13,4)</f>
        <v>0.19189999999999999</v>
      </c>
      <c r="E4" s="542"/>
      <c r="F4" s="729"/>
      <c r="H4" s="414"/>
    </row>
    <row r="5" spans="1:8" x14ac:dyDescent="0.2">
      <c r="A5" s="410" t="str">
        <f>Planilha!C73</f>
        <v>PAVIMENTAÇÃO</v>
      </c>
      <c r="B5" s="411">
        <f>+Planilha!G88</f>
        <v>8712458.3000000007</v>
      </c>
      <c r="C5" s="411">
        <f t="shared" si="0"/>
        <v>693115.22</v>
      </c>
      <c r="D5" s="423">
        <f t="shared" si="1"/>
        <v>0.30430000000000001</v>
      </c>
      <c r="E5" s="542"/>
      <c r="F5" s="729"/>
      <c r="H5" s="414"/>
    </row>
    <row r="6" spans="1:8" ht="28.5" x14ac:dyDescent="0.2">
      <c r="A6" s="568" t="str">
        <f>Planilha!C89</f>
        <v>FORNECIMENTO E TRANSPORTE DE MATERIAL BETUMINOSO</v>
      </c>
      <c r="B6" s="411">
        <f>+Planilha!G100</f>
        <v>5584899.9500000002</v>
      </c>
      <c r="C6" s="411">
        <f t="shared" si="0"/>
        <v>444303.89</v>
      </c>
      <c r="D6" s="423">
        <f t="shared" si="1"/>
        <v>0.19500000000000001</v>
      </c>
      <c r="E6" s="542"/>
      <c r="F6" s="729"/>
      <c r="H6" s="414"/>
    </row>
    <row r="7" spans="1:8" x14ac:dyDescent="0.2">
      <c r="A7" s="412" t="str">
        <f>Planilha!C101</f>
        <v>OBRAS COMPLEMENTARES</v>
      </c>
      <c r="B7" s="411">
        <f>+Planilha!G106</f>
        <v>929809.21</v>
      </c>
      <c r="C7" s="411">
        <f t="shared" si="0"/>
        <v>73970.5</v>
      </c>
      <c r="D7" s="423">
        <f t="shared" si="1"/>
        <v>3.2500000000000001E-2</v>
      </c>
      <c r="E7" s="542"/>
      <c r="F7" s="729"/>
      <c r="H7" s="414"/>
    </row>
    <row r="8" spans="1:8" x14ac:dyDescent="0.2">
      <c r="A8" s="412" t="str">
        <f>Planilha!C107</f>
        <v>SINALIZAÇÃO</v>
      </c>
      <c r="B8" s="411">
        <f>+Planilha!G120</f>
        <v>351961.18</v>
      </c>
      <c r="C8" s="411">
        <f t="shared" si="0"/>
        <v>28000.09</v>
      </c>
      <c r="D8" s="423">
        <f t="shared" si="1"/>
        <v>1.23E-2</v>
      </c>
      <c r="E8" s="543"/>
      <c r="F8" s="729"/>
      <c r="H8" s="414"/>
    </row>
    <row r="9" spans="1:8" x14ac:dyDescent="0.2">
      <c r="A9" s="412" t="str">
        <f>Planilha!C121</f>
        <v>RECUPERAÇÃO AMBIENTAL</v>
      </c>
      <c r="B9" s="411">
        <f>+Planilha!G126</f>
        <v>609382.04</v>
      </c>
      <c r="C9" s="411">
        <f t="shared" si="0"/>
        <v>48479.08</v>
      </c>
      <c r="D9" s="423">
        <f t="shared" si="1"/>
        <v>2.1299999999999999E-2</v>
      </c>
      <c r="E9" s="542"/>
      <c r="F9" s="729"/>
      <c r="H9" s="414"/>
    </row>
    <row r="10" spans="1:8" x14ac:dyDescent="0.2">
      <c r="A10" s="569" t="str">
        <f>Planilha!C127</f>
        <v>OBRAS DE ARTE ESPECIAIS</v>
      </c>
      <c r="B10" s="411">
        <f>+Planilha!G163</f>
        <v>3400975.74</v>
      </c>
      <c r="C10" s="411">
        <f t="shared" si="0"/>
        <v>270562.90999999997</v>
      </c>
      <c r="D10" s="423">
        <f t="shared" si="1"/>
        <v>0.1188</v>
      </c>
      <c r="E10" s="542"/>
      <c r="F10" s="729"/>
      <c r="H10" s="414"/>
    </row>
    <row r="11" spans="1:8" ht="28.5" x14ac:dyDescent="0.2">
      <c r="A11" s="569" t="str">
        <f>Planilha!C164</f>
        <v xml:space="preserve"> INSTALAÇÃO DE CANTEIRO. MOBILIZAÇÃO E DESMOBILIZAÇÃO</v>
      </c>
      <c r="B11" s="411">
        <f>+Planilha!G191</f>
        <v>261667.33</v>
      </c>
      <c r="C11" s="411">
        <f t="shared" si="0"/>
        <v>20816.810000000001</v>
      </c>
      <c r="D11" s="423">
        <f t="shared" si="1"/>
        <v>9.1000000000000004E-3</v>
      </c>
      <c r="E11" s="542"/>
      <c r="F11" s="729"/>
      <c r="H11" s="414"/>
    </row>
    <row r="12" spans="1:8" ht="21.75" customHeight="1" x14ac:dyDescent="0.2">
      <c r="A12" s="569" t="str">
        <f>Planilha!C192</f>
        <v>ADMINISTRAÇÃO LOCAL E SERVIÇOS AUXILIARES</v>
      </c>
      <c r="B12" s="411">
        <f>+Planilha!G198</f>
        <v>778097.55</v>
      </c>
      <c r="C12" s="411">
        <f t="shared" si="0"/>
        <v>61901.16</v>
      </c>
      <c r="D12" s="423">
        <f t="shared" si="1"/>
        <v>2.7199999999999998E-2</v>
      </c>
      <c r="E12" s="542"/>
      <c r="F12" s="729"/>
      <c r="H12" s="414"/>
    </row>
    <row r="13" spans="1:8" ht="15" x14ac:dyDescent="0.25">
      <c r="A13" s="731" t="s">
        <v>18</v>
      </c>
      <c r="B13" s="473">
        <f>SUM(B3:B12)</f>
        <v>28635630.27</v>
      </c>
      <c r="C13" s="473">
        <f>SUM(C3:C12)</f>
        <v>2278093.1</v>
      </c>
      <c r="D13" s="474">
        <f>ROUND(SUM(D3:D12),2)</f>
        <v>1</v>
      </c>
      <c r="F13" s="730"/>
      <c r="H13" s="414"/>
    </row>
    <row r="14" spans="1:8" hidden="1" x14ac:dyDescent="0.2">
      <c r="B14" s="413">
        <f>+Planilha!G199</f>
        <v>28635630.27</v>
      </c>
      <c r="C14" s="414">
        <f>+Planilha!G200</f>
        <v>12.57</v>
      </c>
      <c r="D14" s="414">
        <f>+B14/C14</f>
        <v>2278093.1</v>
      </c>
    </row>
    <row r="18" spans="7:7" x14ac:dyDescent="0.2">
      <c r="G18" s="414"/>
    </row>
  </sheetData>
  <mergeCells count="3">
    <mergeCell ref="A1:A2"/>
    <mergeCell ref="B1:C1"/>
    <mergeCell ref="D1:D2"/>
  </mergeCells>
  <printOptions horizontalCentered="1"/>
  <pageMargins left="0.51181102362204722" right="0.51181102362204722" top="1.9685039370078741" bottom="0.78740157480314965" header="0.31496062992125984" footer="0.31496062992125984"/>
  <pageSetup paperSize="9" scale="9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zoomScale="85" zoomScaleNormal="85" workbookViewId="0">
      <selection activeCell="J16" sqref="J16"/>
    </sheetView>
  </sheetViews>
  <sheetFormatPr defaultRowHeight="14.25" x14ac:dyDescent="0.2"/>
  <cols>
    <col min="1" max="1" width="9" style="415"/>
    <col min="2" max="2" width="20.125" style="415" customWidth="1"/>
    <col min="3" max="3" width="15.75" style="415" customWidth="1"/>
    <col min="4" max="4" width="22.25" style="415" customWidth="1"/>
    <col min="5" max="5" width="7.375" style="415" customWidth="1"/>
    <col min="6" max="6" width="7.125" style="415" customWidth="1"/>
    <col min="7" max="16384" width="9" style="415"/>
  </cols>
  <sheetData>
    <row r="1" spans="1:12" ht="25.5" customHeight="1" thickBot="1" x14ac:dyDescent="0.25">
      <c r="A1" s="1256" t="s">
        <v>289</v>
      </c>
      <c r="B1" s="1256" t="s">
        <v>1117</v>
      </c>
      <c r="C1" s="1256" t="s">
        <v>63</v>
      </c>
      <c r="D1" s="1256" t="s">
        <v>1118</v>
      </c>
      <c r="E1" s="1258" t="s">
        <v>291</v>
      </c>
      <c r="F1" s="1259"/>
      <c r="G1" s="1260"/>
    </row>
    <row r="2" spans="1:12" ht="15" thickBot="1" x14ac:dyDescent="0.25">
      <c r="A2" s="1257"/>
      <c r="B2" s="1257"/>
      <c r="C2" s="1257"/>
      <c r="D2" s="1257"/>
      <c r="E2" s="536" t="s">
        <v>21</v>
      </c>
      <c r="F2" s="536" t="s">
        <v>20</v>
      </c>
      <c r="G2" s="536" t="s">
        <v>2</v>
      </c>
    </row>
    <row r="3" spans="1:12" x14ac:dyDescent="0.2">
      <c r="A3" s="1253" t="s">
        <v>1119</v>
      </c>
      <c r="B3" s="1254"/>
      <c r="C3" s="1254"/>
      <c r="D3" s="1254"/>
      <c r="E3" s="1254"/>
      <c r="F3" s="1254"/>
      <c r="G3" s="1255"/>
    </row>
    <row r="4" spans="1:12" ht="27.75" thickBot="1" x14ac:dyDescent="0.25">
      <c r="A4" s="1262" t="s">
        <v>1120</v>
      </c>
      <c r="B4" s="1265" t="s">
        <v>1104</v>
      </c>
      <c r="C4" s="537" t="s">
        <v>1166</v>
      </c>
      <c r="D4" s="537" t="s">
        <v>1121</v>
      </c>
      <c r="E4" s="538">
        <v>411.8</v>
      </c>
      <c r="F4" s="538">
        <v>5.7</v>
      </c>
      <c r="G4" s="538">
        <f>SUM(E4:F4)</f>
        <v>417.5</v>
      </c>
      <c r="J4" s="1252" t="s">
        <v>3275</v>
      </c>
      <c r="K4" s="1252"/>
      <c r="L4" s="1252"/>
    </row>
    <row r="5" spans="1:12" ht="15" thickBot="1" x14ac:dyDescent="0.25">
      <c r="A5" s="1262"/>
      <c r="B5" s="1265"/>
      <c r="C5" s="537" t="s">
        <v>1056</v>
      </c>
      <c r="D5" s="537" t="s">
        <v>1122</v>
      </c>
      <c r="E5" s="539">
        <v>22.1</v>
      </c>
      <c r="F5" s="539">
        <v>5.7</v>
      </c>
      <c r="G5" s="538">
        <f t="shared" ref="G5:G36" si="0">SUM(E5:F5)</f>
        <v>27.8</v>
      </c>
    </row>
    <row r="6" spans="1:12" ht="15" thickBot="1" x14ac:dyDescent="0.25">
      <c r="A6" s="1262"/>
      <c r="B6" s="1265"/>
      <c r="C6" s="537" t="s">
        <v>115</v>
      </c>
      <c r="D6" s="537" t="s">
        <v>1123</v>
      </c>
      <c r="E6" s="539">
        <v>10</v>
      </c>
      <c r="F6" s="539">
        <v>23.4</v>
      </c>
      <c r="G6" s="538">
        <f t="shared" ref="G6:G7" si="1">SUM(E6:F6)</f>
        <v>33.4</v>
      </c>
    </row>
    <row r="7" spans="1:12" ht="27.75" thickBot="1" x14ac:dyDescent="0.25">
      <c r="A7" s="1262"/>
      <c r="B7" s="1266"/>
      <c r="C7" s="537" t="s">
        <v>1227</v>
      </c>
      <c r="D7" s="537" t="s">
        <v>1136</v>
      </c>
      <c r="E7" s="539">
        <v>37.200000000000003</v>
      </c>
      <c r="F7" s="539">
        <v>5.6</v>
      </c>
      <c r="G7" s="538">
        <f t="shared" si="1"/>
        <v>42.8</v>
      </c>
    </row>
    <row r="8" spans="1:12" ht="27.75" thickBot="1" x14ac:dyDescent="0.25">
      <c r="A8" s="1262"/>
      <c r="B8" s="537" t="s">
        <v>1124</v>
      </c>
      <c r="C8" s="537" t="s">
        <v>1125</v>
      </c>
      <c r="D8" s="537" t="s">
        <v>1126</v>
      </c>
      <c r="E8" s="539">
        <v>0.86</v>
      </c>
      <c r="F8" s="539">
        <v>14.34</v>
      </c>
      <c r="G8" s="538">
        <f t="shared" si="0"/>
        <v>15.2</v>
      </c>
    </row>
    <row r="9" spans="1:12" ht="15" thickBot="1" x14ac:dyDescent="0.25">
      <c r="A9" s="1262"/>
      <c r="B9" s="1264" t="s">
        <v>1500</v>
      </c>
      <c r="C9" s="537" t="s">
        <v>1056</v>
      </c>
      <c r="D9" s="537" t="s">
        <v>1127</v>
      </c>
      <c r="E9" s="539">
        <v>22.1</v>
      </c>
      <c r="F9" s="539">
        <v>5.6</v>
      </c>
      <c r="G9" s="538">
        <f t="shared" si="0"/>
        <v>27.7</v>
      </c>
    </row>
    <row r="10" spans="1:12" ht="15" thickBot="1" x14ac:dyDescent="0.25">
      <c r="A10" s="1262"/>
      <c r="B10" s="1267"/>
      <c r="C10" s="537" t="s">
        <v>1128</v>
      </c>
      <c r="D10" s="537" t="s">
        <v>1129</v>
      </c>
      <c r="E10" s="539">
        <v>0</v>
      </c>
      <c r="F10" s="539">
        <v>7.74</v>
      </c>
      <c r="G10" s="538">
        <f t="shared" si="0"/>
        <v>7.74</v>
      </c>
    </row>
    <row r="11" spans="1:12" ht="27.75" thickBot="1" x14ac:dyDescent="0.25">
      <c r="A11" s="1263"/>
      <c r="B11" s="537" t="s">
        <v>136</v>
      </c>
      <c r="C11" s="537" t="s">
        <v>65</v>
      </c>
      <c r="D11" s="537" t="s">
        <v>1121</v>
      </c>
      <c r="E11" s="539">
        <v>411.8</v>
      </c>
      <c r="F11" s="539">
        <v>5.7</v>
      </c>
      <c r="G11" s="538">
        <f t="shared" si="0"/>
        <v>417.5</v>
      </c>
    </row>
    <row r="12" spans="1:12" ht="27.75" thickBot="1" x14ac:dyDescent="0.25">
      <c r="A12" s="1268" t="s">
        <v>1130</v>
      </c>
      <c r="B12" s="537" t="s">
        <v>1131</v>
      </c>
      <c r="C12" s="537" t="s">
        <v>1132</v>
      </c>
      <c r="D12" s="537" t="s">
        <v>1121</v>
      </c>
      <c r="E12" s="539">
        <v>411.8</v>
      </c>
      <c r="F12" s="539">
        <v>5.7</v>
      </c>
      <c r="G12" s="538">
        <f t="shared" si="0"/>
        <v>417.5</v>
      </c>
    </row>
    <row r="13" spans="1:12" ht="15" thickBot="1" x14ac:dyDescent="0.25">
      <c r="A13" s="1262"/>
      <c r="B13" s="1264" t="s">
        <v>1133</v>
      </c>
      <c r="C13" s="537" t="s">
        <v>1056</v>
      </c>
      <c r="D13" s="537" t="s">
        <v>1134</v>
      </c>
      <c r="E13" s="539">
        <v>22.1</v>
      </c>
      <c r="F13" s="539">
        <v>5.6</v>
      </c>
      <c r="G13" s="538">
        <f t="shared" si="0"/>
        <v>27.7</v>
      </c>
    </row>
    <row r="14" spans="1:12" ht="15" thickBot="1" x14ac:dyDescent="0.25">
      <c r="A14" s="1262"/>
      <c r="B14" s="1265"/>
      <c r="C14" s="537" t="s">
        <v>115</v>
      </c>
      <c r="D14" s="537" t="s">
        <v>1135</v>
      </c>
      <c r="E14" s="539">
        <v>10</v>
      </c>
      <c r="F14" s="539">
        <v>5.6</v>
      </c>
      <c r="G14" s="538">
        <f t="shared" si="0"/>
        <v>15.6</v>
      </c>
    </row>
    <row r="15" spans="1:12" ht="27.75" thickBot="1" x14ac:dyDescent="0.25">
      <c r="A15" s="1262"/>
      <c r="B15" s="1265"/>
      <c r="C15" s="537" t="s">
        <v>174</v>
      </c>
      <c r="D15" s="537" t="s">
        <v>1136</v>
      </c>
      <c r="E15" s="539">
        <v>37.200000000000003</v>
      </c>
      <c r="F15" s="539">
        <v>5.6</v>
      </c>
      <c r="G15" s="538">
        <f t="shared" si="0"/>
        <v>42.8</v>
      </c>
    </row>
    <row r="16" spans="1:12" ht="15" thickBot="1" x14ac:dyDescent="0.25">
      <c r="A16" s="1262"/>
      <c r="B16" s="1265"/>
      <c r="C16" s="537" t="s">
        <v>1137</v>
      </c>
      <c r="D16" s="537" t="s">
        <v>1134</v>
      </c>
      <c r="E16" s="539">
        <v>22.1</v>
      </c>
      <c r="F16" s="539">
        <v>5.6</v>
      </c>
      <c r="G16" s="538">
        <f t="shared" si="0"/>
        <v>27.7</v>
      </c>
    </row>
    <row r="17" spans="1:7" ht="27.75" thickBot="1" x14ac:dyDescent="0.25">
      <c r="A17" s="1262"/>
      <c r="B17" s="1265"/>
      <c r="C17" s="537" t="s">
        <v>1138</v>
      </c>
      <c r="D17" s="537" t="s">
        <v>1136</v>
      </c>
      <c r="E17" s="539">
        <v>37.200000000000003</v>
      </c>
      <c r="F17" s="539">
        <v>5.6</v>
      </c>
      <c r="G17" s="538">
        <f>SUM(E17:F17)</f>
        <v>42.8</v>
      </c>
    </row>
    <row r="18" spans="1:7" ht="27.75" thickBot="1" x14ac:dyDescent="0.25">
      <c r="A18" s="1263"/>
      <c r="B18" s="1267"/>
      <c r="C18" s="537" t="s">
        <v>1139</v>
      </c>
      <c r="D18" s="537" t="s">
        <v>1136</v>
      </c>
      <c r="E18" s="539">
        <v>37.200000000000003</v>
      </c>
      <c r="F18" s="539">
        <v>5.6</v>
      </c>
      <c r="G18" s="538">
        <f>SUM(E18:F18)</f>
        <v>42.8</v>
      </c>
    </row>
    <row r="19" spans="1:7" ht="27.75" thickBot="1" x14ac:dyDescent="0.25">
      <c r="A19" s="1268" t="s">
        <v>1140</v>
      </c>
      <c r="B19" s="1270" t="s">
        <v>1141</v>
      </c>
      <c r="C19" s="537" t="s">
        <v>1142</v>
      </c>
      <c r="D19" s="537" t="s">
        <v>1143</v>
      </c>
      <c r="E19" s="626">
        <v>159</v>
      </c>
      <c r="F19" s="539">
        <v>5.6</v>
      </c>
      <c r="G19" s="538">
        <f t="shared" si="0"/>
        <v>164.6</v>
      </c>
    </row>
    <row r="20" spans="1:7" ht="15" thickBot="1" x14ac:dyDescent="0.25">
      <c r="A20" s="1262"/>
      <c r="B20" s="1265"/>
      <c r="C20" s="537" t="s">
        <v>1056</v>
      </c>
      <c r="D20" s="537" t="s">
        <v>1122</v>
      </c>
      <c r="E20" s="539">
        <v>22.1</v>
      </c>
      <c r="F20" s="539">
        <v>5.7</v>
      </c>
      <c r="G20" s="538">
        <f t="shared" si="0"/>
        <v>27.8</v>
      </c>
    </row>
    <row r="21" spans="1:7" ht="15" thickBot="1" x14ac:dyDescent="0.25">
      <c r="A21" s="1262"/>
      <c r="B21" s="1266"/>
      <c r="C21" s="537" t="s">
        <v>115</v>
      </c>
      <c r="D21" s="537" t="s">
        <v>1135</v>
      </c>
      <c r="E21" s="539">
        <v>10</v>
      </c>
      <c r="F21" s="539">
        <v>5.6</v>
      </c>
      <c r="G21" s="538">
        <f t="shared" si="0"/>
        <v>15.6</v>
      </c>
    </row>
    <row r="22" spans="1:7" ht="15" thickBot="1" x14ac:dyDescent="0.25">
      <c r="A22" s="1262"/>
      <c r="B22" s="1264" t="s">
        <v>1144</v>
      </c>
      <c r="C22" s="537" t="s">
        <v>1056</v>
      </c>
      <c r="D22" s="537" t="s">
        <v>1122</v>
      </c>
      <c r="E22" s="539">
        <v>22.1</v>
      </c>
      <c r="F22" s="539">
        <v>5.7</v>
      </c>
      <c r="G22" s="538">
        <f t="shared" si="0"/>
        <v>27.8</v>
      </c>
    </row>
    <row r="23" spans="1:7" ht="15" thickBot="1" x14ac:dyDescent="0.25">
      <c r="A23" s="1262"/>
      <c r="B23" s="1266"/>
      <c r="C23" s="537" t="s">
        <v>115</v>
      </c>
      <c r="D23" s="537" t="s">
        <v>1135</v>
      </c>
      <c r="E23" s="539">
        <v>10</v>
      </c>
      <c r="F23" s="539">
        <v>5.6</v>
      </c>
      <c r="G23" s="538">
        <f t="shared" si="0"/>
        <v>15.6</v>
      </c>
    </row>
    <row r="24" spans="1:7" ht="41.25" thickBot="1" x14ac:dyDescent="0.25">
      <c r="A24" s="1262"/>
      <c r="B24" s="537" t="s">
        <v>1145</v>
      </c>
      <c r="C24" s="537" t="s">
        <v>179</v>
      </c>
      <c r="D24" s="537" t="s">
        <v>1136</v>
      </c>
      <c r="E24" s="539">
        <v>37.200000000000003</v>
      </c>
      <c r="F24" s="539">
        <v>5.6</v>
      </c>
      <c r="G24" s="538">
        <f t="shared" si="0"/>
        <v>42.8</v>
      </c>
    </row>
    <row r="25" spans="1:7" ht="27.75" thickBot="1" x14ac:dyDescent="0.25">
      <c r="A25" s="1269"/>
      <c r="B25" s="540" t="s">
        <v>1146</v>
      </c>
      <c r="C25" s="540" t="s">
        <v>1147</v>
      </c>
      <c r="D25" s="540" t="s">
        <v>1136</v>
      </c>
      <c r="E25" s="539">
        <v>37.200000000000003</v>
      </c>
      <c r="F25" s="539">
        <v>5.6</v>
      </c>
      <c r="G25" s="538">
        <f t="shared" si="0"/>
        <v>42.8</v>
      </c>
    </row>
    <row r="26" spans="1:7" ht="27.75" thickBot="1" x14ac:dyDescent="0.25">
      <c r="A26" s="1261" t="s">
        <v>1148</v>
      </c>
      <c r="B26" s="1264" t="s">
        <v>1149</v>
      </c>
      <c r="C26" s="541" t="s">
        <v>1150</v>
      </c>
      <c r="D26" s="541" t="s">
        <v>1136</v>
      </c>
      <c r="E26" s="539">
        <v>37.200000000000003</v>
      </c>
      <c r="F26" s="539">
        <v>5.6</v>
      </c>
      <c r="G26" s="538">
        <f t="shared" si="0"/>
        <v>42.8</v>
      </c>
    </row>
    <row r="27" spans="1:7" ht="27.75" thickBot="1" x14ac:dyDescent="0.25">
      <c r="A27" s="1262"/>
      <c r="B27" s="1265"/>
      <c r="C27" s="537" t="s">
        <v>1151</v>
      </c>
      <c r="D27" s="537" t="s">
        <v>1136</v>
      </c>
      <c r="E27" s="539">
        <v>37.200000000000003</v>
      </c>
      <c r="F27" s="539">
        <v>5.6</v>
      </c>
      <c r="G27" s="538">
        <f t="shared" si="0"/>
        <v>42.8</v>
      </c>
    </row>
    <row r="28" spans="1:7" ht="27.75" thickBot="1" x14ac:dyDescent="0.25">
      <c r="A28" s="1262"/>
      <c r="B28" s="1266"/>
      <c r="C28" s="537" t="s">
        <v>1152</v>
      </c>
      <c r="D28" s="537" t="s">
        <v>1136</v>
      </c>
      <c r="E28" s="539">
        <v>37.200000000000003</v>
      </c>
      <c r="F28" s="539">
        <v>5.6</v>
      </c>
      <c r="G28" s="538">
        <f t="shared" si="0"/>
        <v>42.8</v>
      </c>
    </row>
    <row r="29" spans="1:7" ht="27.75" thickBot="1" x14ac:dyDescent="0.25">
      <c r="A29" s="1262"/>
      <c r="B29" s="537" t="s">
        <v>1153</v>
      </c>
      <c r="C29" s="537" t="s">
        <v>1154</v>
      </c>
      <c r="D29" s="537" t="s">
        <v>1143</v>
      </c>
      <c r="E29" s="539">
        <v>159</v>
      </c>
      <c r="F29" s="539">
        <v>5.6</v>
      </c>
      <c r="G29" s="538">
        <f t="shared" si="0"/>
        <v>164.6</v>
      </c>
    </row>
    <row r="30" spans="1:7" ht="27.75" thickBot="1" x14ac:dyDescent="0.25">
      <c r="A30" s="1262"/>
      <c r="B30" s="537" t="s">
        <v>1155</v>
      </c>
      <c r="C30" s="537" t="s">
        <v>1156</v>
      </c>
      <c r="D30" s="537" t="s">
        <v>1143</v>
      </c>
      <c r="E30" s="539">
        <v>159</v>
      </c>
      <c r="F30" s="539">
        <v>5.6</v>
      </c>
      <c r="G30" s="538">
        <f t="shared" si="0"/>
        <v>164.6</v>
      </c>
    </row>
    <row r="31" spans="1:7" ht="27.75" thickBot="1" x14ac:dyDescent="0.25">
      <c r="A31" s="1262"/>
      <c r="B31" s="537" t="s">
        <v>1157</v>
      </c>
      <c r="C31" s="537" t="s">
        <v>1158</v>
      </c>
      <c r="D31" s="537" t="s">
        <v>1136</v>
      </c>
      <c r="E31" s="539">
        <v>37.200000000000003</v>
      </c>
      <c r="F31" s="539">
        <v>5.6</v>
      </c>
      <c r="G31" s="538">
        <f t="shared" si="0"/>
        <v>42.8</v>
      </c>
    </row>
    <row r="32" spans="1:7" ht="27.75" thickBot="1" x14ac:dyDescent="0.25">
      <c r="A32" s="1262"/>
      <c r="B32" s="537" t="s">
        <v>1159</v>
      </c>
      <c r="C32" s="537" t="s">
        <v>1160</v>
      </c>
      <c r="D32" s="537" t="s">
        <v>1136</v>
      </c>
      <c r="E32" s="539">
        <v>37.200000000000003</v>
      </c>
      <c r="F32" s="539">
        <v>5.6</v>
      </c>
      <c r="G32" s="538">
        <f t="shared" si="0"/>
        <v>42.8</v>
      </c>
    </row>
    <row r="33" spans="1:7" ht="27.75" thickBot="1" x14ac:dyDescent="0.25">
      <c r="A33" s="1262"/>
      <c r="B33" s="537" t="s">
        <v>1161</v>
      </c>
      <c r="C33" s="537" t="s">
        <v>1162</v>
      </c>
      <c r="D33" s="537" t="s">
        <v>1143</v>
      </c>
      <c r="E33" s="539">
        <v>159</v>
      </c>
      <c r="F33" s="539">
        <v>5.6</v>
      </c>
      <c r="G33" s="538">
        <f t="shared" si="0"/>
        <v>164.6</v>
      </c>
    </row>
    <row r="34" spans="1:7" ht="15" thickBot="1" x14ac:dyDescent="0.25">
      <c r="A34" s="1262"/>
      <c r="B34" s="1264" t="s">
        <v>1163</v>
      </c>
      <c r="C34" s="537" t="s">
        <v>1056</v>
      </c>
      <c r="D34" s="537" t="s">
        <v>1122</v>
      </c>
      <c r="E34" s="539">
        <v>22.1</v>
      </c>
      <c r="F34" s="539">
        <v>5.7</v>
      </c>
      <c r="G34" s="538">
        <f t="shared" si="0"/>
        <v>27.8</v>
      </c>
    </row>
    <row r="35" spans="1:7" ht="15" thickBot="1" x14ac:dyDescent="0.25">
      <c r="A35" s="1262"/>
      <c r="B35" s="1265"/>
      <c r="C35" s="537" t="s">
        <v>115</v>
      </c>
      <c r="D35" s="537" t="s">
        <v>1135</v>
      </c>
      <c r="E35" s="539">
        <v>10</v>
      </c>
      <c r="F35" s="539">
        <v>5.6</v>
      </c>
      <c r="G35" s="538">
        <f t="shared" si="0"/>
        <v>15.6</v>
      </c>
    </row>
    <row r="36" spans="1:7" ht="27.75" thickBot="1" x14ac:dyDescent="0.25">
      <c r="A36" s="1263"/>
      <c r="B36" s="1267"/>
      <c r="C36" s="537" t="s">
        <v>174</v>
      </c>
      <c r="D36" s="537" t="s">
        <v>1136</v>
      </c>
      <c r="E36" s="539">
        <v>37.200000000000003</v>
      </c>
      <c r="F36" s="539">
        <v>5.6</v>
      </c>
      <c r="G36" s="538">
        <f t="shared" si="0"/>
        <v>42.8</v>
      </c>
    </row>
  </sheetData>
  <mergeCells count="18">
    <mergeCell ref="A26:A36"/>
    <mergeCell ref="B26:B28"/>
    <mergeCell ref="B34:B36"/>
    <mergeCell ref="A4:A11"/>
    <mergeCell ref="B4:B7"/>
    <mergeCell ref="B9:B10"/>
    <mergeCell ref="A12:A18"/>
    <mergeCell ref="B13:B18"/>
    <mergeCell ref="A19:A25"/>
    <mergeCell ref="B19:B21"/>
    <mergeCell ref="B22:B23"/>
    <mergeCell ref="J4:L4"/>
    <mergeCell ref="A3:G3"/>
    <mergeCell ref="A1:A2"/>
    <mergeCell ref="B1:B2"/>
    <mergeCell ref="C1:C2"/>
    <mergeCell ref="D1:D2"/>
    <mergeCell ref="E1:G1"/>
  </mergeCells>
  <pageMargins left="0.511811024" right="0.511811024" top="0.78740157499999996" bottom="0.78740157499999996" header="0.31496062000000002" footer="0.31496062000000002"/>
  <pageSetup paperSize="22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15"/>
  <sheetViews>
    <sheetView showGridLines="0" view="pageBreakPreview" topLeftCell="A3030" zoomScale="85" zoomScaleNormal="85" zoomScaleSheetLayoutView="85" workbookViewId="0">
      <selection activeCell="J2963" sqref="J2963"/>
    </sheetView>
  </sheetViews>
  <sheetFormatPr defaultRowHeight="14.25" x14ac:dyDescent="0.2"/>
  <cols>
    <col min="1" max="1" width="23.625" style="302" customWidth="1"/>
    <col min="2" max="3" width="9" style="302"/>
    <col min="4" max="4" width="16.375" style="302" bestFit="1" customWidth="1"/>
    <col min="5" max="6" width="9" style="302"/>
    <col min="7" max="7" width="7.375" style="302" customWidth="1"/>
    <col min="8" max="8" width="8.625" style="302" customWidth="1"/>
    <col min="9" max="9" width="10.25" style="302" customWidth="1"/>
    <col min="10" max="10" width="16.875" style="433" bestFit="1" customWidth="1"/>
    <col min="11" max="11" width="8.75" style="433" bestFit="1" customWidth="1"/>
    <col min="12" max="16384" width="9" style="302"/>
  </cols>
  <sheetData>
    <row r="1" spans="1:13" x14ac:dyDescent="0.2">
      <c r="A1" s="1277" t="s">
        <v>229</v>
      </c>
      <c r="B1" s="1277"/>
      <c r="C1" s="1277"/>
      <c r="D1" s="1277"/>
      <c r="E1" s="1277"/>
      <c r="F1" s="1277"/>
      <c r="G1" s="1277"/>
      <c r="H1" s="1277"/>
      <c r="I1" s="1277"/>
    </row>
    <row r="2" spans="1:13" x14ac:dyDescent="0.2">
      <c r="A2" s="232" t="s">
        <v>230</v>
      </c>
      <c r="B2" s="233"/>
      <c r="C2" s="199"/>
      <c r="D2" s="199"/>
      <c r="E2" s="199"/>
      <c r="F2" s="199"/>
      <c r="G2" s="199"/>
      <c r="H2" s="199"/>
      <c r="I2" s="234" t="s">
        <v>2479</v>
      </c>
    </row>
    <row r="3" spans="1:13" x14ac:dyDescent="0.2">
      <c r="A3" s="232"/>
      <c r="B3" s="233"/>
      <c r="C3" s="199"/>
      <c r="D3" s="199"/>
      <c r="E3" s="199"/>
      <c r="F3" s="199"/>
      <c r="G3" s="199"/>
      <c r="H3" s="199" t="s">
        <v>1210</v>
      </c>
      <c r="I3" s="566" t="s">
        <v>1827</v>
      </c>
    </row>
    <row r="4" spans="1:13" x14ac:dyDescent="0.2">
      <c r="A4" s="232"/>
      <c r="B4" s="233"/>
      <c r="C4" s="199"/>
      <c r="D4" s="199"/>
      <c r="E4" s="199"/>
      <c r="F4" s="199"/>
      <c r="G4" s="199"/>
      <c r="H4" s="199"/>
      <c r="I4" s="567">
        <v>0.23319999999999999</v>
      </c>
    </row>
    <row r="5" spans="1:13" s="198" customFormat="1" x14ac:dyDescent="0.2">
      <c r="A5" s="1286" t="str">
        <f>$A$1</f>
        <v>COMPOSIÇÃO DE CUSTOS UNITÁRIOS</v>
      </c>
      <c r="B5" s="1286"/>
      <c r="C5" s="1286"/>
      <c r="D5" s="1286"/>
      <c r="E5" s="1286"/>
      <c r="F5" s="1286"/>
      <c r="G5" s="1286"/>
      <c r="H5" s="1286"/>
      <c r="I5" s="1286"/>
      <c r="J5" s="451"/>
      <c r="K5" s="451"/>
    </row>
    <row r="6" spans="1:13" s="198" customFormat="1" x14ac:dyDescent="0.2">
      <c r="A6" s="447" t="str">
        <f>$A$2</f>
        <v>Tabela Referencial de Preços - DER-ES</v>
      </c>
      <c r="B6" s="448"/>
      <c r="C6" s="449"/>
      <c r="D6" s="449"/>
      <c r="E6" s="449"/>
      <c r="F6" s="449"/>
      <c r="G6" s="449"/>
      <c r="H6" s="449"/>
      <c r="I6" s="450" t="str">
        <f>$I$2</f>
        <v>Data Base: Outubro/2018</v>
      </c>
      <c r="J6" s="451">
        <v>40167</v>
      </c>
      <c r="K6" s="451">
        <f>VLOOKUP("Preço Unitário Total",F8:I1811,4,FALSE)</f>
        <v>0.48</v>
      </c>
      <c r="L6" s="198">
        <f>VLOOKUP(J6,'DER 10-18'!A:E,5,FALSE)</f>
        <v>0</v>
      </c>
      <c r="M6" s="198" t="str">
        <f>VLOOKUP(J6,'DER 10-18'!$A:$D,2,FALSE)</f>
        <v>Limpeza, desmatamento e destocamento de árvores com diâmetro até 15 cm, com trator de esteira</v>
      </c>
    </row>
    <row r="7" spans="1:13" s="198" customFormat="1" x14ac:dyDescent="0.2">
      <c r="A7" s="1287" t="str">
        <f>+CONCATENATE("Serviço: ",J6," ",VLOOKUP(J6,'DER 10-18'!$A:$D,2,FALSE))</f>
        <v>Serviço: 40167 Limpeza, desmatamento e destocamento de árvores com diâmetro até 15 cm, com trator de esteira</v>
      </c>
      <c r="B7" s="1287"/>
      <c r="C7" s="1287"/>
      <c r="D7" s="1287"/>
      <c r="E7" s="1287"/>
      <c r="F7" s="1287"/>
      <c r="G7" s="1287"/>
      <c r="H7" s="1287"/>
      <c r="I7" s="1287" t="str">
        <f>CONCATENATE("Unidade: ", VLOOKUP(J6,'DER 10-18'!$A:$E,3,FALSE))</f>
        <v>Unidade: M2</v>
      </c>
      <c r="J7" s="451"/>
      <c r="K7" s="451"/>
    </row>
    <row r="8" spans="1:13" s="198" customFormat="1" x14ac:dyDescent="0.2">
      <c r="A8" s="1288"/>
      <c r="B8" s="1288"/>
      <c r="C8" s="1288"/>
      <c r="D8" s="1288"/>
      <c r="E8" s="1288"/>
      <c r="F8" s="1288"/>
      <c r="G8" s="1288"/>
      <c r="H8" s="1288"/>
      <c r="I8" s="1288"/>
      <c r="J8" s="451"/>
      <c r="K8" s="451"/>
    </row>
    <row r="9" spans="1:13" ht="22.5" x14ac:dyDescent="0.2">
      <c r="A9" s="235" t="s">
        <v>192</v>
      </c>
      <c r="B9" s="236" t="s">
        <v>60</v>
      </c>
      <c r="C9" s="236" t="s">
        <v>193</v>
      </c>
      <c r="D9" s="236" t="s">
        <v>194</v>
      </c>
      <c r="E9" s="236" t="s">
        <v>195</v>
      </c>
      <c r="F9" s="236" t="s">
        <v>196</v>
      </c>
      <c r="G9" s="236" t="s">
        <v>197</v>
      </c>
      <c r="H9" s="236" t="s">
        <v>91</v>
      </c>
      <c r="I9" s="236" t="s">
        <v>198</v>
      </c>
    </row>
    <row r="10" spans="1:13" ht="33.75" x14ac:dyDescent="0.2">
      <c r="A10" s="237" t="str">
        <f>VLOOKUP(B10,equip.!$A:$G,2,FALSE)</f>
        <v>Trator de esteiras ref. Caterpillar com lâmina  modelo D8T, sem ríper ou equivalente</v>
      </c>
      <c r="B10" s="238">
        <v>30018</v>
      </c>
      <c r="C10" s="239">
        <f>VLOOKUP(B10,equip.!$A$1:$G$239,3,FALSE)</f>
        <v>0</v>
      </c>
      <c r="D10" s="240">
        <v>1</v>
      </c>
      <c r="E10" s="205">
        <v>0</v>
      </c>
      <c r="F10" s="241">
        <f>VLOOKUP(B10,equip.!$A:$G,6,FALSE)</f>
        <v>628.07000000000005</v>
      </c>
      <c r="G10" s="241">
        <f>VLOOKUP(B10,equip.!$A:$G,7,FALSE)</f>
        <v>212.49</v>
      </c>
      <c r="H10" s="242">
        <v>1</v>
      </c>
      <c r="I10" s="243">
        <f>TRUNC(D10*F10*H10+E10*G10*H10,2)</f>
        <v>628.07000000000005</v>
      </c>
    </row>
    <row r="11" spans="1:13" x14ac:dyDescent="0.2">
      <c r="A11" s="199"/>
      <c r="B11" s="233"/>
      <c r="C11" s="233"/>
      <c r="D11" s="199"/>
      <c r="E11" s="199"/>
      <c r="F11" s="234" t="s">
        <v>199</v>
      </c>
      <c r="G11" s="244"/>
      <c r="H11" s="245"/>
      <c r="I11" s="434">
        <f>SUM(I10:I10)</f>
        <v>628.07000000000005</v>
      </c>
    </row>
    <row r="12" spans="1:13" x14ac:dyDescent="0.2">
      <c r="A12" s="199"/>
      <c r="B12" s="233"/>
      <c r="C12" s="233"/>
      <c r="D12" s="199"/>
      <c r="E12" s="199"/>
      <c r="F12" s="199"/>
      <c r="G12" s="199"/>
      <c r="H12" s="199"/>
      <c r="I12" s="200"/>
    </row>
    <row r="13" spans="1:13" x14ac:dyDescent="0.2">
      <c r="A13" s="246" t="s">
        <v>200</v>
      </c>
      <c r="B13" s="247" t="s">
        <v>60</v>
      </c>
      <c r="C13" s="236" t="s">
        <v>1242</v>
      </c>
      <c r="D13" s="247" t="s">
        <v>202</v>
      </c>
      <c r="E13" s="1271" t="s">
        <v>91</v>
      </c>
      <c r="F13" s="1272"/>
      <c r="G13" s="1273"/>
      <c r="H13" s="1276" t="s">
        <v>198</v>
      </c>
      <c r="I13" s="1275"/>
    </row>
    <row r="14" spans="1:13" x14ac:dyDescent="0.2">
      <c r="A14" s="248" t="str">
        <f>VLOOKUP(B14,m.o.!$A:$H,2,FALSE)</f>
        <v>Encarregado de terraplenagem</v>
      </c>
      <c r="B14" s="238">
        <v>20067</v>
      </c>
      <c r="C14" s="243">
        <f>VLOOKUP(B14,m.o.!$A:$F,4,FALSE)</f>
        <v>2.35</v>
      </c>
      <c r="D14" s="243">
        <f>VLOOKUP(B14,m.o.!$A:$G,7,FALSE)</f>
        <v>27.35</v>
      </c>
      <c r="E14" s="260"/>
      <c r="F14" s="258"/>
      <c r="G14" s="300">
        <v>0.5</v>
      </c>
      <c r="H14" s="244"/>
      <c r="I14" s="249">
        <f>TRUNC(D14*G14,2)</f>
        <v>13.67</v>
      </c>
    </row>
    <row r="15" spans="1:13" x14ac:dyDescent="0.2">
      <c r="A15" s="248" t="str">
        <f>VLOOKUP(B15,m.o.!$A:$H,2,FALSE)</f>
        <v>Servente</v>
      </c>
      <c r="B15" s="238">
        <v>20002</v>
      </c>
      <c r="C15" s="243">
        <f>VLOOKUP(B15,m.o.!$A:$F,4,FALSE)</f>
        <v>1</v>
      </c>
      <c r="D15" s="243">
        <f>VLOOKUP(B15,m.o.!$A:$G,7,FALSE)</f>
        <v>11.64</v>
      </c>
      <c r="E15" s="260"/>
      <c r="F15" s="258"/>
      <c r="G15" s="300">
        <v>2</v>
      </c>
      <c r="H15" s="244"/>
      <c r="I15" s="249">
        <f>TRUNC(D15*G15,2)</f>
        <v>23.28</v>
      </c>
    </row>
    <row r="16" spans="1:13" x14ac:dyDescent="0.2">
      <c r="A16" s="199"/>
      <c r="B16" s="233"/>
      <c r="C16" s="233"/>
      <c r="D16" s="199"/>
      <c r="E16" s="199"/>
      <c r="F16" s="234" t="s">
        <v>203</v>
      </c>
      <c r="G16" s="244"/>
      <c r="H16" s="245"/>
      <c r="I16" s="434">
        <f>SUM(I14:I15)</f>
        <v>36.950000000000003</v>
      </c>
    </row>
    <row r="17" spans="1:11" x14ac:dyDescent="0.2">
      <c r="A17" s="199"/>
      <c r="B17" s="233"/>
      <c r="C17" s="233"/>
      <c r="D17" s="199"/>
      <c r="E17" s="199"/>
      <c r="F17" s="199"/>
      <c r="G17" s="199"/>
      <c r="H17" s="199"/>
      <c r="I17" s="200"/>
    </row>
    <row r="18" spans="1:11" x14ac:dyDescent="0.2">
      <c r="A18" s="250" t="s">
        <v>204</v>
      </c>
      <c r="B18" s="247" t="s">
        <v>60</v>
      </c>
      <c r="C18" s="866" t="s">
        <v>17</v>
      </c>
      <c r="D18" s="247" t="s">
        <v>205</v>
      </c>
      <c r="E18" s="247" t="s">
        <v>206</v>
      </c>
      <c r="F18" s="247" t="s">
        <v>207</v>
      </c>
      <c r="G18" s="1276" t="s">
        <v>96</v>
      </c>
      <c r="H18" s="1274"/>
      <c r="I18" s="1275"/>
      <c r="J18" s="302"/>
      <c r="K18" s="302"/>
    </row>
    <row r="19" spans="1:11" x14ac:dyDescent="0.2">
      <c r="A19" s="248"/>
      <c r="B19" s="238"/>
      <c r="C19" s="243"/>
      <c r="D19" s="239"/>
      <c r="E19" s="251"/>
      <c r="F19" s="251"/>
      <c r="G19" s="244"/>
      <c r="H19" s="245"/>
      <c r="I19" s="249">
        <f>TRUNC(C19/100*I16,2)</f>
        <v>0</v>
      </c>
      <c r="J19" s="302"/>
      <c r="K19" s="302"/>
    </row>
    <row r="20" spans="1:11" x14ac:dyDescent="0.2">
      <c r="A20" s="199"/>
      <c r="B20" s="233"/>
      <c r="C20" s="199"/>
      <c r="D20" s="199"/>
      <c r="E20" s="199"/>
      <c r="F20" s="234" t="s">
        <v>1170</v>
      </c>
      <c r="G20" s="244"/>
      <c r="H20" s="245"/>
      <c r="I20" s="434">
        <f>SUM(I19)</f>
        <v>0</v>
      </c>
      <c r="J20" s="302"/>
      <c r="K20" s="302"/>
    </row>
    <row r="21" spans="1:11" x14ac:dyDescent="0.2">
      <c r="A21" s="199"/>
      <c r="B21" s="233"/>
      <c r="C21" s="199"/>
      <c r="D21" s="199"/>
      <c r="E21" s="199"/>
      <c r="F21" s="199"/>
      <c r="G21" s="199"/>
      <c r="H21" s="199"/>
      <c r="I21" s="200"/>
      <c r="J21" s="302"/>
      <c r="K21" s="302"/>
    </row>
    <row r="22" spans="1:11" x14ac:dyDescent="0.2">
      <c r="A22" s="252"/>
      <c r="B22" s="253"/>
      <c r="C22" s="254"/>
      <c r="D22" s="254"/>
      <c r="E22" s="254"/>
      <c r="F22" s="255" t="s">
        <v>208</v>
      </c>
      <c r="G22" s="435"/>
      <c r="H22" s="254"/>
      <c r="I22" s="634">
        <f>+I11+I16+I20</f>
        <v>665.02</v>
      </c>
      <c r="J22" s="302"/>
      <c r="K22" s="302"/>
    </row>
    <row r="23" spans="1:11" x14ac:dyDescent="0.2">
      <c r="A23" s="256"/>
      <c r="B23" s="257"/>
      <c r="C23" s="258"/>
      <c r="D23" s="258"/>
      <c r="E23" s="258"/>
      <c r="F23" s="259" t="s">
        <v>209</v>
      </c>
      <c r="G23" s="260"/>
      <c r="H23" s="258"/>
      <c r="I23" s="635">
        <v>1700</v>
      </c>
      <c r="J23" s="302"/>
      <c r="K23" s="302"/>
    </row>
    <row r="24" spans="1:11" x14ac:dyDescent="0.2">
      <c r="A24" s="237"/>
      <c r="B24" s="261"/>
      <c r="C24" s="245"/>
      <c r="D24" s="245"/>
      <c r="E24" s="245"/>
      <c r="F24" s="262" t="s">
        <v>232</v>
      </c>
      <c r="G24" s="244"/>
      <c r="H24" s="245"/>
      <c r="I24" s="633">
        <f>TRUNC(I22/I23,2)</f>
        <v>0.39</v>
      </c>
      <c r="J24" s="302"/>
      <c r="K24" s="302"/>
    </row>
    <row r="25" spans="1:11" x14ac:dyDescent="0.2">
      <c r="A25" s="867"/>
      <c r="B25" s="233"/>
      <c r="C25" s="199"/>
      <c r="D25" s="199"/>
      <c r="E25" s="199"/>
      <c r="F25" s="263"/>
      <c r="G25" s="199"/>
      <c r="H25" s="199"/>
      <c r="I25" s="264"/>
      <c r="J25" s="302"/>
      <c r="K25" s="302"/>
    </row>
    <row r="26" spans="1:11" x14ac:dyDescent="0.2">
      <c r="A26" s="246" t="s">
        <v>210</v>
      </c>
      <c r="B26" s="247" t="s">
        <v>60</v>
      </c>
      <c r="C26" s="247" t="s">
        <v>211</v>
      </c>
      <c r="D26" s="247" t="s">
        <v>233</v>
      </c>
      <c r="E26" s="1276" t="s">
        <v>91</v>
      </c>
      <c r="F26" s="1274"/>
      <c r="G26" s="1275"/>
      <c r="H26" s="1276" t="s">
        <v>198</v>
      </c>
      <c r="I26" s="1275"/>
      <c r="J26" s="302"/>
      <c r="K26" s="302"/>
    </row>
    <row r="27" spans="1:11" x14ac:dyDescent="0.2">
      <c r="A27" s="265"/>
      <c r="B27" s="238"/>
      <c r="C27" s="266"/>
      <c r="D27" s="267"/>
      <c r="E27" s="260"/>
      <c r="F27" s="258"/>
      <c r="G27" s="300"/>
      <c r="H27" s="260"/>
      <c r="I27" s="268">
        <f>TRUNC(D27*G27,2)</f>
        <v>0</v>
      </c>
      <c r="J27" s="302"/>
      <c r="K27" s="302"/>
    </row>
    <row r="28" spans="1:11" x14ac:dyDescent="0.2">
      <c r="A28" s="199"/>
      <c r="B28" s="233"/>
      <c r="C28" s="199"/>
      <c r="D28" s="199"/>
      <c r="E28" s="199"/>
      <c r="F28" s="234" t="s">
        <v>212</v>
      </c>
      <c r="G28" s="244"/>
      <c r="H28" s="245"/>
      <c r="I28" s="434">
        <f>SUM(I27:I27)</f>
        <v>0</v>
      </c>
      <c r="J28" s="302"/>
      <c r="K28" s="302"/>
    </row>
    <row r="29" spans="1:11" x14ac:dyDescent="0.2">
      <c r="A29" s="199"/>
      <c r="B29" s="233"/>
      <c r="C29" s="199"/>
      <c r="D29" s="199"/>
      <c r="E29" s="199"/>
      <c r="F29" s="199"/>
      <c r="G29" s="269"/>
      <c r="H29" s="199"/>
      <c r="I29" s="200"/>
      <c r="J29" s="302"/>
      <c r="K29" s="302"/>
    </row>
    <row r="30" spans="1:11" x14ac:dyDescent="0.2">
      <c r="A30" s="270" t="s">
        <v>213</v>
      </c>
      <c r="B30" s="247" t="s">
        <v>60</v>
      </c>
      <c r="C30" s="247" t="s">
        <v>211</v>
      </c>
      <c r="D30" s="866" t="s">
        <v>233</v>
      </c>
      <c r="E30" s="1271" t="s">
        <v>91</v>
      </c>
      <c r="F30" s="1272"/>
      <c r="G30" s="1273"/>
      <c r="H30" s="1274" t="s">
        <v>198</v>
      </c>
      <c r="I30" s="1275"/>
      <c r="J30" s="302"/>
      <c r="K30" s="302"/>
    </row>
    <row r="31" spans="1:11" x14ac:dyDescent="0.2">
      <c r="A31" s="248"/>
      <c r="B31" s="238"/>
      <c r="C31" s="238"/>
      <c r="D31" s="243"/>
      <c r="E31" s="260"/>
      <c r="F31" s="258"/>
      <c r="G31" s="300"/>
      <c r="H31" s="244"/>
      <c r="I31" s="268">
        <f>TRUNC(D31*G31,2)</f>
        <v>0</v>
      </c>
      <c r="J31" s="302"/>
      <c r="K31" s="302"/>
    </row>
    <row r="32" spans="1:11" x14ac:dyDescent="0.2">
      <c r="A32" s="201"/>
      <c r="B32" s="271"/>
      <c r="C32" s="201"/>
      <c r="D32" s="201"/>
      <c r="E32" s="201"/>
      <c r="F32" s="272" t="s">
        <v>214</v>
      </c>
      <c r="G32" s="260"/>
      <c r="H32" s="273"/>
      <c r="I32" s="436">
        <f>SUM(I31:I31)</f>
        <v>0</v>
      </c>
      <c r="J32" s="302"/>
      <c r="K32" s="302"/>
    </row>
    <row r="33" spans="1:13" x14ac:dyDescent="0.2">
      <c r="A33" s="201"/>
      <c r="B33" s="271"/>
      <c r="C33" s="201"/>
      <c r="D33" s="201"/>
      <c r="E33" s="201"/>
      <c r="F33" s="201"/>
      <c r="G33" s="201"/>
      <c r="H33" s="201"/>
      <c r="I33" s="201"/>
      <c r="J33" s="302"/>
      <c r="K33" s="302"/>
    </row>
    <row r="34" spans="1:13" x14ac:dyDescent="0.2">
      <c r="A34" s="274" t="s">
        <v>215</v>
      </c>
      <c r="B34" s="275" t="s">
        <v>60</v>
      </c>
      <c r="C34" s="275" t="s">
        <v>211</v>
      </c>
      <c r="D34" s="275" t="s">
        <v>216</v>
      </c>
      <c r="E34" s="275" t="s">
        <v>217</v>
      </c>
      <c r="F34" s="275" t="s">
        <v>218</v>
      </c>
      <c r="G34" s="275" t="s">
        <v>96</v>
      </c>
      <c r="H34" s="275" t="s">
        <v>91</v>
      </c>
      <c r="I34" s="275" t="s">
        <v>219</v>
      </c>
    </row>
    <row r="35" spans="1:13" x14ac:dyDescent="0.2">
      <c r="A35" s="248"/>
      <c r="B35" s="238"/>
      <c r="C35" s="238"/>
      <c r="D35" s="437"/>
      <c r="E35" s="277"/>
      <c r="F35" s="277"/>
      <c r="G35" s="243"/>
      <c r="H35" s="278"/>
      <c r="I35" s="243">
        <f>TRUNC(G35*H35,2)</f>
        <v>0</v>
      </c>
    </row>
    <row r="36" spans="1:13" x14ac:dyDescent="0.2">
      <c r="A36" s="201"/>
      <c r="B36" s="271"/>
      <c r="C36" s="201"/>
      <c r="D36" s="201"/>
      <c r="E36" s="201"/>
      <c r="F36" s="272" t="s">
        <v>220</v>
      </c>
      <c r="G36" s="244"/>
      <c r="H36" s="279"/>
      <c r="I36" s="438">
        <f>SUM(I35:I35)</f>
        <v>0</v>
      </c>
    </row>
    <row r="37" spans="1:13" x14ac:dyDescent="0.2">
      <c r="A37" s="201"/>
      <c r="B37" s="271"/>
      <c r="C37" s="201"/>
      <c r="D37" s="201"/>
      <c r="E37" s="201"/>
      <c r="F37" s="201"/>
      <c r="G37" s="201"/>
      <c r="H37" s="201"/>
      <c r="I37" s="202"/>
    </row>
    <row r="38" spans="1:13" x14ac:dyDescent="0.2">
      <c r="A38" s="280"/>
      <c r="B38" s="281"/>
      <c r="C38" s="282"/>
      <c r="D38" s="282"/>
      <c r="E38" s="282"/>
      <c r="F38" s="283" t="s">
        <v>221</v>
      </c>
      <c r="G38" s="280"/>
      <c r="H38" s="254"/>
      <c r="I38" s="634">
        <f>+I24+I28+I32+I36</f>
        <v>0.39</v>
      </c>
    </row>
    <row r="39" spans="1:13" x14ac:dyDescent="0.2">
      <c r="A39" s="260"/>
      <c r="B39" s="284"/>
      <c r="C39" s="273"/>
      <c r="D39" s="273"/>
      <c r="E39" s="273"/>
      <c r="F39" s="285" t="str">
        <f>CONCATENATE($H$3," ",$I$3)</f>
        <v>BDI: 23,32</v>
      </c>
      <c r="G39" s="439"/>
      <c r="H39" s="258"/>
      <c r="I39" s="1016">
        <f>+ROUND(I38*$I$4,2)</f>
        <v>0.09</v>
      </c>
    </row>
    <row r="40" spans="1:13" x14ac:dyDescent="0.2">
      <c r="A40" s="244"/>
      <c r="B40" s="286"/>
      <c r="C40" s="279"/>
      <c r="D40" s="279"/>
      <c r="E40" s="279"/>
      <c r="F40" s="287" t="s">
        <v>222</v>
      </c>
      <c r="G40" s="440"/>
      <c r="H40" s="245"/>
      <c r="I40" s="1018">
        <f>+I38+I39</f>
        <v>0.48</v>
      </c>
    </row>
    <row r="41" spans="1:13" s="198" customFormat="1" x14ac:dyDescent="0.2">
      <c r="A41" s="1277" t="str">
        <f>$A$1</f>
        <v>COMPOSIÇÃO DE CUSTOS UNITÁRIOS</v>
      </c>
      <c r="B41" s="1277"/>
      <c r="C41" s="1277"/>
      <c r="D41" s="1277"/>
      <c r="E41" s="1277"/>
      <c r="F41" s="1277"/>
      <c r="G41" s="1277"/>
      <c r="H41" s="1277"/>
      <c r="I41" s="1277"/>
      <c r="J41" s="451"/>
      <c r="K41" s="451"/>
    </row>
    <row r="42" spans="1:13" s="198" customFormat="1" x14ac:dyDescent="0.2">
      <c r="A42" s="447" t="str">
        <f>$A$2</f>
        <v>Tabela Referencial de Preços - DER-ES</v>
      </c>
      <c r="B42" s="448"/>
      <c r="C42" s="449"/>
      <c r="D42" s="449"/>
      <c r="E42" s="449"/>
      <c r="F42" s="449"/>
      <c r="G42" s="449"/>
      <c r="H42" s="449"/>
      <c r="I42" s="450" t="str">
        <f>$I$2</f>
        <v>Data Base: Outubro/2018</v>
      </c>
      <c r="J42" s="451">
        <v>40230</v>
      </c>
      <c r="K42" s="451">
        <f>VLOOKUP("Preço Unitário Total",F44:I3984,4,FALSE)</f>
        <v>3.02</v>
      </c>
      <c r="L42" s="198">
        <f>VLOOKUP(J42,'DER 10-18'!A:E,5,FALSE)</f>
        <v>0</v>
      </c>
      <c r="M42" s="198" t="str">
        <f>VLOOKUP(J42,'DER 10-18'!$A:$D,2,FALSE)</f>
        <v>Escavação e carga de material de 1ª categoria com escavadeira</v>
      </c>
    </row>
    <row r="43" spans="1:13" s="198" customFormat="1" x14ac:dyDescent="0.2">
      <c r="A43" s="1287" t="str">
        <f>+CONCATENATE("Serviço: ",J42," ",VLOOKUP(J42,'DER 10-18'!$A:$D,2,FALSE))</f>
        <v>Serviço: 40230 Escavação e carga de material de 1ª categoria com escavadeira</v>
      </c>
      <c r="B43" s="1287"/>
      <c r="C43" s="1287"/>
      <c r="D43" s="1287"/>
      <c r="E43" s="1287"/>
      <c r="F43" s="1287"/>
      <c r="G43" s="1287"/>
      <c r="H43" s="1287"/>
      <c r="I43" s="1287" t="str">
        <f>CONCATENATE("Unidade: ", VLOOKUP(J42,'DER 10-18'!$A:$E,3,FALSE))</f>
        <v>Unidade: M3</v>
      </c>
      <c r="J43" s="451"/>
      <c r="K43" s="451"/>
    </row>
    <row r="44" spans="1:13" x14ac:dyDescent="0.2">
      <c r="A44" s="1288"/>
      <c r="B44" s="1288"/>
      <c r="C44" s="1288"/>
      <c r="D44" s="1288"/>
      <c r="E44" s="1288"/>
      <c r="F44" s="1288"/>
      <c r="G44" s="1288"/>
      <c r="H44" s="1288"/>
      <c r="I44" s="1288"/>
    </row>
    <row r="45" spans="1:13" ht="22.5" x14ac:dyDescent="0.2">
      <c r="A45" s="235" t="s">
        <v>192</v>
      </c>
      <c r="B45" s="236" t="s">
        <v>60</v>
      </c>
      <c r="C45" s="236" t="s">
        <v>193</v>
      </c>
      <c r="D45" s="236" t="s">
        <v>194</v>
      </c>
      <c r="E45" s="236" t="s">
        <v>195</v>
      </c>
      <c r="F45" s="236" t="s">
        <v>196</v>
      </c>
      <c r="G45" s="236" t="s">
        <v>197</v>
      </c>
      <c r="H45" s="236" t="s">
        <v>91</v>
      </c>
      <c r="I45" s="236" t="s">
        <v>198</v>
      </c>
    </row>
    <row r="46" spans="1:13" ht="22.5" x14ac:dyDescent="0.2">
      <c r="A46" s="237" t="str">
        <f>VLOOKUP(B46,equip.!$A:$G,2,FALSE)</f>
        <v>Escavadeira EC 240 VOLVO ou equivalente</v>
      </c>
      <c r="B46" s="238">
        <v>30044</v>
      </c>
      <c r="C46" s="239" t="str">
        <f>VLOOKUP(B46,equip.!$A$1:$G$239,3,FALSE)</f>
        <v>M</v>
      </c>
      <c r="D46" s="240">
        <v>1</v>
      </c>
      <c r="E46" s="205">
        <v>0</v>
      </c>
      <c r="F46" s="241">
        <f>VLOOKUP(B46,equip.!$A:$G,6,FALSE)</f>
        <v>202.43</v>
      </c>
      <c r="G46" s="241">
        <f>VLOOKUP(B46,equip.!$A:$G,7,FALSE)</f>
        <v>48.16</v>
      </c>
      <c r="H46" s="242">
        <v>1</v>
      </c>
      <c r="I46" s="243">
        <f>TRUNC(D46*F46*H46+E46*G46*H46,2)</f>
        <v>202.43</v>
      </c>
    </row>
    <row r="47" spans="1:13" ht="33.75" x14ac:dyDescent="0.2">
      <c r="A47" s="237" t="str">
        <f>VLOOKUP(B47,equip.!$A:$G,2,FALSE)</f>
        <v>Motoniveladora Caterpillar modelo 120K ( cab + ar + ríper) ou equivalente</v>
      </c>
      <c r="B47" s="238">
        <v>30022</v>
      </c>
      <c r="C47" s="239" t="str">
        <f>VLOOKUP(B47,equip.!$A$1:$G$239,3,FALSE)</f>
        <v>M</v>
      </c>
      <c r="D47" s="240">
        <v>0.11</v>
      </c>
      <c r="E47" s="205">
        <v>0.89</v>
      </c>
      <c r="F47" s="241">
        <f>VLOOKUP(B47,equip.!$A:$G,6,FALSE)</f>
        <v>247.92</v>
      </c>
      <c r="G47" s="241">
        <f>VLOOKUP(B47,equip.!$A:$G,7,FALSE)</f>
        <v>83.72</v>
      </c>
      <c r="H47" s="242">
        <v>1</v>
      </c>
      <c r="I47" s="243">
        <f>TRUNC(D47*F47*H47+E47*G47*H47,2)</f>
        <v>101.78</v>
      </c>
    </row>
    <row r="48" spans="1:13" x14ac:dyDescent="0.2">
      <c r="A48" s="199"/>
      <c r="B48" s="233"/>
      <c r="C48" s="233"/>
      <c r="D48" s="199"/>
      <c r="E48" s="199"/>
      <c r="F48" s="234" t="s">
        <v>199</v>
      </c>
      <c r="G48" s="244"/>
      <c r="H48" s="245"/>
      <c r="I48" s="434">
        <f>SUM(I46:I47)</f>
        <v>304.20999999999998</v>
      </c>
    </row>
    <row r="49" spans="1:11" x14ac:dyDescent="0.2">
      <c r="A49" s="199"/>
      <c r="B49" s="233"/>
      <c r="C49" s="233"/>
      <c r="D49" s="199"/>
      <c r="E49" s="199"/>
      <c r="F49" s="199"/>
      <c r="G49" s="199"/>
      <c r="H49" s="199"/>
      <c r="I49" s="200"/>
    </row>
    <row r="50" spans="1:11" x14ac:dyDescent="0.2">
      <c r="A50" s="246" t="s">
        <v>200</v>
      </c>
      <c r="B50" s="247" t="s">
        <v>60</v>
      </c>
      <c r="C50" s="236" t="s">
        <v>1242</v>
      </c>
      <c r="D50" s="247" t="s">
        <v>202</v>
      </c>
      <c r="E50" s="1271" t="s">
        <v>91</v>
      </c>
      <c r="F50" s="1272"/>
      <c r="G50" s="1273"/>
      <c r="H50" s="1276" t="s">
        <v>198</v>
      </c>
      <c r="I50" s="1275"/>
      <c r="J50" s="302"/>
      <c r="K50" s="302"/>
    </row>
    <row r="51" spans="1:11" x14ac:dyDescent="0.2">
      <c r="A51" s="248" t="str">
        <f>VLOOKUP(B51,m.o.!$A:$H,2,FALSE)</f>
        <v>Encarregado de terraplenagem</v>
      </c>
      <c r="B51" s="238">
        <v>20067</v>
      </c>
      <c r="C51" s="243">
        <f>VLOOKUP(B51,m.o.!$A:$F,4,FALSE)</f>
        <v>2.35</v>
      </c>
      <c r="D51" s="243">
        <f>VLOOKUP(B51,m.o.!$A:$G,7,FALSE)</f>
        <v>27.35</v>
      </c>
      <c r="E51" s="260"/>
      <c r="F51" s="258"/>
      <c r="G51" s="300">
        <v>1</v>
      </c>
      <c r="H51" s="244"/>
      <c r="I51" s="249">
        <f>TRUNC(D51*G51,2)</f>
        <v>27.35</v>
      </c>
      <c r="J51" s="302"/>
      <c r="K51" s="302"/>
    </row>
    <row r="52" spans="1:11" x14ac:dyDescent="0.2">
      <c r="A52" s="248" t="str">
        <f>VLOOKUP(B52,m.o.!$A:$H,2,FALSE)</f>
        <v>Servente</v>
      </c>
      <c r="B52" s="238">
        <v>20002</v>
      </c>
      <c r="C52" s="243">
        <f>VLOOKUP(B52,m.o.!$A:$F,4,FALSE)</f>
        <v>1</v>
      </c>
      <c r="D52" s="243">
        <f>VLOOKUP(B52,m.o.!$A:$G,7,FALSE)</f>
        <v>11.64</v>
      </c>
      <c r="E52" s="260"/>
      <c r="F52" s="258"/>
      <c r="G52" s="300">
        <v>1</v>
      </c>
      <c r="H52" s="244"/>
      <c r="I52" s="249">
        <f>TRUNC(D52*G52,2)</f>
        <v>11.64</v>
      </c>
      <c r="J52" s="302"/>
      <c r="K52" s="302"/>
    </row>
    <row r="53" spans="1:11" x14ac:dyDescent="0.2">
      <c r="A53" s="199"/>
      <c r="B53" s="233"/>
      <c r="C53" s="233"/>
      <c r="D53" s="199"/>
      <c r="E53" s="199"/>
      <c r="F53" s="234" t="s">
        <v>203</v>
      </c>
      <c r="G53" s="244"/>
      <c r="H53" s="245"/>
      <c r="I53" s="434">
        <f>SUM(I51:I52)</f>
        <v>38.99</v>
      </c>
      <c r="J53" s="302"/>
      <c r="K53" s="302"/>
    </row>
    <row r="54" spans="1:11" x14ac:dyDescent="0.2">
      <c r="A54" s="199"/>
      <c r="B54" s="233"/>
      <c r="C54" s="233"/>
      <c r="D54" s="199"/>
      <c r="E54" s="199"/>
      <c r="F54" s="199"/>
      <c r="G54" s="199"/>
      <c r="H54" s="199"/>
      <c r="I54" s="200"/>
      <c r="J54" s="302"/>
      <c r="K54" s="302"/>
    </row>
    <row r="55" spans="1:11" x14ac:dyDescent="0.2">
      <c r="A55" s="250" t="s">
        <v>204</v>
      </c>
      <c r="B55" s="247" t="s">
        <v>60</v>
      </c>
      <c r="C55" s="866" t="s">
        <v>17</v>
      </c>
      <c r="D55" s="247" t="s">
        <v>205</v>
      </c>
      <c r="E55" s="247" t="s">
        <v>206</v>
      </c>
      <c r="F55" s="247" t="s">
        <v>207</v>
      </c>
      <c r="G55" s="1276" t="s">
        <v>96</v>
      </c>
      <c r="H55" s="1274"/>
      <c r="I55" s="1275"/>
      <c r="J55" s="302"/>
      <c r="K55" s="302"/>
    </row>
    <row r="56" spans="1:11" x14ac:dyDescent="0.2">
      <c r="A56" s="248"/>
      <c r="B56" s="238"/>
      <c r="C56" s="243"/>
      <c r="D56" s="239"/>
      <c r="E56" s="251"/>
      <c r="F56" s="251"/>
      <c r="G56" s="244"/>
      <c r="H56" s="245"/>
      <c r="I56" s="249">
        <f>TRUNC(C56/100*I53,2)</f>
        <v>0</v>
      </c>
      <c r="J56" s="302"/>
      <c r="K56" s="302"/>
    </row>
    <row r="57" spans="1:11" x14ac:dyDescent="0.2">
      <c r="A57" s="199"/>
      <c r="B57" s="233"/>
      <c r="C57" s="199"/>
      <c r="D57" s="199"/>
      <c r="E57" s="199"/>
      <c r="F57" s="234" t="s">
        <v>1170</v>
      </c>
      <c r="G57" s="244"/>
      <c r="H57" s="245"/>
      <c r="I57" s="434">
        <f>SUM(I56)</f>
        <v>0</v>
      </c>
      <c r="J57" s="302"/>
      <c r="K57" s="302"/>
    </row>
    <row r="58" spans="1:11" x14ac:dyDescent="0.2">
      <c r="A58" s="199"/>
      <c r="B58" s="233"/>
      <c r="C58" s="199"/>
      <c r="D58" s="199"/>
      <c r="E58" s="199"/>
      <c r="F58" s="199"/>
      <c r="G58" s="199"/>
      <c r="H58" s="199"/>
      <c r="I58" s="200"/>
      <c r="J58" s="302"/>
      <c r="K58" s="302"/>
    </row>
    <row r="59" spans="1:11" x14ac:dyDescent="0.2">
      <c r="A59" s="252"/>
      <c r="B59" s="253"/>
      <c r="C59" s="254"/>
      <c r="D59" s="254"/>
      <c r="E59" s="254"/>
      <c r="F59" s="255" t="s">
        <v>208</v>
      </c>
      <c r="G59" s="435"/>
      <c r="H59" s="254"/>
      <c r="I59" s="634">
        <f>+I48+I53+I57</f>
        <v>343.2</v>
      </c>
      <c r="J59" s="302"/>
      <c r="K59" s="302"/>
    </row>
    <row r="60" spans="1:11" x14ac:dyDescent="0.2">
      <c r="A60" s="256"/>
      <c r="B60" s="257"/>
      <c r="C60" s="258"/>
      <c r="D60" s="258"/>
      <c r="E60" s="258"/>
      <c r="F60" s="259" t="s">
        <v>209</v>
      </c>
      <c r="G60" s="260"/>
      <c r="H60" s="258"/>
      <c r="I60" s="635">
        <v>140</v>
      </c>
      <c r="J60" s="302"/>
      <c r="K60" s="302"/>
    </row>
    <row r="61" spans="1:11" x14ac:dyDescent="0.2">
      <c r="A61" s="237"/>
      <c r="B61" s="261"/>
      <c r="C61" s="245"/>
      <c r="D61" s="245"/>
      <c r="E61" s="245"/>
      <c r="F61" s="262" t="s">
        <v>232</v>
      </c>
      <c r="G61" s="244"/>
      <c r="H61" s="245"/>
      <c r="I61" s="633">
        <f>TRUNC(I59/I60,2)</f>
        <v>2.4500000000000002</v>
      </c>
      <c r="J61" s="302"/>
      <c r="K61" s="302"/>
    </row>
    <row r="62" spans="1:11" x14ac:dyDescent="0.2">
      <c r="A62" s="867"/>
      <c r="B62" s="233"/>
      <c r="C62" s="199"/>
      <c r="D62" s="199"/>
      <c r="E62" s="199"/>
      <c r="F62" s="263"/>
      <c r="G62" s="199"/>
      <c r="H62" s="199"/>
      <c r="I62" s="264"/>
      <c r="J62" s="302"/>
      <c r="K62" s="302"/>
    </row>
    <row r="63" spans="1:11" x14ac:dyDescent="0.2">
      <c r="A63" s="246" t="s">
        <v>210</v>
      </c>
      <c r="B63" s="247" t="s">
        <v>60</v>
      </c>
      <c r="C63" s="247" t="s">
        <v>211</v>
      </c>
      <c r="D63" s="247" t="s">
        <v>233</v>
      </c>
      <c r="E63" s="1276" t="s">
        <v>91</v>
      </c>
      <c r="F63" s="1274"/>
      <c r="G63" s="1275"/>
      <c r="H63" s="1276" t="s">
        <v>198</v>
      </c>
      <c r="I63" s="1275"/>
      <c r="J63" s="302"/>
      <c r="K63" s="302"/>
    </row>
    <row r="64" spans="1:11" x14ac:dyDescent="0.2">
      <c r="A64" s="265"/>
      <c r="B64" s="238"/>
      <c r="C64" s="266"/>
      <c r="D64" s="267"/>
      <c r="E64" s="260"/>
      <c r="F64" s="258"/>
      <c r="G64" s="300"/>
      <c r="H64" s="260"/>
      <c r="I64" s="268">
        <f>TRUNC(D64*G64,2)</f>
        <v>0</v>
      </c>
      <c r="J64" s="302"/>
      <c r="K64" s="302"/>
    </row>
    <row r="65" spans="1:13" x14ac:dyDescent="0.2">
      <c r="A65" s="199"/>
      <c r="B65" s="233"/>
      <c r="C65" s="199"/>
      <c r="D65" s="199"/>
      <c r="E65" s="199"/>
      <c r="F65" s="234" t="s">
        <v>212</v>
      </c>
      <c r="G65" s="244"/>
      <c r="H65" s="245"/>
      <c r="I65" s="434">
        <f>SUM(I64:I64)</f>
        <v>0</v>
      </c>
      <c r="J65" s="302"/>
      <c r="K65" s="302"/>
    </row>
    <row r="66" spans="1:13" x14ac:dyDescent="0.2">
      <c r="A66" s="199"/>
      <c r="B66" s="233"/>
      <c r="C66" s="199"/>
      <c r="D66" s="199"/>
      <c r="E66" s="199"/>
      <c r="F66" s="199"/>
      <c r="G66" s="269"/>
      <c r="H66" s="199"/>
      <c r="I66" s="200"/>
    </row>
    <row r="67" spans="1:13" x14ac:dyDescent="0.2">
      <c r="A67" s="270" t="s">
        <v>213</v>
      </c>
      <c r="B67" s="247" t="s">
        <v>60</v>
      </c>
      <c r="C67" s="247" t="s">
        <v>211</v>
      </c>
      <c r="D67" s="866" t="s">
        <v>233</v>
      </c>
      <c r="E67" s="1271" t="s">
        <v>91</v>
      </c>
      <c r="F67" s="1272"/>
      <c r="G67" s="1273"/>
      <c r="H67" s="1274" t="s">
        <v>198</v>
      </c>
      <c r="I67" s="1275"/>
    </row>
    <row r="68" spans="1:13" x14ac:dyDescent="0.2">
      <c r="A68" s="248"/>
      <c r="B68" s="238"/>
      <c r="C68" s="238"/>
      <c r="D68" s="243"/>
      <c r="E68" s="260"/>
      <c r="F68" s="258"/>
      <c r="G68" s="300"/>
      <c r="H68" s="244"/>
      <c r="I68" s="268">
        <f>TRUNC(D68*G68,2)</f>
        <v>0</v>
      </c>
    </row>
    <row r="69" spans="1:13" x14ac:dyDescent="0.2">
      <c r="A69" s="201"/>
      <c r="B69" s="271"/>
      <c r="C69" s="201"/>
      <c r="D69" s="201"/>
      <c r="E69" s="201"/>
      <c r="F69" s="272" t="s">
        <v>214</v>
      </c>
      <c r="G69" s="260"/>
      <c r="H69" s="273"/>
      <c r="I69" s="436">
        <f>SUM(I68:I68)</f>
        <v>0</v>
      </c>
    </row>
    <row r="70" spans="1:13" x14ac:dyDescent="0.2">
      <c r="A70" s="201"/>
      <c r="B70" s="271"/>
      <c r="C70" s="201"/>
      <c r="D70" s="201"/>
      <c r="E70" s="201"/>
      <c r="F70" s="201"/>
      <c r="G70" s="201"/>
      <c r="H70" s="201"/>
      <c r="I70" s="201"/>
    </row>
    <row r="71" spans="1:13" x14ac:dyDescent="0.2">
      <c r="A71" s="274" t="s">
        <v>215</v>
      </c>
      <c r="B71" s="275" t="s">
        <v>60</v>
      </c>
      <c r="C71" s="275" t="s">
        <v>211</v>
      </c>
      <c r="D71" s="275" t="s">
        <v>216</v>
      </c>
      <c r="E71" s="275" t="s">
        <v>217</v>
      </c>
      <c r="F71" s="275" t="s">
        <v>218</v>
      </c>
      <c r="G71" s="275" t="s">
        <v>96</v>
      </c>
      <c r="H71" s="275" t="s">
        <v>91</v>
      </c>
      <c r="I71" s="275" t="s">
        <v>219</v>
      </c>
    </row>
    <row r="72" spans="1:13" x14ac:dyDescent="0.2">
      <c r="A72" s="248"/>
      <c r="B72" s="238"/>
      <c r="C72" s="238"/>
      <c r="D72" s="437"/>
      <c r="E72" s="277"/>
      <c r="F72" s="277"/>
      <c r="G72" s="243"/>
      <c r="H72" s="278"/>
      <c r="I72" s="243"/>
    </row>
    <row r="73" spans="1:13" x14ac:dyDescent="0.2">
      <c r="A73" s="201"/>
      <c r="B73" s="271"/>
      <c r="C73" s="201"/>
      <c r="D73" s="201"/>
      <c r="E73" s="201"/>
      <c r="F73" s="272" t="s">
        <v>220</v>
      </c>
      <c r="G73" s="244"/>
      <c r="H73" s="279"/>
      <c r="I73" s="438">
        <f>SUM(I72:I72)</f>
        <v>0</v>
      </c>
    </row>
    <row r="74" spans="1:13" x14ac:dyDescent="0.2">
      <c r="A74" s="201"/>
      <c r="B74" s="271"/>
      <c r="C74" s="201"/>
      <c r="D74" s="201"/>
      <c r="E74" s="201"/>
      <c r="F74" s="201"/>
      <c r="G74" s="201"/>
      <c r="H74" s="201"/>
      <c r="I74" s="202"/>
    </row>
    <row r="75" spans="1:13" x14ac:dyDescent="0.2">
      <c r="A75" s="280"/>
      <c r="B75" s="281"/>
      <c r="C75" s="282"/>
      <c r="D75" s="282"/>
      <c r="E75" s="282"/>
      <c r="F75" s="283" t="s">
        <v>221</v>
      </c>
      <c r="G75" s="280"/>
      <c r="H75" s="254"/>
      <c r="I75" s="634">
        <f>+I61+I65+I69+I73</f>
        <v>2.4500000000000002</v>
      </c>
    </row>
    <row r="76" spans="1:13" x14ac:dyDescent="0.2">
      <c r="A76" s="260"/>
      <c r="B76" s="284"/>
      <c r="C76" s="273"/>
      <c r="D76" s="273"/>
      <c r="E76" s="273"/>
      <c r="F76" s="285" t="str">
        <f>CONCATENATE($H$3," ",$I$3)</f>
        <v>BDI: 23,32</v>
      </c>
      <c r="G76" s="439"/>
      <c r="H76" s="258"/>
      <c r="I76" s="635">
        <f>+ROUND(I75*$I$4,2)</f>
        <v>0.56999999999999995</v>
      </c>
    </row>
    <row r="77" spans="1:13" x14ac:dyDescent="0.2">
      <c r="A77" s="244"/>
      <c r="B77" s="286"/>
      <c r="C77" s="279"/>
      <c r="D77" s="279"/>
      <c r="E77" s="279"/>
      <c r="F77" s="287" t="s">
        <v>222</v>
      </c>
      <c r="G77" s="440"/>
      <c r="H77" s="245"/>
      <c r="I77" s="1017">
        <f>+I75+I76</f>
        <v>3.02</v>
      </c>
    </row>
    <row r="78" spans="1:13" x14ac:dyDescent="0.2">
      <c r="A78" s="1277" t="str">
        <f>$A$1</f>
        <v>COMPOSIÇÃO DE CUSTOS UNITÁRIOS</v>
      </c>
      <c r="B78" s="1277"/>
      <c r="C78" s="1277"/>
      <c r="D78" s="1277"/>
      <c r="E78" s="1277"/>
      <c r="F78" s="1277"/>
      <c r="G78" s="1277"/>
      <c r="H78" s="1277"/>
      <c r="I78" s="1277"/>
    </row>
    <row r="79" spans="1:13" x14ac:dyDescent="0.2">
      <c r="A79" s="232" t="str">
        <f>$A$2</f>
        <v>Tabela Referencial de Preços - DER-ES</v>
      </c>
      <c r="B79" s="233"/>
      <c r="C79" s="199"/>
      <c r="D79" s="199"/>
      <c r="E79" s="199"/>
      <c r="F79" s="199"/>
      <c r="G79" s="199"/>
      <c r="H79" s="199"/>
      <c r="I79" s="234" t="str">
        <f>$I$2</f>
        <v>Data Base: Outubro/2018</v>
      </c>
      <c r="J79" s="433">
        <v>43340</v>
      </c>
      <c r="K79" s="433">
        <f>VLOOKUP("Preço Unitário Total",F81:I4251,4,FALSE)</f>
        <v>6.22</v>
      </c>
      <c r="L79" s="302">
        <f>VLOOKUP(J79,'DER 10-18'!A:E,5,FALSE)</f>
        <v>0</v>
      </c>
      <c r="M79" s="302" t="str">
        <f>VLOOKUP(J79,'DER 10-18'!$A:$D,2,FALSE)</f>
        <v>Compactação de aterros 100% P.I.</v>
      </c>
    </row>
    <row r="80" spans="1:13" x14ac:dyDescent="0.2">
      <c r="A80" s="1278" t="str">
        <f>+CONCATENATE("Serviço: ",J79," ",VLOOKUP(J79,'DER 10-18'!$A:$D,2,FALSE))</f>
        <v>Serviço: 43340 Compactação de aterros 100% P.I.</v>
      </c>
      <c r="B80" s="1278"/>
      <c r="C80" s="1278"/>
      <c r="D80" s="1278"/>
      <c r="E80" s="1278"/>
      <c r="F80" s="1278"/>
      <c r="G80" s="1278"/>
      <c r="H80" s="1278"/>
      <c r="I80" s="1278" t="str">
        <f>CONCATENATE("Unidade: ", VLOOKUP(J79,'DER 10-18'!$A:$E,3,FALSE))</f>
        <v>Unidade: M3</v>
      </c>
    </row>
    <row r="81" spans="1:11" x14ac:dyDescent="0.2">
      <c r="A81" s="1279"/>
      <c r="B81" s="1279"/>
      <c r="C81" s="1279"/>
      <c r="D81" s="1279"/>
      <c r="E81" s="1279"/>
      <c r="F81" s="1279"/>
      <c r="G81" s="1279"/>
      <c r="H81" s="1279"/>
      <c r="I81" s="1279"/>
    </row>
    <row r="82" spans="1:11" ht="22.5" x14ac:dyDescent="0.2">
      <c r="A82" s="235" t="s">
        <v>192</v>
      </c>
      <c r="B82" s="236" t="s">
        <v>60</v>
      </c>
      <c r="C82" s="236" t="s">
        <v>193</v>
      </c>
      <c r="D82" s="236" t="s">
        <v>194</v>
      </c>
      <c r="E82" s="236" t="s">
        <v>195</v>
      </c>
      <c r="F82" s="236" t="s">
        <v>196</v>
      </c>
      <c r="G82" s="236" t="s">
        <v>197</v>
      </c>
      <c r="H82" s="236" t="s">
        <v>91</v>
      </c>
      <c r="I82" s="236" t="s">
        <v>198</v>
      </c>
      <c r="J82" s="302"/>
      <c r="K82" s="302"/>
    </row>
    <row r="83" spans="1:11" ht="22.5" x14ac:dyDescent="0.2">
      <c r="A83" s="237" t="str">
        <f>VLOOKUP(B83,equip.!$A:$G,2,FALSE)</f>
        <v>Caminhão tanque L 1319/48 PBT=12,9t (6.000L)</v>
      </c>
      <c r="B83" s="238">
        <v>30007</v>
      </c>
      <c r="C83" s="239" t="str">
        <f>VLOOKUP(B83,equip.!$A$1:$G$239,3,FALSE)</f>
        <v>M</v>
      </c>
      <c r="D83" s="240">
        <v>0.55000000000000004</v>
      </c>
      <c r="E83" s="205">
        <v>0.45</v>
      </c>
      <c r="F83" s="241">
        <f>VLOOKUP(B83,equip.!$A:$G,6,FALSE)</f>
        <v>155.91</v>
      </c>
      <c r="G83" s="241">
        <f>VLOOKUP(B83,equip.!$A:$G,7,FALSE)</f>
        <v>43.38</v>
      </c>
      <c r="H83" s="242">
        <v>2</v>
      </c>
      <c r="I83" s="243">
        <f t="shared" ref="I83:I88" si="0">TRUNC(D83*F83*H83+E83*G83*H83,2)</f>
        <v>210.54</v>
      </c>
      <c r="J83" s="302"/>
      <c r="K83" s="302"/>
    </row>
    <row r="84" spans="1:11" x14ac:dyDescent="0.2">
      <c r="A84" s="237" t="str">
        <f>VLOOKUP(B84,equip.!$A:$G,2,FALSE)</f>
        <v>Conjunto moto bomba diam. 4"</v>
      </c>
      <c r="B84" s="238">
        <v>30080</v>
      </c>
      <c r="C84" s="239">
        <f>VLOOKUP(B84,equip.!$A$1:$G$239,3,FALSE)</f>
        <v>0</v>
      </c>
      <c r="D84" s="240">
        <v>0.55000000000000004</v>
      </c>
      <c r="E84" s="205">
        <v>0.45</v>
      </c>
      <c r="F84" s="241">
        <f>VLOOKUP(B84,equip.!$A:$G,6,FALSE)</f>
        <v>18.05</v>
      </c>
      <c r="G84" s="241">
        <f>VLOOKUP(B84,equip.!$A:$G,7,FALSE)</f>
        <v>12.15</v>
      </c>
      <c r="H84" s="242">
        <v>1</v>
      </c>
      <c r="I84" s="243">
        <f t="shared" si="0"/>
        <v>15.39</v>
      </c>
      <c r="J84" s="302"/>
      <c r="K84" s="302"/>
    </row>
    <row r="85" spans="1:11" ht="22.5" x14ac:dyDescent="0.2">
      <c r="A85" s="237" t="str">
        <f>VLOOKUP(B85,equip.!$A:$G,2,FALSE)</f>
        <v>Grade de disco GA-24x24 (TATU) ou equivalente</v>
      </c>
      <c r="B85" s="238">
        <v>30054</v>
      </c>
      <c r="C85" s="239">
        <f>VLOOKUP(B85,equip.!$A$1:$G$239,3,FALSE)</f>
        <v>0</v>
      </c>
      <c r="D85" s="240">
        <v>0.5</v>
      </c>
      <c r="E85" s="205">
        <v>0.5</v>
      </c>
      <c r="F85" s="241">
        <f>VLOOKUP(B85,equip.!$A:$G,6,FALSE)</f>
        <v>15.59</v>
      </c>
      <c r="G85" s="241">
        <f>VLOOKUP(B85,equip.!$A:$G,7,FALSE)</f>
        <v>14.45</v>
      </c>
      <c r="H85" s="242">
        <v>1</v>
      </c>
      <c r="I85" s="243">
        <f t="shared" si="0"/>
        <v>15.02</v>
      </c>
      <c r="J85" s="302"/>
      <c r="K85" s="302"/>
    </row>
    <row r="86" spans="1:11" ht="33.75" x14ac:dyDescent="0.2">
      <c r="A86" s="237" t="str">
        <f>VLOOKUP(B86,equip.!$A:$G,2,FALSE)</f>
        <v>Motoniveladora Caterpillar modelo 120K ( cab + ar + ríper) ou equivalente</v>
      </c>
      <c r="B86" s="238">
        <v>30022</v>
      </c>
      <c r="C86" s="239" t="str">
        <f>VLOOKUP(B86,equip.!$A$1:$G$239,3,FALSE)</f>
        <v>M</v>
      </c>
      <c r="D86" s="240">
        <v>0.5</v>
      </c>
      <c r="E86" s="205">
        <v>0.5</v>
      </c>
      <c r="F86" s="241">
        <f>VLOOKUP(B86,equip.!$A:$G,6,FALSE)</f>
        <v>247.92</v>
      </c>
      <c r="G86" s="241">
        <f>VLOOKUP(B86,equip.!$A:$G,7,FALSE)</f>
        <v>83.72</v>
      </c>
      <c r="H86" s="242">
        <v>1</v>
      </c>
      <c r="I86" s="243">
        <f t="shared" si="0"/>
        <v>165.82</v>
      </c>
      <c r="J86" s="302"/>
      <c r="K86" s="302"/>
    </row>
    <row r="87" spans="1:11" ht="22.5" x14ac:dyDescent="0.2">
      <c r="A87" s="237" t="str">
        <f>VLOOKUP(B87,equip.!$A:$G,2,FALSE)</f>
        <v>Rolo AP vib. patas 100 mm CA-25P (DYNAPAC) ou equivalente</v>
      </c>
      <c r="B87" s="238">
        <v>30040</v>
      </c>
      <c r="C87" s="239" t="str">
        <f>VLOOKUP(B87,equip.!$A$1:$G$239,3,FALSE)</f>
        <v>M</v>
      </c>
      <c r="D87" s="240">
        <v>1</v>
      </c>
      <c r="E87" s="205">
        <v>0</v>
      </c>
      <c r="F87" s="241">
        <f>VLOOKUP(B87,equip.!$A:$G,6,FALSE)</f>
        <v>187.58</v>
      </c>
      <c r="G87" s="241">
        <f>VLOOKUP(B87,equip.!$A:$G,7,FALSE)</f>
        <v>58.07</v>
      </c>
      <c r="H87" s="242">
        <v>1</v>
      </c>
      <c r="I87" s="243">
        <f t="shared" si="0"/>
        <v>187.58</v>
      </c>
      <c r="J87" s="302"/>
      <c r="K87" s="302"/>
    </row>
    <row r="88" spans="1:11" ht="33.75" x14ac:dyDescent="0.2">
      <c r="A88" s="237" t="str">
        <f>VLOOKUP(B88,equip.!$A:$G,2,FALSE)</f>
        <v>Trator agrícola MF 297/4 -4 X 4 (MASSEY FERGUSSON) ou equivalente</v>
      </c>
      <c r="B88" s="238">
        <v>30030</v>
      </c>
      <c r="C88" s="239" t="str">
        <f>VLOOKUP(B88,equip.!$A$1:$G$239,3,FALSE)</f>
        <v>M</v>
      </c>
      <c r="D88" s="240">
        <v>0.5</v>
      </c>
      <c r="E88" s="205">
        <v>0.5</v>
      </c>
      <c r="F88" s="241">
        <f>VLOOKUP(B88,equip.!$A:$G,6,FALSE)</f>
        <v>117.24</v>
      </c>
      <c r="G88" s="241">
        <f>VLOOKUP(B88,equip.!$A:$G,7,FALSE)</f>
        <v>30.29</v>
      </c>
      <c r="H88" s="242">
        <v>1</v>
      </c>
      <c r="I88" s="243">
        <f t="shared" si="0"/>
        <v>73.760000000000005</v>
      </c>
      <c r="J88" s="302"/>
      <c r="K88" s="302"/>
    </row>
    <row r="89" spans="1:11" x14ac:dyDescent="0.2">
      <c r="A89" s="199"/>
      <c r="B89" s="233"/>
      <c r="C89" s="233"/>
      <c r="D89" s="199"/>
      <c r="E89" s="199"/>
      <c r="F89" s="234" t="s">
        <v>199</v>
      </c>
      <c r="G89" s="244"/>
      <c r="H89" s="245"/>
      <c r="I89" s="434">
        <f>SUM(I83:I88)</f>
        <v>668.11</v>
      </c>
      <c r="J89" s="302"/>
      <c r="K89" s="302"/>
    </row>
    <row r="90" spans="1:11" x14ac:dyDescent="0.2">
      <c r="A90" s="199"/>
      <c r="B90" s="233"/>
      <c r="C90" s="233"/>
      <c r="D90" s="199"/>
      <c r="E90" s="199"/>
      <c r="F90" s="199"/>
      <c r="G90" s="199"/>
      <c r="H90" s="199"/>
      <c r="I90" s="200"/>
      <c r="J90" s="302"/>
      <c r="K90" s="302"/>
    </row>
    <row r="91" spans="1:11" x14ac:dyDescent="0.2">
      <c r="A91" s="246" t="s">
        <v>200</v>
      </c>
      <c r="B91" s="247" t="s">
        <v>60</v>
      </c>
      <c r="C91" s="236" t="s">
        <v>1242</v>
      </c>
      <c r="D91" s="247" t="s">
        <v>202</v>
      </c>
      <c r="E91" s="1276" t="s">
        <v>91</v>
      </c>
      <c r="F91" s="1274"/>
      <c r="G91" s="1275"/>
      <c r="H91" s="1276" t="s">
        <v>198</v>
      </c>
      <c r="I91" s="1275"/>
      <c r="J91" s="302"/>
      <c r="K91" s="302"/>
    </row>
    <row r="92" spans="1:11" x14ac:dyDescent="0.2">
      <c r="A92" s="248" t="str">
        <f>VLOOKUP(B92,m.o.!$A:$H,2,FALSE)</f>
        <v>Encarregado de terraplenagem</v>
      </c>
      <c r="B92" s="238">
        <v>20067</v>
      </c>
      <c r="C92" s="243">
        <f>VLOOKUP(B92,m.o.!$A:$F,4,FALSE)</f>
        <v>2.35</v>
      </c>
      <c r="D92" s="243">
        <f>VLOOKUP(B92,m.o.!$A:$G,7,FALSE)</f>
        <v>27.35</v>
      </c>
      <c r="E92" s="260"/>
      <c r="F92" s="258"/>
      <c r="G92" s="300">
        <v>0.5</v>
      </c>
      <c r="H92" s="244"/>
      <c r="I92" s="249">
        <f>TRUNC(D92*G92,2)</f>
        <v>13.67</v>
      </c>
      <c r="J92" s="302"/>
      <c r="K92" s="302"/>
    </row>
    <row r="93" spans="1:11" x14ac:dyDescent="0.2">
      <c r="A93" s="248" t="str">
        <f>VLOOKUP(B93,m.o.!$A:$H,2,FALSE)</f>
        <v>Servente</v>
      </c>
      <c r="B93" s="238">
        <v>20002</v>
      </c>
      <c r="C93" s="243">
        <f>VLOOKUP(B93,m.o.!$A:$F,4,FALSE)</f>
        <v>1</v>
      </c>
      <c r="D93" s="243">
        <f>VLOOKUP(B93,m.o.!$A:$G,7,FALSE)</f>
        <v>11.64</v>
      </c>
      <c r="E93" s="244"/>
      <c r="F93" s="245"/>
      <c r="G93" s="441">
        <v>2</v>
      </c>
      <c r="H93" s="244"/>
      <c r="I93" s="249">
        <f>TRUNC(D93*G93,2)</f>
        <v>23.28</v>
      </c>
      <c r="J93" s="302"/>
      <c r="K93" s="302"/>
    </row>
    <row r="94" spans="1:11" x14ac:dyDescent="0.2">
      <c r="A94" s="199"/>
      <c r="B94" s="233"/>
      <c r="C94" s="233"/>
      <c r="D94" s="199"/>
      <c r="E94" s="199"/>
      <c r="F94" s="234" t="s">
        <v>203</v>
      </c>
      <c r="G94" s="244"/>
      <c r="H94" s="245"/>
      <c r="I94" s="434">
        <f>SUM(I92:I93)</f>
        <v>36.950000000000003</v>
      </c>
      <c r="J94" s="302"/>
      <c r="K94" s="302"/>
    </row>
    <row r="95" spans="1:11" x14ac:dyDescent="0.2">
      <c r="A95" s="199"/>
      <c r="B95" s="233"/>
      <c r="C95" s="233"/>
      <c r="D95" s="199"/>
      <c r="E95" s="199"/>
      <c r="F95" s="199"/>
      <c r="G95" s="199"/>
      <c r="H95" s="199"/>
      <c r="I95" s="200"/>
      <c r="J95" s="302"/>
      <c r="K95" s="302"/>
    </row>
    <row r="96" spans="1:11" x14ac:dyDescent="0.2">
      <c r="A96" s="270" t="s">
        <v>204</v>
      </c>
      <c r="B96" s="247" t="s">
        <v>60</v>
      </c>
      <c r="C96" s="866" t="s">
        <v>17</v>
      </c>
      <c r="D96" s="247" t="s">
        <v>205</v>
      </c>
      <c r="E96" s="247" t="s">
        <v>206</v>
      </c>
      <c r="F96" s="247" t="s">
        <v>207</v>
      </c>
      <c r="G96" s="1276" t="s">
        <v>96</v>
      </c>
      <c r="H96" s="1274"/>
      <c r="I96" s="1275"/>
      <c r="J96" s="302"/>
      <c r="K96" s="302"/>
    </row>
    <row r="97" spans="1:11" x14ac:dyDescent="0.2">
      <c r="A97" s="248" t="s">
        <v>142</v>
      </c>
      <c r="B97" s="238">
        <v>2000</v>
      </c>
      <c r="C97" s="243">
        <v>5</v>
      </c>
      <c r="D97" s="239" t="s">
        <v>223</v>
      </c>
      <c r="E97" s="251"/>
      <c r="F97" s="251"/>
      <c r="G97" s="244"/>
      <c r="H97" s="245"/>
      <c r="I97" s="249">
        <f>TRUNC(C97/100*I94,2)</f>
        <v>1.84</v>
      </c>
      <c r="J97" s="302"/>
      <c r="K97" s="302"/>
    </row>
    <row r="98" spans="1:11" x14ac:dyDescent="0.2">
      <c r="A98" s="199"/>
      <c r="B98" s="233"/>
      <c r="C98" s="199"/>
      <c r="D98" s="199"/>
      <c r="E98" s="199"/>
      <c r="F98" s="234" t="s">
        <v>1170</v>
      </c>
      <c r="G98" s="244"/>
      <c r="H98" s="245"/>
      <c r="I98" s="434">
        <f>SUM(I97)</f>
        <v>1.84</v>
      </c>
      <c r="K98" s="302"/>
    </row>
    <row r="99" spans="1:11" x14ac:dyDescent="0.2">
      <c r="A99" s="199"/>
      <c r="B99" s="233"/>
      <c r="C99" s="199"/>
      <c r="D99" s="199"/>
      <c r="E99" s="199"/>
      <c r="F99" s="199"/>
      <c r="G99" s="199"/>
      <c r="H99" s="199"/>
      <c r="I99" s="200"/>
      <c r="K99" s="302"/>
    </row>
    <row r="100" spans="1:11" x14ac:dyDescent="0.2">
      <c r="A100" s="252"/>
      <c r="B100" s="253"/>
      <c r="C100" s="254"/>
      <c r="D100" s="254"/>
      <c r="E100" s="254"/>
      <c r="F100" s="255" t="s">
        <v>208</v>
      </c>
      <c r="G100" s="435"/>
      <c r="H100" s="254"/>
      <c r="I100" s="634">
        <f>+I89+I94+I98</f>
        <v>706.9</v>
      </c>
      <c r="K100" s="302"/>
    </row>
    <row r="101" spans="1:11" x14ac:dyDescent="0.2">
      <c r="A101" s="256"/>
      <c r="B101" s="257"/>
      <c r="C101" s="258"/>
      <c r="D101" s="258"/>
      <c r="E101" s="258"/>
      <c r="F101" s="259" t="s">
        <v>209</v>
      </c>
      <c r="G101" s="260"/>
      <c r="H101" s="258"/>
      <c r="I101" s="635">
        <v>140</v>
      </c>
      <c r="K101" s="302"/>
    </row>
    <row r="102" spans="1:11" x14ac:dyDescent="0.2">
      <c r="A102" s="237"/>
      <c r="B102" s="261"/>
      <c r="C102" s="245"/>
      <c r="D102" s="245"/>
      <c r="E102" s="245"/>
      <c r="F102" s="262" t="s">
        <v>232</v>
      </c>
      <c r="G102" s="244"/>
      <c r="H102" s="245"/>
      <c r="I102" s="633">
        <f>TRUNC(I100/I101,2)</f>
        <v>5.04</v>
      </c>
      <c r="K102" s="302"/>
    </row>
    <row r="103" spans="1:11" x14ac:dyDescent="0.2">
      <c r="A103" s="867"/>
      <c r="B103" s="233"/>
      <c r="C103" s="199"/>
      <c r="D103" s="199"/>
      <c r="E103" s="199"/>
      <c r="F103" s="263"/>
      <c r="G103" s="199"/>
      <c r="H103" s="199"/>
      <c r="I103" s="264"/>
      <c r="K103" s="302"/>
    </row>
    <row r="104" spans="1:11" x14ac:dyDescent="0.2">
      <c r="A104" s="246" t="s">
        <v>210</v>
      </c>
      <c r="B104" s="247" t="s">
        <v>60</v>
      </c>
      <c r="C104" s="247" t="s">
        <v>211</v>
      </c>
      <c r="D104" s="247" t="s">
        <v>233</v>
      </c>
      <c r="E104" s="1276" t="s">
        <v>91</v>
      </c>
      <c r="F104" s="1274"/>
      <c r="G104" s="1275"/>
      <c r="H104" s="1276" t="s">
        <v>198</v>
      </c>
      <c r="I104" s="1275"/>
      <c r="K104" s="302"/>
    </row>
    <row r="105" spans="1:11" x14ac:dyDescent="0.2">
      <c r="A105" s="265"/>
      <c r="B105" s="238"/>
      <c r="C105" s="266"/>
      <c r="D105" s="267"/>
      <c r="E105" s="260"/>
      <c r="F105" s="258"/>
      <c r="G105" s="300"/>
      <c r="H105" s="260"/>
      <c r="I105" s="268">
        <f>TRUNC(D105*G105,2)</f>
        <v>0</v>
      </c>
      <c r="K105" s="302"/>
    </row>
    <row r="106" spans="1:11" x14ac:dyDescent="0.2">
      <c r="A106" s="199"/>
      <c r="B106" s="233"/>
      <c r="C106" s="199"/>
      <c r="D106" s="199"/>
      <c r="E106" s="199"/>
      <c r="F106" s="234" t="s">
        <v>212</v>
      </c>
      <c r="G106" s="244"/>
      <c r="H106" s="245"/>
      <c r="I106" s="434">
        <f>SUM(I105:I105)</f>
        <v>0</v>
      </c>
      <c r="K106" s="302"/>
    </row>
    <row r="107" spans="1:11" x14ac:dyDescent="0.2">
      <c r="A107" s="199"/>
      <c r="B107" s="233"/>
      <c r="C107" s="199"/>
      <c r="D107" s="199"/>
      <c r="E107" s="199"/>
      <c r="F107" s="199"/>
      <c r="G107" s="269"/>
      <c r="H107" s="199"/>
      <c r="I107" s="200"/>
      <c r="K107" s="302"/>
    </row>
    <row r="108" spans="1:11" x14ac:dyDescent="0.2">
      <c r="A108" s="270" t="s">
        <v>213</v>
      </c>
      <c r="B108" s="247" t="s">
        <v>60</v>
      </c>
      <c r="C108" s="247" t="s">
        <v>211</v>
      </c>
      <c r="D108" s="866" t="s">
        <v>233</v>
      </c>
      <c r="E108" s="1276" t="s">
        <v>91</v>
      </c>
      <c r="F108" s="1274"/>
      <c r="G108" s="1275"/>
      <c r="H108" s="1276" t="s">
        <v>198</v>
      </c>
      <c r="I108" s="1275"/>
      <c r="K108" s="302"/>
    </row>
    <row r="109" spans="1:11" x14ac:dyDescent="0.2">
      <c r="A109" s="248"/>
      <c r="B109" s="238"/>
      <c r="C109" s="238"/>
      <c r="D109" s="243"/>
      <c r="E109" s="260"/>
      <c r="F109" s="258"/>
      <c r="G109" s="300"/>
      <c r="H109" s="244"/>
      <c r="I109" s="268">
        <f>TRUNC(D109*G109,2)</f>
        <v>0</v>
      </c>
      <c r="K109" s="302"/>
    </row>
    <row r="110" spans="1:11" x14ac:dyDescent="0.2">
      <c r="A110" s="201"/>
      <c r="B110" s="271"/>
      <c r="C110" s="201"/>
      <c r="D110" s="201"/>
      <c r="E110" s="201"/>
      <c r="F110" s="272" t="s">
        <v>214</v>
      </c>
      <c r="G110" s="260"/>
      <c r="H110" s="273"/>
      <c r="I110" s="436">
        <f>SUM(I107:I109)</f>
        <v>0</v>
      </c>
      <c r="K110" s="302"/>
    </row>
    <row r="111" spans="1:11" x14ac:dyDescent="0.2">
      <c r="A111" s="201"/>
      <c r="B111" s="271"/>
      <c r="C111" s="201"/>
      <c r="D111" s="201"/>
      <c r="E111" s="201"/>
      <c r="F111" s="201"/>
      <c r="G111" s="201"/>
      <c r="H111" s="201"/>
      <c r="I111" s="201"/>
      <c r="K111" s="302"/>
    </row>
    <row r="112" spans="1:11" x14ac:dyDescent="0.2">
      <c r="A112" s="442" t="s">
        <v>215</v>
      </c>
      <c r="B112" s="275" t="s">
        <v>60</v>
      </c>
      <c r="C112" s="275" t="s">
        <v>211</v>
      </c>
      <c r="D112" s="275" t="s">
        <v>216</v>
      </c>
      <c r="E112" s="275" t="s">
        <v>217</v>
      </c>
      <c r="F112" s="275" t="s">
        <v>218</v>
      </c>
      <c r="G112" s="275" t="s">
        <v>96</v>
      </c>
      <c r="H112" s="275" t="s">
        <v>91</v>
      </c>
      <c r="I112" s="275" t="s">
        <v>219</v>
      </c>
      <c r="K112" s="302"/>
    </row>
    <row r="113" spans="1:13" x14ac:dyDescent="0.2">
      <c r="A113" s="248"/>
      <c r="B113" s="238"/>
      <c r="C113" s="238"/>
      <c r="D113" s="276"/>
      <c r="E113" s="277"/>
      <c r="F113" s="277"/>
      <c r="G113" s="243"/>
      <c r="H113" s="278"/>
      <c r="I113" s="243">
        <f>TRUNC(G113*H113,2)</f>
        <v>0</v>
      </c>
      <c r="K113" s="302"/>
    </row>
    <row r="114" spans="1:13" x14ac:dyDescent="0.2">
      <c r="A114" s="201"/>
      <c r="B114" s="271"/>
      <c r="C114" s="201"/>
      <c r="D114" s="201"/>
      <c r="E114" s="201"/>
      <c r="F114" s="272" t="s">
        <v>220</v>
      </c>
      <c r="G114" s="244"/>
      <c r="H114" s="279"/>
      <c r="I114" s="438">
        <f>SUM(I113:I113)</f>
        <v>0</v>
      </c>
    </row>
    <row r="115" spans="1:13" x14ac:dyDescent="0.2">
      <c r="A115" s="201"/>
      <c r="B115" s="271"/>
      <c r="C115" s="201"/>
      <c r="D115" s="201"/>
      <c r="E115" s="201"/>
      <c r="F115" s="201"/>
      <c r="G115" s="201"/>
      <c r="H115" s="201"/>
      <c r="I115" s="202"/>
    </row>
    <row r="116" spans="1:13" x14ac:dyDescent="0.2">
      <c r="A116" s="280"/>
      <c r="B116" s="281"/>
      <c r="C116" s="282"/>
      <c r="D116" s="282"/>
      <c r="E116" s="282"/>
      <c r="F116" s="283" t="s">
        <v>221</v>
      </c>
      <c r="G116" s="280"/>
      <c r="H116" s="254"/>
      <c r="I116" s="634">
        <f>+I102+I106+I110+I114</f>
        <v>5.04</v>
      </c>
    </row>
    <row r="117" spans="1:13" x14ac:dyDescent="0.2">
      <c r="A117" s="260"/>
      <c r="B117" s="284"/>
      <c r="C117" s="273"/>
      <c r="D117" s="273"/>
      <c r="E117" s="273"/>
      <c r="F117" s="285" t="str">
        <f>CONCATENATE($H$3," ",$I$3)</f>
        <v>BDI: 23,32</v>
      </c>
      <c r="G117" s="439"/>
      <c r="H117" s="258"/>
      <c r="I117" s="635">
        <f>+ROUND(I116*$I$4,2)</f>
        <v>1.18</v>
      </c>
    </row>
    <row r="118" spans="1:13" x14ac:dyDescent="0.2">
      <c r="A118" s="244"/>
      <c r="B118" s="286"/>
      <c r="C118" s="279"/>
      <c r="D118" s="279"/>
      <c r="E118" s="279"/>
      <c r="F118" s="287" t="s">
        <v>222</v>
      </c>
      <c r="G118" s="440"/>
      <c r="H118" s="245"/>
      <c r="I118" s="1017">
        <f>+I116+I117</f>
        <v>6.22</v>
      </c>
    </row>
    <row r="119" spans="1:13" x14ac:dyDescent="0.2">
      <c r="A119" s="1277" t="str">
        <f>$A$1</f>
        <v>COMPOSIÇÃO DE CUSTOS UNITÁRIOS</v>
      </c>
      <c r="B119" s="1277"/>
      <c r="C119" s="1277"/>
      <c r="D119" s="1277"/>
      <c r="E119" s="1277"/>
      <c r="F119" s="1277"/>
      <c r="G119" s="1277"/>
      <c r="H119" s="1277"/>
      <c r="I119" s="1277"/>
    </row>
    <row r="120" spans="1:13" x14ac:dyDescent="0.2">
      <c r="A120" s="232" t="str">
        <f>$A$2</f>
        <v>Tabela Referencial de Preços - DER-ES</v>
      </c>
      <c r="B120" s="233"/>
      <c r="C120" s="199"/>
      <c r="D120" s="199"/>
      <c r="E120" s="199"/>
      <c r="F120" s="199"/>
      <c r="G120" s="199"/>
      <c r="H120" s="199"/>
      <c r="I120" s="234" t="str">
        <f>$I$2</f>
        <v>Data Base: Outubro/2018</v>
      </c>
      <c r="J120" s="433">
        <v>40228</v>
      </c>
      <c r="K120" s="433">
        <f>VLOOKUP("Preço Unitário Total",F122:I4251,4,FALSE)</f>
        <v>4.82</v>
      </c>
      <c r="L120" s="302">
        <f>VLOOKUP(J120,'DER 10-18'!A:E,5,FALSE)</f>
        <v>0</v>
      </c>
      <c r="M120" s="302" t="str">
        <f>VLOOKUP(J120,'DER 10-18'!$A:$D,2,FALSE)</f>
        <v>Compactação de aterros 100% PN</v>
      </c>
    </row>
    <row r="121" spans="1:13" x14ac:dyDescent="0.2">
      <c r="A121" s="1278" t="str">
        <f>+CONCATENATE("Serviço: ",J120," ",VLOOKUP(J120,'DER 10-18'!$A:$D,2,FALSE))</f>
        <v>Serviço: 40228 Compactação de aterros 100% PN</v>
      </c>
      <c r="B121" s="1278"/>
      <c r="C121" s="1278"/>
      <c r="D121" s="1278"/>
      <c r="E121" s="1278"/>
      <c r="F121" s="1278"/>
      <c r="G121" s="1278"/>
      <c r="H121" s="1278"/>
      <c r="I121" s="1278" t="str">
        <f>CONCATENATE("Unidade: ", VLOOKUP(J120,'DER 10-18'!$A:$E,3,FALSE))</f>
        <v>Unidade: M3</v>
      </c>
    </row>
    <row r="122" spans="1:13" x14ac:dyDescent="0.2">
      <c r="A122" s="1279"/>
      <c r="B122" s="1279"/>
      <c r="C122" s="1279"/>
      <c r="D122" s="1279"/>
      <c r="E122" s="1279"/>
      <c r="F122" s="1279"/>
      <c r="G122" s="1279"/>
      <c r="H122" s="1279"/>
      <c r="I122" s="1279"/>
    </row>
    <row r="123" spans="1:13" ht="22.5" x14ac:dyDescent="0.2">
      <c r="A123" s="235" t="s">
        <v>192</v>
      </c>
      <c r="B123" s="236" t="s">
        <v>60</v>
      </c>
      <c r="C123" s="236" t="s">
        <v>193</v>
      </c>
      <c r="D123" s="236" t="s">
        <v>194</v>
      </c>
      <c r="E123" s="236" t="s">
        <v>195</v>
      </c>
      <c r="F123" s="236" t="s">
        <v>196</v>
      </c>
      <c r="G123" s="236" t="s">
        <v>197</v>
      </c>
      <c r="H123" s="236" t="s">
        <v>91</v>
      </c>
      <c r="I123" s="236" t="s">
        <v>198</v>
      </c>
    </row>
    <row r="124" spans="1:13" ht="22.5" x14ac:dyDescent="0.2">
      <c r="A124" s="237" t="str">
        <f>VLOOKUP(B124,equip.!$A:$G,2,FALSE)</f>
        <v>Caminhão tanque L 1319/48 PBT=12,9t (6.000L)</v>
      </c>
      <c r="B124" s="238">
        <v>30007</v>
      </c>
      <c r="C124" s="239" t="str">
        <f>VLOOKUP(B124,equip.!$A$1:$G$239,3,FALSE)</f>
        <v>M</v>
      </c>
      <c r="D124" s="240">
        <v>0.55000000000000004</v>
      </c>
      <c r="E124" s="205">
        <v>0.45</v>
      </c>
      <c r="F124" s="241">
        <f>VLOOKUP(B124,equip.!$A:$G,6,FALSE)</f>
        <v>155.91</v>
      </c>
      <c r="G124" s="241">
        <f>VLOOKUP(B124,equip.!$A:$G,7,FALSE)</f>
        <v>43.38</v>
      </c>
      <c r="H124" s="242">
        <v>2</v>
      </c>
      <c r="I124" s="243">
        <f t="shared" ref="I124:I129" si="1">TRUNC(D124*F124*H124+E124*G124*H124,2)</f>
        <v>210.54</v>
      </c>
    </row>
    <row r="125" spans="1:13" x14ac:dyDescent="0.2">
      <c r="A125" s="237" t="str">
        <f>VLOOKUP(B125,equip.!$A:$G,2,FALSE)</f>
        <v>Conjunto moto bomba diam. 4"</v>
      </c>
      <c r="B125" s="238">
        <v>30080</v>
      </c>
      <c r="C125" s="239">
        <f>VLOOKUP(B125,equip.!$A$1:$G$239,3,FALSE)</f>
        <v>0</v>
      </c>
      <c r="D125" s="240">
        <v>0.55000000000000004</v>
      </c>
      <c r="E125" s="205">
        <v>0.45</v>
      </c>
      <c r="F125" s="241">
        <f>VLOOKUP(B125,equip.!$A:$G,6,FALSE)</f>
        <v>18.05</v>
      </c>
      <c r="G125" s="241">
        <f>VLOOKUP(B125,equip.!$A:$G,7,FALSE)</f>
        <v>12.15</v>
      </c>
      <c r="H125" s="242">
        <v>1</v>
      </c>
      <c r="I125" s="243">
        <f t="shared" si="1"/>
        <v>15.39</v>
      </c>
    </row>
    <row r="126" spans="1:13" ht="22.5" x14ac:dyDescent="0.2">
      <c r="A126" s="237" t="str">
        <f>VLOOKUP(B126,equip.!$A:$G,2,FALSE)</f>
        <v>Grade de disco GA-24x24 (TATU) ou equivalente</v>
      </c>
      <c r="B126" s="238">
        <v>30054</v>
      </c>
      <c r="C126" s="239">
        <f>VLOOKUP(B126,equip.!$A$1:$G$239,3,FALSE)</f>
        <v>0</v>
      </c>
      <c r="D126" s="240">
        <v>0.5</v>
      </c>
      <c r="E126" s="205">
        <v>0.5</v>
      </c>
      <c r="F126" s="241">
        <f>VLOOKUP(B126,equip.!$A:$G,6,FALSE)</f>
        <v>15.59</v>
      </c>
      <c r="G126" s="241">
        <f>VLOOKUP(B126,equip.!$A:$G,7,FALSE)</f>
        <v>14.45</v>
      </c>
      <c r="H126" s="242">
        <v>1</v>
      </c>
      <c r="I126" s="243">
        <f t="shared" si="1"/>
        <v>15.02</v>
      </c>
    </row>
    <row r="127" spans="1:13" ht="33.75" x14ac:dyDescent="0.2">
      <c r="A127" s="237" t="str">
        <f>VLOOKUP(B127,equip.!$A:$G,2,FALSE)</f>
        <v>Motoniveladora Caterpillar modelo 120K ( cab + ar + ríper) ou equivalente</v>
      </c>
      <c r="B127" s="238">
        <v>30022</v>
      </c>
      <c r="C127" s="239" t="str">
        <f>VLOOKUP(B127,equip.!$A$1:$G$239,3,FALSE)</f>
        <v>M</v>
      </c>
      <c r="D127" s="240">
        <v>0.5</v>
      </c>
      <c r="E127" s="205">
        <v>0.5</v>
      </c>
      <c r="F127" s="241">
        <f>VLOOKUP(B127,equip.!$A:$G,6,FALSE)</f>
        <v>247.92</v>
      </c>
      <c r="G127" s="241">
        <f>VLOOKUP(B127,equip.!$A:$G,7,FALSE)</f>
        <v>83.72</v>
      </c>
      <c r="H127" s="242">
        <v>1</v>
      </c>
      <c r="I127" s="243">
        <f t="shared" si="1"/>
        <v>165.82</v>
      </c>
    </row>
    <row r="128" spans="1:13" ht="22.5" x14ac:dyDescent="0.2">
      <c r="A128" s="237" t="str">
        <f>VLOOKUP(B128,equip.!$A:$G,2,FALSE)</f>
        <v>Rolo AP vib. patas 100 mm CA-25P (DYNAPAC) ou equivalente</v>
      </c>
      <c r="B128" s="238">
        <v>30040</v>
      </c>
      <c r="C128" s="239" t="str">
        <f>VLOOKUP(B128,equip.!$A$1:$G$239,3,FALSE)</f>
        <v>M</v>
      </c>
      <c r="D128" s="240">
        <v>1</v>
      </c>
      <c r="E128" s="205">
        <v>0</v>
      </c>
      <c r="F128" s="241">
        <f>VLOOKUP(B128,equip.!$A:$G,6,FALSE)</f>
        <v>187.58</v>
      </c>
      <c r="G128" s="241">
        <f>VLOOKUP(B128,equip.!$A:$G,7,FALSE)</f>
        <v>58.07</v>
      </c>
      <c r="H128" s="242">
        <v>1</v>
      </c>
      <c r="I128" s="243">
        <f t="shared" si="1"/>
        <v>187.58</v>
      </c>
    </row>
    <row r="129" spans="1:11" ht="33.75" x14ac:dyDescent="0.2">
      <c r="A129" s="237" t="str">
        <f>VLOOKUP(B129,equip.!$A:$G,2,FALSE)</f>
        <v>Trator agrícola MF 297/4 -4 X 4 (MASSEY FERGUSSON) ou equivalente</v>
      </c>
      <c r="B129" s="238">
        <v>30030</v>
      </c>
      <c r="C129" s="239" t="str">
        <f>VLOOKUP(B129,equip.!$A$1:$G$239,3,FALSE)</f>
        <v>M</v>
      </c>
      <c r="D129" s="240">
        <v>0.5</v>
      </c>
      <c r="E129" s="205">
        <v>0.5</v>
      </c>
      <c r="F129" s="241">
        <f>VLOOKUP(B129,equip.!$A:$G,6,FALSE)</f>
        <v>117.24</v>
      </c>
      <c r="G129" s="241">
        <f>VLOOKUP(B129,equip.!$A:$G,7,FALSE)</f>
        <v>30.29</v>
      </c>
      <c r="H129" s="242">
        <v>1</v>
      </c>
      <c r="I129" s="243">
        <f t="shared" si="1"/>
        <v>73.760000000000005</v>
      </c>
    </row>
    <row r="130" spans="1:11" x14ac:dyDescent="0.2">
      <c r="A130" s="199"/>
      <c r="B130" s="233"/>
      <c r="C130" s="233"/>
      <c r="D130" s="199"/>
      <c r="E130" s="199"/>
      <c r="F130" s="234" t="s">
        <v>199</v>
      </c>
      <c r="G130" s="244"/>
      <c r="H130" s="245"/>
      <c r="I130" s="434">
        <f>SUM(I124:I129)</f>
        <v>668.11</v>
      </c>
    </row>
    <row r="131" spans="1:11" x14ac:dyDescent="0.2">
      <c r="A131" s="199"/>
      <c r="B131" s="233"/>
      <c r="C131" s="233"/>
      <c r="D131" s="199"/>
      <c r="E131" s="199"/>
      <c r="F131" s="199"/>
      <c r="G131" s="199"/>
      <c r="H131" s="199"/>
      <c r="I131" s="200"/>
    </row>
    <row r="132" spans="1:11" x14ac:dyDescent="0.2">
      <c r="A132" s="246" t="s">
        <v>200</v>
      </c>
      <c r="B132" s="247" t="s">
        <v>60</v>
      </c>
      <c r="C132" s="236" t="s">
        <v>1242</v>
      </c>
      <c r="D132" s="247" t="s">
        <v>202</v>
      </c>
      <c r="E132" s="1271" t="s">
        <v>91</v>
      </c>
      <c r="F132" s="1272"/>
      <c r="G132" s="1273"/>
      <c r="H132" s="1276" t="s">
        <v>198</v>
      </c>
      <c r="I132" s="1275"/>
    </row>
    <row r="133" spans="1:11" x14ac:dyDescent="0.2">
      <c r="A133" s="248" t="str">
        <f>VLOOKUP(B133,m.o.!$A:$H,2,FALSE)</f>
        <v>Encarregado de terraplenagem</v>
      </c>
      <c r="B133" s="238">
        <v>20067</v>
      </c>
      <c r="C133" s="243">
        <f>VLOOKUP(B133,m.o.!$A:$F,4,FALSE)</f>
        <v>2.35</v>
      </c>
      <c r="D133" s="243">
        <f>VLOOKUP(B133,m.o.!$A:$G,7,FALSE)</f>
        <v>27.35</v>
      </c>
      <c r="E133" s="260"/>
      <c r="F133" s="258"/>
      <c r="G133" s="300">
        <v>0.5</v>
      </c>
      <c r="H133" s="244"/>
      <c r="I133" s="249">
        <f>TRUNC(D133*G133,2)</f>
        <v>13.67</v>
      </c>
    </row>
    <row r="134" spans="1:11" x14ac:dyDescent="0.2">
      <c r="A134" s="248" t="str">
        <f>VLOOKUP(B134,m.o.!$A:$H,2,FALSE)</f>
        <v>Servente</v>
      </c>
      <c r="B134" s="238">
        <v>20002</v>
      </c>
      <c r="C134" s="243">
        <f>VLOOKUP(B134,m.o.!$A:$F,4,FALSE)</f>
        <v>1</v>
      </c>
      <c r="D134" s="243">
        <f>VLOOKUP(B134,m.o.!$A:$G,7,FALSE)</f>
        <v>11.64</v>
      </c>
      <c r="E134" s="260"/>
      <c r="F134" s="258"/>
      <c r="G134" s="300">
        <v>2</v>
      </c>
      <c r="H134" s="244"/>
      <c r="I134" s="249">
        <f>TRUNC(D134*G134,2)</f>
        <v>23.28</v>
      </c>
    </row>
    <row r="135" spans="1:11" x14ac:dyDescent="0.2">
      <c r="A135" s="199"/>
      <c r="B135" s="233"/>
      <c r="C135" s="233"/>
      <c r="D135" s="199"/>
      <c r="E135" s="199"/>
      <c r="F135" s="234" t="s">
        <v>203</v>
      </c>
      <c r="G135" s="244"/>
      <c r="H135" s="245"/>
      <c r="I135" s="434">
        <f>SUM(I133:I134)</f>
        <v>36.950000000000003</v>
      </c>
    </row>
    <row r="136" spans="1:11" x14ac:dyDescent="0.2">
      <c r="A136" s="199"/>
      <c r="B136" s="233"/>
      <c r="C136" s="233"/>
      <c r="D136" s="199"/>
      <c r="E136" s="199"/>
      <c r="F136" s="199"/>
      <c r="G136" s="199"/>
      <c r="H136" s="199"/>
      <c r="I136" s="200"/>
    </row>
    <row r="137" spans="1:11" s="198" customFormat="1" x14ac:dyDescent="0.2">
      <c r="A137" s="250" t="s">
        <v>204</v>
      </c>
      <c r="B137" s="247" t="s">
        <v>60</v>
      </c>
      <c r="C137" s="866" t="s">
        <v>17</v>
      </c>
      <c r="D137" s="247" t="s">
        <v>205</v>
      </c>
      <c r="E137" s="247" t="s">
        <v>206</v>
      </c>
      <c r="F137" s="247" t="s">
        <v>207</v>
      </c>
      <c r="G137" s="1276" t="s">
        <v>96</v>
      </c>
      <c r="H137" s="1274"/>
      <c r="I137" s="1275"/>
      <c r="J137" s="451"/>
      <c r="K137" s="451"/>
    </row>
    <row r="138" spans="1:11" x14ac:dyDescent="0.2">
      <c r="A138" s="452"/>
      <c r="B138" s="453"/>
      <c r="C138" s="454"/>
      <c r="D138" s="460"/>
      <c r="E138" s="461"/>
      <c r="F138" s="461"/>
      <c r="G138" s="458"/>
      <c r="H138" s="462"/>
      <c r="I138" s="463"/>
    </row>
    <row r="139" spans="1:11" x14ac:dyDescent="0.2">
      <c r="A139" s="199"/>
      <c r="B139" s="233"/>
      <c r="C139" s="199"/>
      <c r="D139" s="199"/>
      <c r="E139" s="199"/>
      <c r="F139" s="234" t="s">
        <v>1170</v>
      </c>
      <c r="G139" s="244"/>
      <c r="H139" s="245"/>
      <c r="I139" s="434">
        <f>SUM(I138)</f>
        <v>0</v>
      </c>
    </row>
    <row r="140" spans="1:11" x14ac:dyDescent="0.2">
      <c r="A140" s="199"/>
      <c r="B140" s="233"/>
      <c r="C140" s="199"/>
      <c r="D140" s="199"/>
      <c r="E140" s="199"/>
      <c r="F140" s="199"/>
      <c r="G140" s="199"/>
      <c r="H140" s="199"/>
      <c r="I140" s="200"/>
    </row>
    <row r="141" spans="1:11" x14ac:dyDescent="0.2">
      <c r="A141" s="252"/>
      <c r="B141" s="253"/>
      <c r="C141" s="254"/>
      <c r="D141" s="254"/>
      <c r="E141" s="254"/>
      <c r="F141" s="255" t="s">
        <v>208</v>
      </c>
      <c r="G141" s="435"/>
      <c r="H141" s="254"/>
      <c r="I141" s="634">
        <f>+I130+I135+I139</f>
        <v>705.06</v>
      </c>
    </row>
    <row r="142" spans="1:11" x14ac:dyDescent="0.2">
      <c r="A142" s="256"/>
      <c r="B142" s="257"/>
      <c r="C142" s="258"/>
      <c r="D142" s="258"/>
      <c r="E142" s="258"/>
      <c r="F142" s="259" t="s">
        <v>209</v>
      </c>
      <c r="G142" s="260"/>
      <c r="H142" s="258"/>
      <c r="I142" s="635">
        <v>180</v>
      </c>
    </row>
    <row r="143" spans="1:11" x14ac:dyDescent="0.2">
      <c r="A143" s="237"/>
      <c r="B143" s="261"/>
      <c r="C143" s="245"/>
      <c r="D143" s="245"/>
      <c r="E143" s="245"/>
      <c r="F143" s="262" t="s">
        <v>232</v>
      </c>
      <c r="G143" s="244"/>
      <c r="H143" s="245"/>
      <c r="I143" s="633">
        <f>TRUNC(I141/I142,2)</f>
        <v>3.91</v>
      </c>
    </row>
    <row r="144" spans="1:11" x14ac:dyDescent="0.2">
      <c r="A144" s="867"/>
      <c r="B144" s="233"/>
      <c r="C144" s="199"/>
      <c r="D144" s="199"/>
      <c r="E144" s="199"/>
      <c r="F144" s="263"/>
      <c r="G144" s="199"/>
      <c r="H144" s="199"/>
      <c r="I144" s="264"/>
    </row>
    <row r="145" spans="1:11" x14ac:dyDescent="0.2">
      <c r="A145" s="246" t="s">
        <v>210</v>
      </c>
      <c r="B145" s="247" t="s">
        <v>60</v>
      </c>
      <c r="C145" s="247" t="s">
        <v>211</v>
      </c>
      <c r="D145" s="247" t="s">
        <v>233</v>
      </c>
      <c r="E145" s="1276" t="s">
        <v>91</v>
      </c>
      <c r="F145" s="1274"/>
      <c r="G145" s="1275"/>
      <c r="H145" s="1276" t="s">
        <v>198</v>
      </c>
      <c r="I145" s="1275"/>
    </row>
    <row r="146" spans="1:11" x14ac:dyDescent="0.2">
      <c r="A146" s="265"/>
      <c r="B146" s="238"/>
      <c r="C146" s="266"/>
      <c r="D146" s="267"/>
      <c r="E146" s="260"/>
      <c r="F146" s="258"/>
      <c r="G146" s="300"/>
      <c r="H146" s="260"/>
      <c r="I146" s="268">
        <f>TRUNC(D146*G146,2)</f>
        <v>0</v>
      </c>
    </row>
    <row r="147" spans="1:11" x14ac:dyDescent="0.2">
      <c r="A147" s="199"/>
      <c r="B147" s="233"/>
      <c r="C147" s="199"/>
      <c r="D147" s="199"/>
      <c r="E147" s="199"/>
      <c r="F147" s="234" t="s">
        <v>212</v>
      </c>
      <c r="G147" s="244"/>
      <c r="H147" s="245"/>
      <c r="I147" s="434">
        <f>SUM(I146:I146)</f>
        <v>0</v>
      </c>
    </row>
    <row r="148" spans="1:11" x14ac:dyDescent="0.2">
      <c r="A148" s="199"/>
      <c r="B148" s="233"/>
      <c r="C148" s="199"/>
      <c r="D148" s="199"/>
      <c r="E148" s="199"/>
      <c r="F148" s="199"/>
      <c r="G148" s="269"/>
      <c r="H148" s="199"/>
      <c r="I148" s="200"/>
    </row>
    <row r="149" spans="1:11" x14ac:dyDescent="0.2">
      <c r="A149" s="270" t="s">
        <v>213</v>
      </c>
      <c r="B149" s="247" t="s">
        <v>60</v>
      </c>
      <c r="C149" s="247" t="s">
        <v>211</v>
      </c>
      <c r="D149" s="866" t="s">
        <v>233</v>
      </c>
      <c r="E149" s="1271" t="s">
        <v>91</v>
      </c>
      <c r="F149" s="1272"/>
      <c r="G149" s="1273"/>
      <c r="H149" s="1274" t="s">
        <v>198</v>
      </c>
      <c r="I149" s="1275"/>
    </row>
    <row r="150" spans="1:11" x14ac:dyDescent="0.2">
      <c r="A150" s="248"/>
      <c r="B150" s="238"/>
      <c r="C150" s="238"/>
      <c r="D150" s="243"/>
      <c r="E150" s="260"/>
      <c r="F150" s="258"/>
      <c r="G150" s="300"/>
      <c r="H150" s="244"/>
      <c r="I150" s="268">
        <f>TRUNC(D150*G150,2)</f>
        <v>0</v>
      </c>
    </row>
    <row r="151" spans="1:11" x14ac:dyDescent="0.2">
      <c r="A151" s="201"/>
      <c r="B151" s="271"/>
      <c r="C151" s="201"/>
      <c r="D151" s="201"/>
      <c r="E151" s="201"/>
      <c r="F151" s="272" t="s">
        <v>214</v>
      </c>
      <c r="G151" s="260"/>
      <c r="H151" s="273"/>
      <c r="I151" s="436">
        <f>SUM(I150:I150)</f>
        <v>0</v>
      </c>
    </row>
    <row r="152" spans="1:11" x14ac:dyDescent="0.2">
      <c r="A152" s="201"/>
      <c r="B152" s="271"/>
      <c r="C152" s="201"/>
      <c r="D152" s="201"/>
      <c r="E152" s="201"/>
      <c r="F152" s="201"/>
      <c r="G152" s="201"/>
      <c r="H152" s="201"/>
      <c r="I152" s="201"/>
    </row>
    <row r="153" spans="1:11" x14ac:dyDescent="0.2">
      <c r="A153" s="274" t="s">
        <v>215</v>
      </c>
      <c r="B153" s="275" t="s">
        <v>60</v>
      </c>
      <c r="C153" s="275" t="s">
        <v>211</v>
      </c>
      <c r="D153" s="275" t="s">
        <v>216</v>
      </c>
      <c r="E153" s="275" t="s">
        <v>217</v>
      </c>
      <c r="F153" s="275" t="s">
        <v>218</v>
      </c>
      <c r="G153" s="275" t="s">
        <v>96</v>
      </c>
      <c r="H153" s="275" t="s">
        <v>91</v>
      </c>
      <c r="I153" s="275" t="s">
        <v>219</v>
      </c>
    </row>
    <row r="154" spans="1:11" x14ac:dyDescent="0.2">
      <c r="A154" s="248"/>
      <c r="B154" s="238"/>
      <c r="C154" s="238"/>
      <c r="D154" s="437"/>
      <c r="E154" s="277"/>
      <c r="F154" s="277"/>
      <c r="G154" s="243"/>
      <c r="H154" s="278"/>
      <c r="I154" s="243">
        <f>TRUNC(G154*H154,2)</f>
        <v>0</v>
      </c>
    </row>
    <row r="155" spans="1:11" x14ac:dyDescent="0.2">
      <c r="A155" s="201"/>
      <c r="B155" s="271"/>
      <c r="C155" s="201"/>
      <c r="D155" s="201"/>
      <c r="E155" s="201"/>
      <c r="F155" s="272" t="s">
        <v>220</v>
      </c>
      <c r="G155" s="244"/>
      <c r="H155" s="279"/>
      <c r="I155" s="438">
        <f>SUM(I154:I154)</f>
        <v>0</v>
      </c>
    </row>
    <row r="156" spans="1:11" x14ac:dyDescent="0.2">
      <c r="A156" s="201"/>
      <c r="B156" s="271"/>
      <c r="C156" s="201"/>
      <c r="D156" s="201"/>
      <c r="E156" s="201"/>
      <c r="F156" s="201"/>
      <c r="G156" s="201"/>
      <c r="H156" s="201"/>
      <c r="I156" s="202"/>
    </row>
    <row r="157" spans="1:11" x14ac:dyDescent="0.2">
      <c r="A157" s="280"/>
      <c r="B157" s="281"/>
      <c r="C157" s="282"/>
      <c r="D157" s="282"/>
      <c r="E157" s="282"/>
      <c r="F157" s="283" t="s">
        <v>221</v>
      </c>
      <c r="G157" s="280"/>
      <c r="H157" s="254"/>
      <c r="I157" s="634">
        <f>+I143+I147+I151+I155</f>
        <v>3.91</v>
      </c>
    </row>
    <row r="158" spans="1:11" x14ac:dyDescent="0.2">
      <c r="A158" s="260"/>
      <c r="B158" s="284"/>
      <c r="C158" s="273"/>
      <c r="D158" s="273"/>
      <c r="E158" s="273"/>
      <c r="F158" s="285" t="str">
        <f>CONCATENATE($H$3," ",$I$3)</f>
        <v>BDI: 23,32</v>
      </c>
      <c r="G158" s="439"/>
      <c r="H158" s="258"/>
      <c r="I158" s="635">
        <f>+ROUND(I157*$I$4,2)</f>
        <v>0.91</v>
      </c>
    </row>
    <row r="159" spans="1:11" s="198" customFormat="1" x14ac:dyDescent="0.2">
      <c r="A159" s="244"/>
      <c r="B159" s="286"/>
      <c r="C159" s="279"/>
      <c r="D159" s="279"/>
      <c r="E159" s="279"/>
      <c r="F159" s="287" t="s">
        <v>222</v>
      </c>
      <c r="G159" s="440"/>
      <c r="H159" s="245"/>
      <c r="I159" s="1017">
        <f>+I157+I158</f>
        <v>4.82</v>
      </c>
      <c r="J159" s="451"/>
      <c r="K159" s="451"/>
    </row>
    <row r="160" spans="1:11" s="198" customFormat="1" x14ac:dyDescent="0.2">
      <c r="A160" s="1286" t="str">
        <f>$A$1</f>
        <v>COMPOSIÇÃO DE CUSTOS UNITÁRIOS</v>
      </c>
      <c r="B160" s="1286"/>
      <c r="C160" s="1286"/>
      <c r="D160" s="1286"/>
      <c r="E160" s="1286"/>
      <c r="F160" s="1286"/>
      <c r="G160" s="1286"/>
      <c r="H160" s="1286"/>
      <c r="I160" s="1286"/>
      <c r="J160" s="534"/>
    </row>
    <row r="161" spans="1:12" s="198" customFormat="1" x14ac:dyDescent="0.2">
      <c r="A161" s="447" t="str">
        <f>$A$2</f>
        <v>Tabela Referencial de Preços - DER-ES</v>
      </c>
      <c r="B161" s="448"/>
      <c r="C161" s="449"/>
      <c r="D161" s="449"/>
      <c r="E161" s="449"/>
      <c r="F161" s="449"/>
      <c r="G161" s="449"/>
      <c r="H161" s="449"/>
      <c r="I161" s="450" t="str">
        <f>$I$2</f>
        <v>Data Base: Outubro/2018</v>
      </c>
      <c r="J161" s="574">
        <v>42767</v>
      </c>
      <c r="K161" s="575">
        <f>VLOOKUP("Preço Unitário Total",F162:I4619,4,FALSE)</f>
        <v>627.46</v>
      </c>
      <c r="L161" s="198" t="str">
        <f>VLOOKUP(J161,'DER 10-18'!$A:$D,2,FALSE)</f>
        <v>Corpo BSTC (greide) diâmetro 0,80 m CA-2 PB inclusive escavação, reaterro e transporte do tubo em Vias Urbanas</v>
      </c>
    </row>
    <row r="162" spans="1:12" s="198" customFormat="1" ht="15" customHeight="1" x14ac:dyDescent="0.2">
      <c r="A162" s="1287" t="str">
        <f>+CONCATENATE("Serviço: ",J161," ",VLOOKUP(J161,'DER 10-18'!$A:$D,2,FALSE))</f>
        <v>Serviço: 42767 Corpo BSTC (greide) diâmetro 0,80 m CA-2 PB inclusive escavação, reaterro e transporte do tubo em Vias Urbanas</v>
      </c>
      <c r="B162" s="1287"/>
      <c r="C162" s="1287"/>
      <c r="D162" s="1287"/>
      <c r="E162" s="1287"/>
      <c r="F162" s="1287"/>
      <c r="G162" s="1287"/>
      <c r="H162" s="1287"/>
      <c r="I162" s="1287" t="str">
        <f>CONCATENATE("Unidade: ", VLOOKUP(J161,'DER 10-18'!$A:$E,3,FALSE))</f>
        <v>Unidade: M</v>
      </c>
      <c r="J162" s="534"/>
    </row>
    <row r="163" spans="1:12" s="198" customFormat="1" x14ac:dyDescent="0.2">
      <c r="A163" s="1288"/>
      <c r="B163" s="1288"/>
      <c r="C163" s="1288"/>
      <c r="D163" s="1288"/>
      <c r="E163" s="1288"/>
      <c r="F163" s="1288"/>
      <c r="G163" s="1288"/>
      <c r="H163" s="1288"/>
      <c r="I163" s="1288"/>
      <c r="J163" s="534"/>
    </row>
    <row r="164" spans="1:12" s="198" customFormat="1" ht="22.5" x14ac:dyDescent="0.2">
      <c r="A164" s="469" t="s">
        <v>192</v>
      </c>
      <c r="B164" s="470" t="s">
        <v>60</v>
      </c>
      <c r="C164" s="470" t="s">
        <v>193</v>
      </c>
      <c r="D164" s="470" t="s">
        <v>194</v>
      </c>
      <c r="E164" s="470" t="s">
        <v>195</v>
      </c>
      <c r="F164" s="470" t="s">
        <v>196</v>
      </c>
      <c r="G164" s="470" t="s">
        <v>197</v>
      </c>
      <c r="H164" s="470" t="s">
        <v>91</v>
      </c>
      <c r="I164" s="470" t="s">
        <v>198</v>
      </c>
    </row>
    <row r="165" spans="1:12" s="198" customFormat="1" ht="33.75" x14ac:dyDescent="0.2">
      <c r="A165" s="509" t="str">
        <f>VLOOKUP(B165,equip.!$A:$G,2,FALSE)</f>
        <v>Carregadeira de rodas ref. Caterpillar modelo 924H (1,9 m3) ( cab + ar ) ou equivalente</v>
      </c>
      <c r="B165" s="453">
        <v>30023</v>
      </c>
      <c r="C165" s="460" t="str">
        <f>VLOOKUP(B165,equip.!$A$1:$G$239,3,FALSE)</f>
        <v>M</v>
      </c>
      <c r="D165" s="514">
        <v>0.1</v>
      </c>
      <c r="E165" s="515">
        <v>0.9</v>
      </c>
      <c r="F165" s="516">
        <f>VLOOKUP(B165,equip.!$A:$G,6,FALSE)</f>
        <v>204.45</v>
      </c>
      <c r="G165" s="516">
        <f>VLOOKUP(B165,equip.!$A:$G,7,FALSE)</f>
        <v>66.489999999999995</v>
      </c>
      <c r="H165" s="517">
        <v>1</v>
      </c>
      <c r="I165" s="454">
        <f>TRUNC(D165*F165*H165+E165*G165*H165,2)</f>
        <v>80.28</v>
      </c>
      <c r="J165" s="534"/>
    </row>
    <row r="166" spans="1:12" s="198" customFormat="1" x14ac:dyDescent="0.2">
      <c r="A166" s="449"/>
      <c r="B166" s="448"/>
      <c r="C166" s="448"/>
      <c r="D166" s="449"/>
      <c r="E166" s="449"/>
      <c r="F166" s="450" t="s">
        <v>199</v>
      </c>
      <c r="G166" s="458"/>
      <c r="H166" s="462"/>
      <c r="I166" s="475">
        <f>I165</f>
        <v>80.28</v>
      </c>
      <c r="J166" s="534"/>
    </row>
    <row r="167" spans="1:12" s="198" customFormat="1" ht="24" customHeight="1" x14ac:dyDescent="0.2">
      <c r="A167" s="449"/>
      <c r="B167" s="448"/>
      <c r="C167" s="448"/>
      <c r="D167" s="449"/>
      <c r="E167" s="449"/>
      <c r="F167" s="449"/>
      <c r="G167" s="449"/>
      <c r="H167" s="449"/>
      <c r="I167" s="477"/>
      <c r="J167" s="451"/>
      <c r="K167" s="451"/>
    </row>
    <row r="168" spans="1:12" s="198" customFormat="1" x14ac:dyDescent="0.2">
      <c r="A168" s="500" t="s">
        <v>200</v>
      </c>
      <c r="B168" s="468" t="s">
        <v>60</v>
      </c>
      <c r="C168" s="470" t="s">
        <v>1242</v>
      </c>
      <c r="D168" s="468" t="s">
        <v>202</v>
      </c>
      <c r="E168" s="1281" t="s">
        <v>91</v>
      </c>
      <c r="F168" s="1282"/>
      <c r="G168" s="1283"/>
      <c r="H168" s="1289" t="s">
        <v>198</v>
      </c>
      <c r="I168" s="1285"/>
    </row>
    <row r="169" spans="1:12" s="198" customFormat="1" x14ac:dyDescent="0.2">
      <c r="A169" s="452" t="str">
        <f>VLOOKUP(B169,m.o.!$A:$H,2,FALSE)</f>
        <v>Encarregado de O.A.C.</v>
      </c>
      <c r="B169" s="453">
        <v>20060</v>
      </c>
      <c r="C169" s="454">
        <f>VLOOKUP(B169,m.o.!$A:$F,4,FALSE)</f>
        <v>2.2599999999999998</v>
      </c>
      <c r="D169" s="454">
        <f>VLOOKUP(B169,m.o.!$A:$G,7,FALSE)</f>
        <v>26.3</v>
      </c>
      <c r="E169" s="455"/>
      <c r="F169" s="456"/>
      <c r="G169" s="457">
        <v>0.5</v>
      </c>
      <c r="H169" s="458"/>
      <c r="I169" s="463">
        <f t="shared" ref="I169:I171" si="2">TRUNC(D169*G169,2)</f>
        <v>13.15</v>
      </c>
    </row>
    <row r="170" spans="1:12" x14ac:dyDescent="0.2">
      <c r="A170" s="452" t="str">
        <f>VLOOKUP(B170,m.o.!$A:$H,2,FALSE)</f>
        <v>Pedreiro de O.A.C.</v>
      </c>
      <c r="B170" s="453">
        <v>20109</v>
      </c>
      <c r="C170" s="454">
        <f>VLOOKUP(B170,m.o.!$A:$F,4,FALSE)</f>
        <v>1.24</v>
      </c>
      <c r="D170" s="454">
        <f>VLOOKUP(B170,m.o.!$A:$G,7,FALSE)</f>
        <v>14.43</v>
      </c>
      <c r="E170" s="455"/>
      <c r="F170" s="456"/>
      <c r="G170" s="457">
        <v>1.8</v>
      </c>
      <c r="H170" s="458"/>
      <c r="I170" s="463">
        <f t="shared" si="2"/>
        <v>25.97</v>
      </c>
      <c r="J170" s="302"/>
      <c r="K170" s="302"/>
    </row>
    <row r="171" spans="1:12" x14ac:dyDescent="0.2">
      <c r="A171" s="248" t="str">
        <f>VLOOKUP(B171,m.o.!$A:$H,2,FALSE)</f>
        <v>Servente</v>
      </c>
      <c r="B171" s="238">
        <v>20002</v>
      </c>
      <c r="C171" s="243">
        <f>VLOOKUP(B171,m.o.!$A:$F,4,FALSE)</f>
        <v>1</v>
      </c>
      <c r="D171" s="243">
        <f>VLOOKUP(B171,m.o.!$A:$G,7,FALSE)</f>
        <v>11.64</v>
      </c>
      <c r="E171" s="260"/>
      <c r="F171" s="258"/>
      <c r="G171" s="300">
        <v>3</v>
      </c>
      <c r="H171" s="244"/>
      <c r="I171" s="249">
        <f t="shared" si="2"/>
        <v>34.92</v>
      </c>
    </row>
    <row r="172" spans="1:12" x14ac:dyDescent="0.2">
      <c r="A172" s="199"/>
      <c r="B172" s="233"/>
      <c r="C172" s="233"/>
      <c r="D172" s="199"/>
      <c r="E172" s="199"/>
      <c r="F172" s="234" t="s">
        <v>203</v>
      </c>
      <c r="G172" s="244"/>
      <c r="H172" s="245"/>
      <c r="I172" s="434">
        <f>SUM(I169:I171)</f>
        <v>74.040000000000006</v>
      </c>
    </row>
    <row r="173" spans="1:12" x14ac:dyDescent="0.2">
      <c r="A173" s="199"/>
      <c r="B173" s="233"/>
      <c r="C173" s="233"/>
      <c r="D173" s="199"/>
      <c r="E173" s="199"/>
      <c r="F173" s="199"/>
      <c r="G173" s="199"/>
      <c r="H173" s="199"/>
      <c r="I173" s="200"/>
    </row>
    <row r="174" spans="1:12" x14ac:dyDescent="0.2">
      <c r="A174" s="250" t="s">
        <v>204</v>
      </c>
      <c r="B174" s="247" t="s">
        <v>60</v>
      </c>
      <c r="C174" s="866" t="s">
        <v>17</v>
      </c>
      <c r="D174" s="247" t="s">
        <v>205</v>
      </c>
      <c r="E174" s="247" t="s">
        <v>206</v>
      </c>
      <c r="F174" s="247" t="s">
        <v>207</v>
      </c>
      <c r="G174" s="1276" t="s">
        <v>96</v>
      </c>
      <c r="H174" s="1274"/>
      <c r="I174" s="1275"/>
      <c r="J174" s="302"/>
      <c r="K174" s="302"/>
    </row>
    <row r="175" spans="1:12" x14ac:dyDescent="0.2">
      <c r="A175" s="248" t="s">
        <v>142</v>
      </c>
      <c r="B175" s="238">
        <v>2000</v>
      </c>
      <c r="C175" s="243">
        <v>5</v>
      </c>
      <c r="D175" s="239" t="s">
        <v>223</v>
      </c>
      <c r="E175" s="251"/>
      <c r="F175" s="251"/>
      <c r="G175" s="244"/>
      <c r="H175" s="245"/>
      <c r="I175" s="249">
        <f>TRUNC(C175/100*I172,2)</f>
        <v>3.7</v>
      </c>
    </row>
    <row r="176" spans="1:12" x14ac:dyDescent="0.2">
      <c r="A176" s="199"/>
      <c r="B176" s="233"/>
      <c r="C176" s="199"/>
      <c r="D176" s="199"/>
      <c r="E176" s="199"/>
      <c r="F176" s="234" t="s">
        <v>1170</v>
      </c>
      <c r="G176" s="244"/>
      <c r="H176" s="245"/>
      <c r="I176" s="434">
        <f>SUM(I175)</f>
        <v>3.7</v>
      </c>
    </row>
    <row r="177" spans="1:9" x14ac:dyDescent="0.2">
      <c r="A177" s="199"/>
      <c r="B177" s="233"/>
      <c r="C177" s="199"/>
      <c r="D177" s="199"/>
      <c r="E177" s="199"/>
      <c r="F177" s="199"/>
      <c r="G177" s="199"/>
      <c r="H177" s="199"/>
      <c r="I177" s="200"/>
    </row>
    <row r="178" spans="1:9" x14ac:dyDescent="0.2">
      <c r="A178" s="252"/>
      <c r="B178" s="253"/>
      <c r="C178" s="254"/>
      <c r="D178" s="254"/>
      <c r="E178" s="254"/>
      <c r="F178" s="255" t="s">
        <v>208</v>
      </c>
      <c r="G178" s="435"/>
      <c r="H178" s="254"/>
      <c r="I178" s="634">
        <f>+I166+I172+I176</f>
        <v>158.02000000000001</v>
      </c>
    </row>
    <row r="179" spans="1:9" x14ac:dyDescent="0.2">
      <c r="A179" s="256"/>
      <c r="B179" s="257"/>
      <c r="C179" s="258"/>
      <c r="D179" s="258"/>
      <c r="E179" s="258"/>
      <c r="F179" s="259" t="s">
        <v>209</v>
      </c>
      <c r="G179" s="260"/>
      <c r="H179" s="258"/>
      <c r="I179" s="635">
        <v>0.83</v>
      </c>
    </row>
    <row r="180" spans="1:9" x14ac:dyDescent="0.2">
      <c r="A180" s="237"/>
      <c r="B180" s="261"/>
      <c r="C180" s="245"/>
      <c r="D180" s="245"/>
      <c r="E180" s="245"/>
      <c r="F180" s="262" t="s">
        <v>232</v>
      </c>
      <c r="G180" s="244"/>
      <c r="H180" s="245"/>
      <c r="I180" s="633">
        <f>TRUNC(I178/I179,2)</f>
        <v>190.38</v>
      </c>
    </row>
    <row r="181" spans="1:9" x14ac:dyDescent="0.2">
      <c r="A181" s="867"/>
      <c r="B181" s="233"/>
      <c r="C181" s="199"/>
      <c r="D181" s="199"/>
      <c r="E181" s="199"/>
      <c r="F181" s="263"/>
      <c r="G181" s="199"/>
      <c r="H181" s="199"/>
      <c r="I181" s="264"/>
    </row>
    <row r="182" spans="1:9" x14ac:dyDescent="0.2">
      <c r="A182" s="246" t="s">
        <v>210</v>
      </c>
      <c r="B182" s="247" t="s">
        <v>60</v>
      </c>
      <c r="C182" s="247" t="s">
        <v>211</v>
      </c>
      <c r="D182" s="247" t="s">
        <v>233</v>
      </c>
      <c r="E182" s="1276" t="s">
        <v>91</v>
      </c>
      <c r="F182" s="1274"/>
      <c r="G182" s="1275"/>
      <c r="H182" s="1276" t="s">
        <v>198</v>
      </c>
      <c r="I182" s="1275"/>
    </row>
    <row r="183" spans="1:9" ht="22.5" x14ac:dyDescent="0.2">
      <c r="A183" s="265" t="str">
        <f>VLOOKUP(B183,mat.!$A:$D,2,FALSE)</f>
        <v>Tubo de concreto armado D=0,80m CA-2 PB</v>
      </c>
      <c r="B183" s="238">
        <v>10236</v>
      </c>
      <c r="C183" s="266" t="str">
        <f>VLOOKUP(B183,mat.!$A:$D,3,FALSE)</f>
        <v>M</v>
      </c>
      <c r="D183" s="267">
        <f>VLOOKUP(B183,mat.!$A:$D,4,FALSE)</f>
        <v>163.83000000000001</v>
      </c>
      <c r="E183" s="260"/>
      <c r="F183" s="258"/>
      <c r="G183" s="300">
        <v>1</v>
      </c>
      <c r="H183" s="260"/>
      <c r="I183" s="268">
        <f>TRUNC(D183*G183,2)</f>
        <v>163.83000000000001</v>
      </c>
    </row>
    <row r="184" spans="1:9" x14ac:dyDescent="0.2">
      <c r="A184" s="199"/>
      <c r="B184" s="233"/>
      <c r="C184" s="199"/>
      <c r="D184" s="199"/>
      <c r="E184" s="199"/>
      <c r="F184" s="234" t="s">
        <v>212</v>
      </c>
      <c r="G184" s="244"/>
      <c r="H184" s="245"/>
      <c r="I184" s="434">
        <f>SUM(I183:I183)</f>
        <v>163.83000000000001</v>
      </c>
    </row>
    <row r="185" spans="1:9" x14ac:dyDescent="0.2">
      <c r="A185" s="199"/>
      <c r="B185" s="233"/>
      <c r="C185" s="199"/>
      <c r="D185" s="199"/>
      <c r="E185" s="199"/>
      <c r="F185" s="199"/>
      <c r="G185" s="269"/>
      <c r="H185" s="199"/>
      <c r="I185" s="200"/>
    </row>
    <row r="186" spans="1:9" x14ac:dyDescent="0.2">
      <c r="A186" s="270" t="s">
        <v>213</v>
      </c>
      <c r="B186" s="247" t="s">
        <v>60</v>
      </c>
      <c r="C186" s="247" t="s">
        <v>211</v>
      </c>
      <c r="D186" s="866" t="s">
        <v>233</v>
      </c>
      <c r="E186" s="1271" t="s">
        <v>91</v>
      </c>
      <c r="F186" s="1272"/>
      <c r="G186" s="1273"/>
      <c r="H186" s="1274" t="s">
        <v>198</v>
      </c>
      <c r="I186" s="1275"/>
    </row>
    <row r="187" spans="1:9" ht="22.5" x14ac:dyDescent="0.2">
      <c r="A187" s="452" t="str">
        <f>VLOOKUP(B187,'DER 10-18'!$A:$E,2,FALSE)</f>
        <v>Argamassa cimento e areia traço 1:4, tudo incluído</v>
      </c>
      <c r="B187" s="453">
        <v>40348</v>
      </c>
      <c r="C187" s="453" t="str">
        <f>VLOOKUP(B187,'DER 10-18'!$A:$E,3,FALSE)</f>
        <v>M3</v>
      </c>
      <c r="D187" s="454">
        <f>TRUNC(VLOOKUP(B187,'DER 10-18'!$A:$F,6,FALSE)/(1+$I$4),2)</f>
        <v>405.1</v>
      </c>
      <c r="E187" s="455"/>
      <c r="F187" s="456"/>
      <c r="G187" s="457">
        <v>2.5000000000000001E-2</v>
      </c>
      <c r="H187" s="458"/>
      <c r="I187" s="459">
        <f>TRUNC(D187*G187,2)</f>
        <v>10.119999999999999</v>
      </c>
    </row>
    <row r="188" spans="1:9" ht="22.5" x14ac:dyDescent="0.2">
      <c r="A188" s="452" t="str">
        <f>VLOOKUP(B188,'DER 10-18'!$A:$E,2,FALSE)</f>
        <v>Escavação manual em mat. 1ª cat. H= 0,00 a 1,50 m</v>
      </c>
      <c r="B188" s="453">
        <v>40258</v>
      </c>
      <c r="C188" s="453" t="str">
        <f>VLOOKUP(B188,'DER 10-18'!$A:$E,3,FALSE)</f>
        <v>M3</v>
      </c>
      <c r="D188" s="454">
        <f>TRUNC(VLOOKUP(B188,'DER 10-18'!$A:$F,6,FALSE)/(1+$I$4),2)</f>
        <v>52.61</v>
      </c>
      <c r="E188" s="455"/>
      <c r="F188" s="456"/>
      <c r="G188" s="457">
        <v>0.16</v>
      </c>
      <c r="H188" s="458"/>
      <c r="I188" s="459">
        <f>TRUNC(D188*G188,2)</f>
        <v>8.41</v>
      </c>
    </row>
    <row r="189" spans="1:9" ht="22.5" x14ac:dyDescent="0.2">
      <c r="A189" s="452" t="str">
        <f>VLOOKUP(B189,'DER 10-18'!$A:$E,2,FALSE)</f>
        <v>Escavação mecânica em material de 1ª cat. H= 0,00 a 1,50 m</v>
      </c>
      <c r="B189" s="453">
        <v>40282</v>
      </c>
      <c r="C189" s="453" t="str">
        <f>VLOOKUP(B189,'DER 10-18'!$A:$E,3,FALSE)</f>
        <v>M3</v>
      </c>
      <c r="D189" s="454">
        <f>TRUNC(VLOOKUP(B189,'DER 10-18'!$A:$F,6,FALSE)/(1+$I$4),2)</f>
        <v>9.91</v>
      </c>
      <c r="E189" s="455"/>
      <c r="F189" s="456"/>
      <c r="G189" s="457">
        <v>3</v>
      </c>
      <c r="H189" s="458"/>
      <c r="I189" s="459">
        <f>TRUNC(D189*G189,2)</f>
        <v>29.73</v>
      </c>
    </row>
    <row r="190" spans="1:9" ht="22.5" x14ac:dyDescent="0.2">
      <c r="A190" s="452" t="str">
        <f>VLOOKUP(B190,'DER 10-18'!$A:$E,2,FALSE)</f>
        <v>Reaterro de cavas c/ compactação mecânica (compactador manual)</v>
      </c>
      <c r="B190" s="453">
        <v>40303</v>
      </c>
      <c r="C190" s="453" t="str">
        <f>VLOOKUP(B190,'DER 10-18'!$A:$E,3,FALSE)</f>
        <v>M3</v>
      </c>
      <c r="D190" s="454">
        <f>TRUNC(VLOOKUP(B190,'DER 10-18'!$A:$F,6,FALSE)/(1+$I$4),2)</f>
        <v>34.86</v>
      </c>
      <c r="E190" s="455"/>
      <c r="F190" s="456"/>
      <c r="G190" s="457">
        <v>2.5</v>
      </c>
      <c r="H190" s="458"/>
      <c r="I190" s="459">
        <f>TRUNC(D190*G190,2)</f>
        <v>87.15</v>
      </c>
    </row>
    <row r="191" spans="1:9" x14ac:dyDescent="0.2">
      <c r="A191" s="201"/>
      <c r="B191" s="271"/>
      <c r="C191" s="201"/>
      <c r="D191" s="201"/>
      <c r="E191" s="201"/>
      <c r="F191" s="272" t="s">
        <v>214</v>
      </c>
      <c r="G191" s="260"/>
      <c r="H191" s="273"/>
      <c r="I191" s="436">
        <f>SUM(I187:I190)</f>
        <v>135.41</v>
      </c>
    </row>
    <row r="192" spans="1:9" x14ac:dyDescent="0.2">
      <c r="A192" s="201"/>
      <c r="B192" s="271"/>
      <c r="C192" s="201"/>
      <c r="D192" s="201"/>
      <c r="E192" s="201"/>
      <c r="F192" s="201"/>
      <c r="G192" s="201"/>
      <c r="H192" s="201"/>
      <c r="I192" s="201"/>
    </row>
    <row r="193" spans="1:13" s="198" customFormat="1" x14ac:dyDescent="0.2">
      <c r="A193" s="274" t="s">
        <v>215</v>
      </c>
      <c r="B193" s="275" t="s">
        <v>60</v>
      </c>
      <c r="C193" s="275" t="s">
        <v>211</v>
      </c>
      <c r="D193" s="275" t="s">
        <v>216</v>
      </c>
      <c r="E193" s="275" t="s">
        <v>217</v>
      </c>
      <c r="F193" s="275" t="s">
        <v>218</v>
      </c>
      <c r="G193" s="275" t="s">
        <v>96</v>
      </c>
      <c r="H193" s="275" t="s">
        <v>91</v>
      </c>
      <c r="I193" s="275" t="s">
        <v>219</v>
      </c>
      <c r="J193" s="433" t="s">
        <v>118</v>
      </c>
      <c r="K193" s="451"/>
    </row>
    <row r="194" spans="1:13" ht="22.5" x14ac:dyDescent="0.2">
      <c r="A194" s="265" t="str">
        <f>VLOOKUP(B194,tranp.!A:D,2,FALSE)</f>
        <v>Transp. De Tubo de concreto armado D=0,80m CA-2PB</v>
      </c>
      <c r="B194" s="453">
        <v>1267</v>
      </c>
      <c r="C194" s="453" t="str">
        <f>VLOOKUP(B194,tranp.!$A:$J,3,FALSE)</f>
        <v>t</v>
      </c>
      <c r="D194" s="518" t="str">
        <f>VLOOKUP(B194,tranp.!$A:$J,4,FALSE)</f>
        <v>0,676XP + 0,703XR</v>
      </c>
      <c r="E194" s="519">
        <f>VLOOKUP(J193,Ocor.!$B:$F,4,FALSE)</f>
        <v>37.200000000000003</v>
      </c>
      <c r="F194" s="519">
        <f>VLOOKUP(J193,Ocor.!$B:$F,5,FALSE)</f>
        <v>5.6</v>
      </c>
      <c r="G194" s="454">
        <f>TRUNC(VLOOKUP(B194,tranp.!$A:$J,5,FALSE)*E194+VLOOKUP(B194,tranp.!$A:$J,6,FALSE)*F194+VLOOKUP(B194,tranp.!$A:$J,7,FALSE),2)</f>
        <v>29.08</v>
      </c>
      <c r="H194" s="520">
        <v>0.66</v>
      </c>
      <c r="I194" s="454">
        <f>TRUNC(G194*H194,2)</f>
        <v>19.190000000000001</v>
      </c>
    </row>
    <row r="195" spans="1:13" x14ac:dyDescent="0.2">
      <c r="A195" s="201"/>
      <c r="B195" s="271"/>
      <c r="C195" s="201"/>
      <c r="D195" s="201"/>
      <c r="E195" s="201"/>
      <c r="F195" s="272" t="s">
        <v>220</v>
      </c>
      <c r="G195" s="244"/>
      <c r="H195" s="279"/>
      <c r="I195" s="438">
        <f>I194</f>
        <v>19.190000000000001</v>
      </c>
    </row>
    <row r="196" spans="1:13" x14ac:dyDescent="0.2">
      <c r="A196" s="201"/>
      <c r="B196" s="271"/>
      <c r="C196" s="201"/>
      <c r="D196" s="201"/>
      <c r="E196" s="201"/>
      <c r="F196" s="201"/>
      <c r="G196" s="201"/>
      <c r="H196" s="201"/>
      <c r="I196" s="202"/>
      <c r="J196" s="446"/>
    </row>
    <row r="197" spans="1:13" x14ac:dyDescent="0.2">
      <c r="A197" s="280"/>
      <c r="B197" s="281"/>
      <c r="C197" s="282"/>
      <c r="D197" s="282"/>
      <c r="E197" s="282"/>
      <c r="F197" s="283" t="s">
        <v>221</v>
      </c>
      <c r="G197" s="280"/>
      <c r="H197" s="254"/>
      <c r="I197" s="634">
        <f>+I180+I184+I191+I195</f>
        <v>508.81</v>
      </c>
    </row>
    <row r="198" spans="1:13" x14ac:dyDescent="0.2">
      <c r="A198" s="260"/>
      <c r="B198" s="284"/>
      <c r="C198" s="273"/>
      <c r="D198" s="273"/>
      <c r="E198" s="273"/>
      <c r="F198" s="285" t="str">
        <f>CONCATENATE($H$3," ",$I$3)</f>
        <v>BDI: 23,32</v>
      </c>
      <c r="G198" s="439"/>
      <c r="H198" s="258"/>
      <c r="I198" s="635">
        <f>+ROUND(I197*$I$4,2)</f>
        <v>118.65</v>
      </c>
      <c r="J198" s="446"/>
      <c r="K198" s="302"/>
    </row>
    <row r="199" spans="1:13" s="198" customFormat="1" x14ac:dyDescent="0.2">
      <c r="A199" s="244"/>
      <c r="B199" s="286"/>
      <c r="C199" s="279"/>
      <c r="D199" s="279"/>
      <c r="E199" s="279"/>
      <c r="F199" s="287" t="s">
        <v>222</v>
      </c>
      <c r="G199" s="440"/>
      <c r="H199" s="245"/>
      <c r="I199" s="1017">
        <f>+I197+I198</f>
        <v>627.46</v>
      </c>
      <c r="J199" s="534"/>
    </row>
    <row r="200" spans="1:13" x14ac:dyDescent="0.2">
      <c r="A200" s="1277" t="str">
        <f>$A$1</f>
        <v>COMPOSIÇÃO DE CUSTOS UNITÁRIOS</v>
      </c>
      <c r="B200" s="1277"/>
      <c r="C200" s="1277"/>
      <c r="D200" s="1277"/>
      <c r="E200" s="1277"/>
      <c r="F200" s="1277"/>
      <c r="G200" s="1277"/>
      <c r="H200" s="1277"/>
      <c r="I200" s="1277"/>
    </row>
    <row r="201" spans="1:13" x14ac:dyDescent="0.2">
      <c r="A201" s="232" t="str">
        <f>$A$2</f>
        <v>Tabela Referencial de Preços - DER-ES</v>
      </c>
      <c r="B201" s="233"/>
      <c r="C201" s="199"/>
      <c r="D201" s="199"/>
      <c r="E201" s="199"/>
      <c r="F201" s="199"/>
      <c r="G201" s="199"/>
      <c r="H201" s="199"/>
      <c r="I201" s="234" t="str">
        <f>$I$2</f>
        <v>Data Base: Outubro/2018</v>
      </c>
    </row>
    <row r="202" spans="1:13" x14ac:dyDescent="0.2">
      <c r="A202" s="1278" t="str">
        <f>+CONCATENATE("Serviço: ",J202," ",VLOOKUP(J202,'DER 10-18'!$A:$D,2,FALSE))</f>
        <v>Serviço: 40521 Berço de concreto ciclópico para BDTC diâmetro 1,00 m</v>
      </c>
      <c r="B202" s="1278"/>
      <c r="C202" s="1278"/>
      <c r="D202" s="1278"/>
      <c r="E202" s="1278"/>
      <c r="F202" s="1278"/>
      <c r="G202" s="1278"/>
      <c r="H202" s="1278"/>
      <c r="I202" s="1278" t="str">
        <f>CONCATENATE("Unidade: ", VLOOKUP(J202,'DER 10-18'!$A:$E,3,FALSE))</f>
        <v>Unidade: M</v>
      </c>
      <c r="J202" s="433">
        <v>40521</v>
      </c>
      <c r="K202" s="433">
        <f>VLOOKUP("Preço Unitário Total",F203:I895,4,FALSE)</f>
        <v>658.52</v>
      </c>
      <c r="L202" s="302" t="str">
        <f>VLOOKUP(J202,'DER 10-18'!A:E,5,FALSE)</f>
        <v>A incluir</v>
      </c>
      <c r="M202" s="302" t="str">
        <f>VLOOKUP(J202,'DER 10-18'!$A:$D,2,FALSE)</f>
        <v>Berço de concreto ciclópico para BDTC diâmetro 1,00 m</v>
      </c>
    </row>
    <row r="203" spans="1:13" x14ac:dyDescent="0.2">
      <c r="A203" s="1279"/>
      <c r="B203" s="1279"/>
      <c r="C203" s="1279"/>
      <c r="D203" s="1279"/>
      <c r="E203" s="1279"/>
      <c r="F203" s="1279"/>
      <c r="G203" s="1279"/>
      <c r="H203" s="1279"/>
      <c r="I203" s="1279"/>
    </row>
    <row r="204" spans="1:13" ht="22.5" x14ac:dyDescent="0.2">
      <c r="A204" s="235" t="s">
        <v>192</v>
      </c>
      <c r="B204" s="236" t="s">
        <v>60</v>
      </c>
      <c r="C204" s="236" t="s">
        <v>193</v>
      </c>
      <c r="D204" s="236" t="s">
        <v>194</v>
      </c>
      <c r="E204" s="236" t="s">
        <v>195</v>
      </c>
      <c r="F204" s="236" t="s">
        <v>196</v>
      </c>
      <c r="G204" s="236" t="s">
        <v>197</v>
      </c>
      <c r="H204" s="236" t="s">
        <v>91</v>
      </c>
      <c r="I204" s="236" t="s">
        <v>198</v>
      </c>
    </row>
    <row r="205" spans="1:13" x14ac:dyDescent="0.2">
      <c r="A205" s="237"/>
      <c r="B205" s="238"/>
      <c r="C205" s="239"/>
      <c r="D205" s="240"/>
      <c r="E205" s="205"/>
      <c r="F205" s="241"/>
      <c r="G205" s="241"/>
      <c r="H205" s="242"/>
      <c r="I205" s="243"/>
    </row>
    <row r="206" spans="1:13" x14ac:dyDescent="0.2">
      <c r="A206" s="199"/>
      <c r="B206" s="233"/>
      <c r="C206" s="233"/>
      <c r="D206" s="199"/>
      <c r="E206" s="199"/>
      <c r="F206" s="234" t="s">
        <v>199</v>
      </c>
      <c r="G206" s="244"/>
      <c r="H206" s="245"/>
      <c r="I206" s="434">
        <f>SUM(I205:I205)</f>
        <v>0</v>
      </c>
    </row>
    <row r="207" spans="1:13" x14ac:dyDescent="0.2">
      <c r="A207" s="199"/>
      <c r="B207" s="233"/>
      <c r="C207" s="233"/>
      <c r="D207" s="199"/>
      <c r="E207" s="199"/>
      <c r="F207" s="199"/>
      <c r="G207" s="199"/>
      <c r="H207" s="199"/>
      <c r="I207" s="200"/>
    </row>
    <row r="208" spans="1:13" x14ac:dyDescent="0.2">
      <c r="A208" s="246" t="s">
        <v>200</v>
      </c>
      <c r="B208" s="247" t="s">
        <v>60</v>
      </c>
      <c r="C208" s="236" t="s">
        <v>1242</v>
      </c>
      <c r="D208" s="247" t="s">
        <v>202</v>
      </c>
      <c r="E208" s="1276" t="s">
        <v>91</v>
      </c>
      <c r="F208" s="1274"/>
      <c r="G208" s="1275"/>
      <c r="H208" s="1276" t="s">
        <v>198</v>
      </c>
      <c r="I208" s="1275"/>
    </row>
    <row r="209" spans="1:11" x14ac:dyDescent="0.2">
      <c r="A209" s="248"/>
      <c r="B209" s="238"/>
      <c r="C209" s="243"/>
      <c r="D209" s="243"/>
      <c r="E209" s="260"/>
      <c r="F209" s="258"/>
      <c r="G209" s="300"/>
      <c r="H209" s="244"/>
      <c r="I209" s="249"/>
    </row>
    <row r="210" spans="1:11" x14ac:dyDescent="0.2">
      <c r="A210" s="199"/>
      <c r="B210" s="233"/>
      <c r="C210" s="233"/>
      <c r="D210" s="199"/>
      <c r="E210" s="199"/>
      <c r="F210" s="234" t="s">
        <v>203</v>
      </c>
      <c r="G210" s="244"/>
      <c r="H210" s="245"/>
      <c r="I210" s="434">
        <f>SUM(I209:I209)</f>
        <v>0</v>
      </c>
    </row>
    <row r="211" spans="1:11" x14ac:dyDescent="0.2">
      <c r="A211" s="199"/>
      <c r="B211" s="233"/>
      <c r="C211" s="233"/>
      <c r="D211" s="199"/>
      <c r="E211" s="199"/>
      <c r="F211" s="199"/>
      <c r="G211" s="199"/>
      <c r="H211" s="199"/>
      <c r="I211" s="200"/>
    </row>
    <row r="212" spans="1:11" x14ac:dyDescent="0.2">
      <c r="A212" s="270" t="s">
        <v>204</v>
      </c>
      <c r="B212" s="247" t="s">
        <v>60</v>
      </c>
      <c r="C212" s="866" t="s">
        <v>17</v>
      </c>
      <c r="D212" s="247" t="s">
        <v>205</v>
      </c>
      <c r="E212" s="247" t="s">
        <v>206</v>
      </c>
      <c r="F212" s="247" t="s">
        <v>207</v>
      </c>
      <c r="G212" s="1276" t="s">
        <v>96</v>
      </c>
      <c r="H212" s="1274"/>
      <c r="I212" s="1275"/>
    </row>
    <row r="213" spans="1:11" x14ac:dyDescent="0.2">
      <c r="A213" s="248"/>
      <c r="B213" s="238"/>
      <c r="C213" s="243"/>
      <c r="D213" s="239"/>
      <c r="E213" s="251"/>
      <c r="F213" s="251"/>
      <c r="G213" s="244"/>
      <c r="H213" s="245"/>
      <c r="I213" s="249"/>
    </row>
    <row r="214" spans="1:11" x14ac:dyDescent="0.2">
      <c r="A214" s="199"/>
      <c r="B214" s="233"/>
      <c r="C214" s="199"/>
      <c r="D214" s="199"/>
      <c r="E214" s="199"/>
      <c r="F214" s="234" t="s">
        <v>1170</v>
      </c>
      <c r="G214" s="244"/>
      <c r="H214" s="245"/>
      <c r="I214" s="434">
        <f>SUM(I213)</f>
        <v>0</v>
      </c>
    </row>
    <row r="215" spans="1:11" x14ac:dyDescent="0.2">
      <c r="A215" s="199"/>
      <c r="B215" s="233"/>
      <c r="C215" s="199"/>
      <c r="D215" s="199"/>
      <c r="E215" s="199"/>
      <c r="F215" s="199"/>
      <c r="G215" s="199"/>
      <c r="H215" s="199"/>
      <c r="I215" s="200"/>
    </row>
    <row r="216" spans="1:11" x14ac:dyDescent="0.2">
      <c r="A216" s="252"/>
      <c r="B216" s="253"/>
      <c r="C216" s="254"/>
      <c r="D216" s="254"/>
      <c r="E216" s="254"/>
      <c r="F216" s="255" t="s">
        <v>208</v>
      </c>
      <c r="G216" s="435"/>
      <c r="H216" s="254"/>
      <c r="I216" s="634">
        <f>+I206+I210+I214</f>
        <v>0</v>
      </c>
    </row>
    <row r="217" spans="1:11" x14ac:dyDescent="0.2">
      <c r="A217" s="256"/>
      <c r="B217" s="257"/>
      <c r="C217" s="258"/>
      <c r="D217" s="258"/>
      <c r="E217" s="258"/>
      <c r="F217" s="259" t="s">
        <v>209</v>
      </c>
      <c r="G217" s="260"/>
      <c r="H217" s="258"/>
      <c r="I217" s="635">
        <v>1</v>
      </c>
      <c r="K217" s="302"/>
    </row>
    <row r="218" spans="1:11" x14ac:dyDescent="0.2">
      <c r="A218" s="237"/>
      <c r="B218" s="261"/>
      <c r="C218" s="245"/>
      <c r="D218" s="245"/>
      <c r="E218" s="245"/>
      <c r="F218" s="262" t="s">
        <v>232</v>
      </c>
      <c r="G218" s="244"/>
      <c r="H218" s="245"/>
      <c r="I218" s="633">
        <f>TRUNC(I216/I217,2)</f>
        <v>0</v>
      </c>
      <c r="K218" s="302"/>
    </row>
    <row r="219" spans="1:11" x14ac:dyDescent="0.2">
      <c r="A219" s="867"/>
      <c r="B219" s="233"/>
      <c r="C219" s="199"/>
      <c r="D219" s="199"/>
      <c r="E219" s="199"/>
      <c r="F219" s="263"/>
      <c r="G219" s="199"/>
      <c r="H219" s="199"/>
      <c r="I219" s="264"/>
      <c r="K219" s="302"/>
    </row>
    <row r="220" spans="1:11" x14ac:dyDescent="0.2">
      <c r="A220" s="246" t="s">
        <v>210</v>
      </c>
      <c r="B220" s="247" t="s">
        <v>60</v>
      </c>
      <c r="C220" s="247" t="s">
        <v>211</v>
      </c>
      <c r="D220" s="247" t="s">
        <v>233</v>
      </c>
      <c r="E220" s="1276" t="s">
        <v>91</v>
      </c>
      <c r="F220" s="1274"/>
      <c r="G220" s="1275"/>
      <c r="H220" s="1276" t="s">
        <v>198</v>
      </c>
      <c r="I220" s="1275"/>
      <c r="K220" s="302"/>
    </row>
    <row r="221" spans="1:11" x14ac:dyDescent="0.2">
      <c r="A221" s="265"/>
      <c r="B221" s="238"/>
      <c r="C221" s="266"/>
      <c r="D221" s="267"/>
      <c r="E221" s="260"/>
      <c r="F221" s="258"/>
      <c r="G221" s="300"/>
      <c r="H221" s="260"/>
      <c r="I221" s="268"/>
      <c r="K221" s="302"/>
    </row>
    <row r="222" spans="1:11" x14ac:dyDescent="0.2">
      <c r="A222" s="199"/>
      <c r="B222" s="233"/>
      <c r="C222" s="199"/>
      <c r="D222" s="199"/>
      <c r="E222" s="199"/>
      <c r="F222" s="234" t="s">
        <v>212</v>
      </c>
      <c r="G222" s="244"/>
      <c r="H222" s="245"/>
      <c r="I222" s="434">
        <f>SUM(I221:I221)</f>
        <v>0</v>
      </c>
      <c r="K222" s="302"/>
    </row>
    <row r="223" spans="1:11" x14ac:dyDescent="0.2">
      <c r="A223" s="199"/>
      <c r="B223" s="233"/>
      <c r="C223" s="199"/>
      <c r="D223" s="199"/>
      <c r="E223" s="199"/>
      <c r="F223" s="199"/>
      <c r="G223" s="269"/>
      <c r="H223" s="199"/>
      <c r="I223" s="200"/>
      <c r="K223" s="302"/>
    </row>
    <row r="224" spans="1:11" x14ac:dyDescent="0.2">
      <c r="A224" s="270" t="s">
        <v>213</v>
      </c>
      <c r="B224" s="247" t="s">
        <v>60</v>
      </c>
      <c r="C224" s="247" t="s">
        <v>211</v>
      </c>
      <c r="D224" s="866" t="s">
        <v>233</v>
      </c>
      <c r="E224" s="1276" t="s">
        <v>91</v>
      </c>
      <c r="F224" s="1274"/>
      <c r="G224" s="1275"/>
      <c r="H224" s="1276" t="s">
        <v>198</v>
      </c>
      <c r="I224" s="1275"/>
      <c r="K224" s="302"/>
    </row>
    <row r="225" spans="1:13" ht="33.75" x14ac:dyDescent="0.2">
      <c r="A225" s="248" t="str">
        <f>VLOOKUP(B225,'DER 10-18'!$A:$E,2,FALSE)</f>
        <v>Concreto ciclópico com 70% concreto 15,0 MPa e 30% de pedra de mão, tudo incluído</v>
      </c>
      <c r="B225" s="238">
        <v>40351</v>
      </c>
      <c r="C225" s="238" t="str">
        <f>VLOOKUP(B225,'DER 10-18'!$A:$E,3,FALSE)</f>
        <v>M3</v>
      </c>
      <c r="D225" s="454">
        <f>TRUNC(VLOOKUP(B225,'DER 10-18'!$A:$F,6,FALSE)/(1+$I$4),2)</f>
        <v>405.01</v>
      </c>
      <c r="E225" s="260"/>
      <c r="F225" s="258"/>
      <c r="G225" s="300">
        <v>1.141</v>
      </c>
      <c r="H225" s="244"/>
      <c r="I225" s="268">
        <f>TRUNC(D225*G225,2)</f>
        <v>462.11</v>
      </c>
      <c r="K225" s="302"/>
    </row>
    <row r="226" spans="1:13" ht="45" x14ac:dyDescent="0.2">
      <c r="A226" s="248" t="str">
        <f>VLOOKUP(B226,'DER 10-18'!$A:$E,2,FALSE)</f>
        <v>Formas planas de madeira com 04 (quatro) reaproveitamentos, inclusive fornecimento e transporte das madeiras</v>
      </c>
      <c r="B226" s="238">
        <v>40313</v>
      </c>
      <c r="C226" s="238" t="str">
        <f>VLOOKUP(B226,'DER 10-18'!$A:$E,3,FALSE)</f>
        <v>M2</v>
      </c>
      <c r="D226" s="454">
        <f>TRUNC(VLOOKUP(B226,'DER 10-18'!$A:$F,6,FALSE)/(1+$I$4),2)</f>
        <v>64.180000000000007</v>
      </c>
      <c r="E226" s="260"/>
      <c r="F226" s="258"/>
      <c r="G226" s="300">
        <v>1.1200000000000001</v>
      </c>
      <c r="H226" s="244"/>
      <c r="I226" s="268">
        <f>TRUNC(D226*G226,2)</f>
        <v>71.88</v>
      </c>
      <c r="K226" s="302"/>
    </row>
    <row r="227" spans="1:13" x14ac:dyDescent="0.2">
      <c r="A227" s="201"/>
      <c r="B227" s="271"/>
      <c r="C227" s="201"/>
      <c r="D227" s="201"/>
      <c r="E227" s="201"/>
      <c r="F227" s="272" t="s">
        <v>214</v>
      </c>
      <c r="G227" s="260"/>
      <c r="H227" s="273"/>
      <c r="I227" s="436">
        <f>SUM(I225:I226)</f>
        <v>533.99</v>
      </c>
      <c r="K227" s="302"/>
    </row>
    <row r="228" spans="1:13" x14ac:dyDescent="0.2">
      <c r="A228" s="201"/>
      <c r="B228" s="271"/>
      <c r="C228" s="201"/>
      <c r="D228" s="201"/>
      <c r="E228" s="201"/>
      <c r="F228" s="201"/>
      <c r="G228" s="201"/>
      <c r="H228" s="201"/>
      <c r="I228" s="201"/>
      <c r="K228" s="302"/>
    </row>
    <row r="229" spans="1:13" x14ac:dyDescent="0.2">
      <c r="A229" s="442" t="s">
        <v>215</v>
      </c>
      <c r="B229" s="275" t="s">
        <v>60</v>
      </c>
      <c r="C229" s="275" t="s">
        <v>211</v>
      </c>
      <c r="D229" s="275" t="s">
        <v>216</v>
      </c>
      <c r="E229" s="275" t="s">
        <v>217</v>
      </c>
      <c r="F229" s="275" t="s">
        <v>218</v>
      </c>
      <c r="G229" s="275" t="s">
        <v>96</v>
      </c>
      <c r="H229" s="275" t="s">
        <v>91</v>
      </c>
      <c r="I229" s="275" t="s">
        <v>219</v>
      </c>
      <c r="K229" s="302"/>
    </row>
    <row r="230" spans="1:13" x14ac:dyDescent="0.2">
      <c r="A230" s="248"/>
      <c r="B230" s="238"/>
      <c r="C230" s="238"/>
      <c r="D230" s="276"/>
      <c r="E230" s="277"/>
      <c r="F230" s="277"/>
      <c r="G230" s="243"/>
      <c r="H230" s="278"/>
      <c r="I230" s="243"/>
      <c r="J230" s="433" t="s">
        <v>118</v>
      </c>
      <c r="K230" s="302"/>
    </row>
    <row r="231" spans="1:13" x14ac:dyDescent="0.2">
      <c r="A231" s="201"/>
      <c r="B231" s="271"/>
      <c r="C231" s="201"/>
      <c r="D231" s="201"/>
      <c r="E231" s="201"/>
      <c r="F231" s="272" t="s">
        <v>220</v>
      </c>
      <c r="G231" s="244"/>
      <c r="H231" s="279"/>
      <c r="I231" s="438">
        <f>SUM(I230:I230)</f>
        <v>0</v>
      </c>
      <c r="K231" s="302"/>
    </row>
    <row r="232" spans="1:13" x14ac:dyDescent="0.2">
      <c r="A232" s="201"/>
      <c r="B232" s="271"/>
      <c r="C232" s="201"/>
      <c r="D232" s="201"/>
      <c r="E232" s="201"/>
      <c r="F232" s="201"/>
      <c r="G232" s="201"/>
      <c r="H232" s="201"/>
      <c r="I232" s="202"/>
      <c r="K232" s="302"/>
    </row>
    <row r="233" spans="1:13" x14ac:dyDescent="0.2">
      <c r="A233" s="280"/>
      <c r="B233" s="281"/>
      <c r="C233" s="282"/>
      <c r="D233" s="282"/>
      <c r="E233" s="282"/>
      <c r="F233" s="283" t="s">
        <v>221</v>
      </c>
      <c r="G233" s="280"/>
      <c r="H233" s="254"/>
      <c r="I233" s="634">
        <f>+I218+I222+I227+I231</f>
        <v>533.99</v>
      </c>
    </row>
    <row r="234" spans="1:13" x14ac:dyDescent="0.2">
      <c r="A234" s="260"/>
      <c r="B234" s="284"/>
      <c r="C234" s="273"/>
      <c r="D234" s="273"/>
      <c r="E234" s="273"/>
      <c r="F234" s="285" t="str">
        <f>CONCATENATE($H$3," ",$I$3)</f>
        <v>BDI: 23,32</v>
      </c>
      <c r="G234" s="439"/>
      <c r="H234" s="258"/>
      <c r="I234" s="635">
        <f>+ROUND(I233*$I$4,2)</f>
        <v>124.53</v>
      </c>
    </row>
    <row r="235" spans="1:13" x14ac:dyDescent="0.2">
      <c r="A235" s="244"/>
      <c r="B235" s="286"/>
      <c r="C235" s="279"/>
      <c r="D235" s="279"/>
      <c r="E235" s="279"/>
      <c r="F235" s="287" t="s">
        <v>222</v>
      </c>
      <c r="G235" s="440"/>
      <c r="H235" s="245"/>
      <c r="I235" s="1017">
        <f>+I233+I234</f>
        <v>658.52</v>
      </c>
    </row>
    <row r="236" spans="1:13" x14ac:dyDescent="0.2">
      <c r="A236" s="1277" t="str">
        <f>$A$1</f>
        <v>COMPOSIÇÃO DE CUSTOS UNITÁRIOS</v>
      </c>
      <c r="B236" s="1277"/>
      <c r="C236" s="1277"/>
      <c r="D236" s="1277"/>
      <c r="E236" s="1277"/>
      <c r="F236" s="1277"/>
      <c r="G236" s="1277"/>
      <c r="H236" s="1277"/>
      <c r="I236" s="1277"/>
    </row>
    <row r="237" spans="1:13" x14ac:dyDescent="0.2">
      <c r="A237" s="232" t="str">
        <f>$A$2</f>
        <v>Tabela Referencial de Preços - DER-ES</v>
      </c>
      <c r="B237" s="233"/>
      <c r="C237" s="199"/>
      <c r="D237" s="199"/>
      <c r="E237" s="199"/>
      <c r="F237" s="199"/>
      <c r="G237" s="199"/>
      <c r="H237" s="199"/>
      <c r="I237" s="234" t="str">
        <f>$I$2</f>
        <v>Data Base: Outubro/2018</v>
      </c>
    </row>
    <row r="238" spans="1:13" x14ac:dyDescent="0.2">
      <c r="A238" s="1278" t="str">
        <f>+CONCATENATE("Serviço: ",J238," ",VLOOKUP(J238,'DER 10-18'!$A:$D,2,FALSE))</f>
        <v>Serviço: 40522 Berço de concreto ciclópico para BDTC diâmetro 1,20 m</v>
      </c>
      <c r="B238" s="1278"/>
      <c r="C238" s="1278"/>
      <c r="D238" s="1278"/>
      <c r="E238" s="1278"/>
      <c r="F238" s="1278"/>
      <c r="G238" s="1278"/>
      <c r="H238" s="1278"/>
      <c r="I238" s="1278" t="str">
        <f>CONCATENATE("Unidade: ", VLOOKUP(J238,'DER 10-18'!$A:$E,3,FALSE))</f>
        <v>Unidade: M</v>
      </c>
      <c r="J238" s="433">
        <v>40522</v>
      </c>
      <c r="K238" s="433">
        <f>VLOOKUP("Preço Unitário Total",F239:I5088,4,FALSE)</f>
        <v>890.2</v>
      </c>
      <c r="L238" s="302" t="str">
        <f>VLOOKUP(J238,'DER 10-18'!A:E,5,FALSE)</f>
        <v>A incluir</v>
      </c>
      <c r="M238" s="302" t="str">
        <f>VLOOKUP(J238,'DER 10-18'!$A:$D,2,FALSE)</f>
        <v>Berço de concreto ciclópico para BDTC diâmetro 1,20 m</v>
      </c>
    </row>
    <row r="239" spans="1:13" x14ac:dyDescent="0.2">
      <c r="A239" s="1279"/>
      <c r="B239" s="1279"/>
      <c r="C239" s="1279"/>
      <c r="D239" s="1279"/>
      <c r="E239" s="1279"/>
      <c r="F239" s="1279"/>
      <c r="G239" s="1279"/>
      <c r="H239" s="1279"/>
      <c r="I239" s="1279"/>
    </row>
    <row r="240" spans="1:13" ht="22.5" x14ac:dyDescent="0.2">
      <c r="A240" s="235" t="s">
        <v>192</v>
      </c>
      <c r="B240" s="236" t="s">
        <v>60</v>
      </c>
      <c r="C240" s="236" t="s">
        <v>193</v>
      </c>
      <c r="D240" s="236" t="s">
        <v>194</v>
      </c>
      <c r="E240" s="236" t="s">
        <v>195</v>
      </c>
      <c r="F240" s="236" t="s">
        <v>196</v>
      </c>
      <c r="G240" s="236" t="s">
        <v>197</v>
      </c>
      <c r="H240" s="236" t="s">
        <v>91</v>
      </c>
      <c r="I240" s="236" t="s">
        <v>198</v>
      </c>
    </row>
    <row r="241" spans="1:9" x14ac:dyDescent="0.2">
      <c r="A241" s="199"/>
      <c r="B241" s="233"/>
      <c r="C241" s="233"/>
      <c r="D241" s="199"/>
      <c r="E241" s="199"/>
      <c r="F241" s="234" t="s">
        <v>199</v>
      </c>
      <c r="G241" s="244"/>
      <c r="H241" s="245"/>
      <c r="I241" s="434"/>
    </row>
    <row r="242" spans="1:9" x14ac:dyDescent="0.2">
      <c r="A242" s="199"/>
      <c r="B242" s="233"/>
      <c r="C242" s="233"/>
      <c r="D242" s="199"/>
      <c r="E242" s="199"/>
      <c r="F242" s="199"/>
      <c r="G242" s="199"/>
      <c r="H242" s="199"/>
      <c r="I242" s="200"/>
    </row>
    <row r="243" spans="1:9" x14ac:dyDescent="0.2">
      <c r="A243" s="246" t="s">
        <v>200</v>
      </c>
      <c r="B243" s="247" t="s">
        <v>60</v>
      </c>
      <c r="C243" s="236" t="s">
        <v>1242</v>
      </c>
      <c r="D243" s="247" t="s">
        <v>202</v>
      </c>
      <c r="E243" s="1271" t="s">
        <v>91</v>
      </c>
      <c r="F243" s="1272"/>
      <c r="G243" s="1273"/>
      <c r="H243" s="1276" t="s">
        <v>198</v>
      </c>
      <c r="I243" s="1275"/>
    </row>
    <row r="244" spans="1:9" x14ac:dyDescent="0.2">
      <c r="A244" s="199"/>
      <c r="B244" s="233"/>
      <c r="C244" s="233"/>
      <c r="D244" s="199"/>
      <c r="E244" s="199"/>
      <c r="F244" s="234" t="s">
        <v>203</v>
      </c>
      <c r="G244" s="244"/>
      <c r="H244" s="245"/>
      <c r="I244" s="434"/>
    </row>
    <row r="245" spans="1:9" x14ac:dyDescent="0.2">
      <c r="A245" s="199"/>
      <c r="B245" s="233"/>
      <c r="C245" s="233"/>
      <c r="D245" s="199"/>
      <c r="E245" s="199"/>
      <c r="F245" s="199"/>
      <c r="G245" s="199"/>
      <c r="H245" s="199"/>
      <c r="I245" s="200"/>
    </row>
    <row r="246" spans="1:9" x14ac:dyDescent="0.2">
      <c r="A246" s="250" t="s">
        <v>204</v>
      </c>
      <c r="B246" s="247" t="s">
        <v>60</v>
      </c>
      <c r="C246" s="866" t="s">
        <v>17</v>
      </c>
      <c r="D246" s="247" t="s">
        <v>205</v>
      </c>
      <c r="E246" s="247" t="s">
        <v>206</v>
      </c>
      <c r="F246" s="247" t="s">
        <v>207</v>
      </c>
      <c r="G246" s="1276" t="s">
        <v>96</v>
      </c>
      <c r="H246" s="1274"/>
      <c r="I246" s="1275"/>
    </row>
    <row r="247" spans="1:9" x14ac:dyDescent="0.2">
      <c r="A247" s="199"/>
      <c r="B247" s="233"/>
      <c r="C247" s="199"/>
      <c r="D247" s="199"/>
      <c r="E247" s="199"/>
      <c r="F247" s="234" t="s">
        <v>1170</v>
      </c>
      <c r="G247" s="244"/>
      <c r="H247" s="245"/>
      <c r="I247" s="434"/>
    </row>
    <row r="248" spans="1:9" x14ac:dyDescent="0.2">
      <c r="A248" s="199"/>
      <c r="B248" s="233"/>
      <c r="C248" s="199"/>
      <c r="D248" s="199"/>
      <c r="E248" s="199"/>
      <c r="F248" s="199"/>
      <c r="G248" s="199"/>
      <c r="H248" s="199"/>
      <c r="I248" s="200"/>
    </row>
    <row r="249" spans="1:9" x14ac:dyDescent="0.2">
      <c r="A249" s="252"/>
      <c r="B249" s="253"/>
      <c r="C249" s="254"/>
      <c r="D249" s="254"/>
      <c r="E249" s="254"/>
      <c r="F249" s="255" t="s">
        <v>208</v>
      </c>
      <c r="G249" s="435"/>
      <c r="H249" s="254"/>
      <c r="I249" s="634">
        <f>+I241+I244+I247</f>
        <v>0</v>
      </c>
    </row>
    <row r="250" spans="1:9" x14ac:dyDescent="0.2">
      <c r="A250" s="256"/>
      <c r="B250" s="257"/>
      <c r="C250" s="258"/>
      <c r="D250" s="258"/>
      <c r="E250" s="258"/>
      <c r="F250" s="259" t="s">
        <v>209</v>
      </c>
      <c r="G250" s="260"/>
      <c r="H250" s="258"/>
      <c r="I250" s="635">
        <v>1</v>
      </c>
    </row>
    <row r="251" spans="1:9" x14ac:dyDescent="0.2">
      <c r="A251" s="237"/>
      <c r="B251" s="261"/>
      <c r="C251" s="245"/>
      <c r="D251" s="245"/>
      <c r="E251" s="245"/>
      <c r="F251" s="262" t="s">
        <v>232</v>
      </c>
      <c r="G251" s="244"/>
      <c r="H251" s="245"/>
      <c r="I251" s="633">
        <f>TRUNC(I249/I250,2)</f>
        <v>0</v>
      </c>
    </row>
    <row r="252" spans="1:9" x14ac:dyDescent="0.2">
      <c r="A252" s="867"/>
      <c r="B252" s="233"/>
      <c r="C252" s="199"/>
      <c r="D252" s="199"/>
      <c r="E252" s="199"/>
      <c r="F252" s="263"/>
      <c r="G252" s="199"/>
      <c r="H252" s="199"/>
      <c r="I252" s="264"/>
    </row>
    <row r="253" spans="1:9" x14ac:dyDescent="0.2">
      <c r="A253" s="246" t="s">
        <v>210</v>
      </c>
      <c r="B253" s="247" t="s">
        <v>60</v>
      </c>
      <c r="C253" s="247" t="s">
        <v>211</v>
      </c>
      <c r="D253" s="247" t="s">
        <v>233</v>
      </c>
      <c r="E253" s="1276" t="s">
        <v>91</v>
      </c>
      <c r="F253" s="1274"/>
      <c r="G253" s="1275"/>
      <c r="H253" s="1276" t="s">
        <v>198</v>
      </c>
      <c r="I253" s="1275"/>
    </row>
    <row r="254" spans="1:9" x14ac:dyDescent="0.2">
      <c r="A254" s="199"/>
      <c r="B254" s="233"/>
      <c r="C254" s="199"/>
      <c r="D254" s="199"/>
      <c r="E254" s="199"/>
      <c r="F254" s="234" t="s">
        <v>212</v>
      </c>
      <c r="G254" s="244"/>
      <c r="H254" s="245"/>
      <c r="I254" s="434"/>
    </row>
    <row r="255" spans="1:9" x14ac:dyDescent="0.2">
      <c r="A255" s="199"/>
      <c r="B255" s="233"/>
      <c r="C255" s="199"/>
      <c r="D255" s="199"/>
      <c r="E255" s="199"/>
      <c r="F255" s="199"/>
      <c r="G255" s="269"/>
      <c r="H255" s="199"/>
      <c r="I255" s="200"/>
    </row>
    <row r="256" spans="1:9" x14ac:dyDescent="0.2">
      <c r="A256" s="270" t="s">
        <v>213</v>
      </c>
      <c r="B256" s="247" t="s">
        <v>60</v>
      </c>
      <c r="C256" s="247" t="s">
        <v>211</v>
      </c>
      <c r="D256" s="866" t="s">
        <v>233</v>
      </c>
      <c r="E256" s="1271" t="s">
        <v>91</v>
      </c>
      <c r="F256" s="1272"/>
      <c r="G256" s="1273"/>
      <c r="H256" s="1274" t="s">
        <v>198</v>
      </c>
      <c r="I256" s="1275"/>
    </row>
    <row r="257" spans="1:13" ht="33.75" x14ac:dyDescent="0.2">
      <c r="A257" s="452" t="str">
        <f>VLOOKUP(B257,'DER 10-18'!$A:$E,2,FALSE)</f>
        <v>Concreto ciclópico com 70% concreto 15,0 MPa e 30% de pedra de mão, tudo incluído</v>
      </c>
      <c r="B257" s="453">
        <v>40351</v>
      </c>
      <c r="C257" s="453" t="str">
        <f>VLOOKUP(B257,'DER 10-18'!$A:$E,3,FALSE)</f>
        <v>M3</v>
      </c>
      <c r="D257" s="454">
        <f>TRUNC(VLOOKUP(B257,'DER 10-18'!$A:$F,6,FALSE)/(1+$I$4),2)</f>
        <v>405.01</v>
      </c>
      <c r="E257" s="455"/>
      <c r="F257" s="456"/>
      <c r="G257" s="457">
        <v>1.57</v>
      </c>
      <c r="H257" s="458"/>
      <c r="I257" s="459">
        <f>TRUNC(D257*G257,2)</f>
        <v>635.86</v>
      </c>
    </row>
    <row r="258" spans="1:13" ht="45" x14ac:dyDescent="0.2">
      <c r="A258" s="452" t="str">
        <f>VLOOKUP(B258,'DER 10-18'!$A:$E,2,FALSE)</f>
        <v>Formas planas de madeira com 04 (quatro) reaproveitamentos, inclusive fornecimento e transporte das madeiras</v>
      </c>
      <c r="B258" s="453">
        <v>40313</v>
      </c>
      <c r="C258" s="453" t="str">
        <f>VLOOKUP(B258,'DER 10-18'!$A:$E,3,FALSE)</f>
        <v>M2</v>
      </c>
      <c r="D258" s="454">
        <f>TRUNC(VLOOKUP(B258,'DER 10-18'!$A:$F,6,FALSE)/(1+$I$4),2)</f>
        <v>64.180000000000007</v>
      </c>
      <c r="E258" s="455"/>
      <c r="F258" s="456"/>
      <c r="G258" s="457">
        <v>1.34</v>
      </c>
      <c r="H258" s="458"/>
      <c r="I258" s="459">
        <f>TRUNC(D258*G258,2)</f>
        <v>86</v>
      </c>
    </row>
    <row r="259" spans="1:13" x14ac:dyDescent="0.2">
      <c r="A259" s="201"/>
      <c r="B259" s="271"/>
      <c r="C259" s="201"/>
      <c r="D259" s="201"/>
      <c r="E259" s="201"/>
      <c r="F259" s="272" t="s">
        <v>214</v>
      </c>
      <c r="G259" s="260"/>
      <c r="H259" s="273"/>
      <c r="I259" s="436">
        <f>SUM(I257:I258)</f>
        <v>721.86</v>
      </c>
    </row>
    <row r="260" spans="1:13" x14ac:dyDescent="0.2">
      <c r="A260" s="201"/>
      <c r="B260" s="271"/>
      <c r="C260" s="201"/>
      <c r="D260" s="201"/>
      <c r="E260" s="201"/>
      <c r="F260" s="201"/>
      <c r="G260" s="201"/>
      <c r="H260" s="201"/>
      <c r="I260" s="201"/>
    </row>
    <row r="261" spans="1:13" x14ac:dyDescent="0.2">
      <c r="A261" s="274" t="s">
        <v>215</v>
      </c>
      <c r="B261" s="275" t="s">
        <v>60</v>
      </c>
      <c r="C261" s="275" t="s">
        <v>211</v>
      </c>
      <c r="D261" s="275" t="s">
        <v>216</v>
      </c>
      <c r="E261" s="275" t="s">
        <v>217</v>
      </c>
      <c r="F261" s="275" t="s">
        <v>218</v>
      </c>
      <c r="G261" s="275" t="s">
        <v>96</v>
      </c>
      <c r="H261" s="275" t="s">
        <v>91</v>
      </c>
      <c r="I261" s="275" t="s">
        <v>219</v>
      </c>
    </row>
    <row r="262" spans="1:13" x14ac:dyDescent="0.2">
      <c r="A262" s="201"/>
      <c r="B262" s="271"/>
      <c r="C262" s="201"/>
      <c r="D262" s="201"/>
      <c r="E262" s="201"/>
      <c r="F262" s="272" t="s">
        <v>220</v>
      </c>
      <c r="G262" s="244"/>
      <c r="H262" s="279"/>
      <c r="I262" s="438"/>
    </row>
    <row r="263" spans="1:13" x14ac:dyDescent="0.2">
      <c r="A263" s="201"/>
      <c r="B263" s="271"/>
      <c r="C263" s="201"/>
      <c r="D263" s="201"/>
      <c r="E263" s="201"/>
      <c r="F263" s="201"/>
      <c r="G263" s="201"/>
      <c r="H263" s="201"/>
      <c r="I263" s="202"/>
    </row>
    <row r="264" spans="1:13" x14ac:dyDescent="0.2">
      <c r="A264" s="280"/>
      <c r="B264" s="281"/>
      <c r="C264" s="282"/>
      <c r="D264" s="282"/>
      <c r="E264" s="282"/>
      <c r="F264" s="283" t="s">
        <v>221</v>
      </c>
      <c r="G264" s="280"/>
      <c r="H264" s="254"/>
      <c r="I264" s="634">
        <f>+I251+I254+I259+I262</f>
        <v>721.86</v>
      </c>
      <c r="J264" s="446"/>
    </row>
    <row r="265" spans="1:13" x14ac:dyDescent="0.2">
      <c r="A265" s="260"/>
      <c r="B265" s="284"/>
      <c r="C265" s="273"/>
      <c r="D265" s="273"/>
      <c r="E265" s="273"/>
      <c r="F265" s="285" t="str">
        <f>CONCATENATE($H$3," ",$I$3)</f>
        <v>BDI: 23,32</v>
      </c>
      <c r="G265" s="439"/>
      <c r="H265" s="258"/>
      <c r="I265" s="635">
        <f>+ROUND(I264*$I$4,2)</f>
        <v>168.34</v>
      </c>
    </row>
    <row r="266" spans="1:13" x14ac:dyDescent="0.2">
      <c r="A266" s="244"/>
      <c r="B266" s="286"/>
      <c r="C266" s="279"/>
      <c r="D266" s="279"/>
      <c r="E266" s="279"/>
      <c r="F266" s="287" t="s">
        <v>222</v>
      </c>
      <c r="G266" s="440"/>
      <c r="H266" s="245"/>
      <c r="I266" s="1017">
        <f>+I264+I265</f>
        <v>890.2</v>
      </c>
      <c r="J266" s="446"/>
      <c r="K266" s="302"/>
    </row>
    <row r="267" spans="1:13" s="198" customFormat="1" x14ac:dyDescent="0.2">
      <c r="A267" s="1286" t="str">
        <f>$A$1</f>
        <v>COMPOSIÇÃO DE CUSTOS UNITÁRIOS</v>
      </c>
      <c r="B267" s="1286"/>
      <c r="C267" s="1286"/>
      <c r="D267" s="1286"/>
      <c r="E267" s="1286"/>
      <c r="F267" s="1286"/>
      <c r="G267" s="1286"/>
      <c r="H267" s="1286"/>
      <c r="I267" s="1286"/>
      <c r="J267" s="451"/>
      <c r="K267" s="451"/>
    </row>
    <row r="268" spans="1:13" s="198" customFormat="1" x14ac:dyDescent="0.2">
      <c r="A268" s="447" t="str">
        <f>$A$2</f>
        <v>Tabela Referencial de Preços - DER-ES</v>
      </c>
      <c r="B268" s="448"/>
      <c r="C268" s="449"/>
      <c r="D268" s="449"/>
      <c r="E268" s="449"/>
      <c r="F268" s="449"/>
      <c r="G268" s="449"/>
      <c r="H268" s="449"/>
      <c r="I268" s="450" t="str">
        <f>$I$2</f>
        <v>Data Base: Outubro/2018</v>
      </c>
      <c r="J268" s="451"/>
      <c r="K268" s="451"/>
    </row>
    <row r="269" spans="1:13" s="198" customFormat="1" x14ac:dyDescent="0.2">
      <c r="A269" s="1287" t="str">
        <f>+CONCATENATE("Serviço: ",J269," ",VLOOKUP(J269,'DER 10-18'!$A:$D,2,FALSE))</f>
        <v>Serviço: 40721 Lastro de brita, inclusive transporte da brita</v>
      </c>
      <c r="B269" s="1287"/>
      <c r="C269" s="1287"/>
      <c r="D269" s="1287"/>
      <c r="E269" s="1287"/>
      <c r="F269" s="1287"/>
      <c r="G269" s="1287"/>
      <c r="H269" s="1287"/>
      <c r="I269" s="1287" t="str">
        <f>CONCATENATE("Unidade: ", VLOOKUP(J269,'DER 10-18'!$A:$E,3,FALSE))</f>
        <v>Unidade: M3</v>
      </c>
      <c r="J269" s="451">
        <v>40721</v>
      </c>
      <c r="K269" s="451">
        <f>VLOOKUP("Preço Unitário Total",F270:I5119,4,FALSE)</f>
        <v>180.26</v>
      </c>
      <c r="L269" s="198" t="str">
        <f>VLOOKUP(J269,'DER 10-18'!A:E,5,FALSE)</f>
        <v>A incluir</v>
      </c>
      <c r="M269" s="198" t="str">
        <f>VLOOKUP(J269,'DER 10-18'!$A:$D,2,FALSE)</f>
        <v>Lastro de brita, inclusive transporte da brita</v>
      </c>
    </row>
    <row r="270" spans="1:13" s="198" customFormat="1" x14ac:dyDescent="0.2">
      <c r="A270" s="1288"/>
      <c r="B270" s="1288"/>
      <c r="C270" s="1288"/>
      <c r="D270" s="1288"/>
      <c r="E270" s="1288"/>
      <c r="F270" s="1288"/>
      <c r="G270" s="1288"/>
      <c r="H270" s="1288"/>
      <c r="I270" s="1288"/>
      <c r="J270" s="451"/>
      <c r="K270" s="451"/>
    </row>
    <row r="271" spans="1:13" s="198" customFormat="1" ht="22.5" x14ac:dyDescent="0.2">
      <c r="A271" s="469" t="s">
        <v>192</v>
      </c>
      <c r="B271" s="470" t="s">
        <v>60</v>
      </c>
      <c r="C271" s="470" t="s">
        <v>193</v>
      </c>
      <c r="D271" s="470" t="s">
        <v>194</v>
      </c>
      <c r="E271" s="470" t="s">
        <v>195</v>
      </c>
      <c r="F271" s="470" t="s">
        <v>196</v>
      </c>
      <c r="G271" s="470" t="s">
        <v>197</v>
      </c>
      <c r="H271" s="470" t="s">
        <v>91</v>
      </c>
      <c r="I271" s="470" t="s">
        <v>198</v>
      </c>
      <c r="J271" s="451"/>
      <c r="K271" s="451"/>
    </row>
    <row r="272" spans="1:13" x14ac:dyDescent="0.2">
      <c r="A272" s="199"/>
      <c r="B272" s="233"/>
      <c r="C272" s="233"/>
      <c r="D272" s="199"/>
      <c r="E272" s="199"/>
      <c r="F272" s="234" t="s">
        <v>199</v>
      </c>
      <c r="G272" s="244"/>
      <c r="H272" s="245"/>
      <c r="I272" s="434"/>
    </row>
    <row r="273" spans="1:11" x14ac:dyDescent="0.2">
      <c r="A273" s="199"/>
      <c r="B273" s="233"/>
      <c r="C273" s="233"/>
      <c r="D273" s="199"/>
      <c r="E273" s="199"/>
      <c r="F273" s="199"/>
      <c r="G273" s="199"/>
      <c r="H273" s="199"/>
      <c r="I273" s="200"/>
    </row>
    <row r="274" spans="1:11" x14ac:dyDescent="0.2">
      <c r="A274" s="246" t="s">
        <v>200</v>
      </c>
      <c r="B274" s="247" t="s">
        <v>60</v>
      </c>
      <c r="C274" s="236" t="s">
        <v>1242</v>
      </c>
      <c r="D274" s="247" t="s">
        <v>202</v>
      </c>
      <c r="E274" s="1271" t="s">
        <v>91</v>
      </c>
      <c r="F274" s="1272"/>
      <c r="G274" s="1273"/>
      <c r="H274" s="1276" t="s">
        <v>198</v>
      </c>
      <c r="I274" s="1275"/>
    </row>
    <row r="275" spans="1:11" x14ac:dyDescent="0.2">
      <c r="A275" s="248" t="str">
        <f>VLOOKUP(B275,m.o.!$A:$H,2,FALSE)</f>
        <v>Servente</v>
      </c>
      <c r="B275" s="238">
        <v>20002</v>
      </c>
      <c r="C275" s="243">
        <f>VLOOKUP(B275,m.o.!$A:$F,4,FALSE)</f>
        <v>1</v>
      </c>
      <c r="D275" s="243">
        <f>VLOOKUP(B275,m.o.!$A:$G,7,FALSE)</f>
        <v>11.64</v>
      </c>
      <c r="E275" s="260"/>
      <c r="F275" s="258"/>
      <c r="G275" s="300">
        <v>3</v>
      </c>
      <c r="H275" s="244"/>
      <c r="I275" s="249">
        <f>TRUNC(D275*G275,2)</f>
        <v>34.92</v>
      </c>
    </row>
    <row r="276" spans="1:11" x14ac:dyDescent="0.2">
      <c r="A276" s="199"/>
      <c r="B276" s="233"/>
      <c r="C276" s="233"/>
      <c r="D276" s="199"/>
      <c r="E276" s="199"/>
      <c r="F276" s="234" t="s">
        <v>203</v>
      </c>
      <c r="G276" s="244"/>
      <c r="H276" s="245"/>
      <c r="I276" s="434">
        <f>I275</f>
        <v>34.92</v>
      </c>
    </row>
    <row r="277" spans="1:11" x14ac:dyDescent="0.2">
      <c r="A277" s="199"/>
      <c r="B277" s="233"/>
      <c r="C277" s="233"/>
      <c r="D277" s="199"/>
      <c r="E277" s="199"/>
      <c r="F277" s="199"/>
      <c r="G277" s="199"/>
      <c r="H277" s="199"/>
      <c r="I277" s="200"/>
    </row>
    <row r="278" spans="1:11" x14ac:dyDescent="0.2">
      <c r="A278" s="250" t="s">
        <v>204</v>
      </c>
      <c r="B278" s="247" t="s">
        <v>60</v>
      </c>
      <c r="C278" s="866" t="s">
        <v>17</v>
      </c>
      <c r="D278" s="247" t="s">
        <v>205</v>
      </c>
      <c r="E278" s="247" t="s">
        <v>206</v>
      </c>
      <c r="F278" s="247" t="s">
        <v>207</v>
      </c>
      <c r="G278" s="1276" t="s">
        <v>96</v>
      </c>
      <c r="H278" s="1274"/>
      <c r="I278" s="1275"/>
    </row>
    <row r="279" spans="1:11" x14ac:dyDescent="0.2">
      <c r="A279" s="248" t="s">
        <v>142</v>
      </c>
      <c r="B279" s="238">
        <v>2000</v>
      </c>
      <c r="C279" s="243">
        <v>5</v>
      </c>
      <c r="D279" s="239" t="s">
        <v>223</v>
      </c>
      <c r="E279" s="251"/>
      <c r="F279" s="251"/>
      <c r="G279" s="244"/>
      <c r="H279" s="245"/>
      <c r="I279" s="249">
        <f>TRUNC(C279/100*I276,2)</f>
        <v>1.74</v>
      </c>
      <c r="J279" s="302"/>
      <c r="K279" s="302"/>
    </row>
    <row r="280" spans="1:11" x14ac:dyDescent="0.2">
      <c r="A280" s="199"/>
      <c r="B280" s="233"/>
      <c r="C280" s="199"/>
      <c r="D280" s="199"/>
      <c r="E280" s="199"/>
      <c r="F280" s="234" t="s">
        <v>1170</v>
      </c>
      <c r="G280" s="244"/>
      <c r="H280" s="245"/>
      <c r="I280" s="434">
        <f>I279</f>
        <v>1.74</v>
      </c>
    </row>
    <row r="281" spans="1:11" x14ac:dyDescent="0.2">
      <c r="A281" s="199"/>
      <c r="B281" s="233"/>
      <c r="C281" s="199"/>
      <c r="D281" s="199"/>
      <c r="E281" s="199"/>
      <c r="F281" s="199"/>
      <c r="G281" s="199"/>
      <c r="H281" s="199"/>
      <c r="I281" s="200"/>
    </row>
    <row r="282" spans="1:11" x14ac:dyDescent="0.2">
      <c r="A282" s="252"/>
      <c r="B282" s="253"/>
      <c r="C282" s="254"/>
      <c r="D282" s="254"/>
      <c r="E282" s="254"/>
      <c r="F282" s="255" t="s">
        <v>208</v>
      </c>
      <c r="G282" s="435"/>
      <c r="H282" s="254"/>
      <c r="I282" s="634">
        <f>+I272+I276+I280</f>
        <v>36.659999999999997</v>
      </c>
    </row>
    <row r="283" spans="1:11" x14ac:dyDescent="0.2">
      <c r="A283" s="256"/>
      <c r="B283" s="257"/>
      <c r="C283" s="258"/>
      <c r="D283" s="258"/>
      <c r="E283" s="258"/>
      <c r="F283" s="259" t="s">
        <v>209</v>
      </c>
      <c r="G283" s="260"/>
      <c r="H283" s="258"/>
      <c r="I283" s="635">
        <v>1</v>
      </c>
    </row>
    <row r="284" spans="1:11" x14ac:dyDescent="0.2">
      <c r="A284" s="237"/>
      <c r="B284" s="261"/>
      <c r="C284" s="245"/>
      <c r="D284" s="245"/>
      <c r="E284" s="245"/>
      <c r="F284" s="262" t="s">
        <v>232</v>
      </c>
      <c r="G284" s="244"/>
      <c r="H284" s="245"/>
      <c r="I284" s="633">
        <f>TRUNC(I282/I283,2)</f>
        <v>36.659999999999997</v>
      </c>
    </row>
    <row r="285" spans="1:11" x14ac:dyDescent="0.2">
      <c r="A285" s="867"/>
      <c r="B285" s="233"/>
      <c r="C285" s="199"/>
      <c r="D285" s="199"/>
      <c r="E285" s="199"/>
      <c r="F285" s="263"/>
      <c r="G285" s="199"/>
      <c r="H285" s="199"/>
      <c r="I285" s="264"/>
    </row>
    <row r="286" spans="1:11" x14ac:dyDescent="0.2">
      <c r="A286" s="246" t="s">
        <v>210</v>
      </c>
      <c r="B286" s="247" t="s">
        <v>60</v>
      </c>
      <c r="C286" s="247" t="s">
        <v>211</v>
      </c>
      <c r="D286" s="247" t="s">
        <v>233</v>
      </c>
      <c r="E286" s="1276" t="s">
        <v>91</v>
      </c>
      <c r="F286" s="1274"/>
      <c r="G286" s="1275"/>
      <c r="H286" s="1276" t="s">
        <v>198</v>
      </c>
      <c r="I286" s="1275"/>
    </row>
    <row r="287" spans="1:11" x14ac:dyDescent="0.2">
      <c r="A287" s="265" t="str">
        <f>VLOOKUP(B287,mat.!$A:$D,2,FALSE)</f>
        <v>Brita 2 (incl. 0% IUM) sem frete</v>
      </c>
      <c r="B287" s="238">
        <v>10115</v>
      </c>
      <c r="C287" s="266" t="str">
        <f>VLOOKUP(B287,mat.!$A:$D,3,FALSE)</f>
        <v>m3</v>
      </c>
      <c r="D287" s="267">
        <f>VLOOKUP(B287,mat.!$A:$D,4,FALSE)</f>
        <v>61.29</v>
      </c>
      <c r="E287" s="260"/>
      <c r="F287" s="258"/>
      <c r="G287" s="300">
        <v>1</v>
      </c>
      <c r="H287" s="260"/>
      <c r="I287" s="268">
        <f>TRUNC(D287*G287,2)</f>
        <v>61.29</v>
      </c>
    </row>
    <row r="288" spans="1:11" x14ac:dyDescent="0.2">
      <c r="A288" s="199"/>
      <c r="B288" s="233"/>
      <c r="C288" s="199"/>
      <c r="D288" s="199"/>
      <c r="E288" s="199"/>
      <c r="F288" s="234" t="s">
        <v>212</v>
      </c>
      <c r="G288" s="244"/>
      <c r="H288" s="245"/>
      <c r="I288" s="434">
        <f>I287</f>
        <v>61.29</v>
      </c>
    </row>
    <row r="289" spans="1:13" x14ac:dyDescent="0.2">
      <c r="A289" s="199"/>
      <c r="B289" s="233"/>
      <c r="C289" s="199"/>
      <c r="D289" s="199"/>
      <c r="E289" s="199"/>
      <c r="F289" s="199"/>
      <c r="G289" s="269"/>
      <c r="H289" s="199"/>
      <c r="I289" s="200"/>
    </row>
    <row r="290" spans="1:13" x14ac:dyDescent="0.2">
      <c r="A290" s="270" t="s">
        <v>213</v>
      </c>
      <c r="B290" s="247" t="s">
        <v>60</v>
      </c>
      <c r="C290" s="247" t="s">
        <v>211</v>
      </c>
      <c r="D290" s="866" t="s">
        <v>233</v>
      </c>
      <c r="E290" s="1271" t="s">
        <v>91</v>
      </c>
      <c r="F290" s="1272"/>
      <c r="G290" s="1273"/>
      <c r="H290" s="1274" t="s">
        <v>198</v>
      </c>
      <c r="I290" s="1275"/>
    </row>
    <row r="291" spans="1:13" x14ac:dyDescent="0.2">
      <c r="A291" s="201"/>
      <c r="B291" s="271"/>
      <c r="C291" s="201"/>
      <c r="D291" s="201"/>
      <c r="E291" s="201"/>
      <c r="F291" s="272" t="s">
        <v>214</v>
      </c>
      <c r="G291" s="260"/>
      <c r="H291" s="273"/>
      <c r="I291" s="436"/>
    </row>
    <row r="292" spans="1:13" x14ac:dyDescent="0.2">
      <c r="A292" s="201"/>
      <c r="B292" s="271"/>
      <c r="C292" s="201"/>
      <c r="D292" s="201"/>
      <c r="E292" s="201"/>
      <c r="F292" s="201"/>
      <c r="G292" s="201"/>
      <c r="H292" s="201"/>
      <c r="I292" s="201"/>
    </row>
    <row r="293" spans="1:13" s="198" customFormat="1" x14ac:dyDescent="0.2">
      <c r="A293" s="274" t="s">
        <v>215</v>
      </c>
      <c r="B293" s="275" t="s">
        <v>60</v>
      </c>
      <c r="C293" s="275" t="s">
        <v>211</v>
      </c>
      <c r="D293" s="275" t="s">
        <v>216</v>
      </c>
      <c r="E293" s="275" t="s">
        <v>217</v>
      </c>
      <c r="F293" s="275" t="s">
        <v>218</v>
      </c>
      <c r="G293" s="275" t="s">
        <v>96</v>
      </c>
      <c r="H293" s="275" t="s">
        <v>91</v>
      </c>
      <c r="I293" s="275" t="s">
        <v>219</v>
      </c>
      <c r="J293" s="433" t="s">
        <v>1056</v>
      </c>
      <c r="K293" s="451"/>
    </row>
    <row r="294" spans="1:13" ht="22.5" x14ac:dyDescent="0.2">
      <c r="A294" s="265" t="str">
        <f>VLOOKUP(B294,tranp.!A:D,2,FALSE)</f>
        <v>Transp. De Brita 2 (incl. 0% IUM) s/ frete</v>
      </c>
      <c r="B294" s="453">
        <v>1239</v>
      </c>
      <c r="C294" s="453" t="str">
        <f>VLOOKUP(B294,tranp.!$A:$J,3,FALSE)</f>
        <v>t</v>
      </c>
      <c r="D294" s="518" t="str">
        <f>VLOOKUP(B294,tranp.!$A:$J,4,FALSE)</f>
        <v>0,681XP + 0,710XR + 2,841</v>
      </c>
      <c r="E294" s="519">
        <f>VLOOKUP(J293,Ocor.!$B:$F,4,FALSE)</f>
        <v>37.200000000000003</v>
      </c>
      <c r="F294" s="519">
        <f>VLOOKUP(J293,Ocor.!$B:$F,5,FALSE)</f>
        <v>5.6</v>
      </c>
      <c r="G294" s="454">
        <f>TRUNC(VLOOKUP(B294,tranp.!$A:$J,5,FALSE)*E294+VLOOKUP(B294,tranp.!$A:$J,6,FALSE)*F294+VLOOKUP(B294,tranp.!$A:$J,7,FALSE),2)</f>
        <v>32.15</v>
      </c>
      <c r="H294" s="520">
        <v>1.5</v>
      </c>
      <c r="I294" s="454">
        <f>TRUNC(G294*H294,2)</f>
        <v>48.22</v>
      </c>
    </row>
    <row r="295" spans="1:13" x14ac:dyDescent="0.2">
      <c r="A295" s="201"/>
      <c r="B295" s="271"/>
      <c r="C295" s="201"/>
      <c r="D295" s="201"/>
      <c r="E295" s="201"/>
      <c r="F295" s="272" t="s">
        <v>220</v>
      </c>
      <c r="G295" s="244"/>
      <c r="H295" s="279"/>
      <c r="I295" s="438">
        <f>I294</f>
        <v>48.22</v>
      </c>
    </row>
    <row r="296" spans="1:13" x14ac:dyDescent="0.2">
      <c r="A296" s="201"/>
      <c r="B296" s="271"/>
      <c r="C296" s="201"/>
      <c r="D296" s="201"/>
      <c r="E296" s="201"/>
      <c r="F296" s="201"/>
      <c r="G296" s="201"/>
      <c r="H296" s="201"/>
      <c r="I296" s="202"/>
    </row>
    <row r="297" spans="1:13" x14ac:dyDescent="0.2">
      <c r="A297" s="280"/>
      <c r="B297" s="281"/>
      <c r="C297" s="282"/>
      <c r="D297" s="282"/>
      <c r="E297" s="282"/>
      <c r="F297" s="283" t="s">
        <v>221</v>
      </c>
      <c r="G297" s="280"/>
      <c r="H297" s="254"/>
      <c r="I297" s="634">
        <f>+I284+I288+I291+I295</f>
        <v>146.16999999999999</v>
      </c>
      <c r="J297" s="446"/>
    </row>
    <row r="298" spans="1:13" x14ac:dyDescent="0.2">
      <c r="A298" s="260"/>
      <c r="B298" s="284"/>
      <c r="C298" s="273"/>
      <c r="D298" s="273"/>
      <c r="E298" s="273"/>
      <c r="F298" s="285" t="str">
        <f>CONCATENATE($H$3," ",$I$3)</f>
        <v>BDI: 23,32</v>
      </c>
      <c r="G298" s="439"/>
      <c r="H298" s="258"/>
      <c r="I298" s="635">
        <f>+ROUND(I297*$I$4,2)</f>
        <v>34.090000000000003</v>
      </c>
    </row>
    <row r="299" spans="1:13" x14ac:dyDescent="0.2">
      <c r="A299" s="244"/>
      <c r="B299" s="286"/>
      <c r="C299" s="279"/>
      <c r="D299" s="279"/>
      <c r="E299" s="279"/>
      <c r="F299" s="287" t="s">
        <v>222</v>
      </c>
      <c r="G299" s="440"/>
      <c r="H299" s="245"/>
      <c r="I299" s="1017">
        <f>+I297+I298</f>
        <v>180.26</v>
      </c>
      <c r="J299" s="446"/>
      <c r="K299" s="302"/>
    </row>
    <row r="300" spans="1:13" x14ac:dyDescent="0.2">
      <c r="A300" s="1277" t="str">
        <f>$A$1</f>
        <v>COMPOSIÇÃO DE CUSTOS UNITÁRIOS</v>
      </c>
      <c r="B300" s="1277"/>
      <c r="C300" s="1277"/>
      <c r="D300" s="1277"/>
      <c r="E300" s="1277"/>
      <c r="F300" s="1277"/>
      <c r="G300" s="1277"/>
      <c r="H300" s="1277"/>
      <c r="I300" s="1277"/>
    </row>
    <row r="301" spans="1:13" x14ac:dyDescent="0.2">
      <c r="A301" s="232" t="str">
        <f>$A$2</f>
        <v>Tabela Referencial de Preços - DER-ES</v>
      </c>
      <c r="B301" s="233"/>
      <c r="C301" s="199"/>
      <c r="D301" s="199"/>
      <c r="E301" s="199"/>
      <c r="F301" s="199"/>
      <c r="G301" s="199"/>
      <c r="H301" s="199"/>
      <c r="I301" s="234" t="str">
        <f>$I$2</f>
        <v>Data Base: Outubro/2018</v>
      </c>
    </row>
    <row r="302" spans="1:13" x14ac:dyDescent="0.2">
      <c r="A302" s="1278" t="str">
        <f>+CONCATENATE("Serviço: ",J302," ",VLOOKUP(J302,'DER 10-18'!$A:$D,2,FALSE))</f>
        <v>Serviço: 40515 Berço de concreto ciclópico para BSTC diâmetro 0,80 m</v>
      </c>
      <c r="B302" s="1278"/>
      <c r="C302" s="1278"/>
      <c r="D302" s="1278"/>
      <c r="E302" s="1278"/>
      <c r="F302" s="1278"/>
      <c r="G302" s="1278"/>
      <c r="H302" s="1278"/>
      <c r="I302" s="1278" t="str">
        <f>CONCATENATE("Unidade: ", VLOOKUP(J302,'DER 10-18'!$A:$E,3,FALSE))</f>
        <v>Unidade: M</v>
      </c>
      <c r="J302" s="433">
        <v>40515</v>
      </c>
      <c r="K302" s="433">
        <f>VLOOKUP("Preço Unitário Total",F303:I4844,4,FALSE)</f>
        <v>264.02</v>
      </c>
      <c r="L302" s="302" t="str">
        <f>VLOOKUP(J302,'DER 10-18'!A:E,5,FALSE)</f>
        <v>A incluir</v>
      </c>
      <c r="M302" s="302" t="str">
        <f>VLOOKUP(J302,'DER 10-18'!$A:$D,2,FALSE)</f>
        <v>Berço de concreto ciclópico para BSTC diâmetro 0,80 m</v>
      </c>
    </row>
    <row r="303" spans="1:13" x14ac:dyDescent="0.2">
      <c r="A303" s="1279"/>
      <c r="B303" s="1279"/>
      <c r="C303" s="1279"/>
      <c r="D303" s="1279"/>
      <c r="E303" s="1279"/>
      <c r="F303" s="1279"/>
      <c r="G303" s="1279"/>
      <c r="H303" s="1279"/>
      <c r="I303" s="1279"/>
    </row>
    <row r="304" spans="1:13" ht="22.5" x14ac:dyDescent="0.2">
      <c r="A304" s="235" t="s">
        <v>192</v>
      </c>
      <c r="B304" s="236" t="s">
        <v>60</v>
      </c>
      <c r="C304" s="236" t="s">
        <v>193</v>
      </c>
      <c r="D304" s="236" t="s">
        <v>194</v>
      </c>
      <c r="E304" s="236" t="s">
        <v>195</v>
      </c>
      <c r="F304" s="236" t="s">
        <v>196</v>
      </c>
      <c r="G304" s="236" t="s">
        <v>197</v>
      </c>
      <c r="H304" s="236" t="s">
        <v>91</v>
      </c>
      <c r="I304" s="236" t="s">
        <v>198</v>
      </c>
    </row>
    <row r="305" spans="1:11" x14ac:dyDescent="0.2">
      <c r="A305" s="237"/>
      <c r="B305" s="238"/>
      <c r="C305" s="239"/>
      <c r="D305" s="240"/>
      <c r="E305" s="205"/>
      <c r="F305" s="241"/>
      <c r="G305" s="241"/>
      <c r="H305" s="242"/>
      <c r="I305" s="243"/>
    </row>
    <row r="306" spans="1:11" x14ac:dyDescent="0.2">
      <c r="A306" s="199"/>
      <c r="B306" s="233"/>
      <c r="C306" s="233"/>
      <c r="D306" s="199"/>
      <c r="E306" s="199"/>
      <c r="F306" s="234" t="s">
        <v>199</v>
      </c>
      <c r="G306" s="244"/>
      <c r="H306" s="245"/>
      <c r="I306" s="434">
        <f>SUM(I305:I305)</f>
        <v>0</v>
      </c>
    </row>
    <row r="307" spans="1:11" x14ac:dyDescent="0.2">
      <c r="A307" s="199"/>
      <c r="B307" s="233"/>
      <c r="C307" s="233"/>
      <c r="D307" s="199"/>
      <c r="E307" s="199"/>
      <c r="F307" s="199"/>
      <c r="G307" s="199"/>
      <c r="H307" s="199"/>
      <c r="I307" s="200"/>
    </row>
    <row r="308" spans="1:11" x14ac:dyDescent="0.2">
      <c r="A308" s="246" t="s">
        <v>200</v>
      </c>
      <c r="B308" s="247" t="s">
        <v>60</v>
      </c>
      <c r="C308" s="236" t="s">
        <v>1242</v>
      </c>
      <c r="D308" s="247" t="s">
        <v>202</v>
      </c>
      <c r="E308" s="1276" t="s">
        <v>91</v>
      </c>
      <c r="F308" s="1274"/>
      <c r="G308" s="1275"/>
      <c r="H308" s="1276" t="s">
        <v>198</v>
      </c>
      <c r="I308" s="1275"/>
    </row>
    <row r="309" spans="1:11" x14ac:dyDescent="0.2">
      <c r="A309" s="248"/>
      <c r="B309" s="238"/>
      <c r="C309" s="243"/>
      <c r="D309" s="243"/>
      <c r="E309" s="260"/>
      <c r="F309" s="258"/>
      <c r="G309" s="300"/>
      <c r="H309" s="244"/>
      <c r="I309" s="249"/>
      <c r="J309" s="302"/>
      <c r="K309" s="302"/>
    </row>
    <row r="310" spans="1:11" x14ac:dyDescent="0.2">
      <c r="A310" s="199"/>
      <c r="B310" s="233"/>
      <c r="C310" s="233"/>
      <c r="D310" s="199"/>
      <c r="E310" s="199"/>
      <c r="F310" s="234" t="s">
        <v>203</v>
      </c>
      <c r="G310" s="244"/>
      <c r="H310" s="245"/>
      <c r="I310" s="434">
        <f>SUM(I309:I309)</f>
        <v>0</v>
      </c>
      <c r="J310" s="302"/>
      <c r="K310" s="302"/>
    </row>
    <row r="311" spans="1:11" x14ac:dyDescent="0.2">
      <c r="A311" s="199"/>
      <c r="B311" s="233"/>
      <c r="C311" s="233"/>
      <c r="D311" s="199"/>
      <c r="E311" s="199"/>
      <c r="F311" s="199"/>
      <c r="G311" s="199"/>
      <c r="H311" s="199"/>
      <c r="I311" s="200"/>
      <c r="J311" s="302"/>
      <c r="K311" s="302"/>
    </row>
    <row r="312" spans="1:11" x14ac:dyDescent="0.2">
      <c r="A312" s="270" t="s">
        <v>204</v>
      </c>
      <c r="B312" s="247" t="s">
        <v>60</v>
      </c>
      <c r="C312" s="866" t="s">
        <v>17</v>
      </c>
      <c r="D312" s="247" t="s">
        <v>205</v>
      </c>
      <c r="E312" s="247" t="s">
        <v>206</v>
      </c>
      <c r="F312" s="247" t="s">
        <v>207</v>
      </c>
      <c r="G312" s="1276" t="s">
        <v>96</v>
      </c>
      <c r="H312" s="1274"/>
      <c r="I312" s="1275"/>
      <c r="J312" s="302"/>
      <c r="K312" s="302"/>
    </row>
    <row r="313" spans="1:11" x14ac:dyDescent="0.2">
      <c r="A313" s="248"/>
      <c r="B313" s="238"/>
      <c r="C313" s="243"/>
      <c r="D313" s="239"/>
      <c r="E313" s="251"/>
      <c r="F313" s="251"/>
      <c r="G313" s="244"/>
      <c r="H313" s="245"/>
      <c r="I313" s="249"/>
      <c r="J313" s="302"/>
      <c r="K313" s="302"/>
    </row>
    <row r="314" spans="1:11" x14ac:dyDescent="0.2">
      <c r="A314" s="199"/>
      <c r="B314" s="233"/>
      <c r="C314" s="199"/>
      <c r="D314" s="199"/>
      <c r="E314" s="199"/>
      <c r="F314" s="234" t="s">
        <v>1170</v>
      </c>
      <c r="G314" s="244"/>
      <c r="H314" s="245"/>
      <c r="I314" s="434">
        <f>SUM(I313)</f>
        <v>0</v>
      </c>
      <c r="J314" s="302"/>
      <c r="K314" s="302"/>
    </row>
    <row r="315" spans="1:11" x14ac:dyDescent="0.2">
      <c r="A315" s="199"/>
      <c r="B315" s="233"/>
      <c r="C315" s="199"/>
      <c r="D315" s="199"/>
      <c r="E315" s="199"/>
      <c r="F315" s="199"/>
      <c r="G315" s="199"/>
      <c r="H315" s="199"/>
      <c r="I315" s="200"/>
      <c r="J315" s="302"/>
      <c r="K315" s="302"/>
    </row>
    <row r="316" spans="1:11" x14ac:dyDescent="0.2">
      <c r="A316" s="252"/>
      <c r="B316" s="253"/>
      <c r="C316" s="254"/>
      <c r="D316" s="254"/>
      <c r="E316" s="254"/>
      <c r="F316" s="255" t="s">
        <v>208</v>
      </c>
      <c r="G316" s="435"/>
      <c r="H316" s="254"/>
      <c r="I316" s="634">
        <f>+I306+I310+I314</f>
        <v>0</v>
      </c>
      <c r="J316" s="302"/>
      <c r="K316" s="302"/>
    </row>
    <row r="317" spans="1:11" x14ac:dyDescent="0.2">
      <c r="A317" s="256"/>
      <c r="B317" s="257"/>
      <c r="C317" s="258"/>
      <c r="D317" s="258"/>
      <c r="E317" s="258"/>
      <c r="F317" s="259" t="s">
        <v>209</v>
      </c>
      <c r="G317" s="260"/>
      <c r="H317" s="258"/>
      <c r="I317" s="635">
        <v>1</v>
      </c>
      <c r="J317" s="302"/>
      <c r="K317" s="302"/>
    </row>
    <row r="318" spans="1:11" x14ac:dyDescent="0.2">
      <c r="A318" s="237"/>
      <c r="B318" s="261"/>
      <c r="C318" s="245"/>
      <c r="D318" s="245"/>
      <c r="E318" s="245"/>
      <c r="F318" s="262" t="s">
        <v>232</v>
      </c>
      <c r="G318" s="244"/>
      <c r="H318" s="245"/>
      <c r="I318" s="633">
        <f>TRUNC(I316/I317,2)</f>
        <v>0</v>
      </c>
      <c r="J318" s="302"/>
      <c r="K318" s="302"/>
    </row>
    <row r="319" spans="1:11" x14ac:dyDescent="0.2">
      <c r="A319" s="867"/>
      <c r="B319" s="233"/>
      <c r="C319" s="199"/>
      <c r="D319" s="199"/>
      <c r="E319" s="199"/>
      <c r="F319" s="263"/>
      <c r="G319" s="199"/>
      <c r="H319" s="199"/>
      <c r="I319" s="264"/>
      <c r="J319" s="302"/>
      <c r="K319" s="302"/>
    </row>
    <row r="320" spans="1:11" x14ac:dyDescent="0.2">
      <c r="A320" s="246" t="s">
        <v>210</v>
      </c>
      <c r="B320" s="247" t="s">
        <v>60</v>
      </c>
      <c r="C320" s="247" t="s">
        <v>211</v>
      </c>
      <c r="D320" s="247" t="s">
        <v>233</v>
      </c>
      <c r="E320" s="1276" t="s">
        <v>91</v>
      </c>
      <c r="F320" s="1274"/>
      <c r="G320" s="1275"/>
      <c r="H320" s="1276" t="s">
        <v>198</v>
      </c>
      <c r="I320" s="1275"/>
      <c r="J320" s="302"/>
      <c r="K320" s="302"/>
    </row>
    <row r="321" spans="1:11" x14ac:dyDescent="0.2">
      <c r="A321" s="265"/>
      <c r="B321" s="238"/>
      <c r="C321" s="266"/>
      <c r="D321" s="267"/>
      <c r="E321" s="260"/>
      <c r="F321" s="258"/>
      <c r="G321" s="300"/>
      <c r="H321" s="260"/>
      <c r="I321" s="268"/>
      <c r="J321" s="302"/>
      <c r="K321" s="302"/>
    </row>
    <row r="322" spans="1:11" x14ac:dyDescent="0.2">
      <c r="A322" s="199"/>
      <c r="B322" s="233"/>
      <c r="C322" s="199"/>
      <c r="D322" s="199"/>
      <c r="E322" s="199"/>
      <c r="F322" s="234" t="s">
        <v>212</v>
      </c>
      <c r="G322" s="244"/>
      <c r="H322" s="245"/>
      <c r="I322" s="434">
        <f>SUM(I321:I321)</f>
        <v>0</v>
      </c>
      <c r="J322" s="302"/>
      <c r="K322" s="302"/>
    </row>
    <row r="323" spans="1:11" x14ac:dyDescent="0.2">
      <c r="A323" s="199"/>
      <c r="B323" s="233"/>
      <c r="C323" s="199"/>
      <c r="D323" s="199"/>
      <c r="E323" s="199"/>
      <c r="F323" s="199"/>
      <c r="G323" s="269"/>
      <c r="H323" s="199"/>
      <c r="I323" s="200"/>
      <c r="J323" s="302"/>
      <c r="K323" s="302"/>
    </row>
    <row r="324" spans="1:11" x14ac:dyDescent="0.2">
      <c r="A324" s="270" t="s">
        <v>213</v>
      </c>
      <c r="B324" s="247" t="s">
        <v>60</v>
      </c>
      <c r="C324" s="247" t="s">
        <v>211</v>
      </c>
      <c r="D324" s="866" t="s">
        <v>233</v>
      </c>
      <c r="E324" s="1276" t="s">
        <v>91</v>
      </c>
      <c r="F324" s="1274"/>
      <c r="G324" s="1275"/>
      <c r="H324" s="1276" t="s">
        <v>198</v>
      </c>
      <c r="I324" s="1275"/>
      <c r="J324" s="302"/>
      <c r="K324" s="302"/>
    </row>
    <row r="325" spans="1:11" s="198" customFormat="1" ht="33.75" x14ac:dyDescent="0.2">
      <c r="A325" s="452" t="str">
        <f>VLOOKUP(B325,'DER 10-18'!$A:$E,2,FALSE)</f>
        <v>Concreto ciclópico com 70% concreto 15,0 MPa e 30% de pedra de mão, tudo incluído</v>
      </c>
      <c r="B325" s="453">
        <v>40351</v>
      </c>
      <c r="C325" s="453" t="str">
        <f>VLOOKUP(B325,'DER 10-18'!$A:$E,3,FALSE)</f>
        <v>M3</v>
      </c>
      <c r="D325" s="454">
        <f>TRUNC(VLOOKUP(B325,'DER 10-18'!$A:$F,6,FALSE)/(1+$I$4),2)</f>
        <v>405.01</v>
      </c>
      <c r="E325" s="455"/>
      <c r="F325" s="456"/>
      <c r="G325" s="457">
        <v>0.38600000000000001</v>
      </c>
      <c r="H325" s="458"/>
      <c r="I325" s="459">
        <f>TRUNC(D325*G325,2)</f>
        <v>156.33000000000001</v>
      </c>
      <c r="J325" s="451"/>
      <c r="K325" s="451"/>
    </row>
    <row r="326" spans="1:11" s="198" customFormat="1" ht="45" x14ac:dyDescent="0.2">
      <c r="A326" s="452" t="str">
        <f>VLOOKUP(B326,'DER 10-18'!$A:$E,2,FALSE)</f>
        <v>Formas planas de madeira com 04 (quatro) reaproveitamentos, inclusive fornecimento e transporte das madeiras</v>
      </c>
      <c r="B326" s="453">
        <v>40313</v>
      </c>
      <c r="C326" s="453" t="str">
        <f>VLOOKUP(B326,'DER 10-18'!$A:$E,3,FALSE)</f>
        <v>M2</v>
      </c>
      <c r="D326" s="454">
        <f>TRUNC(VLOOKUP(B326,'DER 10-18'!$A:$F,6,FALSE)/(1+$I$4),2)</f>
        <v>64.180000000000007</v>
      </c>
      <c r="E326" s="455"/>
      <c r="F326" s="456"/>
      <c r="G326" s="457">
        <v>0.9</v>
      </c>
      <c r="H326" s="458"/>
      <c r="I326" s="459">
        <f>TRUNC(D326*G326,2)</f>
        <v>57.76</v>
      </c>
      <c r="J326" s="451"/>
      <c r="K326" s="451"/>
    </row>
    <row r="327" spans="1:11" x14ac:dyDescent="0.2">
      <c r="A327" s="201"/>
      <c r="B327" s="271"/>
      <c r="C327" s="201"/>
      <c r="D327" s="201"/>
      <c r="E327" s="201"/>
      <c r="F327" s="272" t="s">
        <v>214</v>
      </c>
      <c r="G327" s="260"/>
      <c r="H327" s="273"/>
      <c r="I327" s="436">
        <f>SUM(I325:I326)</f>
        <v>214.09</v>
      </c>
    </row>
    <row r="328" spans="1:11" x14ac:dyDescent="0.2">
      <c r="A328" s="201"/>
      <c r="B328" s="271"/>
      <c r="C328" s="201"/>
      <c r="D328" s="201"/>
      <c r="E328" s="201"/>
      <c r="F328" s="201"/>
      <c r="G328" s="201"/>
      <c r="H328" s="201"/>
      <c r="I328" s="201"/>
    </row>
    <row r="329" spans="1:11" x14ac:dyDescent="0.2">
      <c r="A329" s="442" t="s">
        <v>215</v>
      </c>
      <c r="B329" s="275" t="s">
        <v>60</v>
      </c>
      <c r="C329" s="275" t="s">
        <v>211</v>
      </c>
      <c r="D329" s="275" t="s">
        <v>216</v>
      </c>
      <c r="E329" s="275" t="s">
        <v>217</v>
      </c>
      <c r="F329" s="275" t="s">
        <v>218</v>
      </c>
      <c r="G329" s="275" t="s">
        <v>96</v>
      </c>
      <c r="H329" s="275" t="s">
        <v>91</v>
      </c>
      <c r="I329" s="275" t="s">
        <v>219</v>
      </c>
    </row>
    <row r="330" spans="1:11" x14ac:dyDescent="0.2">
      <c r="A330" s="248"/>
      <c r="B330" s="238"/>
      <c r="C330" s="238"/>
      <c r="D330" s="276"/>
      <c r="E330" s="277"/>
      <c r="F330" s="277"/>
      <c r="G330" s="243"/>
      <c r="H330" s="278"/>
      <c r="I330" s="243"/>
    </row>
    <row r="331" spans="1:11" x14ac:dyDescent="0.2">
      <c r="A331" s="201"/>
      <c r="B331" s="271"/>
      <c r="C331" s="201"/>
      <c r="D331" s="201"/>
      <c r="E331" s="201"/>
      <c r="F331" s="272" t="s">
        <v>220</v>
      </c>
      <c r="G331" s="244"/>
      <c r="H331" s="279"/>
      <c r="I331" s="438">
        <f>SUM(I330:I330)</f>
        <v>0</v>
      </c>
    </row>
    <row r="332" spans="1:11" x14ac:dyDescent="0.2">
      <c r="A332" s="201"/>
      <c r="B332" s="271"/>
      <c r="C332" s="201"/>
      <c r="D332" s="201"/>
      <c r="E332" s="201"/>
      <c r="F332" s="201"/>
      <c r="G332" s="201"/>
      <c r="H332" s="201"/>
      <c r="I332" s="202"/>
    </row>
    <row r="333" spans="1:11" x14ac:dyDescent="0.2">
      <c r="A333" s="280"/>
      <c r="B333" s="281"/>
      <c r="C333" s="282"/>
      <c r="D333" s="282"/>
      <c r="E333" s="282"/>
      <c r="F333" s="283" t="s">
        <v>221</v>
      </c>
      <c r="G333" s="280"/>
      <c r="H333" s="254"/>
      <c r="I333" s="634">
        <f>+I318+I322+I327+I331</f>
        <v>214.09</v>
      </c>
    </row>
    <row r="334" spans="1:11" x14ac:dyDescent="0.2">
      <c r="A334" s="260"/>
      <c r="B334" s="284"/>
      <c r="C334" s="273"/>
      <c r="D334" s="273"/>
      <c r="E334" s="273"/>
      <c r="F334" s="285" t="str">
        <f>CONCATENATE($H$3," ",$I$3)</f>
        <v>BDI: 23,32</v>
      </c>
      <c r="G334" s="439"/>
      <c r="H334" s="258"/>
      <c r="I334" s="635">
        <f>+ROUND(I333*$I$4,2)</f>
        <v>49.93</v>
      </c>
    </row>
    <row r="335" spans="1:11" x14ac:dyDescent="0.2">
      <c r="A335" s="244"/>
      <c r="B335" s="286"/>
      <c r="C335" s="279"/>
      <c r="D335" s="279"/>
      <c r="E335" s="279"/>
      <c r="F335" s="287" t="s">
        <v>222</v>
      </c>
      <c r="G335" s="440"/>
      <c r="H335" s="245"/>
      <c r="I335" s="1017">
        <f>+I333+I334</f>
        <v>264.02</v>
      </c>
    </row>
    <row r="336" spans="1:11" x14ac:dyDescent="0.2">
      <c r="A336" s="1277" t="str">
        <f>$A$1</f>
        <v>COMPOSIÇÃO DE CUSTOS UNITÁRIOS</v>
      </c>
      <c r="B336" s="1277"/>
      <c r="C336" s="1277"/>
      <c r="D336" s="1277"/>
      <c r="E336" s="1277"/>
      <c r="F336" s="1277"/>
      <c r="G336" s="1277"/>
      <c r="H336" s="1277"/>
      <c r="I336" s="1277"/>
    </row>
    <row r="337" spans="1:13" x14ac:dyDescent="0.2">
      <c r="A337" s="232" t="str">
        <f>$A$2</f>
        <v>Tabela Referencial de Preços - DER-ES</v>
      </c>
      <c r="B337" s="233"/>
      <c r="C337" s="199"/>
      <c r="D337" s="199"/>
      <c r="E337" s="199"/>
      <c r="F337" s="199"/>
      <c r="G337" s="199"/>
      <c r="H337" s="199"/>
      <c r="I337" s="234" t="str">
        <f>$I$2</f>
        <v>Data Base: Outubro/2018</v>
      </c>
    </row>
    <row r="338" spans="1:13" x14ac:dyDescent="0.2">
      <c r="A338" s="1278" t="str">
        <f>+CONCATENATE("Serviço: ",J338," ",VLOOKUP(J338,'DER 10-18'!$A:$D,2,FALSE))</f>
        <v>Serviço: 40516 Berço de concreto ciclópico para BSTC diâmetro 1,00 m</v>
      </c>
      <c r="B338" s="1278"/>
      <c r="C338" s="1278"/>
      <c r="D338" s="1278"/>
      <c r="E338" s="1278"/>
      <c r="F338" s="1278"/>
      <c r="G338" s="1278"/>
      <c r="H338" s="1278"/>
      <c r="I338" s="1278" t="str">
        <f>CONCATENATE("Unidade: ", VLOOKUP(J338,'DER 10-18'!$A:$E,3,FALSE))</f>
        <v>Unidade: M</v>
      </c>
      <c r="J338" s="433">
        <v>40516</v>
      </c>
      <c r="K338" s="433">
        <f>VLOOKUP("Preço Unitário Total",F339:I3589,4,FALSE)</f>
        <v>373.33</v>
      </c>
      <c r="L338" s="302" t="str">
        <f>VLOOKUP(J338,'DER 10-18'!A:E,5,FALSE)</f>
        <v>A incluir</v>
      </c>
      <c r="M338" s="302" t="str">
        <f>VLOOKUP(J338,'DER 10-18'!$A:$D,2,FALSE)</f>
        <v>Berço de concreto ciclópico para BSTC diâmetro 1,00 m</v>
      </c>
    </row>
    <row r="339" spans="1:13" x14ac:dyDescent="0.2">
      <c r="A339" s="1279"/>
      <c r="B339" s="1279"/>
      <c r="C339" s="1279"/>
      <c r="D339" s="1279"/>
      <c r="E339" s="1279"/>
      <c r="F339" s="1279"/>
      <c r="G339" s="1279"/>
      <c r="H339" s="1279"/>
      <c r="I339" s="1279"/>
    </row>
    <row r="340" spans="1:13" ht="22.5" x14ac:dyDescent="0.2">
      <c r="A340" s="235" t="s">
        <v>192</v>
      </c>
      <c r="B340" s="236" t="s">
        <v>60</v>
      </c>
      <c r="C340" s="236" t="s">
        <v>193</v>
      </c>
      <c r="D340" s="236" t="s">
        <v>194</v>
      </c>
      <c r="E340" s="236" t="s">
        <v>195</v>
      </c>
      <c r="F340" s="236" t="s">
        <v>196</v>
      </c>
      <c r="G340" s="236" t="s">
        <v>197</v>
      </c>
      <c r="H340" s="236" t="s">
        <v>91</v>
      </c>
      <c r="I340" s="236" t="s">
        <v>198</v>
      </c>
    </row>
    <row r="341" spans="1:13" x14ac:dyDescent="0.2">
      <c r="A341" s="237"/>
      <c r="B341" s="238"/>
      <c r="C341" s="239"/>
      <c r="D341" s="240"/>
      <c r="E341" s="205"/>
      <c r="F341" s="241"/>
      <c r="G341" s="241"/>
      <c r="H341" s="242"/>
      <c r="I341" s="243"/>
    </row>
    <row r="342" spans="1:13" x14ac:dyDescent="0.2">
      <c r="A342" s="199"/>
      <c r="B342" s="233"/>
      <c r="C342" s="233"/>
      <c r="D342" s="199"/>
      <c r="E342" s="199"/>
      <c r="F342" s="234" t="s">
        <v>199</v>
      </c>
      <c r="G342" s="244"/>
      <c r="H342" s="245"/>
      <c r="I342" s="434">
        <f>SUM(I341:I341)</f>
        <v>0</v>
      </c>
    </row>
    <row r="343" spans="1:13" x14ac:dyDescent="0.2">
      <c r="A343" s="199"/>
      <c r="B343" s="233"/>
      <c r="C343" s="233"/>
      <c r="D343" s="199"/>
      <c r="E343" s="199"/>
      <c r="F343" s="199"/>
      <c r="G343" s="199"/>
      <c r="H343" s="199"/>
      <c r="I343" s="200"/>
    </row>
    <row r="344" spans="1:13" x14ac:dyDescent="0.2">
      <c r="A344" s="246" t="s">
        <v>200</v>
      </c>
      <c r="B344" s="247" t="s">
        <v>60</v>
      </c>
      <c r="C344" s="236" t="s">
        <v>1242</v>
      </c>
      <c r="D344" s="247" t="s">
        <v>202</v>
      </c>
      <c r="E344" s="1276" t="s">
        <v>91</v>
      </c>
      <c r="F344" s="1274"/>
      <c r="G344" s="1275"/>
      <c r="H344" s="1276" t="s">
        <v>198</v>
      </c>
      <c r="I344" s="1275"/>
    </row>
    <row r="345" spans="1:13" x14ac:dyDescent="0.2">
      <c r="A345" s="248"/>
      <c r="B345" s="238"/>
      <c r="C345" s="243"/>
      <c r="D345" s="243"/>
      <c r="E345" s="260"/>
      <c r="F345" s="258"/>
      <c r="G345" s="300"/>
      <c r="H345" s="244"/>
      <c r="I345" s="249"/>
    </row>
    <row r="346" spans="1:13" x14ac:dyDescent="0.2">
      <c r="A346" s="199"/>
      <c r="B346" s="233"/>
      <c r="C346" s="233"/>
      <c r="D346" s="199"/>
      <c r="E346" s="199"/>
      <c r="F346" s="234" t="s">
        <v>203</v>
      </c>
      <c r="G346" s="244"/>
      <c r="H346" s="245"/>
      <c r="I346" s="434">
        <f>SUM(I345:I345)</f>
        <v>0</v>
      </c>
    </row>
    <row r="347" spans="1:13" x14ac:dyDescent="0.2">
      <c r="A347" s="199"/>
      <c r="B347" s="233"/>
      <c r="C347" s="233"/>
      <c r="D347" s="199"/>
      <c r="E347" s="199"/>
      <c r="F347" s="199"/>
      <c r="G347" s="199"/>
      <c r="H347" s="199"/>
      <c r="I347" s="200"/>
    </row>
    <row r="348" spans="1:13" x14ac:dyDescent="0.2">
      <c r="A348" s="270" t="s">
        <v>204</v>
      </c>
      <c r="B348" s="247" t="s">
        <v>60</v>
      </c>
      <c r="C348" s="866" t="s">
        <v>17</v>
      </c>
      <c r="D348" s="247" t="s">
        <v>205</v>
      </c>
      <c r="E348" s="247" t="s">
        <v>206</v>
      </c>
      <c r="F348" s="247" t="s">
        <v>207</v>
      </c>
      <c r="G348" s="1276" t="s">
        <v>96</v>
      </c>
      <c r="H348" s="1274"/>
      <c r="I348" s="1275"/>
    </row>
    <row r="349" spans="1:13" x14ac:dyDescent="0.2">
      <c r="A349" s="248"/>
      <c r="B349" s="238"/>
      <c r="C349" s="243"/>
      <c r="D349" s="239"/>
      <c r="E349" s="251"/>
      <c r="F349" s="251"/>
      <c r="G349" s="244"/>
      <c r="H349" s="245"/>
      <c r="I349" s="249"/>
    </row>
    <row r="350" spans="1:13" x14ac:dyDescent="0.2">
      <c r="A350" s="199"/>
      <c r="B350" s="233"/>
      <c r="C350" s="199"/>
      <c r="D350" s="199"/>
      <c r="E350" s="199"/>
      <c r="F350" s="234" t="s">
        <v>1170</v>
      </c>
      <c r="G350" s="244"/>
      <c r="H350" s="245"/>
      <c r="I350" s="434">
        <f>SUM(I349)</f>
        <v>0</v>
      </c>
    </row>
    <row r="351" spans="1:13" x14ac:dyDescent="0.2">
      <c r="A351" s="199"/>
      <c r="B351" s="233"/>
      <c r="C351" s="199"/>
      <c r="D351" s="199"/>
      <c r="E351" s="199"/>
      <c r="F351" s="199"/>
      <c r="G351" s="199"/>
      <c r="H351" s="199"/>
      <c r="I351" s="200"/>
    </row>
    <row r="352" spans="1:13" x14ac:dyDescent="0.2">
      <c r="A352" s="252"/>
      <c r="B352" s="253"/>
      <c r="C352" s="254"/>
      <c r="D352" s="254"/>
      <c r="E352" s="254"/>
      <c r="F352" s="255" t="s">
        <v>208</v>
      </c>
      <c r="G352" s="435"/>
      <c r="H352" s="254"/>
      <c r="I352" s="634">
        <f>+I342+I346+I350</f>
        <v>0</v>
      </c>
    </row>
    <row r="353" spans="1:11" x14ac:dyDescent="0.2">
      <c r="A353" s="256"/>
      <c r="B353" s="257"/>
      <c r="C353" s="258"/>
      <c r="D353" s="258"/>
      <c r="E353" s="258"/>
      <c r="F353" s="259" t="s">
        <v>209</v>
      </c>
      <c r="G353" s="260"/>
      <c r="H353" s="258"/>
      <c r="I353" s="635">
        <v>1</v>
      </c>
    </row>
    <row r="354" spans="1:11" x14ac:dyDescent="0.2">
      <c r="A354" s="237"/>
      <c r="B354" s="261"/>
      <c r="C354" s="245"/>
      <c r="D354" s="245"/>
      <c r="E354" s="245"/>
      <c r="F354" s="262" t="s">
        <v>232</v>
      </c>
      <c r="G354" s="244"/>
      <c r="H354" s="245"/>
      <c r="I354" s="633">
        <f>TRUNC(I352/I353,2)</f>
        <v>0</v>
      </c>
    </row>
    <row r="355" spans="1:11" x14ac:dyDescent="0.2">
      <c r="A355" s="867"/>
      <c r="B355" s="233"/>
      <c r="C355" s="199"/>
      <c r="D355" s="199"/>
      <c r="E355" s="199"/>
      <c r="F355" s="263"/>
      <c r="G355" s="199"/>
      <c r="H355" s="199"/>
      <c r="I355" s="264"/>
    </row>
    <row r="356" spans="1:11" x14ac:dyDescent="0.2">
      <c r="A356" s="246" t="s">
        <v>210</v>
      </c>
      <c r="B356" s="247" t="s">
        <v>60</v>
      </c>
      <c r="C356" s="247" t="s">
        <v>211</v>
      </c>
      <c r="D356" s="247" t="s">
        <v>233</v>
      </c>
      <c r="E356" s="1276" t="s">
        <v>91</v>
      </c>
      <c r="F356" s="1274"/>
      <c r="G356" s="1275"/>
      <c r="H356" s="1276" t="s">
        <v>198</v>
      </c>
      <c r="I356" s="1275"/>
    </row>
    <row r="357" spans="1:11" x14ac:dyDescent="0.2">
      <c r="A357" s="265"/>
      <c r="B357" s="238"/>
      <c r="C357" s="266"/>
      <c r="D357" s="267"/>
      <c r="E357" s="260"/>
      <c r="F357" s="258"/>
      <c r="G357" s="300"/>
      <c r="H357" s="260"/>
      <c r="I357" s="268"/>
    </row>
    <row r="358" spans="1:11" x14ac:dyDescent="0.2">
      <c r="A358" s="199"/>
      <c r="B358" s="233"/>
      <c r="C358" s="199"/>
      <c r="D358" s="199"/>
      <c r="E358" s="199"/>
      <c r="F358" s="234" t="s">
        <v>212</v>
      </c>
      <c r="G358" s="244"/>
      <c r="H358" s="245"/>
      <c r="I358" s="434">
        <f>SUM(I357:I357)</f>
        <v>0</v>
      </c>
    </row>
    <row r="359" spans="1:11" x14ac:dyDescent="0.2">
      <c r="A359" s="199"/>
      <c r="B359" s="233"/>
      <c r="C359" s="199"/>
      <c r="D359" s="199"/>
      <c r="E359" s="199"/>
      <c r="F359" s="199"/>
      <c r="G359" s="269"/>
      <c r="H359" s="199"/>
      <c r="I359" s="200"/>
    </row>
    <row r="360" spans="1:11" x14ac:dyDescent="0.2">
      <c r="A360" s="270" t="s">
        <v>213</v>
      </c>
      <c r="B360" s="247" t="s">
        <v>60</v>
      </c>
      <c r="C360" s="247" t="s">
        <v>211</v>
      </c>
      <c r="D360" s="866" t="s">
        <v>233</v>
      </c>
      <c r="E360" s="1276" t="s">
        <v>91</v>
      </c>
      <c r="F360" s="1274"/>
      <c r="G360" s="1275"/>
      <c r="H360" s="1276" t="s">
        <v>198</v>
      </c>
      <c r="I360" s="1275"/>
    </row>
    <row r="361" spans="1:11" s="198" customFormat="1" ht="33.75" x14ac:dyDescent="0.2">
      <c r="A361" s="452" t="str">
        <f>VLOOKUP(B361,'DER 10-18'!$A:$E,2,FALSE)</f>
        <v>Concreto ciclópico com 70% concreto 15,0 MPa e 30% de pedra de mão, tudo incluído</v>
      </c>
      <c r="B361" s="453">
        <v>40351</v>
      </c>
      <c r="C361" s="453" t="str">
        <f>VLOOKUP(B361,'DER 10-18'!$A:$E,3,FALSE)</f>
        <v>M3</v>
      </c>
      <c r="D361" s="454">
        <f>TRUNC(VLOOKUP(B361,'DER 10-18'!$A:$F,6,FALSE)/(1+$I$4),2)</f>
        <v>405.01</v>
      </c>
      <c r="E361" s="455"/>
      <c r="F361" s="456"/>
      <c r="G361" s="457">
        <v>0.56999999999999995</v>
      </c>
      <c r="H361" s="458"/>
      <c r="I361" s="459">
        <f>TRUNC(D361*G361,2)</f>
        <v>230.85</v>
      </c>
      <c r="J361" s="451"/>
      <c r="K361" s="451"/>
    </row>
    <row r="362" spans="1:11" s="198" customFormat="1" ht="45" x14ac:dyDescent="0.2">
      <c r="A362" s="452" t="str">
        <f>VLOOKUP(B362,'DER 10-18'!$A:$E,2,FALSE)</f>
        <v>Formas planas de madeira com 04 (quatro) reaproveitamentos, inclusive fornecimento e transporte das madeiras</v>
      </c>
      <c r="B362" s="453">
        <v>40313</v>
      </c>
      <c r="C362" s="453" t="str">
        <f>VLOOKUP(B362,'DER 10-18'!$A:$E,3,FALSE)</f>
        <v>M2</v>
      </c>
      <c r="D362" s="454">
        <f>TRUNC(VLOOKUP(B362,'DER 10-18'!$A:$F,6,FALSE)/(1+$I$4),2)</f>
        <v>64.180000000000007</v>
      </c>
      <c r="E362" s="455"/>
      <c r="F362" s="456"/>
      <c r="G362" s="457">
        <v>1.1200000000000001</v>
      </c>
      <c r="H362" s="458"/>
      <c r="I362" s="459">
        <f>TRUNC(D362*G362,2)</f>
        <v>71.88</v>
      </c>
      <c r="J362" s="451"/>
      <c r="K362" s="451"/>
    </row>
    <row r="363" spans="1:11" x14ac:dyDescent="0.2">
      <c r="A363" s="201"/>
      <c r="B363" s="271"/>
      <c r="C363" s="201"/>
      <c r="D363" s="201"/>
      <c r="E363" s="201"/>
      <c r="F363" s="272" t="s">
        <v>214</v>
      </c>
      <c r="G363" s="260"/>
      <c r="H363" s="273"/>
      <c r="I363" s="436">
        <f>SUM(I361:I362)</f>
        <v>302.73</v>
      </c>
    </row>
    <row r="364" spans="1:11" x14ac:dyDescent="0.2">
      <c r="A364" s="201"/>
      <c r="B364" s="271"/>
      <c r="C364" s="201"/>
      <c r="D364" s="201"/>
      <c r="E364" s="201"/>
      <c r="F364" s="201"/>
      <c r="G364" s="201"/>
      <c r="H364" s="201"/>
      <c r="I364" s="201"/>
    </row>
    <row r="365" spans="1:11" x14ac:dyDescent="0.2">
      <c r="A365" s="442" t="s">
        <v>215</v>
      </c>
      <c r="B365" s="275" t="s">
        <v>60</v>
      </c>
      <c r="C365" s="275" t="s">
        <v>211</v>
      </c>
      <c r="D365" s="275" t="s">
        <v>216</v>
      </c>
      <c r="E365" s="275" t="s">
        <v>217</v>
      </c>
      <c r="F365" s="275" t="s">
        <v>218</v>
      </c>
      <c r="G365" s="275" t="s">
        <v>96</v>
      </c>
      <c r="H365" s="275" t="s">
        <v>91</v>
      </c>
      <c r="I365" s="275" t="s">
        <v>219</v>
      </c>
    </row>
    <row r="366" spans="1:11" x14ac:dyDescent="0.2">
      <c r="A366" s="248"/>
      <c r="B366" s="238"/>
      <c r="C366" s="238"/>
      <c r="D366" s="276"/>
      <c r="E366" s="277"/>
      <c r="F366" s="277"/>
      <c r="G366" s="243"/>
      <c r="H366" s="278"/>
      <c r="I366" s="243"/>
      <c r="J366" s="433" t="s">
        <v>118</v>
      </c>
    </row>
    <row r="367" spans="1:11" x14ac:dyDescent="0.2">
      <c r="A367" s="201"/>
      <c r="B367" s="271"/>
      <c r="C367" s="201"/>
      <c r="D367" s="201"/>
      <c r="E367" s="201"/>
      <c r="F367" s="272" t="s">
        <v>220</v>
      </c>
      <c r="G367" s="244"/>
      <c r="H367" s="279"/>
      <c r="I367" s="438">
        <f>SUM(I366:I366)</f>
        <v>0</v>
      </c>
    </row>
    <row r="368" spans="1:11" x14ac:dyDescent="0.2">
      <c r="A368" s="201"/>
      <c r="B368" s="271"/>
      <c r="C368" s="201"/>
      <c r="D368" s="201"/>
      <c r="E368" s="201"/>
      <c r="F368" s="201"/>
      <c r="G368" s="201"/>
      <c r="H368" s="201"/>
      <c r="I368" s="202"/>
    </row>
    <row r="369" spans="1:13" x14ac:dyDescent="0.2">
      <c r="A369" s="280"/>
      <c r="B369" s="281"/>
      <c r="C369" s="282"/>
      <c r="D369" s="282"/>
      <c r="E369" s="282"/>
      <c r="F369" s="283" t="s">
        <v>221</v>
      </c>
      <c r="G369" s="280"/>
      <c r="H369" s="254"/>
      <c r="I369" s="634">
        <f>+I354+I358+I363+I367</f>
        <v>302.73</v>
      </c>
    </row>
    <row r="370" spans="1:13" x14ac:dyDescent="0.2">
      <c r="A370" s="260"/>
      <c r="B370" s="284"/>
      <c r="C370" s="273"/>
      <c r="D370" s="273"/>
      <c r="E370" s="273"/>
      <c r="F370" s="285" t="str">
        <f>CONCATENATE($H$3," ",$I$3)</f>
        <v>BDI: 23,32</v>
      </c>
      <c r="G370" s="439"/>
      <c r="H370" s="258"/>
      <c r="I370" s="635">
        <f>+ROUND(I369*$I$4,2)</f>
        <v>70.599999999999994</v>
      </c>
    </row>
    <row r="371" spans="1:13" x14ac:dyDescent="0.2">
      <c r="A371" s="244"/>
      <c r="B371" s="286"/>
      <c r="C371" s="279"/>
      <c r="D371" s="279"/>
      <c r="E371" s="279"/>
      <c r="F371" s="287" t="s">
        <v>222</v>
      </c>
      <c r="G371" s="440"/>
      <c r="H371" s="245"/>
      <c r="I371" s="1017">
        <f>+I369+I370</f>
        <v>373.33</v>
      </c>
    </row>
    <row r="372" spans="1:13" x14ac:dyDescent="0.2">
      <c r="A372" s="1277" t="str">
        <f>$A$1</f>
        <v>COMPOSIÇÃO DE CUSTOS UNITÁRIOS</v>
      </c>
      <c r="B372" s="1277"/>
      <c r="C372" s="1277"/>
      <c r="D372" s="1277"/>
      <c r="E372" s="1277"/>
      <c r="F372" s="1277"/>
      <c r="G372" s="1277"/>
      <c r="H372" s="1277"/>
      <c r="I372" s="1277"/>
    </row>
    <row r="373" spans="1:13" x14ac:dyDescent="0.2">
      <c r="A373" s="232" t="str">
        <f>$A$2</f>
        <v>Tabela Referencial de Preços - DER-ES</v>
      </c>
      <c r="B373" s="233"/>
      <c r="C373" s="199"/>
      <c r="D373" s="199"/>
      <c r="E373" s="199"/>
      <c r="F373" s="199"/>
      <c r="G373" s="199"/>
      <c r="H373" s="199"/>
      <c r="I373" s="234" t="str">
        <f>$I$2</f>
        <v>Data Base: Outubro/2018</v>
      </c>
    </row>
    <row r="374" spans="1:13" x14ac:dyDescent="0.2">
      <c r="A374" s="1278" t="str">
        <f>+CONCATENATE("Serviço: ",J374," ",VLOOKUP(J374,'DER 10-18'!$A:$D,2,FALSE))</f>
        <v>Serviço: 40537 Boca de concreto ciclópico para BDTC diâmetro 1,00 m</v>
      </c>
      <c r="B374" s="1278"/>
      <c r="C374" s="1278"/>
      <c r="D374" s="1278"/>
      <c r="E374" s="1278"/>
      <c r="F374" s="1278"/>
      <c r="G374" s="1278"/>
      <c r="H374" s="1278"/>
      <c r="I374" s="1278" t="str">
        <f>CONCATENATE("Unidade: ", VLOOKUP(J374,'DER 10-18'!$A:$E,3,FALSE))</f>
        <v>Unidade: Ud</v>
      </c>
      <c r="J374" s="433">
        <v>40537</v>
      </c>
      <c r="K374" s="433">
        <f>VLOOKUP("Preço Unitário Total",F375:I4464,4,FALSE)</f>
        <v>4514.21</v>
      </c>
      <c r="L374" s="302" t="str">
        <f>VLOOKUP(J374,'DER 10-18'!A:E,5,FALSE)</f>
        <v>A incluir</v>
      </c>
      <c r="M374" s="302" t="str">
        <f>VLOOKUP(J374,'DER 10-18'!$A:$D,2,FALSE)</f>
        <v>Boca de concreto ciclópico para BDTC diâmetro 1,00 m</v>
      </c>
    </row>
    <row r="375" spans="1:13" x14ac:dyDescent="0.2">
      <c r="A375" s="1279"/>
      <c r="B375" s="1279"/>
      <c r="C375" s="1279"/>
      <c r="D375" s="1279"/>
      <c r="E375" s="1279"/>
      <c r="F375" s="1279"/>
      <c r="G375" s="1279"/>
      <c r="H375" s="1279"/>
      <c r="I375" s="1279"/>
    </row>
    <row r="376" spans="1:13" ht="22.5" x14ac:dyDescent="0.2">
      <c r="A376" s="235" t="s">
        <v>192</v>
      </c>
      <c r="B376" s="236" t="s">
        <v>60</v>
      </c>
      <c r="C376" s="236" t="s">
        <v>193</v>
      </c>
      <c r="D376" s="236" t="s">
        <v>194</v>
      </c>
      <c r="E376" s="236" t="s">
        <v>195</v>
      </c>
      <c r="F376" s="236" t="s">
        <v>196</v>
      </c>
      <c r="G376" s="236" t="s">
        <v>197</v>
      </c>
      <c r="H376" s="236" t="s">
        <v>91</v>
      </c>
      <c r="I376" s="236" t="s">
        <v>198</v>
      </c>
    </row>
    <row r="377" spans="1:13" x14ac:dyDescent="0.2">
      <c r="A377" s="237"/>
      <c r="B377" s="238"/>
      <c r="C377" s="239"/>
      <c r="D377" s="240"/>
      <c r="E377" s="205"/>
      <c r="F377" s="241"/>
      <c r="G377" s="241"/>
      <c r="H377" s="242"/>
      <c r="I377" s="243"/>
    </row>
    <row r="378" spans="1:13" x14ac:dyDescent="0.2">
      <c r="A378" s="199"/>
      <c r="B378" s="233"/>
      <c r="C378" s="233"/>
      <c r="D378" s="199"/>
      <c r="E378" s="199"/>
      <c r="F378" s="234" t="s">
        <v>199</v>
      </c>
      <c r="G378" s="244"/>
      <c r="H378" s="245"/>
      <c r="I378" s="434">
        <f>SUM(I377:I377)</f>
        <v>0</v>
      </c>
    </row>
    <row r="379" spans="1:13" x14ac:dyDescent="0.2">
      <c r="A379" s="199"/>
      <c r="B379" s="233"/>
      <c r="C379" s="233"/>
      <c r="D379" s="199"/>
      <c r="E379" s="199"/>
      <c r="F379" s="199"/>
      <c r="G379" s="199"/>
      <c r="H379" s="199"/>
      <c r="I379" s="200"/>
    </row>
    <row r="380" spans="1:13" x14ac:dyDescent="0.2">
      <c r="A380" s="246" t="s">
        <v>200</v>
      </c>
      <c r="B380" s="247" t="s">
        <v>60</v>
      </c>
      <c r="C380" s="236" t="s">
        <v>1242</v>
      </c>
      <c r="D380" s="247" t="s">
        <v>202</v>
      </c>
      <c r="E380" s="1276" t="s">
        <v>91</v>
      </c>
      <c r="F380" s="1274"/>
      <c r="G380" s="1275"/>
      <c r="H380" s="1276" t="s">
        <v>198</v>
      </c>
      <c r="I380" s="1275"/>
    </row>
    <row r="381" spans="1:13" x14ac:dyDescent="0.2">
      <c r="A381" s="248"/>
      <c r="B381" s="238"/>
      <c r="C381" s="243"/>
      <c r="D381" s="243"/>
      <c r="E381" s="260"/>
      <c r="F381" s="258"/>
      <c r="G381" s="300"/>
      <c r="H381" s="244"/>
      <c r="I381" s="249"/>
    </row>
    <row r="382" spans="1:13" x14ac:dyDescent="0.2">
      <c r="A382" s="199"/>
      <c r="B382" s="233"/>
      <c r="C382" s="233"/>
      <c r="D382" s="199"/>
      <c r="E382" s="199"/>
      <c r="F382" s="234" t="s">
        <v>203</v>
      </c>
      <c r="G382" s="244"/>
      <c r="H382" s="245"/>
      <c r="I382" s="434">
        <f>SUM(I381:I381)</f>
        <v>0</v>
      </c>
    </row>
    <row r="383" spans="1:13" x14ac:dyDescent="0.2">
      <c r="A383" s="199"/>
      <c r="B383" s="233"/>
      <c r="C383" s="233"/>
      <c r="D383" s="199"/>
      <c r="E383" s="199"/>
      <c r="F383" s="199"/>
      <c r="G383" s="199"/>
      <c r="H383" s="199"/>
      <c r="I383" s="200"/>
    </row>
    <row r="384" spans="1:13" x14ac:dyDescent="0.2">
      <c r="A384" s="270" t="s">
        <v>204</v>
      </c>
      <c r="B384" s="247" t="s">
        <v>60</v>
      </c>
      <c r="C384" s="866" t="s">
        <v>17</v>
      </c>
      <c r="D384" s="247" t="s">
        <v>205</v>
      </c>
      <c r="E384" s="247" t="s">
        <v>206</v>
      </c>
      <c r="F384" s="247" t="s">
        <v>207</v>
      </c>
      <c r="G384" s="1276" t="s">
        <v>96</v>
      </c>
      <c r="H384" s="1274"/>
      <c r="I384" s="1275"/>
    </row>
    <row r="385" spans="1:11" x14ac:dyDescent="0.2">
      <c r="A385" s="248"/>
      <c r="B385" s="238"/>
      <c r="C385" s="243"/>
      <c r="D385" s="239"/>
      <c r="E385" s="251"/>
      <c r="F385" s="251"/>
      <c r="G385" s="244"/>
      <c r="H385" s="245"/>
      <c r="I385" s="249"/>
    </row>
    <row r="386" spans="1:11" x14ac:dyDescent="0.2">
      <c r="A386" s="199"/>
      <c r="B386" s="233"/>
      <c r="C386" s="199"/>
      <c r="D386" s="199"/>
      <c r="E386" s="199"/>
      <c r="F386" s="234" t="s">
        <v>1170</v>
      </c>
      <c r="G386" s="244"/>
      <c r="H386" s="245"/>
      <c r="I386" s="434">
        <f>SUM(I385)</f>
        <v>0</v>
      </c>
    </row>
    <row r="387" spans="1:11" x14ac:dyDescent="0.2">
      <c r="A387" s="199"/>
      <c r="B387" s="233"/>
      <c r="C387" s="199"/>
      <c r="D387" s="199"/>
      <c r="E387" s="199"/>
      <c r="F387" s="199"/>
      <c r="G387" s="199"/>
      <c r="H387" s="199"/>
      <c r="I387" s="200"/>
    </row>
    <row r="388" spans="1:11" x14ac:dyDescent="0.2">
      <c r="A388" s="252"/>
      <c r="B388" s="253"/>
      <c r="C388" s="254"/>
      <c r="D388" s="254"/>
      <c r="E388" s="254"/>
      <c r="F388" s="255" t="s">
        <v>208</v>
      </c>
      <c r="G388" s="435"/>
      <c r="H388" s="254"/>
      <c r="I388" s="634">
        <f>+I378+I382+I386</f>
        <v>0</v>
      </c>
    </row>
    <row r="389" spans="1:11" x14ac:dyDescent="0.2">
      <c r="A389" s="256"/>
      <c r="B389" s="257"/>
      <c r="C389" s="258"/>
      <c r="D389" s="258"/>
      <c r="E389" s="258"/>
      <c r="F389" s="259" t="s">
        <v>209</v>
      </c>
      <c r="G389" s="260"/>
      <c r="H389" s="258"/>
      <c r="I389" s="635">
        <v>1</v>
      </c>
    </row>
    <row r="390" spans="1:11" x14ac:dyDescent="0.2">
      <c r="A390" s="237"/>
      <c r="B390" s="261"/>
      <c r="C390" s="245"/>
      <c r="D390" s="245"/>
      <c r="E390" s="245"/>
      <c r="F390" s="262" t="s">
        <v>232</v>
      </c>
      <c r="G390" s="244"/>
      <c r="H390" s="245"/>
      <c r="I390" s="633">
        <f>TRUNC(I388/I389,2)</f>
        <v>0</v>
      </c>
    </row>
    <row r="391" spans="1:11" x14ac:dyDescent="0.2">
      <c r="A391" s="867"/>
      <c r="B391" s="233"/>
      <c r="C391" s="199"/>
      <c r="D391" s="199"/>
      <c r="E391" s="199"/>
      <c r="F391" s="263"/>
      <c r="G391" s="199"/>
      <c r="H391" s="199"/>
      <c r="I391" s="264"/>
    </row>
    <row r="392" spans="1:11" x14ac:dyDescent="0.2">
      <c r="A392" s="246" t="s">
        <v>210</v>
      </c>
      <c r="B392" s="247" t="s">
        <v>60</v>
      </c>
      <c r="C392" s="247" t="s">
        <v>211</v>
      </c>
      <c r="D392" s="247" t="s">
        <v>233</v>
      </c>
      <c r="E392" s="1276" t="s">
        <v>91</v>
      </c>
      <c r="F392" s="1274"/>
      <c r="G392" s="1275"/>
      <c r="H392" s="1276" t="s">
        <v>198</v>
      </c>
      <c r="I392" s="1275"/>
    </row>
    <row r="393" spans="1:11" x14ac:dyDescent="0.2">
      <c r="A393" s="265"/>
      <c r="B393" s="238"/>
      <c r="C393" s="266"/>
      <c r="D393" s="267"/>
      <c r="E393" s="260"/>
      <c r="F393" s="258"/>
      <c r="G393" s="300"/>
      <c r="H393" s="260"/>
      <c r="I393" s="268"/>
    </row>
    <row r="394" spans="1:11" x14ac:dyDescent="0.2">
      <c r="A394" s="199"/>
      <c r="B394" s="233"/>
      <c r="C394" s="199"/>
      <c r="D394" s="199"/>
      <c r="E394" s="199"/>
      <c r="F394" s="234" t="s">
        <v>212</v>
      </c>
      <c r="G394" s="244"/>
      <c r="H394" s="245"/>
      <c r="I394" s="434">
        <f>SUM(I393:I393)</f>
        <v>0</v>
      </c>
    </row>
    <row r="395" spans="1:11" x14ac:dyDescent="0.2">
      <c r="A395" s="199"/>
      <c r="B395" s="233"/>
      <c r="C395" s="199"/>
      <c r="D395" s="199"/>
      <c r="E395" s="199"/>
      <c r="F395" s="199"/>
      <c r="G395" s="269"/>
      <c r="H395" s="199"/>
      <c r="I395" s="200"/>
    </row>
    <row r="396" spans="1:11" x14ac:dyDescent="0.2">
      <c r="A396" s="270" t="s">
        <v>213</v>
      </c>
      <c r="B396" s="247" t="s">
        <v>60</v>
      </c>
      <c r="C396" s="247" t="s">
        <v>211</v>
      </c>
      <c r="D396" s="866" t="s">
        <v>233</v>
      </c>
      <c r="E396" s="1276" t="s">
        <v>91</v>
      </c>
      <c r="F396" s="1274"/>
      <c r="G396" s="1275"/>
      <c r="H396" s="1276" t="s">
        <v>198</v>
      </c>
      <c r="I396" s="1275"/>
    </row>
    <row r="397" spans="1:11" s="198" customFormat="1" ht="33.75" x14ac:dyDescent="0.2">
      <c r="A397" s="452" t="str">
        <f>VLOOKUP(B397,'DER 10-18'!$A:$E,2,FALSE)</f>
        <v>Concreto ciclópico com 70% concreto 15,0 MPa e 30% de pedra de mão, tudo incluído</v>
      </c>
      <c r="B397" s="453">
        <v>40351</v>
      </c>
      <c r="C397" s="453" t="str">
        <f>VLOOKUP(B397,'DER 10-18'!$A:$E,3,FALSE)</f>
        <v>M3</v>
      </c>
      <c r="D397" s="454">
        <f>TRUNC(VLOOKUP(B397,'DER 10-18'!$A:$F,6,FALSE)/(1+$I$4),2)</f>
        <v>405.01</v>
      </c>
      <c r="E397" s="455"/>
      <c r="F397" s="456"/>
      <c r="G397" s="457">
        <v>5.1059999999999999</v>
      </c>
      <c r="H397" s="458"/>
      <c r="I397" s="459">
        <f>TRUNC(D397*G397,2)</f>
        <v>2067.98</v>
      </c>
      <c r="J397" s="451"/>
      <c r="K397" s="451"/>
    </row>
    <row r="398" spans="1:11" s="198" customFormat="1" ht="45" x14ac:dyDescent="0.2">
      <c r="A398" s="452" t="str">
        <f>VLOOKUP(B398,'DER 10-18'!$A:$E,2,FALSE)</f>
        <v>Formas planas de madeira com 02 (dois) reaproveitamentos, inclusive fornecimento e transporte das madeiras</v>
      </c>
      <c r="B398" s="453">
        <v>40312</v>
      </c>
      <c r="C398" s="453" t="str">
        <f>VLOOKUP(B398,'DER 10-18'!$A:$E,3,FALSE)</f>
        <v>M2</v>
      </c>
      <c r="D398" s="454">
        <f>TRUNC(VLOOKUP(B398,'DER 10-18'!$A:$F,6,FALSE)/(1+$I$4),2)</f>
        <v>75.55</v>
      </c>
      <c r="E398" s="455"/>
      <c r="F398" s="456"/>
      <c r="G398" s="457">
        <v>21.08</v>
      </c>
      <c r="H398" s="458"/>
      <c r="I398" s="459">
        <f>TRUNC(D398*G398,2)</f>
        <v>1592.59</v>
      </c>
      <c r="J398" s="451"/>
      <c r="K398" s="451"/>
    </row>
    <row r="399" spans="1:11" x14ac:dyDescent="0.2">
      <c r="A399" s="201"/>
      <c r="B399" s="271"/>
      <c r="C399" s="201"/>
      <c r="D399" s="201"/>
      <c r="E399" s="201"/>
      <c r="F399" s="272" t="s">
        <v>214</v>
      </c>
      <c r="G399" s="260"/>
      <c r="H399" s="273"/>
      <c r="I399" s="436">
        <f>SUM(I397:I398)</f>
        <v>3660.57</v>
      </c>
    </row>
    <row r="400" spans="1:11" x14ac:dyDescent="0.2">
      <c r="A400" s="201"/>
      <c r="B400" s="271"/>
      <c r="C400" s="201"/>
      <c r="D400" s="201"/>
      <c r="E400" s="201"/>
      <c r="F400" s="201"/>
      <c r="G400" s="201"/>
      <c r="H400" s="201"/>
      <c r="I400" s="201"/>
    </row>
    <row r="401" spans="1:13" x14ac:dyDescent="0.2">
      <c r="A401" s="442" t="s">
        <v>215</v>
      </c>
      <c r="B401" s="275" t="s">
        <v>60</v>
      </c>
      <c r="C401" s="275" t="s">
        <v>211</v>
      </c>
      <c r="D401" s="275" t="s">
        <v>216</v>
      </c>
      <c r="E401" s="275" t="s">
        <v>217</v>
      </c>
      <c r="F401" s="275" t="s">
        <v>218</v>
      </c>
      <c r="G401" s="275" t="s">
        <v>96</v>
      </c>
      <c r="H401" s="275" t="s">
        <v>91</v>
      </c>
      <c r="I401" s="275" t="s">
        <v>219</v>
      </c>
    </row>
    <row r="402" spans="1:13" x14ac:dyDescent="0.2">
      <c r="A402" s="248"/>
      <c r="B402" s="238"/>
      <c r="C402" s="238"/>
      <c r="D402" s="276"/>
      <c r="E402" s="277"/>
      <c r="F402" s="277"/>
      <c r="G402" s="243"/>
      <c r="H402" s="278"/>
      <c r="I402" s="243"/>
    </row>
    <row r="403" spans="1:13" x14ac:dyDescent="0.2">
      <c r="A403" s="201"/>
      <c r="B403" s="271"/>
      <c r="C403" s="201"/>
      <c r="D403" s="201"/>
      <c r="E403" s="201"/>
      <c r="F403" s="272" t="s">
        <v>220</v>
      </c>
      <c r="G403" s="244"/>
      <c r="H403" s="279"/>
      <c r="I403" s="438">
        <f>SUM(I402:I402)</f>
        <v>0</v>
      </c>
    </row>
    <row r="404" spans="1:13" x14ac:dyDescent="0.2">
      <c r="A404" s="201"/>
      <c r="B404" s="271"/>
      <c r="C404" s="201"/>
      <c r="D404" s="201"/>
      <c r="E404" s="201"/>
      <c r="F404" s="201"/>
      <c r="G404" s="201"/>
      <c r="H404" s="201"/>
      <c r="I404" s="202"/>
    </row>
    <row r="405" spans="1:13" x14ac:dyDescent="0.2">
      <c r="A405" s="280"/>
      <c r="B405" s="281"/>
      <c r="C405" s="282"/>
      <c r="D405" s="282"/>
      <c r="E405" s="282"/>
      <c r="F405" s="283" t="s">
        <v>221</v>
      </c>
      <c r="G405" s="280"/>
      <c r="H405" s="254"/>
      <c r="I405" s="634">
        <f>+I390+I394+I399+I403</f>
        <v>3660.57</v>
      </c>
    </row>
    <row r="406" spans="1:13" x14ac:dyDescent="0.2">
      <c r="A406" s="260"/>
      <c r="B406" s="284"/>
      <c r="C406" s="273"/>
      <c r="D406" s="273"/>
      <c r="E406" s="273"/>
      <c r="F406" s="285" t="str">
        <f>CONCATENATE($H$3," ",$I$3)</f>
        <v>BDI: 23,32</v>
      </c>
      <c r="G406" s="439"/>
      <c r="H406" s="258"/>
      <c r="I406" s="635">
        <f>+ROUND(I405*$I$4,2)</f>
        <v>853.64</v>
      </c>
    </row>
    <row r="407" spans="1:13" x14ac:dyDescent="0.2">
      <c r="A407" s="244"/>
      <c r="B407" s="286"/>
      <c r="C407" s="279"/>
      <c r="D407" s="279"/>
      <c r="E407" s="279"/>
      <c r="F407" s="287" t="s">
        <v>222</v>
      </c>
      <c r="G407" s="440"/>
      <c r="H407" s="245"/>
      <c r="I407" s="1017">
        <f>+I405+I406</f>
        <v>4514.21</v>
      </c>
    </row>
    <row r="408" spans="1:13" x14ac:dyDescent="0.2">
      <c r="A408" s="1277" t="str">
        <f>$A$1</f>
        <v>COMPOSIÇÃO DE CUSTOS UNITÁRIOS</v>
      </c>
      <c r="B408" s="1277"/>
      <c r="C408" s="1277"/>
      <c r="D408" s="1277"/>
      <c r="E408" s="1277"/>
      <c r="F408" s="1277"/>
      <c r="G408" s="1277"/>
      <c r="H408" s="1277"/>
      <c r="I408" s="1277"/>
    </row>
    <row r="409" spans="1:13" x14ac:dyDescent="0.2">
      <c r="A409" s="232" t="str">
        <f>$A$2</f>
        <v>Tabela Referencial de Preços - DER-ES</v>
      </c>
      <c r="B409" s="233"/>
      <c r="C409" s="199"/>
      <c r="D409" s="199"/>
      <c r="E409" s="199"/>
      <c r="F409" s="199"/>
      <c r="G409" s="199"/>
      <c r="H409" s="199"/>
      <c r="I409" s="234" t="str">
        <f>$I$2</f>
        <v>Data Base: Outubro/2018</v>
      </c>
    </row>
    <row r="410" spans="1:13" x14ac:dyDescent="0.2">
      <c r="A410" s="1278" t="str">
        <f>+CONCATENATE("Serviço: ",J410," ",VLOOKUP(J410,'DER 10-18'!$A:$D,2,FALSE))</f>
        <v>Serviço: 40538 Boca de concreto ciclópico para BDTC diâmetro 1,20 m</v>
      </c>
      <c r="B410" s="1278"/>
      <c r="C410" s="1278"/>
      <c r="D410" s="1278"/>
      <c r="E410" s="1278"/>
      <c r="F410" s="1278"/>
      <c r="G410" s="1278"/>
      <c r="H410" s="1278"/>
      <c r="I410" s="1278" t="str">
        <f>CONCATENATE("Unidade: ", VLOOKUP(J410,'DER 10-18'!$A:$E,3,FALSE))</f>
        <v>Unidade: Ud</v>
      </c>
      <c r="J410" s="433">
        <v>40538</v>
      </c>
      <c r="K410" s="433">
        <f>VLOOKUP("Preço Unitário Total",F411:I4496,4,FALSE)</f>
        <v>6525.64</v>
      </c>
      <c r="L410" s="302" t="str">
        <f>VLOOKUP(J410,'DER 10-18'!A:E,5,FALSE)</f>
        <v>A incluir</v>
      </c>
      <c r="M410" s="302" t="str">
        <f>VLOOKUP(J410,'DER 10-18'!$A:$D,2,FALSE)</f>
        <v>Boca de concreto ciclópico para BDTC diâmetro 1,20 m</v>
      </c>
    </row>
    <row r="411" spans="1:13" x14ac:dyDescent="0.2">
      <c r="A411" s="1279"/>
      <c r="B411" s="1279"/>
      <c r="C411" s="1279"/>
      <c r="D411" s="1279"/>
      <c r="E411" s="1279"/>
      <c r="F411" s="1279"/>
      <c r="G411" s="1279"/>
      <c r="H411" s="1279"/>
      <c r="I411" s="1279"/>
    </row>
    <row r="412" spans="1:13" ht="22.5" x14ac:dyDescent="0.2">
      <c r="A412" s="235" t="s">
        <v>192</v>
      </c>
      <c r="B412" s="236" t="s">
        <v>60</v>
      </c>
      <c r="C412" s="236" t="s">
        <v>193</v>
      </c>
      <c r="D412" s="236" t="s">
        <v>194</v>
      </c>
      <c r="E412" s="236" t="s">
        <v>195</v>
      </c>
      <c r="F412" s="236" t="s">
        <v>196</v>
      </c>
      <c r="G412" s="236" t="s">
        <v>197</v>
      </c>
      <c r="H412" s="236" t="s">
        <v>91</v>
      </c>
      <c r="I412" s="236" t="s">
        <v>198</v>
      </c>
    </row>
    <row r="413" spans="1:13" x14ac:dyDescent="0.2">
      <c r="A413" s="237"/>
      <c r="B413" s="238"/>
      <c r="C413" s="239"/>
      <c r="D413" s="240"/>
      <c r="E413" s="205"/>
      <c r="F413" s="241"/>
      <c r="G413" s="241"/>
      <c r="H413" s="242"/>
      <c r="I413" s="243"/>
    </row>
    <row r="414" spans="1:13" x14ac:dyDescent="0.2">
      <c r="A414" s="199"/>
      <c r="B414" s="233"/>
      <c r="C414" s="233"/>
      <c r="D414" s="199"/>
      <c r="E414" s="199"/>
      <c r="F414" s="234" t="s">
        <v>199</v>
      </c>
      <c r="G414" s="244"/>
      <c r="H414" s="245"/>
      <c r="I414" s="434">
        <f>SUM(I413:I413)</f>
        <v>0</v>
      </c>
    </row>
    <row r="415" spans="1:13" x14ac:dyDescent="0.2">
      <c r="A415" s="199"/>
      <c r="B415" s="233"/>
      <c r="C415" s="233"/>
      <c r="D415" s="199"/>
      <c r="E415" s="199"/>
      <c r="F415" s="199"/>
      <c r="G415" s="199"/>
      <c r="H415" s="199"/>
      <c r="I415" s="200"/>
    </row>
    <row r="416" spans="1:13" x14ac:dyDescent="0.2">
      <c r="A416" s="246" t="s">
        <v>200</v>
      </c>
      <c r="B416" s="247" t="s">
        <v>60</v>
      </c>
      <c r="C416" s="236" t="s">
        <v>1242</v>
      </c>
      <c r="D416" s="247" t="s">
        <v>202</v>
      </c>
      <c r="E416" s="1276" t="s">
        <v>91</v>
      </c>
      <c r="F416" s="1274"/>
      <c r="G416" s="1275"/>
      <c r="H416" s="1276" t="s">
        <v>198</v>
      </c>
      <c r="I416" s="1275"/>
    </row>
    <row r="417" spans="1:9" x14ac:dyDescent="0.2">
      <c r="A417" s="248"/>
      <c r="B417" s="238"/>
      <c r="C417" s="243"/>
      <c r="D417" s="243"/>
      <c r="E417" s="260"/>
      <c r="F417" s="258"/>
      <c r="G417" s="300"/>
      <c r="H417" s="244"/>
      <c r="I417" s="249"/>
    </row>
    <row r="418" spans="1:9" x14ac:dyDescent="0.2">
      <c r="A418" s="199"/>
      <c r="B418" s="233"/>
      <c r="C418" s="233"/>
      <c r="D418" s="199"/>
      <c r="E418" s="199"/>
      <c r="F418" s="234" t="s">
        <v>203</v>
      </c>
      <c r="G418" s="244"/>
      <c r="H418" s="245"/>
      <c r="I418" s="434">
        <f>SUM(I417:I417)</f>
        <v>0</v>
      </c>
    </row>
    <row r="419" spans="1:9" x14ac:dyDescent="0.2">
      <c r="A419" s="199"/>
      <c r="B419" s="233"/>
      <c r="C419" s="233"/>
      <c r="D419" s="199"/>
      <c r="E419" s="199"/>
      <c r="F419" s="199"/>
      <c r="G419" s="199"/>
      <c r="H419" s="199"/>
      <c r="I419" s="200"/>
    </row>
    <row r="420" spans="1:9" x14ac:dyDescent="0.2">
      <c r="A420" s="270" t="s">
        <v>204</v>
      </c>
      <c r="B420" s="247" t="s">
        <v>60</v>
      </c>
      <c r="C420" s="866" t="s">
        <v>17</v>
      </c>
      <c r="D420" s="247" t="s">
        <v>205</v>
      </c>
      <c r="E420" s="247" t="s">
        <v>206</v>
      </c>
      <c r="F420" s="247" t="s">
        <v>207</v>
      </c>
      <c r="G420" s="1276" t="s">
        <v>96</v>
      </c>
      <c r="H420" s="1274"/>
      <c r="I420" s="1275"/>
    </row>
    <row r="421" spans="1:9" x14ac:dyDescent="0.2">
      <c r="A421" s="248"/>
      <c r="B421" s="238"/>
      <c r="C421" s="243"/>
      <c r="D421" s="239"/>
      <c r="E421" s="251"/>
      <c r="F421" s="251"/>
      <c r="G421" s="244"/>
      <c r="H421" s="245"/>
      <c r="I421" s="249"/>
    </row>
    <row r="422" spans="1:9" x14ac:dyDescent="0.2">
      <c r="A422" s="199"/>
      <c r="B422" s="233"/>
      <c r="C422" s="199"/>
      <c r="D422" s="199"/>
      <c r="E422" s="199"/>
      <c r="F422" s="234" t="s">
        <v>1170</v>
      </c>
      <c r="G422" s="244"/>
      <c r="H422" s="245"/>
      <c r="I422" s="434">
        <f>SUM(I421)</f>
        <v>0</v>
      </c>
    </row>
    <row r="423" spans="1:9" x14ac:dyDescent="0.2">
      <c r="A423" s="199"/>
      <c r="B423" s="233"/>
      <c r="C423" s="199"/>
      <c r="D423" s="199"/>
      <c r="E423" s="199"/>
      <c r="F423" s="199"/>
      <c r="G423" s="199"/>
      <c r="H423" s="199"/>
      <c r="I423" s="200"/>
    </row>
    <row r="424" spans="1:9" x14ac:dyDescent="0.2">
      <c r="A424" s="252"/>
      <c r="B424" s="253"/>
      <c r="C424" s="254"/>
      <c r="D424" s="254"/>
      <c r="E424" s="254"/>
      <c r="F424" s="255" t="s">
        <v>208</v>
      </c>
      <c r="G424" s="435"/>
      <c r="H424" s="254"/>
      <c r="I424" s="634">
        <f>+I414+I418+I422</f>
        <v>0</v>
      </c>
    </row>
    <row r="425" spans="1:9" x14ac:dyDescent="0.2">
      <c r="A425" s="256"/>
      <c r="B425" s="257"/>
      <c r="C425" s="258"/>
      <c r="D425" s="258"/>
      <c r="E425" s="258"/>
      <c r="F425" s="259" t="s">
        <v>209</v>
      </c>
      <c r="G425" s="260"/>
      <c r="H425" s="258"/>
      <c r="I425" s="635">
        <v>1</v>
      </c>
    </row>
    <row r="426" spans="1:9" x14ac:dyDescent="0.2">
      <c r="A426" s="237"/>
      <c r="B426" s="261"/>
      <c r="C426" s="245"/>
      <c r="D426" s="245"/>
      <c r="E426" s="245"/>
      <c r="F426" s="262" t="s">
        <v>232</v>
      </c>
      <c r="G426" s="244"/>
      <c r="H426" s="245"/>
      <c r="I426" s="633">
        <f>TRUNC(I424/I425,2)</f>
        <v>0</v>
      </c>
    </row>
    <row r="427" spans="1:9" x14ac:dyDescent="0.2">
      <c r="A427" s="867"/>
      <c r="B427" s="233"/>
      <c r="C427" s="199"/>
      <c r="D427" s="199"/>
      <c r="E427" s="199"/>
      <c r="F427" s="263"/>
      <c r="G427" s="199"/>
      <c r="H427" s="199"/>
      <c r="I427" s="264"/>
    </row>
    <row r="428" spans="1:9" x14ac:dyDescent="0.2">
      <c r="A428" s="246" t="s">
        <v>210</v>
      </c>
      <c r="B428" s="247" t="s">
        <v>60</v>
      </c>
      <c r="C428" s="247" t="s">
        <v>211</v>
      </c>
      <c r="D428" s="247" t="s">
        <v>233</v>
      </c>
      <c r="E428" s="1276" t="s">
        <v>91</v>
      </c>
      <c r="F428" s="1274"/>
      <c r="G428" s="1275"/>
      <c r="H428" s="1276" t="s">
        <v>198</v>
      </c>
      <c r="I428" s="1275"/>
    </row>
    <row r="429" spans="1:9" x14ac:dyDescent="0.2">
      <c r="A429" s="265"/>
      <c r="B429" s="238"/>
      <c r="C429" s="266"/>
      <c r="D429" s="267"/>
      <c r="E429" s="260"/>
      <c r="F429" s="258"/>
      <c r="G429" s="300"/>
      <c r="H429" s="260"/>
      <c r="I429" s="268"/>
    </row>
    <row r="430" spans="1:9" x14ac:dyDescent="0.2">
      <c r="A430" s="199"/>
      <c r="B430" s="233"/>
      <c r="C430" s="199"/>
      <c r="D430" s="199"/>
      <c r="E430" s="199"/>
      <c r="F430" s="234" t="s">
        <v>212</v>
      </c>
      <c r="G430" s="244"/>
      <c r="H430" s="245"/>
      <c r="I430" s="434">
        <f>SUM(I429:I429)</f>
        <v>0</v>
      </c>
    </row>
    <row r="431" spans="1:9" x14ac:dyDescent="0.2">
      <c r="A431" s="199"/>
      <c r="B431" s="233"/>
      <c r="C431" s="199"/>
      <c r="D431" s="199"/>
      <c r="E431" s="199"/>
      <c r="F431" s="199"/>
      <c r="G431" s="269"/>
      <c r="H431" s="199"/>
      <c r="I431" s="200"/>
    </row>
    <row r="432" spans="1:9" x14ac:dyDescent="0.2">
      <c r="A432" s="270" t="s">
        <v>213</v>
      </c>
      <c r="B432" s="247" t="s">
        <v>60</v>
      </c>
      <c r="C432" s="247" t="s">
        <v>211</v>
      </c>
      <c r="D432" s="866" t="s">
        <v>233</v>
      </c>
      <c r="E432" s="1276" t="s">
        <v>91</v>
      </c>
      <c r="F432" s="1274"/>
      <c r="G432" s="1275"/>
      <c r="H432" s="1276" t="s">
        <v>198</v>
      </c>
      <c r="I432" s="1275"/>
    </row>
    <row r="433" spans="1:17" s="198" customFormat="1" ht="33.75" x14ac:dyDescent="0.2">
      <c r="A433" s="452" t="str">
        <f>VLOOKUP(B433,'DER 10-18'!$A:$E,2,FALSE)</f>
        <v>Concreto ciclópico com 70% concreto 15,0 MPa e 30% de pedra de mão, tudo incluído</v>
      </c>
      <c r="B433" s="453">
        <v>40351</v>
      </c>
      <c r="C433" s="453" t="str">
        <f>VLOOKUP(B433,'DER 10-18'!$A:$E,3,FALSE)</f>
        <v>M3</v>
      </c>
      <c r="D433" s="454">
        <f>TRUNC(VLOOKUP(B433,'DER 10-18'!$A:$F,6,FALSE)/(1+$I$4),2)</f>
        <v>405.01</v>
      </c>
      <c r="E433" s="455"/>
      <c r="F433" s="456"/>
      <c r="G433" s="457">
        <v>7.8890000000000002</v>
      </c>
      <c r="H433" s="458"/>
      <c r="I433" s="459">
        <f>TRUNC(D433*G433,2)</f>
        <v>3195.12</v>
      </c>
      <c r="J433" s="451"/>
      <c r="K433" s="451"/>
    </row>
    <row r="434" spans="1:17" s="198" customFormat="1" ht="45" x14ac:dyDescent="0.2">
      <c r="A434" s="452" t="str">
        <f>VLOOKUP(B434,'DER 10-18'!$A:$E,2,FALSE)</f>
        <v>Formas planas de madeira com 02 (dois) reaproveitamentos, inclusive fornecimento e transporte das madeiras</v>
      </c>
      <c r="B434" s="453">
        <v>40312</v>
      </c>
      <c r="C434" s="453" t="str">
        <f>VLOOKUP(B434,'DER 10-18'!$A:$E,3,FALSE)</f>
        <v>M2</v>
      </c>
      <c r="D434" s="454">
        <f>TRUNC(VLOOKUP(B434,'DER 10-18'!$A:$F,6,FALSE)/(1+$I$4),2)</f>
        <v>75.55</v>
      </c>
      <c r="E434" s="455"/>
      <c r="F434" s="456"/>
      <c r="G434" s="457">
        <v>27.75</v>
      </c>
      <c r="H434" s="458"/>
      <c r="I434" s="459">
        <f>TRUNC(D434*G434,2)</f>
        <v>2096.5100000000002</v>
      </c>
      <c r="J434" s="451"/>
      <c r="K434" s="451"/>
    </row>
    <row r="435" spans="1:17" x14ac:dyDescent="0.2">
      <c r="A435" s="201"/>
      <c r="B435" s="271"/>
      <c r="C435" s="201"/>
      <c r="D435" s="201"/>
      <c r="E435" s="201"/>
      <c r="F435" s="272" t="s">
        <v>214</v>
      </c>
      <c r="G435" s="260"/>
      <c r="H435" s="273"/>
      <c r="I435" s="436">
        <f>SUM(I433:I434)</f>
        <v>5291.63</v>
      </c>
    </row>
    <row r="436" spans="1:17" x14ac:dyDescent="0.2">
      <c r="A436" s="201"/>
      <c r="B436" s="271"/>
      <c r="C436" s="201"/>
      <c r="D436" s="201"/>
      <c r="E436" s="201"/>
      <c r="F436" s="201"/>
      <c r="G436" s="201"/>
      <c r="H436" s="201"/>
      <c r="I436" s="201"/>
    </row>
    <row r="437" spans="1:17" x14ac:dyDescent="0.2">
      <c r="A437" s="442" t="s">
        <v>215</v>
      </c>
      <c r="B437" s="275" t="s">
        <v>60</v>
      </c>
      <c r="C437" s="275" t="s">
        <v>211</v>
      </c>
      <c r="D437" s="275" t="s">
        <v>216</v>
      </c>
      <c r="E437" s="275" t="s">
        <v>217</v>
      </c>
      <c r="F437" s="275" t="s">
        <v>218</v>
      </c>
      <c r="G437" s="275" t="s">
        <v>96</v>
      </c>
      <c r="H437" s="275" t="s">
        <v>91</v>
      </c>
      <c r="I437" s="275" t="s">
        <v>219</v>
      </c>
    </row>
    <row r="438" spans="1:17" x14ac:dyDescent="0.2">
      <c r="A438" s="248"/>
      <c r="B438" s="238"/>
      <c r="C438" s="238"/>
      <c r="D438" s="276"/>
      <c r="E438" s="277"/>
      <c r="F438" s="277"/>
      <c r="G438" s="243"/>
      <c r="H438" s="278"/>
      <c r="I438" s="243"/>
    </row>
    <row r="439" spans="1:17" x14ac:dyDescent="0.2">
      <c r="A439" s="201"/>
      <c r="B439" s="271"/>
      <c r="C439" s="201"/>
      <c r="D439" s="201"/>
      <c r="E439" s="201"/>
      <c r="F439" s="272" t="s">
        <v>220</v>
      </c>
      <c r="G439" s="244"/>
      <c r="H439" s="279"/>
      <c r="I439" s="438">
        <f>SUM(I438:I438)</f>
        <v>0</v>
      </c>
    </row>
    <row r="440" spans="1:17" x14ac:dyDescent="0.2">
      <c r="A440" s="201"/>
      <c r="B440" s="271"/>
      <c r="C440" s="201"/>
      <c r="D440" s="201"/>
      <c r="E440" s="201"/>
      <c r="F440" s="201"/>
      <c r="G440" s="201"/>
      <c r="H440" s="201"/>
      <c r="I440" s="202"/>
    </row>
    <row r="441" spans="1:17" x14ac:dyDescent="0.2">
      <c r="A441" s="280"/>
      <c r="B441" s="281"/>
      <c r="C441" s="282"/>
      <c r="D441" s="282"/>
      <c r="E441" s="282"/>
      <c r="F441" s="283" t="s">
        <v>221</v>
      </c>
      <c r="G441" s="280"/>
      <c r="H441" s="254"/>
      <c r="I441" s="634">
        <f>+I426+I430+I435+I439</f>
        <v>5291.63</v>
      </c>
    </row>
    <row r="442" spans="1:17" x14ac:dyDescent="0.2">
      <c r="A442" s="260"/>
      <c r="B442" s="284"/>
      <c r="C442" s="273"/>
      <c r="D442" s="273"/>
      <c r="E442" s="273"/>
      <c r="F442" s="285" t="str">
        <f>CONCATENATE($H$3," ",$I$3)</f>
        <v>BDI: 23,32</v>
      </c>
      <c r="G442" s="439"/>
      <c r="H442" s="258"/>
      <c r="I442" s="635">
        <f>+ROUND(I441*$I$4,2)</f>
        <v>1234.01</v>
      </c>
    </row>
    <row r="443" spans="1:17" x14ac:dyDescent="0.2">
      <c r="A443" s="244"/>
      <c r="B443" s="286"/>
      <c r="C443" s="279"/>
      <c r="D443" s="279"/>
      <c r="E443" s="279"/>
      <c r="F443" s="287" t="s">
        <v>222</v>
      </c>
      <c r="G443" s="440"/>
      <c r="H443" s="245"/>
      <c r="I443" s="1017">
        <f>+I441+I442</f>
        <v>6525.64</v>
      </c>
    </row>
    <row r="444" spans="1:17" s="198" customFormat="1" x14ac:dyDescent="0.2">
      <c r="A444" s="1277" t="str">
        <f>$A$1</f>
        <v>COMPOSIÇÃO DE CUSTOS UNITÁRIOS</v>
      </c>
      <c r="B444" s="1277"/>
      <c r="C444" s="1277"/>
      <c r="D444" s="1277"/>
      <c r="E444" s="1277"/>
      <c r="F444" s="1277"/>
      <c r="G444" s="1277"/>
      <c r="H444" s="1277"/>
      <c r="I444" s="1277"/>
      <c r="J444" s="433"/>
      <c r="K444" s="433"/>
      <c r="L444" s="302"/>
      <c r="M444" s="302"/>
      <c r="N444" s="302"/>
      <c r="O444" s="302"/>
      <c r="P444" s="302"/>
      <c r="Q444" s="302"/>
    </row>
    <row r="445" spans="1:17" s="198" customFormat="1" x14ac:dyDescent="0.2">
      <c r="A445" s="232" t="str">
        <f>$A$2</f>
        <v>Tabela Referencial de Preços - DER-ES</v>
      </c>
      <c r="B445" s="233"/>
      <c r="C445" s="199"/>
      <c r="D445" s="199"/>
      <c r="E445" s="199"/>
      <c r="F445" s="199"/>
      <c r="G445" s="199"/>
      <c r="H445" s="199"/>
      <c r="I445" s="234" t="str">
        <f>$I$2</f>
        <v>Data Base: Outubro/2018</v>
      </c>
      <c r="J445" s="433"/>
      <c r="K445" s="433"/>
      <c r="L445" s="302"/>
      <c r="M445" s="302"/>
      <c r="N445" s="302"/>
      <c r="O445" s="302"/>
      <c r="P445" s="302"/>
      <c r="Q445" s="302"/>
    </row>
    <row r="446" spans="1:17" s="198" customFormat="1" x14ac:dyDescent="0.2">
      <c r="A446" s="1278" t="str">
        <f>+CONCATENATE("Serviço: ",J446," ",VLOOKUP(J446,'DER 10-18'!$A:$D,2,FALSE))</f>
        <v>Serviço: 40531 Boca de concreto ciclópico para BSTC diâmetro 0,80 m</v>
      </c>
      <c r="B446" s="1278"/>
      <c r="C446" s="1278"/>
      <c r="D446" s="1278"/>
      <c r="E446" s="1278"/>
      <c r="F446" s="1278"/>
      <c r="G446" s="1278"/>
      <c r="H446" s="1278"/>
      <c r="I446" s="1278" t="str">
        <f>CONCATENATE("Unidade: ", VLOOKUP(J446,'DER 10-18'!$A:$E,3,FALSE))</f>
        <v>Unidade: Ud</v>
      </c>
      <c r="J446" s="433">
        <v>40531</v>
      </c>
      <c r="K446" s="433">
        <f>VLOOKUP("Preço Unitário Total",F447:I4124,4,FALSE)</f>
        <v>2109.52</v>
      </c>
      <c r="L446" s="302" t="str">
        <f>VLOOKUP(J446,'DER 10-18'!A:E,5,FALSE)</f>
        <v>A incluir</v>
      </c>
      <c r="M446" s="302" t="str">
        <f>VLOOKUP(J446,'DER 10-18'!$A:$D,2,FALSE)</f>
        <v>Boca de concreto ciclópico para BSTC diâmetro 0,80 m</v>
      </c>
      <c r="N446" s="302"/>
      <c r="O446" s="302"/>
      <c r="P446" s="302"/>
      <c r="Q446" s="302"/>
    </row>
    <row r="447" spans="1:17" s="198" customFormat="1" x14ac:dyDescent="0.2">
      <c r="A447" s="1279"/>
      <c r="B447" s="1279"/>
      <c r="C447" s="1279"/>
      <c r="D447" s="1279"/>
      <c r="E447" s="1279"/>
      <c r="F447" s="1279"/>
      <c r="G447" s="1279"/>
      <c r="H447" s="1279"/>
      <c r="I447" s="1279"/>
      <c r="J447" s="433"/>
      <c r="K447" s="433"/>
      <c r="L447" s="302"/>
      <c r="M447" s="302"/>
      <c r="N447" s="302"/>
      <c r="O447" s="302"/>
      <c r="P447" s="302"/>
      <c r="Q447" s="302"/>
    </row>
    <row r="448" spans="1:17" ht="22.5" x14ac:dyDescent="0.2">
      <c r="A448" s="235" t="s">
        <v>192</v>
      </c>
      <c r="B448" s="236" t="s">
        <v>60</v>
      </c>
      <c r="C448" s="236" t="s">
        <v>193</v>
      </c>
      <c r="D448" s="236" t="s">
        <v>194</v>
      </c>
      <c r="E448" s="236" t="s">
        <v>195</v>
      </c>
      <c r="F448" s="236" t="s">
        <v>196</v>
      </c>
      <c r="G448" s="236" t="s">
        <v>197</v>
      </c>
      <c r="H448" s="236" t="s">
        <v>91</v>
      </c>
      <c r="I448" s="236" t="s">
        <v>198</v>
      </c>
    </row>
    <row r="449" spans="1:17" s="198" customFormat="1" x14ac:dyDescent="0.2">
      <c r="A449" s="237"/>
      <c r="B449" s="238"/>
      <c r="C449" s="239"/>
      <c r="D449" s="240"/>
      <c r="E449" s="205"/>
      <c r="F449" s="241"/>
      <c r="G449" s="241"/>
      <c r="H449" s="242"/>
      <c r="I449" s="243"/>
      <c r="J449" s="302"/>
      <c r="K449" s="302"/>
      <c r="L449" s="302"/>
      <c r="M449" s="302"/>
      <c r="N449" s="302"/>
      <c r="O449" s="302"/>
      <c r="P449" s="302"/>
      <c r="Q449" s="302"/>
    </row>
    <row r="450" spans="1:17" x14ac:dyDescent="0.2">
      <c r="A450" s="199"/>
      <c r="B450" s="233"/>
      <c r="C450" s="233"/>
      <c r="D450" s="199"/>
      <c r="E450" s="199"/>
      <c r="F450" s="234" t="s">
        <v>199</v>
      </c>
      <c r="G450" s="244"/>
      <c r="H450" s="245"/>
      <c r="I450" s="434">
        <f>SUM(I449:I449)</f>
        <v>0</v>
      </c>
      <c r="J450" s="302"/>
      <c r="K450" s="302"/>
    </row>
    <row r="451" spans="1:17" x14ac:dyDescent="0.2">
      <c r="A451" s="199"/>
      <c r="B451" s="233"/>
      <c r="C451" s="233"/>
      <c r="D451" s="199"/>
      <c r="E451" s="199"/>
      <c r="F451" s="199"/>
      <c r="G451" s="199"/>
      <c r="H451" s="199"/>
      <c r="I451" s="200"/>
      <c r="J451" s="302"/>
      <c r="K451" s="302"/>
    </row>
    <row r="452" spans="1:17" x14ac:dyDescent="0.2">
      <c r="A452" s="246" t="s">
        <v>200</v>
      </c>
      <c r="B452" s="247" t="s">
        <v>60</v>
      </c>
      <c r="C452" s="236" t="s">
        <v>1242</v>
      </c>
      <c r="D452" s="247" t="s">
        <v>202</v>
      </c>
      <c r="E452" s="1276" t="s">
        <v>91</v>
      </c>
      <c r="F452" s="1274"/>
      <c r="G452" s="1275"/>
      <c r="H452" s="1276" t="s">
        <v>198</v>
      </c>
      <c r="I452" s="1275"/>
      <c r="J452" s="302"/>
      <c r="K452" s="302"/>
    </row>
    <row r="453" spans="1:17" x14ac:dyDescent="0.2">
      <c r="A453" s="248"/>
      <c r="B453" s="238"/>
      <c r="C453" s="243"/>
      <c r="D453" s="243"/>
      <c r="E453" s="260"/>
      <c r="F453" s="258"/>
      <c r="G453" s="300"/>
      <c r="H453" s="244"/>
      <c r="I453" s="249"/>
      <c r="J453" s="302"/>
      <c r="K453" s="302"/>
    </row>
    <row r="454" spans="1:17" x14ac:dyDescent="0.2">
      <c r="A454" s="199"/>
      <c r="B454" s="233"/>
      <c r="C454" s="233"/>
      <c r="D454" s="199"/>
      <c r="E454" s="199"/>
      <c r="F454" s="234" t="s">
        <v>203</v>
      </c>
      <c r="G454" s="244"/>
      <c r="H454" s="245"/>
      <c r="I454" s="434">
        <f>SUM(I453:I453)</f>
        <v>0</v>
      </c>
      <c r="J454" s="302"/>
      <c r="K454" s="302"/>
    </row>
    <row r="455" spans="1:17" x14ac:dyDescent="0.2">
      <c r="A455" s="199"/>
      <c r="B455" s="233"/>
      <c r="C455" s="233"/>
      <c r="D455" s="199"/>
      <c r="E455" s="199"/>
      <c r="F455" s="199"/>
      <c r="G455" s="199"/>
      <c r="H455" s="199"/>
      <c r="I455" s="200"/>
      <c r="J455" s="302"/>
      <c r="K455" s="302"/>
    </row>
    <row r="456" spans="1:17" x14ac:dyDescent="0.2">
      <c r="A456" s="270" t="s">
        <v>204</v>
      </c>
      <c r="B456" s="247" t="s">
        <v>60</v>
      </c>
      <c r="C456" s="866" t="s">
        <v>17</v>
      </c>
      <c r="D456" s="247" t="s">
        <v>205</v>
      </c>
      <c r="E456" s="247" t="s">
        <v>206</v>
      </c>
      <c r="F456" s="247" t="s">
        <v>207</v>
      </c>
      <c r="G456" s="1276" t="s">
        <v>96</v>
      </c>
      <c r="H456" s="1274"/>
      <c r="I456" s="1275"/>
      <c r="J456" s="302"/>
      <c r="K456" s="302"/>
    </row>
    <row r="457" spans="1:17" x14ac:dyDescent="0.2">
      <c r="A457" s="248"/>
      <c r="B457" s="238"/>
      <c r="C457" s="243"/>
      <c r="D457" s="239"/>
      <c r="E457" s="251"/>
      <c r="F457" s="251"/>
      <c r="G457" s="244"/>
      <c r="H457" s="245"/>
      <c r="I457" s="249"/>
      <c r="J457" s="302"/>
      <c r="K457" s="302"/>
    </row>
    <row r="458" spans="1:17" x14ac:dyDescent="0.2">
      <c r="A458" s="199"/>
      <c r="B458" s="233"/>
      <c r="C458" s="199"/>
      <c r="D458" s="199"/>
      <c r="E458" s="199"/>
      <c r="F458" s="234" t="s">
        <v>1170</v>
      </c>
      <c r="G458" s="244"/>
      <c r="H458" s="245"/>
      <c r="I458" s="434">
        <f>SUM(I457)</f>
        <v>0</v>
      </c>
      <c r="J458" s="302"/>
      <c r="K458" s="302"/>
    </row>
    <row r="459" spans="1:17" x14ac:dyDescent="0.2">
      <c r="A459" s="199"/>
      <c r="B459" s="233"/>
      <c r="C459" s="199"/>
      <c r="D459" s="199"/>
      <c r="E459" s="199"/>
      <c r="F459" s="199"/>
      <c r="G459" s="199"/>
      <c r="H459" s="199"/>
      <c r="I459" s="200"/>
      <c r="J459" s="302"/>
      <c r="K459" s="302"/>
    </row>
    <row r="460" spans="1:17" x14ac:dyDescent="0.2">
      <c r="A460" s="252"/>
      <c r="B460" s="253"/>
      <c r="C460" s="254"/>
      <c r="D460" s="254"/>
      <c r="E460" s="254"/>
      <c r="F460" s="255" t="s">
        <v>208</v>
      </c>
      <c r="G460" s="435"/>
      <c r="H460" s="254"/>
      <c r="I460" s="634">
        <f>+I450+I454+I458</f>
        <v>0</v>
      </c>
      <c r="J460" s="302"/>
      <c r="K460" s="302"/>
    </row>
    <row r="461" spans="1:17" x14ac:dyDescent="0.2">
      <c r="A461" s="256"/>
      <c r="B461" s="257"/>
      <c r="C461" s="258"/>
      <c r="D461" s="258"/>
      <c r="E461" s="258"/>
      <c r="F461" s="259" t="s">
        <v>209</v>
      </c>
      <c r="G461" s="260"/>
      <c r="H461" s="258"/>
      <c r="I461" s="635">
        <v>1</v>
      </c>
      <c r="J461" s="302"/>
      <c r="K461" s="302"/>
    </row>
    <row r="462" spans="1:17" x14ac:dyDescent="0.2">
      <c r="A462" s="237"/>
      <c r="B462" s="261"/>
      <c r="C462" s="245"/>
      <c r="D462" s="245"/>
      <c r="E462" s="245"/>
      <c r="F462" s="262" t="s">
        <v>232</v>
      </c>
      <c r="G462" s="244"/>
      <c r="H462" s="245"/>
      <c r="I462" s="633">
        <f>TRUNC(I460/I461,2)</f>
        <v>0</v>
      </c>
      <c r="J462" s="302"/>
      <c r="K462" s="302"/>
    </row>
    <row r="463" spans="1:17" x14ac:dyDescent="0.2">
      <c r="A463" s="867"/>
      <c r="B463" s="233"/>
      <c r="C463" s="199"/>
      <c r="D463" s="199"/>
      <c r="E463" s="199"/>
      <c r="F463" s="263"/>
      <c r="G463" s="199"/>
      <c r="H463" s="199"/>
      <c r="I463" s="264"/>
      <c r="J463" s="302"/>
      <c r="K463" s="302"/>
    </row>
    <row r="464" spans="1:17" x14ac:dyDescent="0.2">
      <c r="A464" s="246" t="s">
        <v>210</v>
      </c>
      <c r="B464" s="247" t="s">
        <v>60</v>
      </c>
      <c r="C464" s="247" t="s">
        <v>211</v>
      </c>
      <c r="D464" s="247" t="s">
        <v>233</v>
      </c>
      <c r="E464" s="1276" t="s">
        <v>91</v>
      </c>
      <c r="F464" s="1274"/>
      <c r="G464" s="1275"/>
      <c r="H464" s="1276" t="s">
        <v>198</v>
      </c>
      <c r="I464" s="1275"/>
      <c r="J464" s="302"/>
      <c r="K464" s="302"/>
    </row>
    <row r="465" spans="1:17" x14ac:dyDescent="0.2">
      <c r="A465" s="265"/>
      <c r="B465" s="238"/>
      <c r="C465" s="266"/>
      <c r="D465" s="267"/>
      <c r="E465" s="260"/>
      <c r="F465" s="258"/>
      <c r="G465" s="300"/>
      <c r="H465" s="260"/>
      <c r="I465" s="268"/>
    </row>
    <row r="466" spans="1:17" x14ac:dyDescent="0.2">
      <c r="A466" s="199"/>
      <c r="B466" s="233"/>
      <c r="C466" s="199"/>
      <c r="D466" s="199"/>
      <c r="E466" s="199"/>
      <c r="F466" s="234" t="s">
        <v>212</v>
      </c>
      <c r="G466" s="244"/>
      <c r="H466" s="245"/>
      <c r="I466" s="434">
        <f>SUM(I465:I465)</f>
        <v>0</v>
      </c>
    </row>
    <row r="467" spans="1:17" x14ac:dyDescent="0.2">
      <c r="A467" s="199"/>
      <c r="B467" s="233"/>
      <c r="C467" s="199"/>
      <c r="D467" s="199"/>
      <c r="E467" s="199"/>
      <c r="F467" s="199"/>
      <c r="G467" s="269"/>
      <c r="H467" s="199"/>
      <c r="I467" s="200"/>
    </row>
    <row r="468" spans="1:17" x14ac:dyDescent="0.2">
      <c r="A468" s="270" t="s">
        <v>213</v>
      </c>
      <c r="B468" s="247" t="s">
        <v>60</v>
      </c>
      <c r="C468" s="247" t="s">
        <v>211</v>
      </c>
      <c r="D468" s="866" t="s">
        <v>233</v>
      </c>
      <c r="E468" s="1276" t="s">
        <v>91</v>
      </c>
      <c r="F468" s="1274"/>
      <c r="G468" s="1275"/>
      <c r="H468" s="1276" t="s">
        <v>198</v>
      </c>
      <c r="I468" s="1275"/>
    </row>
    <row r="469" spans="1:17" ht="33.75" x14ac:dyDescent="0.2">
      <c r="A469" s="452" t="str">
        <f>VLOOKUP(B469,'DER 10-18'!$A:$E,2,FALSE)</f>
        <v>Concreto ciclópico com 70% concreto 15,0 MPa e 30% de pedra de mão, tudo incluído</v>
      </c>
      <c r="B469" s="453">
        <v>40351</v>
      </c>
      <c r="C469" s="453" t="str">
        <f>VLOOKUP(B469,'DER 10-18'!$A:$E,3,FALSE)</f>
        <v>M3</v>
      </c>
      <c r="D469" s="454">
        <f>TRUNC(VLOOKUP(B469,'DER 10-18'!$A:$F,6,FALSE)/(1+$I$4),2)</f>
        <v>405.01</v>
      </c>
      <c r="E469" s="455"/>
      <c r="F469" s="456"/>
      <c r="G469" s="457">
        <v>2.14</v>
      </c>
      <c r="H469" s="458"/>
      <c r="I469" s="459">
        <f>TRUNC(D469*G469,2)</f>
        <v>866.72</v>
      </c>
      <c r="J469" s="451"/>
      <c r="K469" s="451"/>
      <c r="L469" s="198"/>
      <c r="M469" s="198"/>
      <c r="N469" s="198"/>
      <c r="O469" s="198"/>
      <c r="P469" s="198"/>
      <c r="Q469" s="198"/>
    </row>
    <row r="470" spans="1:17" ht="45" x14ac:dyDescent="0.2">
      <c r="A470" s="452" t="str">
        <f>VLOOKUP(B470,'DER 10-18'!$A:$E,2,FALSE)</f>
        <v>Formas planas de madeira com 02 (dois) reaproveitamentos, inclusive fornecimento e transporte das madeiras</v>
      </c>
      <c r="B470" s="453">
        <v>40312</v>
      </c>
      <c r="C470" s="453" t="str">
        <f>VLOOKUP(B470,'DER 10-18'!$A:$E,3,FALSE)</f>
        <v>M2</v>
      </c>
      <c r="D470" s="454">
        <f>TRUNC(VLOOKUP(B470,'DER 10-18'!$A:$F,6,FALSE)/(1+$I$4),2)</f>
        <v>75.55</v>
      </c>
      <c r="E470" s="455"/>
      <c r="F470" s="456"/>
      <c r="G470" s="457">
        <v>11.17</v>
      </c>
      <c r="H470" s="458"/>
      <c r="I470" s="459">
        <f>TRUNC(D470*G470,2)</f>
        <v>843.89</v>
      </c>
      <c r="J470" s="451"/>
      <c r="K470" s="451"/>
      <c r="L470" s="198"/>
      <c r="M470" s="198"/>
      <c r="N470" s="198"/>
      <c r="O470" s="198"/>
      <c r="P470" s="198"/>
      <c r="Q470" s="198"/>
    </row>
    <row r="471" spans="1:17" s="198" customFormat="1" x14ac:dyDescent="0.2">
      <c r="A471" s="201"/>
      <c r="B471" s="271"/>
      <c r="C471" s="201"/>
      <c r="D471" s="201"/>
      <c r="E471" s="201"/>
      <c r="F471" s="272" t="s">
        <v>214</v>
      </c>
      <c r="G471" s="260"/>
      <c r="H471" s="273"/>
      <c r="I471" s="436">
        <f>SUM(I469:I470)</f>
        <v>1710.61</v>
      </c>
      <c r="J471" s="433"/>
      <c r="K471" s="433"/>
      <c r="L471" s="302"/>
      <c r="M471" s="302"/>
      <c r="N471" s="302"/>
      <c r="O471" s="302"/>
      <c r="P471" s="302"/>
      <c r="Q471" s="302"/>
    </row>
    <row r="472" spans="1:17" s="198" customFormat="1" x14ac:dyDescent="0.2">
      <c r="A472" s="201"/>
      <c r="B472" s="271"/>
      <c r="C472" s="201"/>
      <c r="D472" s="201"/>
      <c r="E472" s="201"/>
      <c r="F472" s="201"/>
      <c r="G472" s="201"/>
      <c r="H472" s="201"/>
      <c r="I472" s="201"/>
      <c r="J472" s="433"/>
      <c r="K472" s="433"/>
      <c r="L472" s="302"/>
      <c r="M472" s="302"/>
      <c r="N472" s="302"/>
      <c r="O472" s="302"/>
      <c r="P472" s="302"/>
      <c r="Q472" s="302"/>
    </row>
    <row r="473" spans="1:17" x14ac:dyDescent="0.2">
      <c r="A473" s="442" t="s">
        <v>215</v>
      </c>
      <c r="B473" s="275" t="s">
        <v>60</v>
      </c>
      <c r="C473" s="275" t="s">
        <v>211</v>
      </c>
      <c r="D473" s="275" t="s">
        <v>216</v>
      </c>
      <c r="E473" s="275" t="s">
        <v>217</v>
      </c>
      <c r="F473" s="275" t="s">
        <v>218</v>
      </c>
      <c r="G473" s="275" t="s">
        <v>96</v>
      </c>
      <c r="H473" s="275" t="s">
        <v>91</v>
      </c>
      <c r="I473" s="275" t="s">
        <v>219</v>
      </c>
    </row>
    <row r="474" spans="1:17" x14ac:dyDescent="0.2">
      <c r="A474" s="248"/>
      <c r="B474" s="238"/>
      <c r="C474" s="238"/>
      <c r="D474" s="276"/>
      <c r="E474" s="277"/>
      <c r="F474" s="277"/>
      <c r="G474" s="243"/>
      <c r="H474" s="278"/>
      <c r="I474" s="243"/>
    </row>
    <row r="475" spans="1:17" x14ac:dyDescent="0.2">
      <c r="A475" s="201"/>
      <c r="B475" s="271"/>
      <c r="C475" s="201"/>
      <c r="D475" s="201"/>
      <c r="E475" s="201"/>
      <c r="F475" s="272" t="s">
        <v>220</v>
      </c>
      <c r="G475" s="244"/>
      <c r="H475" s="279"/>
      <c r="I475" s="438">
        <f>SUM(I474:I474)</f>
        <v>0</v>
      </c>
    </row>
    <row r="476" spans="1:17" x14ac:dyDescent="0.2">
      <c r="A476" s="201"/>
      <c r="B476" s="271"/>
      <c r="C476" s="201"/>
      <c r="D476" s="201"/>
      <c r="E476" s="201"/>
      <c r="F476" s="201"/>
      <c r="G476" s="201"/>
      <c r="H476" s="201"/>
      <c r="I476" s="202"/>
    </row>
    <row r="477" spans="1:17" x14ac:dyDescent="0.2">
      <c r="A477" s="280"/>
      <c r="B477" s="281"/>
      <c r="C477" s="282"/>
      <c r="D477" s="282"/>
      <c r="E477" s="282"/>
      <c r="F477" s="283" t="s">
        <v>221</v>
      </c>
      <c r="G477" s="280"/>
      <c r="H477" s="254"/>
      <c r="I477" s="634">
        <f>+I462+I466+I471+I475</f>
        <v>1710.61</v>
      </c>
    </row>
    <row r="478" spans="1:17" x14ac:dyDescent="0.2">
      <c r="A478" s="260"/>
      <c r="B478" s="284"/>
      <c r="C478" s="273"/>
      <c r="D478" s="273"/>
      <c r="E478" s="273"/>
      <c r="F478" s="285" t="str">
        <f>CONCATENATE($H$3," ",$I$3)</f>
        <v>BDI: 23,32</v>
      </c>
      <c r="G478" s="439"/>
      <c r="H478" s="258"/>
      <c r="I478" s="635">
        <f>+ROUND(I477*$I$4,2)</f>
        <v>398.91</v>
      </c>
    </row>
    <row r="479" spans="1:17" x14ac:dyDescent="0.2">
      <c r="A479" s="244"/>
      <c r="B479" s="286"/>
      <c r="C479" s="279"/>
      <c r="D479" s="279"/>
      <c r="E479" s="279"/>
      <c r="F479" s="287" t="s">
        <v>222</v>
      </c>
      <c r="G479" s="440"/>
      <c r="H479" s="245"/>
      <c r="I479" s="1017">
        <f>+I477+I478</f>
        <v>2109.52</v>
      </c>
    </row>
    <row r="480" spans="1:17" x14ac:dyDescent="0.2">
      <c r="A480" s="1277" t="str">
        <f>$A$1</f>
        <v>COMPOSIÇÃO DE CUSTOS UNITÁRIOS</v>
      </c>
      <c r="B480" s="1277"/>
      <c r="C480" s="1277"/>
      <c r="D480" s="1277"/>
      <c r="E480" s="1277"/>
      <c r="F480" s="1277"/>
      <c r="G480" s="1277"/>
      <c r="H480" s="1277"/>
      <c r="I480" s="1277"/>
    </row>
    <row r="481" spans="1:17" x14ac:dyDescent="0.2">
      <c r="A481" s="232" t="str">
        <f>$A$2</f>
        <v>Tabela Referencial de Preços - DER-ES</v>
      </c>
      <c r="B481" s="233"/>
      <c r="C481" s="199"/>
      <c r="D481" s="199"/>
      <c r="E481" s="199"/>
      <c r="F481" s="199"/>
      <c r="G481" s="199"/>
      <c r="H481" s="199"/>
      <c r="I481" s="234" t="str">
        <f>$I$2</f>
        <v>Data Base: Outubro/2018</v>
      </c>
    </row>
    <row r="482" spans="1:17" s="198" customFormat="1" x14ac:dyDescent="0.2">
      <c r="A482" s="1278" t="str">
        <f>+CONCATENATE("Serviço: ",J482," ",VLOOKUP(J482,'DER 10-18'!$A:$D,2,FALSE))</f>
        <v>Serviço: 40532 Boca de concreto ciclópico para BSTC diâmetro 1,00 m</v>
      </c>
      <c r="B482" s="1278"/>
      <c r="C482" s="1278"/>
      <c r="D482" s="1278"/>
      <c r="E482" s="1278"/>
      <c r="F482" s="1278"/>
      <c r="G482" s="1278"/>
      <c r="H482" s="1278"/>
      <c r="I482" s="1278" t="str">
        <f>CONCATENATE("Unidade: ", VLOOKUP(J482,'DER 10-18'!$A:$E,3,FALSE))</f>
        <v>Unidade: Ud</v>
      </c>
      <c r="J482" s="433">
        <v>40532</v>
      </c>
      <c r="K482" s="433">
        <f>VLOOKUP("Preço Unitário Total",F483:I3517,4,FALSE)</f>
        <v>3242.44</v>
      </c>
      <c r="L482" s="302" t="str">
        <f>VLOOKUP(J482,'DER 10-18'!A:E,5,FALSE)</f>
        <v>A incluir</v>
      </c>
      <c r="M482" s="302" t="str">
        <f>VLOOKUP(J482,'DER 10-18'!$A:$D,2,FALSE)</f>
        <v>Boca de concreto ciclópico para BSTC diâmetro 1,00 m</v>
      </c>
      <c r="N482" s="302"/>
      <c r="O482" s="302"/>
      <c r="P482" s="302"/>
      <c r="Q482" s="302"/>
    </row>
    <row r="483" spans="1:17" s="198" customFormat="1" x14ac:dyDescent="0.2">
      <c r="A483" s="1279"/>
      <c r="B483" s="1279"/>
      <c r="C483" s="1279"/>
      <c r="D483" s="1279"/>
      <c r="E483" s="1279"/>
      <c r="F483" s="1279"/>
      <c r="G483" s="1279"/>
      <c r="H483" s="1279"/>
      <c r="I483" s="1279"/>
      <c r="J483" s="433"/>
      <c r="K483" s="433"/>
      <c r="L483" s="302"/>
      <c r="M483" s="302"/>
      <c r="N483" s="302"/>
      <c r="O483" s="302"/>
      <c r="P483" s="302"/>
      <c r="Q483" s="302"/>
    </row>
    <row r="484" spans="1:17" s="198" customFormat="1" ht="22.5" x14ac:dyDescent="0.2">
      <c r="A484" s="235" t="s">
        <v>192</v>
      </c>
      <c r="B484" s="236" t="s">
        <v>60</v>
      </c>
      <c r="C484" s="236" t="s">
        <v>193</v>
      </c>
      <c r="D484" s="236" t="s">
        <v>194</v>
      </c>
      <c r="E484" s="236" t="s">
        <v>195</v>
      </c>
      <c r="F484" s="236" t="s">
        <v>196</v>
      </c>
      <c r="G484" s="236" t="s">
        <v>197</v>
      </c>
      <c r="H484" s="236" t="s">
        <v>91</v>
      </c>
      <c r="I484" s="236" t="s">
        <v>198</v>
      </c>
      <c r="J484" s="433"/>
      <c r="K484" s="433"/>
      <c r="L484" s="302"/>
      <c r="M484" s="302"/>
      <c r="N484" s="302"/>
      <c r="O484" s="302"/>
      <c r="P484" s="302"/>
      <c r="Q484" s="302"/>
    </row>
    <row r="485" spans="1:17" s="198" customFormat="1" x14ac:dyDescent="0.2">
      <c r="A485" s="237"/>
      <c r="B485" s="238"/>
      <c r="C485" s="239"/>
      <c r="D485" s="240"/>
      <c r="E485" s="205"/>
      <c r="F485" s="241"/>
      <c r="G485" s="241"/>
      <c r="H485" s="242"/>
      <c r="I485" s="243"/>
      <c r="J485" s="433"/>
      <c r="K485" s="433"/>
      <c r="L485" s="302"/>
      <c r="M485" s="302"/>
      <c r="N485" s="302"/>
      <c r="O485" s="302"/>
      <c r="P485" s="302"/>
      <c r="Q485" s="302"/>
    </row>
    <row r="486" spans="1:17" x14ac:dyDescent="0.2">
      <c r="A486" s="199"/>
      <c r="B486" s="233"/>
      <c r="C486" s="233"/>
      <c r="D486" s="199"/>
      <c r="E486" s="199"/>
      <c r="F486" s="234" t="s">
        <v>199</v>
      </c>
      <c r="G486" s="244"/>
      <c r="H486" s="245"/>
      <c r="I486" s="434">
        <f>SUM(I485:I485)</f>
        <v>0</v>
      </c>
    </row>
    <row r="487" spans="1:17" s="198" customFormat="1" x14ac:dyDescent="0.2">
      <c r="A487" s="199"/>
      <c r="B487" s="233"/>
      <c r="C487" s="233"/>
      <c r="D487" s="199"/>
      <c r="E487" s="199"/>
      <c r="F487" s="199"/>
      <c r="G487" s="199"/>
      <c r="H487" s="199"/>
      <c r="I487" s="200"/>
      <c r="J487" s="433"/>
      <c r="K487" s="433"/>
      <c r="L487" s="302"/>
      <c r="M487" s="302"/>
      <c r="N487" s="302"/>
      <c r="O487" s="302"/>
      <c r="P487" s="302"/>
      <c r="Q487" s="302"/>
    </row>
    <row r="488" spans="1:17" x14ac:dyDescent="0.2">
      <c r="A488" s="246" t="s">
        <v>200</v>
      </c>
      <c r="B488" s="247" t="s">
        <v>60</v>
      </c>
      <c r="C488" s="236" t="s">
        <v>1242</v>
      </c>
      <c r="D488" s="247" t="s">
        <v>202</v>
      </c>
      <c r="E488" s="1276" t="s">
        <v>91</v>
      </c>
      <c r="F488" s="1274"/>
      <c r="G488" s="1275"/>
      <c r="H488" s="1276" t="s">
        <v>198</v>
      </c>
      <c r="I488" s="1275"/>
    </row>
    <row r="489" spans="1:17" x14ac:dyDescent="0.2">
      <c r="A489" s="248"/>
      <c r="B489" s="238"/>
      <c r="C489" s="243"/>
      <c r="D489" s="243"/>
      <c r="E489" s="260"/>
      <c r="F489" s="258"/>
      <c r="G489" s="300"/>
      <c r="H489" s="244"/>
      <c r="I489" s="249"/>
    </row>
    <row r="490" spans="1:17" x14ac:dyDescent="0.2">
      <c r="A490" s="199"/>
      <c r="B490" s="233"/>
      <c r="C490" s="233"/>
      <c r="D490" s="199"/>
      <c r="E490" s="199"/>
      <c r="F490" s="234" t="s">
        <v>203</v>
      </c>
      <c r="G490" s="244"/>
      <c r="H490" s="245"/>
      <c r="I490" s="434">
        <f>SUM(I489:I489)</f>
        <v>0</v>
      </c>
    </row>
    <row r="491" spans="1:17" x14ac:dyDescent="0.2">
      <c r="A491" s="199"/>
      <c r="B491" s="233"/>
      <c r="C491" s="233"/>
      <c r="D491" s="199"/>
      <c r="E491" s="199"/>
      <c r="F491" s="199"/>
      <c r="G491" s="199"/>
      <c r="H491" s="199"/>
      <c r="I491" s="200"/>
    </row>
    <row r="492" spans="1:17" x14ac:dyDescent="0.2">
      <c r="A492" s="270" t="s">
        <v>204</v>
      </c>
      <c r="B492" s="247" t="s">
        <v>60</v>
      </c>
      <c r="C492" s="866" t="s">
        <v>17</v>
      </c>
      <c r="D492" s="247" t="s">
        <v>205</v>
      </c>
      <c r="E492" s="247" t="s">
        <v>206</v>
      </c>
      <c r="F492" s="247" t="s">
        <v>207</v>
      </c>
      <c r="G492" s="1276" t="s">
        <v>96</v>
      </c>
      <c r="H492" s="1274"/>
      <c r="I492" s="1275"/>
    </row>
    <row r="493" spans="1:17" x14ac:dyDescent="0.2">
      <c r="A493" s="248"/>
      <c r="B493" s="238"/>
      <c r="C493" s="243"/>
      <c r="D493" s="239"/>
      <c r="E493" s="251"/>
      <c r="F493" s="251"/>
      <c r="G493" s="244"/>
      <c r="H493" s="245"/>
      <c r="I493" s="249"/>
    </row>
    <row r="494" spans="1:17" x14ac:dyDescent="0.2">
      <c r="A494" s="199"/>
      <c r="B494" s="233"/>
      <c r="C494" s="199"/>
      <c r="D494" s="199"/>
      <c r="E494" s="199"/>
      <c r="F494" s="234" t="s">
        <v>1170</v>
      </c>
      <c r="G494" s="244"/>
      <c r="H494" s="245"/>
      <c r="I494" s="434">
        <f>SUM(I493)</f>
        <v>0</v>
      </c>
    </row>
    <row r="495" spans="1:17" x14ac:dyDescent="0.2">
      <c r="A495" s="199"/>
      <c r="B495" s="233"/>
      <c r="C495" s="199"/>
      <c r="D495" s="199"/>
      <c r="E495" s="199"/>
      <c r="F495" s="199"/>
      <c r="G495" s="199"/>
      <c r="H495" s="199"/>
      <c r="I495" s="200"/>
    </row>
    <row r="496" spans="1:17" x14ac:dyDescent="0.2">
      <c r="A496" s="252"/>
      <c r="B496" s="253"/>
      <c r="C496" s="254"/>
      <c r="D496" s="254"/>
      <c r="E496" s="254"/>
      <c r="F496" s="255" t="s">
        <v>208</v>
      </c>
      <c r="G496" s="435"/>
      <c r="H496" s="254"/>
      <c r="I496" s="634">
        <f>+I486+I490+I494</f>
        <v>0</v>
      </c>
    </row>
    <row r="497" spans="1:17" x14ac:dyDescent="0.2">
      <c r="A497" s="256"/>
      <c r="B497" s="257"/>
      <c r="C497" s="258"/>
      <c r="D497" s="258"/>
      <c r="E497" s="258"/>
      <c r="F497" s="259" t="s">
        <v>209</v>
      </c>
      <c r="G497" s="260"/>
      <c r="H497" s="258"/>
      <c r="I497" s="635">
        <v>1</v>
      </c>
    </row>
    <row r="498" spans="1:17" x14ac:dyDescent="0.2">
      <c r="A498" s="237"/>
      <c r="B498" s="261"/>
      <c r="C498" s="245"/>
      <c r="D498" s="245"/>
      <c r="E498" s="245"/>
      <c r="F498" s="262" t="s">
        <v>232</v>
      </c>
      <c r="G498" s="244"/>
      <c r="H498" s="245"/>
      <c r="I498" s="633">
        <f>TRUNC(I496/I497,2)</f>
        <v>0</v>
      </c>
    </row>
    <row r="499" spans="1:17" x14ac:dyDescent="0.2">
      <c r="A499" s="867"/>
      <c r="B499" s="233"/>
      <c r="C499" s="199"/>
      <c r="D499" s="199"/>
      <c r="E499" s="199"/>
      <c r="F499" s="263"/>
      <c r="G499" s="199"/>
      <c r="H499" s="199"/>
      <c r="I499" s="264"/>
    </row>
    <row r="500" spans="1:17" x14ac:dyDescent="0.2">
      <c r="A500" s="246" t="s">
        <v>210</v>
      </c>
      <c r="B500" s="247" t="s">
        <v>60</v>
      </c>
      <c r="C500" s="247" t="s">
        <v>211</v>
      </c>
      <c r="D500" s="247" t="s">
        <v>233</v>
      </c>
      <c r="E500" s="1276" t="s">
        <v>91</v>
      </c>
      <c r="F500" s="1274"/>
      <c r="G500" s="1275"/>
      <c r="H500" s="1276" t="s">
        <v>198</v>
      </c>
      <c r="I500" s="1275"/>
    </row>
    <row r="501" spans="1:17" x14ac:dyDescent="0.2">
      <c r="A501" s="265"/>
      <c r="B501" s="238"/>
      <c r="C501" s="266"/>
      <c r="D501" s="267"/>
      <c r="E501" s="260"/>
      <c r="F501" s="258"/>
      <c r="G501" s="300"/>
      <c r="H501" s="260"/>
      <c r="I501" s="268"/>
    </row>
    <row r="502" spans="1:17" x14ac:dyDescent="0.2">
      <c r="A502" s="199"/>
      <c r="B502" s="233"/>
      <c r="C502" s="199"/>
      <c r="D502" s="199"/>
      <c r="E502" s="199"/>
      <c r="F502" s="234" t="s">
        <v>212</v>
      </c>
      <c r="G502" s="244"/>
      <c r="H502" s="245"/>
      <c r="I502" s="434">
        <f>SUM(I501:I501)</f>
        <v>0</v>
      </c>
    </row>
    <row r="503" spans="1:17" x14ac:dyDescent="0.2">
      <c r="A503" s="199"/>
      <c r="B503" s="233"/>
      <c r="C503" s="199"/>
      <c r="D503" s="199"/>
      <c r="E503" s="199"/>
      <c r="F503" s="199"/>
      <c r="G503" s="269"/>
      <c r="H503" s="199"/>
      <c r="I503" s="200"/>
    </row>
    <row r="504" spans="1:17" x14ac:dyDescent="0.2">
      <c r="A504" s="270" t="s">
        <v>213</v>
      </c>
      <c r="B504" s="247" t="s">
        <v>60</v>
      </c>
      <c r="C504" s="247" t="s">
        <v>211</v>
      </c>
      <c r="D504" s="866" t="s">
        <v>233</v>
      </c>
      <c r="E504" s="1276" t="s">
        <v>91</v>
      </c>
      <c r="F504" s="1274"/>
      <c r="G504" s="1275"/>
      <c r="H504" s="1276" t="s">
        <v>198</v>
      </c>
      <c r="I504" s="1275"/>
    </row>
    <row r="505" spans="1:17" ht="33.75" x14ac:dyDescent="0.2">
      <c r="A505" s="452" t="str">
        <f>VLOOKUP(B505,'DER 10-18'!$A:$E,2,FALSE)</f>
        <v>Concreto ciclópico com 70% concreto 15,0 MPa e 30% de pedra de mão, tudo incluído</v>
      </c>
      <c r="B505" s="453">
        <v>40351</v>
      </c>
      <c r="C505" s="453" t="str">
        <f>VLOOKUP(B505,'DER 10-18'!$A:$E,3,FALSE)</f>
        <v>M3</v>
      </c>
      <c r="D505" s="454">
        <f>TRUNC(VLOOKUP(B505,'DER 10-18'!$A:$F,6,FALSE)/(1+$I$4),2)</f>
        <v>405.01</v>
      </c>
      <c r="E505" s="455"/>
      <c r="F505" s="456"/>
      <c r="G505" s="457">
        <v>3.5670000000000002</v>
      </c>
      <c r="H505" s="458"/>
      <c r="I505" s="459">
        <f>TRUNC(D505*G505,2)</f>
        <v>1444.67</v>
      </c>
      <c r="J505" s="451"/>
      <c r="K505" s="451"/>
      <c r="L505" s="198"/>
      <c r="M505" s="198"/>
      <c r="N505" s="198"/>
      <c r="O505" s="198"/>
      <c r="P505" s="198"/>
      <c r="Q505" s="198"/>
    </row>
    <row r="506" spans="1:17" ht="45" x14ac:dyDescent="0.2">
      <c r="A506" s="452" t="str">
        <f>VLOOKUP(B506,'DER 10-18'!$A:$E,2,FALSE)</f>
        <v>Formas planas de madeira com 02 (dois) reaproveitamentos, inclusive fornecimento e transporte das madeiras</v>
      </c>
      <c r="B506" s="453">
        <v>40312</v>
      </c>
      <c r="C506" s="453" t="str">
        <f>VLOOKUP(B506,'DER 10-18'!$A:$E,3,FALSE)</f>
        <v>M2</v>
      </c>
      <c r="D506" s="454">
        <f>TRUNC(VLOOKUP(B506,'DER 10-18'!$A:$F,6,FALSE)/(1+$I$4),2)</f>
        <v>75.55</v>
      </c>
      <c r="E506" s="455"/>
      <c r="F506" s="456"/>
      <c r="G506" s="457">
        <v>15.68</v>
      </c>
      <c r="H506" s="458"/>
      <c r="I506" s="459">
        <f>TRUNC(D506*G506,2)</f>
        <v>1184.6199999999999</v>
      </c>
      <c r="J506" s="451"/>
      <c r="K506" s="451"/>
      <c r="L506" s="198"/>
      <c r="M506" s="198"/>
      <c r="N506" s="198"/>
      <c r="O506" s="198"/>
      <c r="P506" s="198"/>
      <c r="Q506" s="198"/>
    </row>
    <row r="507" spans="1:17" x14ac:dyDescent="0.2">
      <c r="A507" s="201"/>
      <c r="B507" s="271"/>
      <c r="C507" s="201"/>
      <c r="D507" s="201"/>
      <c r="E507" s="201"/>
      <c r="F507" s="272" t="s">
        <v>214</v>
      </c>
      <c r="G507" s="260"/>
      <c r="H507" s="273"/>
      <c r="I507" s="436">
        <f>SUM(I505:I506)</f>
        <v>2629.29</v>
      </c>
    </row>
    <row r="508" spans="1:17" x14ac:dyDescent="0.2">
      <c r="A508" s="201"/>
      <c r="B508" s="271"/>
      <c r="C508" s="201"/>
      <c r="D508" s="201"/>
      <c r="E508" s="201"/>
      <c r="F508" s="201"/>
      <c r="G508" s="201"/>
      <c r="H508" s="201"/>
      <c r="I508" s="201"/>
    </row>
    <row r="509" spans="1:17" s="198" customFormat="1" x14ac:dyDescent="0.2">
      <c r="A509" s="442" t="s">
        <v>215</v>
      </c>
      <c r="B509" s="275" t="s">
        <v>60</v>
      </c>
      <c r="C509" s="275" t="s">
        <v>211</v>
      </c>
      <c r="D509" s="275" t="s">
        <v>216</v>
      </c>
      <c r="E509" s="275" t="s">
        <v>217</v>
      </c>
      <c r="F509" s="275" t="s">
        <v>218</v>
      </c>
      <c r="G509" s="275" t="s">
        <v>96</v>
      </c>
      <c r="H509" s="275" t="s">
        <v>91</v>
      </c>
      <c r="I509" s="275" t="s">
        <v>219</v>
      </c>
      <c r="J509" s="433"/>
      <c r="K509" s="433"/>
      <c r="L509" s="302"/>
      <c r="M509" s="302"/>
      <c r="N509" s="302"/>
      <c r="O509" s="302"/>
      <c r="P509" s="302"/>
      <c r="Q509" s="302"/>
    </row>
    <row r="510" spans="1:17" s="198" customFormat="1" x14ac:dyDescent="0.2">
      <c r="A510" s="248"/>
      <c r="B510" s="238"/>
      <c r="C510" s="238"/>
      <c r="D510" s="276"/>
      <c r="E510" s="277"/>
      <c r="F510" s="277"/>
      <c r="G510" s="243"/>
      <c r="H510" s="278"/>
      <c r="I510" s="243"/>
      <c r="J510" s="433" t="s">
        <v>118</v>
      </c>
      <c r="K510" s="433"/>
      <c r="L510" s="302"/>
      <c r="M510" s="302"/>
      <c r="N510" s="302"/>
      <c r="O510" s="302"/>
      <c r="P510" s="302"/>
      <c r="Q510" s="302"/>
    </row>
    <row r="511" spans="1:17" x14ac:dyDescent="0.2">
      <c r="A511" s="201"/>
      <c r="B511" s="271"/>
      <c r="C511" s="201"/>
      <c r="D511" s="201"/>
      <c r="E511" s="201"/>
      <c r="F511" s="272" t="s">
        <v>220</v>
      </c>
      <c r="G511" s="244"/>
      <c r="H511" s="279"/>
      <c r="I511" s="438">
        <f>SUM(I510:I510)</f>
        <v>0</v>
      </c>
    </row>
    <row r="512" spans="1:17" x14ac:dyDescent="0.2">
      <c r="A512" s="201"/>
      <c r="B512" s="271"/>
      <c r="C512" s="201"/>
      <c r="D512" s="201"/>
      <c r="E512" s="201"/>
      <c r="F512" s="201"/>
      <c r="G512" s="201"/>
      <c r="H512" s="201"/>
      <c r="I512" s="202"/>
    </row>
    <row r="513" spans="1:13" x14ac:dyDescent="0.2">
      <c r="A513" s="280"/>
      <c r="B513" s="281"/>
      <c r="C513" s="282"/>
      <c r="D513" s="282"/>
      <c r="E513" s="282"/>
      <c r="F513" s="283" t="s">
        <v>221</v>
      </c>
      <c r="G513" s="280"/>
      <c r="H513" s="254"/>
      <c r="I513" s="634">
        <f>+I498+I502+I507+I511</f>
        <v>2629.29</v>
      </c>
    </row>
    <row r="514" spans="1:13" x14ac:dyDescent="0.2">
      <c r="A514" s="260"/>
      <c r="B514" s="284"/>
      <c r="C514" s="273"/>
      <c r="D514" s="273"/>
      <c r="E514" s="273"/>
      <c r="F514" s="285" t="str">
        <f>CONCATENATE($H$3," ",$I$3)</f>
        <v>BDI: 23,32</v>
      </c>
      <c r="G514" s="439"/>
      <c r="H514" s="258"/>
      <c r="I514" s="635">
        <f>+ROUND(I513*$I$4,2)</f>
        <v>613.15</v>
      </c>
    </row>
    <row r="515" spans="1:13" x14ac:dyDescent="0.2">
      <c r="A515" s="244"/>
      <c r="B515" s="286"/>
      <c r="C515" s="279"/>
      <c r="D515" s="279"/>
      <c r="E515" s="279"/>
      <c r="F515" s="287" t="s">
        <v>222</v>
      </c>
      <c r="G515" s="440"/>
      <c r="H515" s="245"/>
      <c r="I515" s="1017">
        <f>+I513+I514</f>
        <v>3242.44</v>
      </c>
    </row>
    <row r="516" spans="1:13" x14ac:dyDescent="0.2">
      <c r="A516" s="1277" t="str">
        <f>$A$1</f>
        <v>COMPOSIÇÃO DE CUSTOS UNITÁRIOS</v>
      </c>
      <c r="B516" s="1277"/>
      <c r="C516" s="1277"/>
      <c r="D516" s="1277"/>
      <c r="E516" s="1277"/>
      <c r="F516" s="1277"/>
      <c r="G516" s="1277"/>
      <c r="H516" s="1277"/>
      <c r="I516" s="1277"/>
    </row>
    <row r="517" spans="1:13" x14ac:dyDescent="0.2">
      <c r="A517" s="232" t="str">
        <f>$A$2</f>
        <v>Tabela Referencial de Preços - DER-ES</v>
      </c>
      <c r="B517" s="233"/>
      <c r="C517" s="199"/>
      <c r="D517" s="199"/>
      <c r="E517" s="199"/>
      <c r="F517" s="199"/>
      <c r="G517" s="199"/>
      <c r="H517" s="199"/>
      <c r="I517" s="234" t="str">
        <f>$I$2</f>
        <v>Data Base: Outubro/2018</v>
      </c>
    </row>
    <row r="518" spans="1:13" x14ac:dyDescent="0.2">
      <c r="A518" s="1278" t="str">
        <f>+CONCATENATE("Serviço: ",J518," ",VLOOKUP(J518,'DER 10-18'!$A:$D,2,FALSE))</f>
        <v>Serviço: 40625 Boca de BDCC 3,00 x 3,00 m projeto DNIT</v>
      </c>
      <c r="B518" s="1278"/>
      <c r="C518" s="1278"/>
      <c r="D518" s="1278"/>
      <c r="E518" s="1278"/>
      <c r="F518" s="1278"/>
      <c r="G518" s="1278"/>
      <c r="H518" s="1278"/>
      <c r="I518" s="1278" t="str">
        <f>CONCATENATE("Unidade: ", VLOOKUP(J518,'DER 10-18'!$A:$E,3,FALSE))</f>
        <v>Unidade: Ud</v>
      </c>
      <c r="J518" s="433">
        <v>40625</v>
      </c>
      <c r="K518" s="433">
        <f>VLOOKUP("Preço Unitário Total",F519:I3538,4,FALSE)</f>
        <v>45804.56</v>
      </c>
      <c r="L518" s="302">
        <f>VLOOKUP(J518,'DER 10-18'!A:E,5,FALSE)</f>
        <v>0</v>
      </c>
      <c r="M518" s="302" t="str">
        <f>VLOOKUP(J518,'DER 10-18'!$A:$D,2,FALSE)</f>
        <v>Boca de BDCC 3,00 x 3,00 m projeto DNIT</v>
      </c>
    </row>
    <row r="519" spans="1:13" x14ac:dyDescent="0.2">
      <c r="A519" s="1279"/>
      <c r="B519" s="1279"/>
      <c r="C519" s="1279"/>
      <c r="D519" s="1279"/>
      <c r="E519" s="1279"/>
      <c r="F519" s="1279"/>
      <c r="G519" s="1279"/>
      <c r="H519" s="1279"/>
      <c r="I519" s="1279"/>
    </row>
    <row r="520" spans="1:13" ht="22.5" x14ac:dyDescent="0.2">
      <c r="A520" s="235" t="s">
        <v>192</v>
      </c>
      <c r="B520" s="236" t="s">
        <v>60</v>
      </c>
      <c r="C520" s="236" t="s">
        <v>193</v>
      </c>
      <c r="D520" s="236" t="s">
        <v>194</v>
      </c>
      <c r="E520" s="236" t="s">
        <v>195</v>
      </c>
      <c r="F520" s="236" t="s">
        <v>196</v>
      </c>
      <c r="G520" s="236" t="s">
        <v>197</v>
      </c>
      <c r="H520" s="236" t="s">
        <v>91</v>
      </c>
      <c r="I520" s="236" t="s">
        <v>198</v>
      </c>
    </row>
    <row r="521" spans="1:13" ht="22.5" x14ac:dyDescent="0.2">
      <c r="A521" s="237" t="str">
        <f>VLOOKUP(B521,equip.!$A:$G,2,FALSE)</f>
        <v>Caminhão carroceria 815/37 PBT=8,3t (TOCO 4,0t)</v>
      </c>
      <c r="B521" s="238">
        <v>30004</v>
      </c>
      <c r="C521" s="239" t="str">
        <f>VLOOKUP(B521,equip.!$A$1:$G$240,3,FALSE)</f>
        <v>M</v>
      </c>
      <c r="D521" s="240">
        <v>1</v>
      </c>
      <c r="E521" s="205">
        <v>0</v>
      </c>
      <c r="F521" s="241">
        <f>VLOOKUP(B521,equip.!$A:$G,6,FALSE)</f>
        <v>140.51</v>
      </c>
      <c r="G521" s="241">
        <f>VLOOKUP(B521,equip.!$A:$G,7,FALSE)</f>
        <v>37.26</v>
      </c>
      <c r="H521" s="242">
        <v>5</v>
      </c>
      <c r="I521" s="243">
        <f t="shared" ref="I521" si="3">TRUNC(D521*F521*H521+E521*G521*H521,2)</f>
        <v>702.55</v>
      </c>
    </row>
    <row r="522" spans="1:13" x14ac:dyDescent="0.2">
      <c r="A522" s="199"/>
      <c r="B522" s="233"/>
      <c r="C522" s="233"/>
      <c r="D522" s="199"/>
      <c r="E522" s="199"/>
      <c r="F522" s="234" t="s">
        <v>199</v>
      </c>
      <c r="G522" s="244"/>
      <c r="H522" s="245"/>
      <c r="I522" s="434">
        <f>SUM(I521:I521)</f>
        <v>702.55</v>
      </c>
    </row>
    <row r="523" spans="1:13" x14ac:dyDescent="0.2">
      <c r="A523" s="199"/>
      <c r="B523" s="233"/>
      <c r="C523" s="233"/>
      <c r="D523" s="199"/>
      <c r="E523" s="199"/>
      <c r="F523" s="199"/>
      <c r="G523" s="199"/>
      <c r="H523" s="199"/>
      <c r="I523" s="200"/>
    </row>
    <row r="524" spans="1:13" x14ac:dyDescent="0.2">
      <c r="A524" s="246" t="s">
        <v>200</v>
      </c>
      <c r="B524" s="247" t="s">
        <v>60</v>
      </c>
      <c r="C524" s="236" t="s">
        <v>1242</v>
      </c>
      <c r="D524" s="247" t="s">
        <v>202</v>
      </c>
      <c r="E524" s="1271" t="s">
        <v>91</v>
      </c>
      <c r="F524" s="1272"/>
      <c r="G524" s="1273"/>
      <c r="H524" s="1276" t="s">
        <v>198</v>
      </c>
      <c r="I524" s="1275"/>
    </row>
    <row r="525" spans="1:13" x14ac:dyDescent="0.2">
      <c r="A525" s="199"/>
      <c r="B525" s="233"/>
      <c r="C525" s="233"/>
      <c r="D525" s="199"/>
      <c r="E525" s="199"/>
      <c r="F525" s="234" t="s">
        <v>203</v>
      </c>
      <c r="G525" s="244"/>
      <c r="H525" s="245"/>
      <c r="I525" s="434"/>
    </row>
    <row r="526" spans="1:13" x14ac:dyDescent="0.2">
      <c r="A526" s="199"/>
      <c r="B526" s="233"/>
      <c r="C526" s="233"/>
      <c r="D526" s="199"/>
      <c r="E526" s="199"/>
      <c r="F526" s="199"/>
      <c r="G526" s="199"/>
      <c r="H526" s="199"/>
      <c r="I526" s="200"/>
    </row>
    <row r="527" spans="1:13" x14ac:dyDescent="0.2">
      <c r="A527" s="250" t="s">
        <v>204</v>
      </c>
      <c r="B527" s="247" t="s">
        <v>60</v>
      </c>
      <c r="C527" s="866" t="s">
        <v>17</v>
      </c>
      <c r="D527" s="247" t="s">
        <v>205</v>
      </c>
      <c r="E527" s="247" t="s">
        <v>206</v>
      </c>
      <c r="F527" s="247" t="s">
        <v>207</v>
      </c>
      <c r="G527" s="1276" t="s">
        <v>96</v>
      </c>
      <c r="H527" s="1274"/>
      <c r="I527" s="1275"/>
    </row>
    <row r="528" spans="1:13" x14ac:dyDescent="0.2">
      <c r="A528" s="199"/>
      <c r="B528" s="233"/>
      <c r="C528" s="199"/>
      <c r="D528" s="199"/>
      <c r="E528" s="199"/>
      <c r="F528" s="234" t="s">
        <v>1170</v>
      </c>
      <c r="G528" s="244"/>
      <c r="H528" s="245"/>
      <c r="I528" s="434"/>
    </row>
    <row r="529" spans="1:17" x14ac:dyDescent="0.2">
      <c r="A529" s="199"/>
      <c r="B529" s="233"/>
      <c r="C529" s="199"/>
      <c r="D529" s="199"/>
      <c r="E529" s="199"/>
      <c r="F529" s="199"/>
      <c r="G529" s="199"/>
      <c r="H529" s="199"/>
      <c r="I529" s="200"/>
    </row>
    <row r="530" spans="1:17" x14ac:dyDescent="0.2">
      <c r="A530" s="252"/>
      <c r="B530" s="253"/>
      <c r="C530" s="254"/>
      <c r="D530" s="254"/>
      <c r="E530" s="254"/>
      <c r="F530" s="255" t="s">
        <v>208</v>
      </c>
      <c r="G530" s="435"/>
      <c r="H530" s="254"/>
      <c r="I530" s="634">
        <f>+I522+I525+I528</f>
        <v>702.55</v>
      </c>
    </row>
    <row r="531" spans="1:17" x14ac:dyDescent="0.2">
      <c r="A531" s="256"/>
      <c r="B531" s="257"/>
      <c r="C531" s="258"/>
      <c r="D531" s="258"/>
      <c r="E531" s="258"/>
      <c r="F531" s="259" t="s">
        <v>209</v>
      </c>
      <c r="G531" s="260"/>
      <c r="H531" s="258"/>
      <c r="I531" s="635">
        <v>1</v>
      </c>
    </row>
    <row r="532" spans="1:17" x14ac:dyDescent="0.2">
      <c r="A532" s="237"/>
      <c r="B532" s="261"/>
      <c r="C532" s="245"/>
      <c r="D532" s="245"/>
      <c r="E532" s="245"/>
      <c r="F532" s="262" t="s">
        <v>232</v>
      </c>
      <c r="G532" s="244"/>
      <c r="H532" s="245"/>
      <c r="I532" s="633">
        <f>TRUNC(I530/I531,2)</f>
        <v>702.55</v>
      </c>
    </row>
    <row r="533" spans="1:17" x14ac:dyDescent="0.2">
      <c r="A533" s="867"/>
      <c r="B533" s="233"/>
      <c r="C533" s="199"/>
      <c r="D533" s="199"/>
      <c r="E533" s="199"/>
      <c r="F533" s="263"/>
      <c r="G533" s="199"/>
      <c r="H533" s="199"/>
      <c r="I533" s="264"/>
    </row>
    <row r="534" spans="1:17" x14ac:dyDescent="0.2">
      <c r="A534" s="246" t="s">
        <v>210</v>
      </c>
      <c r="B534" s="247" t="s">
        <v>60</v>
      </c>
      <c r="C534" s="247" t="s">
        <v>211</v>
      </c>
      <c r="D534" s="247" t="s">
        <v>233</v>
      </c>
      <c r="E534" s="1276" t="s">
        <v>91</v>
      </c>
      <c r="F534" s="1274"/>
      <c r="G534" s="1275"/>
      <c r="H534" s="1276" t="s">
        <v>198</v>
      </c>
      <c r="I534" s="1275"/>
    </row>
    <row r="535" spans="1:17" x14ac:dyDescent="0.2">
      <c r="A535" s="199"/>
      <c r="B535" s="233"/>
      <c r="C535" s="199"/>
      <c r="D535" s="199"/>
      <c r="E535" s="199"/>
      <c r="F535" s="234" t="s">
        <v>212</v>
      </c>
      <c r="G535" s="244"/>
      <c r="H535" s="245"/>
      <c r="I535" s="633"/>
    </row>
    <row r="536" spans="1:17" x14ac:dyDescent="0.2">
      <c r="A536" s="199"/>
      <c r="B536" s="233"/>
      <c r="C536" s="199"/>
      <c r="D536" s="199"/>
      <c r="E536" s="199"/>
      <c r="F536" s="199"/>
      <c r="G536" s="269"/>
      <c r="H536" s="199"/>
      <c r="I536" s="200"/>
    </row>
    <row r="537" spans="1:17" x14ac:dyDescent="0.2">
      <c r="A537" s="270" t="s">
        <v>213</v>
      </c>
      <c r="B537" s="247" t="s">
        <v>60</v>
      </c>
      <c r="C537" s="247" t="s">
        <v>211</v>
      </c>
      <c r="D537" s="866" t="s">
        <v>233</v>
      </c>
      <c r="E537" s="1271" t="s">
        <v>91</v>
      </c>
      <c r="F537" s="1272"/>
      <c r="G537" s="1273"/>
      <c r="H537" s="1274" t="s">
        <v>198</v>
      </c>
      <c r="I537" s="1275"/>
    </row>
    <row r="538" spans="1:17" ht="33.75" x14ac:dyDescent="0.2">
      <c r="A538" s="248" t="str">
        <f>VLOOKUP(B538,'DER 10-18'!$A:$E,2,FALSE)</f>
        <v>Aço CA-50, fornecimento, dobragem e colocação nas formas (preço médio das bitolas)</v>
      </c>
      <c r="B538" s="238">
        <v>40376</v>
      </c>
      <c r="C538" s="238" t="str">
        <f>VLOOKUP(B538,'DER 10-18'!$A:$E,3,FALSE)</f>
        <v>kg</v>
      </c>
      <c r="D538" s="454">
        <f>TRUNC(VLOOKUP(B538,'DER 10-18'!$A:$F,6,FALSE)/(1+$I$4),2)</f>
        <v>7.89</v>
      </c>
      <c r="E538" s="260"/>
      <c r="F538" s="258"/>
      <c r="G538" s="300">
        <v>1676</v>
      </c>
      <c r="H538" s="244"/>
      <c r="I538" s="268">
        <f>TRUNC(D538*G538,2)</f>
        <v>13223.64</v>
      </c>
    </row>
    <row r="539" spans="1:17" ht="22.5" x14ac:dyDescent="0.2">
      <c r="A539" s="248" t="str">
        <f>VLOOKUP(B539,'DER 10-18'!$A:$E,2,FALSE)</f>
        <v>Concreto de regularização, tudo incluído</v>
      </c>
      <c r="B539" s="238">
        <v>40349</v>
      </c>
      <c r="C539" s="238" t="str">
        <f>VLOOKUP(B539,'DER 10-18'!$A:$E,3,FALSE)</f>
        <v>M3</v>
      </c>
      <c r="D539" s="454">
        <f>TRUNC(VLOOKUP(B539,'DER 10-18'!$A:$F,6,FALSE)/(1+$I$4),2)</f>
        <v>423.65</v>
      </c>
      <c r="E539" s="260"/>
      <c r="F539" s="258"/>
      <c r="G539" s="300">
        <v>6.8250000000000002</v>
      </c>
      <c r="H539" s="244"/>
      <c r="I539" s="268">
        <f t="shared" ref="I539:I541" si="4">TRUNC(D539*G539,2)</f>
        <v>2891.41</v>
      </c>
    </row>
    <row r="540" spans="1:17" ht="22.5" x14ac:dyDescent="0.2">
      <c r="A540" s="452" t="str">
        <f>VLOOKUP(B540,'DER 10-18'!$A:$E,2,FALSE)</f>
        <v>Concreto estrutural fck = 15,0 MPa, tudo incluído</v>
      </c>
      <c r="B540" s="453">
        <v>40358</v>
      </c>
      <c r="C540" s="453" t="str">
        <f>VLOOKUP(B540,'DER 10-18'!$A:$E,3,FALSE)</f>
        <v>M3</v>
      </c>
      <c r="D540" s="454">
        <f>TRUNC(VLOOKUP(B540,'DER 10-18'!$A:$F,6,FALSE)/(1+$I$4),2)</f>
        <v>523.20000000000005</v>
      </c>
      <c r="E540" s="455"/>
      <c r="F540" s="456"/>
      <c r="G540" s="457">
        <v>22.215</v>
      </c>
      <c r="H540" s="458"/>
      <c r="I540" s="459">
        <f t="shared" si="4"/>
        <v>11622.88</v>
      </c>
      <c r="J540" s="451"/>
      <c r="K540" s="451"/>
      <c r="L540" s="198"/>
      <c r="M540" s="198"/>
      <c r="N540" s="198"/>
      <c r="O540" s="198"/>
      <c r="P540" s="198"/>
      <c r="Q540" s="198"/>
    </row>
    <row r="541" spans="1:17" ht="45" x14ac:dyDescent="0.2">
      <c r="A541" s="452" t="str">
        <f>VLOOKUP(B541,'DER 10-18'!$A:$E,2,FALSE)</f>
        <v>Formas planas de madeira com 01 (um) reaproveitamento, inclusive fornecimento e transporte das madeiras</v>
      </c>
      <c r="B541" s="453">
        <v>40311</v>
      </c>
      <c r="C541" s="453" t="str">
        <f>VLOOKUP(B541,'DER 10-18'!$A:$E,3,FALSE)</f>
        <v>M2</v>
      </c>
      <c r="D541" s="454">
        <f>TRUNC(VLOOKUP(B541,'DER 10-18'!$A:$F,6,FALSE)/(1+$I$4),2)</f>
        <v>90.18</v>
      </c>
      <c r="E541" s="455"/>
      <c r="F541" s="456"/>
      <c r="G541" s="457">
        <v>96.5</v>
      </c>
      <c r="H541" s="458"/>
      <c r="I541" s="459">
        <f t="shared" si="4"/>
        <v>8702.3700000000008</v>
      </c>
      <c r="J541" s="451"/>
      <c r="K541" s="451"/>
      <c r="L541" s="198"/>
      <c r="M541" s="198"/>
      <c r="N541" s="198"/>
      <c r="O541" s="198"/>
      <c r="P541" s="198"/>
      <c r="Q541" s="198"/>
    </row>
    <row r="542" spans="1:17" x14ac:dyDescent="0.2">
      <c r="A542" s="201"/>
      <c r="B542" s="271"/>
      <c r="C542" s="201"/>
      <c r="D542" s="201"/>
      <c r="E542" s="201"/>
      <c r="F542" s="272" t="s">
        <v>214</v>
      </c>
      <c r="G542" s="260"/>
      <c r="H542" s="273"/>
      <c r="I542" s="436">
        <f>SUM(I538:I541)</f>
        <v>36440.300000000003</v>
      </c>
    </row>
    <row r="543" spans="1:17" x14ac:dyDescent="0.2">
      <c r="A543" s="201"/>
      <c r="B543" s="271"/>
      <c r="C543" s="201"/>
      <c r="D543" s="201"/>
      <c r="E543" s="201"/>
      <c r="F543" s="201"/>
      <c r="G543" s="201"/>
      <c r="H543" s="201"/>
      <c r="I543" s="201"/>
    </row>
    <row r="544" spans="1:17" x14ac:dyDescent="0.2">
      <c r="A544" s="274" t="s">
        <v>215</v>
      </c>
      <c r="B544" s="275" t="s">
        <v>60</v>
      </c>
      <c r="C544" s="275" t="s">
        <v>211</v>
      </c>
      <c r="D544" s="275" t="s">
        <v>216</v>
      </c>
      <c r="E544" s="275" t="s">
        <v>217</v>
      </c>
      <c r="F544" s="275" t="s">
        <v>218</v>
      </c>
      <c r="G544" s="275" t="s">
        <v>96</v>
      </c>
      <c r="H544" s="275" t="s">
        <v>91</v>
      </c>
      <c r="I544" s="275" t="s">
        <v>219</v>
      </c>
    </row>
    <row r="545" spans="1:17" x14ac:dyDescent="0.2">
      <c r="A545" s="201"/>
      <c r="B545" s="271"/>
      <c r="C545" s="201"/>
      <c r="D545" s="201"/>
      <c r="E545" s="201"/>
      <c r="F545" s="272" t="s">
        <v>220</v>
      </c>
      <c r="G545" s="244"/>
      <c r="H545" s="279"/>
      <c r="I545" s="438"/>
    </row>
    <row r="546" spans="1:17" s="198" customFormat="1" x14ac:dyDescent="0.2">
      <c r="A546" s="201"/>
      <c r="B546" s="271"/>
      <c r="C546" s="201"/>
      <c r="D546" s="201"/>
      <c r="E546" s="201"/>
      <c r="F546" s="201"/>
      <c r="G546" s="201"/>
      <c r="H546" s="201"/>
      <c r="I546" s="202"/>
      <c r="J546" s="433"/>
      <c r="K546" s="433"/>
      <c r="L546" s="302"/>
      <c r="M546" s="302"/>
      <c r="N546" s="302"/>
      <c r="O546" s="302"/>
      <c r="P546" s="302"/>
      <c r="Q546" s="302"/>
    </row>
    <row r="547" spans="1:17" x14ac:dyDescent="0.2">
      <c r="A547" s="280"/>
      <c r="B547" s="281"/>
      <c r="C547" s="282"/>
      <c r="D547" s="282"/>
      <c r="E547" s="282"/>
      <c r="F547" s="283" t="s">
        <v>221</v>
      </c>
      <c r="G547" s="280"/>
      <c r="H547" s="254"/>
      <c r="I547" s="634">
        <f>+I532+I535+I542+I545</f>
        <v>37142.85</v>
      </c>
      <c r="J547" s="446"/>
    </row>
    <row r="548" spans="1:17" x14ac:dyDescent="0.2">
      <c r="A548" s="260"/>
      <c r="B548" s="284"/>
      <c r="C548" s="273"/>
      <c r="D548" s="273"/>
      <c r="E548" s="273"/>
      <c r="F548" s="285" t="str">
        <f>CONCATENATE($H$3," ",$I$3)</f>
        <v>BDI: 23,32</v>
      </c>
      <c r="G548" s="439"/>
      <c r="H548" s="258"/>
      <c r="I548" s="635">
        <f>+ROUND(I547*$I$4,2)</f>
        <v>8661.7099999999991</v>
      </c>
    </row>
    <row r="549" spans="1:17" x14ac:dyDescent="0.2">
      <c r="A549" s="244"/>
      <c r="B549" s="286"/>
      <c r="C549" s="279"/>
      <c r="D549" s="279"/>
      <c r="E549" s="279"/>
      <c r="F549" s="287" t="s">
        <v>222</v>
      </c>
      <c r="G549" s="440"/>
      <c r="H549" s="245"/>
      <c r="I549" s="1017">
        <f>+I547+I548</f>
        <v>45804.56</v>
      </c>
      <c r="J549" s="446"/>
    </row>
    <row r="550" spans="1:17" x14ac:dyDescent="0.2">
      <c r="A550" s="1286" t="str">
        <f>$A$1</f>
        <v>COMPOSIÇÃO DE CUSTOS UNITÁRIOS</v>
      </c>
      <c r="B550" s="1286"/>
      <c r="C550" s="1286"/>
      <c r="D550" s="1286"/>
      <c r="E550" s="1286"/>
      <c r="F550" s="1286"/>
      <c r="G550" s="1286"/>
      <c r="H550" s="1286"/>
      <c r="I550" s="1286"/>
      <c r="J550" s="451"/>
      <c r="K550" s="451"/>
      <c r="L550" s="198"/>
      <c r="M550" s="198"/>
      <c r="N550" s="198"/>
      <c r="O550" s="198"/>
      <c r="P550" s="198"/>
      <c r="Q550" s="198"/>
    </row>
    <row r="551" spans="1:17" x14ac:dyDescent="0.2">
      <c r="A551" s="447" t="str">
        <f>$A$2</f>
        <v>Tabela Referencial de Preços - DER-ES</v>
      </c>
      <c r="B551" s="448"/>
      <c r="C551" s="449"/>
      <c r="D551" s="449"/>
      <c r="E551" s="449"/>
      <c r="F551" s="449"/>
      <c r="G551" s="449"/>
      <c r="H551" s="449"/>
      <c r="I551" s="450" t="str">
        <f>$I$2</f>
        <v>Data Base: Outubro/2018</v>
      </c>
      <c r="J551" s="451"/>
      <c r="K551" s="451"/>
      <c r="L551" s="198"/>
      <c r="M551" s="198"/>
      <c r="N551" s="198"/>
      <c r="O551" s="198"/>
      <c r="P551" s="198"/>
      <c r="Q551" s="198"/>
    </row>
    <row r="552" spans="1:17" x14ac:dyDescent="0.2">
      <c r="A552" s="1287" t="str">
        <f>+CONCATENATE("Serviço: ",J552," ",VLOOKUP(J552,'DER 10-18'!$A:$D,2,FALSE))</f>
        <v>Serviço: 40613 Boca de BSCC 1,50 x 1,50 m projeto DNIT</v>
      </c>
      <c r="B552" s="1287"/>
      <c r="C552" s="1287"/>
      <c r="D552" s="1287"/>
      <c r="E552" s="1287"/>
      <c r="F552" s="1287"/>
      <c r="G552" s="1287"/>
      <c r="H552" s="1287"/>
      <c r="I552" s="1287" t="str">
        <f>CONCATENATE("Unidade: ", VLOOKUP(J552,'DER 10-18'!$A:$E,3,FALSE))</f>
        <v>Unidade: Ud</v>
      </c>
      <c r="J552" s="451">
        <v>40613</v>
      </c>
      <c r="K552" s="451">
        <f>VLOOKUP("Preço Unitário Total",F553:I4160,4,FALSE)</f>
        <v>13330.28</v>
      </c>
      <c r="L552" s="198">
        <f>VLOOKUP(J552,'DER 10-18'!A:E,5,FALSE)</f>
        <v>0</v>
      </c>
      <c r="M552" s="198" t="str">
        <f>VLOOKUP(J552,'DER 10-18'!$A:$D,2,FALSE)</f>
        <v>Boca de BSCC 1,50 x 1,50 m projeto DNIT</v>
      </c>
      <c r="N552" s="198"/>
      <c r="O552" s="198"/>
      <c r="P552" s="198"/>
      <c r="Q552" s="198"/>
    </row>
    <row r="553" spans="1:17" x14ac:dyDescent="0.2">
      <c r="A553" s="1288"/>
      <c r="B553" s="1288"/>
      <c r="C553" s="1288"/>
      <c r="D553" s="1288"/>
      <c r="E553" s="1288"/>
      <c r="F553" s="1288"/>
      <c r="G553" s="1288"/>
      <c r="H553" s="1288"/>
      <c r="I553" s="1288"/>
      <c r="J553" s="451"/>
      <c r="K553" s="451"/>
      <c r="L553" s="198"/>
      <c r="M553" s="198"/>
      <c r="N553" s="198"/>
      <c r="O553" s="198"/>
      <c r="P553" s="198"/>
      <c r="Q553" s="198"/>
    </row>
    <row r="554" spans="1:17" ht="22.5" x14ac:dyDescent="0.2">
      <c r="A554" s="235" t="s">
        <v>192</v>
      </c>
      <c r="B554" s="236" t="s">
        <v>60</v>
      </c>
      <c r="C554" s="236" t="s">
        <v>193</v>
      </c>
      <c r="D554" s="236" t="s">
        <v>194</v>
      </c>
      <c r="E554" s="236" t="s">
        <v>195</v>
      </c>
      <c r="F554" s="236" t="s">
        <v>196</v>
      </c>
      <c r="G554" s="236" t="s">
        <v>197</v>
      </c>
      <c r="H554" s="236" t="s">
        <v>91</v>
      </c>
      <c r="I554" s="236" t="s">
        <v>198</v>
      </c>
    </row>
    <row r="555" spans="1:17" ht="22.5" x14ac:dyDescent="0.2">
      <c r="A555" s="509" t="str">
        <f>VLOOKUP(B555,equip.!$A:$G,2,FALSE)</f>
        <v>Caminhão carroceria 815/37 PBT=8,3t (TOCO 4,0t)</v>
      </c>
      <c r="B555" s="453">
        <v>30004</v>
      </c>
      <c r="C555" s="460" t="str">
        <f>VLOOKUP(B555,equip.!$A$1:$G$239,3,FALSE)</f>
        <v>M</v>
      </c>
      <c r="D555" s="514">
        <v>1</v>
      </c>
      <c r="E555" s="515">
        <v>0</v>
      </c>
      <c r="F555" s="516">
        <f>VLOOKUP(B555,equip.!$A:$G,6,FALSE)</f>
        <v>140.51</v>
      </c>
      <c r="G555" s="516">
        <f>VLOOKUP(B555,equip.!$A:$G,7,FALSE)</f>
        <v>37.26</v>
      </c>
      <c r="H555" s="517">
        <v>2</v>
      </c>
      <c r="I555" s="454">
        <f>TRUNC(D555*F555*H555+E555*G555*H555,2)</f>
        <v>281.02</v>
      </c>
      <c r="J555" s="534"/>
      <c r="K555" s="198"/>
      <c r="L555" s="198"/>
      <c r="M555" s="198"/>
      <c r="N555" s="198"/>
      <c r="O555" s="198"/>
      <c r="P555" s="198"/>
      <c r="Q555" s="198"/>
    </row>
    <row r="556" spans="1:17" x14ac:dyDescent="0.2">
      <c r="A556" s="199"/>
      <c r="B556" s="233"/>
      <c r="C556" s="233"/>
      <c r="D556" s="199"/>
      <c r="E556" s="199"/>
      <c r="F556" s="234" t="s">
        <v>199</v>
      </c>
      <c r="G556" s="244"/>
      <c r="H556" s="245"/>
      <c r="I556" s="434">
        <f>SUM(I555:I555)</f>
        <v>281.02</v>
      </c>
      <c r="J556" s="302"/>
      <c r="K556" s="302"/>
    </row>
    <row r="557" spans="1:17" x14ac:dyDescent="0.2">
      <c r="A557" s="199"/>
      <c r="B557" s="233"/>
      <c r="C557" s="233"/>
      <c r="D557" s="199"/>
      <c r="E557" s="199"/>
      <c r="F557" s="199"/>
      <c r="G557" s="199"/>
      <c r="H557" s="199"/>
      <c r="I557" s="200"/>
      <c r="J557" s="302"/>
      <c r="K557" s="302"/>
    </row>
    <row r="558" spans="1:17" x14ac:dyDescent="0.2">
      <c r="A558" s="246" t="s">
        <v>200</v>
      </c>
      <c r="B558" s="247" t="s">
        <v>60</v>
      </c>
      <c r="C558" s="236" t="s">
        <v>1242</v>
      </c>
      <c r="D558" s="247" t="s">
        <v>202</v>
      </c>
      <c r="E558" s="1276" t="s">
        <v>91</v>
      </c>
      <c r="F558" s="1274"/>
      <c r="G558" s="1275"/>
      <c r="H558" s="1276" t="s">
        <v>198</v>
      </c>
      <c r="I558" s="1275"/>
      <c r="J558" s="302"/>
      <c r="K558" s="302"/>
    </row>
    <row r="559" spans="1:17" s="198" customFormat="1" x14ac:dyDescent="0.2">
      <c r="A559" s="248"/>
      <c r="B559" s="238"/>
      <c r="C559" s="243"/>
      <c r="D559" s="243"/>
      <c r="E559" s="260"/>
      <c r="F559" s="258"/>
      <c r="G559" s="300"/>
      <c r="H559" s="244"/>
      <c r="I559" s="249"/>
      <c r="J559" s="302"/>
      <c r="K559" s="302"/>
      <c r="L559" s="302"/>
      <c r="M559" s="302"/>
      <c r="N559" s="302"/>
      <c r="O559" s="302"/>
      <c r="P559" s="302"/>
      <c r="Q559" s="302"/>
    </row>
    <row r="560" spans="1:17" s="198" customFormat="1" x14ac:dyDescent="0.2">
      <c r="A560" s="199"/>
      <c r="B560" s="233"/>
      <c r="C560" s="233"/>
      <c r="D560" s="199"/>
      <c r="E560" s="199"/>
      <c r="F560" s="234" t="s">
        <v>203</v>
      </c>
      <c r="G560" s="244"/>
      <c r="H560" s="245"/>
      <c r="I560" s="434">
        <f>SUM(I559:I559)</f>
        <v>0</v>
      </c>
      <c r="J560" s="302"/>
      <c r="K560" s="302"/>
      <c r="L560" s="302"/>
      <c r="M560" s="302"/>
      <c r="N560" s="302"/>
      <c r="O560" s="302"/>
      <c r="P560" s="302"/>
      <c r="Q560" s="302"/>
    </row>
    <row r="561" spans="1:11" x14ac:dyDescent="0.2">
      <c r="A561" s="199"/>
      <c r="B561" s="233"/>
      <c r="C561" s="233"/>
      <c r="D561" s="199"/>
      <c r="E561" s="199"/>
      <c r="F561" s="199"/>
      <c r="G561" s="199"/>
      <c r="H561" s="199"/>
      <c r="I561" s="200"/>
      <c r="J561" s="302"/>
      <c r="K561" s="302"/>
    </row>
    <row r="562" spans="1:11" x14ac:dyDescent="0.2">
      <c r="A562" s="270" t="s">
        <v>204</v>
      </c>
      <c r="B562" s="247" t="s">
        <v>60</v>
      </c>
      <c r="C562" s="866" t="s">
        <v>17</v>
      </c>
      <c r="D562" s="247" t="s">
        <v>205</v>
      </c>
      <c r="E562" s="247" t="s">
        <v>206</v>
      </c>
      <c r="F562" s="247" t="s">
        <v>207</v>
      </c>
      <c r="G562" s="1276" t="s">
        <v>96</v>
      </c>
      <c r="H562" s="1274"/>
      <c r="I562" s="1275"/>
      <c r="J562" s="302"/>
      <c r="K562" s="302"/>
    </row>
    <row r="563" spans="1:11" x14ac:dyDescent="0.2">
      <c r="A563" s="248"/>
      <c r="B563" s="238"/>
      <c r="C563" s="243"/>
      <c r="D563" s="239"/>
      <c r="E563" s="251"/>
      <c r="F563" s="251"/>
      <c r="G563" s="244"/>
      <c r="H563" s="245"/>
      <c r="I563" s="249"/>
      <c r="J563" s="302"/>
      <c r="K563" s="302"/>
    </row>
    <row r="564" spans="1:11" x14ac:dyDescent="0.2">
      <c r="A564" s="199"/>
      <c r="B564" s="233"/>
      <c r="C564" s="199"/>
      <c r="D564" s="199"/>
      <c r="E564" s="199"/>
      <c r="F564" s="234" t="s">
        <v>1170</v>
      </c>
      <c r="G564" s="244"/>
      <c r="H564" s="245"/>
      <c r="I564" s="434">
        <f>SUM(I563)</f>
        <v>0</v>
      </c>
      <c r="J564" s="302"/>
      <c r="K564" s="302"/>
    </row>
    <row r="565" spans="1:11" x14ac:dyDescent="0.2">
      <c r="A565" s="199"/>
      <c r="B565" s="233"/>
      <c r="C565" s="199"/>
      <c r="D565" s="199"/>
      <c r="E565" s="199"/>
      <c r="F565" s="199"/>
      <c r="G565" s="199"/>
      <c r="H565" s="199"/>
      <c r="I565" s="200"/>
      <c r="J565" s="302"/>
      <c r="K565" s="302"/>
    </row>
    <row r="566" spans="1:11" x14ac:dyDescent="0.2">
      <c r="A566" s="252"/>
      <c r="B566" s="253"/>
      <c r="C566" s="254"/>
      <c r="D566" s="254"/>
      <c r="E566" s="254"/>
      <c r="F566" s="255" t="s">
        <v>208</v>
      </c>
      <c r="G566" s="435"/>
      <c r="H566" s="254"/>
      <c r="I566" s="634">
        <f>+I556+I560+I564</f>
        <v>281.02</v>
      </c>
      <c r="J566" s="302"/>
      <c r="K566" s="302"/>
    </row>
    <row r="567" spans="1:11" x14ac:dyDescent="0.2">
      <c r="A567" s="256"/>
      <c r="B567" s="257"/>
      <c r="C567" s="258"/>
      <c r="D567" s="258"/>
      <c r="E567" s="258"/>
      <c r="F567" s="259" t="s">
        <v>209</v>
      </c>
      <c r="G567" s="260"/>
      <c r="H567" s="258"/>
      <c r="I567" s="635">
        <v>1</v>
      </c>
      <c r="J567" s="302"/>
      <c r="K567" s="302"/>
    </row>
    <row r="568" spans="1:11" x14ac:dyDescent="0.2">
      <c r="A568" s="237"/>
      <c r="B568" s="261"/>
      <c r="C568" s="245"/>
      <c r="D568" s="245"/>
      <c r="E568" s="245"/>
      <c r="F568" s="262" t="s">
        <v>232</v>
      </c>
      <c r="G568" s="244"/>
      <c r="H568" s="245"/>
      <c r="I568" s="633">
        <f>TRUNC(I566/I567,2)</f>
        <v>281.02</v>
      </c>
      <c r="J568" s="302"/>
      <c r="K568" s="302"/>
    </row>
    <row r="569" spans="1:11" x14ac:dyDescent="0.2">
      <c r="A569" s="867"/>
      <c r="B569" s="233"/>
      <c r="C569" s="199"/>
      <c r="D569" s="199"/>
      <c r="E569" s="199"/>
      <c r="F569" s="263"/>
      <c r="G569" s="199"/>
      <c r="H569" s="199"/>
      <c r="I569" s="264"/>
      <c r="J569" s="302"/>
      <c r="K569" s="302"/>
    </row>
    <row r="570" spans="1:11" x14ac:dyDescent="0.2">
      <c r="A570" s="246" t="s">
        <v>210</v>
      </c>
      <c r="B570" s="247" t="s">
        <v>60</v>
      </c>
      <c r="C570" s="247" t="s">
        <v>211</v>
      </c>
      <c r="D570" s="247" t="s">
        <v>233</v>
      </c>
      <c r="E570" s="1276" t="s">
        <v>91</v>
      </c>
      <c r="F570" s="1274"/>
      <c r="G570" s="1275"/>
      <c r="H570" s="1276" t="s">
        <v>198</v>
      </c>
      <c r="I570" s="1275"/>
      <c r="J570" s="302"/>
      <c r="K570" s="302"/>
    </row>
    <row r="571" spans="1:11" x14ac:dyDescent="0.2">
      <c r="A571" s="265"/>
      <c r="B571" s="238"/>
      <c r="C571" s="266"/>
      <c r="D571" s="267"/>
      <c r="E571" s="260"/>
      <c r="F571" s="258"/>
      <c r="G571" s="300"/>
      <c r="H571" s="260"/>
      <c r="I571" s="268"/>
    </row>
    <row r="572" spans="1:11" x14ac:dyDescent="0.2">
      <c r="A572" s="199"/>
      <c r="B572" s="233"/>
      <c r="C572" s="199"/>
      <c r="D572" s="199"/>
      <c r="E572" s="199"/>
      <c r="F572" s="234" t="s">
        <v>212</v>
      </c>
      <c r="G572" s="244"/>
      <c r="H572" s="245"/>
      <c r="I572" s="434">
        <f>SUM(I571:I571)</f>
        <v>0</v>
      </c>
    </row>
    <row r="573" spans="1:11" x14ac:dyDescent="0.2">
      <c r="A573" s="199"/>
      <c r="B573" s="233"/>
      <c r="C573" s="199"/>
      <c r="D573" s="199"/>
      <c r="E573" s="199"/>
      <c r="F573" s="199"/>
      <c r="G573" s="269"/>
      <c r="H573" s="199"/>
      <c r="I573" s="200"/>
    </row>
    <row r="574" spans="1:11" x14ac:dyDescent="0.2">
      <c r="A574" s="270" t="s">
        <v>213</v>
      </c>
      <c r="B574" s="247" t="s">
        <v>60</v>
      </c>
      <c r="C574" s="247" t="s">
        <v>211</v>
      </c>
      <c r="D574" s="866" t="s">
        <v>233</v>
      </c>
      <c r="E574" s="1276" t="s">
        <v>91</v>
      </c>
      <c r="F574" s="1274"/>
      <c r="G574" s="1275"/>
      <c r="H574" s="1276" t="s">
        <v>198</v>
      </c>
      <c r="I574" s="1275"/>
    </row>
    <row r="575" spans="1:11" ht="33.75" x14ac:dyDescent="0.2">
      <c r="A575" s="452" t="str">
        <f>VLOOKUP(B575,'DER 10-18'!$A:$E,2,FALSE)</f>
        <v>Aço CA-50, fornecimento, dobragem e colocação nas formas (preço médio das bitolas)</v>
      </c>
      <c r="B575" s="453">
        <v>40376</v>
      </c>
      <c r="C575" s="453" t="str">
        <f>VLOOKUP(B575,'DER 10-18'!$A:$E,3,FALSE)</f>
        <v>kg</v>
      </c>
      <c r="D575" s="454">
        <f>TRUNC(VLOOKUP(B575,'DER 10-18'!$A:$F,6,FALSE)/(1+$I$4),2)</f>
        <v>7.89</v>
      </c>
      <c r="E575" s="455"/>
      <c r="F575" s="456"/>
      <c r="G575" s="457">
        <v>381.5</v>
      </c>
      <c r="H575" s="458"/>
      <c r="I575" s="459">
        <f>TRUNC(D575*G575,2)</f>
        <v>3010.03</v>
      </c>
    </row>
    <row r="576" spans="1:11" ht="22.5" x14ac:dyDescent="0.2">
      <c r="A576" s="452" t="str">
        <f>VLOOKUP(B576,'DER 10-18'!$A:$E,2,FALSE)</f>
        <v>Concreto de regularização, tudo incluído</v>
      </c>
      <c r="B576" s="453">
        <v>40349</v>
      </c>
      <c r="C576" s="453" t="str">
        <f>VLOOKUP(B576,'DER 10-18'!$A:$E,3,FALSE)</f>
        <v>M3</v>
      </c>
      <c r="D576" s="454">
        <f>TRUNC(VLOOKUP(B576,'DER 10-18'!$A:$F,6,FALSE)/(1+$I$4),2)</f>
        <v>423.65</v>
      </c>
      <c r="E576" s="455"/>
      <c r="F576" s="456"/>
      <c r="G576" s="457">
        <v>2.16</v>
      </c>
      <c r="H576" s="458"/>
      <c r="I576" s="459">
        <f>TRUNC(D576*G576,2)</f>
        <v>915.08</v>
      </c>
    </row>
    <row r="577" spans="1:17" ht="22.5" x14ac:dyDescent="0.2">
      <c r="A577" s="452" t="str">
        <f>VLOOKUP(B577,'DER 10-18'!$A:$E,2,FALSE)</f>
        <v>Concreto estrutural fck = 15,0 MPa, tudo incluído</v>
      </c>
      <c r="B577" s="453">
        <v>40358</v>
      </c>
      <c r="C577" s="453" t="str">
        <f>VLOOKUP(B577,'DER 10-18'!$A:$E,3,FALSE)</f>
        <v>M3</v>
      </c>
      <c r="D577" s="454">
        <f>TRUNC(VLOOKUP(B577,'DER 10-18'!$A:$F,6,FALSE)/(1+$I$4),2)</f>
        <v>523.20000000000005</v>
      </c>
      <c r="E577" s="455"/>
      <c r="F577" s="456"/>
      <c r="G577" s="457">
        <v>5.4249999999999998</v>
      </c>
      <c r="H577" s="458"/>
      <c r="I577" s="459">
        <f>TRUNC(D577*G577,2)</f>
        <v>2838.36</v>
      </c>
      <c r="J577" s="451"/>
      <c r="K577" s="451"/>
      <c r="L577" s="198"/>
      <c r="M577" s="198"/>
      <c r="N577" s="198"/>
      <c r="O577" s="198"/>
      <c r="P577" s="198"/>
      <c r="Q577" s="198"/>
    </row>
    <row r="578" spans="1:17" ht="45" x14ac:dyDescent="0.2">
      <c r="A578" s="452" t="str">
        <f>VLOOKUP(B578,'DER 10-18'!$A:$E,2,FALSE)</f>
        <v>Formas planas de madeira com 01 (um) reaproveitamento, inclusive fornecimento e transporte das madeiras</v>
      </c>
      <c r="B578" s="453">
        <v>40311</v>
      </c>
      <c r="C578" s="453" t="str">
        <f>VLOOKUP(B578,'DER 10-18'!$A:$E,3,FALSE)</f>
        <v>M2</v>
      </c>
      <c r="D578" s="454">
        <f>TRUNC(VLOOKUP(B578,'DER 10-18'!$A:$F,6,FALSE)/(1+$I$4),2)</f>
        <v>90.18</v>
      </c>
      <c r="E578" s="455"/>
      <c r="F578" s="456"/>
      <c r="G578" s="457">
        <v>41.75</v>
      </c>
      <c r="H578" s="458"/>
      <c r="I578" s="459">
        <f>TRUNC(D578*G578,2)</f>
        <v>3765.01</v>
      </c>
      <c r="J578" s="451"/>
      <c r="K578" s="451"/>
      <c r="L578" s="198"/>
      <c r="M578" s="198"/>
      <c r="N578" s="198"/>
      <c r="O578" s="198"/>
      <c r="P578" s="198"/>
      <c r="Q578" s="198"/>
    </row>
    <row r="579" spans="1:17" x14ac:dyDescent="0.2">
      <c r="A579" s="201"/>
      <c r="B579" s="271"/>
      <c r="C579" s="201"/>
      <c r="D579" s="201"/>
      <c r="E579" s="201"/>
      <c r="F579" s="272" t="s">
        <v>214</v>
      </c>
      <c r="G579" s="260"/>
      <c r="H579" s="273"/>
      <c r="I579" s="436">
        <f>SUM(I575:I578)</f>
        <v>10528.48</v>
      </c>
    </row>
    <row r="580" spans="1:17" x14ac:dyDescent="0.2">
      <c r="A580" s="201"/>
      <c r="B580" s="271"/>
      <c r="C580" s="201"/>
      <c r="D580" s="201"/>
      <c r="E580" s="201"/>
      <c r="F580" s="201"/>
      <c r="G580" s="201"/>
      <c r="H580" s="201"/>
      <c r="I580" s="201"/>
    </row>
    <row r="581" spans="1:17" x14ac:dyDescent="0.2">
      <c r="A581" s="442" t="s">
        <v>215</v>
      </c>
      <c r="B581" s="275" t="s">
        <v>60</v>
      </c>
      <c r="C581" s="275" t="s">
        <v>211</v>
      </c>
      <c r="D581" s="275" t="s">
        <v>216</v>
      </c>
      <c r="E581" s="275" t="s">
        <v>217</v>
      </c>
      <c r="F581" s="275" t="s">
        <v>218</v>
      </c>
      <c r="G581" s="275" t="s">
        <v>96</v>
      </c>
      <c r="H581" s="275" t="s">
        <v>91</v>
      </c>
      <c r="I581" s="275" t="s">
        <v>219</v>
      </c>
    </row>
    <row r="582" spans="1:17" x14ac:dyDescent="0.2">
      <c r="A582" s="248"/>
      <c r="B582" s="238"/>
      <c r="C582" s="238"/>
      <c r="D582" s="276"/>
      <c r="E582" s="277"/>
      <c r="F582" s="277"/>
      <c r="G582" s="243"/>
      <c r="H582" s="278"/>
      <c r="I582" s="243"/>
    </row>
    <row r="583" spans="1:17" s="198" customFormat="1" x14ac:dyDescent="0.2">
      <c r="A583" s="201"/>
      <c r="B583" s="271"/>
      <c r="C583" s="201"/>
      <c r="D583" s="201"/>
      <c r="E583" s="201"/>
      <c r="F583" s="272" t="s">
        <v>220</v>
      </c>
      <c r="G583" s="244"/>
      <c r="H583" s="279"/>
      <c r="I583" s="438">
        <f>SUM(I582:I582)</f>
        <v>0</v>
      </c>
      <c r="J583" s="433"/>
      <c r="K583" s="433"/>
      <c r="L583" s="302"/>
      <c r="M583" s="302"/>
      <c r="N583" s="302"/>
      <c r="O583" s="302"/>
      <c r="P583" s="302"/>
      <c r="Q583" s="302"/>
    </row>
    <row r="584" spans="1:17" x14ac:dyDescent="0.2">
      <c r="A584" s="201"/>
      <c r="B584" s="271"/>
      <c r="C584" s="201"/>
      <c r="D584" s="201"/>
      <c r="E584" s="201"/>
      <c r="F584" s="201"/>
      <c r="G584" s="201"/>
      <c r="H584" s="201"/>
      <c r="I584" s="202"/>
    </row>
    <row r="585" spans="1:17" x14ac:dyDescent="0.2">
      <c r="A585" s="280"/>
      <c r="B585" s="281"/>
      <c r="C585" s="282"/>
      <c r="D585" s="282"/>
      <c r="E585" s="282"/>
      <c r="F585" s="283" t="s">
        <v>221</v>
      </c>
      <c r="G585" s="280"/>
      <c r="H585" s="254"/>
      <c r="I585" s="634">
        <f>+I568+I572+I579+I583</f>
        <v>10809.5</v>
      </c>
    </row>
    <row r="586" spans="1:17" x14ac:dyDescent="0.2">
      <c r="A586" s="260"/>
      <c r="B586" s="284"/>
      <c r="C586" s="273"/>
      <c r="D586" s="273"/>
      <c r="E586" s="273"/>
      <c r="F586" s="285" t="str">
        <f>CONCATENATE($H$3," ",$I$3)</f>
        <v>BDI: 23,32</v>
      </c>
      <c r="G586" s="439"/>
      <c r="H586" s="258"/>
      <c r="I586" s="635">
        <f>+ROUND(I585*$I$4,2)</f>
        <v>2520.7800000000002</v>
      </c>
    </row>
    <row r="587" spans="1:17" x14ac:dyDescent="0.2">
      <c r="A587" s="244"/>
      <c r="B587" s="286"/>
      <c r="C587" s="279"/>
      <c r="D587" s="279"/>
      <c r="E587" s="279"/>
      <c r="F587" s="287" t="s">
        <v>222</v>
      </c>
      <c r="G587" s="440"/>
      <c r="H587" s="245"/>
      <c r="I587" s="1017">
        <f>+I585+I586</f>
        <v>13330.28</v>
      </c>
    </row>
    <row r="588" spans="1:17" x14ac:dyDescent="0.2">
      <c r="A588" s="1286" t="str">
        <f>$A$1</f>
        <v>COMPOSIÇÃO DE CUSTOS UNITÁRIOS</v>
      </c>
      <c r="B588" s="1286"/>
      <c r="C588" s="1286"/>
      <c r="D588" s="1286"/>
      <c r="E588" s="1286"/>
      <c r="F588" s="1286"/>
      <c r="G588" s="1286"/>
      <c r="H588" s="1286"/>
      <c r="I588" s="1286"/>
      <c r="J588" s="451"/>
      <c r="K588" s="451"/>
      <c r="L588" s="198"/>
      <c r="M588" s="198"/>
      <c r="N588" s="198"/>
      <c r="O588" s="198"/>
      <c r="P588" s="198"/>
      <c r="Q588" s="198"/>
    </row>
    <row r="589" spans="1:17" x14ac:dyDescent="0.2">
      <c r="A589" s="447" t="str">
        <f>$A$2</f>
        <v>Tabela Referencial de Preços - DER-ES</v>
      </c>
      <c r="B589" s="448"/>
      <c r="C589" s="449"/>
      <c r="D589" s="449"/>
      <c r="E589" s="449"/>
      <c r="F589" s="449"/>
      <c r="G589" s="449"/>
      <c r="H589" s="449"/>
      <c r="I589" s="450" t="str">
        <f>$I$2</f>
        <v>Data Base: Outubro/2018</v>
      </c>
      <c r="J589" s="451"/>
      <c r="K589" s="451"/>
      <c r="L589" s="198"/>
      <c r="M589" s="198"/>
      <c r="N589" s="198"/>
      <c r="O589" s="198"/>
      <c r="P589" s="198"/>
      <c r="Q589" s="198"/>
    </row>
    <row r="590" spans="1:17" x14ac:dyDescent="0.2">
      <c r="A590" s="1287" t="str">
        <f>+CONCATENATE("Serviço: ",J590," ",VLOOKUP(J590,'DER 10-18'!$A:$D,2,FALSE))</f>
        <v>Serviço: 40614 Boca de BSCC 2,00 x 2,00 m projeto DNIT</v>
      </c>
      <c r="B590" s="1287"/>
      <c r="C590" s="1287"/>
      <c r="D590" s="1287"/>
      <c r="E590" s="1287"/>
      <c r="F590" s="1287"/>
      <c r="G590" s="1287"/>
      <c r="H590" s="1287"/>
      <c r="I590" s="1287" t="str">
        <f>CONCATENATE("Unidade: ", VLOOKUP(J590,'DER 10-18'!$A:$E,3,FALSE))</f>
        <v>Unidade: Ud</v>
      </c>
      <c r="J590" s="451">
        <v>40614</v>
      </c>
      <c r="K590" s="451">
        <f>VLOOKUP("Preço Unitário Total",F591:I4197,4,FALSE)</f>
        <v>20413.439999999999</v>
      </c>
      <c r="L590" s="198">
        <f>VLOOKUP(J590,'DER 10-18'!A:E,5,FALSE)</f>
        <v>0</v>
      </c>
      <c r="M590" s="198" t="str">
        <f>VLOOKUP(J590,'DER 10-18'!$A:$D,2,FALSE)</f>
        <v>Boca de BSCC 2,00 x 2,00 m projeto DNIT</v>
      </c>
      <c r="N590" s="198"/>
      <c r="O590" s="198"/>
      <c r="P590" s="198"/>
      <c r="Q590" s="198"/>
    </row>
    <row r="591" spans="1:17" x14ac:dyDescent="0.2">
      <c r="A591" s="1288"/>
      <c r="B591" s="1288"/>
      <c r="C591" s="1288"/>
      <c r="D591" s="1288"/>
      <c r="E591" s="1288"/>
      <c r="F591" s="1288"/>
      <c r="G591" s="1288"/>
      <c r="H591" s="1288"/>
      <c r="I591" s="1288"/>
      <c r="J591" s="451"/>
      <c r="K591" s="451"/>
      <c r="L591" s="198"/>
      <c r="M591" s="198"/>
      <c r="N591" s="198"/>
      <c r="O591" s="198"/>
      <c r="P591" s="198"/>
      <c r="Q591" s="198"/>
    </row>
    <row r="592" spans="1:17" ht="22.5" x14ac:dyDescent="0.2">
      <c r="A592" s="235" t="s">
        <v>192</v>
      </c>
      <c r="B592" s="236" t="s">
        <v>60</v>
      </c>
      <c r="C592" s="236" t="s">
        <v>193</v>
      </c>
      <c r="D592" s="236" t="s">
        <v>194</v>
      </c>
      <c r="E592" s="236" t="s">
        <v>195</v>
      </c>
      <c r="F592" s="236" t="s">
        <v>196</v>
      </c>
      <c r="G592" s="236" t="s">
        <v>197</v>
      </c>
      <c r="H592" s="236" t="s">
        <v>91</v>
      </c>
      <c r="I592" s="236" t="s">
        <v>198</v>
      </c>
    </row>
    <row r="593" spans="1:17" ht="22.5" x14ac:dyDescent="0.2">
      <c r="A593" s="509" t="str">
        <f>VLOOKUP(B593,equip.!$A:$G,2,FALSE)</f>
        <v>Caminhão carroceria 815/37 PBT=8,3t (TOCO 4,0t)</v>
      </c>
      <c r="B593" s="453">
        <v>30004</v>
      </c>
      <c r="C593" s="460" t="str">
        <f>VLOOKUP(B593,equip.!$A$1:$G$239,3,FALSE)</f>
        <v>M</v>
      </c>
      <c r="D593" s="514">
        <v>1</v>
      </c>
      <c r="E593" s="515">
        <v>0</v>
      </c>
      <c r="F593" s="516">
        <f>VLOOKUP(B593,equip.!$A:$G,6,FALSE)</f>
        <v>140.51</v>
      </c>
      <c r="G593" s="516">
        <f>VLOOKUP(B593,equip.!$A:$G,7,FALSE)</f>
        <v>37.26</v>
      </c>
      <c r="H593" s="517">
        <v>3</v>
      </c>
      <c r="I593" s="454">
        <f>TRUNC(D593*F593*H593+E593*G593*H593,2)</f>
        <v>421.53</v>
      </c>
      <c r="J593" s="534"/>
      <c r="K593" s="198"/>
      <c r="L593" s="198"/>
      <c r="M593" s="198"/>
      <c r="N593" s="198"/>
      <c r="O593" s="198"/>
      <c r="P593" s="198"/>
      <c r="Q593" s="198"/>
    </row>
    <row r="594" spans="1:17" x14ac:dyDescent="0.2">
      <c r="A594" s="199"/>
      <c r="B594" s="233"/>
      <c r="C594" s="233"/>
      <c r="D594" s="199"/>
      <c r="E594" s="199"/>
      <c r="F594" s="234" t="s">
        <v>199</v>
      </c>
      <c r="G594" s="244"/>
      <c r="H594" s="245"/>
      <c r="I594" s="434">
        <f>SUM(I593:I593)</f>
        <v>421.53</v>
      </c>
      <c r="J594" s="302"/>
      <c r="K594" s="302"/>
    </row>
    <row r="595" spans="1:17" x14ac:dyDescent="0.2">
      <c r="A595" s="199"/>
      <c r="B595" s="233"/>
      <c r="C595" s="233"/>
      <c r="D595" s="199"/>
      <c r="E595" s="199"/>
      <c r="F595" s="199"/>
      <c r="G595" s="199"/>
      <c r="H595" s="199"/>
      <c r="I595" s="200"/>
      <c r="J595" s="302"/>
      <c r="K595" s="302"/>
    </row>
    <row r="596" spans="1:17" x14ac:dyDescent="0.2">
      <c r="A596" s="246" t="s">
        <v>200</v>
      </c>
      <c r="B596" s="247" t="s">
        <v>60</v>
      </c>
      <c r="C596" s="236" t="s">
        <v>1242</v>
      </c>
      <c r="D596" s="247" t="s">
        <v>202</v>
      </c>
      <c r="E596" s="1276" t="s">
        <v>91</v>
      </c>
      <c r="F596" s="1274"/>
      <c r="G596" s="1275"/>
      <c r="H596" s="1276" t="s">
        <v>198</v>
      </c>
      <c r="I596" s="1275"/>
      <c r="J596" s="302"/>
      <c r="K596" s="302"/>
    </row>
    <row r="597" spans="1:17" x14ac:dyDescent="0.2">
      <c r="A597" s="248"/>
      <c r="B597" s="238"/>
      <c r="C597" s="243"/>
      <c r="D597" s="243"/>
      <c r="E597" s="260"/>
      <c r="F597" s="258"/>
      <c r="G597" s="300"/>
      <c r="H597" s="244"/>
      <c r="I597" s="249"/>
      <c r="J597" s="302"/>
      <c r="K597" s="302"/>
    </row>
    <row r="598" spans="1:17" x14ac:dyDescent="0.2">
      <c r="A598" s="199"/>
      <c r="B598" s="233"/>
      <c r="C598" s="233"/>
      <c r="D598" s="199"/>
      <c r="E598" s="199"/>
      <c r="F598" s="234" t="s">
        <v>203</v>
      </c>
      <c r="G598" s="244"/>
      <c r="H598" s="245"/>
      <c r="I598" s="434">
        <f>SUM(I597:I597)</f>
        <v>0</v>
      </c>
      <c r="J598" s="302"/>
      <c r="K598" s="302"/>
    </row>
    <row r="599" spans="1:17" x14ac:dyDescent="0.2">
      <c r="A599" s="199"/>
      <c r="B599" s="233"/>
      <c r="C599" s="233"/>
      <c r="D599" s="199"/>
      <c r="E599" s="199"/>
      <c r="F599" s="199"/>
      <c r="G599" s="199"/>
      <c r="H599" s="199"/>
      <c r="I599" s="200"/>
      <c r="J599" s="302"/>
      <c r="K599" s="302"/>
    </row>
    <row r="600" spans="1:17" x14ac:dyDescent="0.2">
      <c r="A600" s="270" t="s">
        <v>204</v>
      </c>
      <c r="B600" s="247" t="s">
        <v>60</v>
      </c>
      <c r="C600" s="866" t="s">
        <v>17</v>
      </c>
      <c r="D600" s="247" t="s">
        <v>205</v>
      </c>
      <c r="E600" s="247" t="s">
        <v>206</v>
      </c>
      <c r="F600" s="247" t="s">
        <v>207</v>
      </c>
      <c r="G600" s="1276" t="s">
        <v>96</v>
      </c>
      <c r="H600" s="1274"/>
      <c r="I600" s="1275"/>
      <c r="J600" s="302"/>
      <c r="K600" s="302"/>
    </row>
    <row r="601" spans="1:17" x14ac:dyDescent="0.2">
      <c r="A601" s="248"/>
      <c r="B601" s="238"/>
      <c r="C601" s="243"/>
      <c r="D601" s="239"/>
      <c r="E601" s="251"/>
      <c r="F601" s="251"/>
      <c r="G601" s="244"/>
      <c r="H601" s="245"/>
      <c r="I601" s="249"/>
      <c r="J601" s="302"/>
      <c r="K601" s="302"/>
    </row>
    <row r="602" spans="1:17" x14ac:dyDescent="0.2">
      <c r="A602" s="199"/>
      <c r="B602" s="233"/>
      <c r="C602" s="199"/>
      <c r="D602" s="199"/>
      <c r="E602" s="199"/>
      <c r="F602" s="234" t="s">
        <v>1170</v>
      </c>
      <c r="G602" s="244"/>
      <c r="H602" s="245"/>
      <c r="I602" s="434">
        <f>SUM(I601)</f>
        <v>0</v>
      </c>
      <c r="J602" s="302"/>
      <c r="K602" s="302"/>
    </row>
    <row r="603" spans="1:17" x14ac:dyDescent="0.2">
      <c r="A603" s="199"/>
      <c r="B603" s="233"/>
      <c r="C603" s="199"/>
      <c r="D603" s="199"/>
      <c r="E603" s="199"/>
      <c r="F603" s="199"/>
      <c r="G603" s="199"/>
      <c r="H603" s="199"/>
      <c r="I603" s="200"/>
      <c r="J603" s="302"/>
      <c r="K603" s="302"/>
    </row>
    <row r="604" spans="1:17" x14ac:dyDescent="0.2">
      <c r="A604" s="252"/>
      <c r="B604" s="253"/>
      <c r="C604" s="254"/>
      <c r="D604" s="254"/>
      <c r="E604" s="254"/>
      <c r="F604" s="255" t="s">
        <v>208</v>
      </c>
      <c r="G604" s="435"/>
      <c r="H604" s="254"/>
      <c r="I604" s="634">
        <f>+I594+I598+I602</f>
        <v>421.53</v>
      </c>
      <c r="J604" s="302"/>
      <c r="K604" s="302"/>
    </row>
    <row r="605" spans="1:17" x14ac:dyDescent="0.2">
      <c r="A605" s="256"/>
      <c r="B605" s="257"/>
      <c r="C605" s="258"/>
      <c r="D605" s="258"/>
      <c r="E605" s="258"/>
      <c r="F605" s="259" t="s">
        <v>209</v>
      </c>
      <c r="G605" s="260"/>
      <c r="H605" s="258"/>
      <c r="I605" s="635">
        <v>1</v>
      </c>
      <c r="J605" s="302"/>
      <c r="K605" s="302"/>
    </row>
    <row r="606" spans="1:17" x14ac:dyDescent="0.2">
      <c r="A606" s="237"/>
      <c r="B606" s="261"/>
      <c r="C606" s="245"/>
      <c r="D606" s="245"/>
      <c r="E606" s="245"/>
      <c r="F606" s="262" t="s">
        <v>232</v>
      </c>
      <c r="G606" s="244"/>
      <c r="H606" s="245"/>
      <c r="I606" s="633">
        <f>TRUNC(I604/I605,2)</f>
        <v>421.53</v>
      </c>
      <c r="J606" s="302"/>
      <c r="K606" s="302"/>
    </row>
    <row r="607" spans="1:17" x14ac:dyDescent="0.2">
      <c r="A607" s="867"/>
      <c r="B607" s="233"/>
      <c r="C607" s="199"/>
      <c r="D607" s="199"/>
      <c r="E607" s="199"/>
      <c r="F607" s="263"/>
      <c r="G607" s="199"/>
      <c r="H607" s="199"/>
      <c r="I607" s="264"/>
      <c r="J607" s="302"/>
      <c r="K607" s="302"/>
    </row>
    <row r="608" spans="1:17" x14ac:dyDescent="0.2">
      <c r="A608" s="246" t="s">
        <v>210</v>
      </c>
      <c r="B608" s="247" t="s">
        <v>60</v>
      </c>
      <c r="C608" s="247" t="s">
        <v>211</v>
      </c>
      <c r="D608" s="247" t="s">
        <v>233</v>
      </c>
      <c r="E608" s="1276" t="s">
        <v>91</v>
      </c>
      <c r="F608" s="1274"/>
      <c r="G608" s="1275"/>
      <c r="H608" s="1276" t="s">
        <v>198</v>
      </c>
      <c r="I608" s="1275"/>
      <c r="J608" s="302"/>
      <c r="K608" s="302"/>
    </row>
    <row r="609" spans="1:17" x14ac:dyDescent="0.2">
      <c r="A609" s="265"/>
      <c r="B609" s="238"/>
      <c r="C609" s="266"/>
      <c r="D609" s="267"/>
      <c r="E609" s="260"/>
      <c r="F609" s="258"/>
      <c r="G609" s="300"/>
      <c r="H609" s="260"/>
      <c r="I609" s="268"/>
    </row>
    <row r="610" spans="1:17" x14ac:dyDescent="0.2">
      <c r="A610" s="199"/>
      <c r="B610" s="233"/>
      <c r="C610" s="199"/>
      <c r="D610" s="199"/>
      <c r="E610" s="199"/>
      <c r="F610" s="234" t="s">
        <v>212</v>
      </c>
      <c r="G610" s="244"/>
      <c r="H610" s="245"/>
      <c r="I610" s="434">
        <f>SUM(I609:I609)</f>
        <v>0</v>
      </c>
    </row>
    <row r="611" spans="1:17" x14ac:dyDescent="0.2">
      <c r="A611" s="199"/>
      <c r="B611" s="233"/>
      <c r="C611" s="199"/>
      <c r="D611" s="199"/>
      <c r="E611" s="199"/>
      <c r="F611" s="199"/>
      <c r="G611" s="269"/>
      <c r="H611" s="199"/>
      <c r="I611" s="200"/>
    </row>
    <row r="612" spans="1:17" x14ac:dyDescent="0.2">
      <c r="A612" s="270" t="s">
        <v>213</v>
      </c>
      <c r="B612" s="247" t="s">
        <v>60</v>
      </c>
      <c r="C612" s="247" t="s">
        <v>211</v>
      </c>
      <c r="D612" s="866" t="s">
        <v>233</v>
      </c>
      <c r="E612" s="1276" t="s">
        <v>91</v>
      </c>
      <c r="F612" s="1274"/>
      <c r="G612" s="1275"/>
      <c r="H612" s="1276" t="s">
        <v>198</v>
      </c>
      <c r="I612" s="1275"/>
    </row>
    <row r="613" spans="1:17" ht="33.75" x14ac:dyDescent="0.2">
      <c r="A613" s="452" t="str">
        <f>VLOOKUP(B613,'DER 10-18'!$A:$E,2,FALSE)</f>
        <v>Aço CA-50, fornecimento, dobragem e colocação nas formas (preço médio das bitolas)</v>
      </c>
      <c r="B613" s="453">
        <v>40376</v>
      </c>
      <c r="C613" s="453" t="str">
        <f>VLOOKUP(B613,'DER 10-18'!$A:$E,3,FALSE)</f>
        <v>kg</v>
      </c>
      <c r="D613" s="454">
        <f>TRUNC(VLOOKUP(B613,'DER 10-18'!$A:$F,6,FALSE)/(1+$I$4),2)</f>
        <v>7.89</v>
      </c>
      <c r="E613" s="455"/>
      <c r="F613" s="456"/>
      <c r="G613" s="457">
        <v>637.5</v>
      </c>
      <c r="H613" s="458"/>
      <c r="I613" s="459">
        <f>TRUNC(D613*G613,2)</f>
        <v>5029.87</v>
      </c>
    </row>
    <row r="614" spans="1:17" ht="22.5" x14ac:dyDescent="0.2">
      <c r="A614" s="452" t="str">
        <f>VLOOKUP(B614,'DER 10-18'!$A:$E,2,FALSE)</f>
        <v>Concreto de regularização, tudo incluído</v>
      </c>
      <c r="B614" s="453">
        <v>40349</v>
      </c>
      <c r="C614" s="453" t="str">
        <f>VLOOKUP(B614,'DER 10-18'!$A:$E,3,FALSE)</f>
        <v>M3</v>
      </c>
      <c r="D614" s="454">
        <f>TRUNC(VLOOKUP(B614,'DER 10-18'!$A:$F,6,FALSE)/(1+$I$4),2)</f>
        <v>423.65</v>
      </c>
      <c r="E614" s="455"/>
      <c r="F614" s="456"/>
      <c r="G614" s="457">
        <v>3.15</v>
      </c>
      <c r="H614" s="458"/>
      <c r="I614" s="459">
        <f>TRUNC(D614*G614,2)</f>
        <v>1334.49</v>
      </c>
    </row>
    <row r="615" spans="1:17" ht="22.5" x14ac:dyDescent="0.2">
      <c r="A615" s="452" t="str">
        <f>VLOOKUP(B615,'DER 10-18'!$A:$E,2,FALSE)</f>
        <v>Concreto estrutural fck = 15,0 MPa, tudo incluído</v>
      </c>
      <c r="B615" s="453">
        <v>40358</v>
      </c>
      <c r="C615" s="453" t="str">
        <f>VLOOKUP(B615,'DER 10-18'!$A:$E,3,FALSE)</f>
        <v>M3</v>
      </c>
      <c r="D615" s="454">
        <f>TRUNC(VLOOKUP(B615,'DER 10-18'!$A:$F,6,FALSE)/(1+$I$4),2)</f>
        <v>523.20000000000005</v>
      </c>
      <c r="E615" s="455"/>
      <c r="F615" s="456"/>
      <c r="G615" s="457">
        <v>8.93</v>
      </c>
      <c r="H615" s="458"/>
      <c r="I615" s="459">
        <f>TRUNC(D615*G615,2)</f>
        <v>4672.17</v>
      </c>
      <c r="J615" s="451"/>
      <c r="K615" s="451"/>
      <c r="L615" s="198"/>
      <c r="M615" s="198"/>
      <c r="N615" s="198"/>
      <c r="O615" s="198"/>
      <c r="P615" s="198"/>
      <c r="Q615" s="198"/>
    </row>
    <row r="616" spans="1:17" ht="45" x14ac:dyDescent="0.2">
      <c r="A616" s="452" t="str">
        <f>VLOOKUP(B616,'DER 10-18'!$A:$E,2,FALSE)</f>
        <v>Formas planas de madeira com 01 (um) reaproveitamento, inclusive fornecimento e transporte das madeiras</v>
      </c>
      <c r="B616" s="453">
        <v>40311</v>
      </c>
      <c r="C616" s="453" t="str">
        <f>VLOOKUP(B616,'DER 10-18'!$A:$E,3,FALSE)</f>
        <v>M2</v>
      </c>
      <c r="D616" s="454">
        <f>TRUNC(VLOOKUP(B616,'DER 10-18'!$A:$F,6,FALSE)/(1+$I$4),2)</f>
        <v>90.18</v>
      </c>
      <c r="E616" s="455"/>
      <c r="F616" s="456"/>
      <c r="G616" s="457">
        <v>56.5</v>
      </c>
      <c r="H616" s="458"/>
      <c r="I616" s="459">
        <f>TRUNC(D616*G616,2)</f>
        <v>5095.17</v>
      </c>
      <c r="J616" s="451"/>
      <c r="K616" s="451"/>
      <c r="L616" s="198"/>
      <c r="M616" s="198"/>
      <c r="N616" s="198"/>
      <c r="O616" s="198"/>
      <c r="P616" s="198"/>
      <c r="Q616" s="198"/>
    </row>
    <row r="617" spans="1:17" x14ac:dyDescent="0.2">
      <c r="A617" s="201"/>
      <c r="B617" s="271"/>
      <c r="C617" s="201"/>
      <c r="D617" s="201"/>
      <c r="E617" s="201"/>
      <c r="F617" s="272" t="s">
        <v>214</v>
      </c>
      <c r="G617" s="260"/>
      <c r="H617" s="273"/>
      <c r="I617" s="436">
        <f>SUM(I613:I616)</f>
        <v>16131.7</v>
      </c>
    </row>
    <row r="618" spans="1:17" x14ac:dyDescent="0.2">
      <c r="A618" s="201"/>
      <c r="B618" s="271"/>
      <c r="C618" s="201"/>
      <c r="D618" s="201"/>
      <c r="E618" s="201"/>
      <c r="F618" s="201"/>
      <c r="G618" s="201"/>
      <c r="H618" s="201"/>
      <c r="I618" s="201"/>
    </row>
    <row r="619" spans="1:17" x14ac:dyDescent="0.2">
      <c r="A619" s="442" t="s">
        <v>215</v>
      </c>
      <c r="B619" s="275" t="s">
        <v>60</v>
      </c>
      <c r="C619" s="275" t="s">
        <v>211</v>
      </c>
      <c r="D619" s="275" t="s">
        <v>216</v>
      </c>
      <c r="E619" s="275" t="s">
        <v>217</v>
      </c>
      <c r="F619" s="275" t="s">
        <v>218</v>
      </c>
      <c r="G619" s="275" t="s">
        <v>96</v>
      </c>
      <c r="H619" s="275" t="s">
        <v>91</v>
      </c>
      <c r="I619" s="275" t="s">
        <v>219</v>
      </c>
    </row>
    <row r="620" spans="1:17" s="198" customFormat="1" x14ac:dyDescent="0.2">
      <c r="A620" s="248"/>
      <c r="B620" s="238"/>
      <c r="C620" s="238"/>
      <c r="D620" s="276"/>
      <c r="E620" s="277"/>
      <c r="F620" s="277"/>
      <c r="G620" s="243"/>
      <c r="H620" s="278"/>
      <c r="I620" s="243"/>
      <c r="J620" s="433"/>
      <c r="K620" s="433"/>
      <c r="L620" s="302"/>
      <c r="M620" s="302"/>
      <c r="N620" s="302"/>
      <c r="O620" s="302"/>
      <c r="P620" s="302"/>
      <c r="Q620" s="302"/>
    </row>
    <row r="621" spans="1:17" s="198" customFormat="1" x14ac:dyDescent="0.2">
      <c r="A621" s="201"/>
      <c r="B621" s="271"/>
      <c r="C621" s="201"/>
      <c r="D621" s="201"/>
      <c r="E621" s="201"/>
      <c r="F621" s="272" t="s">
        <v>220</v>
      </c>
      <c r="G621" s="244"/>
      <c r="H621" s="279"/>
      <c r="I621" s="438">
        <f>SUM(I620:I620)</f>
        <v>0</v>
      </c>
      <c r="J621" s="433"/>
      <c r="K621" s="433"/>
      <c r="L621" s="302"/>
      <c r="M621" s="302"/>
      <c r="N621" s="302"/>
      <c r="O621" s="302"/>
      <c r="P621" s="302"/>
      <c r="Q621" s="302"/>
    </row>
    <row r="622" spans="1:17" s="198" customFormat="1" x14ac:dyDescent="0.2">
      <c r="A622" s="201"/>
      <c r="B622" s="271"/>
      <c r="C622" s="201"/>
      <c r="D622" s="201"/>
      <c r="E622" s="201"/>
      <c r="F622" s="201"/>
      <c r="G622" s="201"/>
      <c r="H622" s="201"/>
      <c r="I622" s="202"/>
      <c r="J622" s="433"/>
      <c r="K622" s="433"/>
      <c r="L622" s="302"/>
      <c r="M622" s="302"/>
      <c r="N622" s="302"/>
      <c r="O622" s="302"/>
      <c r="P622" s="302"/>
      <c r="Q622" s="302"/>
    </row>
    <row r="623" spans="1:17" x14ac:dyDescent="0.2">
      <c r="A623" s="280"/>
      <c r="B623" s="281"/>
      <c r="C623" s="282"/>
      <c r="D623" s="282"/>
      <c r="E623" s="282"/>
      <c r="F623" s="283" t="s">
        <v>221</v>
      </c>
      <c r="G623" s="280"/>
      <c r="H623" s="254"/>
      <c r="I623" s="634">
        <f>+I606+I610+I617+I621</f>
        <v>16553.23</v>
      </c>
    </row>
    <row r="624" spans="1:17" x14ac:dyDescent="0.2">
      <c r="A624" s="260"/>
      <c r="B624" s="284"/>
      <c r="C624" s="273"/>
      <c r="D624" s="273"/>
      <c r="E624" s="273"/>
      <c r="F624" s="285" t="str">
        <f>CONCATENATE($H$3," ",$I$3)</f>
        <v>BDI: 23,32</v>
      </c>
      <c r="G624" s="439"/>
      <c r="H624" s="258"/>
      <c r="I624" s="635">
        <f>+ROUND(I623*$I$4,2)</f>
        <v>3860.21</v>
      </c>
    </row>
    <row r="625" spans="1:13" x14ac:dyDescent="0.2">
      <c r="A625" s="244"/>
      <c r="B625" s="286"/>
      <c r="C625" s="279"/>
      <c r="D625" s="279"/>
      <c r="E625" s="279"/>
      <c r="F625" s="287" t="s">
        <v>222</v>
      </c>
      <c r="G625" s="440"/>
      <c r="H625" s="245"/>
      <c r="I625" s="1017">
        <f>+I623+I624</f>
        <v>20413.439999999999</v>
      </c>
    </row>
    <row r="626" spans="1:13" x14ac:dyDescent="0.2">
      <c r="A626" s="1277" t="str">
        <f>$A$1</f>
        <v>COMPOSIÇÃO DE CUSTOS UNITÁRIOS</v>
      </c>
      <c r="B626" s="1277"/>
      <c r="C626" s="1277"/>
      <c r="D626" s="1277"/>
      <c r="E626" s="1277"/>
      <c r="F626" s="1277"/>
      <c r="G626" s="1277"/>
      <c r="H626" s="1277"/>
      <c r="I626" s="1277"/>
    </row>
    <row r="627" spans="1:13" x14ac:dyDescent="0.2">
      <c r="A627" s="232" t="str">
        <f>$A$2</f>
        <v>Tabela Referencial de Preços - DER-ES</v>
      </c>
      <c r="B627" s="233"/>
      <c r="C627" s="199"/>
      <c r="D627" s="199"/>
      <c r="E627" s="199"/>
      <c r="F627" s="199"/>
      <c r="G627" s="199"/>
      <c r="H627" s="199"/>
      <c r="I627" s="234" t="str">
        <f>$I$2</f>
        <v>Data Base: Outubro/2018</v>
      </c>
    </row>
    <row r="628" spans="1:13" x14ac:dyDescent="0.2">
      <c r="A628" s="1278" t="str">
        <f>+CONCATENATE("Serviço: ",J628," ",VLOOKUP(J628,'DER 10-18'!$A:$D,2,FALSE))</f>
        <v>Serviço: 40673 Entrada para descida d'água EDA-01</v>
      </c>
      <c r="B628" s="1278"/>
      <c r="C628" s="1278"/>
      <c r="D628" s="1278"/>
      <c r="E628" s="1278"/>
      <c r="F628" s="1278"/>
      <c r="G628" s="1278"/>
      <c r="H628" s="1278"/>
      <c r="I628" s="1278" t="str">
        <f>CONCATENATE("Unidade: ", VLOOKUP(J628,'DER 10-18'!$A:$E,3,FALSE))</f>
        <v>Unidade: Ud</v>
      </c>
      <c r="J628" s="433">
        <v>40673</v>
      </c>
      <c r="K628" s="433">
        <f>VLOOKUP("Preço Unitário Total",F629:I2895,4,FALSE)</f>
        <v>81.88</v>
      </c>
      <c r="L628" s="302">
        <f>VLOOKUP(J628,'DER 10-18'!A:E,5,FALSE)</f>
        <v>0</v>
      </c>
      <c r="M628" s="302" t="str">
        <f>VLOOKUP(J628,'DER 10-18'!$A:$D,2,FALSE)</f>
        <v>Entrada para descida d'água EDA-01</v>
      </c>
    </row>
    <row r="629" spans="1:13" x14ac:dyDescent="0.2">
      <c r="A629" s="1279"/>
      <c r="B629" s="1279"/>
      <c r="C629" s="1279"/>
      <c r="D629" s="1279"/>
      <c r="E629" s="1279"/>
      <c r="F629" s="1279"/>
      <c r="G629" s="1279"/>
      <c r="H629" s="1279"/>
      <c r="I629" s="1279"/>
    </row>
    <row r="630" spans="1:13" ht="22.5" x14ac:dyDescent="0.2">
      <c r="A630" s="235" t="s">
        <v>192</v>
      </c>
      <c r="B630" s="236" t="s">
        <v>60</v>
      </c>
      <c r="C630" s="236" t="s">
        <v>193</v>
      </c>
      <c r="D630" s="236" t="s">
        <v>194</v>
      </c>
      <c r="E630" s="236" t="s">
        <v>195</v>
      </c>
      <c r="F630" s="236" t="s">
        <v>196</v>
      </c>
      <c r="G630" s="236" t="s">
        <v>197</v>
      </c>
      <c r="H630" s="236" t="s">
        <v>91</v>
      </c>
      <c r="I630" s="236" t="s">
        <v>198</v>
      </c>
    </row>
    <row r="631" spans="1:13" x14ac:dyDescent="0.2">
      <c r="A631" s="237"/>
      <c r="B631" s="238"/>
      <c r="C631" s="239"/>
      <c r="D631" s="240"/>
      <c r="E631" s="205"/>
      <c r="F631" s="241"/>
      <c r="G631" s="241"/>
      <c r="H631" s="242"/>
      <c r="I631" s="243"/>
    </row>
    <row r="632" spans="1:13" x14ac:dyDescent="0.2">
      <c r="A632" s="199"/>
      <c r="B632" s="233"/>
      <c r="C632" s="233"/>
      <c r="D632" s="199"/>
      <c r="E632" s="199"/>
      <c r="F632" s="234" t="s">
        <v>199</v>
      </c>
      <c r="G632" s="244"/>
      <c r="H632" s="245"/>
      <c r="I632" s="434">
        <f>SUM(I631:I631)</f>
        <v>0</v>
      </c>
    </row>
    <row r="633" spans="1:13" x14ac:dyDescent="0.2">
      <c r="A633" s="199"/>
      <c r="B633" s="233"/>
      <c r="C633" s="233"/>
      <c r="D633" s="199"/>
      <c r="E633" s="199"/>
      <c r="F633" s="199"/>
      <c r="G633" s="199"/>
      <c r="H633" s="199"/>
      <c r="I633" s="200"/>
    </row>
    <row r="634" spans="1:13" x14ac:dyDescent="0.2">
      <c r="A634" s="246" t="s">
        <v>200</v>
      </c>
      <c r="B634" s="247" t="s">
        <v>60</v>
      </c>
      <c r="C634" s="236" t="s">
        <v>1242</v>
      </c>
      <c r="D634" s="247" t="s">
        <v>202</v>
      </c>
      <c r="E634" s="1271" t="s">
        <v>91</v>
      </c>
      <c r="F634" s="1272"/>
      <c r="G634" s="1273"/>
      <c r="H634" s="1276" t="s">
        <v>198</v>
      </c>
      <c r="I634" s="1275"/>
    </row>
    <row r="635" spans="1:13" x14ac:dyDescent="0.2">
      <c r="A635" s="248"/>
      <c r="B635" s="238"/>
      <c r="C635" s="243"/>
      <c r="D635" s="243"/>
      <c r="E635" s="260"/>
      <c r="F635" s="258"/>
      <c r="G635" s="300"/>
      <c r="H635" s="244"/>
      <c r="I635" s="249">
        <f>TRUNC(D635*G635,2)</f>
        <v>0</v>
      </c>
      <c r="J635" s="302"/>
      <c r="K635" s="302"/>
    </row>
    <row r="636" spans="1:13" x14ac:dyDescent="0.2">
      <c r="A636" s="199"/>
      <c r="B636" s="233"/>
      <c r="C636" s="233"/>
      <c r="D636" s="199"/>
      <c r="E636" s="199"/>
      <c r="F636" s="234" t="s">
        <v>203</v>
      </c>
      <c r="G636" s="244"/>
      <c r="H636" s="245"/>
      <c r="I636" s="434">
        <f>SUM(I635:I635)</f>
        <v>0</v>
      </c>
      <c r="J636" s="302"/>
      <c r="K636" s="302"/>
    </row>
    <row r="637" spans="1:13" x14ac:dyDescent="0.2">
      <c r="A637" s="199"/>
      <c r="B637" s="233"/>
      <c r="C637" s="233"/>
      <c r="D637" s="199"/>
      <c r="E637" s="199"/>
      <c r="F637" s="199"/>
      <c r="G637" s="199"/>
      <c r="H637" s="199"/>
      <c r="I637" s="200"/>
      <c r="J637" s="302"/>
      <c r="K637" s="302"/>
    </row>
    <row r="638" spans="1:13" x14ac:dyDescent="0.2">
      <c r="A638" s="250" t="s">
        <v>204</v>
      </c>
      <c r="B638" s="247" t="s">
        <v>60</v>
      </c>
      <c r="C638" s="866" t="s">
        <v>17</v>
      </c>
      <c r="D638" s="247" t="s">
        <v>205</v>
      </c>
      <c r="E638" s="247" t="s">
        <v>206</v>
      </c>
      <c r="F638" s="247" t="s">
        <v>207</v>
      </c>
      <c r="G638" s="1276" t="s">
        <v>96</v>
      </c>
      <c r="H638" s="1274"/>
      <c r="I638" s="1275"/>
      <c r="J638" s="302"/>
      <c r="K638" s="302"/>
    </row>
    <row r="639" spans="1:13" x14ac:dyDescent="0.2">
      <c r="A639" s="248"/>
      <c r="B639" s="238"/>
      <c r="C639" s="243"/>
      <c r="D639" s="239"/>
      <c r="E639" s="251"/>
      <c r="F639" s="251"/>
      <c r="G639" s="244"/>
      <c r="H639" s="245"/>
      <c r="I639" s="249">
        <f>TRUNC(C639/100*I636,2)</f>
        <v>0</v>
      </c>
      <c r="J639" s="302"/>
      <c r="K639" s="302"/>
    </row>
    <row r="640" spans="1:13" x14ac:dyDescent="0.2">
      <c r="A640" s="199"/>
      <c r="B640" s="233"/>
      <c r="C640" s="199"/>
      <c r="D640" s="199"/>
      <c r="E640" s="199"/>
      <c r="F640" s="234" t="s">
        <v>1170</v>
      </c>
      <c r="G640" s="244"/>
      <c r="H640" s="245"/>
      <c r="I640" s="434">
        <f>SUM(I639)</f>
        <v>0</v>
      </c>
      <c r="J640" s="302"/>
      <c r="K640" s="302"/>
    </row>
    <row r="641" spans="1:17" x14ac:dyDescent="0.2">
      <c r="A641" s="199"/>
      <c r="B641" s="233"/>
      <c r="C641" s="199"/>
      <c r="D641" s="199"/>
      <c r="E641" s="199"/>
      <c r="F641" s="199"/>
      <c r="G641" s="199"/>
      <c r="H641" s="199"/>
      <c r="I641" s="200"/>
      <c r="J641" s="302"/>
      <c r="K641" s="302"/>
    </row>
    <row r="642" spans="1:17" x14ac:dyDescent="0.2">
      <c r="A642" s="252"/>
      <c r="B642" s="253"/>
      <c r="C642" s="254"/>
      <c r="D642" s="254"/>
      <c r="E642" s="254"/>
      <c r="F642" s="255" t="s">
        <v>208</v>
      </c>
      <c r="G642" s="435"/>
      <c r="H642" s="254"/>
      <c r="I642" s="634">
        <f>+I632+I636+I640</f>
        <v>0</v>
      </c>
      <c r="J642" s="302"/>
      <c r="K642" s="302"/>
    </row>
    <row r="643" spans="1:17" x14ac:dyDescent="0.2">
      <c r="A643" s="256"/>
      <c r="B643" s="257"/>
      <c r="C643" s="258"/>
      <c r="D643" s="258"/>
      <c r="E643" s="258"/>
      <c r="F643" s="259" t="s">
        <v>209</v>
      </c>
      <c r="G643" s="260"/>
      <c r="H643" s="258"/>
      <c r="I643" s="635">
        <v>1</v>
      </c>
      <c r="J643" s="302"/>
      <c r="K643" s="302"/>
    </row>
    <row r="644" spans="1:17" x14ac:dyDescent="0.2">
      <c r="A644" s="237"/>
      <c r="B644" s="261"/>
      <c r="C644" s="245"/>
      <c r="D644" s="245"/>
      <c r="E644" s="245"/>
      <c r="F644" s="262" t="s">
        <v>232</v>
      </c>
      <c r="G644" s="244"/>
      <c r="H644" s="245"/>
      <c r="I644" s="633">
        <f>TRUNC(I642/I643,2)</f>
        <v>0</v>
      </c>
      <c r="J644" s="302"/>
      <c r="K644" s="302"/>
    </row>
    <row r="645" spans="1:17" x14ac:dyDescent="0.2">
      <c r="A645" s="867"/>
      <c r="B645" s="233"/>
      <c r="C645" s="199"/>
      <c r="D645" s="199"/>
      <c r="E645" s="199"/>
      <c r="F645" s="263"/>
      <c r="G645" s="199"/>
      <c r="H645" s="199"/>
      <c r="I645" s="264"/>
      <c r="J645" s="302"/>
      <c r="K645" s="302"/>
    </row>
    <row r="646" spans="1:17" x14ac:dyDescent="0.2">
      <c r="A646" s="246" t="s">
        <v>210</v>
      </c>
      <c r="B646" s="247" t="s">
        <v>60</v>
      </c>
      <c r="C646" s="247" t="s">
        <v>211</v>
      </c>
      <c r="D646" s="247" t="s">
        <v>233</v>
      </c>
      <c r="E646" s="1276" t="s">
        <v>91</v>
      </c>
      <c r="F646" s="1274"/>
      <c r="G646" s="1275"/>
      <c r="H646" s="1276" t="s">
        <v>198</v>
      </c>
      <c r="I646" s="1275"/>
      <c r="J646" s="302"/>
      <c r="K646" s="302"/>
    </row>
    <row r="647" spans="1:17" x14ac:dyDescent="0.2">
      <c r="A647" s="265"/>
      <c r="B647" s="238"/>
      <c r="C647" s="266"/>
      <c r="D647" s="267"/>
      <c r="E647" s="260"/>
      <c r="F647" s="258"/>
      <c r="G647" s="300"/>
      <c r="H647" s="260"/>
      <c r="I647" s="268">
        <f>TRUNC(D647*G647,2)</f>
        <v>0</v>
      </c>
      <c r="J647" s="302"/>
      <c r="K647" s="302"/>
    </row>
    <row r="648" spans="1:17" x14ac:dyDescent="0.2">
      <c r="A648" s="199"/>
      <c r="B648" s="233"/>
      <c r="C648" s="199"/>
      <c r="D648" s="199"/>
      <c r="E648" s="199"/>
      <c r="F648" s="234" t="s">
        <v>212</v>
      </c>
      <c r="G648" s="244"/>
      <c r="H648" s="245"/>
      <c r="I648" s="434">
        <f>SUM(I647:I647)</f>
        <v>0</v>
      </c>
      <c r="J648" s="302"/>
      <c r="K648" s="302"/>
    </row>
    <row r="649" spans="1:17" x14ac:dyDescent="0.2">
      <c r="A649" s="199"/>
      <c r="B649" s="233"/>
      <c r="C649" s="199"/>
      <c r="D649" s="199"/>
      <c r="E649" s="199"/>
      <c r="F649" s="199"/>
      <c r="G649" s="269"/>
      <c r="H649" s="199"/>
      <c r="I649" s="200"/>
      <c r="J649" s="302"/>
      <c r="K649" s="302"/>
    </row>
    <row r="650" spans="1:17" x14ac:dyDescent="0.2">
      <c r="A650" s="270" t="s">
        <v>213</v>
      </c>
      <c r="B650" s="247" t="s">
        <v>60</v>
      </c>
      <c r="C650" s="247" t="s">
        <v>211</v>
      </c>
      <c r="D650" s="866" t="s">
        <v>233</v>
      </c>
      <c r="E650" s="1271" t="s">
        <v>91</v>
      </c>
      <c r="F650" s="1272"/>
      <c r="G650" s="1273"/>
      <c r="H650" s="1274" t="s">
        <v>198</v>
      </c>
      <c r="I650" s="1275"/>
      <c r="J650" s="302"/>
      <c r="K650" s="302"/>
    </row>
    <row r="651" spans="1:17" x14ac:dyDescent="0.2">
      <c r="A651" s="248" t="str">
        <f>VLOOKUP(B651,'DER 10-18'!$A:$E,2,FALSE)</f>
        <v>Caiação de meio fios, sarjetas, etc</v>
      </c>
      <c r="B651" s="238">
        <v>40658</v>
      </c>
      <c r="C651" s="238" t="str">
        <f>VLOOKUP(B651,'DER 10-18'!$A:$E,3,FALSE)</f>
        <v>M2</v>
      </c>
      <c r="D651" s="454">
        <f>TRUNC(VLOOKUP(B651,'DER 10-18'!$A:$F,6,FALSE)/(1+$I$4),2)</f>
        <v>4.7</v>
      </c>
      <c r="E651" s="260"/>
      <c r="F651" s="258"/>
      <c r="G651" s="300">
        <v>1.08</v>
      </c>
      <c r="H651" s="244"/>
      <c r="I651" s="268">
        <f>TRUNC(D651*G651,2)</f>
        <v>5.07</v>
      </c>
    </row>
    <row r="652" spans="1:17" s="198" customFormat="1" ht="22.5" x14ac:dyDescent="0.2">
      <c r="A652" s="452" t="str">
        <f>VLOOKUP(B652,'DER 10-18'!$A:$E,2,FALSE)</f>
        <v>Concreto estrutural fck = 15,0 MPa, tudo incluído</v>
      </c>
      <c r="B652" s="453">
        <v>40358</v>
      </c>
      <c r="C652" s="453" t="str">
        <f>VLOOKUP(B652,'DER 10-18'!$A:$E,3,FALSE)</f>
        <v>M3</v>
      </c>
      <c r="D652" s="454">
        <f>TRUNC(VLOOKUP(B652,'DER 10-18'!$A:$F,6,FALSE)/(1+$I$4),2)</f>
        <v>523.20000000000005</v>
      </c>
      <c r="E652" s="455"/>
      <c r="F652" s="456"/>
      <c r="G652" s="457">
        <v>0.11</v>
      </c>
      <c r="H652" s="458"/>
      <c r="I652" s="459">
        <f>TRUNC(D652*G652,2)</f>
        <v>57.55</v>
      </c>
      <c r="J652" s="451"/>
      <c r="K652" s="451"/>
    </row>
    <row r="653" spans="1:17" s="198" customFormat="1" ht="22.5" x14ac:dyDescent="0.2">
      <c r="A653" s="248" t="str">
        <f>VLOOKUP(B653,'DER 10-18'!$A:$E,2,FALSE)</f>
        <v>Escavação manual em mat. 1ª cat. H= 0,00 a 1,50 m</v>
      </c>
      <c r="B653" s="238">
        <v>40258</v>
      </c>
      <c r="C653" s="238" t="str">
        <f>VLOOKUP(B653,'DER 10-18'!$A:$E,3,FALSE)</f>
        <v>M3</v>
      </c>
      <c r="D653" s="454">
        <f>TRUNC(VLOOKUP(B653,'DER 10-18'!$A:$F,6,FALSE)/(1+$I$4),2)</f>
        <v>52.61</v>
      </c>
      <c r="E653" s="260"/>
      <c r="F653" s="258"/>
      <c r="G653" s="300">
        <v>7.1999999999999995E-2</v>
      </c>
      <c r="H653" s="244"/>
      <c r="I653" s="268">
        <f>TRUNC(D653*G653,2)</f>
        <v>3.78</v>
      </c>
      <c r="J653" s="433"/>
      <c r="K653" s="433"/>
      <c r="L653" s="302"/>
      <c r="M653" s="302"/>
      <c r="N653" s="302"/>
      <c r="O653" s="302"/>
      <c r="P653" s="302"/>
      <c r="Q653" s="302"/>
    </row>
    <row r="654" spans="1:17" s="198" customFormat="1" x14ac:dyDescent="0.2">
      <c r="A654" s="201"/>
      <c r="B654" s="271"/>
      <c r="C654" s="201"/>
      <c r="D654" s="201"/>
      <c r="E654" s="201"/>
      <c r="F654" s="272" t="s">
        <v>214</v>
      </c>
      <c r="G654" s="260"/>
      <c r="H654" s="273"/>
      <c r="I654" s="436">
        <f>SUM(I651:I653)</f>
        <v>66.400000000000006</v>
      </c>
      <c r="J654" s="433"/>
      <c r="K654" s="433"/>
      <c r="L654" s="302"/>
      <c r="M654" s="302"/>
      <c r="N654" s="302"/>
      <c r="O654" s="302"/>
      <c r="P654" s="302"/>
      <c r="Q654" s="302"/>
    </row>
    <row r="655" spans="1:17" s="198" customFormat="1" x14ac:dyDescent="0.2">
      <c r="A655" s="201"/>
      <c r="B655" s="271"/>
      <c r="C655" s="201"/>
      <c r="D655" s="201"/>
      <c r="E655" s="201"/>
      <c r="F655" s="201"/>
      <c r="G655" s="201"/>
      <c r="H655" s="201"/>
      <c r="I655" s="201"/>
      <c r="J655" s="433"/>
      <c r="K655" s="433"/>
      <c r="L655" s="302"/>
      <c r="M655" s="302"/>
      <c r="N655" s="302"/>
      <c r="O655" s="302"/>
      <c r="P655" s="302"/>
      <c r="Q655" s="302"/>
    </row>
    <row r="656" spans="1:17" s="198" customFormat="1" x14ac:dyDescent="0.2">
      <c r="A656" s="274" t="s">
        <v>215</v>
      </c>
      <c r="B656" s="275" t="s">
        <v>60</v>
      </c>
      <c r="C656" s="275" t="s">
        <v>211</v>
      </c>
      <c r="D656" s="275" t="s">
        <v>216</v>
      </c>
      <c r="E656" s="275" t="s">
        <v>217</v>
      </c>
      <c r="F656" s="275" t="s">
        <v>218</v>
      </c>
      <c r="G656" s="275" t="s">
        <v>96</v>
      </c>
      <c r="H656" s="275" t="s">
        <v>91</v>
      </c>
      <c r="I656" s="275" t="s">
        <v>219</v>
      </c>
      <c r="J656" s="433"/>
      <c r="K656" s="433"/>
      <c r="L656" s="302"/>
      <c r="M656" s="302"/>
      <c r="N656" s="302"/>
      <c r="O656" s="302"/>
      <c r="P656" s="302"/>
      <c r="Q656" s="302"/>
    </row>
    <row r="657" spans="1:17" s="198" customFormat="1" x14ac:dyDescent="0.2">
      <c r="A657" s="248"/>
      <c r="B657" s="238"/>
      <c r="C657" s="238"/>
      <c r="D657" s="437"/>
      <c r="E657" s="277"/>
      <c r="F657" s="277"/>
      <c r="G657" s="243"/>
      <c r="H657" s="278"/>
      <c r="I657" s="243">
        <f>TRUNC(G657*H657,2)</f>
        <v>0</v>
      </c>
      <c r="J657" s="433"/>
      <c r="K657" s="433"/>
      <c r="L657" s="302"/>
      <c r="M657" s="302"/>
      <c r="N657" s="302"/>
      <c r="O657" s="302"/>
      <c r="P657" s="302"/>
      <c r="Q657" s="302"/>
    </row>
    <row r="658" spans="1:17" x14ac:dyDescent="0.2">
      <c r="A658" s="201"/>
      <c r="B658" s="271"/>
      <c r="C658" s="201"/>
      <c r="D658" s="201"/>
      <c r="E658" s="201"/>
      <c r="F658" s="272" t="s">
        <v>220</v>
      </c>
      <c r="G658" s="244"/>
      <c r="H658" s="279"/>
      <c r="I658" s="438">
        <f>SUM(I657:I657)</f>
        <v>0</v>
      </c>
    </row>
    <row r="659" spans="1:17" x14ac:dyDescent="0.2">
      <c r="A659" s="201"/>
      <c r="B659" s="271"/>
      <c r="C659" s="201"/>
      <c r="D659" s="201"/>
      <c r="E659" s="201"/>
      <c r="F659" s="201"/>
      <c r="G659" s="201"/>
      <c r="H659" s="201"/>
      <c r="I659" s="202"/>
    </row>
    <row r="660" spans="1:17" x14ac:dyDescent="0.2">
      <c r="A660" s="280"/>
      <c r="B660" s="281"/>
      <c r="C660" s="282"/>
      <c r="D660" s="282"/>
      <c r="E660" s="282"/>
      <c r="F660" s="283" t="s">
        <v>221</v>
      </c>
      <c r="G660" s="280"/>
      <c r="H660" s="254"/>
      <c r="I660" s="634">
        <f>+I644+I648+I654+I658</f>
        <v>66.400000000000006</v>
      </c>
    </row>
    <row r="661" spans="1:17" x14ac:dyDescent="0.2">
      <c r="A661" s="260"/>
      <c r="B661" s="284"/>
      <c r="C661" s="273"/>
      <c r="D661" s="273"/>
      <c r="E661" s="273"/>
      <c r="F661" s="285" t="str">
        <f>CONCATENATE($H$3," ",$I$3)</f>
        <v>BDI: 23,32</v>
      </c>
      <c r="G661" s="439"/>
      <c r="H661" s="258"/>
      <c r="I661" s="635">
        <f>+ROUND(I660*$I$4,2)</f>
        <v>15.48</v>
      </c>
    </row>
    <row r="662" spans="1:17" x14ac:dyDescent="0.2">
      <c r="A662" s="244"/>
      <c r="B662" s="286"/>
      <c r="C662" s="279"/>
      <c r="D662" s="279"/>
      <c r="E662" s="279"/>
      <c r="F662" s="287" t="s">
        <v>222</v>
      </c>
      <c r="G662" s="440"/>
      <c r="H662" s="245"/>
      <c r="I662" s="1017">
        <f>+I660+I661</f>
        <v>81.88</v>
      </c>
    </row>
    <row r="663" spans="1:17" x14ac:dyDescent="0.2">
      <c r="A663" s="1277" t="str">
        <f>$A$1</f>
        <v>COMPOSIÇÃO DE CUSTOS UNITÁRIOS</v>
      </c>
      <c r="B663" s="1277"/>
      <c r="C663" s="1277"/>
      <c r="D663" s="1277"/>
      <c r="E663" s="1277"/>
      <c r="F663" s="1277"/>
      <c r="G663" s="1277"/>
      <c r="H663" s="1277"/>
      <c r="I663" s="1277"/>
    </row>
    <row r="664" spans="1:17" x14ac:dyDescent="0.2">
      <c r="A664" s="232" t="str">
        <f>$A$2</f>
        <v>Tabela Referencial de Preços - DER-ES</v>
      </c>
      <c r="B664" s="233"/>
      <c r="C664" s="199"/>
      <c r="D664" s="199"/>
      <c r="E664" s="199"/>
      <c r="F664" s="199"/>
      <c r="G664" s="199"/>
      <c r="H664" s="199"/>
      <c r="I664" s="234" t="str">
        <f>$I$2</f>
        <v>Data Base: Outubro/2018</v>
      </c>
    </row>
    <row r="665" spans="1:17" x14ac:dyDescent="0.2">
      <c r="A665" s="1287" t="str">
        <f>+CONCATENATE("Serviço: ",J665," ",VLOOKUP(J665,'DER 10-18'!$A:$D,2,FALSE))</f>
        <v>Serviço: 40674 Entrada para descida d'água EDA-02</v>
      </c>
      <c r="B665" s="1287"/>
      <c r="C665" s="1287"/>
      <c r="D665" s="1287"/>
      <c r="E665" s="1287"/>
      <c r="F665" s="1287"/>
      <c r="G665" s="1287"/>
      <c r="H665" s="1287"/>
      <c r="I665" s="1287" t="str">
        <f>CONCATENATE("Unidade: ", VLOOKUP(J665,'DER 10-18'!$A:$E,3,FALSE))</f>
        <v>Unidade: Ud</v>
      </c>
      <c r="J665" s="451">
        <v>40674</v>
      </c>
      <c r="K665" s="433">
        <f>VLOOKUP("Preço Unitário Total",F666:I2932,4,FALSE)</f>
        <v>87.53</v>
      </c>
      <c r="L665" s="198">
        <f>VLOOKUP(J665,'DER 10-18'!A:E,5,FALSE)</f>
        <v>0</v>
      </c>
      <c r="M665" s="198" t="str">
        <f>VLOOKUP(J665,'DER 10-18'!$A:$D,2,FALSE)</f>
        <v>Entrada para descida d'água EDA-02</v>
      </c>
      <c r="N665" s="198"/>
      <c r="O665" s="198"/>
      <c r="P665" s="198"/>
      <c r="Q665" s="198"/>
    </row>
    <row r="666" spans="1:17" x14ac:dyDescent="0.2">
      <c r="A666" s="1288"/>
      <c r="B666" s="1288"/>
      <c r="C666" s="1288"/>
      <c r="D666" s="1288"/>
      <c r="E666" s="1288"/>
      <c r="F666" s="1288"/>
      <c r="G666" s="1288"/>
      <c r="H666" s="1288"/>
      <c r="I666" s="1288"/>
      <c r="J666" s="451"/>
      <c r="K666" s="451"/>
      <c r="L666" s="198"/>
      <c r="M666" s="198"/>
      <c r="N666" s="198"/>
      <c r="O666" s="198"/>
      <c r="P666" s="198"/>
      <c r="Q666" s="198"/>
    </row>
    <row r="667" spans="1:17" ht="22.5" x14ac:dyDescent="0.2">
      <c r="A667" s="235" t="s">
        <v>192</v>
      </c>
      <c r="B667" s="236" t="s">
        <v>60</v>
      </c>
      <c r="C667" s="236" t="s">
        <v>193</v>
      </c>
      <c r="D667" s="236" t="s">
        <v>194</v>
      </c>
      <c r="E667" s="236" t="s">
        <v>195</v>
      </c>
      <c r="F667" s="236" t="s">
        <v>196</v>
      </c>
      <c r="G667" s="236" t="s">
        <v>197</v>
      </c>
      <c r="H667" s="236" t="s">
        <v>91</v>
      </c>
      <c r="I667" s="236" t="s">
        <v>198</v>
      </c>
      <c r="J667" s="302"/>
      <c r="K667" s="302"/>
    </row>
    <row r="668" spans="1:17" x14ac:dyDescent="0.2">
      <c r="A668" s="237"/>
      <c r="B668" s="238"/>
      <c r="C668" s="239"/>
      <c r="D668" s="240"/>
      <c r="E668" s="205"/>
      <c r="F668" s="241"/>
      <c r="G668" s="241"/>
      <c r="H668" s="242"/>
      <c r="I668" s="243"/>
      <c r="J668" s="302"/>
      <c r="K668" s="302"/>
    </row>
    <row r="669" spans="1:17" x14ac:dyDescent="0.2">
      <c r="A669" s="199"/>
      <c r="B669" s="233"/>
      <c r="C669" s="233"/>
      <c r="D669" s="199"/>
      <c r="E669" s="199"/>
      <c r="F669" s="234" t="s">
        <v>199</v>
      </c>
      <c r="G669" s="244"/>
      <c r="H669" s="245"/>
      <c r="I669" s="434">
        <f>SUM(I668:I668)</f>
        <v>0</v>
      </c>
      <c r="J669" s="302"/>
      <c r="K669" s="302"/>
    </row>
    <row r="670" spans="1:17" x14ac:dyDescent="0.2">
      <c r="A670" s="199"/>
      <c r="B670" s="233"/>
      <c r="C670" s="233"/>
      <c r="D670" s="199"/>
      <c r="E670" s="199"/>
      <c r="F670" s="199"/>
      <c r="G670" s="199"/>
      <c r="H670" s="199"/>
      <c r="I670" s="200"/>
      <c r="J670" s="302"/>
      <c r="K670" s="302"/>
    </row>
    <row r="671" spans="1:17" x14ac:dyDescent="0.2">
      <c r="A671" s="246" t="s">
        <v>200</v>
      </c>
      <c r="B671" s="247" t="s">
        <v>60</v>
      </c>
      <c r="C671" s="236" t="s">
        <v>1242</v>
      </c>
      <c r="D671" s="247" t="s">
        <v>202</v>
      </c>
      <c r="E671" s="1271" t="s">
        <v>91</v>
      </c>
      <c r="F671" s="1272"/>
      <c r="G671" s="1273"/>
      <c r="H671" s="1276" t="s">
        <v>198</v>
      </c>
      <c r="I671" s="1275"/>
      <c r="J671" s="302"/>
      <c r="K671" s="302"/>
    </row>
    <row r="672" spans="1:17" x14ac:dyDescent="0.2">
      <c r="A672" s="248"/>
      <c r="B672" s="238"/>
      <c r="C672" s="243"/>
      <c r="D672" s="243"/>
      <c r="E672" s="260"/>
      <c r="F672" s="258"/>
      <c r="G672" s="300"/>
      <c r="H672" s="244"/>
      <c r="I672" s="249">
        <f>TRUNC(D672*G672,2)</f>
        <v>0</v>
      </c>
      <c r="J672" s="302"/>
      <c r="K672" s="302"/>
    </row>
    <row r="673" spans="1:17" x14ac:dyDescent="0.2">
      <c r="A673" s="199"/>
      <c r="B673" s="233"/>
      <c r="C673" s="233"/>
      <c r="D673" s="199"/>
      <c r="E673" s="199"/>
      <c r="F673" s="234" t="s">
        <v>203</v>
      </c>
      <c r="G673" s="244"/>
      <c r="H673" s="245"/>
      <c r="I673" s="434">
        <f>SUM(I672:I672)</f>
        <v>0</v>
      </c>
      <c r="J673" s="302"/>
      <c r="K673" s="302"/>
    </row>
    <row r="674" spans="1:17" x14ac:dyDescent="0.2">
      <c r="A674" s="199"/>
      <c r="B674" s="233"/>
      <c r="C674" s="233"/>
      <c r="D674" s="199"/>
      <c r="E674" s="199"/>
      <c r="F674" s="199"/>
      <c r="G674" s="199"/>
      <c r="H674" s="199"/>
      <c r="I674" s="200"/>
      <c r="J674" s="302"/>
      <c r="K674" s="302"/>
    </row>
    <row r="675" spans="1:17" x14ac:dyDescent="0.2">
      <c r="A675" s="250" t="s">
        <v>204</v>
      </c>
      <c r="B675" s="247" t="s">
        <v>60</v>
      </c>
      <c r="C675" s="866" t="s">
        <v>17</v>
      </c>
      <c r="D675" s="247" t="s">
        <v>205</v>
      </c>
      <c r="E675" s="247" t="s">
        <v>206</v>
      </c>
      <c r="F675" s="247" t="s">
        <v>207</v>
      </c>
      <c r="G675" s="1276" t="s">
        <v>96</v>
      </c>
      <c r="H675" s="1274"/>
      <c r="I675" s="1275"/>
      <c r="J675" s="302"/>
      <c r="K675" s="302"/>
    </row>
    <row r="676" spans="1:17" x14ac:dyDescent="0.2">
      <c r="A676" s="248"/>
      <c r="B676" s="238"/>
      <c r="C676" s="243"/>
      <c r="D676" s="239"/>
      <c r="E676" s="251"/>
      <c r="F676" s="251"/>
      <c r="G676" s="244"/>
      <c r="H676" s="245"/>
      <c r="I676" s="249">
        <f>TRUNC(C676/100*I673,2)</f>
        <v>0</v>
      </c>
      <c r="J676" s="302"/>
      <c r="K676" s="302"/>
    </row>
    <row r="677" spans="1:17" x14ac:dyDescent="0.2">
      <c r="A677" s="199"/>
      <c r="B677" s="233"/>
      <c r="C677" s="199"/>
      <c r="D677" s="199"/>
      <c r="E677" s="199"/>
      <c r="F677" s="234" t="s">
        <v>1170</v>
      </c>
      <c r="G677" s="244"/>
      <c r="H677" s="245"/>
      <c r="I677" s="434">
        <f>SUM(I676)</f>
        <v>0</v>
      </c>
      <c r="J677" s="302"/>
      <c r="K677" s="302"/>
    </row>
    <row r="678" spans="1:17" x14ac:dyDescent="0.2">
      <c r="A678" s="199"/>
      <c r="B678" s="233"/>
      <c r="C678" s="199"/>
      <c r="D678" s="199"/>
      <c r="E678" s="199"/>
      <c r="F678" s="199"/>
      <c r="G678" s="199"/>
      <c r="H678" s="199"/>
      <c r="I678" s="200"/>
      <c r="J678" s="302"/>
      <c r="K678" s="302"/>
    </row>
    <row r="679" spans="1:17" x14ac:dyDescent="0.2">
      <c r="A679" s="252"/>
      <c r="B679" s="253"/>
      <c r="C679" s="254"/>
      <c r="D679" s="254"/>
      <c r="E679" s="254"/>
      <c r="F679" s="255" t="s">
        <v>208</v>
      </c>
      <c r="G679" s="435"/>
      <c r="H679" s="254"/>
      <c r="I679" s="634">
        <f>+I669+I673+I677</f>
        <v>0</v>
      </c>
      <c r="J679" s="302"/>
      <c r="K679" s="302"/>
    </row>
    <row r="680" spans="1:17" x14ac:dyDescent="0.2">
      <c r="A680" s="256"/>
      <c r="B680" s="257"/>
      <c r="C680" s="258"/>
      <c r="D680" s="258"/>
      <c r="E680" s="258"/>
      <c r="F680" s="259" t="s">
        <v>209</v>
      </c>
      <c r="G680" s="260"/>
      <c r="H680" s="258"/>
      <c r="I680" s="635">
        <v>1</v>
      </c>
      <c r="J680" s="302"/>
      <c r="K680" s="302"/>
    </row>
    <row r="681" spans="1:17" x14ac:dyDescent="0.2">
      <c r="A681" s="237"/>
      <c r="B681" s="261"/>
      <c r="C681" s="245"/>
      <c r="D681" s="245"/>
      <c r="E681" s="245"/>
      <c r="F681" s="262" t="s">
        <v>232</v>
      </c>
      <c r="G681" s="244"/>
      <c r="H681" s="245"/>
      <c r="I681" s="633">
        <f>TRUNC(I679/I680,2)</f>
        <v>0</v>
      </c>
      <c r="J681" s="302"/>
      <c r="K681" s="302"/>
    </row>
    <row r="682" spans="1:17" x14ac:dyDescent="0.2">
      <c r="A682" s="867"/>
      <c r="B682" s="233"/>
      <c r="C682" s="199"/>
      <c r="D682" s="199"/>
      <c r="E682" s="199"/>
      <c r="F682" s="263"/>
      <c r="G682" s="199"/>
      <c r="H682" s="199"/>
      <c r="I682" s="264"/>
      <c r="J682" s="302"/>
      <c r="K682" s="302"/>
    </row>
    <row r="683" spans="1:17" x14ac:dyDescent="0.2">
      <c r="A683" s="246" t="s">
        <v>210</v>
      </c>
      <c r="B683" s="247" t="s">
        <v>60</v>
      </c>
      <c r="C683" s="247" t="s">
        <v>211</v>
      </c>
      <c r="D683" s="247" t="s">
        <v>233</v>
      </c>
      <c r="E683" s="1276" t="s">
        <v>91</v>
      </c>
      <c r="F683" s="1274"/>
      <c r="G683" s="1275"/>
      <c r="H683" s="1276" t="s">
        <v>198</v>
      </c>
      <c r="I683" s="1275"/>
    </row>
    <row r="684" spans="1:17" x14ac:dyDescent="0.2">
      <c r="A684" s="265"/>
      <c r="B684" s="238"/>
      <c r="C684" s="266"/>
      <c r="D684" s="267"/>
      <c r="E684" s="260"/>
      <c r="F684" s="258"/>
      <c r="G684" s="300"/>
      <c r="H684" s="260"/>
      <c r="I684" s="268">
        <f>TRUNC(D684*G684,2)</f>
        <v>0</v>
      </c>
    </row>
    <row r="685" spans="1:17" x14ac:dyDescent="0.2">
      <c r="A685" s="199"/>
      <c r="B685" s="233"/>
      <c r="C685" s="199"/>
      <c r="D685" s="199"/>
      <c r="E685" s="199"/>
      <c r="F685" s="234" t="s">
        <v>212</v>
      </c>
      <c r="G685" s="244"/>
      <c r="H685" s="245"/>
      <c r="I685" s="434">
        <f>SUM(I684:I684)</f>
        <v>0</v>
      </c>
    </row>
    <row r="686" spans="1:17" s="198" customFormat="1" x14ac:dyDescent="0.2">
      <c r="A686" s="199"/>
      <c r="B686" s="233"/>
      <c r="C686" s="199"/>
      <c r="D686" s="199"/>
      <c r="E686" s="199"/>
      <c r="F686" s="199"/>
      <c r="G686" s="269"/>
      <c r="H686" s="199"/>
      <c r="I686" s="200"/>
      <c r="J686" s="433"/>
      <c r="K686" s="433"/>
      <c r="L686" s="302"/>
      <c r="M686" s="302"/>
      <c r="N686" s="302"/>
      <c r="O686" s="302"/>
      <c r="P686" s="302"/>
      <c r="Q686" s="302"/>
    </row>
    <row r="687" spans="1:17" s="198" customFormat="1" x14ac:dyDescent="0.2">
      <c r="A687" s="270" t="s">
        <v>213</v>
      </c>
      <c r="B687" s="247" t="s">
        <v>60</v>
      </c>
      <c r="C687" s="247" t="s">
        <v>211</v>
      </c>
      <c r="D687" s="866" t="s">
        <v>233</v>
      </c>
      <c r="E687" s="1271" t="s">
        <v>91</v>
      </c>
      <c r="F687" s="1272"/>
      <c r="G687" s="1273"/>
      <c r="H687" s="1274" t="s">
        <v>198</v>
      </c>
      <c r="I687" s="1275"/>
      <c r="J687" s="433"/>
      <c r="K687" s="433"/>
      <c r="L687" s="302"/>
      <c r="M687" s="302"/>
      <c r="N687" s="302"/>
      <c r="O687" s="302"/>
      <c r="P687" s="302"/>
      <c r="Q687" s="302"/>
    </row>
    <row r="688" spans="1:17" s="198" customFormat="1" x14ac:dyDescent="0.2">
      <c r="A688" s="248" t="str">
        <f>VLOOKUP(B688,'DER 10-18'!$A:$E,2,FALSE)</f>
        <v>Caiação de meio fios, sarjetas, etc</v>
      </c>
      <c r="B688" s="238">
        <v>40658</v>
      </c>
      <c r="C688" s="238" t="str">
        <f>VLOOKUP(B688,'DER 10-18'!$A:$E,3,FALSE)</f>
        <v>M2</v>
      </c>
      <c r="D688" s="454">
        <f>TRUNC(VLOOKUP(B688,'DER 10-18'!$A:$F,6,FALSE)/(1+$I$4),2)</f>
        <v>4.7</v>
      </c>
      <c r="E688" s="260"/>
      <c r="F688" s="258"/>
      <c r="G688" s="300">
        <v>1.1399999999999999</v>
      </c>
      <c r="H688" s="244"/>
      <c r="I688" s="268">
        <f>TRUNC(D688*G688,2)</f>
        <v>5.35</v>
      </c>
      <c r="J688" s="433"/>
      <c r="K688" s="433"/>
      <c r="L688" s="302"/>
      <c r="M688" s="302"/>
      <c r="N688" s="302"/>
      <c r="O688" s="302"/>
      <c r="P688" s="302"/>
      <c r="Q688" s="302"/>
    </row>
    <row r="689" spans="1:17" s="198" customFormat="1" ht="22.5" x14ac:dyDescent="0.2">
      <c r="A689" s="452" t="str">
        <f>VLOOKUP(B689,'DER 10-18'!$A:$E,2,FALSE)</f>
        <v>Concreto estrutural fck = 15,0 MPa, tudo incluído</v>
      </c>
      <c r="B689" s="453">
        <v>40358</v>
      </c>
      <c r="C689" s="453" t="str">
        <f>VLOOKUP(B689,'DER 10-18'!$A:$E,3,FALSE)</f>
        <v>M3</v>
      </c>
      <c r="D689" s="454">
        <f>TRUNC(VLOOKUP(B689,'DER 10-18'!$A:$F,6,FALSE)/(1+$I$4),2)</f>
        <v>523.20000000000005</v>
      </c>
      <c r="E689" s="455"/>
      <c r="F689" s="456"/>
      <c r="G689" s="457">
        <v>0.114</v>
      </c>
      <c r="H689" s="458"/>
      <c r="I689" s="459">
        <f>TRUNC(D689*G689,2)</f>
        <v>59.64</v>
      </c>
      <c r="J689" s="451"/>
      <c r="K689" s="451"/>
    </row>
    <row r="690" spans="1:17" s="198" customFormat="1" ht="22.5" x14ac:dyDescent="0.2">
      <c r="A690" s="248" t="str">
        <f>VLOOKUP(B690,'DER 10-18'!$A:$E,2,FALSE)</f>
        <v>Escavação manual em mat. 1ª cat. H= 0,00 a 1,50 m</v>
      </c>
      <c r="B690" s="238">
        <v>40258</v>
      </c>
      <c r="C690" s="238" t="str">
        <f>VLOOKUP(B690,'DER 10-18'!$A:$E,3,FALSE)</f>
        <v>M3</v>
      </c>
      <c r="D690" s="454">
        <f>TRUNC(VLOOKUP(B690,'DER 10-18'!$A:$F,6,FALSE)/(1+$I$4),2)</f>
        <v>52.61</v>
      </c>
      <c r="E690" s="260"/>
      <c r="F690" s="258"/>
      <c r="G690" s="300">
        <v>0.114</v>
      </c>
      <c r="H690" s="244"/>
      <c r="I690" s="268">
        <f>TRUNC(D690*G690,2)</f>
        <v>5.99</v>
      </c>
      <c r="J690" s="433"/>
      <c r="K690" s="433"/>
      <c r="L690" s="302"/>
      <c r="M690" s="302"/>
      <c r="N690" s="302"/>
      <c r="O690" s="302"/>
      <c r="P690" s="302"/>
      <c r="Q690" s="302"/>
    </row>
    <row r="691" spans="1:17" s="198" customFormat="1" x14ac:dyDescent="0.2">
      <c r="A691" s="201"/>
      <c r="B691" s="271"/>
      <c r="C691" s="201"/>
      <c r="D691" s="201"/>
      <c r="E691" s="201"/>
      <c r="F691" s="272" t="s">
        <v>214</v>
      </c>
      <c r="G691" s="260"/>
      <c r="H691" s="273"/>
      <c r="I691" s="436">
        <f>SUM(I688:I690)</f>
        <v>70.98</v>
      </c>
      <c r="J691" s="433"/>
      <c r="K691" s="433"/>
      <c r="L691" s="302"/>
      <c r="M691" s="302"/>
      <c r="N691" s="302"/>
      <c r="O691" s="302"/>
      <c r="P691" s="302"/>
      <c r="Q691" s="302"/>
    </row>
    <row r="692" spans="1:17" x14ac:dyDescent="0.2">
      <c r="A692" s="201"/>
      <c r="B692" s="271"/>
      <c r="C692" s="201"/>
      <c r="D692" s="201"/>
      <c r="E692" s="201"/>
      <c r="F692" s="201"/>
      <c r="G692" s="201"/>
      <c r="H692" s="201"/>
      <c r="I692" s="201"/>
    </row>
    <row r="693" spans="1:17" x14ac:dyDescent="0.2">
      <c r="A693" s="274" t="s">
        <v>215</v>
      </c>
      <c r="B693" s="275" t="s">
        <v>60</v>
      </c>
      <c r="C693" s="275" t="s">
        <v>211</v>
      </c>
      <c r="D693" s="275" t="s">
        <v>216</v>
      </c>
      <c r="E693" s="275" t="s">
        <v>217</v>
      </c>
      <c r="F693" s="275" t="s">
        <v>218</v>
      </c>
      <c r="G693" s="275" t="s">
        <v>96</v>
      </c>
      <c r="H693" s="275" t="s">
        <v>91</v>
      </c>
      <c r="I693" s="275" t="s">
        <v>219</v>
      </c>
    </row>
    <row r="694" spans="1:17" x14ac:dyDescent="0.2">
      <c r="A694" s="248"/>
      <c r="B694" s="238"/>
      <c r="C694" s="238"/>
      <c r="D694" s="437"/>
      <c r="E694" s="277"/>
      <c r="F694" s="277"/>
      <c r="G694" s="243"/>
      <c r="H694" s="278"/>
      <c r="I694" s="243">
        <f>TRUNC(G694*H694,2)</f>
        <v>0</v>
      </c>
    </row>
    <row r="695" spans="1:17" x14ac:dyDescent="0.2">
      <c r="A695" s="201"/>
      <c r="B695" s="271"/>
      <c r="C695" s="201"/>
      <c r="D695" s="201"/>
      <c r="E695" s="201"/>
      <c r="F695" s="272" t="s">
        <v>220</v>
      </c>
      <c r="G695" s="244"/>
      <c r="H695" s="279"/>
      <c r="I695" s="438">
        <f>SUM(I694:I694)</f>
        <v>0</v>
      </c>
    </row>
    <row r="696" spans="1:17" x14ac:dyDescent="0.2">
      <c r="A696" s="201"/>
      <c r="B696" s="271"/>
      <c r="C696" s="201"/>
      <c r="D696" s="201"/>
      <c r="E696" s="201"/>
      <c r="F696" s="201"/>
      <c r="G696" s="201"/>
      <c r="H696" s="201"/>
      <c r="I696" s="202"/>
    </row>
    <row r="697" spans="1:17" x14ac:dyDescent="0.2">
      <c r="A697" s="280"/>
      <c r="B697" s="281"/>
      <c r="C697" s="282"/>
      <c r="D697" s="282"/>
      <c r="E697" s="282"/>
      <c r="F697" s="283" t="s">
        <v>221</v>
      </c>
      <c r="G697" s="280"/>
      <c r="H697" s="254"/>
      <c r="I697" s="634">
        <f>+I681+I685+I691+I695</f>
        <v>70.98</v>
      </c>
    </row>
    <row r="698" spans="1:17" x14ac:dyDescent="0.2">
      <c r="A698" s="260"/>
      <c r="B698" s="284"/>
      <c r="C698" s="273"/>
      <c r="D698" s="273"/>
      <c r="E698" s="273"/>
      <c r="F698" s="285" t="str">
        <f>CONCATENATE($H$3," ",$I$3)</f>
        <v>BDI: 23,32</v>
      </c>
      <c r="G698" s="439"/>
      <c r="H698" s="258"/>
      <c r="I698" s="635">
        <f>+ROUND(I697*$I$4,2)</f>
        <v>16.55</v>
      </c>
    </row>
    <row r="699" spans="1:17" x14ac:dyDescent="0.2">
      <c r="A699" s="244"/>
      <c r="B699" s="286"/>
      <c r="C699" s="279"/>
      <c r="D699" s="279"/>
      <c r="E699" s="279"/>
      <c r="F699" s="287" t="s">
        <v>222</v>
      </c>
      <c r="G699" s="440"/>
      <c r="H699" s="245"/>
      <c r="I699" s="1017">
        <f>+I697+I698</f>
        <v>87.53</v>
      </c>
    </row>
    <row r="700" spans="1:17" x14ac:dyDescent="0.2">
      <c r="A700" s="1277" t="str">
        <f>$A$1</f>
        <v>COMPOSIÇÃO DE CUSTOS UNITÁRIOS</v>
      </c>
      <c r="B700" s="1277"/>
      <c r="C700" s="1277"/>
      <c r="D700" s="1277"/>
      <c r="E700" s="1277"/>
      <c r="F700" s="1277"/>
      <c r="G700" s="1277"/>
      <c r="H700" s="1277"/>
      <c r="I700" s="1277"/>
    </row>
    <row r="701" spans="1:17" x14ac:dyDescent="0.2">
      <c r="A701" s="232" t="str">
        <f>$A$2</f>
        <v>Tabela Referencial de Preços - DER-ES</v>
      </c>
      <c r="B701" s="233"/>
      <c r="C701" s="199"/>
      <c r="D701" s="199"/>
      <c r="E701" s="199"/>
      <c r="F701" s="199"/>
      <c r="G701" s="199"/>
      <c r="H701" s="199"/>
      <c r="I701" s="234" t="str">
        <f>$I$2</f>
        <v>Data Base: Outubro/2018</v>
      </c>
    </row>
    <row r="702" spans="1:17" x14ac:dyDescent="0.2">
      <c r="A702" s="1278" t="str">
        <f>+CONCATENATE("Serviço: ",J702," ",VLOOKUP(J702,'DER 10-18'!$A:$D,2,FALSE))</f>
        <v>Serviço: 40690 Saída d'água concreto p/ aterro c/ caiação (SDA-01)</v>
      </c>
      <c r="B702" s="1278"/>
      <c r="C702" s="1278"/>
      <c r="D702" s="1278"/>
      <c r="E702" s="1278"/>
      <c r="F702" s="1278"/>
      <c r="G702" s="1278"/>
      <c r="H702" s="1278"/>
      <c r="I702" s="1278" t="str">
        <f>CONCATENATE("Unidade: ", VLOOKUP(J702,'DER 10-18'!$A:$E,3,FALSE))</f>
        <v>Unidade: Ud</v>
      </c>
      <c r="J702" s="433">
        <v>40690</v>
      </c>
      <c r="K702" s="433">
        <f>VLOOKUP("Preço Unitário Total",F703:I2969,4,FALSE)</f>
        <v>1551.28</v>
      </c>
      <c r="L702" s="302">
        <f>VLOOKUP(J702,'DER 10-18'!A:E,5,FALSE)</f>
        <v>0</v>
      </c>
      <c r="M702" s="302" t="str">
        <f>VLOOKUP(J702,'DER 10-18'!$A:$D,2,FALSE)</f>
        <v>Saída d'água concreto p/ aterro c/ caiação (SDA-01)</v>
      </c>
    </row>
    <row r="703" spans="1:17" x14ac:dyDescent="0.2">
      <c r="A703" s="1279"/>
      <c r="B703" s="1279"/>
      <c r="C703" s="1279"/>
      <c r="D703" s="1279"/>
      <c r="E703" s="1279"/>
      <c r="F703" s="1279"/>
      <c r="G703" s="1279"/>
      <c r="H703" s="1279"/>
      <c r="I703" s="1279"/>
    </row>
    <row r="704" spans="1:17" ht="22.5" x14ac:dyDescent="0.2">
      <c r="A704" s="235" t="s">
        <v>192</v>
      </c>
      <c r="B704" s="236" t="s">
        <v>60</v>
      </c>
      <c r="C704" s="236" t="s">
        <v>193</v>
      </c>
      <c r="D704" s="236" t="s">
        <v>194</v>
      </c>
      <c r="E704" s="236" t="s">
        <v>195</v>
      </c>
      <c r="F704" s="236" t="s">
        <v>196</v>
      </c>
      <c r="G704" s="236" t="s">
        <v>197</v>
      </c>
      <c r="H704" s="236" t="s">
        <v>91</v>
      </c>
      <c r="I704" s="236" t="s">
        <v>198</v>
      </c>
    </row>
    <row r="705" spans="1:9" x14ac:dyDescent="0.2">
      <c r="A705" s="237"/>
      <c r="B705" s="238"/>
      <c r="C705" s="239"/>
      <c r="D705" s="240"/>
      <c r="E705" s="205"/>
      <c r="F705" s="241"/>
      <c r="G705" s="241"/>
      <c r="H705" s="242"/>
      <c r="I705" s="243"/>
    </row>
    <row r="706" spans="1:9" x14ac:dyDescent="0.2">
      <c r="A706" s="199"/>
      <c r="B706" s="233"/>
      <c r="C706" s="233"/>
      <c r="D706" s="199"/>
      <c r="E706" s="199"/>
      <c r="F706" s="234" t="s">
        <v>199</v>
      </c>
      <c r="G706" s="244"/>
      <c r="H706" s="245"/>
      <c r="I706" s="434">
        <f>SUM(I705:I705)</f>
        <v>0</v>
      </c>
    </row>
    <row r="707" spans="1:9" x14ac:dyDescent="0.2">
      <c r="A707" s="199"/>
      <c r="B707" s="233"/>
      <c r="C707" s="233"/>
      <c r="D707" s="199"/>
      <c r="E707" s="199"/>
      <c r="F707" s="199"/>
      <c r="G707" s="199"/>
      <c r="H707" s="199"/>
      <c r="I707" s="200"/>
    </row>
    <row r="708" spans="1:9" x14ac:dyDescent="0.2">
      <c r="A708" s="246" t="s">
        <v>200</v>
      </c>
      <c r="B708" s="247" t="s">
        <v>60</v>
      </c>
      <c r="C708" s="236" t="s">
        <v>1242</v>
      </c>
      <c r="D708" s="247" t="s">
        <v>202</v>
      </c>
      <c r="E708" s="1271" t="s">
        <v>91</v>
      </c>
      <c r="F708" s="1272"/>
      <c r="G708" s="1273"/>
      <c r="H708" s="1276" t="s">
        <v>198</v>
      </c>
      <c r="I708" s="1275"/>
    </row>
    <row r="709" spans="1:9" x14ac:dyDescent="0.2">
      <c r="A709" s="248"/>
      <c r="B709" s="238"/>
      <c r="C709" s="243"/>
      <c r="D709" s="243"/>
      <c r="E709" s="260"/>
      <c r="F709" s="258"/>
      <c r="G709" s="300"/>
      <c r="H709" s="244"/>
      <c r="I709" s="249"/>
    </row>
    <row r="710" spans="1:9" x14ac:dyDescent="0.2">
      <c r="A710" s="199"/>
      <c r="B710" s="233"/>
      <c r="C710" s="233"/>
      <c r="D710" s="199"/>
      <c r="E710" s="199"/>
      <c r="F710" s="234" t="s">
        <v>203</v>
      </c>
      <c r="G710" s="244"/>
      <c r="H710" s="245"/>
      <c r="I710" s="434">
        <f>SUM(I709:I709)</f>
        <v>0</v>
      </c>
    </row>
    <row r="711" spans="1:9" x14ac:dyDescent="0.2">
      <c r="A711" s="199"/>
      <c r="B711" s="233"/>
      <c r="C711" s="233"/>
      <c r="D711" s="199"/>
      <c r="E711" s="199"/>
      <c r="F711" s="199"/>
      <c r="G711" s="199"/>
      <c r="H711" s="199"/>
      <c r="I711" s="200"/>
    </row>
    <row r="712" spans="1:9" x14ac:dyDescent="0.2">
      <c r="A712" s="250" t="s">
        <v>204</v>
      </c>
      <c r="B712" s="247" t="s">
        <v>60</v>
      </c>
      <c r="C712" s="866" t="s">
        <v>17</v>
      </c>
      <c r="D712" s="247" t="s">
        <v>205</v>
      </c>
      <c r="E712" s="247" t="s">
        <v>206</v>
      </c>
      <c r="F712" s="247" t="s">
        <v>207</v>
      </c>
      <c r="G712" s="1276" t="s">
        <v>96</v>
      </c>
      <c r="H712" s="1274"/>
      <c r="I712" s="1275"/>
    </row>
    <row r="713" spans="1:9" x14ac:dyDescent="0.2">
      <c r="A713" s="248"/>
      <c r="B713" s="238"/>
      <c r="C713" s="243"/>
      <c r="D713" s="239"/>
      <c r="E713" s="251"/>
      <c r="F713" s="251"/>
      <c r="G713" s="244"/>
      <c r="H713" s="245"/>
      <c r="I713" s="249">
        <f>TRUNC(C713/100*I710,2)</f>
        <v>0</v>
      </c>
    </row>
    <row r="714" spans="1:9" x14ac:dyDescent="0.2">
      <c r="A714" s="199"/>
      <c r="B714" s="233"/>
      <c r="C714" s="199"/>
      <c r="D714" s="199"/>
      <c r="E714" s="199"/>
      <c r="F714" s="234" t="s">
        <v>1170</v>
      </c>
      <c r="G714" s="244"/>
      <c r="H714" s="245"/>
      <c r="I714" s="434">
        <f>SUM(I713)</f>
        <v>0</v>
      </c>
    </row>
    <row r="715" spans="1:9" x14ac:dyDescent="0.2">
      <c r="A715" s="199"/>
      <c r="B715" s="233"/>
      <c r="C715" s="199"/>
      <c r="D715" s="199"/>
      <c r="E715" s="199"/>
      <c r="F715" s="199"/>
      <c r="G715" s="199"/>
      <c r="H715" s="199"/>
      <c r="I715" s="200"/>
    </row>
    <row r="716" spans="1:9" x14ac:dyDescent="0.2">
      <c r="A716" s="252"/>
      <c r="B716" s="253"/>
      <c r="C716" s="254"/>
      <c r="D716" s="254"/>
      <c r="E716" s="254"/>
      <c r="F716" s="255" t="s">
        <v>208</v>
      </c>
      <c r="G716" s="435"/>
      <c r="H716" s="254"/>
      <c r="I716" s="634">
        <f>+I706+I710+I714</f>
        <v>0</v>
      </c>
    </row>
    <row r="717" spans="1:9" x14ac:dyDescent="0.2">
      <c r="A717" s="256"/>
      <c r="B717" s="257"/>
      <c r="C717" s="258"/>
      <c r="D717" s="258"/>
      <c r="E717" s="258"/>
      <c r="F717" s="259" t="s">
        <v>209</v>
      </c>
      <c r="G717" s="260"/>
      <c r="H717" s="258"/>
      <c r="I717" s="635">
        <v>1</v>
      </c>
    </row>
    <row r="718" spans="1:9" x14ac:dyDescent="0.2">
      <c r="A718" s="237"/>
      <c r="B718" s="261"/>
      <c r="C718" s="245"/>
      <c r="D718" s="245"/>
      <c r="E718" s="245"/>
      <c r="F718" s="262" t="s">
        <v>232</v>
      </c>
      <c r="G718" s="244"/>
      <c r="H718" s="245"/>
      <c r="I718" s="633">
        <f>TRUNC(I716/I717,2)</f>
        <v>0</v>
      </c>
    </row>
    <row r="719" spans="1:9" x14ac:dyDescent="0.2">
      <c r="A719" s="867"/>
      <c r="B719" s="233"/>
      <c r="C719" s="199"/>
      <c r="D719" s="199"/>
      <c r="E719" s="199"/>
      <c r="F719" s="263"/>
      <c r="G719" s="199"/>
      <c r="H719" s="199"/>
      <c r="I719" s="264"/>
    </row>
    <row r="720" spans="1:9" x14ac:dyDescent="0.2">
      <c r="A720" s="246" t="s">
        <v>210</v>
      </c>
      <c r="B720" s="247" t="s">
        <v>60</v>
      </c>
      <c r="C720" s="247" t="s">
        <v>211</v>
      </c>
      <c r="D720" s="247" t="s">
        <v>233</v>
      </c>
      <c r="E720" s="1276" t="s">
        <v>91</v>
      </c>
      <c r="F720" s="1274"/>
      <c r="G720" s="1275"/>
      <c r="H720" s="1276" t="s">
        <v>198</v>
      </c>
      <c r="I720" s="1275"/>
    </row>
    <row r="721" spans="1:17" x14ac:dyDescent="0.2">
      <c r="A721" s="265"/>
      <c r="B721" s="238"/>
      <c r="C721" s="266"/>
      <c r="D721" s="267"/>
      <c r="E721" s="260"/>
      <c r="F721" s="258"/>
      <c r="G721" s="300"/>
      <c r="H721" s="260"/>
      <c r="I721" s="268">
        <f>TRUNC(D721*G721,2)</f>
        <v>0</v>
      </c>
    </row>
    <row r="722" spans="1:17" x14ac:dyDescent="0.2">
      <c r="A722" s="199"/>
      <c r="B722" s="233"/>
      <c r="C722" s="199"/>
      <c r="D722" s="199"/>
      <c r="E722" s="199"/>
      <c r="F722" s="234" t="s">
        <v>212</v>
      </c>
      <c r="G722" s="244"/>
      <c r="H722" s="245"/>
      <c r="I722" s="434">
        <f>SUM(I721:I721)</f>
        <v>0</v>
      </c>
    </row>
    <row r="723" spans="1:17" x14ac:dyDescent="0.2">
      <c r="A723" s="199"/>
      <c r="B723" s="233"/>
      <c r="C723" s="199"/>
      <c r="D723" s="199"/>
      <c r="E723" s="199"/>
      <c r="F723" s="199"/>
      <c r="G723" s="269"/>
      <c r="H723" s="199"/>
      <c r="I723" s="200"/>
    </row>
    <row r="724" spans="1:17" x14ac:dyDescent="0.2">
      <c r="A724" s="270" t="s">
        <v>213</v>
      </c>
      <c r="B724" s="247" t="s">
        <v>60</v>
      </c>
      <c r="C724" s="247" t="s">
        <v>211</v>
      </c>
      <c r="D724" s="866" t="s">
        <v>233</v>
      </c>
      <c r="E724" s="1271" t="s">
        <v>91</v>
      </c>
      <c r="F724" s="1272"/>
      <c r="G724" s="1273"/>
      <c r="H724" s="1274" t="s">
        <v>198</v>
      </c>
      <c r="I724" s="1275"/>
    </row>
    <row r="725" spans="1:17" x14ac:dyDescent="0.2">
      <c r="A725" s="248" t="str">
        <f>VLOOKUP(B725,'DER 10-18'!$A:$E,2,FALSE)</f>
        <v>Caiação de meio fios, sarjetas, etc</v>
      </c>
      <c r="B725" s="238">
        <v>40658</v>
      </c>
      <c r="C725" s="238" t="str">
        <f>VLOOKUP(B725,'DER 10-18'!$A:$E,3,FALSE)</f>
        <v>M2</v>
      </c>
      <c r="D725" s="454">
        <f>TRUNC(VLOOKUP(B725,'DER 10-18'!$A:$F,6,FALSE)/(1+$I$4),2)</f>
        <v>4.7</v>
      </c>
      <c r="E725" s="260"/>
      <c r="F725" s="258"/>
      <c r="G725" s="300">
        <v>5.1100000000000003</v>
      </c>
      <c r="H725" s="244"/>
      <c r="I725" s="268">
        <f>TRUNC(D725*G725,2)</f>
        <v>24.01</v>
      </c>
    </row>
    <row r="726" spans="1:17" ht="22.5" x14ac:dyDescent="0.2">
      <c r="A726" s="452" t="str">
        <f>VLOOKUP(B726,'DER 10-18'!$A:$E,2,FALSE)</f>
        <v>Concreto estrutural fck = 15,0 MPa, tudo incluído</v>
      </c>
      <c r="B726" s="453">
        <v>40358</v>
      </c>
      <c r="C726" s="453" t="str">
        <f>VLOOKUP(B726,'DER 10-18'!$A:$E,3,FALSE)</f>
        <v>M3</v>
      </c>
      <c r="D726" s="454">
        <f>TRUNC(VLOOKUP(B726,'DER 10-18'!$A:$F,6,FALSE)/(1+$I$4),2)</f>
        <v>523.20000000000005</v>
      </c>
      <c r="E726" s="455"/>
      <c r="F726" s="456"/>
      <c r="G726" s="457">
        <v>1.34</v>
      </c>
      <c r="H726" s="458"/>
      <c r="I726" s="459">
        <f>TRUNC(D726*G726,2)</f>
        <v>701.08</v>
      </c>
      <c r="J726" s="451"/>
      <c r="K726" s="451"/>
      <c r="L726" s="198"/>
      <c r="M726" s="198"/>
      <c r="N726" s="198"/>
      <c r="O726" s="198"/>
      <c r="P726" s="198"/>
      <c r="Q726" s="198"/>
    </row>
    <row r="727" spans="1:17" s="198" customFormat="1" ht="22.5" x14ac:dyDescent="0.2">
      <c r="A727" s="452" t="str">
        <f>VLOOKUP(B727,'DER 10-18'!$A:$E,2,FALSE)</f>
        <v>Escavação manual em mat. 1ª cat. H= 0,00 a 1,50 m</v>
      </c>
      <c r="B727" s="453">
        <v>40258</v>
      </c>
      <c r="C727" s="453" t="str">
        <f>VLOOKUP(B727,'DER 10-18'!$A:$E,3,FALSE)</f>
        <v>M3</v>
      </c>
      <c r="D727" s="454">
        <f>TRUNC(VLOOKUP(B727,'DER 10-18'!$A:$F,6,FALSE)/(1+$I$4),2)</f>
        <v>52.61</v>
      </c>
      <c r="E727" s="455"/>
      <c r="F727" s="456"/>
      <c r="G727" s="457">
        <v>2.79</v>
      </c>
      <c r="H727" s="458"/>
      <c r="I727" s="459">
        <f>TRUNC(D727*G727,2)</f>
        <v>146.78</v>
      </c>
      <c r="J727" s="451"/>
      <c r="K727" s="451"/>
    </row>
    <row r="728" spans="1:17" s="198" customFormat="1" ht="45" x14ac:dyDescent="0.2">
      <c r="A728" s="452" t="str">
        <f>VLOOKUP(B728,'DER 10-18'!$A:$E,2,FALSE)</f>
        <v>Formas planas de madeira com 02 (dois) reaproveitamentos, inclusive fornecimento e transporte das madeiras</v>
      </c>
      <c r="B728" s="453">
        <v>40312</v>
      </c>
      <c r="C728" s="453" t="str">
        <f>VLOOKUP(B728,'DER 10-18'!$A:$E,3,FALSE)</f>
        <v>M2</v>
      </c>
      <c r="D728" s="454">
        <f>TRUNC(VLOOKUP(B728,'DER 10-18'!$A:$F,6,FALSE)/(1+$I$4),2)</f>
        <v>75.55</v>
      </c>
      <c r="E728" s="455"/>
      <c r="F728" s="456"/>
      <c r="G728" s="457">
        <v>5.1100000000000003</v>
      </c>
      <c r="H728" s="458"/>
      <c r="I728" s="459">
        <f>TRUNC(D728*G728,2)</f>
        <v>386.06</v>
      </c>
      <c r="J728" s="451"/>
      <c r="K728" s="451"/>
    </row>
    <row r="729" spans="1:17" s="198" customFormat="1" x14ac:dyDescent="0.2">
      <c r="A729" s="201"/>
      <c r="B729" s="271"/>
      <c r="C729" s="201"/>
      <c r="D729" s="201"/>
      <c r="E729" s="201"/>
      <c r="F729" s="272" t="s">
        <v>214</v>
      </c>
      <c r="G729" s="260"/>
      <c r="H729" s="273"/>
      <c r="I729" s="436">
        <f>SUM(I725:I728)</f>
        <v>1257.93</v>
      </c>
      <c r="J729" s="433"/>
      <c r="K729" s="433"/>
      <c r="L729" s="302"/>
      <c r="M729" s="302"/>
      <c r="N729" s="302"/>
      <c r="O729" s="302"/>
      <c r="P729" s="302"/>
      <c r="Q729" s="302"/>
    </row>
    <row r="730" spans="1:17" x14ac:dyDescent="0.2">
      <c r="A730" s="201"/>
      <c r="B730" s="271"/>
      <c r="C730" s="201"/>
      <c r="D730" s="201"/>
      <c r="E730" s="201"/>
      <c r="F730" s="201"/>
      <c r="G730" s="201"/>
      <c r="H730" s="201"/>
      <c r="I730" s="201"/>
    </row>
    <row r="731" spans="1:17" x14ac:dyDescent="0.2">
      <c r="A731" s="274" t="s">
        <v>215</v>
      </c>
      <c r="B731" s="275" t="s">
        <v>60</v>
      </c>
      <c r="C731" s="275" t="s">
        <v>211</v>
      </c>
      <c r="D731" s="275" t="s">
        <v>216</v>
      </c>
      <c r="E731" s="275" t="s">
        <v>217</v>
      </c>
      <c r="F731" s="275" t="s">
        <v>218</v>
      </c>
      <c r="G731" s="275" t="s">
        <v>96</v>
      </c>
      <c r="H731" s="275" t="s">
        <v>91</v>
      </c>
      <c r="I731" s="275" t="s">
        <v>219</v>
      </c>
    </row>
    <row r="732" spans="1:17" x14ac:dyDescent="0.2">
      <c r="A732" s="248"/>
      <c r="B732" s="238"/>
      <c r="C732" s="238"/>
      <c r="D732" s="437"/>
      <c r="E732" s="277"/>
      <c r="F732" s="277"/>
      <c r="G732" s="243"/>
      <c r="H732" s="278"/>
      <c r="I732" s="243"/>
    </row>
    <row r="733" spans="1:17" x14ac:dyDescent="0.2">
      <c r="A733" s="201"/>
      <c r="B733" s="271"/>
      <c r="C733" s="201"/>
      <c r="D733" s="201"/>
      <c r="E733" s="201"/>
      <c r="F733" s="272" t="s">
        <v>220</v>
      </c>
      <c r="G733" s="244"/>
      <c r="H733" s="279"/>
      <c r="I733" s="438">
        <f>SUM(I732:I732)</f>
        <v>0</v>
      </c>
    </row>
    <row r="734" spans="1:17" x14ac:dyDescent="0.2">
      <c r="A734" s="201"/>
      <c r="B734" s="271"/>
      <c r="C734" s="201"/>
      <c r="D734" s="201"/>
      <c r="E734" s="201"/>
      <c r="F734" s="201"/>
      <c r="G734" s="201"/>
      <c r="H734" s="201"/>
      <c r="I734" s="202"/>
    </row>
    <row r="735" spans="1:17" x14ac:dyDescent="0.2">
      <c r="A735" s="280"/>
      <c r="B735" s="281"/>
      <c r="C735" s="282"/>
      <c r="D735" s="282"/>
      <c r="E735" s="282"/>
      <c r="F735" s="283" t="s">
        <v>221</v>
      </c>
      <c r="G735" s="280"/>
      <c r="H735" s="254"/>
      <c r="I735" s="634">
        <f>+I718+I722+I729+I733</f>
        <v>1257.93</v>
      </c>
    </row>
    <row r="736" spans="1:17" x14ac:dyDescent="0.2">
      <c r="A736" s="260"/>
      <c r="B736" s="284"/>
      <c r="C736" s="273"/>
      <c r="D736" s="273"/>
      <c r="E736" s="273"/>
      <c r="F736" s="285" t="str">
        <f>CONCATENATE($H$3," ",$I$3)</f>
        <v>BDI: 23,32</v>
      </c>
      <c r="G736" s="439"/>
      <c r="H736" s="258"/>
      <c r="I736" s="635">
        <f>+ROUND(I735*$I$4,2)</f>
        <v>293.35000000000002</v>
      </c>
    </row>
    <row r="737" spans="1:13" x14ac:dyDescent="0.2">
      <c r="A737" s="244"/>
      <c r="B737" s="286"/>
      <c r="C737" s="279"/>
      <c r="D737" s="279"/>
      <c r="E737" s="279"/>
      <c r="F737" s="287" t="s">
        <v>222</v>
      </c>
      <c r="G737" s="440"/>
      <c r="H737" s="245"/>
      <c r="I737" s="1017">
        <f>+I735+I736</f>
        <v>1551.28</v>
      </c>
    </row>
    <row r="738" spans="1:13" x14ac:dyDescent="0.2">
      <c r="A738" s="1277" t="str">
        <f>$A$1</f>
        <v>COMPOSIÇÃO DE CUSTOS UNITÁRIOS</v>
      </c>
      <c r="B738" s="1277"/>
      <c r="C738" s="1277"/>
      <c r="D738" s="1277"/>
      <c r="E738" s="1277"/>
      <c r="F738" s="1277"/>
      <c r="G738" s="1277"/>
      <c r="H738" s="1277"/>
      <c r="I738" s="1277"/>
    </row>
    <row r="739" spans="1:13" x14ac:dyDescent="0.2">
      <c r="A739" s="232" t="str">
        <f>$A$2</f>
        <v>Tabela Referencial de Preços - DER-ES</v>
      </c>
      <c r="B739" s="233"/>
      <c r="C739" s="199"/>
      <c r="D739" s="199"/>
      <c r="E739" s="199"/>
      <c r="F739" s="199"/>
      <c r="G739" s="199"/>
      <c r="H739" s="199"/>
      <c r="I739" s="234" t="str">
        <f>$I$2</f>
        <v>Data Base: Outubro/2018</v>
      </c>
    </row>
    <row r="740" spans="1:13" x14ac:dyDescent="0.2">
      <c r="A740" s="1278" t="str">
        <f>+CONCATENATE("Serviço: ",J740," ",VLOOKUP(J740,'DER 10-18'!$A:$D,2,FALSE))</f>
        <v>Serviço: 40683 Descida d'água concreto armado (degraus) c/ caiação (DSA-03A) degrau</v>
      </c>
      <c r="B740" s="1278"/>
      <c r="C740" s="1278"/>
      <c r="D740" s="1278"/>
      <c r="E740" s="1278"/>
      <c r="F740" s="1278"/>
      <c r="G740" s="1278"/>
      <c r="H740" s="1278"/>
      <c r="I740" s="1278" t="str">
        <f>CONCATENATE("Unidade: ", VLOOKUP(J740,'DER 10-18'!$A:$E,3,FALSE))</f>
        <v>Unidade: M</v>
      </c>
      <c r="J740" s="433">
        <v>40683</v>
      </c>
      <c r="K740" s="433">
        <f>VLOOKUP("Preço Unitário Total",F741:I2939,4,FALSE)</f>
        <v>413.42</v>
      </c>
      <c r="L740" s="302">
        <f>VLOOKUP(J740,'DER 10-18'!A:E,5,FALSE)</f>
        <v>0</v>
      </c>
      <c r="M740" s="302" t="str">
        <f>VLOOKUP(J740,'DER 10-18'!$A:$D,2,FALSE)</f>
        <v>Descida d'água concreto armado (degraus) c/ caiação (DSA-03A) degrau</v>
      </c>
    </row>
    <row r="741" spans="1:13" x14ac:dyDescent="0.2">
      <c r="A741" s="1279"/>
      <c r="B741" s="1279"/>
      <c r="C741" s="1279"/>
      <c r="D741" s="1279"/>
      <c r="E741" s="1279"/>
      <c r="F741" s="1279"/>
      <c r="G741" s="1279"/>
      <c r="H741" s="1279"/>
      <c r="I741" s="1279"/>
    </row>
    <row r="742" spans="1:13" ht="22.5" x14ac:dyDescent="0.2">
      <c r="A742" s="235" t="s">
        <v>192</v>
      </c>
      <c r="B742" s="236" t="s">
        <v>60</v>
      </c>
      <c r="C742" s="236" t="s">
        <v>193</v>
      </c>
      <c r="D742" s="236" t="s">
        <v>194</v>
      </c>
      <c r="E742" s="236" t="s">
        <v>195</v>
      </c>
      <c r="F742" s="236" t="s">
        <v>196</v>
      </c>
      <c r="G742" s="236" t="s">
        <v>197</v>
      </c>
      <c r="H742" s="236" t="s">
        <v>91</v>
      </c>
      <c r="I742" s="236" t="s">
        <v>198</v>
      </c>
    </row>
    <row r="743" spans="1:13" x14ac:dyDescent="0.2">
      <c r="A743" s="199"/>
      <c r="B743" s="233"/>
      <c r="C743" s="233"/>
      <c r="D743" s="199"/>
      <c r="E743" s="199"/>
      <c r="F743" s="234" t="s">
        <v>199</v>
      </c>
      <c r="G743" s="244"/>
      <c r="H743" s="245"/>
      <c r="I743" s="434"/>
    </row>
    <row r="744" spans="1:13" x14ac:dyDescent="0.2">
      <c r="A744" s="199"/>
      <c r="B744" s="233"/>
      <c r="C744" s="233"/>
      <c r="D744" s="199"/>
      <c r="E744" s="199"/>
      <c r="F744" s="199"/>
      <c r="G744" s="199"/>
      <c r="H744" s="199"/>
      <c r="I744" s="200"/>
    </row>
    <row r="745" spans="1:13" x14ac:dyDescent="0.2">
      <c r="A745" s="246" t="s">
        <v>200</v>
      </c>
      <c r="B745" s="247" t="s">
        <v>60</v>
      </c>
      <c r="C745" s="236" t="s">
        <v>1242</v>
      </c>
      <c r="D745" s="247" t="s">
        <v>202</v>
      </c>
      <c r="E745" s="1271" t="s">
        <v>91</v>
      </c>
      <c r="F745" s="1272"/>
      <c r="G745" s="1273"/>
      <c r="H745" s="1276" t="s">
        <v>198</v>
      </c>
      <c r="I745" s="1275"/>
    </row>
    <row r="746" spans="1:13" x14ac:dyDescent="0.2">
      <c r="A746" s="199"/>
      <c r="B746" s="233"/>
      <c r="C746" s="233"/>
      <c r="D746" s="199"/>
      <c r="E746" s="199"/>
      <c r="F746" s="234" t="s">
        <v>203</v>
      </c>
      <c r="G746" s="244"/>
      <c r="H746" s="245"/>
      <c r="I746" s="434"/>
    </row>
    <row r="747" spans="1:13" x14ac:dyDescent="0.2">
      <c r="A747" s="199"/>
      <c r="B747" s="233"/>
      <c r="C747" s="233"/>
      <c r="D747" s="199"/>
      <c r="E747" s="199"/>
      <c r="F747" s="199"/>
      <c r="G747" s="199"/>
      <c r="H747" s="199"/>
      <c r="I747" s="200"/>
    </row>
    <row r="748" spans="1:13" x14ac:dyDescent="0.2">
      <c r="A748" s="250" t="s">
        <v>204</v>
      </c>
      <c r="B748" s="247" t="s">
        <v>60</v>
      </c>
      <c r="C748" s="866" t="s">
        <v>17</v>
      </c>
      <c r="D748" s="247" t="s">
        <v>205</v>
      </c>
      <c r="E748" s="247" t="s">
        <v>206</v>
      </c>
      <c r="F748" s="247" t="s">
        <v>207</v>
      </c>
      <c r="G748" s="1276" t="s">
        <v>96</v>
      </c>
      <c r="H748" s="1274"/>
      <c r="I748" s="1275"/>
    </row>
    <row r="749" spans="1:13" x14ac:dyDescent="0.2">
      <c r="A749" s="199"/>
      <c r="B749" s="233"/>
      <c r="C749" s="199"/>
      <c r="D749" s="199"/>
      <c r="E749" s="199"/>
      <c r="F749" s="234" t="s">
        <v>1170</v>
      </c>
      <c r="G749" s="244"/>
      <c r="H749" s="245"/>
      <c r="I749" s="434"/>
    </row>
    <row r="750" spans="1:13" x14ac:dyDescent="0.2">
      <c r="A750" s="199"/>
      <c r="B750" s="233"/>
      <c r="C750" s="199"/>
      <c r="D750" s="199"/>
      <c r="E750" s="199"/>
      <c r="F750" s="199"/>
      <c r="G750" s="199"/>
      <c r="H750" s="199"/>
      <c r="I750" s="200"/>
    </row>
    <row r="751" spans="1:13" x14ac:dyDescent="0.2">
      <c r="A751" s="252"/>
      <c r="B751" s="253"/>
      <c r="C751" s="254"/>
      <c r="D751" s="254"/>
      <c r="E751" s="254"/>
      <c r="F751" s="255" t="s">
        <v>208</v>
      </c>
      <c r="G751" s="435"/>
      <c r="H751" s="254"/>
      <c r="I751" s="634">
        <f>+I743+I746+I749</f>
        <v>0</v>
      </c>
    </row>
    <row r="752" spans="1:13" x14ac:dyDescent="0.2">
      <c r="A752" s="256"/>
      <c r="B752" s="257"/>
      <c r="C752" s="258"/>
      <c r="D752" s="258"/>
      <c r="E752" s="258"/>
      <c r="F752" s="259" t="s">
        <v>209</v>
      </c>
      <c r="G752" s="260"/>
      <c r="H752" s="258"/>
      <c r="I752" s="635">
        <v>1</v>
      </c>
    </row>
    <row r="753" spans="1:17" x14ac:dyDescent="0.2">
      <c r="A753" s="237"/>
      <c r="B753" s="261"/>
      <c r="C753" s="245"/>
      <c r="D753" s="245"/>
      <c r="E753" s="245"/>
      <c r="F753" s="262" t="s">
        <v>232</v>
      </c>
      <c r="G753" s="244"/>
      <c r="H753" s="245"/>
      <c r="I753" s="633">
        <f>TRUNC(I751/I752,2)</f>
        <v>0</v>
      </c>
    </row>
    <row r="754" spans="1:17" x14ac:dyDescent="0.2">
      <c r="A754" s="867"/>
      <c r="B754" s="233"/>
      <c r="C754" s="199"/>
      <c r="D754" s="199"/>
      <c r="E754" s="199"/>
      <c r="F754" s="263"/>
      <c r="G754" s="199"/>
      <c r="H754" s="199"/>
      <c r="I754" s="264"/>
    </row>
    <row r="755" spans="1:17" x14ac:dyDescent="0.2">
      <c r="A755" s="246" t="s">
        <v>210</v>
      </c>
      <c r="B755" s="247" t="s">
        <v>60</v>
      </c>
      <c r="C755" s="247" t="s">
        <v>211</v>
      </c>
      <c r="D755" s="247" t="s">
        <v>233</v>
      </c>
      <c r="E755" s="1276" t="s">
        <v>91</v>
      </c>
      <c r="F755" s="1274"/>
      <c r="G755" s="1275"/>
      <c r="H755" s="1276" t="s">
        <v>198</v>
      </c>
      <c r="I755" s="1275"/>
    </row>
    <row r="756" spans="1:17" x14ac:dyDescent="0.2">
      <c r="A756" s="199"/>
      <c r="B756" s="233"/>
      <c r="C756" s="199"/>
      <c r="D756" s="199"/>
      <c r="E756" s="199"/>
      <c r="F756" s="234" t="s">
        <v>212</v>
      </c>
      <c r="G756" s="244"/>
      <c r="H756" s="245"/>
      <c r="I756" s="434"/>
    </row>
    <row r="757" spans="1:17" x14ac:dyDescent="0.2">
      <c r="A757" s="199"/>
      <c r="B757" s="233"/>
      <c r="C757" s="199"/>
      <c r="D757" s="199"/>
      <c r="E757" s="199"/>
      <c r="F757" s="199"/>
      <c r="G757" s="269"/>
      <c r="H757" s="199"/>
      <c r="I757" s="200"/>
    </row>
    <row r="758" spans="1:17" x14ac:dyDescent="0.2">
      <c r="A758" s="467" t="s">
        <v>213</v>
      </c>
      <c r="B758" s="468" t="s">
        <v>60</v>
      </c>
      <c r="C758" s="468" t="s">
        <v>211</v>
      </c>
      <c r="D758" s="869" t="s">
        <v>233</v>
      </c>
      <c r="E758" s="1281" t="s">
        <v>91</v>
      </c>
      <c r="F758" s="1282"/>
      <c r="G758" s="1283"/>
      <c r="H758" s="1284" t="s">
        <v>198</v>
      </c>
      <c r="I758" s="1285"/>
      <c r="J758" s="451"/>
      <c r="K758" s="451"/>
      <c r="L758" s="198"/>
      <c r="M758" s="198"/>
      <c r="N758" s="198"/>
      <c r="O758" s="198"/>
      <c r="P758" s="198"/>
      <c r="Q758" s="198"/>
    </row>
    <row r="759" spans="1:17" ht="33.75" x14ac:dyDescent="0.2">
      <c r="A759" s="452" t="str">
        <f>VLOOKUP(B759,'DER 10-18'!$A:$E,2,FALSE)</f>
        <v>Aço CA-50, fornecimento, dobragem e colocação nas formas (preço médio das bitolas)</v>
      </c>
      <c r="B759" s="453">
        <v>40376</v>
      </c>
      <c r="C759" s="453" t="str">
        <f>VLOOKUP(B759,'DER 10-18'!$A:$E,3,FALSE)</f>
        <v>kg</v>
      </c>
      <c r="D759" s="454">
        <f>TRUNC(VLOOKUP(B759,'DER 10-18'!$A:$F,6,FALSE)/(1+$I$4),2)</f>
        <v>7.89</v>
      </c>
      <c r="E759" s="455"/>
      <c r="F759" s="456"/>
      <c r="G759" s="457">
        <v>2</v>
      </c>
      <c r="H759" s="458"/>
      <c r="I759" s="459">
        <f>TRUNC(D759*G759,2)</f>
        <v>15.78</v>
      </c>
      <c r="J759" s="451"/>
      <c r="K759" s="451"/>
      <c r="L759" s="198"/>
      <c r="M759" s="198"/>
      <c r="N759" s="198"/>
      <c r="O759" s="198"/>
      <c r="P759" s="198"/>
      <c r="Q759" s="198"/>
    </row>
    <row r="760" spans="1:17" x14ac:dyDescent="0.2">
      <c r="A760" s="452" t="str">
        <f>VLOOKUP(B760,'DER 10-18'!$A:$E,2,FALSE)</f>
        <v>Caiação de meio fios, sarjetas, etc</v>
      </c>
      <c r="B760" s="453">
        <v>40658</v>
      </c>
      <c r="C760" s="453" t="str">
        <f>VLOOKUP(B760,'DER 10-18'!$A:$E,3,FALSE)</f>
        <v>M2</v>
      </c>
      <c r="D760" s="454">
        <f>TRUNC(VLOOKUP(B760,'DER 10-18'!$A:$F,6,FALSE)/(1+$I$4),2)</f>
        <v>4.7</v>
      </c>
      <c r="E760" s="455"/>
      <c r="F760" s="456"/>
      <c r="G760" s="457">
        <v>2.44</v>
      </c>
      <c r="H760" s="458"/>
      <c r="I760" s="459">
        <f>TRUNC(D760*G760,2)</f>
        <v>11.46</v>
      </c>
      <c r="J760" s="451"/>
      <c r="K760" s="451"/>
      <c r="L760" s="198"/>
      <c r="M760" s="198"/>
      <c r="N760" s="198"/>
      <c r="O760" s="198"/>
      <c r="P760" s="198"/>
      <c r="Q760" s="198"/>
    </row>
    <row r="761" spans="1:17" ht="22.5" x14ac:dyDescent="0.2">
      <c r="A761" s="452" t="str">
        <f>VLOOKUP(B761,'DER 10-18'!$A:$E,2,FALSE)</f>
        <v>Concreto estrutural fck = 15,0 MPa, tudo incluído</v>
      </c>
      <c r="B761" s="453">
        <v>40358</v>
      </c>
      <c r="C761" s="453" t="str">
        <f>VLOOKUP(B761,'DER 10-18'!$A:$E,3,FALSE)</f>
        <v>M3</v>
      </c>
      <c r="D761" s="454">
        <f>TRUNC(VLOOKUP(B761,'DER 10-18'!$A:$F,6,FALSE)/(1+$I$4),2)</f>
        <v>523.20000000000005</v>
      </c>
      <c r="E761" s="455"/>
      <c r="F761" s="456"/>
      <c r="G761" s="457">
        <v>0.33</v>
      </c>
      <c r="H761" s="458"/>
      <c r="I761" s="459">
        <f>TRUNC(D761*G761,2)</f>
        <v>172.65</v>
      </c>
      <c r="J761" s="451"/>
      <c r="K761" s="451"/>
      <c r="L761" s="198"/>
      <c r="M761" s="198"/>
      <c r="N761" s="198"/>
      <c r="O761" s="198"/>
      <c r="P761" s="198"/>
      <c r="Q761" s="198"/>
    </row>
    <row r="762" spans="1:17" ht="22.5" x14ac:dyDescent="0.2">
      <c r="A762" s="452" t="str">
        <f>VLOOKUP(B762,'DER 10-18'!$A:$E,2,FALSE)</f>
        <v>Escavação manual em mat. 1ª cat. H= 0,00 a 1,50 m</v>
      </c>
      <c r="B762" s="453">
        <v>40258</v>
      </c>
      <c r="C762" s="453" t="str">
        <f>VLOOKUP(B762,'DER 10-18'!$A:$E,3,FALSE)</f>
        <v>M3</v>
      </c>
      <c r="D762" s="454">
        <f>TRUNC(VLOOKUP(B762,'DER 10-18'!$A:$F,6,FALSE)/(1+$I$4),2)</f>
        <v>52.61</v>
      </c>
      <c r="E762" s="455"/>
      <c r="F762" s="456"/>
      <c r="G762" s="457">
        <v>1.18</v>
      </c>
      <c r="H762" s="458"/>
      <c r="I762" s="459">
        <f>TRUNC(D762*G762,2)</f>
        <v>62.07</v>
      </c>
      <c r="J762" s="451"/>
      <c r="K762" s="451"/>
      <c r="L762" s="198"/>
      <c r="M762" s="198"/>
      <c r="N762" s="198"/>
      <c r="O762" s="198"/>
      <c r="P762" s="198"/>
      <c r="Q762" s="198"/>
    </row>
    <row r="763" spans="1:17" ht="45" x14ac:dyDescent="0.2">
      <c r="A763" s="452" t="str">
        <f>VLOOKUP(B763,'DER 10-18'!$A:$E,2,FALSE)</f>
        <v>Formas planas de madeira com 02 (dois) reaproveitamentos, inclusive fornecimento e transporte das madeiras</v>
      </c>
      <c r="B763" s="453">
        <v>40312</v>
      </c>
      <c r="C763" s="453" t="str">
        <f>VLOOKUP(B763,'DER 10-18'!$A:$E,3,FALSE)</f>
        <v>M2</v>
      </c>
      <c r="D763" s="454">
        <f>TRUNC(VLOOKUP(B763,'DER 10-18'!$A:$F,6,FALSE)/(1+$I$4),2)</f>
        <v>75.55</v>
      </c>
      <c r="E763" s="455"/>
      <c r="F763" s="456"/>
      <c r="G763" s="457">
        <v>0.97</v>
      </c>
      <c r="H763" s="458"/>
      <c r="I763" s="459">
        <f>TRUNC(D763*G763,2)</f>
        <v>73.28</v>
      </c>
      <c r="J763" s="451"/>
      <c r="K763" s="451"/>
      <c r="L763" s="198"/>
      <c r="M763" s="198"/>
      <c r="N763" s="198"/>
      <c r="O763" s="198"/>
      <c r="P763" s="198"/>
      <c r="Q763" s="198"/>
    </row>
    <row r="764" spans="1:17" x14ac:dyDescent="0.2">
      <c r="A764" s="201"/>
      <c r="B764" s="271"/>
      <c r="C764" s="201"/>
      <c r="D764" s="201"/>
      <c r="E764" s="201"/>
      <c r="F764" s="272" t="s">
        <v>214</v>
      </c>
      <c r="G764" s="260"/>
      <c r="H764" s="273"/>
      <c r="I764" s="436">
        <f>SUM(I759:I763)</f>
        <v>335.24</v>
      </c>
    </row>
    <row r="765" spans="1:17" x14ac:dyDescent="0.2">
      <c r="A765" s="201"/>
      <c r="B765" s="271"/>
      <c r="C765" s="201"/>
      <c r="D765" s="201"/>
      <c r="E765" s="201"/>
      <c r="F765" s="201"/>
      <c r="G765" s="201"/>
      <c r="H765" s="201"/>
      <c r="I765" s="201"/>
    </row>
    <row r="766" spans="1:17" s="198" customFormat="1" x14ac:dyDescent="0.2">
      <c r="A766" s="274" t="s">
        <v>215</v>
      </c>
      <c r="B766" s="275" t="s">
        <v>60</v>
      </c>
      <c r="C766" s="275" t="s">
        <v>211</v>
      </c>
      <c r="D766" s="275" t="s">
        <v>216</v>
      </c>
      <c r="E766" s="275" t="s">
        <v>217</v>
      </c>
      <c r="F766" s="275" t="s">
        <v>218</v>
      </c>
      <c r="G766" s="275" t="s">
        <v>96</v>
      </c>
      <c r="H766" s="275" t="s">
        <v>91</v>
      </c>
      <c r="I766" s="275" t="s">
        <v>219</v>
      </c>
      <c r="J766" s="433"/>
      <c r="K766" s="433"/>
      <c r="L766" s="302"/>
      <c r="M766" s="302"/>
      <c r="N766" s="302"/>
      <c r="O766" s="302"/>
      <c r="P766" s="302"/>
      <c r="Q766" s="302"/>
    </row>
    <row r="767" spans="1:17" s="198" customFormat="1" x14ac:dyDescent="0.2">
      <c r="A767" s="201"/>
      <c r="B767" s="271"/>
      <c r="C767" s="201"/>
      <c r="D767" s="201"/>
      <c r="E767" s="201"/>
      <c r="F767" s="272" t="s">
        <v>220</v>
      </c>
      <c r="G767" s="244"/>
      <c r="H767" s="279"/>
      <c r="I767" s="438"/>
      <c r="J767" s="433"/>
      <c r="K767" s="433"/>
      <c r="L767" s="302"/>
      <c r="M767" s="302"/>
      <c r="N767" s="302"/>
      <c r="O767" s="302"/>
      <c r="P767" s="302"/>
      <c r="Q767" s="302"/>
    </row>
    <row r="768" spans="1:17" s="198" customFormat="1" x14ac:dyDescent="0.2">
      <c r="A768" s="201"/>
      <c r="B768" s="271"/>
      <c r="C768" s="201"/>
      <c r="D768" s="201"/>
      <c r="E768" s="201"/>
      <c r="F768" s="201"/>
      <c r="G768" s="201"/>
      <c r="H768" s="201"/>
      <c r="I768" s="202"/>
      <c r="J768" s="433"/>
      <c r="K768" s="433"/>
      <c r="L768" s="302"/>
      <c r="M768" s="302"/>
      <c r="N768" s="302"/>
      <c r="O768" s="302"/>
      <c r="P768" s="302"/>
      <c r="Q768" s="302"/>
    </row>
    <row r="769" spans="1:13" x14ac:dyDescent="0.2">
      <c r="A769" s="280"/>
      <c r="B769" s="281"/>
      <c r="C769" s="282"/>
      <c r="D769" s="282"/>
      <c r="E769" s="282"/>
      <c r="F769" s="283" t="s">
        <v>221</v>
      </c>
      <c r="G769" s="280"/>
      <c r="H769" s="254"/>
      <c r="I769" s="634">
        <f>+I753+I756+I764+I767</f>
        <v>335.24</v>
      </c>
    </row>
    <row r="770" spans="1:13" x14ac:dyDescent="0.2">
      <c r="A770" s="260"/>
      <c r="B770" s="284"/>
      <c r="C770" s="273"/>
      <c r="D770" s="273"/>
      <c r="E770" s="273"/>
      <c r="F770" s="285" t="str">
        <f>CONCATENATE($H$3," ",$I$3)</f>
        <v>BDI: 23,32</v>
      </c>
      <c r="G770" s="439"/>
      <c r="H770" s="258"/>
      <c r="I770" s="635">
        <f>+ROUND(I769*$I$4,2)</f>
        <v>78.180000000000007</v>
      </c>
    </row>
    <row r="771" spans="1:13" x14ac:dyDescent="0.2">
      <c r="A771" s="244"/>
      <c r="B771" s="286"/>
      <c r="C771" s="279"/>
      <c r="D771" s="279"/>
      <c r="E771" s="279"/>
      <c r="F771" s="287" t="s">
        <v>222</v>
      </c>
      <c r="G771" s="440"/>
      <c r="H771" s="245"/>
      <c r="I771" s="1017">
        <f>+I769+I770</f>
        <v>413.42</v>
      </c>
    </row>
    <row r="772" spans="1:13" x14ac:dyDescent="0.2">
      <c r="A772" s="1277" t="str">
        <f>$A$1</f>
        <v>COMPOSIÇÃO DE CUSTOS UNITÁRIOS</v>
      </c>
      <c r="B772" s="1277"/>
      <c r="C772" s="1277"/>
      <c r="D772" s="1277"/>
      <c r="E772" s="1277"/>
      <c r="F772" s="1277"/>
      <c r="G772" s="1277"/>
      <c r="H772" s="1277"/>
      <c r="I772" s="1277"/>
    </row>
    <row r="773" spans="1:13" x14ac:dyDescent="0.2">
      <c r="A773" s="232" t="str">
        <f>$A$2</f>
        <v>Tabela Referencial de Preços - DER-ES</v>
      </c>
      <c r="B773" s="233"/>
      <c r="C773" s="199"/>
      <c r="D773" s="199"/>
      <c r="E773" s="199"/>
      <c r="F773" s="199"/>
      <c r="G773" s="199"/>
      <c r="H773" s="199"/>
      <c r="I773" s="234" t="str">
        <f>$I$2</f>
        <v>Data Base: Outubro/2018</v>
      </c>
    </row>
    <row r="774" spans="1:13" x14ac:dyDescent="0.2">
      <c r="A774" s="1278" t="str">
        <f>+CONCATENATE("Serviço: ",J774," ",VLOOKUP(J774,'DER 10-18'!$A:$D,2,FALSE))</f>
        <v>Serviço: 40684 Descida d'água concreto armado (degraus) c/ caiação (DSA-03A) apoio</v>
      </c>
      <c r="B774" s="1278"/>
      <c r="C774" s="1278"/>
      <c r="D774" s="1278"/>
      <c r="E774" s="1278"/>
      <c r="F774" s="1278"/>
      <c r="G774" s="1278"/>
      <c r="H774" s="1278"/>
      <c r="I774" s="1278" t="str">
        <f>CONCATENATE("Unidade: ", VLOOKUP(J774,'DER 10-18'!$A:$E,3,FALSE))</f>
        <v>Unidade: Ud</v>
      </c>
      <c r="J774" s="433">
        <v>40684</v>
      </c>
      <c r="K774" s="433">
        <f>VLOOKUP("Preço Unitário Total",F775:I2973,4,FALSE)</f>
        <v>849.87</v>
      </c>
      <c r="L774" s="302">
        <f>VLOOKUP(J774,'DER 10-18'!A:E,5,FALSE)</f>
        <v>0</v>
      </c>
      <c r="M774" s="302" t="str">
        <f>VLOOKUP(J774,'DER 10-18'!$A:$D,2,FALSE)</f>
        <v>Descida d'água concreto armado (degraus) c/ caiação (DSA-03A) apoio</v>
      </c>
    </row>
    <row r="775" spans="1:13" x14ac:dyDescent="0.2">
      <c r="A775" s="1279"/>
      <c r="B775" s="1279"/>
      <c r="C775" s="1279"/>
      <c r="D775" s="1279"/>
      <c r="E775" s="1279"/>
      <c r="F775" s="1279"/>
      <c r="G775" s="1279"/>
      <c r="H775" s="1279"/>
      <c r="I775" s="1279"/>
    </row>
    <row r="776" spans="1:13" ht="22.5" x14ac:dyDescent="0.2">
      <c r="A776" s="235" t="s">
        <v>192</v>
      </c>
      <c r="B776" s="236" t="s">
        <v>60</v>
      </c>
      <c r="C776" s="236" t="s">
        <v>193</v>
      </c>
      <c r="D776" s="236" t="s">
        <v>194</v>
      </c>
      <c r="E776" s="236" t="s">
        <v>195</v>
      </c>
      <c r="F776" s="236" t="s">
        <v>196</v>
      </c>
      <c r="G776" s="236" t="s">
        <v>197</v>
      </c>
      <c r="H776" s="236" t="s">
        <v>91</v>
      </c>
      <c r="I776" s="236" t="s">
        <v>198</v>
      </c>
    </row>
    <row r="777" spans="1:13" x14ac:dyDescent="0.2">
      <c r="A777" s="199"/>
      <c r="B777" s="233"/>
      <c r="C777" s="233"/>
      <c r="D777" s="199"/>
      <c r="E777" s="199"/>
      <c r="F777" s="234" t="s">
        <v>199</v>
      </c>
      <c r="G777" s="244"/>
      <c r="H777" s="245"/>
      <c r="I777" s="434"/>
    </row>
    <row r="778" spans="1:13" x14ac:dyDescent="0.2">
      <c r="A778" s="199"/>
      <c r="B778" s="233"/>
      <c r="C778" s="233"/>
      <c r="D778" s="199"/>
      <c r="E778" s="199"/>
      <c r="F778" s="199"/>
      <c r="G778" s="199"/>
      <c r="H778" s="199"/>
      <c r="I778" s="200"/>
    </row>
    <row r="779" spans="1:13" x14ac:dyDescent="0.2">
      <c r="A779" s="246" t="s">
        <v>200</v>
      </c>
      <c r="B779" s="247" t="s">
        <v>60</v>
      </c>
      <c r="C779" s="236" t="s">
        <v>1242</v>
      </c>
      <c r="D779" s="247" t="s">
        <v>202</v>
      </c>
      <c r="E779" s="1271" t="s">
        <v>91</v>
      </c>
      <c r="F779" s="1272"/>
      <c r="G779" s="1273"/>
      <c r="H779" s="1276" t="s">
        <v>198</v>
      </c>
      <c r="I779" s="1275"/>
    </row>
    <row r="780" spans="1:13" x14ac:dyDescent="0.2">
      <c r="A780" s="199"/>
      <c r="B780" s="233"/>
      <c r="C780" s="233"/>
      <c r="D780" s="199"/>
      <c r="E780" s="199"/>
      <c r="F780" s="234" t="s">
        <v>203</v>
      </c>
      <c r="G780" s="244"/>
      <c r="H780" s="245"/>
      <c r="I780" s="434"/>
    </row>
    <row r="781" spans="1:13" x14ac:dyDescent="0.2">
      <c r="A781" s="199"/>
      <c r="B781" s="233"/>
      <c r="C781" s="233"/>
      <c r="D781" s="199"/>
      <c r="E781" s="199"/>
      <c r="F781" s="199"/>
      <c r="G781" s="199"/>
      <c r="H781" s="199"/>
      <c r="I781" s="200"/>
    </row>
    <row r="782" spans="1:13" x14ac:dyDescent="0.2">
      <c r="A782" s="250" t="s">
        <v>204</v>
      </c>
      <c r="B782" s="247" t="s">
        <v>60</v>
      </c>
      <c r="C782" s="866" t="s">
        <v>17</v>
      </c>
      <c r="D782" s="247" t="s">
        <v>205</v>
      </c>
      <c r="E782" s="247" t="s">
        <v>206</v>
      </c>
      <c r="F782" s="247" t="s">
        <v>207</v>
      </c>
      <c r="G782" s="1276" t="s">
        <v>96</v>
      </c>
      <c r="H782" s="1274"/>
      <c r="I782" s="1275"/>
    </row>
    <row r="783" spans="1:13" x14ac:dyDescent="0.2">
      <c r="A783" s="199"/>
      <c r="B783" s="233"/>
      <c r="C783" s="199"/>
      <c r="D783" s="199"/>
      <c r="E783" s="199"/>
      <c r="F783" s="234" t="s">
        <v>1170</v>
      </c>
      <c r="G783" s="244"/>
      <c r="H783" s="245"/>
      <c r="I783" s="434"/>
    </row>
    <row r="784" spans="1:13" x14ac:dyDescent="0.2">
      <c r="A784" s="199"/>
      <c r="B784" s="233"/>
      <c r="C784" s="199"/>
      <c r="D784" s="199"/>
      <c r="E784" s="199"/>
      <c r="F784" s="199"/>
      <c r="G784" s="199"/>
      <c r="H784" s="199"/>
      <c r="I784" s="200"/>
    </row>
    <row r="785" spans="1:17" x14ac:dyDescent="0.2">
      <c r="A785" s="252"/>
      <c r="B785" s="253"/>
      <c r="C785" s="254"/>
      <c r="D785" s="254"/>
      <c r="E785" s="254"/>
      <c r="F785" s="255" t="s">
        <v>208</v>
      </c>
      <c r="G785" s="435"/>
      <c r="H785" s="254"/>
      <c r="I785" s="634">
        <f>+I777+I780+I783</f>
        <v>0</v>
      </c>
    </row>
    <row r="786" spans="1:17" x14ac:dyDescent="0.2">
      <c r="A786" s="256"/>
      <c r="B786" s="257"/>
      <c r="C786" s="258"/>
      <c r="D786" s="258"/>
      <c r="E786" s="258"/>
      <c r="F786" s="259" t="s">
        <v>209</v>
      </c>
      <c r="G786" s="260"/>
      <c r="H786" s="258"/>
      <c r="I786" s="635">
        <v>1</v>
      </c>
    </row>
    <row r="787" spans="1:17" x14ac:dyDescent="0.2">
      <c r="A787" s="237"/>
      <c r="B787" s="261"/>
      <c r="C787" s="245"/>
      <c r="D787" s="245"/>
      <c r="E787" s="245"/>
      <c r="F787" s="262" t="s">
        <v>232</v>
      </c>
      <c r="G787" s="244"/>
      <c r="H787" s="245"/>
      <c r="I787" s="633">
        <f>TRUNC(I785/I786,2)</f>
        <v>0</v>
      </c>
    </row>
    <row r="788" spans="1:17" x14ac:dyDescent="0.2">
      <c r="A788" s="867"/>
      <c r="B788" s="233"/>
      <c r="C788" s="199"/>
      <c r="D788" s="199"/>
      <c r="E788" s="199"/>
      <c r="F788" s="263"/>
      <c r="G788" s="199"/>
      <c r="H788" s="199"/>
      <c r="I788" s="264"/>
    </row>
    <row r="789" spans="1:17" x14ac:dyDescent="0.2">
      <c r="A789" s="246" t="s">
        <v>210</v>
      </c>
      <c r="B789" s="247" t="s">
        <v>60</v>
      </c>
      <c r="C789" s="247" t="s">
        <v>211</v>
      </c>
      <c r="D789" s="247" t="s">
        <v>233</v>
      </c>
      <c r="E789" s="1276" t="s">
        <v>91</v>
      </c>
      <c r="F789" s="1274"/>
      <c r="G789" s="1275"/>
      <c r="H789" s="1276" t="s">
        <v>198</v>
      </c>
      <c r="I789" s="1275"/>
    </row>
    <row r="790" spans="1:17" x14ac:dyDescent="0.2">
      <c r="A790" s="199"/>
      <c r="B790" s="233"/>
      <c r="C790" s="199"/>
      <c r="D790" s="199"/>
      <c r="E790" s="199"/>
      <c r="F790" s="234" t="s">
        <v>212</v>
      </c>
      <c r="G790" s="244"/>
      <c r="H790" s="245"/>
      <c r="I790" s="434"/>
    </row>
    <row r="791" spans="1:17" x14ac:dyDescent="0.2">
      <c r="A791" s="199"/>
      <c r="B791" s="233"/>
      <c r="C791" s="199"/>
      <c r="D791" s="199"/>
      <c r="E791" s="199"/>
      <c r="F791" s="199"/>
      <c r="G791" s="269"/>
      <c r="H791" s="199"/>
      <c r="I791" s="200"/>
    </row>
    <row r="792" spans="1:17" x14ac:dyDescent="0.2">
      <c r="A792" s="467" t="s">
        <v>213</v>
      </c>
      <c r="B792" s="468" t="s">
        <v>60</v>
      </c>
      <c r="C792" s="468" t="s">
        <v>211</v>
      </c>
      <c r="D792" s="869" t="s">
        <v>233</v>
      </c>
      <c r="E792" s="1281" t="s">
        <v>91</v>
      </c>
      <c r="F792" s="1282"/>
      <c r="G792" s="1283"/>
      <c r="H792" s="1284" t="s">
        <v>198</v>
      </c>
      <c r="I792" s="1285"/>
      <c r="J792" s="451"/>
      <c r="K792" s="451"/>
      <c r="L792" s="198"/>
      <c r="M792" s="198"/>
      <c r="N792" s="198"/>
      <c r="O792" s="198"/>
      <c r="P792" s="198"/>
      <c r="Q792" s="198"/>
    </row>
    <row r="793" spans="1:17" ht="33.75" x14ac:dyDescent="0.2">
      <c r="A793" s="452" t="str">
        <f>VLOOKUP(B793,'DER 10-18'!$A:$E,2,FALSE)</f>
        <v>Aço CA-50, fornecimento, dobragem e colocação nas formas (preço médio das bitolas)</v>
      </c>
      <c r="B793" s="453">
        <v>40376</v>
      </c>
      <c r="C793" s="453" t="str">
        <f>VLOOKUP(B793,'DER 10-18'!$A:$E,3,FALSE)</f>
        <v>kg</v>
      </c>
      <c r="D793" s="454">
        <f>TRUNC(VLOOKUP(B793,'DER 10-18'!$A:$F,6,FALSE)/(1+$I$4),2)</f>
        <v>7.89</v>
      </c>
      <c r="E793" s="455"/>
      <c r="F793" s="456"/>
      <c r="G793" s="457">
        <v>5.85</v>
      </c>
      <c r="H793" s="458"/>
      <c r="I793" s="459">
        <f>TRUNC(D793*G793,2)</f>
        <v>46.15</v>
      </c>
      <c r="J793" s="451"/>
      <c r="K793" s="451"/>
      <c r="L793" s="198"/>
      <c r="M793" s="198"/>
      <c r="N793" s="198"/>
      <c r="O793" s="198"/>
      <c r="P793" s="198"/>
      <c r="Q793" s="198"/>
    </row>
    <row r="794" spans="1:17" x14ac:dyDescent="0.2">
      <c r="A794" s="452" t="str">
        <f>VLOOKUP(B794,'DER 10-18'!$A:$E,2,FALSE)</f>
        <v>Caiação de meio fios, sarjetas, etc</v>
      </c>
      <c r="B794" s="453">
        <v>40658</v>
      </c>
      <c r="C794" s="453" t="str">
        <f>VLOOKUP(B794,'DER 10-18'!$A:$E,3,FALSE)</f>
        <v>M2</v>
      </c>
      <c r="D794" s="454">
        <f>TRUNC(VLOOKUP(B794,'DER 10-18'!$A:$F,6,FALSE)/(1+$I$4),2)</f>
        <v>4.7</v>
      </c>
      <c r="E794" s="455"/>
      <c r="F794" s="456"/>
      <c r="G794" s="457">
        <v>3.5</v>
      </c>
      <c r="H794" s="458"/>
      <c r="I794" s="459">
        <f>TRUNC(D794*G794,2)</f>
        <v>16.45</v>
      </c>
      <c r="J794" s="451"/>
      <c r="K794" s="451"/>
      <c r="L794" s="198"/>
      <c r="M794" s="198"/>
      <c r="N794" s="198"/>
      <c r="O794" s="198"/>
      <c r="P794" s="198"/>
      <c r="Q794" s="198"/>
    </row>
    <row r="795" spans="1:17" ht="22.5" x14ac:dyDescent="0.2">
      <c r="A795" s="452" t="str">
        <f>VLOOKUP(B795,'DER 10-18'!$A:$E,2,FALSE)</f>
        <v>Concreto estrutural fck = 15,0 MPa, tudo incluído</v>
      </c>
      <c r="B795" s="453">
        <v>40358</v>
      </c>
      <c r="C795" s="453" t="str">
        <f>VLOOKUP(B795,'DER 10-18'!$A:$E,3,FALSE)</f>
        <v>M3</v>
      </c>
      <c r="D795" s="454">
        <f>TRUNC(VLOOKUP(B795,'DER 10-18'!$A:$F,6,FALSE)/(1+$I$4),2)</f>
        <v>523.20000000000005</v>
      </c>
      <c r="E795" s="455"/>
      <c r="F795" s="456"/>
      <c r="G795" s="457">
        <v>0.96</v>
      </c>
      <c r="H795" s="458"/>
      <c r="I795" s="459">
        <f>TRUNC(D795*G795,2)</f>
        <v>502.27</v>
      </c>
      <c r="J795" s="451"/>
      <c r="K795" s="451"/>
      <c r="L795" s="198"/>
      <c r="M795" s="198"/>
      <c r="N795" s="198"/>
      <c r="O795" s="198"/>
      <c r="P795" s="198"/>
      <c r="Q795" s="198"/>
    </row>
    <row r="796" spans="1:17" ht="22.5" x14ac:dyDescent="0.2">
      <c r="A796" s="452" t="str">
        <f>VLOOKUP(B796,'DER 10-18'!$A:$E,2,FALSE)</f>
        <v>Escavação manual em mat. 1ª cat. H= 0,00 a 1,50 m</v>
      </c>
      <c r="B796" s="453">
        <v>40258</v>
      </c>
      <c r="C796" s="453" t="str">
        <f>VLOOKUP(B796,'DER 10-18'!$A:$E,3,FALSE)</f>
        <v>M3</v>
      </c>
      <c r="D796" s="454">
        <f>TRUNC(VLOOKUP(B796,'DER 10-18'!$A:$F,6,FALSE)/(1+$I$4),2)</f>
        <v>52.61</v>
      </c>
      <c r="E796" s="455"/>
      <c r="F796" s="456"/>
      <c r="G796" s="457">
        <v>0.78300000000000003</v>
      </c>
      <c r="H796" s="458"/>
      <c r="I796" s="459">
        <f>TRUNC(D796*G796,2)</f>
        <v>41.19</v>
      </c>
      <c r="J796" s="451"/>
      <c r="K796" s="451"/>
      <c r="L796" s="198"/>
      <c r="M796" s="198"/>
      <c r="N796" s="198"/>
      <c r="O796" s="198"/>
      <c r="P796" s="198"/>
      <c r="Q796" s="198"/>
    </row>
    <row r="797" spans="1:17" ht="45" x14ac:dyDescent="0.2">
      <c r="A797" s="452" t="str">
        <f>VLOOKUP(B797,'DER 10-18'!$A:$E,2,FALSE)</f>
        <v>Formas planas de madeira com 02 (dois) reaproveitamentos, inclusive fornecimento e transporte das madeiras</v>
      </c>
      <c r="B797" s="453">
        <v>40312</v>
      </c>
      <c r="C797" s="453" t="str">
        <f>VLOOKUP(B797,'DER 10-18'!$A:$E,3,FALSE)</f>
        <v>M2</v>
      </c>
      <c r="D797" s="454">
        <f>TRUNC(VLOOKUP(B797,'DER 10-18'!$A:$F,6,FALSE)/(1+$I$4),2)</f>
        <v>75.55</v>
      </c>
      <c r="E797" s="455"/>
      <c r="F797" s="456"/>
      <c r="G797" s="457">
        <v>1.1000000000000001</v>
      </c>
      <c r="H797" s="458"/>
      <c r="I797" s="459">
        <f>TRUNC(D797*G797,2)</f>
        <v>83.1</v>
      </c>
      <c r="J797" s="451"/>
      <c r="K797" s="451"/>
      <c r="L797" s="198"/>
      <c r="M797" s="198"/>
      <c r="N797" s="198"/>
      <c r="O797" s="198"/>
      <c r="P797" s="198"/>
      <c r="Q797" s="198"/>
    </row>
    <row r="798" spans="1:17" s="198" customFormat="1" x14ac:dyDescent="0.2">
      <c r="A798" s="201"/>
      <c r="B798" s="271"/>
      <c r="C798" s="201"/>
      <c r="D798" s="201"/>
      <c r="E798" s="201"/>
      <c r="F798" s="272" t="s">
        <v>214</v>
      </c>
      <c r="G798" s="260"/>
      <c r="H798" s="273"/>
      <c r="I798" s="436">
        <f>SUM(I793:I797)</f>
        <v>689.16</v>
      </c>
      <c r="J798" s="433"/>
      <c r="K798" s="433"/>
      <c r="L798" s="302"/>
      <c r="M798" s="302"/>
      <c r="N798" s="302"/>
      <c r="O798" s="302"/>
      <c r="P798" s="302"/>
      <c r="Q798" s="302"/>
    </row>
    <row r="799" spans="1:17" s="198" customFormat="1" x14ac:dyDescent="0.2">
      <c r="A799" s="201"/>
      <c r="B799" s="271"/>
      <c r="C799" s="201"/>
      <c r="D799" s="201"/>
      <c r="E799" s="201"/>
      <c r="F799" s="201"/>
      <c r="G799" s="201"/>
      <c r="H799" s="201"/>
      <c r="I799" s="201"/>
      <c r="J799" s="433"/>
      <c r="K799" s="433"/>
      <c r="L799" s="302"/>
      <c r="M799" s="302"/>
      <c r="N799" s="302"/>
      <c r="O799" s="302"/>
      <c r="P799" s="302"/>
      <c r="Q799" s="302"/>
    </row>
    <row r="800" spans="1:17" s="198" customFormat="1" x14ac:dyDescent="0.2">
      <c r="A800" s="274" t="s">
        <v>215</v>
      </c>
      <c r="B800" s="275" t="s">
        <v>60</v>
      </c>
      <c r="C800" s="275" t="s">
        <v>211</v>
      </c>
      <c r="D800" s="275" t="s">
        <v>216</v>
      </c>
      <c r="E800" s="275" t="s">
        <v>217</v>
      </c>
      <c r="F800" s="275" t="s">
        <v>218</v>
      </c>
      <c r="G800" s="275" t="s">
        <v>96</v>
      </c>
      <c r="H800" s="275" t="s">
        <v>91</v>
      </c>
      <c r="I800" s="275" t="s">
        <v>219</v>
      </c>
      <c r="J800" s="433"/>
      <c r="K800" s="433"/>
      <c r="L800" s="302"/>
      <c r="M800" s="302"/>
      <c r="N800" s="302"/>
      <c r="O800" s="302"/>
      <c r="P800" s="302"/>
      <c r="Q800" s="302"/>
    </row>
    <row r="801" spans="1:17" s="198" customFormat="1" x14ac:dyDescent="0.2">
      <c r="A801" s="201"/>
      <c r="B801" s="271"/>
      <c r="C801" s="201"/>
      <c r="D801" s="201"/>
      <c r="E801" s="201"/>
      <c r="F801" s="272" t="s">
        <v>220</v>
      </c>
      <c r="G801" s="244"/>
      <c r="H801" s="279"/>
      <c r="I801" s="438"/>
      <c r="J801" s="433"/>
      <c r="K801" s="433"/>
      <c r="L801" s="302"/>
      <c r="M801" s="302"/>
      <c r="N801" s="302"/>
      <c r="O801" s="302"/>
      <c r="P801" s="302"/>
      <c r="Q801" s="302"/>
    </row>
    <row r="802" spans="1:17" s="198" customFormat="1" x14ac:dyDescent="0.2">
      <c r="A802" s="201"/>
      <c r="B802" s="271"/>
      <c r="C802" s="201"/>
      <c r="D802" s="201"/>
      <c r="E802" s="201"/>
      <c r="F802" s="201"/>
      <c r="G802" s="201"/>
      <c r="H802" s="201"/>
      <c r="I802" s="202"/>
      <c r="J802" s="433"/>
      <c r="K802" s="433"/>
      <c r="L802" s="302"/>
      <c r="M802" s="302"/>
      <c r="N802" s="302"/>
      <c r="O802" s="302"/>
      <c r="P802" s="302"/>
      <c r="Q802" s="302"/>
    </row>
    <row r="803" spans="1:17" s="198" customFormat="1" x14ac:dyDescent="0.2">
      <c r="A803" s="280"/>
      <c r="B803" s="281"/>
      <c r="C803" s="282"/>
      <c r="D803" s="282"/>
      <c r="E803" s="282"/>
      <c r="F803" s="283" t="s">
        <v>221</v>
      </c>
      <c r="G803" s="280"/>
      <c r="H803" s="254"/>
      <c r="I803" s="634">
        <f>+I787+I790+I798+I801</f>
        <v>689.16</v>
      </c>
      <c r="J803" s="433"/>
      <c r="K803" s="433"/>
      <c r="L803" s="302"/>
      <c r="M803" s="302"/>
      <c r="N803" s="302"/>
      <c r="O803" s="302"/>
      <c r="P803" s="302"/>
      <c r="Q803" s="302"/>
    </row>
    <row r="804" spans="1:17" x14ac:dyDescent="0.2">
      <c r="A804" s="260"/>
      <c r="B804" s="284"/>
      <c r="C804" s="273"/>
      <c r="D804" s="273"/>
      <c r="E804" s="273"/>
      <c r="F804" s="285" t="str">
        <f>CONCATENATE($H$3," ",$I$3)</f>
        <v>BDI: 23,32</v>
      </c>
      <c r="G804" s="439"/>
      <c r="H804" s="258"/>
      <c r="I804" s="635">
        <f>+ROUND(I803*$I$4,2)</f>
        <v>160.71</v>
      </c>
    </row>
    <row r="805" spans="1:17" x14ac:dyDescent="0.2">
      <c r="A805" s="244"/>
      <c r="B805" s="286"/>
      <c r="C805" s="279"/>
      <c r="D805" s="279"/>
      <c r="E805" s="279"/>
      <c r="F805" s="287" t="s">
        <v>222</v>
      </c>
      <c r="G805" s="440"/>
      <c r="H805" s="245"/>
      <c r="I805" s="1017">
        <f>+I803+I804</f>
        <v>849.87</v>
      </c>
    </row>
    <row r="806" spans="1:17" x14ac:dyDescent="0.2">
      <c r="A806" s="1277" t="str">
        <f>$A$1</f>
        <v>COMPOSIÇÃO DE CUSTOS UNITÁRIOS</v>
      </c>
      <c r="B806" s="1277"/>
      <c r="C806" s="1277"/>
      <c r="D806" s="1277"/>
      <c r="E806" s="1277"/>
      <c r="F806" s="1277"/>
      <c r="G806" s="1277"/>
      <c r="H806" s="1277"/>
      <c r="I806" s="1277"/>
    </row>
    <row r="807" spans="1:17" x14ac:dyDescent="0.2">
      <c r="A807" s="232" t="str">
        <f>$A$2</f>
        <v>Tabela Referencial de Preços - DER-ES</v>
      </c>
      <c r="B807" s="233"/>
      <c r="C807" s="199"/>
      <c r="D807" s="199"/>
      <c r="E807" s="199"/>
      <c r="F807" s="199"/>
      <c r="G807" s="199"/>
      <c r="H807" s="199"/>
      <c r="I807" s="234" t="str">
        <f>$I$2</f>
        <v>Data Base: Outubro/2018</v>
      </c>
    </row>
    <row r="808" spans="1:17" x14ac:dyDescent="0.2">
      <c r="A808" s="1278" t="str">
        <f>+CONCATENATE("Serviço: ",J808," ",VLOOKUP(J808,'DER 10-18'!$A:$D,2,FALSE))</f>
        <v>Serviço: 40678 Descida d'água concreto armado (calha) c/ caiação (DSA-01A) canal</v>
      </c>
      <c r="B808" s="1278"/>
      <c r="C808" s="1278"/>
      <c r="D808" s="1278"/>
      <c r="E808" s="1278"/>
      <c r="F808" s="1278"/>
      <c r="G808" s="1278"/>
      <c r="H808" s="1278"/>
      <c r="I808" s="1278" t="str">
        <f>CONCATENATE("Unidade: ", VLOOKUP(J808,'DER 10-18'!$A:$E,3,FALSE))</f>
        <v>Unidade: M</v>
      </c>
      <c r="J808" s="433">
        <v>40678</v>
      </c>
      <c r="K808" s="433">
        <f>VLOOKUP("Preço Unitário Total",F809:I2929,4,FALSE)</f>
        <v>390.07</v>
      </c>
      <c r="L808" s="302">
        <f>VLOOKUP(J808,'DER 10-18'!A:E,5,FALSE)</f>
        <v>0</v>
      </c>
      <c r="M808" s="302" t="str">
        <f>VLOOKUP(J808,'DER 10-18'!$A:$D,2,FALSE)</f>
        <v>Descida d'água concreto armado (calha) c/ caiação (DSA-01A) canal</v>
      </c>
    </row>
    <row r="809" spans="1:17" x14ac:dyDescent="0.2">
      <c r="A809" s="1279"/>
      <c r="B809" s="1279"/>
      <c r="C809" s="1279"/>
      <c r="D809" s="1279"/>
      <c r="E809" s="1279"/>
      <c r="F809" s="1279"/>
      <c r="G809" s="1279"/>
      <c r="H809" s="1279"/>
      <c r="I809" s="1279"/>
    </row>
    <row r="810" spans="1:17" ht="22.5" x14ac:dyDescent="0.2">
      <c r="A810" s="235" t="s">
        <v>192</v>
      </c>
      <c r="B810" s="236" t="s">
        <v>60</v>
      </c>
      <c r="C810" s="236" t="s">
        <v>193</v>
      </c>
      <c r="D810" s="236" t="s">
        <v>194</v>
      </c>
      <c r="E810" s="236" t="s">
        <v>195</v>
      </c>
      <c r="F810" s="236" t="s">
        <v>196</v>
      </c>
      <c r="G810" s="236" t="s">
        <v>197</v>
      </c>
      <c r="H810" s="236" t="s">
        <v>91</v>
      </c>
      <c r="I810" s="236" t="s">
        <v>198</v>
      </c>
    </row>
    <row r="811" spans="1:17" x14ac:dyDescent="0.2">
      <c r="A811" s="237"/>
      <c r="B811" s="238"/>
      <c r="C811" s="239"/>
      <c r="D811" s="240"/>
      <c r="E811" s="205"/>
      <c r="F811" s="241"/>
      <c r="G811" s="241"/>
      <c r="H811" s="242"/>
      <c r="I811" s="243"/>
    </row>
    <row r="812" spans="1:17" x14ac:dyDescent="0.2">
      <c r="A812" s="199"/>
      <c r="B812" s="233"/>
      <c r="C812" s="233"/>
      <c r="D812" s="199"/>
      <c r="E812" s="199"/>
      <c r="F812" s="234" t="s">
        <v>199</v>
      </c>
      <c r="G812" s="244"/>
      <c r="H812" s="245"/>
      <c r="I812" s="434">
        <f>SUM(I811:I811)</f>
        <v>0</v>
      </c>
    </row>
    <row r="813" spans="1:17" x14ac:dyDescent="0.2">
      <c r="A813" s="199"/>
      <c r="B813" s="233"/>
      <c r="C813" s="233"/>
      <c r="D813" s="199"/>
      <c r="E813" s="199"/>
      <c r="F813" s="199"/>
      <c r="G813" s="199"/>
      <c r="H813" s="199"/>
      <c r="I813" s="200"/>
    </row>
    <row r="814" spans="1:17" x14ac:dyDescent="0.2">
      <c r="A814" s="246" t="s">
        <v>200</v>
      </c>
      <c r="B814" s="247" t="s">
        <v>60</v>
      </c>
      <c r="C814" s="236" t="s">
        <v>1242</v>
      </c>
      <c r="D814" s="247" t="s">
        <v>202</v>
      </c>
      <c r="E814" s="1271" t="s">
        <v>91</v>
      </c>
      <c r="F814" s="1272"/>
      <c r="G814" s="1273"/>
      <c r="H814" s="1276" t="s">
        <v>198</v>
      </c>
      <c r="I814" s="1275"/>
    </row>
    <row r="815" spans="1:17" x14ac:dyDescent="0.2">
      <c r="A815" s="248"/>
      <c r="B815" s="238"/>
      <c r="C815" s="243"/>
      <c r="D815" s="243"/>
      <c r="E815" s="260"/>
      <c r="F815" s="258"/>
      <c r="G815" s="300"/>
      <c r="H815" s="244"/>
      <c r="I815" s="249"/>
    </row>
    <row r="816" spans="1:17" x14ac:dyDescent="0.2">
      <c r="A816" s="199"/>
      <c r="B816" s="233"/>
      <c r="C816" s="233"/>
      <c r="D816" s="199"/>
      <c r="E816" s="199"/>
      <c r="F816" s="234" t="s">
        <v>203</v>
      </c>
      <c r="G816" s="244"/>
      <c r="H816" s="245"/>
      <c r="I816" s="434">
        <f>SUM(I815:I815)</f>
        <v>0</v>
      </c>
    </row>
    <row r="817" spans="1:17" x14ac:dyDescent="0.2">
      <c r="A817" s="199"/>
      <c r="B817" s="233"/>
      <c r="C817" s="233"/>
      <c r="D817" s="199"/>
      <c r="E817" s="199"/>
      <c r="F817" s="199"/>
      <c r="G817" s="199"/>
      <c r="H817" s="199"/>
      <c r="I817" s="200"/>
    </row>
    <row r="818" spans="1:17" x14ac:dyDescent="0.2">
      <c r="A818" s="250" t="s">
        <v>204</v>
      </c>
      <c r="B818" s="247" t="s">
        <v>60</v>
      </c>
      <c r="C818" s="866" t="s">
        <v>17</v>
      </c>
      <c r="D818" s="247" t="s">
        <v>205</v>
      </c>
      <c r="E818" s="247" t="s">
        <v>206</v>
      </c>
      <c r="F818" s="247" t="s">
        <v>207</v>
      </c>
      <c r="G818" s="1276" t="s">
        <v>96</v>
      </c>
      <c r="H818" s="1274"/>
      <c r="I818" s="1275"/>
    </row>
    <row r="819" spans="1:17" x14ac:dyDescent="0.2">
      <c r="A819" s="248"/>
      <c r="B819" s="238"/>
      <c r="C819" s="243"/>
      <c r="D819" s="239"/>
      <c r="E819" s="251"/>
      <c r="F819" s="251"/>
      <c r="G819" s="244"/>
      <c r="H819" s="245"/>
      <c r="I819" s="249">
        <f>TRUNC(C819/100*I816,2)</f>
        <v>0</v>
      </c>
    </row>
    <row r="820" spans="1:17" x14ac:dyDescent="0.2">
      <c r="A820" s="199"/>
      <c r="B820" s="233"/>
      <c r="C820" s="199"/>
      <c r="D820" s="199"/>
      <c r="E820" s="199"/>
      <c r="F820" s="234" t="s">
        <v>1170</v>
      </c>
      <c r="G820" s="244"/>
      <c r="H820" s="245"/>
      <c r="I820" s="434">
        <f>SUM(I819)</f>
        <v>0</v>
      </c>
    </row>
    <row r="821" spans="1:17" x14ac:dyDescent="0.2">
      <c r="A821" s="199"/>
      <c r="B821" s="233"/>
      <c r="C821" s="199"/>
      <c r="D821" s="199"/>
      <c r="E821" s="199"/>
      <c r="F821" s="199"/>
      <c r="G821" s="199"/>
      <c r="H821" s="199"/>
      <c r="I821" s="200"/>
    </row>
    <row r="822" spans="1:17" x14ac:dyDescent="0.2">
      <c r="A822" s="252"/>
      <c r="B822" s="253"/>
      <c r="C822" s="254"/>
      <c r="D822" s="254"/>
      <c r="E822" s="254"/>
      <c r="F822" s="255" t="s">
        <v>208</v>
      </c>
      <c r="G822" s="435"/>
      <c r="H822" s="254"/>
      <c r="I822" s="634">
        <f>+I812+I816+I820</f>
        <v>0</v>
      </c>
    </row>
    <row r="823" spans="1:17" x14ac:dyDescent="0.2">
      <c r="A823" s="256"/>
      <c r="B823" s="257"/>
      <c r="C823" s="258"/>
      <c r="D823" s="258"/>
      <c r="E823" s="258"/>
      <c r="F823" s="259" t="s">
        <v>209</v>
      </c>
      <c r="G823" s="260"/>
      <c r="H823" s="258"/>
      <c r="I823" s="635">
        <v>1</v>
      </c>
    </row>
    <row r="824" spans="1:17" x14ac:dyDescent="0.2">
      <c r="A824" s="237"/>
      <c r="B824" s="261"/>
      <c r="C824" s="245"/>
      <c r="D824" s="245"/>
      <c r="E824" s="245"/>
      <c r="F824" s="262" t="s">
        <v>232</v>
      </c>
      <c r="G824" s="244"/>
      <c r="H824" s="245"/>
      <c r="I824" s="633">
        <f>TRUNC(I822/I823,2)</f>
        <v>0</v>
      </c>
    </row>
    <row r="825" spans="1:17" x14ac:dyDescent="0.2">
      <c r="A825" s="867"/>
      <c r="B825" s="233"/>
      <c r="C825" s="199"/>
      <c r="D825" s="199"/>
      <c r="E825" s="199"/>
      <c r="F825" s="263"/>
      <c r="G825" s="199"/>
      <c r="H825" s="199"/>
      <c r="I825" s="264"/>
    </row>
    <row r="826" spans="1:17" x14ac:dyDescent="0.2">
      <c r="A826" s="246" t="s">
        <v>210</v>
      </c>
      <c r="B826" s="247" t="s">
        <v>60</v>
      </c>
      <c r="C826" s="247" t="s">
        <v>211</v>
      </c>
      <c r="D826" s="247" t="s">
        <v>233</v>
      </c>
      <c r="E826" s="1276" t="s">
        <v>91</v>
      </c>
      <c r="F826" s="1274"/>
      <c r="G826" s="1275"/>
      <c r="H826" s="1276" t="s">
        <v>198</v>
      </c>
      <c r="I826" s="1275"/>
    </row>
    <row r="827" spans="1:17" x14ac:dyDescent="0.2">
      <c r="A827" s="265"/>
      <c r="B827" s="238"/>
      <c r="C827" s="266"/>
      <c r="D827" s="267"/>
      <c r="E827" s="260"/>
      <c r="F827" s="258"/>
      <c r="G827" s="300"/>
      <c r="H827" s="260"/>
      <c r="I827" s="268"/>
    </row>
    <row r="828" spans="1:17" x14ac:dyDescent="0.2">
      <c r="A828" s="199"/>
      <c r="B828" s="233"/>
      <c r="C828" s="199"/>
      <c r="D828" s="199"/>
      <c r="E828" s="199"/>
      <c r="F828" s="234" t="s">
        <v>212</v>
      </c>
      <c r="G828" s="244"/>
      <c r="H828" s="245"/>
      <c r="I828" s="434">
        <f>SUM(I827:I827)</f>
        <v>0</v>
      </c>
    </row>
    <row r="829" spans="1:17" x14ac:dyDescent="0.2">
      <c r="A829" s="199"/>
      <c r="B829" s="233"/>
      <c r="C829" s="199"/>
      <c r="D829" s="199"/>
      <c r="E829" s="199"/>
      <c r="F829" s="199"/>
      <c r="G829" s="269"/>
      <c r="H829" s="199"/>
      <c r="I829" s="200"/>
    </row>
    <row r="830" spans="1:17" x14ac:dyDescent="0.2">
      <c r="A830" s="270" t="s">
        <v>213</v>
      </c>
      <c r="B830" s="247" t="s">
        <v>60</v>
      </c>
      <c r="C830" s="247" t="s">
        <v>211</v>
      </c>
      <c r="D830" s="866" t="s">
        <v>233</v>
      </c>
      <c r="E830" s="1271" t="s">
        <v>91</v>
      </c>
      <c r="F830" s="1272"/>
      <c r="G830" s="1273"/>
      <c r="H830" s="1274" t="s">
        <v>198</v>
      </c>
      <c r="I830" s="1275"/>
    </row>
    <row r="831" spans="1:17" ht="33.75" x14ac:dyDescent="0.2">
      <c r="A831" s="248" t="str">
        <f>VLOOKUP(B831,'DER 10-18'!$A:$E,2,FALSE)</f>
        <v>Aço CA-50, fornecimento, dobragem e colocação nas formas (preço médio das bitolas)</v>
      </c>
      <c r="B831" s="238">
        <v>40376</v>
      </c>
      <c r="C831" s="238" t="str">
        <f>VLOOKUP(B831,'DER 10-18'!$A:$E,3,FALSE)</f>
        <v>kg</v>
      </c>
      <c r="D831" s="454">
        <f>TRUNC(VLOOKUP(B831,'DER 10-18'!$A:$F,6,FALSE)/(1+$I$4),2)</f>
        <v>7.89</v>
      </c>
      <c r="E831" s="260"/>
      <c r="F831" s="258"/>
      <c r="G831" s="300">
        <v>7</v>
      </c>
      <c r="H831" s="244"/>
      <c r="I831" s="268">
        <f>TRUNC(D831*G831,2)</f>
        <v>55.23</v>
      </c>
    </row>
    <row r="832" spans="1:17" s="198" customFormat="1" x14ac:dyDescent="0.2">
      <c r="A832" s="248" t="str">
        <f>VLOOKUP(B832,'DER 10-18'!$A:$E,2,FALSE)</f>
        <v>Caiação de meio fios, sarjetas, etc</v>
      </c>
      <c r="B832" s="238">
        <v>40658</v>
      </c>
      <c r="C832" s="238" t="str">
        <f>VLOOKUP(B832,'DER 10-18'!$A:$E,3,FALSE)</f>
        <v>M2</v>
      </c>
      <c r="D832" s="454">
        <f>TRUNC(VLOOKUP(B832,'DER 10-18'!$A:$F,6,FALSE)/(1+$I$4),2)</f>
        <v>4.7</v>
      </c>
      <c r="E832" s="260"/>
      <c r="F832" s="258"/>
      <c r="G832" s="300">
        <v>1.5</v>
      </c>
      <c r="H832" s="244"/>
      <c r="I832" s="268">
        <f>TRUNC(D832*G832,2)</f>
        <v>7.05</v>
      </c>
      <c r="J832" s="433"/>
      <c r="K832" s="433"/>
      <c r="L832" s="302"/>
      <c r="M832" s="302"/>
      <c r="N832" s="302"/>
      <c r="O832" s="302"/>
      <c r="P832" s="302"/>
      <c r="Q832" s="302"/>
    </row>
    <row r="833" spans="1:17" s="198" customFormat="1" ht="22.5" x14ac:dyDescent="0.2">
      <c r="A833" s="452" t="str">
        <f>VLOOKUP(B833,'DER 10-18'!$A:$E,2,FALSE)</f>
        <v>Concreto estrutural fck = 15,0 MPa, tudo incluído</v>
      </c>
      <c r="B833" s="453">
        <v>40358</v>
      </c>
      <c r="C833" s="453" t="str">
        <f>VLOOKUP(B833,'DER 10-18'!$A:$E,3,FALSE)</f>
        <v>M3</v>
      </c>
      <c r="D833" s="454">
        <f>TRUNC(VLOOKUP(B833,'DER 10-18'!$A:$F,6,FALSE)/(1+$I$4),2)</f>
        <v>523.20000000000005</v>
      </c>
      <c r="E833" s="455"/>
      <c r="F833" s="456"/>
      <c r="G833" s="457">
        <v>0.22500000000000001</v>
      </c>
      <c r="H833" s="458"/>
      <c r="I833" s="459">
        <f>TRUNC(D833*G833,2)</f>
        <v>117.72</v>
      </c>
      <c r="J833" s="451"/>
      <c r="K833" s="451"/>
    </row>
    <row r="834" spans="1:17" s="198" customFormat="1" ht="22.5" x14ac:dyDescent="0.2">
      <c r="A834" s="452" t="str">
        <f>VLOOKUP(B834,'DER 10-18'!$A:$E,2,FALSE)</f>
        <v>Escavação manual em mat. 1ª cat. H= 0,00 a 1,50 m</v>
      </c>
      <c r="B834" s="453">
        <v>40258</v>
      </c>
      <c r="C834" s="453" t="str">
        <f>VLOOKUP(B834,'DER 10-18'!$A:$E,3,FALSE)</f>
        <v>M3</v>
      </c>
      <c r="D834" s="454">
        <f>TRUNC(VLOOKUP(B834,'DER 10-18'!$A:$F,6,FALSE)/(1+$I$4),2)</f>
        <v>52.61</v>
      </c>
      <c r="E834" s="455"/>
      <c r="F834" s="456"/>
      <c r="G834" s="457">
        <v>0.437</v>
      </c>
      <c r="H834" s="458"/>
      <c r="I834" s="459">
        <f>TRUNC(D834*G834,2)</f>
        <v>22.99</v>
      </c>
      <c r="J834" s="451"/>
      <c r="K834" s="451"/>
    </row>
    <row r="835" spans="1:17" s="198" customFormat="1" ht="45" x14ac:dyDescent="0.2">
      <c r="A835" s="452" t="str">
        <f>VLOOKUP(B835,'DER 10-18'!$A:$E,2,FALSE)</f>
        <v>Formas planas de madeira com 02 (dois) reaproveitamentos, inclusive fornecimento e transporte das madeiras</v>
      </c>
      <c r="B835" s="453">
        <v>40312</v>
      </c>
      <c r="C835" s="453" t="str">
        <f>VLOOKUP(B835,'DER 10-18'!$A:$E,3,FALSE)</f>
        <v>M2</v>
      </c>
      <c r="D835" s="454">
        <f>TRUNC(VLOOKUP(B835,'DER 10-18'!$A:$F,6,FALSE)/(1+$I$4),2)</f>
        <v>75.55</v>
      </c>
      <c r="E835" s="455"/>
      <c r="F835" s="456"/>
      <c r="G835" s="457">
        <v>1.5</v>
      </c>
      <c r="H835" s="458"/>
      <c r="I835" s="459">
        <f>TRUNC(D835*G835,2)</f>
        <v>113.32</v>
      </c>
      <c r="J835" s="451"/>
      <c r="K835" s="451"/>
    </row>
    <row r="836" spans="1:17" s="198" customFormat="1" x14ac:dyDescent="0.2">
      <c r="A836" s="201"/>
      <c r="B836" s="271"/>
      <c r="C836" s="201"/>
      <c r="D836" s="201"/>
      <c r="E836" s="201"/>
      <c r="F836" s="272" t="s">
        <v>214</v>
      </c>
      <c r="G836" s="260"/>
      <c r="H836" s="273"/>
      <c r="I836" s="436">
        <f>SUM(I831:I835)</f>
        <v>316.31</v>
      </c>
      <c r="J836" s="433"/>
      <c r="K836" s="433"/>
      <c r="L836" s="302"/>
      <c r="M836" s="302"/>
      <c r="N836" s="302"/>
      <c r="O836" s="302"/>
      <c r="P836" s="302"/>
      <c r="Q836" s="302"/>
    </row>
    <row r="837" spans="1:17" s="198" customFormat="1" x14ac:dyDescent="0.2">
      <c r="A837" s="201"/>
      <c r="B837" s="271"/>
      <c r="C837" s="201"/>
      <c r="D837" s="201"/>
      <c r="E837" s="201"/>
      <c r="F837" s="201"/>
      <c r="G837" s="201"/>
      <c r="H837" s="201"/>
      <c r="I837" s="201"/>
      <c r="J837" s="433"/>
      <c r="K837" s="433"/>
      <c r="L837" s="302"/>
      <c r="M837" s="302"/>
      <c r="N837" s="302"/>
      <c r="O837" s="302"/>
      <c r="P837" s="302"/>
      <c r="Q837" s="302"/>
    </row>
    <row r="838" spans="1:17" x14ac:dyDescent="0.2">
      <c r="A838" s="274" t="s">
        <v>215</v>
      </c>
      <c r="B838" s="275" t="s">
        <v>60</v>
      </c>
      <c r="C838" s="275" t="s">
        <v>211</v>
      </c>
      <c r="D838" s="275" t="s">
        <v>216</v>
      </c>
      <c r="E838" s="275" t="s">
        <v>217</v>
      </c>
      <c r="F838" s="275" t="s">
        <v>218</v>
      </c>
      <c r="G838" s="275" t="s">
        <v>96</v>
      </c>
      <c r="H838" s="275" t="s">
        <v>91</v>
      </c>
      <c r="I838" s="275" t="s">
        <v>219</v>
      </c>
    </row>
    <row r="839" spans="1:17" x14ac:dyDescent="0.2">
      <c r="A839" s="248"/>
      <c r="B839" s="238"/>
      <c r="C839" s="238"/>
      <c r="D839" s="276"/>
      <c r="E839" s="277"/>
      <c r="F839" s="277"/>
      <c r="G839" s="243"/>
      <c r="H839" s="278"/>
      <c r="I839" s="243"/>
      <c r="J839" s="433" t="s">
        <v>118</v>
      </c>
    </row>
    <row r="840" spans="1:17" x14ac:dyDescent="0.2">
      <c r="A840" s="201"/>
      <c r="B840" s="271"/>
      <c r="C840" s="201"/>
      <c r="D840" s="201"/>
      <c r="E840" s="201"/>
      <c r="F840" s="272" t="s">
        <v>220</v>
      </c>
      <c r="G840" s="244"/>
      <c r="H840" s="279"/>
      <c r="I840" s="438">
        <f>SUM(I839:I839)</f>
        <v>0</v>
      </c>
    </row>
    <row r="841" spans="1:17" x14ac:dyDescent="0.2">
      <c r="A841" s="201"/>
      <c r="B841" s="271"/>
      <c r="C841" s="201"/>
      <c r="D841" s="201"/>
      <c r="E841" s="201"/>
      <c r="F841" s="201"/>
      <c r="G841" s="201"/>
      <c r="H841" s="201"/>
      <c r="I841" s="202"/>
    </row>
    <row r="842" spans="1:17" x14ac:dyDescent="0.2">
      <c r="A842" s="280"/>
      <c r="B842" s="281"/>
      <c r="C842" s="282"/>
      <c r="D842" s="282"/>
      <c r="E842" s="282"/>
      <c r="F842" s="283" t="s">
        <v>221</v>
      </c>
      <c r="G842" s="280"/>
      <c r="H842" s="254"/>
      <c r="I842" s="634">
        <f>+I824+I828+I836+I840</f>
        <v>316.31</v>
      </c>
    </row>
    <row r="843" spans="1:17" x14ac:dyDescent="0.2">
      <c r="A843" s="260"/>
      <c r="B843" s="284"/>
      <c r="C843" s="273"/>
      <c r="D843" s="273"/>
      <c r="E843" s="273"/>
      <c r="F843" s="285" t="str">
        <f>CONCATENATE($H$3," ",$I$3)</f>
        <v>BDI: 23,32</v>
      </c>
      <c r="G843" s="439"/>
      <c r="H843" s="258"/>
      <c r="I843" s="635">
        <f>+ROUND(I842*$I$4,2)</f>
        <v>73.760000000000005</v>
      </c>
    </row>
    <row r="844" spans="1:17" x14ac:dyDescent="0.2">
      <c r="A844" s="244"/>
      <c r="B844" s="286"/>
      <c r="C844" s="279"/>
      <c r="D844" s="279"/>
      <c r="E844" s="279"/>
      <c r="F844" s="287" t="s">
        <v>222</v>
      </c>
      <c r="G844" s="440"/>
      <c r="H844" s="245"/>
      <c r="I844" s="1017">
        <f>+I842+I843</f>
        <v>390.07</v>
      </c>
    </row>
    <row r="845" spans="1:17" x14ac:dyDescent="0.2">
      <c r="A845" s="1277" t="str">
        <f>$A$1</f>
        <v>COMPOSIÇÃO DE CUSTOS UNITÁRIOS</v>
      </c>
      <c r="B845" s="1277"/>
      <c r="C845" s="1277"/>
      <c r="D845" s="1277"/>
      <c r="E845" s="1277"/>
      <c r="F845" s="1277"/>
      <c r="G845" s="1277"/>
      <c r="H845" s="1277"/>
      <c r="I845" s="1277"/>
    </row>
    <row r="846" spans="1:17" x14ac:dyDescent="0.2">
      <c r="A846" s="232" t="str">
        <f>$A$2</f>
        <v>Tabela Referencial de Preços - DER-ES</v>
      </c>
      <c r="B846" s="233"/>
      <c r="C846" s="199"/>
      <c r="D846" s="199"/>
      <c r="E846" s="199"/>
      <c r="F846" s="199"/>
      <c r="G846" s="199"/>
      <c r="H846" s="199"/>
      <c r="I846" s="234" t="str">
        <f>$I$2</f>
        <v>Data Base: Outubro/2018</v>
      </c>
    </row>
    <row r="847" spans="1:17" x14ac:dyDescent="0.2">
      <c r="A847" s="1278" t="str">
        <f>+CONCATENATE("Serviço: ",J847," ",VLOOKUP(J847,'DER 10-18'!$A:$D,2,FALSE))</f>
        <v>Serviço: 40679 Descida d'água concreto armado (calha) c/ caiação (DSA-01A) dispersor</v>
      </c>
      <c r="B847" s="1278"/>
      <c r="C847" s="1278"/>
      <c r="D847" s="1278"/>
      <c r="E847" s="1278"/>
      <c r="F847" s="1278"/>
      <c r="G847" s="1278"/>
      <c r="H847" s="1278"/>
      <c r="I847" s="1278" t="str">
        <f>CONCATENATE("Unidade: ", VLOOKUP(J847,'DER 10-18'!$A:$E,3,FALSE))</f>
        <v>Unidade: Ud</v>
      </c>
      <c r="J847" s="433">
        <v>40679</v>
      </c>
      <c r="K847" s="433">
        <f>VLOOKUP("Preço Unitário Total",F848:I2968,4,FALSE)</f>
        <v>775.58</v>
      </c>
      <c r="L847" s="302">
        <f>VLOOKUP(J847,'DER 10-18'!A:E,5,FALSE)</f>
        <v>0</v>
      </c>
      <c r="M847" s="302" t="str">
        <f>VLOOKUP(J847,'DER 10-18'!$A:$D,2,FALSE)</f>
        <v>Descida d'água concreto armado (calha) c/ caiação (DSA-01A) dispersor</v>
      </c>
    </row>
    <row r="848" spans="1:17" ht="14.25" customHeight="1" x14ac:dyDescent="0.2">
      <c r="A848" s="1279"/>
      <c r="B848" s="1279"/>
      <c r="C848" s="1279"/>
      <c r="D848" s="1279"/>
      <c r="E848" s="1279"/>
      <c r="F848" s="1279"/>
      <c r="G848" s="1279"/>
      <c r="H848" s="1279"/>
      <c r="I848" s="1279"/>
    </row>
    <row r="849" spans="1:11" ht="22.5" x14ac:dyDescent="0.2">
      <c r="A849" s="235" t="s">
        <v>192</v>
      </c>
      <c r="B849" s="236" t="s">
        <v>60</v>
      </c>
      <c r="C849" s="236" t="s">
        <v>193</v>
      </c>
      <c r="D849" s="236" t="s">
        <v>194</v>
      </c>
      <c r="E849" s="236" t="s">
        <v>195</v>
      </c>
      <c r="F849" s="236" t="s">
        <v>196</v>
      </c>
      <c r="G849" s="236" t="s">
        <v>197</v>
      </c>
      <c r="H849" s="236" t="s">
        <v>91</v>
      </c>
      <c r="I849" s="236" t="s">
        <v>198</v>
      </c>
    </row>
    <row r="850" spans="1:11" x14ac:dyDescent="0.2">
      <c r="A850" s="237"/>
      <c r="B850" s="238"/>
      <c r="C850" s="239"/>
      <c r="D850" s="240"/>
      <c r="E850" s="205"/>
      <c r="F850" s="241"/>
      <c r="G850" s="241"/>
      <c r="H850" s="242"/>
      <c r="I850" s="243"/>
    </row>
    <row r="851" spans="1:11" x14ac:dyDescent="0.2">
      <c r="A851" s="199"/>
      <c r="B851" s="233"/>
      <c r="C851" s="233"/>
      <c r="D851" s="199"/>
      <c r="E851" s="199"/>
      <c r="F851" s="234" t="s">
        <v>199</v>
      </c>
      <c r="G851" s="244"/>
      <c r="H851" s="245"/>
      <c r="I851" s="434">
        <f>SUM(I850:I850)</f>
        <v>0</v>
      </c>
      <c r="J851" s="302"/>
      <c r="K851" s="302"/>
    </row>
    <row r="852" spans="1:11" x14ac:dyDescent="0.2">
      <c r="A852" s="199"/>
      <c r="B852" s="233"/>
      <c r="C852" s="233"/>
      <c r="D852" s="199"/>
      <c r="E852" s="199"/>
      <c r="F852" s="199"/>
      <c r="G852" s="199"/>
      <c r="H852" s="199"/>
      <c r="I852" s="200"/>
      <c r="J852" s="302"/>
      <c r="K852" s="302"/>
    </row>
    <row r="853" spans="1:11" x14ac:dyDescent="0.2">
      <c r="A853" s="246" t="s">
        <v>200</v>
      </c>
      <c r="B853" s="247" t="s">
        <v>60</v>
      </c>
      <c r="C853" s="236" t="s">
        <v>1242</v>
      </c>
      <c r="D853" s="247" t="s">
        <v>202</v>
      </c>
      <c r="E853" s="1271" t="s">
        <v>91</v>
      </c>
      <c r="F853" s="1272"/>
      <c r="G853" s="1273"/>
      <c r="H853" s="1276" t="s">
        <v>198</v>
      </c>
      <c r="I853" s="1275"/>
      <c r="J853" s="302"/>
      <c r="K853" s="302"/>
    </row>
    <row r="854" spans="1:11" x14ac:dyDescent="0.2">
      <c r="A854" s="248"/>
      <c r="B854" s="238"/>
      <c r="C854" s="243"/>
      <c r="D854" s="243"/>
      <c r="E854" s="260"/>
      <c r="F854" s="258"/>
      <c r="G854" s="300"/>
      <c r="H854" s="244"/>
      <c r="I854" s="249"/>
      <c r="J854" s="302"/>
      <c r="K854" s="302"/>
    </row>
    <row r="855" spans="1:11" x14ac:dyDescent="0.2">
      <c r="A855" s="199"/>
      <c r="B855" s="233"/>
      <c r="C855" s="233"/>
      <c r="D855" s="199"/>
      <c r="E855" s="199"/>
      <c r="F855" s="234" t="s">
        <v>203</v>
      </c>
      <c r="G855" s="244"/>
      <c r="H855" s="245"/>
      <c r="I855" s="434">
        <f>SUM(I854:I854)</f>
        <v>0</v>
      </c>
      <c r="J855" s="302"/>
      <c r="K855" s="302"/>
    </row>
    <row r="856" spans="1:11" x14ac:dyDescent="0.2">
      <c r="A856" s="199"/>
      <c r="B856" s="233"/>
      <c r="C856" s="233"/>
      <c r="D856" s="199"/>
      <c r="E856" s="199"/>
      <c r="F856" s="199"/>
      <c r="G856" s="199"/>
      <c r="H856" s="199"/>
      <c r="I856" s="200"/>
      <c r="J856" s="302"/>
      <c r="K856" s="302"/>
    </row>
    <row r="857" spans="1:11" x14ac:dyDescent="0.2">
      <c r="A857" s="250" t="s">
        <v>204</v>
      </c>
      <c r="B857" s="247" t="s">
        <v>60</v>
      </c>
      <c r="C857" s="866" t="s">
        <v>17</v>
      </c>
      <c r="D857" s="247" t="s">
        <v>205</v>
      </c>
      <c r="E857" s="247" t="s">
        <v>206</v>
      </c>
      <c r="F857" s="247" t="s">
        <v>207</v>
      </c>
      <c r="G857" s="1276" t="s">
        <v>96</v>
      </c>
      <c r="H857" s="1274"/>
      <c r="I857" s="1275"/>
      <c r="J857" s="302"/>
      <c r="K857" s="302"/>
    </row>
    <row r="858" spans="1:11" x14ac:dyDescent="0.2">
      <c r="A858" s="248"/>
      <c r="B858" s="238"/>
      <c r="C858" s="243"/>
      <c r="D858" s="239"/>
      <c r="E858" s="251"/>
      <c r="F858" s="251"/>
      <c r="G858" s="244"/>
      <c r="H858" s="245"/>
      <c r="I858" s="249">
        <f>TRUNC(C858/100*I855,2)</f>
        <v>0</v>
      </c>
      <c r="J858" s="302"/>
      <c r="K858" s="302"/>
    </row>
    <row r="859" spans="1:11" x14ac:dyDescent="0.2">
      <c r="A859" s="199"/>
      <c r="B859" s="233"/>
      <c r="C859" s="199"/>
      <c r="D859" s="199"/>
      <c r="E859" s="199"/>
      <c r="F859" s="234" t="s">
        <v>1170</v>
      </c>
      <c r="G859" s="244"/>
      <c r="H859" s="245"/>
      <c r="I859" s="434">
        <f>SUM(I858)</f>
        <v>0</v>
      </c>
      <c r="J859" s="302"/>
      <c r="K859" s="302"/>
    </row>
    <row r="860" spans="1:11" x14ac:dyDescent="0.2">
      <c r="A860" s="199"/>
      <c r="B860" s="233"/>
      <c r="C860" s="199"/>
      <c r="D860" s="199"/>
      <c r="E860" s="199"/>
      <c r="F860" s="199"/>
      <c r="G860" s="199"/>
      <c r="H860" s="199"/>
      <c r="I860" s="200"/>
      <c r="J860" s="302"/>
      <c r="K860" s="302"/>
    </row>
    <row r="861" spans="1:11" x14ac:dyDescent="0.2">
      <c r="A861" s="252"/>
      <c r="B861" s="253"/>
      <c r="C861" s="254"/>
      <c r="D861" s="254"/>
      <c r="E861" s="254"/>
      <c r="F861" s="255" t="s">
        <v>208</v>
      </c>
      <c r="G861" s="435"/>
      <c r="H861" s="254"/>
      <c r="I861" s="634">
        <f>+I851+I855+I859</f>
        <v>0</v>
      </c>
      <c r="J861" s="302"/>
      <c r="K861" s="302"/>
    </row>
    <row r="862" spans="1:11" x14ac:dyDescent="0.2">
      <c r="A862" s="256"/>
      <c r="B862" s="257"/>
      <c r="C862" s="258"/>
      <c r="D862" s="258"/>
      <c r="E862" s="258"/>
      <c r="F862" s="259" t="s">
        <v>209</v>
      </c>
      <c r="G862" s="260"/>
      <c r="H862" s="258"/>
      <c r="I862" s="635">
        <v>1</v>
      </c>
      <c r="J862" s="302"/>
      <c r="K862" s="302"/>
    </row>
    <row r="863" spans="1:11" x14ac:dyDescent="0.2">
      <c r="A863" s="237"/>
      <c r="B863" s="261"/>
      <c r="C863" s="245"/>
      <c r="D863" s="245"/>
      <c r="E863" s="245"/>
      <c r="F863" s="262" t="s">
        <v>232</v>
      </c>
      <c r="G863" s="244"/>
      <c r="H863" s="245"/>
      <c r="I863" s="633">
        <f>TRUNC(I861/I862,2)</f>
        <v>0</v>
      </c>
      <c r="J863" s="302"/>
      <c r="K863" s="302"/>
    </row>
    <row r="864" spans="1:11" x14ac:dyDescent="0.2">
      <c r="A864" s="867"/>
      <c r="B864" s="233"/>
      <c r="C864" s="199"/>
      <c r="D864" s="199"/>
      <c r="E864" s="199"/>
      <c r="F864" s="263"/>
      <c r="G864" s="199"/>
      <c r="H864" s="199"/>
      <c r="I864" s="264"/>
      <c r="J864" s="302"/>
      <c r="K864" s="302"/>
    </row>
    <row r="865" spans="1:17" x14ac:dyDescent="0.2">
      <c r="A865" s="246" t="s">
        <v>210</v>
      </c>
      <c r="B865" s="247" t="s">
        <v>60</v>
      </c>
      <c r="C865" s="247" t="s">
        <v>211</v>
      </c>
      <c r="D865" s="247" t="s">
        <v>233</v>
      </c>
      <c r="E865" s="1276" t="s">
        <v>91</v>
      </c>
      <c r="F865" s="1274"/>
      <c r="G865" s="1275"/>
      <c r="H865" s="1276" t="s">
        <v>198</v>
      </c>
      <c r="I865" s="1275"/>
      <c r="J865" s="302"/>
      <c r="K865" s="302"/>
    </row>
    <row r="866" spans="1:17" x14ac:dyDescent="0.2">
      <c r="A866" s="265"/>
      <c r="B866" s="238"/>
      <c r="C866" s="266"/>
      <c r="D866" s="267"/>
      <c r="E866" s="260"/>
      <c r="F866" s="258"/>
      <c r="G866" s="300"/>
      <c r="H866" s="260"/>
      <c r="I866" s="268"/>
      <c r="J866" s="302"/>
      <c r="K866" s="302"/>
    </row>
    <row r="867" spans="1:17" x14ac:dyDescent="0.2">
      <c r="A867" s="199"/>
      <c r="B867" s="233"/>
      <c r="C867" s="199"/>
      <c r="D867" s="199"/>
      <c r="E867" s="199"/>
      <c r="F867" s="234" t="s">
        <v>212</v>
      </c>
      <c r="G867" s="244"/>
      <c r="H867" s="245"/>
      <c r="I867" s="434">
        <f>SUM(I866:I866)</f>
        <v>0</v>
      </c>
    </row>
    <row r="868" spans="1:17" ht="29.25" customHeight="1" x14ac:dyDescent="0.2">
      <c r="A868" s="199"/>
      <c r="B868" s="233"/>
      <c r="C868" s="199"/>
      <c r="D868" s="199"/>
      <c r="E868" s="199"/>
      <c r="F868" s="199"/>
      <c r="G868" s="269"/>
      <c r="H868" s="199"/>
      <c r="I868" s="200"/>
    </row>
    <row r="869" spans="1:17" x14ac:dyDescent="0.2">
      <c r="A869" s="270" t="s">
        <v>213</v>
      </c>
      <c r="B869" s="247" t="s">
        <v>60</v>
      </c>
      <c r="C869" s="247" t="s">
        <v>211</v>
      </c>
      <c r="D869" s="866" t="s">
        <v>233</v>
      </c>
      <c r="E869" s="1271" t="s">
        <v>91</v>
      </c>
      <c r="F869" s="1272"/>
      <c r="G869" s="1273"/>
      <c r="H869" s="1274" t="s">
        <v>198</v>
      </c>
      <c r="I869" s="1275"/>
    </row>
    <row r="870" spans="1:17" ht="33.75" x14ac:dyDescent="0.2">
      <c r="A870" s="248" t="str">
        <f>VLOOKUP(B870,'DER 10-18'!$A:$E,2,FALSE)</f>
        <v>Aço CA-50, fornecimento, dobragem e colocação nas formas (preço médio das bitolas)</v>
      </c>
      <c r="B870" s="238">
        <v>40376</v>
      </c>
      <c r="C870" s="238" t="str">
        <f>VLOOKUP(B870,'DER 10-18'!$A:$E,3,FALSE)</f>
        <v>kg</v>
      </c>
      <c r="D870" s="454">
        <f>TRUNC(VLOOKUP(B870,'DER 10-18'!$A:$F,6,FALSE)/(1+$I$4),2)</f>
        <v>7.89</v>
      </c>
      <c r="E870" s="260"/>
      <c r="F870" s="258"/>
      <c r="G870" s="300">
        <v>8</v>
      </c>
      <c r="H870" s="244"/>
      <c r="I870" s="268">
        <f>TRUNC(D870*G870,2)</f>
        <v>63.12</v>
      </c>
    </row>
    <row r="871" spans="1:17" x14ac:dyDescent="0.2">
      <c r="A871" s="248" t="str">
        <f>VLOOKUP(B871,'DER 10-18'!$A:$E,2,FALSE)</f>
        <v>Caiação de meio fios, sarjetas, etc</v>
      </c>
      <c r="B871" s="238">
        <v>40658</v>
      </c>
      <c r="C871" s="238" t="str">
        <f>VLOOKUP(B871,'DER 10-18'!$A:$E,3,FALSE)</f>
        <v>M2</v>
      </c>
      <c r="D871" s="454">
        <f>TRUNC(VLOOKUP(B871,'DER 10-18'!$A:$F,6,FALSE)/(1+$I$4),2)</f>
        <v>4.7</v>
      </c>
      <c r="E871" s="260"/>
      <c r="F871" s="258"/>
      <c r="G871" s="300">
        <v>3.87</v>
      </c>
      <c r="H871" s="244"/>
      <c r="I871" s="268">
        <f>TRUNC(D871*G871,2)</f>
        <v>18.18</v>
      </c>
    </row>
    <row r="872" spans="1:17" ht="25.5" customHeight="1" x14ac:dyDescent="0.2">
      <c r="A872" s="452" t="str">
        <f>VLOOKUP(B872,'DER 10-18'!$A:$E,2,FALSE)</f>
        <v>Concreto estrutural fck = 15,0 MPa, tudo incluído</v>
      </c>
      <c r="B872" s="453">
        <v>40358</v>
      </c>
      <c r="C872" s="453" t="str">
        <f>VLOOKUP(B872,'DER 10-18'!$A:$E,3,FALSE)</f>
        <v>M3</v>
      </c>
      <c r="D872" s="454">
        <f>TRUNC(VLOOKUP(B872,'DER 10-18'!$A:$F,6,FALSE)/(1+$I$4),2)</f>
        <v>523.20000000000005</v>
      </c>
      <c r="E872" s="455"/>
      <c r="F872" s="456"/>
      <c r="G872" s="457">
        <v>0.66</v>
      </c>
      <c r="H872" s="458"/>
      <c r="I872" s="459">
        <f>TRUNC(D872*G872,2)</f>
        <v>345.31</v>
      </c>
      <c r="J872" s="451"/>
      <c r="K872" s="451"/>
      <c r="L872" s="198"/>
      <c r="M872" s="198"/>
      <c r="N872" s="198"/>
      <c r="O872" s="198"/>
      <c r="P872" s="198"/>
      <c r="Q872" s="198"/>
    </row>
    <row r="873" spans="1:17" ht="22.5" x14ac:dyDescent="0.2">
      <c r="A873" s="452" t="str">
        <f>VLOOKUP(B873,'DER 10-18'!$A:$E,2,FALSE)</f>
        <v>Escavação manual em mat. 1ª cat. H= 0,00 a 1,50 m</v>
      </c>
      <c r="B873" s="453">
        <v>40258</v>
      </c>
      <c r="C873" s="453" t="str">
        <f>VLOOKUP(B873,'DER 10-18'!$A:$E,3,FALSE)</f>
        <v>M3</v>
      </c>
      <c r="D873" s="454">
        <f>TRUNC(VLOOKUP(B873,'DER 10-18'!$A:$F,6,FALSE)/(1+$I$4),2)</f>
        <v>52.61</v>
      </c>
      <c r="E873" s="455"/>
      <c r="F873" s="456"/>
      <c r="G873" s="457">
        <v>0.83</v>
      </c>
      <c r="H873" s="458"/>
      <c r="I873" s="459">
        <f>TRUNC(D873*G873,2)</f>
        <v>43.66</v>
      </c>
      <c r="J873" s="451"/>
      <c r="K873" s="451"/>
      <c r="L873" s="198"/>
      <c r="M873" s="198"/>
      <c r="N873" s="198"/>
      <c r="O873" s="198"/>
      <c r="P873" s="198"/>
      <c r="Q873" s="198"/>
    </row>
    <row r="874" spans="1:17" ht="45" x14ac:dyDescent="0.2">
      <c r="A874" s="452" t="str">
        <f>VLOOKUP(B874,'DER 10-18'!$A:$E,2,FALSE)</f>
        <v>Formas planas de madeira com 02 (dois) reaproveitamentos, inclusive fornecimento e transporte das madeiras</v>
      </c>
      <c r="B874" s="453">
        <v>40312</v>
      </c>
      <c r="C874" s="453" t="str">
        <f>VLOOKUP(B874,'DER 10-18'!$A:$E,3,FALSE)</f>
        <v>M2</v>
      </c>
      <c r="D874" s="454">
        <f>TRUNC(VLOOKUP(B874,'DER 10-18'!$A:$F,6,FALSE)/(1+$I$4),2)</f>
        <v>75.55</v>
      </c>
      <c r="E874" s="455"/>
      <c r="F874" s="456"/>
      <c r="G874" s="457">
        <v>2.1</v>
      </c>
      <c r="H874" s="458"/>
      <c r="I874" s="459">
        <f>TRUNC(D874*G874,2)</f>
        <v>158.65</v>
      </c>
      <c r="J874" s="451"/>
      <c r="K874" s="451"/>
      <c r="L874" s="198"/>
      <c r="M874" s="198"/>
      <c r="N874" s="198"/>
      <c r="O874" s="198"/>
      <c r="P874" s="198"/>
      <c r="Q874" s="198"/>
    </row>
    <row r="875" spans="1:17" x14ac:dyDescent="0.2">
      <c r="A875" s="201"/>
      <c r="B875" s="271"/>
      <c r="C875" s="201"/>
      <c r="D875" s="201"/>
      <c r="E875" s="201"/>
      <c r="F875" s="272" t="s">
        <v>214</v>
      </c>
      <c r="G875" s="260"/>
      <c r="H875" s="273"/>
      <c r="I875" s="436">
        <f>SUM(I870:I874)</f>
        <v>628.91999999999996</v>
      </c>
    </row>
    <row r="876" spans="1:17" s="198" customFormat="1" x14ac:dyDescent="0.2">
      <c r="A876" s="201"/>
      <c r="B876" s="271"/>
      <c r="C876" s="201"/>
      <c r="D876" s="201"/>
      <c r="E876" s="201"/>
      <c r="F876" s="201"/>
      <c r="G876" s="201"/>
      <c r="H876" s="201"/>
      <c r="I876" s="201"/>
      <c r="J876" s="433"/>
      <c r="K876" s="433"/>
      <c r="L876" s="302"/>
      <c r="M876" s="302"/>
      <c r="N876" s="302"/>
      <c r="O876" s="302"/>
      <c r="P876" s="302"/>
      <c r="Q876" s="302"/>
    </row>
    <row r="877" spans="1:17" x14ac:dyDescent="0.2">
      <c r="A877" s="274" t="s">
        <v>215</v>
      </c>
      <c r="B877" s="275" t="s">
        <v>60</v>
      </c>
      <c r="C877" s="275" t="s">
        <v>211</v>
      </c>
      <c r="D877" s="275" t="s">
        <v>216</v>
      </c>
      <c r="E877" s="275" t="s">
        <v>217</v>
      </c>
      <c r="F877" s="275" t="s">
        <v>218</v>
      </c>
      <c r="G877" s="275" t="s">
        <v>96</v>
      </c>
      <c r="H877" s="275" t="s">
        <v>91</v>
      </c>
      <c r="I877" s="275" t="s">
        <v>219</v>
      </c>
    </row>
    <row r="878" spans="1:17" x14ac:dyDescent="0.2">
      <c r="A878" s="248"/>
      <c r="B878" s="238"/>
      <c r="C878" s="238"/>
      <c r="D878" s="276"/>
      <c r="E878" s="277"/>
      <c r="F878" s="277"/>
      <c r="G878" s="243"/>
      <c r="H878" s="278"/>
      <c r="I878" s="243"/>
      <c r="J878" s="433" t="s">
        <v>118</v>
      </c>
    </row>
    <row r="879" spans="1:17" x14ac:dyDescent="0.2">
      <c r="A879" s="201"/>
      <c r="B879" s="271"/>
      <c r="C879" s="201"/>
      <c r="D879" s="201"/>
      <c r="E879" s="201"/>
      <c r="F879" s="272" t="s">
        <v>220</v>
      </c>
      <c r="G879" s="244"/>
      <c r="H879" s="279"/>
      <c r="I879" s="438">
        <f>SUM(I878:I878)</f>
        <v>0</v>
      </c>
    </row>
    <row r="880" spans="1:17" x14ac:dyDescent="0.2">
      <c r="A880" s="201"/>
      <c r="B880" s="271"/>
      <c r="C880" s="201"/>
      <c r="D880" s="201"/>
      <c r="E880" s="201"/>
      <c r="F880" s="201"/>
      <c r="G880" s="201"/>
      <c r="H880" s="201"/>
      <c r="I880" s="202"/>
    </row>
    <row r="881" spans="1:13" x14ac:dyDescent="0.2">
      <c r="A881" s="280"/>
      <c r="B881" s="281"/>
      <c r="C881" s="282"/>
      <c r="D881" s="282"/>
      <c r="E881" s="282"/>
      <c r="F881" s="283" t="s">
        <v>221</v>
      </c>
      <c r="G881" s="280"/>
      <c r="H881" s="254"/>
      <c r="I881" s="634">
        <f>+I863+I867+I875+I879</f>
        <v>628.91999999999996</v>
      </c>
    </row>
    <row r="882" spans="1:13" x14ac:dyDescent="0.2">
      <c r="A882" s="260"/>
      <c r="B882" s="284"/>
      <c r="C882" s="273"/>
      <c r="D882" s="273"/>
      <c r="E882" s="273"/>
      <c r="F882" s="285" t="str">
        <f>CONCATENATE($H$3," ",$I$3)</f>
        <v>BDI: 23,32</v>
      </c>
      <c r="G882" s="439"/>
      <c r="H882" s="258"/>
      <c r="I882" s="635">
        <f>+ROUND(I881*$I$4,2)</f>
        <v>146.66</v>
      </c>
    </row>
    <row r="883" spans="1:13" x14ac:dyDescent="0.2">
      <c r="A883" s="244"/>
      <c r="B883" s="286"/>
      <c r="C883" s="279"/>
      <c r="D883" s="279"/>
      <c r="E883" s="279"/>
      <c r="F883" s="287" t="s">
        <v>222</v>
      </c>
      <c r="G883" s="440"/>
      <c r="H883" s="245"/>
      <c r="I883" s="1017">
        <f>+I881+I882</f>
        <v>775.58</v>
      </c>
    </row>
    <row r="884" spans="1:13" x14ac:dyDescent="0.2">
      <c r="A884" s="1277" t="str">
        <f>$A$1</f>
        <v>COMPOSIÇÃO DE CUSTOS UNITÁRIOS</v>
      </c>
      <c r="B884" s="1277"/>
      <c r="C884" s="1277"/>
      <c r="D884" s="1277"/>
      <c r="E884" s="1277"/>
      <c r="F884" s="1277"/>
      <c r="G884" s="1277"/>
      <c r="H884" s="1277"/>
      <c r="I884" s="1277"/>
    </row>
    <row r="885" spans="1:13" ht="14.25" customHeight="1" x14ac:dyDescent="0.2">
      <c r="A885" s="232" t="str">
        <f>$A$2</f>
        <v>Tabela Referencial de Preços - DER-ES</v>
      </c>
      <c r="B885" s="233"/>
      <c r="C885" s="199"/>
      <c r="D885" s="199"/>
      <c r="E885" s="199"/>
      <c r="F885" s="199"/>
      <c r="G885" s="199"/>
      <c r="H885" s="199"/>
      <c r="I885" s="234" t="str">
        <f>$I$2</f>
        <v>Data Base: Outubro/2018</v>
      </c>
    </row>
    <row r="886" spans="1:13" x14ac:dyDescent="0.2">
      <c r="A886" s="1278" t="str">
        <f>+CONCATENATE("Serviço: ",J886," ",VLOOKUP(J886,'DER 10-18'!$A:$D,2,FALSE))</f>
        <v>Serviço: 40685 Descida d'água concreto armado (degraus) c/ caiação (DSA-03A) dispersor</v>
      </c>
      <c r="B886" s="1278"/>
      <c r="C886" s="1278"/>
      <c r="D886" s="1278"/>
      <c r="E886" s="1278"/>
      <c r="F886" s="1278"/>
      <c r="G886" s="1278"/>
      <c r="H886" s="1278"/>
      <c r="I886" s="1278" t="str">
        <f>CONCATENATE("Unidade: ", VLOOKUP(J886,'DER 10-18'!$A:$E,3,FALSE))</f>
        <v>Unidade: Ud</v>
      </c>
      <c r="J886" s="433">
        <v>40685</v>
      </c>
      <c r="K886" s="433">
        <f>VLOOKUP("Preço Unitário Total",F887:I2973,4,FALSE)</f>
        <v>743.47</v>
      </c>
      <c r="L886" s="302">
        <f>VLOOKUP(J886,'DER 10-18'!A:E,5,FALSE)</f>
        <v>0</v>
      </c>
      <c r="M886" s="302" t="str">
        <f>VLOOKUP(J886,'DER 10-18'!$A:$D,2,FALSE)</f>
        <v>Descida d'água concreto armado (degraus) c/ caiação (DSA-03A) dispersor</v>
      </c>
    </row>
    <row r="887" spans="1:13" x14ac:dyDescent="0.2">
      <c r="A887" s="1279"/>
      <c r="B887" s="1279"/>
      <c r="C887" s="1279"/>
      <c r="D887" s="1279"/>
      <c r="E887" s="1279"/>
      <c r="F887" s="1279"/>
      <c r="G887" s="1279"/>
      <c r="H887" s="1279"/>
      <c r="I887" s="1279"/>
    </row>
    <row r="888" spans="1:13" ht="22.5" x14ac:dyDescent="0.2">
      <c r="A888" s="235" t="s">
        <v>192</v>
      </c>
      <c r="B888" s="236" t="s">
        <v>60</v>
      </c>
      <c r="C888" s="236" t="s">
        <v>193</v>
      </c>
      <c r="D888" s="236" t="s">
        <v>194</v>
      </c>
      <c r="E888" s="236" t="s">
        <v>195</v>
      </c>
      <c r="F888" s="236" t="s">
        <v>196</v>
      </c>
      <c r="G888" s="236" t="s">
        <v>197</v>
      </c>
      <c r="H888" s="236" t="s">
        <v>91</v>
      </c>
      <c r="I888" s="236" t="s">
        <v>198</v>
      </c>
    </row>
    <row r="889" spans="1:13" x14ac:dyDescent="0.2">
      <c r="A889" s="199"/>
      <c r="B889" s="233"/>
      <c r="C889" s="233"/>
      <c r="D889" s="199"/>
      <c r="E889" s="199"/>
      <c r="F889" s="234" t="s">
        <v>199</v>
      </c>
      <c r="G889" s="244"/>
      <c r="H889" s="245"/>
      <c r="I889" s="434"/>
    </row>
    <row r="890" spans="1:13" x14ac:dyDescent="0.2">
      <c r="A890" s="199"/>
      <c r="B890" s="233"/>
      <c r="C890" s="233"/>
      <c r="D890" s="199"/>
      <c r="E890" s="199"/>
      <c r="F890" s="199"/>
      <c r="G890" s="199"/>
      <c r="H890" s="199"/>
      <c r="I890" s="200"/>
    </row>
    <row r="891" spans="1:13" x14ac:dyDescent="0.2">
      <c r="A891" s="246" t="s">
        <v>200</v>
      </c>
      <c r="B891" s="247" t="s">
        <v>60</v>
      </c>
      <c r="C891" s="236" t="s">
        <v>1242</v>
      </c>
      <c r="D891" s="247" t="s">
        <v>202</v>
      </c>
      <c r="E891" s="1271" t="s">
        <v>91</v>
      </c>
      <c r="F891" s="1272"/>
      <c r="G891" s="1273"/>
      <c r="H891" s="1276" t="s">
        <v>198</v>
      </c>
      <c r="I891" s="1275"/>
    </row>
    <row r="892" spans="1:13" x14ac:dyDescent="0.2">
      <c r="A892" s="199"/>
      <c r="B892" s="233"/>
      <c r="C892" s="233"/>
      <c r="D892" s="199"/>
      <c r="E892" s="199"/>
      <c r="F892" s="234" t="s">
        <v>203</v>
      </c>
      <c r="G892" s="244"/>
      <c r="H892" s="245"/>
      <c r="I892" s="434"/>
    </row>
    <row r="893" spans="1:13" x14ac:dyDescent="0.2">
      <c r="A893" s="199"/>
      <c r="B893" s="233"/>
      <c r="C893" s="233"/>
      <c r="D893" s="199"/>
      <c r="E893" s="199"/>
      <c r="F893" s="199"/>
      <c r="G893" s="199"/>
      <c r="H893" s="199"/>
      <c r="I893" s="200"/>
    </row>
    <row r="894" spans="1:13" x14ac:dyDescent="0.2">
      <c r="A894" s="250" t="s">
        <v>204</v>
      </c>
      <c r="B894" s="247" t="s">
        <v>60</v>
      </c>
      <c r="C894" s="866" t="s">
        <v>17</v>
      </c>
      <c r="D894" s="247" t="s">
        <v>205</v>
      </c>
      <c r="E894" s="247" t="s">
        <v>206</v>
      </c>
      <c r="F894" s="247" t="s">
        <v>207</v>
      </c>
      <c r="G894" s="1276" t="s">
        <v>96</v>
      </c>
      <c r="H894" s="1274"/>
      <c r="I894" s="1275"/>
    </row>
    <row r="895" spans="1:13" x14ac:dyDescent="0.2">
      <c r="A895" s="199"/>
      <c r="B895" s="233"/>
      <c r="C895" s="199"/>
      <c r="D895" s="199"/>
      <c r="E895" s="199"/>
      <c r="F895" s="234" t="s">
        <v>1170</v>
      </c>
      <c r="G895" s="244"/>
      <c r="H895" s="245"/>
      <c r="I895" s="434"/>
    </row>
    <row r="896" spans="1:13" x14ac:dyDescent="0.2">
      <c r="A896" s="199"/>
      <c r="B896" s="233"/>
      <c r="C896" s="199"/>
      <c r="D896" s="199"/>
      <c r="E896" s="199"/>
      <c r="F896" s="199"/>
      <c r="G896" s="199"/>
      <c r="H896" s="199"/>
      <c r="I896" s="200"/>
    </row>
    <row r="897" spans="1:17" x14ac:dyDescent="0.2">
      <c r="A897" s="252"/>
      <c r="B897" s="253"/>
      <c r="C897" s="254"/>
      <c r="D897" s="254"/>
      <c r="E897" s="254"/>
      <c r="F897" s="255" t="s">
        <v>208</v>
      </c>
      <c r="G897" s="435"/>
      <c r="H897" s="254"/>
      <c r="I897" s="634">
        <f>+I889+I892+I895</f>
        <v>0</v>
      </c>
    </row>
    <row r="898" spans="1:17" x14ac:dyDescent="0.2">
      <c r="A898" s="256"/>
      <c r="B898" s="257"/>
      <c r="C898" s="258"/>
      <c r="D898" s="258"/>
      <c r="E898" s="258"/>
      <c r="F898" s="259" t="s">
        <v>209</v>
      </c>
      <c r="G898" s="260"/>
      <c r="H898" s="258"/>
      <c r="I898" s="635">
        <v>1</v>
      </c>
    </row>
    <row r="899" spans="1:17" x14ac:dyDescent="0.2">
      <c r="A899" s="237"/>
      <c r="B899" s="261"/>
      <c r="C899" s="245"/>
      <c r="D899" s="245"/>
      <c r="E899" s="245"/>
      <c r="F899" s="262" t="s">
        <v>232</v>
      </c>
      <c r="G899" s="244"/>
      <c r="H899" s="245"/>
      <c r="I899" s="633">
        <f>TRUNC(I897/I898,2)</f>
        <v>0</v>
      </c>
    </row>
    <row r="900" spans="1:17" x14ac:dyDescent="0.2">
      <c r="A900" s="867"/>
      <c r="B900" s="233"/>
      <c r="C900" s="199"/>
      <c r="D900" s="199"/>
      <c r="E900" s="199"/>
      <c r="F900" s="263"/>
      <c r="G900" s="199"/>
      <c r="H900" s="199"/>
      <c r="I900" s="264"/>
    </row>
    <row r="901" spans="1:17" x14ac:dyDescent="0.2">
      <c r="A901" s="246" t="s">
        <v>210</v>
      </c>
      <c r="B901" s="247" t="s">
        <v>60</v>
      </c>
      <c r="C901" s="247" t="s">
        <v>211</v>
      </c>
      <c r="D901" s="247" t="s">
        <v>233</v>
      </c>
      <c r="E901" s="1276" t="s">
        <v>91</v>
      </c>
      <c r="F901" s="1274"/>
      <c r="G901" s="1275"/>
      <c r="H901" s="1276" t="s">
        <v>198</v>
      </c>
      <c r="I901" s="1275"/>
    </row>
    <row r="902" spans="1:17" x14ac:dyDescent="0.2">
      <c r="A902" s="199"/>
      <c r="B902" s="233"/>
      <c r="C902" s="199"/>
      <c r="D902" s="199"/>
      <c r="E902" s="199"/>
      <c r="F902" s="234" t="s">
        <v>212</v>
      </c>
      <c r="G902" s="244"/>
      <c r="H902" s="245"/>
      <c r="I902" s="434"/>
    </row>
    <row r="903" spans="1:17" x14ac:dyDescent="0.2">
      <c r="A903" s="199"/>
      <c r="B903" s="233"/>
      <c r="C903" s="199"/>
      <c r="D903" s="199"/>
      <c r="E903" s="199"/>
      <c r="F903" s="199"/>
      <c r="G903" s="269"/>
      <c r="H903" s="199"/>
      <c r="I903" s="200"/>
    </row>
    <row r="904" spans="1:17" x14ac:dyDescent="0.2">
      <c r="A904" s="467" t="s">
        <v>213</v>
      </c>
      <c r="B904" s="468" t="s">
        <v>60</v>
      </c>
      <c r="C904" s="468" t="s">
        <v>211</v>
      </c>
      <c r="D904" s="869" t="s">
        <v>233</v>
      </c>
      <c r="E904" s="1281" t="s">
        <v>91</v>
      </c>
      <c r="F904" s="1282"/>
      <c r="G904" s="1283"/>
      <c r="H904" s="1284" t="s">
        <v>198</v>
      </c>
      <c r="I904" s="1285"/>
      <c r="J904" s="451"/>
      <c r="K904" s="451"/>
      <c r="L904" s="198"/>
      <c r="M904" s="198"/>
      <c r="N904" s="198"/>
      <c r="O904" s="198"/>
      <c r="P904" s="198"/>
      <c r="Q904" s="198"/>
    </row>
    <row r="905" spans="1:17" ht="29.25" customHeight="1" x14ac:dyDescent="0.2">
      <c r="A905" s="452" t="str">
        <f>VLOOKUP(B905,'DER 10-18'!$A:$E,2,FALSE)</f>
        <v>Aço CA-50, fornecimento, dobragem e colocação nas formas (preço médio das bitolas)</v>
      </c>
      <c r="B905" s="453">
        <v>40376</v>
      </c>
      <c r="C905" s="453" t="str">
        <f>VLOOKUP(B905,'DER 10-18'!$A:$E,3,FALSE)</f>
        <v>kg</v>
      </c>
      <c r="D905" s="454">
        <f>TRUNC(VLOOKUP(B905,'DER 10-18'!$A:$F,6,FALSE)/(1+$I$4),2)</f>
        <v>7.89</v>
      </c>
      <c r="E905" s="455"/>
      <c r="F905" s="456"/>
      <c r="G905" s="457">
        <v>5</v>
      </c>
      <c r="H905" s="458"/>
      <c r="I905" s="459">
        <f>TRUNC(D905*G905,2)</f>
        <v>39.450000000000003</v>
      </c>
      <c r="J905" s="451"/>
      <c r="K905" s="451"/>
      <c r="L905" s="198"/>
      <c r="M905" s="198"/>
      <c r="N905" s="198"/>
      <c r="O905" s="198"/>
      <c r="P905" s="198"/>
      <c r="Q905" s="198"/>
    </row>
    <row r="906" spans="1:17" x14ac:dyDescent="0.2">
      <c r="A906" s="452" t="str">
        <f>VLOOKUP(B906,'DER 10-18'!$A:$E,2,FALSE)</f>
        <v>Caiação de meio fios, sarjetas, etc</v>
      </c>
      <c r="B906" s="453">
        <v>40658</v>
      </c>
      <c r="C906" s="453" t="str">
        <f>VLOOKUP(B906,'DER 10-18'!$A:$E,3,FALSE)</f>
        <v>M2</v>
      </c>
      <c r="D906" s="454">
        <f>TRUNC(VLOOKUP(B906,'DER 10-18'!$A:$F,6,FALSE)/(1+$I$4),2)</f>
        <v>4.7</v>
      </c>
      <c r="E906" s="455"/>
      <c r="F906" s="456"/>
      <c r="G906" s="457">
        <v>4.5</v>
      </c>
      <c r="H906" s="458"/>
      <c r="I906" s="459">
        <f>TRUNC(D906*G906,2)</f>
        <v>21.15</v>
      </c>
      <c r="J906" s="451"/>
      <c r="K906" s="451"/>
      <c r="L906" s="198"/>
      <c r="M906" s="198"/>
      <c r="N906" s="198"/>
      <c r="O906" s="198"/>
      <c r="P906" s="198"/>
      <c r="Q906" s="198"/>
    </row>
    <row r="907" spans="1:17" ht="22.5" x14ac:dyDescent="0.2">
      <c r="A907" s="452" t="str">
        <f>VLOOKUP(B907,'DER 10-18'!$A:$E,2,FALSE)</f>
        <v>Concreto estrutural fck = 15,0 MPa, tudo incluído</v>
      </c>
      <c r="B907" s="453">
        <v>40358</v>
      </c>
      <c r="C907" s="453" t="str">
        <f>VLOOKUP(B907,'DER 10-18'!$A:$E,3,FALSE)</f>
        <v>M3</v>
      </c>
      <c r="D907" s="454">
        <f>TRUNC(VLOOKUP(B907,'DER 10-18'!$A:$F,6,FALSE)/(1+$I$4),2)</f>
        <v>523.20000000000005</v>
      </c>
      <c r="E907" s="455"/>
      <c r="F907" s="456"/>
      <c r="G907" s="457">
        <v>0.66</v>
      </c>
      <c r="H907" s="458"/>
      <c r="I907" s="459">
        <f>TRUNC(D907*G907,2)</f>
        <v>345.31</v>
      </c>
      <c r="J907" s="451"/>
      <c r="K907" s="451"/>
      <c r="L907" s="198"/>
      <c r="M907" s="198"/>
      <c r="N907" s="198"/>
      <c r="O907" s="198"/>
      <c r="P907" s="198"/>
      <c r="Q907" s="198"/>
    </row>
    <row r="908" spans="1:17" ht="22.5" x14ac:dyDescent="0.2">
      <c r="A908" s="452" t="str">
        <f>VLOOKUP(B908,'DER 10-18'!$A:$E,2,FALSE)</f>
        <v>Escavação manual em mat. 1ª cat. H= 0,00 a 1,50 m</v>
      </c>
      <c r="B908" s="453">
        <v>40258</v>
      </c>
      <c r="C908" s="453" t="str">
        <f>VLOOKUP(B908,'DER 10-18'!$A:$E,3,FALSE)</f>
        <v>M3</v>
      </c>
      <c r="D908" s="454">
        <f>TRUNC(VLOOKUP(B908,'DER 10-18'!$A:$F,6,FALSE)/(1+$I$4),2)</f>
        <v>52.61</v>
      </c>
      <c r="E908" s="455"/>
      <c r="F908" s="456"/>
      <c r="G908" s="457">
        <v>1.2310000000000001</v>
      </c>
      <c r="H908" s="458"/>
      <c r="I908" s="459">
        <f>TRUNC(D908*G908,2)</f>
        <v>64.760000000000005</v>
      </c>
      <c r="J908" s="451"/>
      <c r="K908" s="451"/>
      <c r="L908" s="198"/>
      <c r="M908" s="198"/>
      <c r="N908" s="198"/>
      <c r="O908" s="198"/>
      <c r="P908" s="198"/>
      <c r="Q908" s="198"/>
    </row>
    <row r="909" spans="1:17" ht="45" x14ac:dyDescent="0.2">
      <c r="A909" s="452" t="str">
        <f>VLOOKUP(B909,'DER 10-18'!$A:$E,2,FALSE)</f>
        <v>Formas planas de madeira com 02 (dois) reaproveitamentos, inclusive fornecimento e transporte das madeiras</v>
      </c>
      <c r="B909" s="453">
        <v>40312</v>
      </c>
      <c r="C909" s="453" t="str">
        <f>VLOOKUP(B909,'DER 10-18'!$A:$E,3,FALSE)</f>
        <v>M2</v>
      </c>
      <c r="D909" s="454">
        <f>TRUNC(VLOOKUP(B909,'DER 10-18'!$A:$F,6,FALSE)/(1+$I$4),2)</f>
        <v>75.55</v>
      </c>
      <c r="E909" s="455"/>
      <c r="F909" s="456"/>
      <c r="G909" s="457">
        <v>1.75</v>
      </c>
      <c r="H909" s="458"/>
      <c r="I909" s="459">
        <f>TRUNC(D909*G909,2)</f>
        <v>132.21</v>
      </c>
      <c r="J909" s="451"/>
      <c r="K909" s="451"/>
      <c r="L909" s="198"/>
      <c r="M909" s="198"/>
      <c r="N909" s="198"/>
      <c r="O909" s="198"/>
      <c r="P909" s="198"/>
      <c r="Q909" s="198"/>
    </row>
    <row r="910" spans="1:17" x14ac:dyDescent="0.2">
      <c r="A910" s="201"/>
      <c r="B910" s="271"/>
      <c r="C910" s="201"/>
      <c r="D910" s="201"/>
      <c r="E910" s="201"/>
      <c r="F910" s="272" t="s">
        <v>214</v>
      </c>
      <c r="G910" s="260"/>
      <c r="H910" s="273"/>
      <c r="I910" s="436">
        <f>SUM(I905:I909)</f>
        <v>602.88</v>
      </c>
    </row>
    <row r="911" spans="1:17" x14ac:dyDescent="0.2">
      <c r="A911" s="201"/>
      <c r="B911" s="271"/>
      <c r="C911" s="201"/>
      <c r="D911" s="201"/>
      <c r="E911" s="201"/>
      <c r="F911" s="201"/>
      <c r="G911" s="201"/>
      <c r="H911" s="201"/>
      <c r="I911" s="201"/>
    </row>
    <row r="912" spans="1:17" x14ac:dyDescent="0.2">
      <c r="A912" s="274" t="s">
        <v>215</v>
      </c>
      <c r="B912" s="275" t="s">
        <v>60</v>
      </c>
      <c r="C912" s="275" t="s">
        <v>211</v>
      </c>
      <c r="D912" s="275" t="s">
        <v>216</v>
      </c>
      <c r="E912" s="275" t="s">
        <v>217</v>
      </c>
      <c r="F912" s="275" t="s">
        <v>218</v>
      </c>
      <c r="G912" s="275" t="s">
        <v>96</v>
      </c>
      <c r="H912" s="275" t="s">
        <v>91</v>
      </c>
      <c r="I912" s="275" t="s">
        <v>219</v>
      </c>
    </row>
    <row r="913" spans="1:17" x14ac:dyDescent="0.2">
      <c r="A913" s="201"/>
      <c r="B913" s="271"/>
      <c r="C913" s="201"/>
      <c r="D913" s="201"/>
      <c r="E913" s="201"/>
      <c r="F913" s="272" t="s">
        <v>220</v>
      </c>
      <c r="G913" s="244"/>
      <c r="H913" s="279"/>
      <c r="I913" s="438"/>
    </row>
    <row r="914" spans="1:17" x14ac:dyDescent="0.2">
      <c r="A914" s="201"/>
      <c r="B914" s="271"/>
      <c r="C914" s="201"/>
      <c r="D914" s="201"/>
      <c r="E914" s="201"/>
      <c r="F914" s="201"/>
      <c r="G914" s="201"/>
      <c r="H914" s="201"/>
      <c r="I914" s="202"/>
    </row>
    <row r="915" spans="1:17" x14ac:dyDescent="0.2">
      <c r="A915" s="280"/>
      <c r="B915" s="281"/>
      <c r="C915" s="282"/>
      <c r="D915" s="282"/>
      <c r="E915" s="282"/>
      <c r="F915" s="283" t="s">
        <v>221</v>
      </c>
      <c r="G915" s="280"/>
      <c r="H915" s="254"/>
      <c r="I915" s="634">
        <f>+I899+I902+I910+I913</f>
        <v>602.88</v>
      </c>
    </row>
    <row r="916" spans="1:17" x14ac:dyDescent="0.2">
      <c r="A916" s="260"/>
      <c r="B916" s="284"/>
      <c r="C916" s="273"/>
      <c r="D916" s="273"/>
      <c r="E916" s="273"/>
      <c r="F916" s="285" t="str">
        <f>CONCATENATE($H$3," ",$I$3)</f>
        <v>BDI: 23,32</v>
      </c>
      <c r="G916" s="439"/>
      <c r="H916" s="258"/>
      <c r="I916" s="635">
        <f>+ROUND(I915*$I$4,2)</f>
        <v>140.59</v>
      </c>
    </row>
    <row r="917" spans="1:17" s="198" customFormat="1" x14ac:dyDescent="0.2">
      <c r="A917" s="244"/>
      <c r="B917" s="286"/>
      <c r="C917" s="279"/>
      <c r="D917" s="279"/>
      <c r="E917" s="279"/>
      <c r="F917" s="287" t="s">
        <v>222</v>
      </c>
      <c r="G917" s="440"/>
      <c r="H917" s="245"/>
      <c r="I917" s="1017">
        <f>+I915+I916</f>
        <v>743.47</v>
      </c>
      <c r="J917" s="433"/>
      <c r="K917" s="433"/>
      <c r="L917" s="302"/>
      <c r="M917" s="302"/>
      <c r="N917" s="302"/>
      <c r="O917" s="302"/>
      <c r="P917" s="302"/>
      <c r="Q917" s="302"/>
    </row>
    <row r="918" spans="1:17" x14ac:dyDescent="0.2">
      <c r="A918" s="1277" t="str">
        <f>$A$1</f>
        <v>COMPOSIÇÃO DE CUSTOS UNITÁRIOS</v>
      </c>
      <c r="B918" s="1277"/>
      <c r="C918" s="1277"/>
      <c r="D918" s="1277"/>
      <c r="E918" s="1277"/>
      <c r="F918" s="1277"/>
      <c r="G918" s="1277"/>
      <c r="H918" s="1277"/>
      <c r="I918" s="1277"/>
    </row>
    <row r="919" spans="1:17" x14ac:dyDescent="0.2">
      <c r="A919" s="232" t="str">
        <f>$A$2</f>
        <v>Tabela Referencial de Preços - DER-ES</v>
      </c>
      <c r="B919" s="233"/>
      <c r="C919" s="199"/>
      <c r="D919" s="199"/>
      <c r="E919" s="199"/>
      <c r="F919" s="199"/>
      <c r="G919" s="199"/>
      <c r="H919" s="199"/>
      <c r="I919" s="234" t="str">
        <f>$I$2</f>
        <v>Data Base: Outubro/2018</v>
      </c>
    </row>
    <row r="920" spans="1:17" x14ac:dyDescent="0.2">
      <c r="A920" s="1278" t="str">
        <f>+CONCATENATE("Serviço: ",J920," ",VLOOKUP(J920,'DER 10-18'!$A:$D,2,FALSE))</f>
        <v>Serviço: 40735 Dissipador de energia aplicado a saída de bueiro/descida d'água de aterro (DEB-04)</v>
      </c>
      <c r="B920" s="1278"/>
      <c r="C920" s="1278"/>
      <c r="D920" s="1278"/>
      <c r="E920" s="1278"/>
      <c r="F920" s="1278"/>
      <c r="G920" s="1278"/>
      <c r="H920" s="1278"/>
      <c r="I920" s="1278" t="str">
        <f>CONCATENATE("Unidade: ", VLOOKUP(J920,'DER 10-18'!$A:$E,3,FALSE))</f>
        <v>Unidade: Ud</v>
      </c>
      <c r="J920" s="433">
        <v>40735</v>
      </c>
      <c r="K920" s="433">
        <f>VLOOKUP("Preço Unitário Total",F921:I3007,4,FALSE)</f>
        <v>3815.5</v>
      </c>
      <c r="L920" s="302" t="str">
        <f>VLOOKUP(J920,'DER 10-18'!A:E,5,FALSE)</f>
        <v>A incluir</v>
      </c>
      <c r="M920" s="302" t="str">
        <f>VLOOKUP(J920,'DER 10-18'!$A:$D,2,FALSE)</f>
        <v>Dissipador de energia aplicado a saída de bueiro/descida d'água de aterro (DEB-04)</v>
      </c>
    </row>
    <row r="921" spans="1:17" x14ac:dyDescent="0.2">
      <c r="A921" s="1279"/>
      <c r="B921" s="1279"/>
      <c r="C921" s="1279"/>
      <c r="D921" s="1279"/>
      <c r="E921" s="1279"/>
      <c r="F921" s="1279"/>
      <c r="G921" s="1279"/>
      <c r="H921" s="1279"/>
      <c r="I921" s="1279"/>
    </row>
    <row r="922" spans="1:17" ht="22.5" x14ac:dyDescent="0.2">
      <c r="A922" s="235" t="s">
        <v>192</v>
      </c>
      <c r="B922" s="236" t="s">
        <v>60</v>
      </c>
      <c r="C922" s="236" t="s">
        <v>193</v>
      </c>
      <c r="D922" s="236" t="s">
        <v>194</v>
      </c>
      <c r="E922" s="236" t="s">
        <v>195</v>
      </c>
      <c r="F922" s="236" t="s">
        <v>196</v>
      </c>
      <c r="G922" s="236" t="s">
        <v>197</v>
      </c>
      <c r="H922" s="236" t="s">
        <v>91</v>
      </c>
      <c r="I922" s="236" t="s">
        <v>198</v>
      </c>
    </row>
    <row r="923" spans="1:17" x14ac:dyDescent="0.2">
      <c r="A923" s="199"/>
      <c r="B923" s="233"/>
      <c r="C923" s="233"/>
      <c r="D923" s="199"/>
      <c r="E923" s="199"/>
      <c r="F923" s="234" t="s">
        <v>199</v>
      </c>
      <c r="G923" s="244"/>
      <c r="H923" s="245"/>
      <c r="I923" s="434"/>
    </row>
    <row r="924" spans="1:17" x14ac:dyDescent="0.2">
      <c r="A924" s="199"/>
      <c r="B924" s="233"/>
      <c r="C924" s="233"/>
      <c r="D924" s="199"/>
      <c r="E924" s="199"/>
      <c r="F924" s="199"/>
      <c r="G924" s="199"/>
      <c r="H924" s="199"/>
      <c r="I924" s="200"/>
    </row>
    <row r="925" spans="1:17" x14ac:dyDescent="0.2">
      <c r="A925" s="246" t="s">
        <v>200</v>
      </c>
      <c r="B925" s="247" t="s">
        <v>60</v>
      </c>
      <c r="C925" s="236" t="s">
        <v>1242</v>
      </c>
      <c r="D925" s="247" t="s">
        <v>202</v>
      </c>
      <c r="E925" s="1271" t="s">
        <v>91</v>
      </c>
      <c r="F925" s="1272"/>
      <c r="G925" s="1273"/>
      <c r="H925" s="1276" t="s">
        <v>198</v>
      </c>
      <c r="I925" s="1275"/>
    </row>
    <row r="926" spans="1:17" ht="14.25" customHeight="1" x14ac:dyDescent="0.2">
      <c r="A926" s="199"/>
      <c r="B926" s="233"/>
      <c r="C926" s="233"/>
      <c r="D926" s="199"/>
      <c r="E926" s="199"/>
      <c r="F926" s="234" t="s">
        <v>203</v>
      </c>
      <c r="G926" s="244"/>
      <c r="H926" s="245"/>
      <c r="I926" s="434"/>
    </row>
    <row r="927" spans="1:17" x14ac:dyDescent="0.2">
      <c r="A927" s="199"/>
      <c r="B927" s="233"/>
      <c r="C927" s="233"/>
      <c r="D927" s="199"/>
      <c r="E927" s="199"/>
      <c r="F927" s="199"/>
      <c r="G927" s="199"/>
      <c r="H927" s="199"/>
      <c r="I927" s="200"/>
    </row>
    <row r="928" spans="1:17" x14ac:dyDescent="0.2">
      <c r="A928" s="250" t="s">
        <v>204</v>
      </c>
      <c r="B928" s="247" t="s">
        <v>60</v>
      </c>
      <c r="C928" s="866" t="s">
        <v>17</v>
      </c>
      <c r="D928" s="247" t="s">
        <v>205</v>
      </c>
      <c r="E928" s="247" t="s">
        <v>206</v>
      </c>
      <c r="F928" s="247" t="s">
        <v>207</v>
      </c>
      <c r="G928" s="1276" t="s">
        <v>96</v>
      </c>
      <c r="H928" s="1274"/>
      <c r="I928" s="1275"/>
    </row>
    <row r="929" spans="1:17" x14ac:dyDescent="0.2">
      <c r="A929" s="199"/>
      <c r="B929" s="233"/>
      <c r="C929" s="199"/>
      <c r="D929" s="199"/>
      <c r="E929" s="199"/>
      <c r="F929" s="234" t="s">
        <v>1170</v>
      </c>
      <c r="G929" s="244"/>
      <c r="H929" s="245"/>
      <c r="I929" s="434"/>
    </row>
    <row r="930" spans="1:17" x14ac:dyDescent="0.2">
      <c r="A930" s="199"/>
      <c r="B930" s="233"/>
      <c r="C930" s="199"/>
      <c r="D930" s="199"/>
      <c r="E930" s="199"/>
      <c r="F930" s="199"/>
      <c r="G930" s="199"/>
      <c r="H930" s="199"/>
      <c r="I930" s="200"/>
    </row>
    <row r="931" spans="1:17" x14ac:dyDescent="0.2">
      <c r="A931" s="252"/>
      <c r="B931" s="253"/>
      <c r="C931" s="254"/>
      <c r="D931" s="254"/>
      <c r="E931" s="254"/>
      <c r="F931" s="255" t="s">
        <v>208</v>
      </c>
      <c r="G931" s="435"/>
      <c r="H931" s="254"/>
      <c r="I931" s="634">
        <f>+I923+I926+I929</f>
        <v>0</v>
      </c>
    </row>
    <row r="932" spans="1:17" x14ac:dyDescent="0.2">
      <c r="A932" s="256"/>
      <c r="B932" s="257"/>
      <c r="C932" s="258"/>
      <c r="D932" s="258"/>
      <c r="E932" s="258"/>
      <c r="F932" s="259" t="s">
        <v>209</v>
      </c>
      <c r="G932" s="260"/>
      <c r="H932" s="258"/>
      <c r="I932" s="635">
        <v>1</v>
      </c>
    </row>
    <row r="933" spans="1:17" x14ac:dyDescent="0.2">
      <c r="A933" s="237"/>
      <c r="B933" s="261"/>
      <c r="C933" s="245"/>
      <c r="D933" s="245"/>
      <c r="E933" s="245"/>
      <c r="F933" s="262" t="s">
        <v>232</v>
      </c>
      <c r="G933" s="244"/>
      <c r="H933" s="245"/>
      <c r="I933" s="633">
        <f>TRUNC(I931/I932,2)</f>
        <v>0</v>
      </c>
    </row>
    <row r="934" spans="1:17" x14ac:dyDescent="0.2">
      <c r="A934" s="867"/>
      <c r="B934" s="233"/>
      <c r="C934" s="199"/>
      <c r="D934" s="199"/>
      <c r="E934" s="199"/>
      <c r="F934" s="263"/>
      <c r="G934" s="199"/>
      <c r="H934" s="199"/>
      <c r="I934" s="264"/>
    </row>
    <row r="935" spans="1:17" x14ac:dyDescent="0.2">
      <c r="A935" s="246" t="s">
        <v>210</v>
      </c>
      <c r="B935" s="247" t="s">
        <v>60</v>
      </c>
      <c r="C935" s="247" t="s">
        <v>211</v>
      </c>
      <c r="D935" s="247" t="s">
        <v>233</v>
      </c>
      <c r="E935" s="1276" t="s">
        <v>91</v>
      </c>
      <c r="F935" s="1274"/>
      <c r="G935" s="1275"/>
      <c r="H935" s="1276" t="s">
        <v>198</v>
      </c>
      <c r="I935" s="1275"/>
    </row>
    <row r="936" spans="1:17" x14ac:dyDescent="0.2">
      <c r="A936" s="199"/>
      <c r="B936" s="233"/>
      <c r="C936" s="199"/>
      <c r="D936" s="199"/>
      <c r="E936" s="199"/>
      <c r="F936" s="234" t="s">
        <v>212</v>
      </c>
      <c r="G936" s="244"/>
      <c r="H936" s="245"/>
      <c r="I936" s="434"/>
    </row>
    <row r="937" spans="1:17" x14ac:dyDescent="0.2">
      <c r="A937" s="199"/>
      <c r="B937" s="233"/>
      <c r="C937" s="199"/>
      <c r="D937" s="199"/>
      <c r="E937" s="199"/>
      <c r="F937" s="199"/>
      <c r="G937" s="269"/>
      <c r="H937" s="199"/>
      <c r="I937" s="200"/>
    </row>
    <row r="938" spans="1:17" x14ac:dyDescent="0.2">
      <c r="A938" s="467" t="s">
        <v>213</v>
      </c>
      <c r="B938" s="468" t="s">
        <v>60</v>
      </c>
      <c r="C938" s="468" t="s">
        <v>211</v>
      </c>
      <c r="D938" s="869" t="s">
        <v>233</v>
      </c>
      <c r="E938" s="1281" t="s">
        <v>91</v>
      </c>
      <c r="F938" s="1282"/>
      <c r="G938" s="1283"/>
      <c r="H938" s="1284" t="s">
        <v>198</v>
      </c>
      <c r="I938" s="1285"/>
      <c r="J938" s="451"/>
      <c r="K938" s="451"/>
      <c r="L938" s="198"/>
      <c r="M938" s="198"/>
      <c r="N938" s="198"/>
      <c r="O938" s="198"/>
      <c r="P938" s="198"/>
      <c r="Q938" s="198"/>
    </row>
    <row r="939" spans="1:17" ht="45" x14ac:dyDescent="0.2">
      <c r="A939" s="452" t="str">
        <f>VLOOKUP(B939,'DER 10-18'!$A:$E,2,FALSE)</f>
        <v>Alvenaria de pedra de mão argamassada (argamassa cimento areia 1:4), inclusive transporte da pedra</v>
      </c>
      <c r="B939" s="453">
        <v>40343</v>
      </c>
      <c r="C939" s="453" t="str">
        <f>VLOOKUP(B939,'DER 10-18'!$A:$E,3,FALSE)</f>
        <v>M3</v>
      </c>
      <c r="D939" s="454">
        <f>TRUNC(VLOOKUP(B939,'DER 10-18'!$A:$F,6,FALSE)/(1+$I$4),2)</f>
        <v>326.08</v>
      </c>
      <c r="E939" s="455"/>
      <c r="F939" s="456"/>
      <c r="G939" s="457">
        <v>3.8</v>
      </c>
      <c r="H939" s="458"/>
      <c r="I939" s="459">
        <f>TRUNC(D939*G939,2)</f>
        <v>1239.0999999999999</v>
      </c>
      <c r="J939" s="451"/>
      <c r="K939" s="451"/>
      <c r="L939" s="198"/>
      <c r="M939" s="198"/>
      <c r="N939" s="198"/>
      <c r="O939" s="198"/>
      <c r="P939" s="198"/>
      <c r="Q939" s="198"/>
    </row>
    <row r="940" spans="1:17" x14ac:dyDescent="0.2">
      <c r="A940" s="452" t="str">
        <f>VLOOKUP(B940,'DER 10-18'!$A:$E,2,FALSE)</f>
        <v>Apiloamento manual</v>
      </c>
      <c r="B940" s="453">
        <v>40300</v>
      </c>
      <c r="C940" s="453" t="str">
        <f>VLOOKUP(B940,'DER 10-18'!$A:$E,3,FALSE)</f>
        <v>M3</v>
      </c>
      <c r="D940" s="454">
        <f>TRUNC(VLOOKUP(B940,'DER 10-18'!$A:$F,6,FALSE)/(1+$I$4),2)</f>
        <v>42.91</v>
      </c>
      <c r="E940" s="455"/>
      <c r="F940" s="456"/>
      <c r="G940" s="457">
        <v>0.5</v>
      </c>
      <c r="H940" s="458"/>
      <c r="I940" s="459">
        <f>TRUNC(D940*G940,2)</f>
        <v>21.45</v>
      </c>
      <c r="J940" s="451"/>
      <c r="K940" s="451"/>
      <c r="L940" s="198"/>
      <c r="M940" s="198"/>
      <c r="N940" s="198"/>
      <c r="O940" s="198"/>
      <c r="P940" s="198"/>
      <c r="Q940" s="198"/>
    </row>
    <row r="941" spans="1:17" ht="22.5" x14ac:dyDescent="0.2">
      <c r="A941" s="452" t="str">
        <f>VLOOKUP(B941,'DER 10-18'!$A:$E,2,FALSE)</f>
        <v>Concreto estrutural fck = 15,0 MPa, tudo incluído</v>
      </c>
      <c r="B941" s="453">
        <v>40358</v>
      </c>
      <c r="C941" s="453" t="str">
        <f>VLOOKUP(B941,'DER 10-18'!$A:$E,3,FALSE)</f>
        <v>M3</v>
      </c>
      <c r="D941" s="454">
        <f>TRUNC(VLOOKUP(B941,'DER 10-18'!$A:$F,6,FALSE)/(1+$I$4),2)</f>
        <v>523.20000000000005</v>
      </c>
      <c r="E941" s="455"/>
      <c r="F941" s="456"/>
      <c r="G941" s="457">
        <v>1.82</v>
      </c>
      <c r="H941" s="458"/>
      <c r="I941" s="459">
        <f>TRUNC(D941*G941,2)</f>
        <v>952.22</v>
      </c>
      <c r="J941" s="451"/>
      <c r="K941" s="451"/>
      <c r="L941" s="198"/>
      <c r="M941" s="198"/>
      <c r="N941" s="198"/>
      <c r="O941" s="198"/>
      <c r="P941" s="198"/>
      <c r="Q941" s="198"/>
    </row>
    <row r="942" spans="1:17" ht="22.5" x14ac:dyDescent="0.2">
      <c r="A942" s="452" t="str">
        <f>VLOOKUP(B942,'DER 10-18'!$A:$E,2,FALSE)</f>
        <v>Escavação manual em mat. 1ª cat. H= 0,00 a 1,50 m</v>
      </c>
      <c r="B942" s="453">
        <v>40258</v>
      </c>
      <c r="C942" s="453" t="str">
        <f>VLOOKUP(B942,'DER 10-18'!$A:$E,3,FALSE)</f>
        <v>M3</v>
      </c>
      <c r="D942" s="454">
        <f>TRUNC(VLOOKUP(B942,'DER 10-18'!$A:$F,6,FALSE)/(1+$I$4),2)</f>
        <v>52.61</v>
      </c>
      <c r="E942" s="455"/>
      <c r="F942" s="456"/>
      <c r="G942" s="457">
        <v>4.49</v>
      </c>
      <c r="H942" s="458"/>
      <c r="I942" s="459">
        <f>TRUNC(D942*G942,2)</f>
        <v>236.21</v>
      </c>
      <c r="J942" s="451"/>
      <c r="K942" s="451"/>
      <c r="L942" s="198"/>
      <c r="M942" s="198"/>
      <c r="N942" s="198"/>
      <c r="O942" s="198"/>
      <c r="P942" s="198"/>
      <c r="Q942" s="198"/>
    </row>
    <row r="943" spans="1:17" ht="45" x14ac:dyDescent="0.2">
      <c r="A943" s="452" t="str">
        <f>VLOOKUP(B943,'DER 10-18'!$A:$E,2,FALSE)</f>
        <v>Formas planas de madeira com 04 (quatro) reaproveitamentos, inclusive fornecimento e transporte das madeiras</v>
      </c>
      <c r="B943" s="453">
        <v>40313</v>
      </c>
      <c r="C943" s="453" t="str">
        <f>VLOOKUP(B943,'DER 10-18'!$A:$E,3,FALSE)</f>
        <v>M2</v>
      </c>
      <c r="D943" s="454">
        <f>TRUNC(VLOOKUP(B943,'DER 10-18'!$A:$F,6,FALSE)/(1+$I$4),2)</f>
        <v>64.180000000000007</v>
      </c>
      <c r="E943" s="455"/>
      <c r="F943" s="456"/>
      <c r="G943" s="457">
        <v>10.050000000000001</v>
      </c>
      <c r="H943" s="458"/>
      <c r="I943" s="459">
        <f>TRUNC(D943*G943,2)</f>
        <v>645</v>
      </c>
      <c r="J943" s="451"/>
      <c r="K943" s="451"/>
      <c r="L943" s="198"/>
      <c r="M943" s="198"/>
      <c r="N943" s="198"/>
      <c r="O943" s="198"/>
      <c r="P943" s="198"/>
      <c r="Q943" s="198"/>
    </row>
    <row r="944" spans="1:17" x14ac:dyDescent="0.2">
      <c r="A944" s="201"/>
      <c r="B944" s="271"/>
      <c r="C944" s="201"/>
      <c r="D944" s="201"/>
      <c r="E944" s="201"/>
      <c r="F944" s="272" t="s">
        <v>214</v>
      </c>
      <c r="G944" s="260"/>
      <c r="H944" s="273"/>
      <c r="I944" s="436">
        <f>SUM(I939:I943)</f>
        <v>3093.98</v>
      </c>
    </row>
    <row r="945" spans="1:13" x14ac:dyDescent="0.2">
      <c r="A945" s="201"/>
      <c r="B945" s="271"/>
      <c r="C945" s="201"/>
      <c r="D945" s="201"/>
      <c r="E945" s="201"/>
      <c r="F945" s="201"/>
      <c r="G945" s="201"/>
      <c r="H945" s="201"/>
      <c r="I945" s="201"/>
    </row>
    <row r="946" spans="1:13" x14ac:dyDescent="0.2">
      <c r="A946" s="274" t="s">
        <v>215</v>
      </c>
      <c r="B946" s="275" t="s">
        <v>60</v>
      </c>
      <c r="C946" s="275" t="s">
        <v>211</v>
      </c>
      <c r="D946" s="275" t="s">
        <v>216</v>
      </c>
      <c r="E946" s="275" t="s">
        <v>217</v>
      </c>
      <c r="F946" s="275" t="s">
        <v>218</v>
      </c>
      <c r="G946" s="275" t="s">
        <v>96</v>
      </c>
      <c r="H946" s="275" t="s">
        <v>91</v>
      </c>
      <c r="I946" s="275" t="s">
        <v>219</v>
      </c>
    </row>
    <row r="947" spans="1:13" x14ac:dyDescent="0.2">
      <c r="A947" s="201"/>
      <c r="B947" s="271"/>
      <c r="C947" s="201"/>
      <c r="D947" s="201"/>
      <c r="E947" s="201"/>
      <c r="F947" s="272" t="s">
        <v>220</v>
      </c>
      <c r="G947" s="244"/>
      <c r="H947" s="279"/>
      <c r="I947" s="438"/>
    </row>
    <row r="948" spans="1:13" x14ac:dyDescent="0.2">
      <c r="A948" s="201"/>
      <c r="B948" s="271"/>
      <c r="C948" s="201"/>
      <c r="D948" s="201"/>
      <c r="E948" s="201"/>
      <c r="F948" s="201"/>
      <c r="G948" s="201"/>
      <c r="H948" s="201"/>
      <c r="I948" s="202"/>
    </row>
    <row r="949" spans="1:13" x14ac:dyDescent="0.2">
      <c r="A949" s="280"/>
      <c r="B949" s="281"/>
      <c r="C949" s="282"/>
      <c r="D949" s="282"/>
      <c r="E949" s="282"/>
      <c r="F949" s="283" t="s">
        <v>221</v>
      </c>
      <c r="G949" s="280"/>
      <c r="H949" s="254"/>
      <c r="I949" s="634">
        <f>+I933+I936+I944+I947</f>
        <v>3093.98</v>
      </c>
    </row>
    <row r="950" spans="1:13" x14ac:dyDescent="0.2">
      <c r="A950" s="260"/>
      <c r="B950" s="284"/>
      <c r="C950" s="273"/>
      <c r="D950" s="273"/>
      <c r="E950" s="273"/>
      <c r="F950" s="285" t="str">
        <f>CONCATENATE($H$3," ",$I$3)</f>
        <v>BDI: 23,32</v>
      </c>
      <c r="G950" s="439"/>
      <c r="H950" s="258"/>
      <c r="I950" s="635">
        <f>+ROUND(I949*$I$4,2)</f>
        <v>721.52</v>
      </c>
    </row>
    <row r="951" spans="1:13" x14ac:dyDescent="0.2">
      <c r="A951" s="244"/>
      <c r="B951" s="286"/>
      <c r="C951" s="279"/>
      <c r="D951" s="279"/>
      <c r="E951" s="279"/>
      <c r="F951" s="287" t="s">
        <v>222</v>
      </c>
      <c r="G951" s="440"/>
      <c r="H951" s="245"/>
      <c r="I951" s="1017">
        <f>+I949+I950</f>
        <v>3815.5</v>
      </c>
    </row>
    <row r="952" spans="1:13" x14ac:dyDescent="0.2">
      <c r="A952" s="1277" t="str">
        <f>$A$1</f>
        <v>COMPOSIÇÃO DE CUSTOS UNITÁRIOS</v>
      </c>
      <c r="B952" s="1277"/>
      <c r="C952" s="1277"/>
      <c r="D952" s="1277"/>
      <c r="E952" s="1277"/>
      <c r="F952" s="1277"/>
      <c r="G952" s="1277"/>
      <c r="H952" s="1277"/>
      <c r="I952" s="1277"/>
    </row>
    <row r="953" spans="1:13" x14ac:dyDescent="0.2">
      <c r="A953" s="232" t="str">
        <f>$A$2</f>
        <v>Tabela Referencial de Preços - DER-ES</v>
      </c>
      <c r="B953" s="233"/>
      <c r="C953" s="199"/>
      <c r="D953" s="199"/>
      <c r="E953" s="199"/>
      <c r="F953" s="199"/>
      <c r="G953" s="199"/>
      <c r="H953" s="199"/>
      <c r="I953" s="234" t="str">
        <f>$I$2</f>
        <v>Data Base: Outubro/2018</v>
      </c>
    </row>
    <row r="954" spans="1:13" x14ac:dyDescent="0.2">
      <c r="A954" s="1278" t="str">
        <f>+CONCATENATE("Serviço: ",J954," ",VLOOKUP(J954,'DER 10-18'!$A:$D,2,FALSE))</f>
        <v>Serviço: 40706 Transposição de segmento de sarjeta - TSS 01, inclusive transporte do tubo de concreto</v>
      </c>
      <c r="B954" s="1278"/>
      <c r="C954" s="1278"/>
      <c r="D954" s="1278"/>
      <c r="E954" s="1278"/>
      <c r="F954" s="1278"/>
      <c r="G954" s="1278"/>
      <c r="H954" s="1278"/>
      <c r="I954" s="1278" t="str">
        <f>CONCATENATE("Unidade: ", VLOOKUP(J954,'DER 10-18'!$A:$E,3,FALSE))</f>
        <v>Unidade: M</v>
      </c>
      <c r="J954" s="433">
        <v>40706</v>
      </c>
      <c r="K954" s="433">
        <f>VLOOKUP("Preço Unitário Total",F955:I4027,4,FALSE)</f>
        <v>330.68</v>
      </c>
      <c r="L954" s="302" t="str">
        <f>VLOOKUP(J954,'DER 10-18'!A:E,5,FALSE)</f>
        <v>A incluir</v>
      </c>
      <c r="M954" s="302" t="str">
        <f>VLOOKUP(J954,'DER 10-18'!$A:$D,2,FALSE)</f>
        <v>Transposição de segmento de sarjeta - TSS 01, inclusive transporte do tubo de concreto</v>
      </c>
    </row>
    <row r="955" spans="1:13" x14ac:dyDescent="0.2">
      <c r="A955" s="1279"/>
      <c r="B955" s="1279"/>
      <c r="C955" s="1279"/>
      <c r="D955" s="1279"/>
      <c r="E955" s="1279"/>
      <c r="F955" s="1279"/>
      <c r="G955" s="1279"/>
      <c r="H955" s="1279"/>
      <c r="I955" s="1279"/>
    </row>
    <row r="956" spans="1:13" ht="22.5" x14ac:dyDescent="0.2">
      <c r="A956" s="235" t="s">
        <v>192</v>
      </c>
      <c r="B956" s="236" t="s">
        <v>60</v>
      </c>
      <c r="C956" s="236" t="s">
        <v>193</v>
      </c>
      <c r="D956" s="236" t="s">
        <v>194</v>
      </c>
      <c r="E956" s="236" t="s">
        <v>195</v>
      </c>
      <c r="F956" s="236" t="s">
        <v>196</v>
      </c>
      <c r="G956" s="236" t="s">
        <v>197</v>
      </c>
      <c r="H956" s="236" t="s">
        <v>91</v>
      </c>
      <c r="I956" s="236" t="s">
        <v>198</v>
      </c>
    </row>
    <row r="957" spans="1:13" x14ac:dyDescent="0.2">
      <c r="A957" s="237"/>
      <c r="B957" s="238"/>
      <c r="C957" s="239"/>
      <c r="D957" s="240"/>
      <c r="E957" s="205"/>
      <c r="F957" s="241"/>
      <c r="G957" s="241"/>
      <c r="H957" s="242"/>
      <c r="I957" s="243"/>
    </row>
    <row r="958" spans="1:13" x14ac:dyDescent="0.2">
      <c r="A958" s="199"/>
      <c r="B958" s="233"/>
      <c r="C958" s="233"/>
      <c r="D958" s="199"/>
      <c r="E958" s="199"/>
      <c r="F958" s="234" t="s">
        <v>199</v>
      </c>
      <c r="G958" s="244"/>
      <c r="H958" s="245"/>
      <c r="I958" s="434">
        <f>SUM(I957:I957)</f>
        <v>0</v>
      </c>
    </row>
    <row r="959" spans="1:13" x14ac:dyDescent="0.2">
      <c r="A959" s="199"/>
      <c r="B959" s="233"/>
      <c r="C959" s="233"/>
      <c r="D959" s="199"/>
      <c r="E959" s="199"/>
      <c r="F959" s="199"/>
      <c r="G959" s="199"/>
      <c r="H959" s="199"/>
      <c r="I959" s="200"/>
    </row>
    <row r="960" spans="1:13" x14ac:dyDescent="0.2">
      <c r="A960" s="246" t="s">
        <v>200</v>
      </c>
      <c r="B960" s="247" t="s">
        <v>60</v>
      </c>
      <c r="C960" s="236" t="s">
        <v>1242</v>
      </c>
      <c r="D960" s="247" t="s">
        <v>202</v>
      </c>
      <c r="E960" s="1276" t="s">
        <v>91</v>
      </c>
      <c r="F960" s="1274"/>
      <c r="G960" s="1275"/>
      <c r="H960" s="1276" t="s">
        <v>198</v>
      </c>
      <c r="I960" s="1275"/>
    </row>
    <row r="961" spans="1:11" x14ac:dyDescent="0.2">
      <c r="A961" s="248" t="str">
        <f>VLOOKUP(B961,m.o.!$A:$H,2,FALSE)</f>
        <v>Encarregado de O.A.C.</v>
      </c>
      <c r="B961" s="238">
        <v>20060</v>
      </c>
      <c r="C961" s="243">
        <f>VLOOKUP(B961,m.o.!$A:$F,4,FALSE)</f>
        <v>2.2599999999999998</v>
      </c>
      <c r="D961" s="243">
        <f>VLOOKUP(B961,m.o.!$A:$G,7,FALSE)</f>
        <v>26.3</v>
      </c>
      <c r="E961" s="260"/>
      <c r="F961" s="258"/>
      <c r="G961" s="300">
        <v>1</v>
      </c>
      <c r="H961" s="244"/>
      <c r="I961" s="249">
        <f>TRUNC(D961*G961,2)</f>
        <v>26.3</v>
      </c>
      <c r="J961" s="302"/>
      <c r="K961" s="302"/>
    </row>
    <row r="962" spans="1:11" x14ac:dyDescent="0.2">
      <c r="A962" s="248" t="str">
        <f>VLOOKUP(B962,m.o.!$A:$H,2,FALSE)</f>
        <v>Servente</v>
      </c>
      <c r="B962" s="238">
        <v>20002</v>
      </c>
      <c r="C962" s="243">
        <f>VLOOKUP(B962,m.o.!$A:$F,4,FALSE)</f>
        <v>1</v>
      </c>
      <c r="D962" s="243">
        <f>VLOOKUP(B962,m.o.!$A:$G,7,FALSE)</f>
        <v>11.64</v>
      </c>
      <c r="E962" s="260"/>
      <c r="F962" s="258"/>
      <c r="G962" s="300">
        <v>2</v>
      </c>
      <c r="H962" s="244"/>
      <c r="I962" s="249">
        <f>TRUNC(D962*G962,2)</f>
        <v>23.28</v>
      </c>
      <c r="J962" s="302"/>
      <c r="K962" s="302"/>
    </row>
    <row r="963" spans="1:11" x14ac:dyDescent="0.2">
      <c r="A963" s="199"/>
      <c r="B963" s="233"/>
      <c r="C963" s="233"/>
      <c r="D963" s="199"/>
      <c r="E963" s="199"/>
      <c r="F963" s="234" t="s">
        <v>203</v>
      </c>
      <c r="G963" s="244"/>
      <c r="H963" s="245"/>
      <c r="I963" s="434">
        <f>SUM(I961:I962)</f>
        <v>49.58</v>
      </c>
      <c r="J963" s="302"/>
      <c r="K963" s="302"/>
    </row>
    <row r="964" spans="1:11" x14ac:dyDescent="0.2">
      <c r="A964" s="199"/>
      <c r="B964" s="233"/>
      <c r="C964" s="233"/>
      <c r="D964" s="199"/>
      <c r="E964" s="199"/>
      <c r="F964" s="199"/>
      <c r="G964" s="199"/>
      <c r="H964" s="199"/>
      <c r="I964" s="200"/>
      <c r="J964" s="302"/>
      <c r="K964" s="302"/>
    </row>
    <row r="965" spans="1:11" ht="14.25" customHeight="1" x14ac:dyDescent="0.2">
      <c r="A965" s="270" t="s">
        <v>204</v>
      </c>
      <c r="B965" s="247" t="s">
        <v>60</v>
      </c>
      <c r="C965" s="866" t="s">
        <v>17</v>
      </c>
      <c r="D965" s="247" t="s">
        <v>205</v>
      </c>
      <c r="E965" s="247" t="s">
        <v>206</v>
      </c>
      <c r="F965" s="247" t="s">
        <v>207</v>
      </c>
      <c r="G965" s="1276" t="s">
        <v>96</v>
      </c>
      <c r="H965" s="1274"/>
      <c r="I965" s="1275"/>
      <c r="J965" s="302"/>
      <c r="K965" s="302"/>
    </row>
    <row r="966" spans="1:11" x14ac:dyDescent="0.2">
      <c r="A966" s="248"/>
      <c r="B966" s="238"/>
      <c r="C966" s="243"/>
      <c r="D966" s="239"/>
      <c r="E966" s="251"/>
      <c r="F966" s="251"/>
      <c r="G966" s="244"/>
      <c r="H966" s="245"/>
      <c r="I966" s="249"/>
      <c r="J966" s="302"/>
      <c r="K966" s="302"/>
    </row>
    <row r="967" spans="1:11" x14ac:dyDescent="0.2">
      <c r="A967" s="199"/>
      <c r="B967" s="233"/>
      <c r="C967" s="199"/>
      <c r="D967" s="199"/>
      <c r="E967" s="199"/>
      <c r="F967" s="234" t="s">
        <v>1170</v>
      </c>
      <c r="G967" s="244"/>
      <c r="H967" s="245"/>
      <c r="I967" s="434">
        <f>SUM(I966)</f>
        <v>0</v>
      </c>
      <c r="J967" s="302"/>
      <c r="K967" s="302"/>
    </row>
    <row r="968" spans="1:11" x14ac:dyDescent="0.2">
      <c r="A968" s="199"/>
      <c r="B968" s="233"/>
      <c r="C968" s="199"/>
      <c r="D968" s="199"/>
      <c r="E968" s="199"/>
      <c r="F968" s="199"/>
      <c r="G968" s="199"/>
      <c r="H968" s="199"/>
      <c r="I968" s="200"/>
      <c r="J968" s="302"/>
      <c r="K968" s="302"/>
    </row>
    <row r="969" spans="1:11" x14ac:dyDescent="0.2">
      <c r="A969" s="252"/>
      <c r="B969" s="253"/>
      <c r="C969" s="254"/>
      <c r="D969" s="254"/>
      <c r="E969" s="254"/>
      <c r="F969" s="255" t="s">
        <v>208</v>
      </c>
      <c r="G969" s="435"/>
      <c r="H969" s="254"/>
      <c r="I969" s="634">
        <f>+I958+I963+I967</f>
        <v>49.58</v>
      </c>
      <c r="J969" s="302"/>
      <c r="K969" s="302"/>
    </row>
    <row r="970" spans="1:11" x14ac:dyDescent="0.2">
      <c r="A970" s="256"/>
      <c r="B970" s="257"/>
      <c r="C970" s="258"/>
      <c r="D970" s="258"/>
      <c r="E970" s="258"/>
      <c r="F970" s="259" t="s">
        <v>209</v>
      </c>
      <c r="G970" s="260"/>
      <c r="H970" s="258"/>
      <c r="I970" s="635">
        <v>1</v>
      </c>
      <c r="J970" s="302"/>
      <c r="K970" s="302"/>
    </row>
    <row r="971" spans="1:11" x14ac:dyDescent="0.2">
      <c r="A971" s="237"/>
      <c r="B971" s="261"/>
      <c r="C971" s="245"/>
      <c r="D971" s="245"/>
      <c r="E971" s="245"/>
      <c r="F971" s="262" t="s">
        <v>232</v>
      </c>
      <c r="G971" s="244"/>
      <c r="H971" s="245"/>
      <c r="I971" s="633">
        <f>TRUNC(I969/I970,2)</f>
        <v>49.58</v>
      </c>
      <c r="J971" s="302"/>
      <c r="K971" s="302"/>
    </row>
    <row r="972" spans="1:11" x14ac:dyDescent="0.2">
      <c r="A972" s="867"/>
      <c r="B972" s="233"/>
      <c r="C972" s="199"/>
      <c r="D972" s="199"/>
      <c r="E972" s="199"/>
      <c r="F972" s="263"/>
      <c r="G972" s="199"/>
      <c r="H972" s="199"/>
      <c r="I972" s="264"/>
      <c r="J972" s="302"/>
      <c r="K972" s="302"/>
    </row>
    <row r="973" spans="1:11" x14ac:dyDescent="0.2">
      <c r="A973" s="246" t="s">
        <v>210</v>
      </c>
      <c r="B973" s="247" t="s">
        <v>60</v>
      </c>
      <c r="C973" s="247" t="s">
        <v>211</v>
      </c>
      <c r="D973" s="247" t="s">
        <v>233</v>
      </c>
      <c r="E973" s="1276" t="s">
        <v>91</v>
      </c>
      <c r="F973" s="1274"/>
      <c r="G973" s="1275"/>
      <c r="H973" s="1276" t="s">
        <v>198</v>
      </c>
      <c r="I973" s="1275"/>
      <c r="J973" s="302"/>
      <c r="K973" s="302"/>
    </row>
    <row r="974" spans="1:11" ht="22.5" x14ac:dyDescent="0.2">
      <c r="A974" s="265" t="str">
        <f>VLOOKUP(B974,mat.!$A:$D,2,FALSE)</f>
        <v>Tubo de concreto armado D=0,30m CA-1 MF</v>
      </c>
      <c r="B974" s="238">
        <v>10217</v>
      </c>
      <c r="C974" s="266" t="str">
        <f>VLOOKUP(B974,mat.!$A:$D,3,FALSE)</f>
        <v>M</v>
      </c>
      <c r="D974" s="267">
        <f>VLOOKUP(B974,mat.!$A:$D,4,FALSE)</f>
        <v>46.2</v>
      </c>
      <c r="E974" s="260"/>
      <c r="F974" s="258"/>
      <c r="G974" s="300">
        <v>1</v>
      </c>
      <c r="H974" s="260"/>
      <c r="I974" s="268">
        <f>TRUNC(D974*G974,2)</f>
        <v>46.2</v>
      </c>
      <c r="J974" s="302"/>
      <c r="K974" s="302"/>
    </row>
    <row r="975" spans="1:11" x14ac:dyDescent="0.2">
      <c r="A975" s="199"/>
      <c r="B975" s="233"/>
      <c r="C975" s="199"/>
      <c r="D975" s="199"/>
      <c r="E975" s="199"/>
      <c r="F975" s="234" t="s">
        <v>212</v>
      </c>
      <c r="G975" s="244"/>
      <c r="H975" s="245"/>
      <c r="I975" s="434">
        <f>SUM(I974:I974)</f>
        <v>46.2</v>
      </c>
      <c r="J975" s="302"/>
      <c r="K975" s="302"/>
    </row>
    <row r="976" spans="1:11" x14ac:dyDescent="0.2">
      <c r="A976" s="199"/>
      <c r="B976" s="233"/>
      <c r="C976" s="199"/>
      <c r="D976" s="199"/>
      <c r="E976" s="199"/>
      <c r="F976" s="199"/>
      <c r="G976" s="269"/>
      <c r="H976" s="199"/>
      <c r="I976" s="200"/>
      <c r="J976" s="302"/>
      <c r="K976" s="302"/>
    </row>
    <row r="977" spans="1:17" x14ac:dyDescent="0.2">
      <c r="A977" s="270" t="s">
        <v>213</v>
      </c>
      <c r="B977" s="247" t="s">
        <v>60</v>
      </c>
      <c r="C977" s="247" t="s">
        <v>211</v>
      </c>
      <c r="D977" s="866" t="s">
        <v>233</v>
      </c>
      <c r="E977" s="1276" t="s">
        <v>91</v>
      </c>
      <c r="F977" s="1274"/>
      <c r="G977" s="1275"/>
      <c r="H977" s="1276" t="s">
        <v>198</v>
      </c>
      <c r="I977" s="1275"/>
      <c r="K977" s="302"/>
    </row>
    <row r="978" spans="1:17" ht="22.5" x14ac:dyDescent="0.2">
      <c r="A978" s="248" t="str">
        <f>VLOOKUP(B978,'DER 10-18'!$A:$E,2,FALSE)</f>
        <v>Concreto estrutural fck = 20,0 MPa, tudo incluído</v>
      </c>
      <c r="B978" s="238">
        <v>40360</v>
      </c>
      <c r="C978" s="238" t="str">
        <f>VLOOKUP(B978,'DER 10-18'!$A:$E,3,FALSE)</f>
        <v>M3</v>
      </c>
      <c r="D978" s="454">
        <f>TRUNC(VLOOKUP(B978,'DER 10-18'!$A:$F,6,FALSE)/(1+$I$4),2)</f>
        <v>540.1</v>
      </c>
      <c r="E978" s="260"/>
      <c r="F978" s="258"/>
      <c r="G978" s="300">
        <v>0.28000000000000003</v>
      </c>
      <c r="H978" s="244"/>
      <c r="I978" s="268">
        <f>TRUNC(D978*G978,2)</f>
        <v>151.22</v>
      </c>
      <c r="K978" s="302"/>
    </row>
    <row r="979" spans="1:17" ht="22.5" x14ac:dyDescent="0.2">
      <c r="A979" s="248" t="str">
        <f>VLOOKUP(B979,'DER 10-18'!$A:$E,2,FALSE)</f>
        <v>Escavação manual em mat. 1ª cat. H= 0,00 a 1,50 m</v>
      </c>
      <c r="B979" s="238">
        <v>40258</v>
      </c>
      <c r="C979" s="238" t="str">
        <f>VLOOKUP(B979,'DER 10-18'!$A:$E,3,FALSE)</f>
        <v>M3</v>
      </c>
      <c r="D979" s="454">
        <f>TRUNC(VLOOKUP(B979,'DER 10-18'!$A:$F,6,FALSE)/(1+$I$4),2)</f>
        <v>52.61</v>
      </c>
      <c r="E979" s="260"/>
      <c r="F979" s="258"/>
      <c r="G979" s="300">
        <v>0.38</v>
      </c>
      <c r="H979" s="244"/>
      <c r="I979" s="268">
        <f>TRUNC(D979*G979,2)</f>
        <v>19.989999999999998</v>
      </c>
      <c r="K979" s="302"/>
    </row>
    <row r="980" spans="1:17" x14ac:dyDescent="0.2">
      <c r="A980" s="201"/>
      <c r="B980" s="271"/>
      <c r="C980" s="201"/>
      <c r="D980" s="201"/>
      <c r="E980" s="201"/>
      <c r="F980" s="272" t="s">
        <v>214</v>
      </c>
      <c r="G980" s="260"/>
      <c r="H980" s="273"/>
      <c r="I980" s="436">
        <f>SUM(I978:I979)</f>
        <v>171.21</v>
      </c>
      <c r="K980" s="302"/>
    </row>
    <row r="981" spans="1:17" x14ac:dyDescent="0.2">
      <c r="A981" s="201"/>
      <c r="B981" s="271"/>
      <c r="C981" s="201"/>
      <c r="D981" s="201"/>
      <c r="E981" s="201"/>
      <c r="F981" s="201"/>
      <c r="G981" s="201"/>
      <c r="H981" s="201"/>
      <c r="I981" s="201"/>
      <c r="K981" s="302"/>
    </row>
    <row r="982" spans="1:17" x14ac:dyDescent="0.2">
      <c r="A982" s="274" t="s">
        <v>215</v>
      </c>
      <c r="B982" s="275" t="s">
        <v>60</v>
      </c>
      <c r="C982" s="275" t="s">
        <v>211</v>
      </c>
      <c r="D982" s="275" t="s">
        <v>216</v>
      </c>
      <c r="E982" s="275" t="s">
        <v>217</v>
      </c>
      <c r="F982" s="275" t="s">
        <v>218</v>
      </c>
      <c r="G982" s="275" t="s">
        <v>96</v>
      </c>
      <c r="H982" s="275" t="s">
        <v>91</v>
      </c>
      <c r="I982" s="275" t="s">
        <v>219</v>
      </c>
      <c r="J982" s="433" t="s">
        <v>118</v>
      </c>
      <c r="K982" s="451"/>
      <c r="L982" s="198"/>
      <c r="M982" s="198"/>
      <c r="N982" s="198"/>
      <c r="O982" s="198"/>
      <c r="P982" s="198"/>
      <c r="Q982" s="198"/>
    </row>
    <row r="983" spans="1:17" ht="22.5" x14ac:dyDescent="0.2">
      <c r="A983" s="265" t="str">
        <f>VLOOKUP(B983,tranp.!A:D,2,FALSE)</f>
        <v>Transp. de Tubo de concreto armado D=0,30m CA-1 MF</v>
      </c>
      <c r="B983" s="453">
        <v>1253</v>
      </c>
      <c r="C983" s="453" t="str">
        <f>VLOOKUP(B983,tranp.!$A:$J,3,FALSE)</f>
        <v xml:space="preserve"> t  </v>
      </c>
      <c r="D983" s="518" t="str">
        <f>VLOOKUP(B983,tranp.!$A:$J,4,FALSE)</f>
        <v>0,676XP + 0,703XR</v>
      </c>
      <c r="E983" s="519">
        <f>VLOOKUP(J982,Ocor.!$B:$F,4,FALSE)</f>
        <v>37.200000000000003</v>
      </c>
      <c r="F983" s="519">
        <f>VLOOKUP(J982,Ocor.!$B:$F,5,FALSE)</f>
        <v>5.6</v>
      </c>
      <c r="G983" s="454">
        <f>TRUNC(VLOOKUP(B983,tranp.!$A:$J,5,FALSE)*E983+VLOOKUP(B983,tranp.!$A:$J,6,FALSE)*F983+VLOOKUP(B983,tranp.!$A:$J,7,FALSE),2)</f>
        <v>29.08</v>
      </c>
      <c r="H983" s="520">
        <v>0.04</v>
      </c>
      <c r="I983" s="454">
        <f>TRUNC(G983*H983,2)</f>
        <v>1.1599999999999999</v>
      </c>
    </row>
    <row r="984" spans="1:17" x14ac:dyDescent="0.2">
      <c r="A984" s="201"/>
      <c r="B984" s="271"/>
      <c r="C984" s="201"/>
      <c r="D984" s="201"/>
      <c r="E984" s="201"/>
      <c r="F984" s="272" t="s">
        <v>220</v>
      </c>
      <c r="G984" s="244"/>
      <c r="H984" s="279"/>
      <c r="I984" s="438">
        <f>SUM(I983:I983)</f>
        <v>1.1599999999999999</v>
      </c>
      <c r="K984" s="302"/>
    </row>
    <row r="985" spans="1:17" x14ac:dyDescent="0.2">
      <c r="A985" s="201"/>
      <c r="B985" s="271"/>
      <c r="C985" s="201"/>
      <c r="D985" s="201"/>
      <c r="E985" s="201"/>
      <c r="F985" s="201"/>
      <c r="G985" s="201"/>
      <c r="H985" s="201"/>
      <c r="I985" s="202"/>
      <c r="K985" s="302"/>
    </row>
    <row r="986" spans="1:17" x14ac:dyDescent="0.2">
      <c r="A986" s="280"/>
      <c r="B986" s="281"/>
      <c r="C986" s="282"/>
      <c r="D986" s="282"/>
      <c r="E986" s="282"/>
      <c r="F986" s="283" t="s">
        <v>221</v>
      </c>
      <c r="G986" s="280"/>
      <c r="H986" s="254"/>
      <c r="I986" s="634">
        <f>+I971+I975+I980+I984</f>
        <v>268.14999999999998</v>
      </c>
      <c r="K986" s="302"/>
    </row>
    <row r="987" spans="1:17" x14ac:dyDescent="0.2">
      <c r="A987" s="260"/>
      <c r="B987" s="284"/>
      <c r="C987" s="273"/>
      <c r="D987" s="273"/>
      <c r="E987" s="273"/>
      <c r="F987" s="285" t="str">
        <f>CONCATENATE($H$3," ",$I$3)</f>
        <v>BDI: 23,32</v>
      </c>
      <c r="G987" s="439"/>
      <c r="H987" s="258"/>
      <c r="I987" s="635">
        <f>+ROUND(I986*$I$4,2)</f>
        <v>62.53</v>
      </c>
      <c r="K987" s="302"/>
    </row>
    <row r="988" spans="1:17" x14ac:dyDescent="0.2">
      <c r="A988" s="244"/>
      <c r="B988" s="286"/>
      <c r="C988" s="279"/>
      <c r="D988" s="279"/>
      <c r="E988" s="279"/>
      <c r="F988" s="287" t="s">
        <v>222</v>
      </c>
      <c r="G988" s="440"/>
      <c r="H988" s="245"/>
      <c r="I988" s="1017">
        <f>+I986+I987</f>
        <v>330.68</v>
      </c>
      <c r="K988" s="302"/>
    </row>
    <row r="989" spans="1:17" x14ac:dyDescent="0.2">
      <c r="A989" s="1277" t="str">
        <f>$A$1</f>
        <v>COMPOSIÇÃO DE CUSTOS UNITÁRIOS</v>
      </c>
      <c r="B989" s="1277"/>
      <c r="C989" s="1277"/>
      <c r="D989" s="1277"/>
      <c r="E989" s="1277"/>
      <c r="F989" s="1277"/>
      <c r="G989" s="1277"/>
      <c r="H989" s="1277"/>
      <c r="I989" s="1277"/>
    </row>
    <row r="990" spans="1:17" x14ac:dyDescent="0.2">
      <c r="A990" s="232" t="str">
        <f>$A$2</f>
        <v>Tabela Referencial de Preços - DER-ES</v>
      </c>
      <c r="B990" s="233"/>
      <c r="C990" s="199"/>
      <c r="D990" s="199"/>
      <c r="E990" s="199"/>
      <c r="F990" s="199"/>
      <c r="G990" s="199"/>
      <c r="H990" s="199"/>
      <c r="I990" s="234" t="str">
        <f>$I$2</f>
        <v>Data Base: Outubro/2018</v>
      </c>
    </row>
    <row r="991" spans="1:17" x14ac:dyDescent="0.2">
      <c r="A991" s="1278" t="str">
        <f>+CONCATENATE("Serviço: ",J991," ",VLOOKUP(J991,'DER 10-18'!$A:$D,2,FALSE))</f>
        <v>Serviço: 40672 Canaleta com grelha DP-1, inclusive transporte da grelha</v>
      </c>
      <c r="B991" s="1278"/>
      <c r="C991" s="1278"/>
      <c r="D991" s="1278"/>
      <c r="E991" s="1278"/>
      <c r="F991" s="1278"/>
      <c r="G991" s="1278"/>
      <c r="H991" s="1278"/>
      <c r="I991" s="1278" t="str">
        <f>CONCATENATE("Unidade: ", VLOOKUP(J991,'DER 10-18'!$A:$E,3,FALSE))</f>
        <v>Unidade: M</v>
      </c>
      <c r="J991" s="433">
        <v>40672</v>
      </c>
      <c r="K991" s="433">
        <f>VLOOKUP("Preço Unitário Total",F992:I4063,4,FALSE)</f>
        <v>711.29</v>
      </c>
      <c r="L991" s="302" t="str">
        <f>VLOOKUP(J991,'DER 10-18'!A:E,5,FALSE)</f>
        <v>A incluir</v>
      </c>
      <c r="M991" s="302" t="str">
        <f>VLOOKUP(J991,'DER 10-18'!$A:$D,2,FALSE)</f>
        <v>Canaleta com grelha DP-1, inclusive transporte da grelha</v>
      </c>
    </row>
    <row r="992" spans="1:17" x14ac:dyDescent="0.2">
      <c r="A992" s="1279"/>
      <c r="B992" s="1279"/>
      <c r="C992" s="1279"/>
      <c r="D992" s="1279"/>
      <c r="E992" s="1279"/>
      <c r="F992" s="1279"/>
      <c r="G992" s="1279"/>
      <c r="H992" s="1279"/>
      <c r="I992" s="1279"/>
    </row>
    <row r="993" spans="1:11" ht="22.5" x14ac:dyDescent="0.2">
      <c r="A993" s="235" t="s">
        <v>192</v>
      </c>
      <c r="B993" s="236" t="s">
        <v>60</v>
      </c>
      <c r="C993" s="236" t="s">
        <v>193</v>
      </c>
      <c r="D993" s="236" t="s">
        <v>194</v>
      </c>
      <c r="E993" s="236" t="s">
        <v>195</v>
      </c>
      <c r="F993" s="236" t="s">
        <v>196</v>
      </c>
      <c r="G993" s="236" t="s">
        <v>197</v>
      </c>
      <c r="H993" s="236" t="s">
        <v>91</v>
      </c>
      <c r="I993" s="236" t="s">
        <v>198</v>
      </c>
    </row>
    <row r="994" spans="1:11" x14ac:dyDescent="0.2">
      <c r="A994" s="237"/>
      <c r="B994" s="238"/>
      <c r="C994" s="239"/>
      <c r="D994" s="240"/>
      <c r="E994" s="205"/>
      <c r="F994" s="241"/>
      <c r="G994" s="241"/>
      <c r="H994" s="242"/>
      <c r="I994" s="243"/>
    </row>
    <row r="995" spans="1:11" x14ac:dyDescent="0.2">
      <c r="A995" s="199"/>
      <c r="B995" s="233"/>
      <c r="C995" s="233"/>
      <c r="D995" s="199"/>
      <c r="E995" s="199"/>
      <c r="F995" s="234" t="s">
        <v>199</v>
      </c>
      <c r="G995" s="244"/>
      <c r="H995" s="245"/>
      <c r="I995" s="434">
        <f>SUM(I994:I994)</f>
        <v>0</v>
      </c>
    </row>
    <row r="996" spans="1:11" x14ac:dyDescent="0.2">
      <c r="A996" s="199"/>
      <c r="B996" s="233"/>
      <c r="C996" s="233"/>
      <c r="D996" s="199"/>
      <c r="E996" s="199"/>
      <c r="F996" s="199"/>
      <c r="G996" s="199"/>
      <c r="H996" s="199"/>
      <c r="I996" s="200"/>
    </row>
    <row r="997" spans="1:11" x14ac:dyDescent="0.2">
      <c r="A997" s="246" t="s">
        <v>200</v>
      </c>
      <c r="B997" s="247" t="s">
        <v>60</v>
      </c>
      <c r="C997" s="236" t="s">
        <v>1242</v>
      </c>
      <c r="D997" s="247" t="s">
        <v>202</v>
      </c>
      <c r="E997" s="1276" t="s">
        <v>91</v>
      </c>
      <c r="F997" s="1274"/>
      <c r="G997" s="1275"/>
      <c r="H997" s="1276" t="s">
        <v>198</v>
      </c>
      <c r="I997" s="1275"/>
    </row>
    <row r="998" spans="1:11" x14ac:dyDescent="0.2">
      <c r="A998" s="248" t="str">
        <f>VLOOKUP(B998,m.o.!$A:$H,2,FALSE)</f>
        <v>Pedreiro de O.A.C.</v>
      </c>
      <c r="B998" s="238">
        <v>20109</v>
      </c>
      <c r="C998" s="243">
        <f>VLOOKUP(B998,m.o.!$A:$F,4,FALSE)</f>
        <v>1.24</v>
      </c>
      <c r="D998" s="243">
        <f>VLOOKUP(B998,m.o.!$A:$G,7,FALSE)</f>
        <v>14.43</v>
      </c>
      <c r="E998" s="260"/>
      <c r="F998" s="258"/>
      <c r="G998" s="300">
        <v>1</v>
      </c>
      <c r="H998" s="244"/>
      <c r="I998" s="249">
        <f>TRUNC(D998*G998,2)</f>
        <v>14.43</v>
      </c>
      <c r="J998" s="302"/>
      <c r="K998" s="302"/>
    </row>
    <row r="999" spans="1:11" x14ac:dyDescent="0.2">
      <c r="A999" s="248" t="str">
        <f>VLOOKUP(B999,m.o.!$A:$H,2,FALSE)</f>
        <v>Servente</v>
      </c>
      <c r="B999" s="238">
        <v>20002</v>
      </c>
      <c r="C999" s="243">
        <f>VLOOKUP(B999,m.o.!$A:$F,4,FALSE)</f>
        <v>1</v>
      </c>
      <c r="D999" s="243">
        <f>VLOOKUP(B999,m.o.!$A:$G,7,FALSE)</f>
        <v>11.64</v>
      </c>
      <c r="E999" s="260"/>
      <c r="F999" s="258"/>
      <c r="G999" s="300">
        <v>1</v>
      </c>
      <c r="H999" s="244"/>
      <c r="I999" s="249">
        <f>TRUNC(D999*G999,2)</f>
        <v>11.64</v>
      </c>
      <c r="J999" s="302"/>
      <c r="K999" s="302"/>
    </row>
    <row r="1000" spans="1:11" x14ac:dyDescent="0.2">
      <c r="A1000" s="199"/>
      <c r="B1000" s="233"/>
      <c r="C1000" s="233"/>
      <c r="D1000" s="199"/>
      <c r="E1000" s="199"/>
      <c r="F1000" s="234" t="s">
        <v>203</v>
      </c>
      <c r="G1000" s="244"/>
      <c r="H1000" s="245"/>
      <c r="I1000" s="434">
        <f>SUM(I998:I999)</f>
        <v>26.07</v>
      </c>
      <c r="J1000" s="302"/>
      <c r="K1000" s="302"/>
    </row>
    <row r="1001" spans="1:11" x14ac:dyDescent="0.2">
      <c r="A1001" s="199"/>
      <c r="B1001" s="233"/>
      <c r="C1001" s="233"/>
      <c r="D1001" s="199"/>
      <c r="E1001" s="199"/>
      <c r="F1001" s="199"/>
      <c r="G1001" s="199"/>
      <c r="H1001" s="199"/>
      <c r="I1001" s="200"/>
      <c r="J1001" s="302"/>
      <c r="K1001" s="302"/>
    </row>
    <row r="1002" spans="1:11" x14ac:dyDescent="0.2">
      <c r="A1002" s="270" t="s">
        <v>204</v>
      </c>
      <c r="B1002" s="247" t="s">
        <v>60</v>
      </c>
      <c r="C1002" s="866" t="s">
        <v>17</v>
      </c>
      <c r="D1002" s="247" t="s">
        <v>205</v>
      </c>
      <c r="E1002" s="247" t="s">
        <v>206</v>
      </c>
      <c r="F1002" s="247" t="s">
        <v>207</v>
      </c>
      <c r="G1002" s="1276" t="s">
        <v>96</v>
      </c>
      <c r="H1002" s="1274"/>
      <c r="I1002" s="1275"/>
      <c r="J1002" s="302"/>
      <c r="K1002" s="302"/>
    </row>
    <row r="1003" spans="1:11" x14ac:dyDescent="0.2">
      <c r="A1003" s="248" t="s">
        <v>142</v>
      </c>
      <c r="B1003" s="238">
        <v>2000</v>
      </c>
      <c r="C1003" s="243">
        <v>5</v>
      </c>
      <c r="D1003" s="239" t="s">
        <v>223</v>
      </c>
      <c r="E1003" s="251"/>
      <c r="F1003" s="251"/>
      <c r="G1003" s="244"/>
      <c r="H1003" s="245"/>
      <c r="I1003" s="249">
        <f>TRUNC(C1003/100*I1000,2)</f>
        <v>1.3</v>
      </c>
      <c r="J1003" s="302"/>
      <c r="K1003" s="302"/>
    </row>
    <row r="1004" spans="1:11" x14ac:dyDescent="0.2">
      <c r="A1004" s="199"/>
      <c r="B1004" s="233"/>
      <c r="C1004" s="199"/>
      <c r="D1004" s="199"/>
      <c r="E1004" s="199"/>
      <c r="F1004" s="234" t="s">
        <v>1170</v>
      </c>
      <c r="G1004" s="244"/>
      <c r="H1004" s="245"/>
      <c r="I1004" s="434">
        <f>SUM(I1003)</f>
        <v>1.3</v>
      </c>
      <c r="J1004" s="302"/>
      <c r="K1004" s="302"/>
    </row>
    <row r="1005" spans="1:11" x14ac:dyDescent="0.2">
      <c r="A1005" s="199"/>
      <c r="B1005" s="233"/>
      <c r="C1005" s="199"/>
      <c r="D1005" s="199"/>
      <c r="E1005" s="199"/>
      <c r="F1005" s="199"/>
      <c r="G1005" s="199"/>
      <c r="H1005" s="199"/>
      <c r="I1005" s="200"/>
      <c r="J1005" s="302"/>
      <c r="K1005" s="302"/>
    </row>
    <row r="1006" spans="1:11" x14ac:dyDescent="0.2">
      <c r="A1006" s="252"/>
      <c r="B1006" s="253"/>
      <c r="C1006" s="254"/>
      <c r="D1006" s="254"/>
      <c r="E1006" s="254"/>
      <c r="F1006" s="255" t="s">
        <v>208</v>
      </c>
      <c r="G1006" s="435"/>
      <c r="H1006" s="254"/>
      <c r="I1006" s="634">
        <f>+I995+I1000+I1004</f>
        <v>27.37</v>
      </c>
      <c r="J1006" s="302"/>
      <c r="K1006" s="302"/>
    </row>
    <row r="1007" spans="1:11" x14ac:dyDescent="0.2">
      <c r="A1007" s="256"/>
      <c r="B1007" s="257"/>
      <c r="C1007" s="258"/>
      <c r="D1007" s="258"/>
      <c r="E1007" s="258"/>
      <c r="F1007" s="259" t="s">
        <v>209</v>
      </c>
      <c r="G1007" s="260"/>
      <c r="H1007" s="258"/>
      <c r="I1007" s="635">
        <v>1</v>
      </c>
      <c r="J1007" s="302"/>
      <c r="K1007" s="302"/>
    </row>
    <row r="1008" spans="1:11" x14ac:dyDescent="0.2">
      <c r="A1008" s="237"/>
      <c r="B1008" s="261"/>
      <c r="C1008" s="245"/>
      <c r="D1008" s="245"/>
      <c r="E1008" s="245"/>
      <c r="F1008" s="262" t="s">
        <v>232</v>
      </c>
      <c r="G1008" s="244"/>
      <c r="H1008" s="245"/>
      <c r="I1008" s="633">
        <f>TRUNC(I1006/I1007,2)</f>
        <v>27.37</v>
      </c>
      <c r="J1008" s="302"/>
      <c r="K1008" s="302"/>
    </row>
    <row r="1009" spans="1:17" x14ac:dyDescent="0.2">
      <c r="A1009" s="867"/>
      <c r="B1009" s="233"/>
      <c r="C1009" s="199"/>
      <c r="D1009" s="199"/>
      <c r="E1009" s="199"/>
      <c r="F1009" s="263"/>
      <c r="G1009" s="199"/>
      <c r="H1009" s="199"/>
      <c r="I1009" s="264"/>
      <c r="J1009" s="302"/>
      <c r="K1009" s="302"/>
    </row>
    <row r="1010" spans="1:17" x14ac:dyDescent="0.2">
      <c r="A1010" s="246" t="s">
        <v>210</v>
      </c>
      <c r="B1010" s="247" t="s">
        <v>60</v>
      </c>
      <c r="C1010" s="247" t="s">
        <v>211</v>
      </c>
      <c r="D1010" s="247" t="s">
        <v>233</v>
      </c>
      <c r="E1010" s="1276" t="s">
        <v>91</v>
      </c>
      <c r="F1010" s="1274"/>
      <c r="G1010" s="1275"/>
      <c r="H1010" s="1276" t="s">
        <v>198</v>
      </c>
      <c r="I1010" s="1275"/>
      <c r="J1010" s="302"/>
      <c r="K1010" s="302"/>
    </row>
    <row r="1011" spans="1:17" ht="22.5" x14ac:dyDescent="0.2">
      <c r="A1011" s="265" t="str">
        <f>VLOOKUP(B1011,mat.!$A:$D,2,FALSE)</f>
        <v>Grelha e caixilho de concreto (cx. ralo)</v>
      </c>
      <c r="B1011" s="238">
        <v>10255</v>
      </c>
      <c r="C1011" s="266" t="str">
        <f>VLOOKUP(B1011,mat.!$A:$D,3,FALSE)</f>
        <v>CJ</v>
      </c>
      <c r="D1011" s="267">
        <f>VLOOKUP(B1011,mat.!$A:$D,4,FALSE)</f>
        <v>184.94</v>
      </c>
      <c r="E1011" s="260"/>
      <c r="F1011" s="258"/>
      <c r="G1011" s="300">
        <v>1</v>
      </c>
      <c r="H1011" s="260"/>
      <c r="I1011" s="268">
        <f>TRUNC(D1011*G1011,2)</f>
        <v>184.94</v>
      </c>
      <c r="J1011" s="302"/>
      <c r="K1011" s="302"/>
    </row>
    <row r="1012" spans="1:17" x14ac:dyDescent="0.2">
      <c r="A1012" s="199"/>
      <c r="B1012" s="233"/>
      <c r="C1012" s="199"/>
      <c r="D1012" s="199"/>
      <c r="E1012" s="199"/>
      <c r="F1012" s="234" t="s">
        <v>212</v>
      </c>
      <c r="G1012" s="244"/>
      <c r="H1012" s="245"/>
      <c r="I1012" s="434">
        <f>SUM(I1011:I1011)</f>
        <v>184.94</v>
      </c>
      <c r="J1012" s="302"/>
      <c r="K1012" s="302"/>
    </row>
    <row r="1013" spans="1:17" x14ac:dyDescent="0.2">
      <c r="A1013" s="199"/>
      <c r="B1013" s="233"/>
      <c r="C1013" s="199"/>
      <c r="D1013" s="199"/>
      <c r="E1013" s="199"/>
      <c r="F1013" s="199"/>
      <c r="G1013" s="269"/>
      <c r="H1013" s="199"/>
      <c r="I1013" s="200"/>
      <c r="J1013" s="302"/>
      <c r="K1013" s="302"/>
    </row>
    <row r="1014" spans="1:17" x14ac:dyDescent="0.2">
      <c r="A1014" s="270" t="s">
        <v>213</v>
      </c>
      <c r="B1014" s="247" t="s">
        <v>60</v>
      </c>
      <c r="C1014" s="247" t="s">
        <v>211</v>
      </c>
      <c r="D1014" s="866" t="s">
        <v>233</v>
      </c>
      <c r="E1014" s="1276" t="s">
        <v>91</v>
      </c>
      <c r="F1014" s="1274"/>
      <c r="G1014" s="1275"/>
      <c r="H1014" s="1276" t="s">
        <v>198</v>
      </c>
      <c r="I1014" s="1275"/>
      <c r="K1014" s="302"/>
    </row>
    <row r="1015" spans="1:17" ht="22.5" x14ac:dyDescent="0.2">
      <c r="A1015" s="248" t="str">
        <f>VLOOKUP(B1015,'DER 10-18'!$A:$E,2,FALSE)</f>
        <v>Argamassa cimento e areia traço 1:4, tudo incluído</v>
      </c>
      <c r="B1015" s="238">
        <v>40348</v>
      </c>
      <c r="C1015" s="238" t="str">
        <f>VLOOKUP(B1015,'DER 10-18'!$A:$E,3,FALSE)</f>
        <v>M3</v>
      </c>
      <c r="D1015" s="454">
        <f>TRUNC(VLOOKUP(B1015,'DER 10-18'!$A:$F,6,FALSE)/(1+$I$4),2)</f>
        <v>405.1</v>
      </c>
      <c r="E1015" s="260"/>
      <c r="F1015" s="258"/>
      <c r="G1015" s="300">
        <v>0.05</v>
      </c>
      <c r="H1015" s="244"/>
      <c r="I1015" s="268">
        <f>TRUNC(D1015*G1015,2)</f>
        <v>20.25</v>
      </c>
      <c r="K1015" s="302"/>
    </row>
    <row r="1016" spans="1:17" ht="22.5" x14ac:dyDescent="0.2">
      <c r="A1016" s="248" t="str">
        <f>VLOOKUP(B1016,'DER 10-18'!$A:$E,2,FALSE)</f>
        <v>Concreto de regularização, tudo incluído</v>
      </c>
      <c r="B1016" s="238">
        <v>40349</v>
      </c>
      <c r="C1016" s="238" t="str">
        <f>VLOOKUP(B1016,'DER 10-18'!$A:$E,3,FALSE)</f>
        <v>M3</v>
      </c>
      <c r="D1016" s="454">
        <f>TRUNC(VLOOKUP(B1016,'DER 10-18'!$A:$F,6,FALSE)/(1+$I$4),2)</f>
        <v>423.65</v>
      </c>
      <c r="E1016" s="260"/>
      <c r="F1016" s="258"/>
      <c r="G1016" s="300">
        <v>0.03</v>
      </c>
      <c r="H1016" s="244"/>
      <c r="I1016" s="268">
        <f>TRUNC(D1016*G1016,2)</f>
        <v>12.7</v>
      </c>
      <c r="K1016" s="302"/>
    </row>
    <row r="1017" spans="1:17" ht="22.5" x14ac:dyDescent="0.2">
      <c r="A1017" s="248" t="str">
        <f>VLOOKUP(B1017,'DER 10-18'!$A:$E,2,FALSE)</f>
        <v>Concreto estrutural fck = 15,0 MPa, tudo incluído</v>
      </c>
      <c r="B1017" s="238">
        <v>40358</v>
      </c>
      <c r="C1017" s="238" t="str">
        <f>VLOOKUP(B1017,'DER 10-18'!$A:$E,3,FALSE)</f>
        <v>M3</v>
      </c>
      <c r="D1017" s="454">
        <f>TRUNC(VLOOKUP(B1017,'DER 10-18'!$A:$F,6,FALSE)/(1+$I$4),2)</f>
        <v>523.20000000000005</v>
      </c>
      <c r="E1017" s="260"/>
      <c r="F1017" s="258"/>
      <c r="G1017" s="300">
        <v>0.217</v>
      </c>
      <c r="H1017" s="244"/>
      <c r="I1017" s="268">
        <f t="shared" ref="I1017" si="5">TRUNC(D1017*G1017,2)</f>
        <v>113.53</v>
      </c>
      <c r="K1017" s="302"/>
    </row>
    <row r="1018" spans="1:17" ht="22.5" x14ac:dyDescent="0.2">
      <c r="A1018" s="248" t="str">
        <f>VLOOKUP(B1018,'DER 10-18'!$A:$E,2,FALSE)</f>
        <v>Escavação manual em mat. 1ª cat. H= 0,00 a 1,50 m</v>
      </c>
      <c r="B1018" s="238">
        <v>40258</v>
      </c>
      <c r="C1018" s="238" t="str">
        <f>VLOOKUP(B1018,'DER 10-18'!$A:$E,3,FALSE)</f>
        <v>M3</v>
      </c>
      <c r="D1018" s="454">
        <f>TRUNC(VLOOKUP(B1018,'DER 10-18'!$A:$F,6,FALSE)/(1+$I$4),2)</f>
        <v>52.61</v>
      </c>
      <c r="E1018" s="260"/>
      <c r="F1018" s="258"/>
      <c r="G1018" s="300">
        <v>0.73</v>
      </c>
      <c r="H1018" s="244"/>
      <c r="I1018" s="268">
        <f>TRUNC(D1018*G1018,2)</f>
        <v>38.4</v>
      </c>
      <c r="K1018" s="302"/>
    </row>
    <row r="1019" spans="1:17" ht="45" x14ac:dyDescent="0.2">
      <c r="A1019" s="248" t="str">
        <f>VLOOKUP(B1019,'DER 10-18'!$A:$E,2,FALSE)</f>
        <v>Formas planas de madeira com 02 (dois) reaproveitamentos, inclusive fornecimento e transporte das madeiras</v>
      </c>
      <c r="B1019" s="238">
        <v>40312</v>
      </c>
      <c r="C1019" s="238" t="str">
        <f>VLOOKUP(B1019,'DER 10-18'!$A:$E,3,FALSE)</f>
        <v>M2</v>
      </c>
      <c r="D1019" s="454">
        <f>TRUNC(VLOOKUP(B1019,'DER 10-18'!$A:$F,6,FALSE)/(1+$I$4),2)</f>
        <v>75.55</v>
      </c>
      <c r="E1019" s="260"/>
      <c r="F1019" s="258"/>
      <c r="G1019" s="300">
        <v>2.1</v>
      </c>
      <c r="H1019" s="244"/>
      <c r="I1019" s="268">
        <f>TRUNC(D1019*G1019,2)</f>
        <v>158.65</v>
      </c>
      <c r="K1019" s="302"/>
    </row>
    <row r="1020" spans="1:17" ht="22.5" x14ac:dyDescent="0.2">
      <c r="A1020" s="248" t="str">
        <f>VLOOKUP(B1020,'DER 10-18'!$A:$E,2,FALSE)</f>
        <v>Reaterro de cavas c/ compactação manual (apiloamento)</v>
      </c>
      <c r="B1020" s="238">
        <v>40302</v>
      </c>
      <c r="C1020" s="238" t="str">
        <f>VLOOKUP(B1020,'DER 10-18'!$A:$E,3,FALSE)</f>
        <v>M3</v>
      </c>
      <c r="D1020" s="454">
        <f>TRUNC(VLOOKUP(B1020,'DER 10-18'!$A:$F,6,FALSE)/(1+$I$4),2)</f>
        <v>55.36</v>
      </c>
      <c r="E1020" s="260"/>
      <c r="F1020" s="258"/>
      <c r="G1020" s="300">
        <v>0.32600000000000001</v>
      </c>
      <c r="H1020" s="244"/>
      <c r="I1020" s="268">
        <f>TRUNC(D1020*G1020,2)</f>
        <v>18.04</v>
      </c>
      <c r="K1020" s="302"/>
    </row>
    <row r="1021" spans="1:17" x14ac:dyDescent="0.2">
      <c r="A1021" s="201"/>
      <c r="B1021" s="271"/>
      <c r="C1021" s="201"/>
      <c r="D1021" s="201"/>
      <c r="E1021" s="201"/>
      <c r="F1021" s="272" t="s">
        <v>214</v>
      </c>
      <c r="G1021" s="260"/>
      <c r="H1021" s="273"/>
      <c r="I1021" s="436">
        <f>SUM(I1015:I1020)</f>
        <v>361.57</v>
      </c>
      <c r="K1021" s="302"/>
    </row>
    <row r="1022" spans="1:17" x14ac:dyDescent="0.2">
      <c r="A1022" s="201"/>
      <c r="B1022" s="271"/>
      <c r="C1022" s="201"/>
      <c r="D1022" s="201"/>
      <c r="E1022" s="201"/>
      <c r="F1022" s="201"/>
      <c r="G1022" s="201"/>
      <c r="H1022" s="201"/>
      <c r="I1022" s="201"/>
      <c r="K1022" s="302"/>
    </row>
    <row r="1023" spans="1:17" x14ac:dyDescent="0.2">
      <c r="A1023" s="274" t="s">
        <v>215</v>
      </c>
      <c r="B1023" s="275" t="s">
        <v>60</v>
      </c>
      <c r="C1023" s="275" t="s">
        <v>211</v>
      </c>
      <c r="D1023" s="275" t="s">
        <v>216</v>
      </c>
      <c r="E1023" s="275" t="s">
        <v>217</v>
      </c>
      <c r="F1023" s="275" t="s">
        <v>218</v>
      </c>
      <c r="G1023" s="275" t="s">
        <v>96</v>
      </c>
      <c r="H1023" s="275" t="s">
        <v>91</v>
      </c>
      <c r="I1023" s="275" t="s">
        <v>219</v>
      </c>
      <c r="J1023" s="433" t="s">
        <v>118</v>
      </c>
      <c r="K1023" s="451"/>
      <c r="L1023" s="198"/>
      <c r="M1023" s="198"/>
      <c r="N1023" s="198"/>
      <c r="O1023" s="198"/>
      <c r="P1023" s="198"/>
      <c r="Q1023" s="198"/>
    </row>
    <row r="1024" spans="1:17" ht="22.5" x14ac:dyDescent="0.2">
      <c r="A1024" s="265" t="str">
        <f>VLOOKUP(B1024,tranp.!A:D,2,FALSE)</f>
        <v>Transp. de Grelha e caixilho de concreto (cx. ralo)</v>
      </c>
      <c r="B1024" s="453">
        <v>1352</v>
      </c>
      <c r="C1024" s="453" t="str">
        <f>VLOOKUP(B1024,tranp.!$A:$J,3,FALSE)</f>
        <v>t</v>
      </c>
      <c r="D1024" s="518" t="str">
        <f>VLOOKUP(B1024,tranp.!$A:$J,4,FALSE)</f>
        <v>0,676XP + 0,703XR</v>
      </c>
      <c r="E1024" s="519">
        <f>VLOOKUP(J1023,Ocor.!$B:$F,4,FALSE)</f>
        <v>37.200000000000003</v>
      </c>
      <c r="F1024" s="519">
        <f>VLOOKUP(J1023,Ocor.!$B:$F,5,FALSE)</f>
        <v>5.6</v>
      </c>
      <c r="G1024" s="454">
        <f>TRUNC(VLOOKUP(B1024,tranp.!$A:$J,5,FALSE)*E1024+VLOOKUP(B1024,tranp.!$A:$J,6,FALSE)*F1024+VLOOKUP(B1024,tranp.!$A:$J,7,FALSE),2)</f>
        <v>29.08</v>
      </c>
      <c r="H1024" s="520">
        <v>0.1</v>
      </c>
      <c r="I1024" s="454">
        <f>TRUNC(G1024*H1024,2)</f>
        <v>2.9</v>
      </c>
    </row>
    <row r="1025" spans="1:13" x14ac:dyDescent="0.2">
      <c r="A1025" s="201"/>
      <c r="B1025" s="271"/>
      <c r="C1025" s="201"/>
      <c r="D1025" s="201"/>
      <c r="E1025" s="201"/>
      <c r="F1025" s="272" t="s">
        <v>220</v>
      </c>
      <c r="G1025" s="244"/>
      <c r="H1025" s="279"/>
      <c r="I1025" s="438">
        <f>SUM(I1024:I1024)</f>
        <v>2.9</v>
      </c>
      <c r="K1025" s="302"/>
    </row>
    <row r="1026" spans="1:13" x14ac:dyDescent="0.2">
      <c r="A1026" s="201"/>
      <c r="B1026" s="271"/>
      <c r="C1026" s="201"/>
      <c r="D1026" s="201"/>
      <c r="E1026" s="201"/>
      <c r="F1026" s="201"/>
      <c r="G1026" s="201"/>
      <c r="H1026" s="201"/>
      <c r="I1026" s="202"/>
      <c r="K1026" s="302"/>
    </row>
    <row r="1027" spans="1:13" x14ac:dyDescent="0.2">
      <c r="A1027" s="280"/>
      <c r="B1027" s="281"/>
      <c r="C1027" s="282"/>
      <c r="D1027" s="282"/>
      <c r="E1027" s="282"/>
      <c r="F1027" s="283" t="s">
        <v>221</v>
      </c>
      <c r="G1027" s="280"/>
      <c r="H1027" s="254"/>
      <c r="I1027" s="634">
        <f>+I1008+I1012+I1021+I1025</f>
        <v>576.78</v>
      </c>
      <c r="K1027" s="302"/>
    </row>
    <row r="1028" spans="1:13" x14ac:dyDescent="0.2">
      <c r="A1028" s="260"/>
      <c r="B1028" s="284"/>
      <c r="C1028" s="273"/>
      <c r="D1028" s="273"/>
      <c r="E1028" s="273"/>
      <c r="F1028" s="285" t="str">
        <f>CONCATENATE($H$3," ",$I$3)</f>
        <v>BDI: 23,32</v>
      </c>
      <c r="G1028" s="439"/>
      <c r="H1028" s="258"/>
      <c r="I1028" s="635">
        <f>+ROUND(I1027*$I$4,2)</f>
        <v>134.51</v>
      </c>
      <c r="K1028" s="302"/>
    </row>
    <row r="1029" spans="1:13" x14ac:dyDescent="0.2">
      <c r="A1029" s="244"/>
      <c r="B1029" s="286"/>
      <c r="C1029" s="279"/>
      <c r="D1029" s="279"/>
      <c r="E1029" s="279"/>
      <c r="F1029" s="287" t="s">
        <v>222</v>
      </c>
      <c r="G1029" s="440"/>
      <c r="H1029" s="245"/>
      <c r="I1029" s="1017">
        <f>+I1027+I1028</f>
        <v>711.29</v>
      </c>
      <c r="K1029" s="302"/>
    </row>
    <row r="1030" spans="1:13" x14ac:dyDescent="0.2">
      <c r="A1030" s="1277" t="str">
        <f>$A$1</f>
        <v>COMPOSIÇÃO DE CUSTOS UNITÁRIOS</v>
      </c>
      <c r="B1030" s="1277"/>
      <c r="C1030" s="1277"/>
      <c r="D1030" s="1277"/>
      <c r="E1030" s="1277"/>
      <c r="F1030" s="1277"/>
      <c r="G1030" s="1277"/>
      <c r="H1030" s="1277"/>
      <c r="I1030" s="1277"/>
    </row>
    <row r="1031" spans="1:13" x14ac:dyDescent="0.2">
      <c r="A1031" s="232" t="str">
        <f>$A$2</f>
        <v>Tabela Referencial de Preços - DER-ES</v>
      </c>
      <c r="B1031" s="233"/>
      <c r="C1031" s="199"/>
      <c r="D1031" s="199"/>
      <c r="E1031" s="199"/>
      <c r="F1031" s="199"/>
      <c r="G1031" s="199"/>
      <c r="H1031" s="199"/>
      <c r="I1031" s="234" t="str">
        <f>$I$2</f>
        <v>Data Base: Outubro/2018</v>
      </c>
    </row>
    <row r="1032" spans="1:13" x14ac:dyDescent="0.2">
      <c r="A1032" s="1278" t="str">
        <f>+CONCATENATE("Serviço: ",J1032," ",VLOOKUP(J1032,'DER 10-18'!$A:$D,2,FALSE))</f>
        <v>Serviço: 42699 Canaleta de concreto retangular (0,130m³/m) inclusive caiação em Vias Urbanas</v>
      </c>
      <c r="B1032" s="1278"/>
      <c r="C1032" s="1278"/>
      <c r="D1032" s="1278"/>
      <c r="E1032" s="1278"/>
      <c r="F1032" s="1278"/>
      <c r="G1032" s="1278"/>
      <c r="H1032" s="1278"/>
      <c r="I1032" s="1278" t="str">
        <f>CONCATENATE("Unidade: ", VLOOKUP(J1032,'DER 10-18'!$A:$E,3,FALSE))</f>
        <v>Unidade: M</v>
      </c>
      <c r="J1032" s="433">
        <v>42699</v>
      </c>
      <c r="K1032" s="433">
        <f>VLOOKUP("Preço Unitário Total",F1033:I4027,4,FALSE)</f>
        <v>277.06</v>
      </c>
      <c r="L1032" s="302">
        <f>VLOOKUP(J1032,'DER 10-18'!A:E,5,FALSE)</f>
        <v>0</v>
      </c>
      <c r="M1032" s="302" t="str">
        <f>VLOOKUP(J1032,'DER 10-18'!$A:$D,2,FALSE)</f>
        <v>Canaleta de concreto retangular (0,130m³/m) inclusive caiação em Vias Urbanas</v>
      </c>
    </row>
    <row r="1033" spans="1:13" x14ac:dyDescent="0.2">
      <c r="A1033" s="1279"/>
      <c r="B1033" s="1279"/>
      <c r="C1033" s="1279"/>
      <c r="D1033" s="1279"/>
      <c r="E1033" s="1279"/>
      <c r="F1033" s="1279"/>
      <c r="G1033" s="1279"/>
      <c r="H1033" s="1279"/>
      <c r="I1033" s="1279"/>
    </row>
    <row r="1034" spans="1:13" ht="22.5" x14ac:dyDescent="0.2">
      <c r="A1034" s="235" t="s">
        <v>192</v>
      </c>
      <c r="B1034" s="236" t="s">
        <v>60</v>
      </c>
      <c r="C1034" s="236" t="s">
        <v>193</v>
      </c>
      <c r="D1034" s="236" t="s">
        <v>194</v>
      </c>
      <c r="E1034" s="236" t="s">
        <v>195</v>
      </c>
      <c r="F1034" s="236" t="s">
        <v>196</v>
      </c>
      <c r="G1034" s="236" t="s">
        <v>197</v>
      </c>
      <c r="H1034" s="236" t="s">
        <v>91</v>
      </c>
      <c r="I1034" s="236" t="s">
        <v>198</v>
      </c>
    </row>
    <row r="1035" spans="1:13" x14ac:dyDescent="0.2">
      <c r="A1035" s="237"/>
      <c r="B1035" s="238"/>
      <c r="C1035" s="239"/>
      <c r="D1035" s="240"/>
      <c r="E1035" s="205"/>
      <c r="F1035" s="241"/>
      <c r="G1035" s="241"/>
      <c r="H1035" s="242"/>
      <c r="I1035" s="243"/>
    </row>
    <row r="1036" spans="1:13" x14ac:dyDescent="0.2">
      <c r="A1036" s="199"/>
      <c r="B1036" s="233"/>
      <c r="C1036" s="233"/>
      <c r="D1036" s="199"/>
      <c r="E1036" s="199"/>
      <c r="F1036" s="234" t="s">
        <v>199</v>
      </c>
      <c r="G1036" s="244"/>
      <c r="H1036" s="245"/>
      <c r="I1036" s="434">
        <f>SUM(I1035:I1035)</f>
        <v>0</v>
      </c>
    </row>
    <row r="1037" spans="1:13" x14ac:dyDescent="0.2">
      <c r="A1037" s="199"/>
      <c r="B1037" s="233"/>
      <c r="C1037" s="233"/>
      <c r="D1037" s="199"/>
      <c r="E1037" s="199"/>
      <c r="F1037" s="199"/>
      <c r="G1037" s="199"/>
      <c r="H1037" s="199"/>
      <c r="I1037" s="200"/>
    </row>
    <row r="1038" spans="1:13" x14ac:dyDescent="0.2">
      <c r="A1038" s="246" t="s">
        <v>200</v>
      </c>
      <c r="B1038" s="247" t="s">
        <v>60</v>
      </c>
      <c r="C1038" s="236" t="s">
        <v>1242</v>
      </c>
      <c r="D1038" s="247" t="s">
        <v>202</v>
      </c>
      <c r="E1038" s="1276" t="s">
        <v>91</v>
      </c>
      <c r="F1038" s="1274"/>
      <c r="G1038" s="1275"/>
      <c r="H1038" s="1276" t="s">
        <v>198</v>
      </c>
      <c r="I1038" s="1275"/>
    </row>
    <row r="1039" spans="1:13" x14ac:dyDescent="0.2">
      <c r="A1039" s="248"/>
      <c r="B1039" s="238"/>
      <c r="C1039" s="243"/>
      <c r="D1039" s="243"/>
      <c r="E1039" s="260"/>
      <c r="F1039" s="258"/>
      <c r="G1039" s="300"/>
      <c r="H1039" s="244"/>
      <c r="I1039" s="249"/>
      <c r="J1039" s="302"/>
      <c r="K1039" s="302"/>
    </row>
    <row r="1040" spans="1:13" x14ac:dyDescent="0.2">
      <c r="A1040" s="199"/>
      <c r="B1040" s="233"/>
      <c r="C1040" s="233"/>
      <c r="D1040" s="199"/>
      <c r="E1040" s="199"/>
      <c r="F1040" s="234" t="s">
        <v>203</v>
      </c>
      <c r="G1040" s="244"/>
      <c r="H1040" s="245"/>
      <c r="I1040" s="434">
        <f>SUM(I1039:I1039)</f>
        <v>0</v>
      </c>
      <c r="J1040" s="302"/>
      <c r="K1040" s="302"/>
    </row>
    <row r="1041" spans="1:11" x14ac:dyDescent="0.2">
      <c r="A1041" s="199"/>
      <c r="B1041" s="233"/>
      <c r="C1041" s="233"/>
      <c r="D1041" s="199"/>
      <c r="E1041" s="199"/>
      <c r="F1041" s="199"/>
      <c r="G1041" s="199"/>
      <c r="H1041" s="199"/>
      <c r="I1041" s="200"/>
      <c r="J1041" s="302"/>
      <c r="K1041" s="302"/>
    </row>
    <row r="1042" spans="1:11" x14ac:dyDescent="0.2">
      <c r="A1042" s="270" t="s">
        <v>204</v>
      </c>
      <c r="B1042" s="247" t="s">
        <v>60</v>
      </c>
      <c r="C1042" s="866" t="s">
        <v>17</v>
      </c>
      <c r="D1042" s="247" t="s">
        <v>205</v>
      </c>
      <c r="E1042" s="247" t="s">
        <v>206</v>
      </c>
      <c r="F1042" s="247" t="s">
        <v>207</v>
      </c>
      <c r="G1042" s="1276" t="s">
        <v>96</v>
      </c>
      <c r="H1042" s="1274"/>
      <c r="I1042" s="1275"/>
      <c r="J1042" s="302"/>
      <c r="K1042" s="302"/>
    </row>
    <row r="1043" spans="1:11" x14ac:dyDescent="0.2">
      <c r="A1043" s="248"/>
      <c r="B1043" s="238"/>
      <c r="C1043" s="243"/>
      <c r="D1043" s="239"/>
      <c r="E1043" s="251"/>
      <c r="F1043" s="251"/>
      <c r="G1043" s="244"/>
      <c r="H1043" s="245"/>
      <c r="I1043" s="249"/>
      <c r="J1043" s="302"/>
      <c r="K1043" s="302"/>
    </row>
    <row r="1044" spans="1:11" x14ac:dyDescent="0.2">
      <c r="A1044" s="199"/>
      <c r="B1044" s="233"/>
      <c r="C1044" s="199"/>
      <c r="D1044" s="199"/>
      <c r="E1044" s="199"/>
      <c r="F1044" s="234" t="s">
        <v>1170</v>
      </c>
      <c r="G1044" s="244"/>
      <c r="H1044" s="245"/>
      <c r="I1044" s="434">
        <f>SUM(I1043)</f>
        <v>0</v>
      </c>
      <c r="J1044" s="302"/>
      <c r="K1044" s="302"/>
    </row>
    <row r="1045" spans="1:11" x14ac:dyDescent="0.2">
      <c r="A1045" s="199"/>
      <c r="B1045" s="233"/>
      <c r="C1045" s="199"/>
      <c r="D1045" s="199"/>
      <c r="E1045" s="199"/>
      <c r="F1045" s="199"/>
      <c r="G1045" s="199"/>
      <c r="H1045" s="199"/>
      <c r="I1045" s="200"/>
      <c r="J1045" s="302"/>
      <c r="K1045" s="302"/>
    </row>
    <row r="1046" spans="1:11" x14ac:dyDescent="0.2">
      <c r="A1046" s="252"/>
      <c r="B1046" s="253"/>
      <c r="C1046" s="254"/>
      <c r="D1046" s="254"/>
      <c r="E1046" s="254"/>
      <c r="F1046" s="255" t="s">
        <v>208</v>
      </c>
      <c r="G1046" s="435"/>
      <c r="H1046" s="254"/>
      <c r="I1046" s="634">
        <f>+I1036+I1040+I1044</f>
        <v>0</v>
      </c>
      <c r="J1046" s="302"/>
      <c r="K1046" s="302"/>
    </row>
    <row r="1047" spans="1:11" x14ac:dyDescent="0.2">
      <c r="A1047" s="256"/>
      <c r="B1047" s="257"/>
      <c r="C1047" s="258"/>
      <c r="D1047" s="258"/>
      <c r="E1047" s="258"/>
      <c r="F1047" s="259" t="s">
        <v>209</v>
      </c>
      <c r="G1047" s="260"/>
      <c r="H1047" s="258"/>
      <c r="I1047" s="635">
        <v>0.83</v>
      </c>
      <c r="J1047" s="302"/>
      <c r="K1047" s="302"/>
    </row>
    <row r="1048" spans="1:11" x14ac:dyDescent="0.2">
      <c r="A1048" s="237"/>
      <c r="B1048" s="261"/>
      <c r="C1048" s="245"/>
      <c r="D1048" s="245"/>
      <c r="E1048" s="245"/>
      <c r="F1048" s="262" t="s">
        <v>232</v>
      </c>
      <c r="G1048" s="244"/>
      <c r="H1048" s="245"/>
      <c r="I1048" s="633">
        <f>TRUNC(I1046/I1047,2)</f>
        <v>0</v>
      </c>
      <c r="J1048" s="302"/>
      <c r="K1048" s="302"/>
    </row>
    <row r="1049" spans="1:11" x14ac:dyDescent="0.2">
      <c r="A1049" s="867"/>
      <c r="B1049" s="233"/>
      <c r="C1049" s="199"/>
      <c r="D1049" s="199"/>
      <c r="E1049" s="199"/>
      <c r="F1049" s="263"/>
      <c r="G1049" s="199"/>
      <c r="H1049" s="199"/>
      <c r="I1049" s="264"/>
      <c r="J1049" s="302"/>
      <c r="K1049" s="302"/>
    </row>
    <row r="1050" spans="1:11" x14ac:dyDescent="0.2">
      <c r="A1050" s="246" t="s">
        <v>210</v>
      </c>
      <c r="B1050" s="247" t="s">
        <v>60</v>
      </c>
      <c r="C1050" s="247" t="s">
        <v>211</v>
      </c>
      <c r="D1050" s="247" t="s">
        <v>233</v>
      </c>
      <c r="E1050" s="1276" t="s">
        <v>91</v>
      </c>
      <c r="F1050" s="1274"/>
      <c r="G1050" s="1275"/>
      <c r="H1050" s="1276" t="s">
        <v>198</v>
      </c>
      <c r="I1050" s="1275"/>
      <c r="J1050" s="302"/>
      <c r="K1050" s="302"/>
    </row>
    <row r="1051" spans="1:11" x14ac:dyDescent="0.2">
      <c r="A1051" s="265"/>
      <c r="B1051" s="238"/>
      <c r="C1051" s="266"/>
      <c r="D1051" s="267"/>
      <c r="E1051" s="260"/>
      <c r="F1051" s="258"/>
      <c r="G1051" s="300"/>
      <c r="H1051" s="260"/>
      <c r="I1051" s="268"/>
      <c r="J1051" s="302"/>
      <c r="K1051" s="302"/>
    </row>
    <row r="1052" spans="1:11" x14ac:dyDescent="0.2">
      <c r="A1052" s="199"/>
      <c r="B1052" s="233"/>
      <c r="C1052" s="199"/>
      <c r="D1052" s="199"/>
      <c r="E1052" s="199"/>
      <c r="F1052" s="234" t="s">
        <v>212</v>
      </c>
      <c r="G1052" s="244"/>
      <c r="H1052" s="245"/>
      <c r="I1052" s="434">
        <f>SUM(I1051:I1051)</f>
        <v>0</v>
      </c>
      <c r="J1052" s="302"/>
      <c r="K1052" s="302"/>
    </row>
    <row r="1053" spans="1:11" x14ac:dyDescent="0.2">
      <c r="A1053" s="199"/>
      <c r="B1053" s="233"/>
      <c r="C1053" s="199"/>
      <c r="D1053" s="199"/>
      <c r="E1053" s="199"/>
      <c r="F1053" s="199"/>
      <c r="G1053" s="269"/>
      <c r="H1053" s="199"/>
      <c r="I1053" s="200"/>
      <c r="J1053" s="302"/>
      <c r="K1053" s="302"/>
    </row>
    <row r="1054" spans="1:11" x14ac:dyDescent="0.2">
      <c r="A1054" s="270" t="s">
        <v>213</v>
      </c>
      <c r="B1054" s="247" t="s">
        <v>60</v>
      </c>
      <c r="C1054" s="247" t="s">
        <v>211</v>
      </c>
      <c r="D1054" s="866" t="s">
        <v>233</v>
      </c>
      <c r="E1054" s="1276" t="s">
        <v>91</v>
      </c>
      <c r="F1054" s="1274"/>
      <c r="G1054" s="1275"/>
      <c r="H1054" s="1276" t="s">
        <v>198</v>
      </c>
      <c r="I1054" s="1275"/>
      <c r="K1054" s="302"/>
    </row>
    <row r="1055" spans="1:11" x14ac:dyDescent="0.2">
      <c r="A1055" s="248" t="str">
        <f>VLOOKUP(B1055,'DER 10-18'!$A:$E,2,FALSE)</f>
        <v>Caiação de meio fios, sarjetas, etc</v>
      </c>
      <c r="B1055" s="238">
        <v>40658</v>
      </c>
      <c r="C1055" s="238" t="str">
        <f>VLOOKUP(B1055,'DER 10-18'!$A:$E,3,FALSE)</f>
        <v>M2</v>
      </c>
      <c r="D1055" s="454">
        <f>TRUNC(VLOOKUP(B1055,'DER 10-18'!$A:$F,6,FALSE)/(1+$I$4),2)</f>
        <v>4.7</v>
      </c>
      <c r="E1055" s="260"/>
      <c r="F1055" s="258"/>
      <c r="G1055" s="300">
        <v>1.65</v>
      </c>
      <c r="H1055" s="244"/>
      <c r="I1055" s="268">
        <f>TRUNC(D1055*G1055,2)</f>
        <v>7.75</v>
      </c>
      <c r="K1055" s="302"/>
    </row>
    <row r="1056" spans="1:11" ht="22.5" x14ac:dyDescent="0.2">
      <c r="A1056" s="248" t="str">
        <f>VLOOKUP(B1056,'DER 10-18'!$A:$E,2,FALSE)</f>
        <v>Concreto de regularização, tudo incluído</v>
      </c>
      <c r="B1056" s="238">
        <v>40349</v>
      </c>
      <c r="C1056" s="238" t="str">
        <f>VLOOKUP(B1056,'DER 10-18'!$A:$E,3,FALSE)</f>
        <v>M3</v>
      </c>
      <c r="D1056" s="454">
        <f>TRUNC(VLOOKUP(B1056,'DER 10-18'!$A:$F,6,FALSE)/(1+$I$4),2)</f>
        <v>423.65</v>
      </c>
      <c r="E1056" s="260"/>
      <c r="F1056" s="258"/>
      <c r="G1056" s="300">
        <v>1.4999999999999999E-2</v>
      </c>
      <c r="H1056" s="244"/>
      <c r="I1056" s="268">
        <f>TRUNC(D1056*G1056,2)</f>
        <v>6.35</v>
      </c>
      <c r="K1056" s="302"/>
    </row>
    <row r="1057" spans="1:17" ht="22.5" x14ac:dyDescent="0.2">
      <c r="A1057" s="248" t="str">
        <f>VLOOKUP(B1057,'DER 10-18'!$A:$E,2,FALSE)</f>
        <v>Concreto estrutural fck = 15,0 MPa, tudo incluído</v>
      </c>
      <c r="B1057" s="238">
        <v>40358</v>
      </c>
      <c r="C1057" s="238" t="str">
        <f>VLOOKUP(B1057,'DER 10-18'!$A:$E,3,FALSE)</f>
        <v>M3</v>
      </c>
      <c r="D1057" s="454">
        <f>TRUNC(VLOOKUP(B1057,'DER 10-18'!$A:$F,6,FALSE)/(1+$I$4),2)</f>
        <v>523.20000000000005</v>
      </c>
      <c r="E1057" s="260"/>
      <c r="F1057" s="258"/>
      <c r="G1057" s="300">
        <v>0.13</v>
      </c>
      <c r="H1057" s="244"/>
      <c r="I1057" s="268">
        <f>TRUNC(D1057*G1057,2)</f>
        <v>68.010000000000005</v>
      </c>
      <c r="K1057" s="302"/>
    </row>
    <row r="1058" spans="1:17" ht="22.5" x14ac:dyDescent="0.2">
      <c r="A1058" s="248" t="str">
        <f>VLOOKUP(B1058,'DER 10-18'!$A:$E,2,FALSE)</f>
        <v>Escavação manual em mat. 1ª cat. H= 0,00 a 1,50 m</v>
      </c>
      <c r="B1058" s="238">
        <v>40258</v>
      </c>
      <c r="C1058" s="238" t="str">
        <f>VLOOKUP(B1058,'DER 10-18'!$A:$E,3,FALSE)</f>
        <v>M3</v>
      </c>
      <c r="D1058" s="454">
        <f>TRUNC(VLOOKUP(B1058,'DER 10-18'!$A:$F,6,FALSE)/(1+$I$4),2)</f>
        <v>52.61</v>
      </c>
      <c r="E1058" s="260"/>
      <c r="F1058" s="258"/>
      <c r="G1058" s="300">
        <v>0.125</v>
      </c>
      <c r="H1058" s="244"/>
      <c r="I1058" s="268">
        <f>TRUNC(D1058*G1058,2)</f>
        <v>6.57</v>
      </c>
      <c r="K1058" s="302"/>
    </row>
    <row r="1059" spans="1:17" ht="45" x14ac:dyDescent="0.2">
      <c r="A1059" s="248" t="str">
        <f>VLOOKUP(B1059,'DER 10-18'!$A:$E,2,FALSE)</f>
        <v>Formas planas de madeira com 02 (dois) reaproveitamentos, inclusive fornecimento e transporte das madeiras</v>
      </c>
      <c r="B1059" s="238">
        <v>40312</v>
      </c>
      <c r="C1059" s="238" t="str">
        <f>VLOOKUP(B1059,'DER 10-18'!$A:$E,3,FALSE)</f>
        <v>M2</v>
      </c>
      <c r="D1059" s="454">
        <f>TRUNC(VLOOKUP(B1059,'DER 10-18'!$A:$F,6,FALSE)/(1+$I$4),2)</f>
        <v>75.55</v>
      </c>
      <c r="E1059" s="260"/>
      <c r="F1059" s="258"/>
      <c r="G1059" s="300">
        <v>1.8</v>
      </c>
      <c r="H1059" s="244"/>
      <c r="I1059" s="268">
        <f>TRUNC(D1059*G1059,2)</f>
        <v>135.99</v>
      </c>
      <c r="K1059" s="302"/>
    </row>
    <row r="1060" spans="1:17" x14ac:dyDescent="0.2">
      <c r="A1060" s="201"/>
      <c r="B1060" s="271"/>
      <c r="C1060" s="201"/>
      <c r="D1060" s="201"/>
      <c r="E1060" s="201"/>
      <c r="F1060" s="272" t="s">
        <v>214</v>
      </c>
      <c r="G1060" s="260"/>
      <c r="H1060" s="273"/>
      <c r="I1060" s="436">
        <f>SUM(I1055:I1059)</f>
        <v>224.67</v>
      </c>
      <c r="K1060" s="302"/>
    </row>
    <row r="1061" spans="1:17" x14ac:dyDescent="0.2">
      <c r="A1061" s="201"/>
      <c r="B1061" s="271"/>
      <c r="C1061" s="201"/>
      <c r="D1061" s="201"/>
      <c r="E1061" s="201"/>
      <c r="F1061" s="201"/>
      <c r="G1061" s="201"/>
      <c r="H1061" s="201"/>
      <c r="I1061" s="201"/>
      <c r="K1061" s="302"/>
    </row>
    <row r="1062" spans="1:17" x14ac:dyDescent="0.2">
      <c r="A1062" s="442" t="s">
        <v>215</v>
      </c>
      <c r="B1062" s="275" t="s">
        <v>60</v>
      </c>
      <c r="C1062" s="275" t="s">
        <v>211</v>
      </c>
      <c r="D1062" s="275" t="s">
        <v>216</v>
      </c>
      <c r="E1062" s="275" t="s">
        <v>217</v>
      </c>
      <c r="F1062" s="275" t="s">
        <v>218</v>
      </c>
      <c r="G1062" s="275" t="s">
        <v>96</v>
      </c>
      <c r="H1062" s="275" t="s">
        <v>91</v>
      </c>
      <c r="I1062" s="275" t="s">
        <v>219</v>
      </c>
      <c r="K1062" s="302"/>
    </row>
    <row r="1063" spans="1:17" x14ac:dyDescent="0.2">
      <c r="A1063" s="248"/>
      <c r="B1063" s="238"/>
      <c r="C1063" s="238"/>
      <c r="D1063" s="276"/>
      <c r="E1063" s="277"/>
      <c r="F1063" s="277"/>
      <c r="G1063" s="243"/>
      <c r="H1063" s="278"/>
      <c r="I1063" s="243"/>
      <c r="J1063" s="433" t="s">
        <v>118</v>
      </c>
      <c r="K1063" s="302"/>
    </row>
    <row r="1064" spans="1:17" x14ac:dyDescent="0.2">
      <c r="A1064" s="201"/>
      <c r="B1064" s="271"/>
      <c r="C1064" s="201"/>
      <c r="D1064" s="201"/>
      <c r="E1064" s="201"/>
      <c r="F1064" s="272" t="s">
        <v>220</v>
      </c>
      <c r="G1064" s="244"/>
      <c r="H1064" s="279"/>
      <c r="I1064" s="438">
        <f>SUM(I1063:I1063)</f>
        <v>0</v>
      </c>
      <c r="K1064" s="302"/>
    </row>
    <row r="1065" spans="1:17" x14ac:dyDescent="0.2">
      <c r="A1065" s="201"/>
      <c r="B1065" s="271"/>
      <c r="C1065" s="201"/>
      <c r="D1065" s="201"/>
      <c r="E1065" s="201"/>
      <c r="F1065" s="201"/>
      <c r="G1065" s="201"/>
      <c r="H1065" s="201"/>
      <c r="I1065" s="202"/>
      <c r="K1065" s="302"/>
    </row>
    <row r="1066" spans="1:17" x14ac:dyDescent="0.2">
      <c r="A1066" s="280"/>
      <c r="B1066" s="281"/>
      <c r="C1066" s="282"/>
      <c r="D1066" s="282"/>
      <c r="E1066" s="282"/>
      <c r="F1066" s="283" t="s">
        <v>221</v>
      </c>
      <c r="G1066" s="280"/>
      <c r="H1066" s="254"/>
      <c r="I1066" s="634">
        <f>+I1048+I1052+I1060+I1064</f>
        <v>224.67</v>
      </c>
      <c r="K1066" s="302"/>
    </row>
    <row r="1067" spans="1:17" s="198" customFormat="1" x14ac:dyDescent="0.2">
      <c r="A1067" s="260"/>
      <c r="B1067" s="284"/>
      <c r="C1067" s="273"/>
      <c r="D1067" s="273"/>
      <c r="E1067" s="273"/>
      <c r="F1067" s="285" t="str">
        <f>CONCATENATE($H$3," ",$I$3)</f>
        <v>BDI: 23,32</v>
      </c>
      <c r="G1067" s="439"/>
      <c r="H1067" s="258"/>
      <c r="I1067" s="635">
        <f>+ROUND(I1066*$I$4,2)</f>
        <v>52.39</v>
      </c>
      <c r="J1067" s="433"/>
      <c r="K1067" s="302"/>
      <c r="L1067" s="302"/>
      <c r="M1067" s="302"/>
      <c r="N1067" s="302"/>
      <c r="O1067" s="302"/>
      <c r="P1067" s="302"/>
      <c r="Q1067" s="302"/>
    </row>
    <row r="1068" spans="1:17" x14ac:dyDescent="0.2">
      <c r="A1068" s="244"/>
      <c r="B1068" s="286"/>
      <c r="C1068" s="279"/>
      <c r="D1068" s="279"/>
      <c r="E1068" s="279"/>
      <c r="F1068" s="287" t="s">
        <v>222</v>
      </c>
      <c r="G1068" s="440"/>
      <c r="H1068" s="245"/>
      <c r="I1068" s="1017">
        <f>+I1066+I1067</f>
        <v>277.06</v>
      </c>
      <c r="K1068" s="302"/>
    </row>
    <row r="1069" spans="1:17" x14ac:dyDescent="0.2">
      <c r="A1069" s="1277" t="str">
        <f>$A$1</f>
        <v>COMPOSIÇÃO DE CUSTOS UNITÁRIOS</v>
      </c>
      <c r="B1069" s="1277"/>
      <c r="C1069" s="1277"/>
      <c r="D1069" s="1277"/>
      <c r="E1069" s="1277"/>
      <c r="F1069" s="1277"/>
      <c r="G1069" s="1277"/>
      <c r="H1069" s="1277"/>
      <c r="I1069" s="1277"/>
    </row>
    <row r="1070" spans="1:17" x14ac:dyDescent="0.2">
      <c r="A1070" s="232" t="str">
        <f>$A$2</f>
        <v>Tabela Referencial de Preços - DER-ES</v>
      </c>
      <c r="B1070" s="233"/>
      <c r="C1070" s="199"/>
      <c r="D1070" s="199"/>
      <c r="E1070" s="199"/>
      <c r="F1070" s="199"/>
      <c r="G1070" s="199"/>
      <c r="H1070" s="199"/>
      <c r="I1070" s="234" t="str">
        <f>$I$2</f>
        <v>Data Base: Outubro/2018</v>
      </c>
    </row>
    <row r="1071" spans="1:17" x14ac:dyDescent="0.2">
      <c r="A1071" s="1278" t="str">
        <f>+CONCATENATE("Serviço: ",J1071," ",VLOOKUP(J1071,'DER 10-18'!$A:$D,2,FALSE))</f>
        <v>Serviço: 40668 Sarjeta de concreto (SCA 70/15) calha triangular, inclusive caiação</v>
      </c>
      <c r="B1071" s="1278"/>
      <c r="C1071" s="1278"/>
      <c r="D1071" s="1278"/>
      <c r="E1071" s="1278"/>
      <c r="F1071" s="1278"/>
      <c r="G1071" s="1278"/>
      <c r="H1071" s="1278"/>
      <c r="I1071" s="1278" t="str">
        <f>CONCATENATE("Unidade: ", VLOOKUP(J1071,'DER 10-18'!$A:$E,3,FALSE))</f>
        <v>Unidade: M</v>
      </c>
      <c r="J1071" s="433">
        <v>40668</v>
      </c>
      <c r="K1071" s="433">
        <f>VLOOKUP("Preço Unitário Total",F1072:I4065,4,FALSE)</f>
        <v>105.4</v>
      </c>
      <c r="L1071" s="302">
        <f>VLOOKUP(J1071,'DER 10-18'!A:E,5,FALSE)</f>
        <v>0</v>
      </c>
      <c r="M1071" s="302" t="str">
        <f>VLOOKUP(J1071,'DER 10-18'!$A:$D,2,FALSE)</f>
        <v>Sarjeta de concreto (SCA 70/15) calha triangular, inclusive caiação</v>
      </c>
    </row>
    <row r="1072" spans="1:17" x14ac:dyDescent="0.2">
      <c r="A1072" s="1279"/>
      <c r="B1072" s="1279"/>
      <c r="C1072" s="1279"/>
      <c r="D1072" s="1279"/>
      <c r="E1072" s="1279"/>
      <c r="F1072" s="1279"/>
      <c r="G1072" s="1279"/>
      <c r="H1072" s="1279"/>
      <c r="I1072" s="1279"/>
    </row>
    <row r="1073" spans="1:11" ht="22.5" x14ac:dyDescent="0.2">
      <c r="A1073" s="235" t="s">
        <v>192</v>
      </c>
      <c r="B1073" s="236" t="s">
        <v>60</v>
      </c>
      <c r="C1073" s="236" t="s">
        <v>193</v>
      </c>
      <c r="D1073" s="236" t="s">
        <v>194</v>
      </c>
      <c r="E1073" s="236" t="s">
        <v>195</v>
      </c>
      <c r="F1073" s="236" t="s">
        <v>196</v>
      </c>
      <c r="G1073" s="236" t="s">
        <v>197</v>
      </c>
      <c r="H1073" s="236" t="s">
        <v>91</v>
      </c>
      <c r="I1073" s="236" t="s">
        <v>198</v>
      </c>
    </row>
    <row r="1074" spans="1:11" x14ac:dyDescent="0.2">
      <c r="A1074" s="237"/>
      <c r="B1074" s="238"/>
      <c r="C1074" s="239"/>
      <c r="D1074" s="240"/>
      <c r="E1074" s="205"/>
      <c r="F1074" s="241"/>
      <c r="G1074" s="241"/>
      <c r="H1074" s="242"/>
      <c r="I1074" s="243"/>
    </row>
    <row r="1075" spans="1:11" x14ac:dyDescent="0.2">
      <c r="A1075" s="199"/>
      <c r="B1075" s="233"/>
      <c r="C1075" s="233"/>
      <c r="D1075" s="199"/>
      <c r="E1075" s="199"/>
      <c r="F1075" s="234" t="s">
        <v>199</v>
      </c>
      <c r="G1075" s="244"/>
      <c r="H1075" s="245"/>
      <c r="I1075" s="434">
        <f>SUM(I1074:I1074)</f>
        <v>0</v>
      </c>
    </row>
    <row r="1076" spans="1:11" x14ac:dyDescent="0.2">
      <c r="A1076" s="199"/>
      <c r="B1076" s="233"/>
      <c r="C1076" s="233"/>
      <c r="D1076" s="199"/>
      <c r="E1076" s="199"/>
      <c r="F1076" s="199"/>
      <c r="G1076" s="199"/>
      <c r="H1076" s="199"/>
      <c r="I1076" s="200"/>
    </row>
    <row r="1077" spans="1:11" x14ac:dyDescent="0.2">
      <c r="A1077" s="246" t="s">
        <v>200</v>
      </c>
      <c r="B1077" s="247" t="s">
        <v>60</v>
      </c>
      <c r="C1077" s="236" t="s">
        <v>1242</v>
      </c>
      <c r="D1077" s="247" t="s">
        <v>202</v>
      </c>
      <c r="E1077" s="1276" t="s">
        <v>91</v>
      </c>
      <c r="F1077" s="1274"/>
      <c r="G1077" s="1275"/>
      <c r="H1077" s="1276" t="s">
        <v>198</v>
      </c>
      <c r="I1077" s="1275"/>
    </row>
    <row r="1078" spans="1:11" x14ac:dyDescent="0.2">
      <c r="A1078" s="248" t="str">
        <f>VLOOKUP(B1078,m.o.!$A:$H,2,FALSE)</f>
        <v>Pedreiro de O.A.C.</v>
      </c>
      <c r="B1078" s="238">
        <v>20109</v>
      </c>
      <c r="C1078" s="243">
        <f>VLOOKUP(B1078,m.o.!$A:$F,4,FALSE)</f>
        <v>1.24</v>
      </c>
      <c r="D1078" s="243">
        <f>VLOOKUP(B1078,m.o.!$A:$G,7,FALSE)</f>
        <v>14.43</v>
      </c>
      <c r="E1078" s="260"/>
      <c r="F1078" s="258"/>
      <c r="G1078" s="300">
        <v>0.2</v>
      </c>
      <c r="H1078" s="244"/>
      <c r="I1078" s="249">
        <f>TRUNC(D1078*G1078,2)</f>
        <v>2.88</v>
      </c>
      <c r="J1078" s="302"/>
      <c r="K1078" s="302"/>
    </row>
    <row r="1079" spans="1:11" x14ac:dyDescent="0.2">
      <c r="A1079" s="248" t="str">
        <f>VLOOKUP(B1079,m.o.!$A:$H,2,FALSE)</f>
        <v>Servente</v>
      </c>
      <c r="B1079" s="238">
        <v>20002</v>
      </c>
      <c r="C1079" s="243">
        <f>VLOOKUP(B1079,m.o.!$A:$F,4,FALSE)</f>
        <v>1</v>
      </c>
      <c r="D1079" s="243">
        <f>VLOOKUP(B1079,m.o.!$A:$G,7,FALSE)</f>
        <v>11.64</v>
      </c>
      <c r="E1079" s="260"/>
      <c r="F1079" s="258"/>
      <c r="G1079" s="300">
        <v>1</v>
      </c>
      <c r="H1079" s="244"/>
      <c r="I1079" s="249">
        <f>TRUNC(D1079*G1079,2)</f>
        <v>11.64</v>
      </c>
      <c r="J1079" s="302"/>
      <c r="K1079" s="302"/>
    </row>
    <row r="1080" spans="1:11" x14ac:dyDescent="0.2">
      <c r="A1080" s="199"/>
      <c r="B1080" s="233"/>
      <c r="C1080" s="233"/>
      <c r="D1080" s="199"/>
      <c r="E1080" s="199"/>
      <c r="F1080" s="234" t="s">
        <v>203</v>
      </c>
      <c r="G1080" s="244"/>
      <c r="H1080" s="245"/>
      <c r="I1080" s="434">
        <f>SUM(I1078:I1079)</f>
        <v>14.52</v>
      </c>
      <c r="J1080" s="302"/>
      <c r="K1080" s="302"/>
    </row>
    <row r="1081" spans="1:11" x14ac:dyDescent="0.2">
      <c r="A1081" s="199"/>
      <c r="B1081" s="233"/>
      <c r="C1081" s="233"/>
      <c r="D1081" s="199"/>
      <c r="E1081" s="199"/>
      <c r="F1081" s="199"/>
      <c r="G1081" s="199"/>
      <c r="H1081" s="199"/>
      <c r="I1081" s="200"/>
      <c r="J1081" s="302"/>
      <c r="K1081" s="302"/>
    </row>
    <row r="1082" spans="1:11" x14ac:dyDescent="0.2">
      <c r="A1082" s="270" t="s">
        <v>204</v>
      </c>
      <c r="B1082" s="247" t="s">
        <v>60</v>
      </c>
      <c r="C1082" s="866" t="s">
        <v>17</v>
      </c>
      <c r="D1082" s="247" t="s">
        <v>205</v>
      </c>
      <c r="E1082" s="247" t="s">
        <v>206</v>
      </c>
      <c r="F1082" s="247" t="s">
        <v>207</v>
      </c>
      <c r="G1082" s="1276" t="s">
        <v>96</v>
      </c>
      <c r="H1082" s="1274"/>
      <c r="I1082" s="1275"/>
      <c r="J1082" s="302"/>
      <c r="K1082" s="302"/>
    </row>
    <row r="1083" spans="1:11" x14ac:dyDescent="0.2">
      <c r="A1083" s="248" t="s">
        <v>142</v>
      </c>
      <c r="B1083" s="238">
        <v>2000</v>
      </c>
      <c r="C1083" s="243">
        <v>5</v>
      </c>
      <c r="D1083" s="239" t="s">
        <v>223</v>
      </c>
      <c r="E1083" s="251"/>
      <c r="F1083" s="251"/>
      <c r="G1083" s="244"/>
      <c r="H1083" s="245"/>
      <c r="I1083" s="249">
        <f>TRUNC(C1083/100*I1080,2)</f>
        <v>0.72</v>
      </c>
      <c r="J1083" s="302"/>
      <c r="K1083" s="302"/>
    </row>
    <row r="1084" spans="1:11" x14ac:dyDescent="0.2">
      <c r="A1084" s="199"/>
      <c r="B1084" s="233"/>
      <c r="C1084" s="199"/>
      <c r="D1084" s="199"/>
      <c r="E1084" s="199"/>
      <c r="F1084" s="234" t="s">
        <v>1170</v>
      </c>
      <c r="G1084" s="244"/>
      <c r="H1084" s="245"/>
      <c r="I1084" s="434">
        <f>SUM(I1083)</f>
        <v>0.72</v>
      </c>
      <c r="J1084" s="302"/>
      <c r="K1084" s="302"/>
    </row>
    <row r="1085" spans="1:11" x14ac:dyDescent="0.2">
      <c r="A1085" s="199"/>
      <c r="B1085" s="233"/>
      <c r="C1085" s="199"/>
      <c r="D1085" s="199"/>
      <c r="E1085" s="199"/>
      <c r="F1085" s="199"/>
      <c r="G1085" s="199"/>
      <c r="H1085" s="199"/>
      <c r="I1085" s="200"/>
      <c r="J1085" s="302"/>
      <c r="K1085" s="302"/>
    </row>
    <row r="1086" spans="1:11" x14ac:dyDescent="0.2">
      <c r="A1086" s="252"/>
      <c r="B1086" s="253"/>
      <c r="C1086" s="254"/>
      <c r="D1086" s="254"/>
      <c r="E1086" s="254"/>
      <c r="F1086" s="255" t="s">
        <v>208</v>
      </c>
      <c r="G1086" s="435"/>
      <c r="H1086" s="254"/>
      <c r="I1086" s="634">
        <f>+I1075+I1080+I1084</f>
        <v>15.24</v>
      </c>
      <c r="J1086" s="302"/>
      <c r="K1086" s="302"/>
    </row>
    <row r="1087" spans="1:11" x14ac:dyDescent="0.2">
      <c r="A1087" s="256"/>
      <c r="B1087" s="257"/>
      <c r="C1087" s="258"/>
      <c r="D1087" s="258"/>
      <c r="E1087" s="258"/>
      <c r="F1087" s="259" t="s">
        <v>209</v>
      </c>
      <c r="G1087" s="260"/>
      <c r="H1087" s="258"/>
      <c r="I1087" s="635">
        <v>1</v>
      </c>
      <c r="J1087" s="302"/>
      <c r="K1087" s="302"/>
    </row>
    <row r="1088" spans="1:11" x14ac:dyDescent="0.2">
      <c r="A1088" s="237"/>
      <c r="B1088" s="261"/>
      <c r="C1088" s="245"/>
      <c r="D1088" s="245"/>
      <c r="E1088" s="245"/>
      <c r="F1088" s="262" t="s">
        <v>232</v>
      </c>
      <c r="G1088" s="244"/>
      <c r="H1088" s="245"/>
      <c r="I1088" s="633">
        <f>TRUNC(I1086/I1087,2)</f>
        <v>15.24</v>
      </c>
      <c r="J1088" s="302"/>
      <c r="K1088" s="302"/>
    </row>
    <row r="1089" spans="1:11" x14ac:dyDescent="0.2">
      <c r="A1089" s="867"/>
      <c r="B1089" s="233"/>
      <c r="C1089" s="199"/>
      <c r="D1089" s="199"/>
      <c r="E1089" s="199"/>
      <c r="F1089" s="263"/>
      <c r="G1089" s="199"/>
      <c r="H1089" s="199"/>
      <c r="I1089" s="264"/>
      <c r="J1089" s="302"/>
      <c r="K1089" s="302"/>
    </row>
    <row r="1090" spans="1:11" x14ac:dyDescent="0.2">
      <c r="A1090" s="246" t="s">
        <v>210</v>
      </c>
      <c r="B1090" s="247" t="s">
        <v>60</v>
      </c>
      <c r="C1090" s="247" t="s">
        <v>211</v>
      </c>
      <c r="D1090" s="247" t="s">
        <v>233</v>
      </c>
      <c r="E1090" s="1276" t="s">
        <v>91</v>
      </c>
      <c r="F1090" s="1274"/>
      <c r="G1090" s="1275"/>
      <c r="H1090" s="1276" t="s">
        <v>198</v>
      </c>
      <c r="I1090" s="1275"/>
      <c r="J1090" s="302"/>
      <c r="K1090" s="302"/>
    </row>
    <row r="1091" spans="1:11" x14ac:dyDescent="0.2">
      <c r="A1091" s="265" t="str">
        <f>VLOOKUP(B1091,mat.!$A:$D,2,FALSE)</f>
        <v>Sarrafo 10 X 2,5 cm</v>
      </c>
      <c r="B1091" s="238">
        <v>10067</v>
      </c>
      <c r="C1091" s="266" t="str">
        <f>VLOOKUP(B1091,mat.!$A:$D,3,FALSE)</f>
        <v>M3</v>
      </c>
      <c r="D1091" s="267">
        <f>VLOOKUP(B1091,mat.!$A:$D,4,FALSE)</f>
        <v>1012</v>
      </c>
      <c r="E1091" s="260"/>
      <c r="F1091" s="258"/>
      <c r="G1091" s="300">
        <v>3.0999999999999999E-3</v>
      </c>
      <c r="H1091" s="260"/>
      <c r="I1091" s="268">
        <f>TRUNC(D1091*G1091,2)</f>
        <v>3.13</v>
      </c>
      <c r="J1091" s="302"/>
      <c r="K1091" s="302"/>
    </row>
    <row r="1092" spans="1:11" x14ac:dyDescent="0.2">
      <c r="A1092" s="199"/>
      <c r="B1092" s="233"/>
      <c r="C1092" s="199"/>
      <c r="D1092" s="199"/>
      <c r="E1092" s="199"/>
      <c r="F1092" s="234" t="s">
        <v>212</v>
      </c>
      <c r="G1092" s="244"/>
      <c r="H1092" s="245"/>
      <c r="I1092" s="434">
        <f>SUM(I1091:I1091)</f>
        <v>3.13</v>
      </c>
      <c r="J1092" s="302"/>
      <c r="K1092" s="302"/>
    </row>
    <row r="1093" spans="1:11" x14ac:dyDescent="0.2">
      <c r="A1093" s="199"/>
      <c r="B1093" s="233"/>
      <c r="C1093" s="199"/>
      <c r="D1093" s="199"/>
      <c r="E1093" s="199"/>
      <c r="F1093" s="199"/>
      <c r="G1093" s="269"/>
      <c r="H1093" s="199"/>
      <c r="I1093" s="200"/>
      <c r="J1093" s="302"/>
      <c r="K1093" s="302"/>
    </row>
    <row r="1094" spans="1:11" x14ac:dyDescent="0.2">
      <c r="A1094" s="270" t="s">
        <v>213</v>
      </c>
      <c r="B1094" s="247" t="s">
        <v>60</v>
      </c>
      <c r="C1094" s="247" t="s">
        <v>211</v>
      </c>
      <c r="D1094" s="866" t="s">
        <v>233</v>
      </c>
      <c r="E1094" s="1276" t="s">
        <v>91</v>
      </c>
      <c r="F1094" s="1274"/>
      <c r="G1094" s="1275"/>
      <c r="H1094" s="1276" t="s">
        <v>198</v>
      </c>
      <c r="I1094" s="1275"/>
      <c r="K1094" s="302"/>
    </row>
    <row r="1095" spans="1:11" x14ac:dyDescent="0.2">
      <c r="A1095" s="248" t="str">
        <f>VLOOKUP(B1095,'DER 10-18'!$A:$E,2,FALSE)</f>
        <v>Caiação de meio fios, sarjetas, etc</v>
      </c>
      <c r="B1095" s="238">
        <v>40658</v>
      </c>
      <c r="C1095" s="238" t="str">
        <f>VLOOKUP(B1095,'DER 10-18'!$A:$E,3,FALSE)</f>
        <v>M2</v>
      </c>
      <c r="D1095" s="454">
        <f>TRUNC(VLOOKUP(B1095,'DER 10-18'!$A:$F,6,FALSE)/(1+$I$4),2)</f>
        <v>4.7</v>
      </c>
      <c r="E1095" s="260"/>
      <c r="F1095" s="258"/>
      <c r="G1095" s="300">
        <v>0.97799999999999998</v>
      </c>
      <c r="H1095" s="244"/>
      <c r="I1095" s="268">
        <f>TRUNC(D1095*G1095,2)</f>
        <v>4.59</v>
      </c>
      <c r="K1095" s="302"/>
    </row>
    <row r="1096" spans="1:11" ht="22.5" x14ac:dyDescent="0.2">
      <c r="A1096" s="248" t="str">
        <f>VLOOKUP(B1096,'DER 10-18'!$A:$E,2,FALSE)</f>
        <v>Concreto estrutural fck = 15,0 MPa, tudo incluído</v>
      </c>
      <c r="B1096" s="238">
        <v>40358</v>
      </c>
      <c r="C1096" s="238" t="str">
        <f>VLOOKUP(B1096,'DER 10-18'!$A:$E,3,FALSE)</f>
        <v>M3</v>
      </c>
      <c r="D1096" s="454">
        <f>TRUNC(VLOOKUP(B1096,'DER 10-18'!$A:$F,6,FALSE)/(1+$I$4),2)</f>
        <v>523.20000000000005</v>
      </c>
      <c r="E1096" s="260"/>
      <c r="F1096" s="258"/>
      <c r="G1096" s="300">
        <v>8.4000000000000005E-2</v>
      </c>
      <c r="H1096" s="244"/>
      <c r="I1096" s="268">
        <f>TRUNC(D1096*G1096,2)</f>
        <v>43.94</v>
      </c>
      <c r="K1096" s="302"/>
    </row>
    <row r="1097" spans="1:11" ht="22.5" x14ac:dyDescent="0.2">
      <c r="A1097" s="248" t="str">
        <f>VLOOKUP(B1097,'DER 10-18'!$A:$E,2,FALSE)</f>
        <v>Escavação manual em mat. 1ª cat. H= 0,00 a 1,50 m</v>
      </c>
      <c r="B1097" s="238">
        <v>40258</v>
      </c>
      <c r="C1097" s="238" t="str">
        <f>VLOOKUP(B1097,'DER 10-18'!$A:$E,3,FALSE)</f>
        <v>M3</v>
      </c>
      <c r="D1097" s="454">
        <f>TRUNC(VLOOKUP(B1097,'DER 10-18'!$A:$F,6,FALSE)/(1+$I$4),2)</f>
        <v>52.61</v>
      </c>
      <c r="E1097" s="260"/>
      <c r="F1097" s="258"/>
      <c r="G1097" s="300">
        <v>0.107</v>
      </c>
      <c r="H1097" s="244"/>
      <c r="I1097" s="268">
        <f>TRUNC(D1097*G1097,2)</f>
        <v>5.62</v>
      </c>
      <c r="K1097" s="302"/>
    </row>
    <row r="1098" spans="1:11" ht="45" x14ac:dyDescent="0.2">
      <c r="A1098" s="248" t="str">
        <f>VLOOKUP(B1098,'DER 10-18'!$A:$E,2,FALSE)</f>
        <v>Forma especial de madeira para sarjeta (gabarito), inclusive fornecimento e transporte da madeira</v>
      </c>
      <c r="B1098" s="238">
        <v>40317</v>
      </c>
      <c r="C1098" s="238" t="str">
        <f>VLOOKUP(B1098,'DER 10-18'!$A:$E,3,FALSE)</f>
        <v>M2</v>
      </c>
      <c r="D1098" s="454">
        <f>TRUNC(VLOOKUP(B1098,'DER 10-18'!$A:$F,6,FALSE)/(1+$I$4),2)</f>
        <v>51.62</v>
      </c>
      <c r="E1098" s="260"/>
      <c r="F1098" s="258"/>
      <c r="G1098" s="300">
        <v>0.251</v>
      </c>
      <c r="H1098" s="244"/>
      <c r="I1098" s="268">
        <f>TRUNC(D1098*G1098,2)</f>
        <v>12.95</v>
      </c>
      <c r="K1098" s="302"/>
    </row>
    <row r="1099" spans="1:11" x14ac:dyDescent="0.2">
      <c r="A1099" s="201"/>
      <c r="B1099" s="271"/>
      <c r="C1099" s="201"/>
      <c r="D1099" s="201"/>
      <c r="E1099" s="201"/>
      <c r="F1099" s="272" t="s">
        <v>214</v>
      </c>
      <c r="G1099" s="260"/>
      <c r="H1099" s="273"/>
      <c r="I1099" s="436">
        <f>SUM(I1095:I1098)</f>
        <v>67.099999999999994</v>
      </c>
      <c r="K1099" s="302"/>
    </row>
    <row r="1100" spans="1:11" x14ac:dyDescent="0.2">
      <c r="A1100" s="201"/>
      <c r="B1100" s="271"/>
      <c r="C1100" s="201"/>
      <c r="D1100" s="201"/>
      <c r="E1100" s="201"/>
      <c r="F1100" s="201"/>
      <c r="G1100" s="201"/>
      <c r="H1100" s="201"/>
      <c r="I1100" s="201"/>
      <c r="K1100" s="302"/>
    </row>
    <row r="1101" spans="1:11" x14ac:dyDescent="0.2">
      <c r="A1101" s="442" t="s">
        <v>215</v>
      </c>
      <c r="B1101" s="275" t="s">
        <v>60</v>
      </c>
      <c r="C1101" s="275" t="s">
        <v>211</v>
      </c>
      <c r="D1101" s="275" t="s">
        <v>216</v>
      </c>
      <c r="E1101" s="275" t="s">
        <v>217</v>
      </c>
      <c r="F1101" s="275" t="s">
        <v>218</v>
      </c>
      <c r="G1101" s="275" t="s">
        <v>96</v>
      </c>
      <c r="H1101" s="275" t="s">
        <v>91</v>
      </c>
      <c r="I1101" s="275" t="s">
        <v>219</v>
      </c>
      <c r="K1101" s="302"/>
    </row>
    <row r="1102" spans="1:11" x14ac:dyDescent="0.2">
      <c r="A1102" s="248"/>
      <c r="B1102" s="238"/>
      <c r="C1102" s="238"/>
      <c r="D1102" s="276"/>
      <c r="E1102" s="277"/>
      <c r="F1102" s="277"/>
      <c r="G1102" s="243"/>
      <c r="H1102" s="278"/>
      <c r="I1102" s="243"/>
      <c r="J1102" s="433" t="s">
        <v>118</v>
      </c>
      <c r="K1102" s="302"/>
    </row>
    <row r="1103" spans="1:11" x14ac:dyDescent="0.2">
      <c r="A1103" s="201"/>
      <c r="B1103" s="271"/>
      <c r="C1103" s="201"/>
      <c r="D1103" s="201"/>
      <c r="E1103" s="201"/>
      <c r="F1103" s="272" t="s">
        <v>220</v>
      </c>
      <c r="G1103" s="244"/>
      <c r="H1103" s="279"/>
      <c r="I1103" s="438">
        <f>SUM(I1102:I1102)</f>
        <v>0</v>
      </c>
      <c r="K1103" s="302"/>
    </row>
    <row r="1104" spans="1:11" x14ac:dyDescent="0.2">
      <c r="A1104" s="201"/>
      <c r="B1104" s="271"/>
      <c r="C1104" s="201"/>
      <c r="D1104" s="201"/>
      <c r="E1104" s="201"/>
      <c r="F1104" s="201"/>
      <c r="G1104" s="201"/>
      <c r="H1104" s="201"/>
      <c r="I1104" s="202"/>
      <c r="K1104" s="302"/>
    </row>
    <row r="1105" spans="1:13" x14ac:dyDescent="0.2">
      <c r="A1105" s="280"/>
      <c r="B1105" s="281"/>
      <c r="C1105" s="282"/>
      <c r="D1105" s="282"/>
      <c r="E1105" s="282"/>
      <c r="F1105" s="283" t="s">
        <v>221</v>
      </c>
      <c r="G1105" s="280"/>
      <c r="H1105" s="254"/>
      <c r="I1105" s="634">
        <f>+I1088+I1092+I1099+I1103</f>
        <v>85.47</v>
      </c>
      <c r="K1105" s="302"/>
    </row>
    <row r="1106" spans="1:13" x14ac:dyDescent="0.2">
      <c r="A1106" s="260"/>
      <c r="B1106" s="284"/>
      <c r="C1106" s="273"/>
      <c r="D1106" s="273"/>
      <c r="E1106" s="273"/>
      <c r="F1106" s="285" t="str">
        <f>CONCATENATE($H$3," ",$I$3)</f>
        <v>BDI: 23,32</v>
      </c>
      <c r="G1106" s="439"/>
      <c r="H1106" s="258"/>
      <c r="I1106" s="635">
        <f>+ROUND(I1105*$I$4,2)</f>
        <v>19.93</v>
      </c>
      <c r="K1106" s="302"/>
    </row>
    <row r="1107" spans="1:13" x14ac:dyDescent="0.2">
      <c r="A1107" s="244"/>
      <c r="B1107" s="286"/>
      <c r="C1107" s="279"/>
      <c r="D1107" s="279"/>
      <c r="E1107" s="279"/>
      <c r="F1107" s="287" t="s">
        <v>222</v>
      </c>
      <c r="G1107" s="440"/>
      <c r="H1107" s="245"/>
      <c r="I1107" s="1017">
        <f>+I1105+I1106</f>
        <v>105.4</v>
      </c>
      <c r="K1107" s="302"/>
    </row>
    <row r="1108" spans="1:13" x14ac:dyDescent="0.2">
      <c r="A1108" s="1277" t="str">
        <f>$A$1</f>
        <v>COMPOSIÇÃO DE CUSTOS UNITÁRIOS</v>
      </c>
      <c r="B1108" s="1277"/>
      <c r="C1108" s="1277"/>
      <c r="D1108" s="1277"/>
      <c r="E1108" s="1277"/>
      <c r="F1108" s="1277"/>
      <c r="G1108" s="1277"/>
      <c r="H1108" s="1277"/>
      <c r="I1108" s="1277"/>
    </row>
    <row r="1109" spans="1:13" x14ac:dyDescent="0.2">
      <c r="A1109" s="232" t="str">
        <f>$A$2</f>
        <v>Tabela Referencial de Preços - DER-ES</v>
      </c>
      <c r="B1109" s="233"/>
      <c r="C1109" s="199"/>
      <c r="D1109" s="199"/>
      <c r="E1109" s="199"/>
      <c r="F1109" s="199"/>
      <c r="G1109" s="199"/>
      <c r="H1109" s="199"/>
      <c r="I1109" s="234" t="str">
        <f>$I$2</f>
        <v>Data Base: Outubro/2018</v>
      </c>
    </row>
    <row r="1110" spans="1:13" x14ac:dyDescent="0.2">
      <c r="A1110" s="1278" t="str">
        <f>+CONCATENATE("Serviço: ",J1110," ",VLOOKUP(J1110,'DER 10-18'!$A:$D,2,FALSE))</f>
        <v>Serviço: 40667 Sarjeta de concreto DP-2 (0,085 m³/m) calha triangular, inclusive caiação</v>
      </c>
      <c r="B1110" s="1278"/>
      <c r="C1110" s="1278"/>
      <c r="D1110" s="1278"/>
      <c r="E1110" s="1278"/>
      <c r="F1110" s="1278"/>
      <c r="G1110" s="1278"/>
      <c r="H1110" s="1278"/>
      <c r="I1110" s="1278" t="str">
        <f>CONCATENATE("Unidade: ", VLOOKUP(J1110,'DER 10-18'!$A:$E,3,FALSE))</f>
        <v>Unidade: M</v>
      </c>
      <c r="J1110" s="433">
        <v>40667</v>
      </c>
      <c r="K1110" s="433">
        <f>VLOOKUP("Preço Unitário Total",F1111:I2861,4,FALSE)</f>
        <v>95.75</v>
      </c>
      <c r="L1110" s="302">
        <f>VLOOKUP(J1110,'DER 10-18'!A:E,5,FALSE)</f>
        <v>0</v>
      </c>
      <c r="M1110" s="302" t="str">
        <f>VLOOKUP(J1110,'DER 10-18'!$A:$D,2,FALSE)</f>
        <v>Sarjeta de concreto DP-2 (0,085 m³/m) calha triangular, inclusive caiação</v>
      </c>
    </row>
    <row r="1111" spans="1:13" x14ac:dyDescent="0.2">
      <c r="A1111" s="1279"/>
      <c r="B1111" s="1279"/>
      <c r="C1111" s="1279"/>
      <c r="D1111" s="1279"/>
      <c r="E1111" s="1279"/>
      <c r="F1111" s="1279"/>
      <c r="G1111" s="1279"/>
      <c r="H1111" s="1279"/>
      <c r="I1111" s="1279"/>
    </row>
    <row r="1112" spans="1:13" ht="22.5" x14ac:dyDescent="0.2">
      <c r="A1112" s="235" t="s">
        <v>192</v>
      </c>
      <c r="B1112" s="236" t="s">
        <v>60</v>
      </c>
      <c r="C1112" s="236" t="s">
        <v>193</v>
      </c>
      <c r="D1112" s="236" t="s">
        <v>194</v>
      </c>
      <c r="E1112" s="236" t="s">
        <v>195</v>
      </c>
      <c r="F1112" s="236" t="s">
        <v>196</v>
      </c>
      <c r="G1112" s="236" t="s">
        <v>197</v>
      </c>
      <c r="H1112" s="236" t="s">
        <v>91</v>
      </c>
      <c r="I1112" s="236" t="s">
        <v>198</v>
      </c>
    </row>
    <row r="1113" spans="1:13" x14ac:dyDescent="0.2">
      <c r="A1113" s="237"/>
      <c r="B1113" s="238"/>
      <c r="C1113" s="239"/>
      <c r="D1113" s="240"/>
      <c r="E1113" s="205"/>
      <c r="F1113" s="241"/>
      <c r="G1113" s="241"/>
      <c r="H1113" s="242"/>
      <c r="I1113" s="243"/>
    </row>
    <row r="1114" spans="1:13" x14ac:dyDescent="0.2">
      <c r="A1114" s="199"/>
      <c r="B1114" s="233"/>
      <c r="C1114" s="233"/>
      <c r="D1114" s="199"/>
      <c r="E1114" s="199"/>
      <c r="F1114" s="234" t="s">
        <v>199</v>
      </c>
      <c r="G1114" s="244"/>
      <c r="H1114" s="245"/>
      <c r="I1114" s="434">
        <f>SUM(I1113:I1113)</f>
        <v>0</v>
      </c>
    </row>
    <row r="1115" spans="1:13" x14ac:dyDescent="0.2">
      <c r="A1115" s="199"/>
      <c r="B1115" s="233"/>
      <c r="C1115" s="233"/>
      <c r="D1115" s="199"/>
      <c r="E1115" s="199"/>
      <c r="F1115" s="199"/>
      <c r="G1115" s="199"/>
      <c r="H1115" s="199"/>
      <c r="I1115" s="200"/>
    </row>
    <row r="1116" spans="1:13" x14ac:dyDescent="0.2">
      <c r="A1116" s="246" t="s">
        <v>200</v>
      </c>
      <c r="B1116" s="247" t="s">
        <v>60</v>
      </c>
      <c r="C1116" s="236" t="s">
        <v>1242</v>
      </c>
      <c r="D1116" s="247" t="s">
        <v>202</v>
      </c>
      <c r="E1116" s="1276" t="s">
        <v>91</v>
      </c>
      <c r="F1116" s="1274"/>
      <c r="G1116" s="1275"/>
      <c r="H1116" s="1276" t="s">
        <v>198</v>
      </c>
      <c r="I1116" s="1275"/>
    </row>
    <row r="1117" spans="1:13" x14ac:dyDescent="0.2">
      <c r="A1117" s="248" t="str">
        <f>VLOOKUP(B1117,m.o.!$A:$H,2,FALSE)</f>
        <v>Pedreiro de O.A.C.</v>
      </c>
      <c r="B1117" s="238">
        <v>20109</v>
      </c>
      <c r="C1117" s="243">
        <f>VLOOKUP(B1117,m.o.!$A:$F,4,FALSE)</f>
        <v>1.24</v>
      </c>
      <c r="D1117" s="243">
        <f>VLOOKUP(B1117,m.o.!$A:$G,7,FALSE)</f>
        <v>14.43</v>
      </c>
      <c r="E1117" s="260"/>
      <c r="F1117" s="258"/>
      <c r="G1117" s="300">
        <v>0.2</v>
      </c>
      <c r="H1117" s="244"/>
      <c r="I1117" s="249">
        <f>TRUNC(D1117*G1117,2)</f>
        <v>2.88</v>
      </c>
    </row>
    <row r="1118" spans="1:13" x14ac:dyDescent="0.2">
      <c r="A1118" s="248" t="str">
        <f>VLOOKUP(B1118,m.o.!$A:$H,2,FALSE)</f>
        <v>Servente</v>
      </c>
      <c r="B1118" s="238">
        <v>20002</v>
      </c>
      <c r="C1118" s="243">
        <f>VLOOKUP(B1118,m.o.!$A:$F,4,FALSE)</f>
        <v>1</v>
      </c>
      <c r="D1118" s="243">
        <f>VLOOKUP(B1118,m.o.!$A:$G,7,FALSE)</f>
        <v>11.64</v>
      </c>
      <c r="E1118" s="260"/>
      <c r="F1118" s="258"/>
      <c r="G1118" s="300">
        <v>1</v>
      </c>
      <c r="H1118" s="244"/>
      <c r="I1118" s="249">
        <f>TRUNC(D1118*G1118,2)</f>
        <v>11.64</v>
      </c>
    </row>
    <row r="1119" spans="1:13" x14ac:dyDescent="0.2">
      <c r="A1119" s="199"/>
      <c r="B1119" s="233"/>
      <c r="C1119" s="233"/>
      <c r="D1119" s="199"/>
      <c r="E1119" s="199"/>
      <c r="F1119" s="234" t="s">
        <v>203</v>
      </c>
      <c r="G1119" s="244"/>
      <c r="H1119" s="245"/>
      <c r="I1119" s="434">
        <f>SUM(I1117:I1118)</f>
        <v>14.52</v>
      </c>
    </row>
    <row r="1120" spans="1:13" x14ac:dyDescent="0.2">
      <c r="A1120" s="199"/>
      <c r="B1120" s="233"/>
      <c r="C1120" s="233"/>
      <c r="D1120" s="199"/>
      <c r="E1120" s="199"/>
      <c r="F1120" s="199"/>
      <c r="G1120" s="199"/>
      <c r="H1120" s="199"/>
      <c r="I1120" s="200"/>
    </row>
    <row r="1121" spans="1:11" x14ac:dyDescent="0.2">
      <c r="A1121" s="270" t="s">
        <v>204</v>
      </c>
      <c r="B1121" s="247" t="s">
        <v>60</v>
      </c>
      <c r="C1121" s="866" t="s">
        <v>17</v>
      </c>
      <c r="D1121" s="247" t="s">
        <v>205</v>
      </c>
      <c r="E1121" s="247" t="s">
        <v>206</v>
      </c>
      <c r="F1121" s="247" t="s">
        <v>207</v>
      </c>
      <c r="G1121" s="1276" t="s">
        <v>96</v>
      </c>
      <c r="H1121" s="1274"/>
      <c r="I1121" s="1275"/>
    </row>
    <row r="1122" spans="1:11" x14ac:dyDescent="0.2">
      <c r="A1122" s="248" t="s">
        <v>142</v>
      </c>
      <c r="B1122" s="238">
        <v>2000</v>
      </c>
      <c r="C1122" s="243">
        <v>5</v>
      </c>
      <c r="D1122" s="239" t="s">
        <v>223</v>
      </c>
      <c r="E1122" s="251"/>
      <c r="F1122" s="251"/>
      <c r="G1122" s="244"/>
      <c r="H1122" s="245"/>
      <c r="I1122" s="249">
        <f>TRUNC(C1122/100*I1119,2)</f>
        <v>0.72</v>
      </c>
    </row>
    <row r="1123" spans="1:11" ht="14.25" customHeight="1" x14ac:dyDescent="0.2">
      <c r="A1123" s="199"/>
      <c r="B1123" s="233"/>
      <c r="C1123" s="199"/>
      <c r="D1123" s="199"/>
      <c r="E1123" s="199"/>
      <c r="F1123" s="234" t="s">
        <v>1170</v>
      </c>
      <c r="G1123" s="244"/>
      <c r="H1123" s="245"/>
      <c r="I1123" s="434">
        <f>SUM(I1122)</f>
        <v>0.72</v>
      </c>
      <c r="J1123" s="302"/>
      <c r="K1123" s="302"/>
    </row>
    <row r="1124" spans="1:11" x14ac:dyDescent="0.2">
      <c r="A1124" s="199"/>
      <c r="B1124" s="233"/>
      <c r="C1124" s="199"/>
      <c r="D1124" s="199"/>
      <c r="E1124" s="199"/>
      <c r="F1124" s="199"/>
      <c r="G1124" s="199"/>
      <c r="H1124" s="199"/>
      <c r="I1124" s="200"/>
      <c r="J1124" s="302"/>
      <c r="K1124" s="302"/>
    </row>
    <row r="1125" spans="1:11" x14ac:dyDescent="0.2">
      <c r="A1125" s="252"/>
      <c r="B1125" s="253"/>
      <c r="C1125" s="254"/>
      <c r="D1125" s="254"/>
      <c r="E1125" s="254"/>
      <c r="F1125" s="255" t="s">
        <v>208</v>
      </c>
      <c r="G1125" s="435"/>
      <c r="H1125" s="254"/>
      <c r="I1125" s="634">
        <f>+I1114+I1119+I1123</f>
        <v>15.24</v>
      </c>
      <c r="J1125" s="302"/>
      <c r="K1125" s="302"/>
    </row>
    <row r="1126" spans="1:11" x14ac:dyDescent="0.2">
      <c r="A1126" s="256"/>
      <c r="B1126" s="257"/>
      <c r="C1126" s="258"/>
      <c r="D1126" s="258"/>
      <c r="E1126" s="258"/>
      <c r="F1126" s="259" t="s">
        <v>209</v>
      </c>
      <c r="G1126" s="260"/>
      <c r="H1126" s="258"/>
      <c r="I1126" s="635">
        <v>1</v>
      </c>
      <c r="J1126" s="302"/>
      <c r="K1126" s="302"/>
    </row>
    <row r="1127" spans="1:11" x14ac:dyDescent="0.2">
      <c r="A1127" s="237"/>
      <c r="B1127" s="261"/>
      <c r="C1127" s="245"/>
      <c r="D1127" s="245"/>
      <c r="E1127" s="245"/>
      <c r="F1127" s="262" t="s">
        <v>232</v>
      </c>
      <c r="G1127" s="244"/>
      <c r="H1127" s="245"/>
      <c r="I1127" s="633">
        <f>TRUNC(I1125/I1126,2)</f>
        <v>15.24</v>
      </c>
      <c r="J1127" s="302"/>
      <c r="K1127" s="302"/>
    </row>
    <row r="1128" spans="1:11" x14ac:dyDescent="0.2">
      <c r="A1128" s="867"/>
      <c r="B1128" s="233"/>
      <c r="C1128" s="199"/>
      <c r="D1128" s="199"/>
      <c r="E1128" s="199"/>
      <c r="F1128" s="263"/>
      <c r="G1128" s="199"/>
      <c r="H1128" s="199"/>
      <c r="I1128" s="264"/>
      <c r="J1128" s="302"/>
      <c r="K1128" s="302"/>
    </row>
    <row r="1129" spans="1:11" x14ac:dyDescent="0.2">
      <c r="A1129" s="246" t="s">
        <v>210</v>
      </c>
      <c r="B1129" s="247" t="s">
        <v>60</v>
      </c>
      <c r="C1129" s="247" t="s">
        <v>211</v>
      </c>
      <c r="D1129" s="247" t="s">
        <v>233</v>
      </c>
      <c r="E1129" s="1276" t="s">
        <v>91</v>
      </c>
      <c r="F1129" s="1274"/>
      <c r="G1129" s="1275"/>
      <c r="H1129" s="1276" t="s">
        <v>198</v>
      </c>
      <c r="I1129" s="1275"/>
      <c r="J1129" s="302"/>
      <c r="K1129" s="302"/>
    </row>
    <row r="1130" spans="1:11" x14ac:dyDescent="0.2">
      <c r="A1130" s="265" t="str">
        <f>VLOOKUP(B1130,mat.!$A:$D,2,FALSE)</f>
        <v>Sarrafo 10 X 2,5 cm</v>
      </c>
      <c r="B1130" s="238">
        <v>10067</v>
      </c>
      <c r="C1130" s="266" t="str">
        <f>VLOOKUP(B1130,mat.!$A:$D,3,FALSE)</f>
        <v>M3</v>
      </c>
      <c r="D1130" s="267">
        <f>VLOOKUP(B1130,mat.!$A:$D,4,FALSE)</f>
        <v>1012</v>
      </c>
      <c r="E1130" s="260"/>
      <c r="F1130" s="258"/>
      <c r="G1130" s="300">
        <v>3.0999999999999999E-3</v>
      </c>
      <c r="H1130" s="260"/>
      <c r="I1130" s="268">
        <f>TRUNC(D1130*G1130,2)</f>
        <v>3.13</v>
      </c>
      <c r="J1130" s="302"/>
      <c r="K1130" s="302"/>
    </row>
    <row r="1131" spans="1:11" x14ac:dyDescent="0.2">
      <c r="A1131" s="199"/>
      <c r="B1131" s="233"/>
      <c r="C1131" s="199"/>
      <c r="D1131" s="199"/>
      <c r="E1131" s="199"/>
      <c r="F1131" s="234" t="s">
        <v>212</v>
      </c>
      <c r="G1131" s="244"/>
      <c r="H1131" s="245"/>
      <c r="I1131" s="434">
        <f>SUM(I1130:I1130)</f>
        <v>3.13</v>
      </c>
      <c r="J1131" s="302"/>
      <c r="K1131" s="302"/>
    </row>
    <row r="1132" spans="1:11" x14ac:dyDescent="0.2">
      <c r="A1132" s="199"/>
      <c r="B1132" s="233"/>
      <c r="C1132" s="199"/>
      <c r="D1132" s="199"/>
      <c r="E1132" s="199"/>
      <c r="F1132" s="199"/>
      <c r="G1132" s="269"/>
      <c r="H1132" s="199"/>
      <c r="I1132" s="200"/>
      <c r="J1132" s="302"/>
      <c r="K1132" s="302"/>
    </row>
    <row r="1133" spans="1:11" x14ac:dyDescent="0.2">
      <c r="A1133" s="270" t="s">
        <v>213</v>
      </c>
      <c r="B1133" s="247" t="s">
        <v>60</v>
      </c>
      <c r="C1133" s="247" t="s">
        <v>211</v>
      </c>
      <c r="D1133" s="866" t="s">
        <v>233</v>
      </c>
      <c r="E1133" s="1276" t="s">
        <v>91</v>
      </c>
      <c r="F1133" s="1274"/>
      <c r="G1133" s="1275"/>
      <c r="H1133" s="1276" t="s">
        <v>198</v>
      </c>
      <c r="I1133" s="1275"/>
      <c r="J1133" s="302"/>
      <c r="K1133" s="302"/>
    </row>
    <row r="1134" spans="1:11" x14ac:dyDescent="0.2">
      <c r="A1134" s="248" t="str">
        <f>VLOOKUP(B1134,'DER 10-18'!$A:$E,2,FALSE)</f>
        <v>Caiação de meio fios, sarjetas, etc</v>
      </c>
      <c r="B1134" s="238">
        <v>40658</v>
      </c>
      <c r="C1134" s="238" t="str">
        <f>VLOOKUP(B1134,'DER 10-18'!$A:$E,3,FALSE)</f>
        <v>M2</v>
      </c>
      <c r="D1134" s="454">
        <f>TRUNC(VLOOKUP(B1134,'DER 10-18'!$A:$F,6,FALSE)/(1+$I$4),2)</f>
        <v>4.7</v>
      </c>
      <c r="E1134" s="260"/>
      <c r="F1134" s="258"/>
      <c r="G1134" s="300">
        <v>1.08</v>
      </c>
      <c r="H1134" s="244"/>
      <c r="I1134" s="268">
        <f>TRUNC(D1134*G1134,2)</f>
        <v>5.07</v>
      </c>
      <c r="J1134" s="302"/>
      <c r="K1134" s="302"/>
    </row>
    <row r="1135" spans="1:11" ht="22.5" x14ac:dyDescent="0.2">
      <c r="A1135" s="248" t="str">
        <f>VLOOKUP(B1135,'DER 10-18'!$A:$E,2,FALSE)</f>
        <v>Concreto estrutural fck = 15,0 MPa, tudo incluído</v>
      </c>
      <c r="B1135" s="238">
        <v>40358</v>
      </c>
      <c r="C1135" s="238" t="str">
        <f>VLOOKUP(B1135,'DER 10-18'!$A:$E,3,FALSE)</f>
        <v>M3</v>
      </c>
      <c r="D1135" s="454">
        <f>TRUNC(VLOOKUP(B1135,'DER 10-18'!$A:$F,6,FALSE)/(1+$I$4),2)</f>
        <v>523.20000000000005</v>
      </c>
      <c r="E1135" s="260"/>
      <c r="F1135" s="258"/>
      <c r="G1135" s="300">
        <v>8.5000000000000006E-2</v>
      </c>
      <c r="H1135" s="244"/>
      <c r="I1135" s="268">
        <f>TRUNC(D1135*G1135,2)</f>
        <v>44.47</v>
      </c>
      <c r="J1135" s="302"/>
      <c r="K1135" s="302"/>
    </row>
    <row r="1136" spans="1:11" ht="22.5" x14ac:dyDescent="0.2">
      <c r="A1136" s="248" t="str">
        <f>VLOOKUP(B1136,'DER 10-18'!$A:$E,2,FALSE)</f>
        <v>Escavação manual em mat. 1ª cat. H= 0,00 a 1,50 m</v>
      </c>
      <c r="B1136" s="238">
        <v>40258</v>
      </c>
      <c r="C1136" s="238" t="str">
        <f>VLOOKUP(B1136,'DER 10-18'!$A:$E,3,FALSE)</f>
        <v>M3</v>
      </c>
      <c r="D1136" s="454">
        <f>TRUNC(VLOOKUP(B1136,'DER 10-18'!$A:$F,6,FALSE)/(1+$I$4),2)</f>
        <v>52.61</v>
      </c>
      <c r="E1136" s="260"/>
      <c r="F1136" s="258"/>
      <c r="G1136" s="300">
        <v>0.185</v>
      </c>
      <c r="H1136" s="244"/>
      <c r="I1136" s="268">
        <f>TRUNC(D1136*G1136,2)</f>
        <v>9.73</v>
      </c>
      <c r="J1136" s="302"/>
      <c r="K1136" s="302"/>
    </row>
    <row r="1137" spans="1:13" x14ac:dyDescent="0.2">
      <c r="A1137" s="201"/>
      <c r="B1137" s="271"/>
      <c r="C1137" s="201"/>
      <c r="D1137" s="201"/>
      <c r="E1137" s="201"/>
      <c r="F1137" s="272" t="s">
        <v>214</v>
      </c>
      <c r="G1137" s="260"/>
      <c r="H1137" s="273"/>
      <c r="I1137" s="436">
        <f>SUM(I1134:I1136)</f>
        <v>59.27</v>
      </c>
      <c r="J1137" s="302"/>
      <c r="K1137" s="302"/>
    </row>
    <row r="1138" spans="1:13" x14ac:dyDescent="0.2">
      <c r="A1138" s="201"/>
      <c r="B1138" s="271"/>
      <c r="C1138" s="201"/>
      <c r="D1138" s="201"/>
      <c r="E1138" s="201"/>
      <c r="F1138" s="201"/>
      <c r="G1138" s="201"/>
      <c r="H1138" s="201"/>
      <c r="I1138" s="201"/>
      <c r="J1138" s="302"/>
      <c r="K1138" s="302"/>
    </row>
    <row r="1139" spans="1:13" x14ac:dyDescent="0.2">
      <c r="A1139" s="442" t="s">
        <v>215</v>
      </c>
      <c r="B1139" s="275" t="s">
        <v>60</v>
      </c>
      <c r="C1139" s="275" t="s">
        <v>211</v>
      </c>
      <c r="D1139" s="275" t="s">
        <v>216</v>
      </c>
      <c r="E1139" s="275" t="s">
        <v>217</v>
      </c>
      <c r="F1139" s="275" t="s">
        <v>218</v>
      </c>
      <c r="G1139" s="275" t="s">
        <v>96</v>
      </c>
      <c r="H1139" s="275" t="s">
        <v>91</v>
      </c>
      <c r="I1139" s="275" t="s">
        <v>219</v>
      </c>
    </row>
    <row r="1140" spans="1:13" x14ac:dyDescent="0.2">
      <c r="A1140" s="248"/>
      <c r="B1140" s="238"/>
      <c r="C1140" s="238"/>
      <c r="D1140" s="276"/>
      <c r="E1140" s="277"/>
      <c r="F1140" s="277"/>
      <c r="G1140" s="243"/>
      <c r="H1140" s="278"/>
      <c r="I1140" s="243"/>
      <c r="J1140" s="433" t="s">
        <v>118</v>
      </c>
    </row>
    <row r="1141" spans="1:13" x14ac:dyDescent="0.2">
      <c r="A1141" s="201"/>
      <c r="B1141" s="271"/>
      <c r="C1141" s="201"/>
      <c r="D1141" s="201"/>
      <c r="E1141" s="201"/>
      <c r="F1141" s="272" t="s">
        <v>220</v>
      </c>
      <c r="G1141" s="244"/>
      <c r="H1141" s="279"/>
      <c r="I1141" s="438">
        <f>SUM(I1140:I1140)</f>
        <v>0</v>
      </c>
    </row>
    <row r="1142" spans="1:13" x14ac:dyDescent="0.2">
      <c r="A1142" s="201"/>
      <c r="B1142" s="271"/>
      <c r="C1142" s="201"/>
      <c r="D1142" s="201"/>
      <c r="E1142" s="201"/>
      <c r="F1142" s="201"/>
      <c r="G1142" s="201"/>
      <c r="H1142" s="201"/>
      <c r="I1142" s="202"/>
    </row>
    <row r="1143" spans="1:13" x14ac:dyDescent="0.2">
      <c r="A1143" s="280"/>
      <c r="B1143" s="281"/>
      <c r="C1143" s="282"/>
      <c r="D1143" s="282"/>
      <c r="E1143" s="282"/>
      <c r="F1143" s="283" t="s">
        <v>221</v>
      </c>
      <c r="G1143" s="280"/>
      <c r="H1143" s="254"/>
      <c r="I1143" s="634">
        <f>+I1127+I1131+I1137+I1141</f>
        <v>77.64</v>
      </c>
    </row>
    <row r="1144" spans="1:13" x14ac:dyDescent="0.2">
      <c r="A1144" s="260"/>
      <c r="B1144" s="284"/>
      <c r="C1144" s="273"/>
      <c r="D1144" s="273"/>
      <c r="E1144" s="273"/>
      <c r="F1144" s="285" t="str">
        <f>CONCATENATE($H$3," ",$I$3)</f>
        <v>BDI: 23,32</v>
      </c>
      <c r="G1144" s="439"/>
      <c r="H1144" s="258"/>
      <c r="I1144" s="635">
        <f>+ROUND(I1143*$I$4,2)</f>
        <v>18.11</v>
      </c>
    </row>
    <row r="1145" spans="1:13" x14ac:dyDescent="0.2">
      <c r="A1145" s="244"/>
      <c r="B1145" s="286"/>
      <c r="C1145" s="279"/>
      <c r="D1145" s="279"/>
      <c r="E1145" s="279"/>
      <c r="F1145" s="287" t="s">
        <v>222</v>
      </c>
      <c r="G1145" s="440"/>
      <c r="H1145" s="245"/>
      <c r="I1145" s="1017">
        <f>+I1143+I1144</f>
        <v>95.75</v>
      </c>
    </row>
    <row r="1146" spans="1:13" x14ac:dyDescent="0.2">
      <c r="A1146" s="1277" t="str">
        <f>$A$1</f>
        <v>COMPOSIÇÃO DE CUSTOS UNITÁRIOS</v>
      </c>
      <c r="B1146" s="1277"/>
      <c r="C1146" s="1277"/>
      <c r="D1146" s="1277"/>
      <c r="E1146" s="1277"/>
      <c r="F1146" s="1277"/>
      <c r="G1146" s="1277"/>
      <c r="H1146" s="1277"/>
      <c r="I1146" s="1277"/>
    </row>
    <row r="1147" spans="1:13" x14ac:dyDescent="0.2">
      <c r="A1147" s="232" t="str">
        <f>$A$2</f>
        <v>Tabela Referencial de Preços - DER-ES</v>
      </c>
      <c r="B1147" s="233"/>
      <c r="C1147" s="199"/>
      <c r="D1147" s="199"/>
      <c r="E1147" s="199"/>
      <c r="F1147" s="199"/>
      <c r="G1147" s="199"/>
      <c r="H1147" s="199"/>
      <c r="I1147" s="234" t="str">
        <f>$I$2</f>
        <v>Data Base: Outubro/2018</v>
      </c>
    </row>
    <row r="1148" spans="1:13" x14ac:dyDescent="0.2">
      <c r="A1148" s="1278" t="str">
        <f>+CONCATENATE("Serviço: ",J1148," ",VLOOKUP(J1148,'DER 10-18'!$A:$D,2,FALSE))</f>
        <v>Serviço: 40693 Valeta de proteção de corte VPC-01 (escavação)</v>
      </c>
      <c r="B1148" s="1278"/>
      <c r="C1148" s="1278"/>
      <c r="D1148" s="1278"/>
      <c r="E1148" s="1278"/>
      <c r="F1148" s="1278"/>
      <c r="G1148" s="1278"/>
      <c r="H1148" s="1278"/>
      <c r="I1148" s="1278" t="str">
        <f>CONCATENATE("Unidade: ", VLOOKUP(J1148,'DER 10-18'!$A:$E,3,FALSE))</f>
        <v>Unidade: M</v>
      </c>
      <c r="J1148" s="433">
        <v>40693</v>
      </c>
      <c r="K1148" s="433">
        <f>VLOOKUP("Preço Unitário Total",F1149:I1180,4,FALSE)</f>
        <v>36.450000000000003</v>
      </c>
      <c r="L1148" s="302">
        <f>VLOOKUP(J1148,'DER 10-18'!A:E,5,FALSE)</f>
        <v>0</v>
      </c>
      <c r="M1148" s="302" t="str">
        <f>VLOOKUP(J1148,'DER 10-18'!$A:$D,2,FALSE)</f>
        <v>Valeta de proteção de corte VPC-01 (escavação)</v>
      </c>
    </row>
    <row r="1149" spans="1:13" x14ac:dyDescent="0.2">
      <c r="A1149" s="1279"/>
      <c r="B1149" s="1279"/>
      <c r="C1149" s="1279"/>
      <c r="D1149" s="1279"/>
      <c r="E1149" s="1279"/>
      <c r="F1149" s="1279"/>
      <c r="G1149" s="1279"/>
      <c r="H1149" s="1279"/>
      <c r="I1149" s="1279"/>
    </row>
    <row r="1150" spans="1:13" ht="22.5" x14ac:dyDescent="0.2">
      <c r="A1150" s="235" t="s">
        <v>192</v>
      </c>
      <c r="B1150" s="236" t="s">
        <v>60</v>
      </c>
      <c r="C1150" s="236" t="s">
        <v>193</v>
      </c>
      <c r="D1150" s="236" t="s">
        <v>194</v>
      </c>
      <c r="E1150" s="236" t="s">
        <v>195</v>
      </c>
      <c r="F1150" s="236" t="s">
        <v>196</v>
      </c>
      <c r="G1150" s="236" t="s">
        <v>197</v>
      </c>
      <c r="H1150" s="236" t="s">
        <v>91</v>
      </c>
      <c r="I1150" s="236" t="s">
        <v>198</v>
      </c>
    </row>
    <row r="1151" spans="1:13" x14ac:dyDescent="0.2">
      <c r="A1151" s="237"/>
      <c r="B1151" s="238"/>
      <c r="C1151" s="239"/>
      <c r="D1151" s="240"/>
      <c r="E1151" s="205"/>
      <c r="F1151" s="241"/>
      <c r="G1151" s="241"/>
      <c r="H1151" s="242"/>
      <c r="I1151" s="243"/>
    </row>
    <row r="1152" spans="1:13" x14ac:dyDescent="0.2">
      <c r="A1152" s="199"/>
      <c r="B1152" s="233"/>
      <c r="C1152" s="233"/>
      <c r="D1152" s="199"/>
      <c r="E1152" s="199"/>
      <c r="F1152" s="234" t="s">
        <v>199</v>
      </c>
      <c r="G1152" s="244"/>
      <c r="H1152" s="245"/>
      <c r="I1152" s="434">
        <f>SUM(I1151:I1151)</f>
        <v>0</v>
      </c>
    </row>
    <row r="1153" spans="1:9" x14ac:dyDescent="0.2">
      <c r="A1153" s="199"/>
      <c r="B1153" s="233"/>
      <c r="C1153" s="233"/>
      <c r="D1153" s="199"/>
      <c r="E1153" s="199"/>
      <c r="F1153" s="199"/>
      <c r="G1153" s="199"/>
      <c r="H1153" s="199"/>
      <c r="I1153" s="200"/>
    </row>
    <row r="1154" spans="1:9" x14ac:dyDescent="0.2">
      <c r="A1154" s="246" t="s">
        <v>200</v>
      </c>
      <c r="B1154" s="247" t="s">
        <v>60</v>
      </c>
      <c r="C1154" s="236" t="s">
        <v>1242</v>
      </c>
      <c r="D1154" s="247" t="s">
        <v>202</v>
      </c>
      <c r="E1154" s="1271" t="s">
        <v>91</v>
      </c>
      <c r="F1154" s="1272"/>
      <c r="G1154" s="1273"/>
      <c r="H1154" s="1276" t="s">
        <v>198</v>
      </c>
      <c r="I1154" s="1275"/>
    </row>
    <row r="1155" spans="1:9" x14ac:dyDescent="0.2">
      <c r="A1155" s="248"/>
      <c r="B1155" s="238"/>
      <c r="C1155" s="243"/>
      <c r="D1155" s="243"/>
      <c r="E1155" s="260"/>
      <c r="F1155" s="258"/>
      <c r="G1155" s="300"/>
      <c r="H1155" s="244"/>
      <c r="I1155" s="249"/>
    </row>
    <row r="1156" spans="1:9" x14ac:dyDescent="0.2">
      <c r="A1156" s="199"/>
      <c r="B1156" s="233"/>
      <c r="C1156" s="233"/>
      <c r="D1156" s="199"/>
      <c r="E1156" s="199"/>
      <c r="F1156" s="234" t="s">
        <v>203</v>
      </c>
      <c r="G1156" s="244"/>
      <c r="H1156" s="245"/>
      <c r="I1156" s="434">
        <f>SUM(I1155:I1155)</f>
        <v>0</v>
      </c>
    </row>
    <row r="1157" spans="1:9" x14ac:dyDescent="0.2">
      <c r="A1157" s="199"/>
      <c r="B1157" s="233"/>
      <c r="C1157" s="233"/>
      <c r="D1157" s="199"/>
      <c r="E1157" s="199"/>
      <c r="F1157" s="199"/>
      <c r="G1157" s="199"/>
      <c r="H1157" s="199"/>
      <c r="I1157" s="200"/>
    </row>
    <row r="1158" spans="1:9" x14ac:dyDescent="0.2">
      <c r="A1158" s="250" t="s">
        <v>204</v>
      </c>
      <c r="B1158" s="247" t="s">
        <v>60</v>
      </c>
      <c r="C1158" s="866" t="s">
        <v>17</v>
      </c>
      <c r="D1158" s="247" t="s">
        <v>205</v>
      </c>
      <c r="E1158" s="247" t="s">
        <v>206</v>
      </c>
      <c r="F1158" s="247" t="s">
        <v>207</v>
      </c>
      <c r="G1158" s="1276" t="s">
        <v>96</v>
      </c>
      <c r="H1158" s="1274"/>
      <c r="I1158" s="1275"/>
    </row>
    <row r="1159" spans="1:9" x14ac:dyDescent="0.2">
      <c r="A1159" s="248"/>
      <c r="B1159" s="238"/>
      <c r="C1159" s="243"/>
      <c r="D1159" s="239"/>
      <c r="E1159" s="251"/>
      <c r="F1159" s="251"/>
      <c r="G1159" s="244"/>
      <c r="H1159" s="245"/>
      <c r="I1159" s="249">
        <f>TRUNC(C1159/100*I1156,2)</f>
        <v>0</v>
      </c>
    </row>
    <row r="1160" spans="1:9" x14ac:dyDescent="0.2">
      <c r="A1160" s="199"/>
      <c r="B1160" s="233"/>
      <c r="C1160" s="199"/>
      <c r="D1160" s="199"/>
      <c r="E1160" s="199"/>
      <c r="F1160" s="234" t="s">
        <v>1170</v>
      </c>
      <c r="G1160" s="244"/>
      <c r="H1160" s="245"/>
      <c r="I1160" s="434">
        <f>SUM(I1159)</f>
        <v>0</v>
      </c>
    </row>
    <row r="1161" spans="1:9" ht="21" customHeight="1" x14ac:dyDescent="0.2">
      <c r="A1161" s="199"/>
      <c r="B1161" s="233"/>
      <c r="C1161" s="199"/>
      <c r="D1161" s="199"/>
      <c r="E1161" s="199"/>
      <c r="F1161" s="199"/>
      <c r="G1161" s="199"/>
      <c r="H1161" s="199"/>
      <c r="I1161" s="200"/>
    </row>
    <row r="1162" spans="1:9" x14ac:dyDescent="0.2">
      <c r="A1162" s="252"/>
      <c r="B1162" s="253"/>
      <c r="C1162" s="254"/>
      <c r="D1162" s="254"/>
      <c r="E1162" s="254"/>
      <c r="F1162" s="255" t="s">
        <v>208</v>
      </c>
      <c r="G1162" s="435"/>
      <c r="H1162" s="254"/>
      <c r="I1162" s="634">
        <f>+I1152+I1156+I1160</f>
        <v>0</v>
      </c>
    </row>
    <row r="1163" spans="1:9" x14ac:dyDescent="0.2">
      <c r="A1163" s="256"/>
      <c r="B1163" s="257"/>
      <c r="C1163" s="258"/>
      <c r="D1163" s="258"/>
      <c r="E1163" s="258"/>
      <c r="F1163" s="259" t="s">
        <v>209</v>
      </c>
      <c r="G1163" s="260"/>
      <c r="H1163" s="258"/>
      <c r="I1163" s="635">
        <v>1</v>
      </c>
    </row>
    <row r="1164" spans="1:9" x14ac:dyDescent="0.2">
      <c r="A1164" s="237"/>
      <c r="B1164" s="261"/>
      <c r="C1164" s="245"/>
      <c r="D1164" s="245"/>
      <c r="E1164" s="245"/>
      <c r="F1164" s="262" t="s">
        <v>232</v>
      </c>
      <c r="G1164" s="244"/>
      <c r="H1164" s="245"/>
      <c r="I1164" s="633">
        <f>TRUNC(I1162/I1163,2)</f>
        <v>0</v>
      </c>
    </row>
    <row r="1165" spans="1:9" ht="26.25" customHeight="1" x14ac:dyDescent="0.2">
      <c r="A1165" s="867"/>
      <c r="B1165" s="233"/>
      <c r="C1165" s="199"/>
      <c r="D1165" s="199"/>
      <c r="E1165" s="199"/>
      <c r="F1165" s="263"/>
      <c r="G1165" s="199"/>
      <c r="H1165" s="199"/>
      <c r="I1165" s="264"/>
    </row>
    <row r="1166" spans="1:9" x14ac:dyDescent="0.2">
      <c r="A1166" s="246" t="s">
        <v>210</v>
      </c>
      <c r="B1166" s="247" t="s">
        <v>60</v>
      </c>
      <c r="C1166" s="247" t="s">
        <v>211</v>
      </c>
      <c r="D1166" s="247" t="s">
        <v>233</v>
      </c>
      <c r="E1166" s="1276" t="s">
        <v>91</v>
      </c>
      <c r="F1166" s="1274"/>
      <c r="G1166" s="1275"/>
      <c r="H1166" s="1276" t="s">
        <v>198</v>
      </c>
      <c r="I1166" s="1275"/>
    </row>
    <row r="1167" spans="1:9" x14ac:dyDescent="0.2">
      <c r="A1167" s="265"/>
      <c r="B1167" s="238"/>
      <c r="C1167" s="266"/>
      <c r="D1167" s="267"/>
      <c r="E1167" s="260"/>
      <c r="F1167" s="258"/>
      <c r="G1167" s="300"/>
      <c r="H1167" s="260"/>
      <c r="I1167" s="268"/>
    </row>
    <row r="1168" spans="1:9" x14ac:dyDescent="0.2">
      <c r="A1168" s="199"/>
      <c r="B1168" s="233"/>
      <c r="C1168" s="199"/>
      <c r="D1168" s="199"/>
      <c r="E1168" s="199"/>
      <c r="F1168" s="234" t="s">
        <v>212</v>
      </c>
      <c r="G1168" s="244"/>
      <c r="H1168" s="245"/>
      <c r="I1168" s="434">
        <f>SUM(I1167:I1167)</f>
        <v>0</v>
      </c>
    </row>
    <row r="1169" spans="1:17" x14ac:dyDescent="0.2">
      <c r="A1169" s="199"/>
      <c r="B1169" s="233"/>
      <c r="C1169" s="199"/>
      <c r="D1169" s="199"/>
      <c r="E1169" s="199"/>
      <c r="F1169" s="199"/>
      <c r="G1169" s="269"/>
      <c r="H1169" s="199"/>
      <c r="I1169" s="200"/>
    </row>
    <row r="1170" spans="1:17" x14ac:dyDescent="0.2">
      <c r="A1170" s="270" t="s">
        <v>213</v>
      </c>
      <c r="B1170" s="247" t="s">
        <v>60</v>
      </c>
      <c r="C1170" s="247" t="s">
        <v>211</v>
      </c>
      <c r="D1170" s="866" t="s">
        <v>233</v>
      </c>
      <c r="E1170" s="1271" t="s">
        <v>91</v>
      </c>
      <c r="F1170" s="1272"/>
      <c r="G1170" s="1273"/>
      <c r="H1170" s="1274" t="s">
        <v>198</v>
      </c>
      <c r="I1170" s="1275"/>
    </row>
    <row r="1171" spans="1:17" ht="22.5" x14ac:dyDescent="0.2">
      <c r="A1171" s="248" t="str">
        <f>VLOOKUP(B1171,'DER 10-18'!$A:$E,2,FALSE)</f>
        <v>Escavação manual em mat. 1ª cat. H= 0,00 a 1,50 m</v>
      </c>
      <c r="B1171" s="238">
        <v>40258</v>
      </c>
      <c r="C1171" s="238" t="str">
        <f>VLOOKUP(B1171,'DER 10-18'!$A:$E,3,FALSE)</f>
        <v>M3</v>
      </c>
      <c r="D1171" s="454">
        <f>TRUNC(VLOOKUP(B1171,'DER 10-18'!$A:$F,6,FALSE)/(1+$I$4),2)</f>
        <v>52.61</v>
      </c>
      <c r="E1171" s="260"/>
      <c r="F1171" s="258"/>
      <c r="G1171" s="300">
        <v>0.56200000000000006</v>
      </c>
      <c r="H1171" s="244"/>
      <c r="I1171" s="268">
        <f>TRUNC(D1171*G1171,2)</f>
        <v>29.56</v>
      </c>
    </row>
    <row r="1172" spans="1:17" x14ac:dyDescent="0.2">
      <c r="A1172" s="201"/>
      <c r="B1172" s="271"/>
      <c r="C1172" s="201"/>
      <c r="D1172" s="201"/>
      <c r="E1172" s="201"/>
      <c r="F1172" s="272" t="s">
        <v>214</v>
      </c>
      <c r="G1172" s="260"/>
      <c r="H1172" s="273"/>
      <c r="I1172" s="436">
        <f>SUM(I1171:I1171)</f>
        <v>29.56</v>
      </c>
    </row>
    <row r="1173" spans="1:17" x14ac:dyDescent="0.2">
      <c r="A1173" s="201"/>
      <c r="B1173" s="271"/>
      <c r="C1173" s="201"/>
      <c r="D1173" s="201"/>
      <c r="E1173" s="201"/>
      <c r="F1173" s="201"/>
      <c r="G1173" s="201"/>
      <c r="H1173" s="201"/>
      <c r="I1173" s="201"/>
    </row>
    <row r="1174" spans="1:17" x14ac:dyDescent="0.2">
      <c r="A1174" s="274" t="s">
        <v>215</v>
      </c>
      <c r="B1174" s="275" t="s">
        <v>60</v>
      </c>
      <c r="C1174" s="275" t="s">
        <v>211</v>
      </c>
      <c r="D1174" s="275" t="s">
        <v>216</v>
      </c>
      <c r="E1174" s="275" t="s">
        <v>217</v>
      </c>
      <c r="F1174" s="275" t="s">
        <v>218</v>
      </c>
      <c r="G1174" s="275" t="s">
        <v>96</v>
      </c>
      <c r="H1174" s="275" t="s">
        <v>91</v>
      </c>
      <c r="I1174" s="275" t="s">
        <v>219</v>
      </c>
    </row>
    <row r="1175" spans="1:17" x14ac:dyDescent="0.2">
      <c r="A1175" s="248"/>
      <c r="B1175" s="238"/>
      <c r="C1175" s="238"/>
      <c r="D1175" s="437"/>
      <c r="E1175" s="277"/>
      <c r="F1175" s="277"/>
      <c r="G1175" s="243"/>
      <c r="H1175" s="278"/>
      <c r="I1175" s="243"/>
      <c r="J1175" s="433" t="s">
        <v>115</v>
      </c>
    </row>
    <row r="1176" spans="1:17" x14ac:dyDescent="0.2">
      <c r="A1176" s="201"/>
      <c r="B1176" s="271"/>
      <c r="C1176" s="201"/>
      <c r="D1176" s="201"/>
      <c r="E1176" s="201"/>
      <c r="F1176" s="272" t="s">
        <v>220</v>
      </c>
      <c r="G1176" s="244"/>
      <c r="H1176" s="279"/>
      <c r="I1176" s="438">
        <f>SUM(I1175:I1175)</f>
        <v>0</v>
      </c>
    </row>
    <row r="1177" spans="1:17" x14ac:dyDescent="0.2">
      <c r="A1177" s="201"/>
      <c r="B1177" s="271"/>
      <c r="C1177" s="201"/>
      <c r="D1177" s="201"/>
      <c r="E1177" s="201"/>
      <c r="F1177" s="201"/>
      <c r="G1177" s="201"/>
      <c r="H1177" s="201"/>
      <c r="I1177" s="202"/>
    </row>
    <row r="1178" spans="1:17" x14ac:dyDescent="0.2">
      <c r="A1178" s="280"/>
      <c r="B1178" s="281"/>
      <c r="C1178" s="282"/>
      <c r="D1178" s="282"/>
      <c r="E1178" s="282"/>
      <c r="F1178" s="283" t="s">
        <v>221</v>
      </c>
      <c r="G1178" s="280"/>
      <c r="H1178" s="254"/>
      <c r="I1178" s="634">
        <f>+I1164+I1168+I1172+I1176</f>
        <v>29.56</v>
      </c>
    </row>
    <row r="1179" spans="1:17" s="198" customFormat="1" x14ac:dyDescent="0.2">
      <c r="A1179" s="260"/>
      <c r="B1179" s="284"/>
      <c r="C1179" s="273"/>
      <c r="D1179" s="273"/>
      <c r="E1179" s="273"/>
      <c r="F1179" s="285" t="str">
        <f>CONCATENATE($H$3," ",$I$3)</f>
        <v>BDI: 23,32</v>
      </c>
      <c r="G1179" s="439"/>
      <c r="H1179" s="258"/>
      <c r="I1179" s="635">
        <f>+ROUND(I1178*$I$4,2)</f>
        <v>6.89</v>
      </c>
      <c r="J1179" s="433"/>
      <c r="K1179" s="433"/>
      <c r="L1179" s="302"/>
      <c r="M1179" s="302"/>
      <c r="N1179" s="302"/>
      <c r="O1179" s="302"/>
      <c r="P1179" s="302"/>
      <c r="Q1179" s="302"/>
    </row>
    <row r="1180" spans="1:17" s="198" customFormat="1" x14ac:dyDescent="0.2">
      <c r="A1180" s="244"/>
      <c r="B1180" s="286"/>
      <c r="C1180" s="279"/>
      <c r="D1180" s="279"/>
      <c r="E1180" s="279"/>
      <c r="F1180" s="287" t="s">
        <v>222</v>
      </c>
      <c r="G1180" s="440"/>
      <c r="H1180" s="245"/>
      <c r="I1180" s="1017">
        <f>+I1178+I1179</f>
        <v>36.450000000000003</v>
      </c>
      <c r="J1180" s="433"/>
      <c r="K1180" s="433"/>
      <c r="L1180" s="302"/>
      <c r="M1180" s="302"/>
      <c r="N1180" s="302"/>
      <c r="O1180" s="302"/>
      <c r="P1180" s="302"/>
      <c r="Q1180" s="302"/>
    </row>
    <row r="1181" spans="1:17" s="198" customFormat="1" x14ac:dyDescent="0.2">
      <c r="A1181" s="1277" t="str">
        <f>$A$1</f>
        <v>COMPOSIÇÃO DE CUSTOS UNITÁRIOS</v>
      </c>
      <c r="B1181" s="1277"/>
      <c r="C1181" s="1277"/>
      <c r="D1181" s="1277"/>
      <c r="E1181" s="1277"/>
      <c r="F1181" s="1277"/>
      <c r="G1181" s="1277"/>
      <c r="H1181" s="1277"/>
      <c r="I1181" s="1277"/>
      <c r="J1181" s="433"/>
      <c r="K1181" s="433"/>
      <c r="L1181" s="302"/>
      <c r="M1181" s="302"/>
      <c r="N1181" s="302"/>
      <c r="O1181" s="302"/>
      <c r="P1181" s="302"/>
      <c r="Q1181" s="302"/>
    </row>
    <row r="1182" spans="1:17" s="198" customFormat="1" x14ac:dyDescent="0.2">
      <c r="A1182" s="232" t="str">
        <f>$A$2</f>
        <v>Tabela Referencial de Preços - DER-ES</v>
      </c>
      <c r="B1182" s="233"/>
      <c r="C1182" s="199"/>
      <c r="D1182" s="199"/>
      <c r="E1182" s="199"/>
      <c r="F1182" s="199"/>
      <c r="G1182" s="199"/>
      <c r="H1182" s="199"/>
      <c r="I1182" s="234" t="str">
        <f>$I$2</f>
        <v>Data Base: Outubro/2018</v>
      </c>
      <c r="J1182" s="433"/>
      <c r="K1182" s="433"/>
      <c r="L1182" s="302"/>
      <c r="M1182" s="302"/>
      <c r="N1182" s="302"/>
      <c r="O1182" s="302"/>
      <c r="P1182" s="302"/>
      <c r="Q1182" s="302"/>
    </row>
    <row r="1183" spans="1:17" s="198" customFormat="1" x14ac:dyDescent="0.2">
      <c r="A1183" s="1278" t="str">
        <f>+CONCATENATE("Serviço: ",J1183," ",VLOOKUP(J1183,'DER 10-18'!$A:$D,2,FALSE))</f>
        <v>Serviço: 40547 Caixa de concreto para BSTC diâmetro 0,80 m H=2,50 m</v>
      </c>
      <c r="B1183" s="1278"/>
      <c r="C1183" s="1278"/>
      <c r="D1183" s="1278"/>
      <c r="E1183" s="1278"/>
      <c r="F1183" s="1278"/>
      <c r="G1183" s="1278"/>
      <c r="H1183" s="1278"/>
      <c r="I1183" s="1278" t="str">
        <f>CONCATENATE("Unidade: ", VLOOKUP(J1183,'DER 10-18'!$A:$E,3,FALSE))</f>
        <v>Unidade: Ud</v>
      </c>
      <c r="J1183" s="433">
        <v>40547</v>
      </c>
      <c r="K1183" s="433">
        <f>VLOOKUP("Preço Unitário Total",F1184:I4251,4,FALSE)</f>
        <v>4370.3900000000003</v>
      </c>
      <c r="L1183" s="302" t="str">
        <f>VLOOKUP(J1183,'DER 10-18'!A:E,5,FALSE)</f>
        <v>A incluir</v>
      </c>
      <c r="M1183" s="302" t="str">
        <f>VLOOKUP(J1183,'DER 10-18'!$A:$D,2,FALSE)</f>
        <v>Caixa de concreto para BSTC diâmetro 0,80 m H=2,50 m</v>
      </c>
      <c r="N1183" s="302"/>
      <c r="O1183" s="302"/>
      <c r="P1183" s="302"/>
      <c r="Q1183" s="302"/>
    </row>
    <row r="1184" spans="1:17" x14ac:dyDescent="0.2">
      <c r="A1184" s="1279"/>
      <c r="B1184" s="1279"/>
      <c r="C1184" s="1279"/>
      <c r="D1184" s="1279"/>
      <c r="E1184" s="1279"/>
      <c r="F1184" s="1279"/>
      <c r="G1184" s="1279"/>
      <c r="H1184" s="1279"/>
      <c r="I1184" s="1279"/>
    </row>
    <row r="1185" spans="1:9" ht="22.5" x14ac:dyDescent="0.2">
      <c r="A1185" s="235" t="s">
        <v>192</v>
      </c>
      <c r="B1185" s="236" t="s">
        <v>60</v>
      </c>
      <c r="C1185" s="236" t="s">
        <v>193</v>
      </c>
      <c r="D1185" s="236" t="s">
        <v>194</v>
      </c>
      <c r="E1185" s="236" t="s">
        <v>195</v>
      </c>
      <c r="F1185" s="236" t="s">
        <v>196</v>
      </c>
      <c r="G1185" s="236" t="s">
        <v>197</v>
      </c>
      <c r="H1185" s="236" t="s">
        <v>91</v>
      </c>
      <c r="I1185" s="236" t="s">
        <v>198</v>
      </c>
    </row>
    <row r="1186" spans="1:9" x14ac:dyDescent="0.2">
      <c r="A1186" s="237"/>
      <c r="B1186" s="238"/>
      <c r="C1186" s="239"/>
      <c r="D1186" s="240"/>
      <c r="E1186" s="205"/>
      <c r="F1186" s="241"/>
      <c r="G1186" s="241"/>
      <c r="H1186" s="242"/>
      <c r="I1186" s="243"/>
    </row>
    <row r="1187" spans="1:9" x14ac:dyDescent="0.2">
      <c r="A1187" s="199"/>
      <c r="B1187" s="233"/>
      <c r="C1187" s="233"/>
      <c r="D1187" s="199"/>
      <c r="E1187" s="199"/>
      <c r="F1187" s="234" t="s">
        <v>199</v>
      </c>
      <c r="G1187" s="244"/>
      <c r="H1187" s="245"/>
      <c r="I1187" s="434">
        <f>SUM(I1186:I1186)</f>
        <v>0</v>
      </c>
    </row>
    <row r="1188" spans="1:9" x14ac:dyDescent="0.2">
      <c r="A1188" s="199"/>
      <c r="B1188" s="233"/>
      <c r="C1188" s="233"/>
      <c r="D1188" s="199"/>
      <c r="E1188" s="199"/>
      <c r="F1188" s="199"/>
      <c r="G1188" s="199"/>
      <c r="H1188" s="199"/>
      <c r="I1188" s="200"/>
    </row>
    <row r="1189" spans="1:9" x14ac:dyDescent="0.2">
      <c r="A1189" s="246" t="s">
        <v>200</v>
      </c>
      <c r="B1189" s="247" t="s">
        <v>60</v>
      </c>
      <c r="C1189" s="236" t="s">
        <v>1242</v>
      </c>
      <c r="D1189" s="247" t="s">
        <v>202</v>
      </c>
      <c r="E1189" s="1271" t="s">
        <v>91</v>
      </c>
      <c r="F1189" s="1272"/>
      <c r="G1189" s="1273"/>
      <c r="H1189" s="1276" t="s">
        <v>198</v>
      </c>
      <c r="I1189" s="1275"/>
    </row>
    <row r="1190" spans="1:9" x14ac:dyDescent="0.2">
      <c r="A1190" s="248" t="str">
        <f>VLOOKUP(B1190,m.o.!$A:$H,2,FALSE)</f>
        <v>Encarregado de O.A.C.</v>
      </c>
      <c r="B1190" s="238">
        <v>20060</v>
      </c>
      <c r="C1190" s="243">
        <f>VLOOKUP(B1190,m.o.!$A:$F,4,FALSE)</f>
        <v>2.2599999999999998</v>
      </c>
      <c r="D1190" s="243">
        <f>VLOOKUP(B1190,m.o.!$A:$G,7,FALSE)</f>
        <v>26.3</v>
      </c>
      <c r="E1190" s="260"/>
      <c r="F1190" s="258"/>
      <c r="G1190" s="300">
        <v>0.2</v>
      </c>
      <c r="H1190" s="244"/>
      <c r="I1190" s="249">
        <f>TRUNC(D1190*G1190,2)</f>
        <v>5.26</v>
      </c>
    </row>
    <row r="1191" spans="1:9" x14ac:dyDescent="0.2">
      <c r="A1191" s="265" t="str">
        <f>VLOOKUP(B1191,m.o.!$A:$H,2,FALSE)</f>
        <v>Servente</v>
      </c>
      <c r="B1191" s="238">
        <v>20002</v>
      </c>
      <c r="C1191" s="267">
        <f>VLOOKUP(B1191,m.o.!$A:$F,4,FALSE)</f>
        <v>1</v>
      </c>
      <c r="D1191" s="267">
        <f>VLOOKUP(B1191,m.o.!$A:$G,7,FALSE)</f>
        <v>11.64</v>
      </c>
      <c r="E1191" s="260"/>
      <c r="F1191" s="258"/>
      <c r="G1191" s="441">
        <v>2</v>
      </c>
      <c r="H1191" s="260"/>
      <c r="I1191" s="268">
        <f>TRUNC(D1191*G1191,2)</f>
        <v>23.28</v>
      </c>
    </row>
    <row r="1192" spans="1:9" x14ac:dyDescent="0.2">
      <c r="A1192" s="199"/>
      <c r="B1192" s="233"/>
      <c r="C1192" s="233"/>
      <c r="D1192" s="199"/>
      <c r="E1192" s="199"/>
      <c r="F1192" s="234" t="s">
        <v>203</v>
      </c>
      <c r="G1192" s="244"/>
      <c r="H1192" s="245"/>
      <c r="I1192" s="434">
        <f>SUM(I1190:I1191)</f>
        <v>28.54</v>
      </c>
    </row>
    <row r="1193" spans="1:9" x14ac:dyDescent="0.2">
      <c r="A1193" s="199"/>
      <c r="B1193" s="233"/>
      <c r="C1193" s="233"/>
      <c r="D1193" s="199"/>
      <c r="E1193" s="199"/>
      <c r="F1193" s="199"/>
      <c r="G1193" s="199"/>
      <c r="H1193" s="199"/>
      <c r="I1193" s="200"/>
    </row>
    <row r="1194" spans="1:9" x14ac:dyDescent="0.2">
      <c r="A1194" s="250" t="s">
        <v>204</v>
      </c>
      <c r="B1194" s="247" t="s">
        <v>60</v>
      </c>
      <c r="C1194" s="866" t="s">
        <v>17</v>
      </c>
      <c r="D1194" s="247" t="s">
        <v>205</v>
      </c>
      <c r="E1194" s="247" t="s">
        <v>206</v>
      </c>
      <c r="F1194" s="247" t="s">
        <v>207</v>
      </c>
      <c r="G1194" s="1276" t="s">
        <v>96</v>
      </c>
      <c r="H1194" s="1274"/>
      <c r="I1194" s="1275"/>
    </row>
    <row r="1195" spans="1:9" x14ac:dyDescent="0.2">
      <c r="A1195" s="248" t="s">
        <v>142</v>
      </c>
      <c r="B1195" s="238">
        <v>2000</v>
      </c>
      <c r="C1195" s="243">
        <v>5</v>
      </c>
      <c r="D1195" s="239" t="s">
        <v>223</v>
      </c>
      <c r="E1195" s="251"/>
      <c r="F1195" s="251"/>
      <c r="G1195" s="244"/>
      <c r="H1195" s="245"/>
      <c r="I1195" s="249">
        <f>TRUNC(C1195/100*I1192,2)</f>
        <v>1.42</v>
      </c>
    </row>
    <row r="1196" spans="1:9" x14ac:dyDescent="0.2">
      <c r="A1196" s="199"/>
      <c r="B1196" s="233"/>
      <c r="C1196" s="199"/>
      <c r="D1196" s="199"/>
      <c r="E1196" s="199"/>
      <c r="F1196" s="234" t="s">
        <v>1170</v>
      </c>
      <c r="G1196" s="244"/>
      <c r="H1196" s="245"/>
      <c r="I1196" s="434">
        <f>SUM(I1195)</f>
        <v>1.42</v>
      </c>
    </row>
    <row r="1197" spans="1:9" x14ac:dyDescent="0.2">
      <c r="A1197" s="199"/>
      <c r="B1197" s="233"/>
      <c r="C1197" s="199"/>
      <c r="D1197" s="199"/>
      <c r="E1197" s="199"/>
      <c r="F1197" s="199"/>
      <c r="G1197" s="199"/>
      <c r="H1197" s="199"/>
      <c r="I1197" s="200"/>
    </row>
    <row r="1198" spans="1:9" x14ac:dyDescent="0.2">
      <c r="A1198" s="252"/>
      <c r="B1198" s="253"/>
      <c r="C1198" s="254"/>
      <c r="D1198" s="254"/>
      <c r="E1198" s="254"/>
      <c r="F1198" s="255" t="s">
        <v>208</v>
      </c>
      <c r="G1198" s="435"/>
      <c r="H1198" s="254"/>
      <c r="I1198" s="634">
        <f>+I1187+I1192+I1196</f>
        <v>29.96</v>
      </c>
    </row>
    <row r="1199" spans="1:9" x14ac:dyDescent="0.2">
      <c r="A1199" s="256"/>
      <c r="B1199" s="257"/>
      <c r="C1199" s="258"/>
      <c r="D1199" s="258"/>
      <c r="E1199" s="258"/>
      <c r="F1199" s="259" t="s">
        <v>209</v>
      </c>
      <c r="G1199" s="260"/>
      <c r="H1199" s="258"/>
      <c r="I1199" s="635">
        <v>1</v>
      </c>
    </row>
    <row r="1200" spans="1:9" x14ac:dyDescent="0.2">
      <c r="A1200" s="237"/>
      <c r="B1200" s="261"/>
      <c r="C1200" s="245"/>
      <c r="D1200" s="245"/>
      <c r="E1200" s="245"/>
      <c r="F1200" s="262" t="s">
        <v>232</v>
      </c>
      <c r="G1200" s="244"/>
      <c r="H1200" s="245"/>
      <c r="I1200" s="633">
        <f>TRUNC(I1198/I1199,2)</f>
        <v>29.96</v>
      </c>
    </row>
    <row r="1201" spans="1:17" x14ac:dyDescent="0.2">
      <c r="A1201" s="867"/>
      <c r="B1201" s="233"/>
      <c r="C1201" s="199"/>
      <c r="D1201" s="199"/>
      <c r="E1201" s="199"/>
      <c r="F1201" s="263"/>
      <c r="G1201" s="199"/>
      <c r="H1201" s="199"/>
      <c r="I1201" s="264"/>
    </row>
    <row r="1202" spans="1:17" x14ac:dyDescent="0.2">
      <c r="A1202" s="246" t="s">
        <v>210</v>
      </c>
      <c r="B1202" s="247" t="s">
        <v>60</v>
      </c>
      <c r="C1202" s="247" t="s">
        <v>211</v>
      </c>
      <c r="D1202" s="247" t="s">
        <v>233</v>
      </c>
      <c r="E1202" s="1276" t="s">
        <v>91</v>
      </c>
      <c r="F1202" s="1274"/>
      <c r="G1202" s="1275"/>
      <c r="H1202" s="1276" t="s">
        <v>198</v>
      </c>
      <c r="I1202" s="1275"/>
    </row>
    <row r="1203" spans="1:17" x14ac:dyDescent="0.2">
      <c r="A1203" s="265"/>
      <c r="B1203" s="238"/>
      <c r="C1203" s="266"/>
      <c r="D1203" s="267"/>
      <c r="E1203" s="260"/>
      <c r="F1203" s="258"/>
      <c r="G1203" s="300"/>
      <c r="H1203" s="260"/>
      <c r="I1203" s="268"/>
    </row>
    <row r="1204" spans="1:17" x14ac:dyDescent="0.2">
      <c r="A1204" s="199"/>
      <c r="B1204" s="233"/>
      <c r="C1204" s="199"/>
      <c r="D1204" s="199"/>
      <c r="E1204" s="199"/>
      <c r="F1204" s="234" t="s">
        <v>212</v>
      </c>
      <c r="G1204" s="244"/>
      <c r="H1204" s="245"/>
      <c r="I1204" s="434">
        <f>SUM(I1203:I1203)</f>
        <v>0</v>
      </c>
    </row>
    <row r="1205" spans="1:17" x14ac:dyDescent="0.2">
      <c r="A1205" s="199"/>
      <c r="B1205" s="233"/>
      <c r="C1205" s="199"/>
      <c r="D1205" s="199"/>
      <c r="E1205" s="199"/>
      <c r="F1205" s="199"/>
      <c r="G1205" s="269"/>
      <c r="H1205" s="199"/>
      <c r="I1205" s="200"/>
    </row>
    <row r="1206" spans="1:17" x14ac:dyDescent="0.2">
      <c r="A1206" s="270" t="s">
        <v>213</v>
      </c>
      <c r="B1206" s="247" t="s">
        <v>60</v>
      </c>
      <c r="C1206" s="247" t="s">
        <v>211</v>
      </c>
      <c r="D1206" s="866" t="s">
        <v>233</v>
      </c>
      <c r="E1206" s="1271" t="s">
        <v>91</v>
      </c>
      <c r="F1206" s="1272"/>
      <c r="G1206" s="1273"/>
      <c r="H1206" s="1274" t="s">
        <v>198</v>
      </c>
      <c r="I1206" s="1275"/>
    </row>
    <row r="1207" spans="1:17" x14ac:dyDescent="0.2">
      <c r="A1207" s="248" t="str">
        <f>VLOOKUP(B1207,'DER 10-18'!$A:$E,2,FALSE)</f>
        <v>Apiloamento manual</v>
      </c>
      <c r="B1207" s="238">
        <v>40300</v>
      </c>
      <c r="C1207" s="238" t="str">
        <f>VLOOKUP(B1207,'DER 10-18'!$A:$E,3,FALSE)</f>
        <v>M3</v>
      </c>
      <c r="D1207" s="454">
        <f>TRUNC(VLOOKUP(B1207,'DER 10-18'!$A:$F,6,FALSE)/(1+$I$4),2)</f>
        <v>42.91</v>
      </c>
      <c r="E1207" s="260"/>
      <c r="F1207" s="258"/>
      <c r="G1207" s="300">
        <v>6</v>
      </c>
      <c r="H1207" s="244"/>
      <c r="I1207" s="268">
        <f>TRUNC(D1207*G1207,2)</f>
        <v>257.45999999999998</v>
      </c>
    </row>
    <row r="1208" spans="1:17" ht="33.75" x14ac:dyDescent="0.2">
      <c r="A1208" s="452" t="str">
        <f>VLOOKUP(B1208,'DER 10-18'!$A:$E,2,FALSE)</f>
        <v>Concreto ciclópico com 70% concreto 15,0 MPa e 30% de pedra de mão, tudo incluído</v>
      </c>
      <c r="B1208" s="453">
        <v>40351</v>
      </c>
      <c r="C1208" s="453" t="str">
        <f>VLOOKUP(B1208,'DER 10-18'!$A:$E,3,FALSE)</f>
        <v>M3</v>
      </c>
      <c r="D1208" s="454">
        <f>TRUNC(VLOOKUP(B1208,'DER 10-18'!$A:$F,6,FALSE)/(1+$I$4),2)</f>
        <v>405.01</v>
      </c>
      <c r="E1208" s="455"/>
      <c r="F1208" s="456"/>
      <c r="G1208" s="457">
        <v>2.71</v>
      </c>
      <c r="H1208" s="458"/>
      <c r="I1208" s="459">
        <f>TRUNC(D1208*G1208,2)</f>
        <v>1097.57</v>
      </c>
      <c r="J1208" s="451"/>
      <c r="K1208" s="451"/>
      <c r="L1208" s="198"/>
      <c r="M1208" s="198"/>
      <c r="N1208" s="198"/>
      <c r="O1208" s="198"/>
      <c r="P1208" s="198"/>
      <c r="Q1208" s="198"/>
    </row>
    <row r="1209" spans="1:17" ht="22.5" x14ac:dyDescent="0.2">
      <c r="A1209" s="248" t="str">
        <f>VLOOKUP(B1209,'DER 10-18'!$A:$E,2,FALSE)</f>
        <v>Escavação manual em mat. 1ª cat. H= 0,00 a 1,50 m</v>
      </c>
      <c r="B1209" s="238">
        <v>40258</v>
      </c>
      <c r="C1209" s="238" t="str">
        <f>VLOOKUP(B1209,'DER 10-18'!$A:$E,3,FALSE)</f>
        <v>M3</v>
      </c>
      <c r="D1209" s="454">
        <f>TRUNC(VLOOKUP(B1209,'DER 10-18'!$A:$F,6,FALSE)/(1+$I$4),2)</f>
        <v>52.61</v>
      </c>
      <c r="E1209" s="260"/>
      <c r="F1209" s="258"/>
      <c r="G1209" s="300">
        <v>0.14399999999999999</v>
      </c>
      <c r="H1209" s="244"/>
      <c r="I1209" s="268">
        <f>TRUNC(D1209*G1209,2)</f>
        <v>7.57</v>
      </c>
    </row>
    <row r="1210" spans="1:17" ht="22.5" x14ac:dyDescent="0.2">
      <c r="A1210" s="248" t="str">
        <f>VLOOKUP(B1210,'DER 10-18'!$A:$E,2,FALSE)</f>
        <v>Escavação mecânica em material de 1ª cat. H= 1,50 a 3,00 m</v>
      </c>
      <c r="B1210" s="238">
        <v>40283</v>
      </c>
      <c r="C1210" s="238" t="str">
        <f>VLOOKUP(B1210,'DER 10-18'!$A:$E,3,FALSE)</f>
        <v>M3</v>
      </c>
      <c r="D1210" s="454">
        <f>TRUNC(VLOOKUP(B1210,'DER 10-18'!$A:$F,6,FALSE)/(1+$I$4),2)</f>
        <v>10.92</v>
      </c>
      <c r="E1210" s="260"/>
      <c r="F1210" s="258"/>
      <c r="G1210" s="300">
        <v>19.899999999999999</v>
      </c>
      <c r="H1210" s="244"/>
      <c r="I1210" s="268">
        <f>TRUNC(D1210*G1210,2)</f>
        <v>217.3</v>
      </c>
    </row>
    <row r="1211" spans="1:17" ht="45" x14ac:dyDescent="0.2">
      <c r="A1211" s="248" t="str">
        <f>VLOOKUP(B1211,'DER 10-18'!$A:$E,2,FALSE)</f>
        <v>Formas planas de madeira com 02 (dois) reaproveitamentos, inclusive fornecimento e transporte das madeiras</v>
      </c>
      <c r="B1211" s="238">
        <v>40312</v>
      </c>
      <c r="C1211" s="238" t="str">
        <f>VLOOKUP(B1211,'DER 10-18'!$A:$E,3,FALSE)</f>
        <v>M2</v>
      </c>
      <c r="D1211" s="454">
        <f>TRUNC(VLOOKUP(B1211,'DER 10-18'!$A:$F,6,FALSE)/(1+$I$4),2)</f>
        <v>75.55</v>
      </c>
      <c r="E1211" s="260"/>
      <c r="F1211" s="258"/>
      <c r="G1211" s="300">
        <v>25.6</v>
      </c>
      <c r="H1211" s="244"/>
      <c r="I1211" s="268">
        <f>TRUNC(D1211*G1211,2)</f>
        <v>1934.08</v>
      </c>
    </row>
    <row r="1212" spans="1:17" x14ac:dyDescent="0.2">
      <c r="A1212" s="201"/>
      <c r="B1212" s="271"/>
      <c r="C1212" s="201"/>
      <c r="D1212" s="201"/>
      <c r="E1212" s="201"/>
      <c r="F1212" s="272" t="s">
        <v>214</v>
      </c>
      <c r="G1212" s="260"/>
      <c r="H1212" s="273"/>
      <c r="I1212" s="436">
        <f>SUM(I1207:I1211)</f>
        <v>3513.98</v>
      </c>
    </row>
    <row r="1213" spans="1:17" x14ac:dyDescent="0.2">
      <c r="A1213" s="201"/>
      <c r="B1213" s="271"/>
      <c r="C1213" s="201"/>
      <c r="D1213" s="201"/>
      <c r="E1213" s="201"/>
      <c r="F1213" s="201"/>
      <c r="G1213" s="201"/>
      <c r="H1213" s="201"/>
      <c r="I1213" s="201"/>
    </row>
    <row r="1214" spans="1:17" ht="21.75" customHeight="1" x14ac:dyDescent="0.2">
      <c r="A1214" s="274" t="s">
        <v>215</v>
      </c>
      <c r="B1214" s="275" t="s">
        <v>60</v>
      </c>
      <c r="C1214" s="275" t="s">
        <v>211</v>
      </c>
      <c r="D1214" s="275" t="s">
        <v>216</v>
      </c>
      <c r="E1214" s="275" t="s">
        <v>217</v>
      </c>
      <c r="F1214" s="275" t="s">
        <v>218</v>
      </c>
      <c r="G1214" s="275" t="s">
        <v>96</v>
      </c>
      <c r="H1214" s="275" t="s">
        <v>91</v>
      </c>
      <c r="I1214" s="275" t="s">
        <v>219</v>
      </c>
    </row>
    <row r="1215" spans="1:17" x14ac:dyDescent="0.2">
      <c r="A1215" s="248"/>
      <c r="B1215" s="238"/>
      <c r="C1215" s="238"/>
      <c r="D1215" s="276"/>
      <c r="E1215" s="277"/>
      <c r="F1215" s="277"/>
      <c r="G1215" s="243"/>
      <c r="H1215" s="278"/>
      <c r="I1215" s="243"/>
    </row>
    <row r="1216" spans="1:17" x14ac:dyDescent="0.2">
      <c r="A1216" s="201"/>
      <c r="B1216" s="271"/>
      <c r="C1216" s="201"/>
      <c r="D1216" s="201"/>
      <c r="E1216" s="201"/>
      <c r="F1216" s="272" t="s">
        <v>220</v>
      </c>
      <c r="G1216" s="244"/>
      <c r="H1216" s="279"/>
      <c r="I1216" s="438">
        <f>SUM(I1215:I1215)</f>
        <v>0</v>
      </c>
    </row>
    <row r="1217" spans="1:17" x14ac:dyDescent="0.2">
      <c r="A1217" s="201"/>
      <c r="B1217" s="271"/>
      <c r="C1217" s="201"/>
      <c r="D1217" s="201"/>
      <c r="E1217" s="201"/>
      <c r="F1217" s="201"/>
      <c r="G1217" s="201"/>
      <c r="H1217" s="201"/>
      <c r="I1217" s="202"/>
    </row>
    <row r="1218" spans="1:17" x14ac:dyDescent="0.2">
      <c r="A1218" s="280"/>
      <c r="B1218" s="281"/>
      <c r="C1218" s="282"/>
      <c r="D1218" s="282"/>
      <c r="E1218" s="282"/>
      <c r="F1218" s="283" t="s">
        <v>221</v>
      </c>
      <c r="G1218" s="280"/>
      <c r="H1218" s="254"/>
      <c r="I1218" s="634">
        <f>+I1200+I1204+I1212+I1216</f>
        <v>3543.94</v>
      </c>
    </row>
    <row r="1219" spans="1:17" x14ac:dyDescent="0.2">
      <c r="A1219" s="260"/>
      <c r="B1219" s="284"/>
      <c r="C1219" s="273"/>
      <c r="D1219" s="273"/>
      <c r="E1219" s="273"/>
      <c r="F1219" s="285" t="str">
        <f>CONCATENATE($H$3," ",$I$3)</f>
        <v>BDI: 23,32</v>
      </c>
      <c r="G1219" s="439"/>
      <c r="H1219" s="258"/>
      <c r="I1219" s="635">
        <f>+ROUND(I1218*$I$4,2)</f>
        <v>826.45</v>
      </c>
    </row>
    <row r="1220" spans="1:17" x14ac:dyDescent="0.2">
      <c r="A1220" s="244"/>
      <c r="B1220" s="286"/>
      <c r="C1220" s="279"/>
      <c r="D1220" s="279"/>
      <c r="E1220" s="279"/>
      <c r="F1220" s="287" t="s">
        <v>222</v>
      </c>
      <c r="G1220" s="440"/>
      <c r="H1220" s="245"/>
      <c r="I1220" s="1017">
        <f>+I1218+I1219</f>
        <v>4370.3900000000003</v>
      </c>
    </row>
    <row r="1221" spans="1:17" s="198" customFormat="1" x14ac:dyDescent="0.2">
      <c r="A1221" s="1277" t="str">
        <f>$A$1</f>
        <v>COMPOSIÇÃO DE CUSTOS UNITÁRIOS</v>
      </c>
      <c r="B1221" s="1277"/>
      <c r="C1221" s="1277"/>
      <c r="D1221" s="1277"/>
      <c r="E1221" s="1277"/>
      <c r="F1221" s="1277"/>
      <c r="G1221" s="1277"/>
      <c r="H1221" s="1277"/>
      <c r="I1221" s="1277"/>
      <c r="J1221" s="433"/>
      <c r="K1221" s="302"/>
      <c r="L1221" s="302"/>
      <c r="M1221" s="302"/>
      <c r="N1221" s="302"/>
      <c r="O1221" s="302"/>
      <c r="P1221" s="302"/>
      <c r="Q1221" s="302"/>
    </row>
    <row r="1222" spans="1:17" x14ac:dyDescent="0.2">
      <c r="A1222" s="232" t="str">
        <f>$A$2</f>
        <v>Tabela Referencial de Preços - DER-ES</v>
      </c>
      <c r="B1222" s="233"/>
      <c r="C1222" s="199"/>
      <c r="D1222" s="199"/>
      <c r="E1222" s="199"/>
      <c r="F1222" s="199"/>
      <c r="G1222" s="199"/>
      <c r="H1222" s="199"/>
      <c r="I1222" s="234" t="str">
        <f>$I$2</f>
        <v>Data Base: Outubro/2018</v>
      </c>
      <c r="K1222" s="302"/>
    </row>
    <row r="1223" spans="1:17" x14ac:dyDescent="0.2">
      <c r="A1223" s="1278" t="str">
        <f>+CONCATENATE("Serviço: ",J1223," ",VLOOKUP(J1223,'DER 10-18'!$A:$D,2,FALSE))</f>
        <v>Serviço: 40647 Dreno profundo D = 0,20 m com enchimento de brita e areia, escavação em material 1ª categoria, inclusive transporte da brita e da areia</v>
      </c>
      <c r="B1223" s="1278"/>
      <c r="C1223" s="1278"/>
      <c r="D1223" s="1278"/>
      <c r="E1223" s="1278"/>
      <c r="F1223" s="1278"/>
      <c r="G1223" s="1278"/>
      <c r="H1223" s="1278"/>
      <c r="I1223" s="1278" t="str">
        <f>CONCATENATE("Unidade: ", VLOOKUP(J1223,'DER 10-18'!$A:$E,3,FALSE))</f>
        <v>Unidade: M</v>
      </c>
      <c r="J1223" s="433">
        <v>40647</v>
      </c>
      <c r="K1223" s="433">
        <f>VLOOKUP("Preço Unitário Total",F1224:I2896,4,FALSE)</f>
        <v>142.43</v>
      </c>
      <c r="L1223" s="302" t="str">
        <f>VLOOKUP(J1223,'DER 10-18'!A:E,5,FALSE)</f>
        <v>A incluir</v>
      </c>
      <c r="M1223" s="302" t="str">
        <f>VLOOKUP(J1223,'DER 10-18'!$A:$D,2,FALSE)</f>
        <v>Dreno profundo D = 0,20 m com enchimento de brita e areia, escavação em material 1ª categoria, inclusive transporte da brita e da areia</v>
      </c>
    </row>
    <row r="1224" spans="1:17" x14ac:dyDescent="0.2">
      <c r="A1224" s="1279"/>
      <c r="B1224" s="1279"/>
      <c r="C1224" s="1279"/>
      <c r="D1224" s="1279"/>
      <c r="E1224" s="1279"/>
      <c r="F1224" s="1279"/>
      <c r="G1224" s="1279"/>
      <c r="H1224" s="1279"/>
      <c r="I1224" s="1279"/>
    </row>
    <row r="1225" spans="1:17" ht="22.5" x14ac:dyDescent="0.2">
      <c r="A1225" s="235" t="s">
        <v>192</v>
      </c>
      <c r="B1225" s="236" t="s">
        <v>60</v>
      </c>
      <c r="C1225" s="236" t="s">
        <v>193</v>
      </c>
      <c r="D1225" s="236" t="s">
        <v>194</v>
      </c>
      <c r="E1225" s="236" t="s">
        <v>195</v>
      </c>
      <c r="F1225" s="236" t="s">
        <v>196</v>
      </c>
      <c r="G1225" s="236" t="s">
        <v>197</v>
      </c>
      <c r="H1225" s="236" t="s">
        <v>91</v>
      </c>
      <c r="I1225" s="236" t="s">
        <v>198</v>
      </c>
    </row>
    <row r="1226" spans="1:17" x14ac:dyDescent="0.2">
      <c r="A1226" s="235"/>
      <c r="B1226" s="236"/>
      <c r="C1226" s="236"/>
      <c r="D1226" s="236"/>
      <c r="E1226" s="236"/>
      <c r="F1226" s="236"/>
      <c r="G1226" s="236"/>
      <c r="H1226" s="236"/>
      <c r="I1226" s="236"/>
    </row>
    <row r="1227" spans="1:17" x14ac:dyDescent="0.2">
      <c r="A1227" s="199"/>
      <c r="B1227" s="233"/>
      <c r="C1227" s="233"/>
      <c r="D1227" s="199"/>
      <c r="E1227" s="199"/>
      <c r="F1227" s="234" t="s">
        <v>199</v>
      </c>
      <c r="G1227" s="244"/>
      <c r="H1227" s="245"/>
      <c r="I1227" s="434"/>
    </row>
    <row r="1228" spans="1:17" s="198" customFormat="1" x14ac:dyDescent="0.2">
      <c r="A1228" s="199"/>
      <c r="B1228" s="233"/>
      <c r="C1228" s="233"/>
      <c r="D1228" s="199"/>
      <c r="E1228" s="199"/>
      <c r="F1228" s="199"/>
      <c r="G1228" s="199"/>
      <c r="H1228" s="199"/>
      <c r="I1228" s="200"/>
      <c r="J1228" s="433"/>
      <c r="K1228" s="433"/>
      <c r="L1228" s="302"/>
      <c r="M1228" s="302"/>
      <c r="N1228" s="302"/>
      <c r="O1228" s="302"/>
      <c r="P1228" s="302"/>
      <c r="Q1228" s="302"/>
    </row>
    <row r="1229" spans="1:17" x14ac:dyDescent="0.2">
      <c r="A1229" s="246" t="s">
        <v>200</v>
      </c>
      <c r="B1229" s="247" t="s">
        <v>60</v>
      </c>
      <c r="C1229" s="236" t="s">
        <v>1242</v>
      </c>
      <c r="D1229" s="247" t="s">
        <v>202</v>
      </c>
      <c r="E1229" s="1271" t="s">
        <v>91</v>
      </c>
      <c r="F1229" s="1272"/>
      <c r="G1229" s="1273"/>
      <c r="H1229" s="1276" t="s">
        <v>198</v>
      </c>
      <c r="I1229" s="1275"/>
    </row>
    <row r="1230" spans="1:17" x14ac:dyDescent="0.2">
      <c r="A1230" s="248" t="str">
        <f>VLOOKUP(B1230,m.o.!$A:$H,2,FALSE)</f>
        <v>Encarregado de O.A.C.</v>
      </c>
      <c r="B1230" s="238">
        <v>20060</v>
      </c>
      <c r="C1230" s="243">
        <f>VLOOKUP(B1230,m.o.!$A:$F,4,FALSE)</f>
        <v>2.2599999999999998</v>
      </c>
      <c r="D1230" s="243">
        <f>VLOOKUP(B1230,m.o.!$A:$G,7,FALSE)</f>
        <v>26.3</v>
      </c>
      <c r="E1230" s="260"/>
      <c r="F1230" s="258"/>
      <c r="G1230" s="300">
        <v>0.3</v>
      </c>
      <c r="H1230" s="244"/>
      <c r="I1230" s="249">
        <f>TRUNC(D1230*G1230,2)</f>
        <v>7.89</v>
      </c>
    </row>
    <row r="1231" spans="1:17" x14ac:dyDescent="0.2">
      <c r="A1231" s="265" t="str">
        <f>VLOOKUP(B1231,m.o.!$A:$H,2,FALSE)</f>
        <v>Pedreiro de O.A.C.</v>
      </c>
      <c r="B1231" s="238">
        <v>20109</v>
      </c>
      <c r="C1231" s="267">
        <f>VLOOKUP(B1231,m.o.!$A:$F,4,FALSE)</f>
        <v>1.24</v>
      </c>
      <c r="D1231" s="267">
        <f>VLOOKUP(B1231,m.o.!$A:$G,7,FALSE)</f>
        <v>14.43</v>
      </c>
      <c r="E1231" s="260"/>
      <c r="F1231" s="258"/>
      <c r="G1231" s="441">
        <v>0.45</v>
      </c>
      <c r="H1231" s="260"/>
      <c r="I1231" s="268">
        <f>TRUNC(D1231*G1231,2)</f>
        <v>6.49</v>
      </c>
    </row>
    <row r="1232" spans="1:17" x14ac:dyDescent="0.2">
      <c r="A1232" s="265" t="str">
        <f>VLOOKUP(B1232,m.o.!$A:$H,2,FALSE)</f>
        <v>Servente</v>
      </c>
      <c r="B1232" s="238">
        <v>20002</v>
      </c>
      <c r="C1232" s="267">
        <f>VLOOKUP(B1232,m.o.!$A:$F,4,FALSE)</f>
        <v>1</v>
      </c>
      <c r="D1232" s="267">
        <f>VLOOKUP(B1232,m.o.!$A:$G,7,FALSE)</f>
        <v>11.64</v>
      </c>
      <c r="E1232" s="260"/>
      <c r="F1232" s="258"/>
      <c r="G1232" s="441">
        <v>1.2</v>
      </c>
      <c r="H1232" s="260"/>
      <c r="I1232" s="268">
        <f>TRUNC(D1232*G1232,2)</f>
        <v>13.96</v>
      </c>
    </row>
    <row r="1233" spans="1:17" x14ac:dyDescent="0.2">
      <c r="A1233" s="199"/>
      <c r="B1233" s="233"/>
      <c r="C1233" s="233"/>
      <c r="D1233" s="199"/>
      <c r="E1233" s="199"/>
      <c r="F1233" s="234" t="s">
        <v>203</v>
      </c>
      <c r="G1233" s="244"/>
      <c r="H1233" s="245"/>
      <c r="I1233" s="434">
        <f>SUM(I1230:I1232)</f>
        <v>28.34</v>
      </c>
      <c r="J1233" s="302"/>
      <c r="K1233" s="302"/>
    </row>
    <row r="1234" spans="1:17" x14ac:dyDescent="0.2">
      <c r="A1234" s="199"/>
      <c r="B1234" s="233"/>
      <c r="C1234" s="233"/>
      <c r="D1234" s="199"/>
      <c r="E1234" s="199"/>
      <c r="F1234" s="199"/>
      <c r="G1234" s="199"/>
      <c r="H1234" s="199"/>
      <c r="I1234" s="200"/>
      <c r="J1234" s="302"/>
      <c r="K1234" s="302"/>
    </row>
    <row r="1235" spans="1:17" x14ac:dyDescent="0.2">
      <c r="A1235" s="250" t="s">
        <v>204</v>
      </c>
      <c r="B1235" s="247" t="s">
        <v>60</v>
      </c>
      <c r="C1235" s="866" t="s">
        <v>17</v>
      </c>
      <c r="D1235" s="247" t="s">
        <v>205</v>
      </c>
      <c r="E1235" s="247" t="s">
        <v>206</v>
      </c>
      <c r="F1235" s="247" t="s">
        <v>207</v>
      </c>
      <c r="G1235" s="1276" t="s">
        <v>96</v>
      </c>
      <c r="H1235" s="1274"/>
      <c r="I1235" s="1275"/>
      <c r="J1235" s="302"/>
      <c r="K1235" s="302"/>
    </row>
    <row r="1236" spans="1:17" s="198" customFormat="1" x14ac:dyDescent="0.2">
      <c r="A1236" s="248" t="s">
        <v>142</v>
      </c>
      <c r="B1236" s="238">
        <v>2000</v>
      </c>
      <c r="C1236" s="243">
        <v>5</v>
      </c>
      <c r="D1236" s="239" t="s">
        <v>223</v>
      </c>
      <c r="E1236" s="251"/>
      <c r="F1236" s="251"/>
      <c r="G1236" s="244"/>
      <c r="H1236" s="245"/>
      <c r="I1236" s="249">
        <f>TRUNC(C1236/100*I1233,2)</f>
        <v>1.41</v>
      </c>
      <c r="J1236" s="302"/>
      <c r="K1236" s="302"/>
      <c r="L1236" s="302"/>
      <c r="M1236" s="302"/>
      <c r="N1236" s="302"/>
      <c r="O1236" s="302"/>
      <c r="P1236" s="302"/>
      <c r="Q1236" s="302"/>
    </row>
    <row r="1237" spans="1:17" x14ac:dyDescent="0.2">
      <c r="A1237" s="199"/>
      <c r="B1237" s="233"/>
      <c r="C1237" s="199"/>
      <c r="D1237" s="199"/>
      <c r="E1237" s="199"/>
      <c r="F1237" s="234" t="s">
        <v>1170</v>
      </c>
      <c r="G1237" s="244"/>
      <c r="H1237" s="245"/>
      <c r="I1237" s="434">
        <f>SUM(I1236)</f>
        <v>1.41</v>
      </c>
      <c r="J1237" s="302"/>
      <c r="K1237" s="302"/>
    </row>
    <row r="1238" spans="1:17" x14ac:dyDescent="0.2">
      <c r="A1238" s="199"/>
      <c r="B1238" s="233"/>
      <c r="C1238" s="199"/>
      <c r="D1238" s="199"/>
      <c r="E1238" s="199"/>
      <c r="F1238" s="199"/>
      <c r="G1238" s="199"/>
      <c r="H1238" s="199"/>
      <c r="I1238" s="200"/>
      <c r="J1238" s="302"/>
      <c r="K1238" s="302"/>
    </row>
    <row r="1239" spans="1:17" x14ac:dyDescent="0.2">
      <c r="A1239" s="252"/>
      <c r="B1239" s="253"/>
      <c r="C1239" s="254"/>
      <c r="D1239" s="254"/>
      <c r="E1239" s="254"/>
      <c r="F1239" s="255" t="s">
        <v>208</v>
      </c>
      <c r="G1239" s="435"/>
      <c r="H1239" s="254"/>
      <c r="I1239" s="634">
        <f>+I59909+I1233+I1237</f>
        <v>29.75</v>
      </c>
      <c r="J1239" s="302"/>
      <c r="K1239" s="302"/>
    </row>
    <row r="1240" spans="1:17" x14ac:dyDescent="0.2">
      <c r="A1240" s="256"/>
      <c r="B1240" s="257"/>
      <c r="C1240" s="258"/>
      <c r="D1240" s="258"/>
      <c r="E1240" s="258"/>
      <c r="F1240" s="259" t="s">
        <v>209</v>
      </c>
      <c r="G1240" s="260"/>
      <c r="H1240" s="258"/>
      <c r="I1240" s="635">
        <v>1</v>
      </c>
      <c r="J1240" s="302"/>
      <c r="K1240" s="302"/>
    </row>
    <row r="1241" spans="1:17" x14ac:dyDescent="0.2">
      <c r="A1241" s="237"/>
      <c r="B1241" s="261"/>
      <c r="C1241" s="245"/>
      <c r="D1241" s="245"/>
      <c r="E1241" s="245"/>
      <c r="F1241" s="262" t="s">
        <v>232</v>
      </c>
      <c r="G1241" s="244"/>
      <c r="H1241" s="245"/>
      <c r="I1241" s="633">
        <f>TRUNC(I1239/I1240,2)</f>
        <v>29.75</v>
      </c>
      <c r="J1241" s="302"/>
      <c r="K1241" s="302"/>
    </row>
    <row r="1242" spans="1:17" x14ac:dyDescent="0.2">
      <c r="A1242" s="867"/>
      <c r="B1242" s="233"/>
      <c r="C1242" s="199"/>
      <c r="D1242" s="199"/>
      <c r="E1242" s="199"/>
      <c r="F1242" s="263"/>
      <c r="G1242" s="199"/>
      <c r="H1242" s="199"/>
      <c r="I1242" s="264"/>
      <c r="J1242" s="302"/>
      <c r="K1242" s="302"/>
    </row>
    <row r="1243" spans="1:17" x14ac:dyDescent="0.2">
      <c r="A1243" s="246" t="s">
        <v>210</v>
      </c>
      <c r="B1243" s="247" t="s">
        <v>60</v>
      </c>
      <c r="C1243" s="247" t="s">
        <v>211</v>
      </c>
      <c r="D1243" s="247" t="s">
        <v>233</v>
      </c>
      <c r="E1243" s="1276" t="s">
        <v>91</v>
      </c>
      <c r="F1243" s="1274"/>
      <c r="G1243" s="1275"/>
      <c r="H1243" s="1276" t="s">
        <v>198</v>
      </c>
      <c r="I1243" s="1275"/>
      <c r="J1243" s="302"/>
      <c r="K1243" s="302"/>
    </row>
    <row r="1244" spans="1:17" ht="22.5" x14ac:dyDescent="0.2">
      <c r="A1244" s="265" t="str">
        <f>VLOOKUP(B1244,mat.!$A:$D,2,FALSE)</f>
        <v>Areia grossa jazida com carregamento mecânico</v>
      </c>
      <c r="B1244" s="238">
        <v>10109</v>
      </c>
      <c r="C1244" s="266" t="str">
        <f>VLOOKUP(B1244,mat.!$A:$D,3,FALSE)</f>
        <v>m3</v>
      </c>
      <c r="D1244" s="267">
        <f>VLOOKUP(B1244,mat.!$A:$D,4,FALSE)</f>
        <v>64.22</v>
      </c>
      <c r="E1244" s="260"/>
      <c r="F1244" s="258"/>
      <c r="G1244" s="300">
        <v>0.32</v>
      </c>
      <c r="H1244" s="260"/>
      <c r="I1244" s="268">
        <f t="shared" ref="I1244:I1245" si="6">TRUNC(D1244*G1244,2)</f>
        <v>20.55</v>
      </c>
      <c r="J1244" s="302"/>
      <c r="K1244" s="302"/>
    </row>
    <row r="1245" spans="1:17" ht="22.5" x14ac:dyDescent="0.2">
      <c r="A1245" s="265" t="str">
        <f>VLOOKUP(B1245,mat.!$A:$D,2,FALSE)</f>
        <v>Brita graduada, especificada sem pó, sem frete</v>
      </c>
      <c r="B1245" s="238">
        <v>10119</v>
      </c>
      <c r="C1245" s="266" t="str">
        <f>VLOOKUP(B1245,mat.!$A:$D,3,FALSE)</f>
        <v>m3</v>
      </c>
      <c r="D1245" s="267">
        <f>VLOOKUP(B1245,mat.!$A:$D,4,FALSE)</f>
        <v>49.19</v>
      </c>
      <c r="E1245" s="260"/>
      <c r="F1245" s="258"/>
      <c r="G1245" s="300">
        <v>0.27</v>
      </c>
      <c r="H1245" s="260"/>
      <c r="I1245" s="268">
        <f t="shared" si="6"/>
        <v>13.28</v>
      </c>
      <c r="J1245" s="302"/>
      <c r="K1245" s="302"/>
    </row>
    <row r="1246" spans="1:17" x14ac:dyDescent="0.2">
      <c r="A1246" s="265" t="str">
        <f>VLOOKUP(B1246,mat.!$A:$D,2,FALSE)</f>
        <v>Tubo poroso D=0,20 m (preço médio)</v>
      </c>
      <c r="B1246" s="238">
        <v>10249</v>
      </c>
      <c r="C1246" s="266" t="str">
        <f>VLOOKUP(B1246,mat.!$A:$D,3,FALSE)</f>
        <v>M</v>
      </c>
      <c r="D1246" s="267">
        <f>VLOOKUP(B1246,mat.!$A:$D,4,FALSE)</f>
        <v>20.59</v>
      </c>
      <c r="E1246" s="260"/>
      <c r="F1246" s="258"/>
      <c r="G1246" s="300">
        <v>1</v>
      </c>
      <c r="H1246" s="260"/>
      <c r="I1246" s="268">
        <f>TRUNC(D1246*G1246,2)</f>
        <v>20.59</v>
      </c>
      <c r="J1246" s="302"/>
      <c r="K1246" s="302"/>
    </row>
    <row r="1247" spans="1:17" x14ac:dyDescent="0.2">
      <c r="A1247" s="199"/>
      <c r="B1247" s="233"/>
      <c r="C1247" s="199"/>
      <c r="D1247" s="199"/>
      <c r="E1247" s="199"/>
      <c r="F1247" s="234" t="s">
        <v>212</v>
      </c>
      <c r="G1247" s="244"/>
      <c r="H1247" s="245"/>
      <c r="I1247" s="434">
        <f>SUM(I1244:I1246)</f>
        <v>54.42</v>
      </c>
      <c r="J1247" s="302"/>
      <c r="K1247" s="302"/>
    </row>
    <row r="1248" spans="1:17" x14ac:dyDescent="0.2">
      <c r="A1248" s="199"/>
      <c r="B1248" s="233"/>
      <c r="C1248" s="199"/>
      <c r="D1248" s="199"/>
      <c r="E1248" s="199"/>
      <c r="F1248" s="199"/>
      <c r="G1248" s="269"/>
      <c r="H1248" s="199"/>
      <c r="I1248" s="200"/>
      <c r="J1248" s="302"/>
      <c r="K1248" s="302"/>
    </row>
    <row r="1249" spans="1:17" x14ac:dyDescent="0.2">
      <c r="A1249" s="270" t="s">
        <v>213</v>
      </c>
      <c r="B1249" s="247" t="s">
        <v>60</v>
      </c>
      <c r="C1249" s="247" t="s">
        <v>211</v>
      </c>
      <c r="D1249" s="866" t="s">
        <v>233</v>
      </c>
      <c r="E1249" s="1271" t="s">
        <v>91</v>
      </c>
      <c r="F1249" s="1272"/>
      <c r="G1249" s="1273"/>
      <c r="H1249" s="1274" t="s">
        <v>198</v>
      </c>
      <c r="I1249" s="1275"/>
    </row>
    <row r="1250" spans="1:17" ht="22.5" x14ac:dyDescent="0.2">
      <c r="A1250" s="452" t="str">
        <f>VLOOKUP(B1250,'DER 10-18'!$A:$E,2,FALSE)</f>
        <v>Escavação mecânica em material de 1ª cat. H= 0,00 a 1,50 m</v>
      </c>
      <c r="B1250" s="453">
        <v>40282</v>
      </c>
      <c r="C1250" s="453" t="str">
        <f>VLOOKUP(B1250,'DER 10-18'!$A:$E,3,FALSE)</f>
        <v>M3</v>
      </c>
      <c r="D1250" s="454">
        <f>TRUNC(VLOOKUP(B1250,'DER 10-18'!$A:$F,6,FALSE)/(1+$I$4),2)</f>
        <v>9.91</v>
      </c>
      <c r="E1250" s="455"/>
      <c r="F1250" s="456"/>
      <c r="G1250" s="457">
        <v>0.75</v>
      </c>
      <c r="H1250" s="458"/>
      <c r="I1250" s="459">
        <f>TRUNC(D1250*G1250,2)</f>
        <v>7.43</v>
      </c>
    </row>
    <row r="1251" spans="1:17" ht="22.5" x14ac:dyDescent="0.2">
      <c r="A1251" s="452" t="str">
        <f>VLOOKUP(B1251,'DER 10-18'!$A:$E,2,FALSE)</f>
        <v>Reaterro de cavas c/ compactação mecânica (compactador manual)</v>
      </c>
      <c r="B1251" s="453">
        <v>40303</v>
      </c>
      <c r="C1251" s="453" t="str">
        <f>VLOOKUP(B1251,'DER 10-18'!$A:$E,3,FALSE)</f>
        <v>M3</v>
      </c>
      <c r="D1251" s="454">
        <f>TRUNC(VLOOKUP(B1251,'DER 10-18'!$A:$F,6,FALSE)/(1+$I$4),2)</f>
        <v>34.86</v>
      </c>
      <c r="E1251" s="455"/>
      <c r="F1251" s="456"/>
      <c r="G1251" s="457">
        <v>0.1</v>
      </c>
      <c r="H1251" s="458"/>
      <c r="I1251" s="459">
        <f>TRUNC(D1251*G1251,2)</f>
        <v>3.48</v>
      </c>
    </row>
    <row r="1252" spans="1:17" x14ac:dyDescent="0.2">
      <c r="A1252" s="201"/>
      <c r="B1252" s="271"/>
      <c r="C1252" s="201"/>
      <c r="D1252" s="201"/>
      <c r="E1252" s="201"/>
      <c r="F1252" s="272" t="s">
        <v>214</v>
      </c>
      <c r="G1252" s="260"/>
      <c r="H1252" s="273"/>
      <c r="I1252" s="436">
        <f>SUM(I1250:I1251)</f>
        <v>10.91</v>
      </c>
    </row>
    <row r="1253" spans="1:17" x14ac:dyDescent="0.2">
      <c r="A1253" s="201"/>
      <c r="B1253" s="271"/>
      <c r="C1253" s="201"/>
      <c r="D1253" s="201"/>
      <c r="E1253" s="201"/>
      <c r="F1253" s="201"/>
      <c r="G1253" s="201"/>
      <c r="H1253" s="201"/>
      <c r="I1253" s="201"/>
    </row>
    <row r="1254" spans="1:17" ht="21.75" customHeight="1" x14ac:dyDescent="0.2">
      <c r="A1254" s="274" t="s">
        <v>215</v>
      </c>
      <c r="B1254" s="275" t="s">
        <v>60</v>
      </c>
      <c r="C1254" s="275" t="s">
        <v>211</v>
      </c>
      <c r="D1254" s="275" t="s">
        <v>216</v>
      </c>
      <c r="E1254" s="275" t="s">
        <v>217</v>
      </c>
      <c r="F1254" s="275" t="s">
        <v>218</v>
      </c>
      <c r="G1254" s="275" t="s">
        <v>96</v>
      </c>
      <c r="H1254" s="275" t="s">
        <v>91</v>
      </c>
      <c r="I1254" s="275" t="s">
        <v>219</v>
      </c>
    </row>
    <row r="1255" spans="1:17" ht="22.5" x14ac:dyDescent="0.2">
      <c r="A1255" s="248" t="str">
        <f>VLOOKUP(B1255,tranp.!A:D,2,FALSE)</f>
        <v>Transp. de Areia grossa jazida c/ carreg.mecânico</v>
      </c>
      <c r="B1255" s="238">
        <v>1026</v>
      </c>
      <c r="C1255" s="238" t="str">
        <f>VLOOKUP(B1255,tranp.!$A:$J,3,FALSE)</f>
        <v xml:space="preserve"> t  </v>
      </c>
      <c r="D1255" s="437" t="str">
        <f>VLOOKUP(B1255,tranp.!$A:$J,4,FALSE)</f>
        <v>0,681XP + 0,710XR + 2,841</v>
      </c>
      <c r="E1255" s="277">
        <f>VLOOKUP(J1255,Ocor.!$B:$F,4,FALSE)</f>
        <v>10</v>
      </c>
      <c r="F1255" s="277">
        <f>VLOOKUP(J1255,Ocor.!$B:$F,5,FALSE)</f>
        <v>5.6</v>
      </c>
      <c r="G1255" s="243">
        <f>TRUNC(VLOOKUP(B1255,tranp.!$A:$J,5,FALSE)*E1255+VLOOKUP(B1255,tranp.!$A:$J,6,FALSE)*F1255+VLOOKUP(B1255,tranp.!$A:$J,7,FALSE),2)</f>
        <v>13.62</v>
      </c>
      <c r="H1255" s="278">
        <v>0.48</v>
      </c>
      <c r="I1255" s="243">
        <f t="shared" ref="I1255:I1256" si="7">TRUNC(G1255*H1255,2)</f>
        <v>6.53</v>
      </c>
      <c r="J1255" s="433" t="s">
        <v>115</v>
      </c>
    </row>
    <row r="1256" spans="1:17" ht="22.5" x14ac:dyDescent="0.2">
      <c r="A1256" s="248" t="str">
        <f>VLOOKUP(B1256,tranp.!A:D,2,FALSE)</f>
        <v>Transporte de Brita Gadruada</v>
      </c>
      <c r="B1256" s="238">
        <v>1028</v>
      </c>
      <c r="C1256" s="238" t="str">
        <f>VLOOKUP(B1256,tranp.!$A:$J,3,FALSE)</f>
        <v xml:space="preserve"> t  </v>
      </c>
      <c r="D1256" s="437" t="str">
        <f>VLOOKUP(B1256,tranp.!$A:$J,4,FALSE)</f>
        <v>0,681XP + 0,710XR + 2,841</v>
      </c>
      <c r="E1256" s="277">
        <f>VLOOKUP(J1256,Ocor.!$B:$F,4,FALSE)</f>
        <v>37.200000000000003</v>
      </c>
      <c r="F1256" s="277">
        <f>VLOOKUP(J1256,Ocor.!$B:$F,5,FALSE)</f>
        <v>5.6</v>
      </c>
      <c r="G1256" s="243">
        <f>TRUNC(VLOOKUP(B1256,tranp.!$A:$J,5,FALSE)*E1256+VLOOKUP(B1256,tranp.!$A:$J,6,FALSE)*F1256+VLOOKUP(B1256,tranp.!$A:$J,7,FALSE),2)</f>
        <v>32.15</v>
      </c>
      <c r="H1256" s="278">
        <v>0.40500000000000003</v>
      </c>
      <c r="I1256" s="243">
        <f t="shared" si="7"/>
        <v>13.02</v>
      </c>
      <c r="J1256" s="433" t="s">
        <v>1056</v>
      </c>
    </row>
    <row r="1257" spans="1:17" ht="22.5" x14ac:dyDescent="0.2">
      <c r="A1257" s="248" t="str">
        <f>VLOOKUP(B1257,tranp.!A:D,2,FALSE)</f>
        <v>Transp. de Tubo poroso D=0,20 m (preço médio)</v>
      </c>
      <c r="B1257" s="238">
        <v>1083</v>
      </c>
      <c r="C1257" s="238" t="str">
        <f>VLOOKUP(B1257,tranp.!$A:$J,3,FALSE)</f>
        <v xml:space="preserve"> t  </v>
      </c>
      <c r="D1257" s="437" t="str">
        <f>VLOOKUP(B1257,tranp.!$A:$J,4,FALSE)</f>
        <v>0,676XP + 0,703XR</v>
      </c>
      <c r="E1257" s="277">
        <f>VLOOKUP(J1257,Ocor.!$B:$F,4,FALSE)</f>
        <v>37.200000000000003</v>
      </c>
      <c r="F1257" s="277">
        <f>VLOOKUP(J1257,Ocor.!$B:$F,5,FALSE)</f>
        <v>5.6</v>
      </c>
      <c r="G1257" s="243">
        <f>TRUNC(VLOOKUP(B1257,tranp.!$A:$J,5,FALSE)*E1257+VLOOKUP(B1257,tranp.!$A:$J,6,FALSE)*F1257+VLOOKUP(B1257,tranp.!$A:$J,7,FALSE),2)</f>
        <v>29.08</v>
      </c>
      <c r="H1257" s="278">
        <v>0.03</v>
      </c>
      <c r="I1257" s="243">
        <f>TRUNC(G1257*H1257,2)</f>
        <v>0.87</v>
      </c>
      <c r="J1257" s="433" t="s">
        <v>118</v>
      </c>
    </row>
    <row r="1258" spans="1:17" x14ac:dyDescent="0.2">
      <c r="A1258" s="201"/>
      <c r="B1258" s="271"/>
      <c r="C1258" s="201"/>
      <c r="D1258" s="201"/>
      <c r="E1258" s="201"/>
      <c r="F1258" s="272" t="s">
        <v>220</v>
      </c>
      <c r="G1258" s="244"/>
      <c r="H1258" s="279"/>
      <c r="I1258" s="438">
        <f>SUM(I1255:I1257)</f>
        <v>20.420000000000002</v>
      </c>
    </row>
    <row r="1259" spans="1:17" x14ac:dyDescent="0.2">
      <c r="A1259" s="201"/>
      <c r="B1259" s="271"/>
      <c r="C1259" s="201"/>
      <c r="D1259" s="201"/>
      <c r="E1259" s="201"/>
      <c r="F1259" s="201"/>
      <c r="G1259" s="201"/>
      <c r="H1259" s="201"/>
      <c r="I1259" s="202"/>
    </row>
    <row r="1260" spans="1:17" x14ac:dyDescent="0.2">
      <c r="A1260" s="280"/>
      <c r="B1260" s="281"/>
      <c r="C1260" s="282"/>
      <c r="D1260" s="282"/>
      <c r="E1260" s="282"/>
      <c r="F1260" s="283" t="s">
        <v>221</v>
      </c>
      <c r="G1260" s="280"/>
      <c r="H1260" s="254"/>
      <c r="I1260" s="634">
        <f>+I1241+I1247+I1252+I1258</f>
        <v>115.5</v>
      </c>
    </row>
    <row r="1261" spans="1:17" s="198" customFormat="1" x14ac:dyDescent="0.2">
      <c r="A1261" s="260"/>
      <c r="B1261" s="284"/>
      <c r="C1261" s="273"/>
      <c r="D1261" s="273"/>
      <c r="E1261" s="273"/>
      <c r="F1261" s="285" t="str">
        <f>CONCATENATE($H$3," ",$I$3)</f>
        <v>BDI: 23,32</v>
      </c>
      <c r="G1261" s="439"/>
      <c r="H1261" s="258"/>
      <c r="I1261" s="635">
        <f>+ROUND(I1260*$I$4,2)</f>
        <v>26.93</v>
      </c>
      <c r="J1261" s="433"/>
      <c r="K1261" s="433"/>
      <c r="L1261" s="302"/>
      <c r="M1261" s="302"/>
      <c r="N1261" s="302"/>
      <c r="O1261" s="302"/>
      <c r="P1261" s="302"/>
      <c r="Q1261" s="302"/>
    </row>
    <row r="1262" spans="1:17" x14ac:dyDescent="0.2">
      <c r="A1262" s="244"/>
      <c r="B1262" s="286"/>
      <c r="C1262" s="279"/>
      <c r="D1262" s="279"/>
      <c r="E1262" s="279"/>
      <c r="F1262" s="287" t="s">
        <v>222</v>
      </c>
      <c r="G1262" s="440"/>
      <c r="H1262" s="245"/>
      <c r="I1262" s="1017">
        <f>+I1260+I1261</f>
        <v>142.43</v>
      </c>
    </row>
    <row r="1263" spans="1:17" x14ac:dyDescent="0.2">
      <c r="A1263" s="1277" t="str">
        <f>$A$1</f>
        <v>COMPOSIÇÃO DE CUSTOS UNITÁRIOS</v>
      </c>
      <c r="B1263" s="1277"/>
      <c r="C1263" s="1277"/>
      <c r="D1263" s="1277"/>
      <c r="E1263" s="1277"/>
      <c r="F1263" s="1277"/>
      <c r="G1263" s="1277"/>
      <c r="H1263" s="1277"/>
      <c r="I1263" s="1277"/>
    </row>
    <row r="1264" spans="1:17" x14ac:dyDescent="0.2">
      <c r="A1264" s="232" t="str">
        <f>$A$2</f>
        <v>Tabela Referencial de Preços - DER-ES</v>
      </c>
      <c r="B1264" s="233"/>
      <c r="C1264" s="199"/>
      <c r="D1264" s="199"/>
      <c r="E1264" s="199"/>
      <c r="F1264" s="199"/>
      <c r="G1264" s="199"/>
      <c r="H1264" s="199"/>
      <c r="I1264" s="234" t="str">
        <f>$I$2</f>
        <v>Data Base: Outubro/2018</v>
      </c>
      <c r="J1264" s="433">
        <v>40662</v>
      </c>
      <c r="K1264" s="433">
        <f>VLOOKUP("Preço Unitário Total",F1266:I3320,4,FALSE)</f>
        <v>61.67</v>
      </c>
      <c r="L1264" s="302">
        <f>VLOOKUP(J1264,'DER 10-18'!A:E,5,FALSE)</f>
        <v>0</v>
      </c>
      <c r="M1264" s="302" t="str">
        <f>VLOOKUP(J1264,'DER 10-18'!$A:$D,2,FALSE)</f>
        <v>Meio fio de concreto MFC 05, inclusive caiação</v>
      </c>
    </row>
    <row r="1265" spans="1:17" x14ac:dyDescent="0.2">
      <c r="A1265" s="1278" t="str">
        <f>+CONCATENATE("Serviço: ",J1264," ",VLOOKUP(J1264,'DER 10-18'!$A:$D,2,FALSE))</f>
        <v>Serviço: 40662 Meio fio de concreto MFC 05, inclusive caiação</v>
      </c>
      <c r="B1265" s="1278"/>
      <c r="C1265" s="1278"/>
      <c r="D1265" s="1278"/>
      <c r="E1265" s="1278"/>
      <c r="F1265" s="1278"/>
      <c r="G1265" s="1278"/>
      <c r="H1265" s="1278"/>
      <c r="I1265" s="1278" t="str">
        <f>CONCATENATE("Unidade: ", VLOOKUP(J1264,'DER 10-18'!$A:$E,3,FALSE))</f>
        <v>Unidade: M</v>
      </c>
    </row>
    <row r="1266" spans="1:17" x14ac:dyDescent="0.2">
      <c r="A1266" s="1279"/>
      <c r="B1266" s="1279"/>
      <c r="C1266" s="1279"/>
      <c r="D1266" s="1279"/>
      <c r="E1266" s="1279"/>
      <c r="F1266" s="1279"/>
      <c r="G1266" s="1279"/>
      <c r="H1266" s="1279"/>
      <c r="I1266" s="1279"/>
    </row>
    <row r="1267" spans="1:17" ht="22.5" x14ac:dyDescent="0.2">
      <c r="A1267" s="235" t="s">
        <v>192</v>
      </c>
      <c r="B1267" s="236" t="s">
        <v>60</v>
      </c>
      <c r="C1267" s="236" t="s">
        <v>193</v>
      </c>
      <c r="D1267" s="236" t="s">
        <v>194</v>
      </c>
      <c r="E1267" s="236" t="s">
        <v>195</v>
      </c>
      <c r="F1267" s="236" t="s">
        <v>196</v>
      </c>
      <c r="G1267" s="236" t="s">
        <v>197</v>
      </c>
      <c r="H1267" s="236" t="s">
        <v>91</v>
      </c>
      <c r="I1267" s="236" t="s">
        <v>198</v>
      </c>
    </row>
    <row r="1268" spans="1:17" s="198" customFormat="1" x14ac:dyDescent="0.2">
      <c r="A1268" s="199"/>
      <c r="B1268" s="233"/>
      <c r="C1268" s="233"/>
      <c r="D1268" s="199"/>
      <c r="E1268" s="199"/>
      <c r="F1268" s="234" t="s">
        <v>199</v>
      </c>
      <c r="G1268" s="244"/>
      <c r="H1268" s="245"/>
      <c r="I1268" s="434"/>
      <c r="J1268" s="433"/>
      <c r="K1268" s="433"/>
      <c r="L1268" s="302"/>
      <c r="M1268" s="302"/>
      <c r="N1268" s="302"/>
      <c r="O1268" s="302"/>
      <c r="P1268" s="302"/>
      <c r="Q1268" s="302"/>
    </row>
    <row r="1269" spans="1:17" x14ac:dyDescent="0.2">
      <c r="A1269" s="199"/>
      <c r="B1269" s="233"/>
      <c r="C1269" s="233"/>
      <c r="D1269" s="199"/>
      <c r="E1269" s="199"/>
      <c r="F1269" s="199"/>
      <c r="G1269" s="199"/>
      <c r="H1269" s="199"/>
      <c r="I1269" s="200"/>
    </row>
    <row r="1270" spans="1:17" x14ac:dyDescent="0.2">
      <c r="A1270" s="246" t="s">
        <v>200</v>
      </c>
      <c r="B1270" s="247" t="s">
        <v>60</v>
      </c>
      <c r="C1270" s="236" t="s">
        <v>1242</v>
      </c>
      <c r="D1270" s="247" t="s">
        <v>202</v>
      </c>
      <c r="E1270" s="1271" t="s">
        <v>91</v>
      </c>
      <c r="F1270" s="1272"/>
      <c r="G1270" s="1273"/>
      <c r="H1270" s="1276" t="s">
        <v>198</v>
      </c>
      <c r="I1270" s="1275"/>
    </row>
    <row r="1271" spans="1:17" x14ac:dyDescent="0.2">
      <c r="A1271" s="248" t="str">
        <f>VLOOKUP(B1271,m.o.!$A:$H,2,FALSE)</f>
        <v>Encarregado de O.A.C.</v>
      </c>
      <c r="B1271" s="238">
        <v>20060</v>
      </c>
      <c r="C1271" s="243">
        <f>VLOOKUP(B1271,m.o.!$A:$F,4,FALSE)</f>
        <v>2.2599999999999998</v>
      </c>
      <c r="D1271" s="243">
        <f>VLOOKUP(B1271,m.o.!$A:$G,7,FALSE)</f>
        <v>26.3</v>
      </c>
      <c r="E1271" s="260"/>
      <c r="F1271" s="258"/>
      <c r="G1271" s="300">
        <v>0.1</v>
      </c>
      <c r="H1271" s="244"/>
      <c r="I1271" s="249">
        <f>TRUNC(D1271*G1271,2)</f>
        <v>2.63</v>
      </c>
    </row>
    <row r="1272" spans="1:17" x14ac:dyDescent="0.2">
      <c r="A1272" s="199"/>
      <c r="B1272" s="233"/>
      <c r="C1272" s="233"/>
      <c r="D1272" s="199"/>
      <c r="E1272" s="199"/>
      <c r="F1272" s="234" t="s">
        <v>203</v>
      </c>
      <c r="G1272" s="244"/>
      <c r="H1272" s="245"/>
      <c r="I1272" s="434">
        <f>SUM(I1271:I1271)</f>
        <v>2.63</v>
      </c>
    </row>
    <row r="1273" spans="1:17" x14ac:dyDescent="0.2">
      <c r="A1273" s="199"/>
      <c r="B1273" s="233"/>
      <c r="C1273" s="233"/>
      <c r="D1273" s="199"/>
      <c r="E1273" s="199"/>
      <c r="F1273" s="199"/>
      <c r="G1273" s="199"/>
      <c r="H1273" s="199"/>
      <c r="I1273" s="200"/>
    </row>
    <row r="1274" spans="1:17" x14ac:dyDescent="0.2">
      <c r="A1274" s="250" t="s">
        <v>204</v>
      </c>
      <c r="B1274" s="247" t="s">
        <v>60</v>
      </c>
      <c r="C1274" s="866" t="s">
        <v>17</v>
      </c>
      <c r="D1274" s="247" t="s">
        <v>205</v>
      </c>
      <c r="E1274" s="247" t="s">
        <v>206</v>
      </c>
      <c r="F1274" s="247" t="s">
        <v>207</v>
      </c>
      <c r="G1274" s="1276" t="s">
        <v>96</v>
      </c>
      <c r="H1274" s="1274"/>
      <c r="I1274" s="1275"/>
    </row>
    <row r="1275" spans="1:17" x14ac:dyDescent="0.2">
      <c r="A1275" s="199"/>
      <c r="B1275" s="233"/>
      <c r="C1275" s="199"/>
      <c r="D1275" s="199"/>
      <c r="E1275" s="199"/>
      <c r="F1275" s="234" t="s">
        <v>1170</v>
      </c>
      <c r="G1275" s="244"/>
      <c r="H1275" s="245"/>
      <c r="I1275" s="434"/>
    </row>
    <row r="1276" spans="1:17" x14ac:dyDescent="0.2">
      <c r="A1276" s="199"/>
      <c r="B1276" s="233"/>
      <c r="C1276" s="199"/>
      <c r="D1276" s="199"/>
      <c r="E1276" s="199"/>
      <c r="F1276" s="199"/>
      <c r="G1276" s="199"/>
      <c r="H1276" s="199"/>
      <c r="I1276" s="200"/>
    </row>
    <row r="1277" spans="1:17" x14ac:dyDescent="0.2">
      <c r="A1277" s="252"/>
      <c r="B1277" s="253"/>
      <c r="C1277" s="254"/>
      <c r="D1277" s="254"/>
      <c r="E1277" s="254"/>
      <c r="F1277" s="255" t="s">
        <v>208</v>
      </c>
      <c r="G1277" s="435"/>
      <c r="H1277" s="254"/>
      <c r="I1277" s="634">
        <f>+I1268+I1272+I1275</f>
        <v>2.63</v>
      </c>
    </row>
    <row r="1278" spans="1:17" x14ac:dyDescent="0.2">
      <c r="A1278" s="256"/>
      <c r="B1278" s="257"/>
      <c r="C1278" s="258"/>
      <c r="D1278" s="258"/>
      <c r="E1278" s="258"/>
      <c r="F1278" s="259" t="s">
        <v>209</v>
      </c>
      <c r="G1278" s="260"/>
      <c r="H1278" s="258"/>
      <c r="I1278" s="635">
        <v>1</v>
      </c>
    </row>
    <row r="1279" spans="1:17" x14ac:dyDescent="0.2">
      <c r="A1279" s="237"/>
      <c r="B1279" s="261"/>
      <c r="C1279" s="245"/>
      <c r="D1279" s="245"/>
      <c r="E1279" s="245"/>
      <c r="F1279" s="262" t="s">
        <v>232</v>
      </c>
      <c r="G1279" s="244"/>
      <c r="H1279" s="245"/>
      <c r="I1279" s="633">
        <f>TRUNC(I1277/I1278,2)</f>
        <v>2.63</v>
      </c>
    </row>
    <row r="1280" spans="1:17" x14ac:dyDescent="0.2">
      <c r="A1280" s="867"/>
      <c r="B1280" s="233"/>
      <c r="C1280" s="199"/>
      <c r="D1280" s="199"/>
      <c r="E1280" s="199"/>
      <c r="F1280" s="263"/>
      <c r="G1280" s="199"/>
      <c r="H1280" s="199"/>
      <c r="I1280" s="264"/>
    </row>
    <row r="1281" spans="1:14" x14ac:dyDescent="0.2">
      <c r="A1281" s="246" t="s">
        <v>210</v>
      </c>
      <c r="B1281" s="247" t="s">
        <v>60</v>
      </c>
      <c r="C1281" s="247" t="s">
        <v>211</v>
      </c>
      <c r="D1281" s="247" t="s">
        <v>233</v>
      </c>
      <c r="E1281" s="1276" t="s">
        <v>91</v>
      </c>
      <c r="F1281" s="1274"/>
      <c r="G1281" s="1275"/>
      <c r="H1281" s="1276" t="s">
        <v>198</v>
      </c>
      <c r="I1281" s="1275"/>
    </row>
    <row r="1282" spans="1:14" x14ac:dyDescent="0.2">
      <c r="A1282" s="199"/>
      <c r="B1282" s="233"/>
      <c r="C1282" s="199"/>
      <c r="D1282" s="199"/>
      <c r="E1282" s="199"/>
      <c r="F1282" s="234" t="s">
        <v>212</v>
      </c>
      <c r="G1282" s="244"/>
      <c r="H1282" s="245"/>
      <c r="I1282" s="434"/>
    </row>
    <row r="1283" spans="1:14" x14ac:dyDescent="0.2">
      <c r="A1283" s="199"/>
      <c r="B1283" s="233"/>
      <c r="C1283" s="199"/>
      <c r="D1283" s="199"/>
      <c r="E1283" s="199"/>
      <c r="F1283" s="199"/>
      <c r="G1283" s="269"/>
      <c r="H1283" s="199"/>
      <c r="I1283" s="200"/>
      <c r="J1283" s="451"/>
      <c r="K1283" s="451"/>
      <c r="L1283" s="198"/>
      <c r="M1283" s="198"/>
      <c r="N1283" s="198"/>
    </row>
    <row r="1284" spans="1:14" x14ac:dyDescent="0.2">
      <c r="A1284" s="467" t="s">
        <v>213</v>
      </c>
      <c r="B1284" s="468" t="s">
        <v>60</v>
      </c>
      <c r="C1284" s="468" t="s">
        <v>211</v>
      </c>
      <c r="D1284" s="869" t="s">
        <v>233</v>
      </c>
      <c r="E1284" s="1281" t="s">
        <v>91</v>
      </c>
      <c r="F1284" s="1282"/>
      <c r="G1284" s="1283"/>
      <c r="H1284" s="1284" t="s">
        <v>198</v>
      </c>
      <c r="I1284" s="1285"/>
      <c r="J1284" s="451"/>
      <c r="K1284" s="451"/>
      <c r="L1284" s="198"/>
      <c r="M1284" s="198"/>
      <c r="N1284" s="198"/>
    </row>
    <row r="1285" spans="1:14" x14ac:dyDescent="0.2">
      <c r="A1285" s="452" t="str">
        <f>VLOOKUP(B1285,'DER 10-18'!$A:$E,2,FALSE)</f>
        <v>Caiação de meio fios, sarjetas, etc</v>
      </c>
      <c r="B1285" s="453">
        <v>40658</v>
      </c>
      <c r="C1285" s="453" t="str">
        <f>VLOOKUP(B1285,'DER 10-18'!$A:$E,3,FALSE)</f>
        <v>M2</v>
      </c>
      <c r="D1285" s="454">
        <f>TRUNC(VLOOKUP(B1285,'DER 10-18'!$A:$F,6,FALSE)/(1+$I$4),2)</f>
        <v>4.7</v>
      </c>
      <c r="E1285" s="455"/>
      <c r="F1285" s="456"/>
      <c r="G1285" s="457">
        <v>0.25</v>
      </c>
      <c r="H1285" s="458"/>
      <c r="I1285" s="459">
        <f t="shared" ref="I1285:I1287" si="8">TRUNC(D1285*G1285,2)</f>
        <v>1.17</v>
      </c>
      <c r="J1285" s="451"/>
      <c r="K1285" s="451"/>
      <c r="L1285" s="198"/>
      <c r="M1285" s="198"/>
      <c r="N1285" s="198"/>
    </row>
    <row r="1286" spans="1:14" ht="22.5" x14ac:dyDescent="0.2">
      <c r="A1286" s="452" t="str">
        <f>VLOOKUP(B1286,'DER 10-18'!$A:$E,2,FALSE)</f>
        <v>Concreto estrutural fck = 15,0 MPa, tudo incluído</v>
      </c>
      <c r="B1286" s="453">
        <v>40358</v>
      </c>
      <c r="C1286" s="453" t="str">
        <f>VLOOKUP(B1286,'DER 10-18'!$A:$E,3,FALSE)</f>
        <v>M3</v>
      </c>
      <c r="D1286" s="454">
        <f>TRUNC(VLOOKUP(B1286,'DER 10-18'!$A:$F,6,FALSE)/(1+$I$4),2)</f>
        <v>523.20000000000005</v>
      </c>
      <c r="E1286" s="455"/>
      <c r="F1286" s="456"/>
      <c r="G1286" s="457">
        <v>3.4000000000000002E-2</v>
      </c>
      <c r="H1286" s="458"/>
      <c r="I1286" s="459">
        <f t="shared" si="8"/>
        <v>17.78</v>
      </c>
      <c r="J1286" s="451"/>
      <c r="K1286" s="451"/>
      <c r="L1286" s="198"/>
      <c r="M1286" s="198"/>
      <c r="N1286" s="198"/>
    </row>
    <row r="1287" spans="1:14" ht="22.5" x14ac:dyDescent="0.2">
      <c r="A1287" s="452" t="str">
        <f>VLOOKUP(B1287,'DER 10-18'!$A:$E,2,FALSE)</f>
        <v>Escavação manual em mat. 1ª cat. H= 0,00 a 1,50 m</v>
      </c>
      <c r="B1287" s="453">
        <v>40258</v>
      </c>
      <c r="C1287" s="453" t="str">
        <f>VLOOKUP(B1287,'DER 10-18'!$A:$E,3,FALSE)</f>
        <v>M3</v>
      </c>
      <c r="D1287" s="454">
        <f>TRUNC(VLOOKUP(B1287,'DER 10-18'!$A:$F,6,FALSE)/(1+$I$4),2)</f>
        <v>52.61</v>
      </c>
      <c r="E1287" s="455"/>
      <c r="F1287" s="456"/>
      <c r="G1287" s="457">
        <v>1.7999999999999999E-2</v>
      </c>
      <c r="H1287" s="458"/>
      <c r="I1287" s="459">
        <f t="shared" si="8"/>
        <v>0.94</v>
      </c>
      <c r="J1287" s="451"/>
      <c r="K1287" s="451"/>
      <c r="L1287" s="198"/>
      <c r="M1287" s="198"/>
      <c r="N1287" s="198"/>
    </row>
    <row r="1288" spans="1:14" ht="33.75" x14ac:dyDescent="0.2">
      <c r="A1288" s="452" t="str">
        <f>VLOOKUP(B1288,'DER 10-18'!$A:$E,2,FALSE)</f>
        <v>Forma especial de madeira para meio fio, inclusive fornecimento e transporte das madeiras</v>
      </c>
      <c r="B1288" s="453">
        <v>40316</v>
      </c>
      <c r="C1288" s="453" t="str">
        <f>VLOOKUP(B1288,'DER 10-18'!$A:$E,3,FALSE)</f>
        <v>M2</v>
      </c>
      <c r="D1288" s="454">
        <f>TRUNC(VLOOKUP(B1288,'DER 10-18'!$A:$F,6,FALSE)/(1+$I$4),2)</f>
        <v>59.77</v>
      </c>
      <c r="E1288" s="455"/>
      <c r="F1288" s="456"/>
      <c r="G1288" s="457">
        <v>0.46</v>
      </c>
      <c r="H1288" s="458"/>
      <c r="I1288" s="459">
        <f>TRUNC(D1288*G1288,2)</f>
        <v>27.49</v>
      </c>
    </row>
    <row r="1289" spans="1:14" x14ac:dyDescent="0.2">
      <c r="A1289" s="201"/>
      <c r="B1289" s="271"/>
      <c r="C1289" s="201"/>
      <c r="D1289" s="201"/>
      <c r="E1289" s="201"/>
      <c r="F1289" s="272" t="s">
        <v>214</v>
      </c>
      <c r="G1289" s="260"/>
      <c r="H1289" s="273"/>
      <c r="I1289" s="436">
        <f>SUM(I1285:I1288)</f>
        <v>47.38</v>
      </c>
    </row>
    <row r="1290" spans="1:14" x14ac:dyDescent="0.2">
      <c r="A1290" s="201"/>
      <c r="B1290" s="271"/>
      <c r="C1290" s="201"/>
      <c r="D1290" s="201"/>
      <c r="E1290" s="201"/>
      <c r="F1290" s="201"/>
      <c r="G1290" s="201"/>
      <c r="H1290" s="201"/>
      <c r="I1290" s="201"/>
    </row>
    <row r="1291" spans="1:14" x14ac:dyDescent="0.2">
      <c r="A1291" s="274" t="s">
        <v>215</v>
      </c>
      <c r="B1291" s="275" t="s">
        <v>60</v>
      </c>
      <c r="C1291" s="275" t="s">
        <v>211</v>
      </c>
      <c r="D1291" s="275" t="s">
        <v>216</v>
      </c>
      <c r="E1291" s="275" t="s">
        <v>217</v>
      </c>
      <c r="F1291" s="275" t="s">
        <v>218</v>
      </c>
      <c r="G1291" s="275" t="s">
        <v>96</v>
      </c>
      <c r="H1291" s="275" t="s">
        <v>91</v>
      </c>
      <c r="I1291" s="275" t="s">
        <v>219</v>
      </c>
    </row>
    <row r="1292" spans="1:14" x14ac:dyDescent="0.2">
      <c r="A1292" s="201"/>
      <c r="B1292" s="271"/>
      <c r="C1292" s="201"/>
      <c r="D1292" s="201"/>
      <c r="E1292" s="201"/>
      <c r="F1292" s="272" t="s">
        <v>220</v>
      </c>
      <c r="G1292" s="244"/>
      <c r="H1292" s="279"/>
      <c r="I1292" s="438"/>
    </row>
    <row r="1293" spans="1:14" x14ac:dyDescent="0.2">
      <c r="A1293" s="201"/>
      <c r="B1293" s="271"/>
      <c r="C1293" s="201"/>
      <c r="D1293" s="201"/>
      <c r="E1293" s="201"/>
      <c r="F1293" s="201"/>
      <c r="G1293" s="201"/>
      <c r="H1293" s="201"/>
      <c r="I1293" s="202"/>
    </row>
    <row r="1294" spans="1:14" x14ac:dyDescent="0.2">
      <c r="A1294" s="280"/>
      <c r="B1294" s="281"/>
      <c r="C1294" s="282"/>
      <c r="D1294" s="282"/>
      <c r="E1294" s="282"/>
      <c r="F1294" s="283" t="s">
        <v>221</v>
      </c>
      <c r="G1294" s="280"/>
      <c r="H1294" s="254"/>
      <c r="I1294" s="634">
        <f>+I1279+I1282+I1289+I1292</f>
        <v>50.01</v>
      </c>
    </row>
    <row r="1295" spans="1:14" x14ac:dyDescent="0.2">
      <c r="A1295" s="260"/>
      <c r="B1295" s="284"/>
      <c r="C1295" s="273"/>
      <c r="D1295" s="273"/>
      <c r="E1295" s="273"/>
      <c r="F1295" s="285" t="str">
        <f>CONCATENATE($H$3," ",$I$3)</f>
        <v>BDI: 23,32</v>
      </c>
      <c r="G1295" s="439"/>
      <c r="H1295" s="258"/>
      <c r="I1295" s="635">
        <f>+ROUND(I1294*$I$4,2)</f>
        <v>11.66</v>
      </c>
    </row>
    <row r="1296" spans="1:14" x14ac:dyDescent="0.2">
      <c r="A1296" s="244"/>
      <c r="B1296" s="286"/>
      <c r="C1296" s="279"/>
      <c r="D1296" s="279"/>
      <c r="E1296" s="279"/>
      <c r="F1296" s="287" t="s">
        <v>222</v>
      </c>
      <c r="G1296" s="440"/>
      <c r="H1296" s="245"/>
      <c r="I1296" s="1017">
        <f>+I1294+I1295</f>
        <v>61.67</v>
      </c>
    </row>
    <row r="1297" spans="1:17" x14ac:dyDescent="0.2">
      <c r="A1297" s="1286" t="str">
        <f>$A$1</f>
        <v>COMPOSIÇÃO DE CUSTOS UNITÁRIOS</v>
      </c>
      <c r="B1297" s="1286"/>
      <c r="C1297" s="1286"/>
      <c r="D1297" s="1286"/>
      <c r="E1297" s="1286"/>
      <c r="F1297" s="1286"/>
      <c r="G1297" s="1286"/>
      <c r="H1297" s="1286"/>
      <c r="I1297" s="1286"/>
      <c r="J1297" s="451"/>
      <c r="K1297" s="451"/>
      <c r="L1297" s="198"/>
      <c r="M1297" s="198"/>
      <c r="N1297" s="198"/>
      <c r="O1297" s="198"/>
      <c r="P1297" s="198"/>
      <c r="Q1297" s="198"/>
    </row>
    <row r="1298" spans="1:17" x14ac:dyDescent="0.2">
      <c r="A1298" s="232" t="str">
        <f>$A$2</f>
        <v>Tabela Referencial de Preços - DER-ES</v>
      </c>
      <c r="B1298" s="233"/>
      <c r="C1298" s="199"/>
      <c r="D1298" s="199"/>
      <c r="E1298" s="199"/>
      <c r="F1298" s="199"/>
      <c r="G1298" s="199"/>
      <c r="H1298" s="199"/>
      <c r="I1298" s="234" t="str">
        <f>$I$2</f>
        <v>Data Base: Outubro/2018</v>
      </c>
    </row>
    <row r="1299" spans="1:17" x14ac:dyDescent="0.2">
      <c r="A1299" s="1278" t="str">
        <f>+CONCATENATE("Serviço: ",J1299," ",VLOOKUP(J1299,'DER 10-18'!$A:$D,2,FALSE))</f>
        <v>Serviço: 40734 Dissipador de energia aplicado a saída de bueiro/descida d'água de aterro (DEB-03)</v>
      </c>
      <c r="B1299" s="1278"/>
      <c r="C1299" s="1278"/>
      <c r="D1299" s="1278"/>
      <c r="E1299" s="1278"/>
      <c r="F1299" s="1278"/>
      <c r="G1299" s="1278"/>
      <c r="H1299" s="1278"/>
      <c r="I1299" s="1278" t="str">
        <f>CONCATENATE("Unidade: ", VLOOKUP(J1299,'DER 10-18'!$A:$E,3,FALSE))</f>
        <v>Unidade: Ud</v>
      </c>
      <c r="J1299" s="795">
        <v>40734</v>
      </c>
      <c r="K1299" s="795">
        <f>VLOOKUP("Preço Unitário Total",F1300:I3859,4,FALSE)</f>
        <v>2637.93</v>
      </c>
      <c r="L1299" s="796" t="str">
        <f>VLOOKUP(J1299,'DER 10-18'!A:E,5,FALSE)</f>
        <v>A incluir</v>
      </c>
      <c r="M1299" s="796" t="str">
        <f>VLOOKUP(J1299,'DER 10-18'!$A:$D,2,FALSE)</f>
        <v>Dissipador de energia aplicado a saída de bueiro/descida d'água de aterro (DEB-03)</v>
      </c>
      <c r="N1299" s="796"/>
      <c r="O1299" s="796"/>
      <c r="P1299" s="796"/>
      <c r="Q1299" s="796"/>
    </row>
    <row r="1300" spans="1:17" x14ac:dyDescent="0.2">
      <c r="A1300" s="1279"/>
      <c r="B1300" s="1279"/>
      <c r="C1300" s="1279"/>
      <c r="D1300" s="1279"/>
      <c r="E1300" s="1279"/>
      <c r="F1300" s="1279"/>
      <c r="G1300" s="1279"/>
      <c r="H1300" s="1279"/>
      <c r="I1300" s="1279"/>
    </row>
    <row r="1301" spans="1:17" ht="22.5" x14ac:dyDescent="0.2">
      <c r="A1301" s="235" t="s">
        <v>192</v>
      </c>
      <c r="B1301" s="236" t="s">
        <v>60</v>
      </c>
      <c r="C1301" s="236" t="s">
        <v>193</v>
      </c>
      <c r="D1301" s="236" t="s">
        <v>194</v>
      </c>
      <c r="E1301" s="236" t="s">
        <v>195</v>
      </c>
      <c r="F1301" s="236" t="s">
        <v>196</v>
      </c>
      <c r="G1301" s="236" t="s">
        <v>197</v>
      </c>
      <c r="H1301" s="236" t="s">
        <v>91</v>
      </c>
      <c r="I1301" s="236" t="s">
        <v>198</v>
      </c>
    </row>
    <row r="1302" spans="1:17" x14ac:dyDescent="0.2">
      <c r="A1302" s="199"/>
      <c r="B1302" s="233"/>
      <c r="C1302" s="233"/>
      <c r="D1302" s="199"/>
      <c r="E1302" s="199"/>
      <c r="F1302" s="234" t="s">
        <v>199</v>
      </c>
      <c r="G1302" s="244"/>
      <c r="H1302" s="245"/>
      <c r="I1302" s="434"/>
    </row>
    <row r="1303" spans="1:17" x14ac:dyDescent="0.2">
      <c r="A1303" s="199"/>
      <c r="B1303" s="233"/>
      <c r="C1303" s="233"/>
      <c r="D1303" s="199"/>
      <c r="E1303" s="199"/>
      <c r="F1303" s="199"/>
      <c r="G1303" s="199"/>
      <c r="H1303" s="199"/>
      <c r="I1303" s="200"/>
    </row>
    <row r="1304" spans="1:17" x14ac:dyDescent="0.2">
      <c r="A1304" s="246" t="s">
        <v>200</v>
      </c>
      <c r="B1304" s="247" t="s">
        <v>60</v>
      </c>
      <c r="C1304" s="236" t="s">
        <v>1242</v>
      </c>
      <c r="D1304" s="247" t="s">
        <v>202</v>
      </c>
      <c r="E1304" s="1271" t="s">
        <v>91</v>
      </c>
      <c r="F1304" s="1272"/>
      <c r="G1304" s="1273"/>
      <c r="H1304" s="1276" t="s">
        <v>198</v>
      </c>
      <c r="I1304" s="1275"/>
    </row>
    <row r="1305" spans="1:17" x14ac:dyDescent="0.2">
      <c r="A1305" s="199"/>
      <c r="B1305" s="233"/>
      <c r="C1305" s="233"/>
      <c r="D1305" s="199"/>
      <c r="E1305" s="199"/>
      <c r="F1305" s="234" t="s">
        <v>203</v>
      </c>
      <c r="G1305" s="244"/>
      <c r="H1305" s="245"/>
      <c r="I1305" s="434"/>
    </row>
    <row r="1306" spans="1:17" x14ac:dyDescent="0.2">
      <c r="A1306" s="199"/>
      <c r="B1306" s="233"/>
      <c r="C1306" s="233"/>
      <c r="D1306" s="199"/>
      <c r="E1306" s="199"/>
      <c r="F1306" s="199"/>
      <c r="G1306" s="199"/>
      <c r="H1306" s="199"/>
      <c r="I1306" s="200"/>
    </row>
    <row r="1307" spans="1:17" x14ac:dyDescent="0.2">
      <c r="A1307" s="250" t="s">
        <v>204</v>
      </c>
      <c r="B1307" s="247" t="s">
        <v>60</v>
      </c>
      <c r="C1307" s="866" t="s">
        <v>17</v>
      </c>
      <c r="D1307" s="247" t="s">
        <v>205</v>
      </c>
      <c r="E1307" s="247" t="s">
        <v>206</v>
      </c>
      <c r="F1307" s="247" t="s">
        <v>207</v>
      </c>
      <c r="G1307" s="1276" t="s">
        <v>96</v>
      </c>
      <c r="H1307" s="1274"/>
      <c r="I1307" s="1275"/>
    </row>
    <row r="1308" spans="1:17" x14ac:dyDescent="0.2">
      <c r="A1308" s="199"/>
      <c r="B1308" s="233"/>
      <c r="C1308" s="199"/>
      <c r="D1308" s="199"/>
      <c r="E1308" s="199"/>
      <c r="F1308" s="234" t="s">
        <v>1170</v>
      </c>
      <c r="G1308" s="244"/>
      <c r="H1308" s="245"/>
      <c r="I1308" s="434"/>
    </row>
    <row r="1309" spans="1:17" x14ac:dyDescent="0.2">
      <c r="A1309" s="199"/>
      <c r="B1309" s="233"/>
      <c r="C1309" s="199"/>
      <c r="D1309" s="199"/>
      <c r="E1309" s="199"/>
      <c r="F1309" s="199"/>
      <c r="G1309" s="199"/>
      <c r="H1309" s="199"/>
      <c r="I1309" s="200"/>
    </row>
    <row r="1310" spans="1:17" x14ac:dyDescent="0.2">
      <c r="A1310" s="252"/>
      <c r="B1310" s="253"/>
      <c r="C1310" s="254"/>
      <c r="D1310" s="254"/>
      <c r="E1310" s="254"/>
      <c r="F1310" s="255" t="s">
        <v>208</v>
      </c>
      <c r="G1310" s="435"/>
      <c r="H1310" s="254"/>
      <c r="I1310" s="634">
        <f>+I1302+I1305+I1308</f>
        <v>0</v>
      </c>
    </row>
    <row r="1311" spans="1:17" x14ac:dyDescent="0.2">
      <c r="A1311" s="256"/>
      <c r="B1311" s="257"/>
      <c r="C1311" s="258"/>
      <c r="D1311" s="258"/>
      <c r="E1311" s="258"/>
      <c r="F1311" s="259" t="s">
        <v>209</v>
      </c>
      <c r="G1311" s="260"/>
      <c r="H1311" s="258"/>
      <c r="I1311" s="635">
        <v>1</v>
      </c>
    </row>
    <row r="1312" spans="1:17" x14ac:dyDescent="0.2">
      <c r="A1312" s="237"/>
      <c r="B1312" s="261"/>
      <c r="C1312" s="245"/>
      <c r="D1312" s="245"/>
      <c r="E1312" s="245"/>
      <c r="F1312" s="262" t="s">
        <v>232</v>
      </c>
      <c r="G1312" s="244"/>
      <c r="H1312" s="245"/>
      <c r="I1312" s="633">
        <f>TRUNC(I1310/I1311,2)</f>
        <v>0</v>
      </c>
    </row>
    <row r="1313" spans="1:10" x14ac:dyDescent="0.2">
      <c r="A1313" s="867"/>
      <c r="B1313" s="233"/>
      <c r="C1313" s="199"/>
      <c r="D1313" s="199"/>
      <c r="E1313" s="199"/>
      <c r="F1313" s="263"/>
      <c r="G1313" s="199"/>
      <c r="H1313" s="199"/>
      <c r="I1313" s="264"/>
    </row>
    <row r="1314" spans="1:10" x14ac:dyDescent="0.2">
      <c r="A1314" s="246" t="s">
        <v>210</v>
      </c>
      <c r="B1314" s="247" t="s">
        <v>60</v>
      </c>
      <c r="C1314" s="247" t="s">
        <v>211</v>
      </c>
      <c r="D1314" s="247" t="s">
        <v>233</v>
      </c>
      <c r="E1314" s="1276" t="s">
        <v>91</v>
      </c>
      <c r="F1314" s="1274"/>
      <c r="G1314" s="1275"/>
      <c r="H1314" s="1276" t="s">
        <v>198</v>
      </c>
      <c r="I1314" s="1275"/>
    </row>
    <row r="1315" spans="1:10" x14ac:dyDescent="0.2">
      <c r="A1315" s="199"/>
      <c r="B1315" s="233"/>
      <c r="C1315" s="199"/>
      <c r="D1315" s="199"/>
      <c r="E1315" s="199"/>
      <c r="F1315" s="234" t="s">
        <v>212</v>
      </c>
      <c r="G1315" s="244"/>
      <c r="H1315" s="245"/>
      <c r="I1315" s="434"/>
    </row>
    <row r="1316" spans="1:10" x14ac:dyDescent="0.2">
      <c r="A1316" s="199"/>
      <c r="B1316" s="233"/>
      <c r="C1316" s="199"/>
      <c r="D1316" s="199"/>
      <c r="E1316" s="199"/>
      <c r="F1316" s="199"/>
      <c r="G1316" s="269"/>
      <c r="H1316" s="199"/>
      <c r="I1316" s="200"/>
    </row>
    <row r="1317" spans="1:10" x14ac:dyDescent="0.2">
      <c r="A1317" s="270" t="s">
        <v>213</v>
      </c>
      <c r="B1317" s="247" t="s">
        <v>60</v>
      </c>
      <c r="C1317" s="247" t="s">
        <v>211</v>
      </c>
      <c r="D1317" s="866" t="s">
        <v>233</v>
      </c>
      <c r="E1317" s="1271" t="s">
        <v>91</v>
      </c>
      <c r="F1317" s="1272"/>
      <c r="G1317" s="1273"/>
      <c r="H1317" s="1274" t="s">
        <v>198</v>
      </c>
      <c r="I1317" s="1275"/>
    </row>
    <row r="1318" spans="1:10" ht="45" x14ac:dyDescent="0.2">
      <c r="A1318" s="248" t="str">
        <f>VLOOKUP(B1318,'DER 10-18'!$A:$E,2,FALSE)</f>
        <v>Alvenaria de pedra de mão argamassada (argamassa cimento areia 1:4), inclusive transporte da pedra</v>
      </c>
      <c r="B1318" s="238">
        <v>40343</v>
      </c>
      <c r="C1318" s="238" t="str">
        <f>VLOOKUP(B1318,'DER 10-18'!$A:$E,3,FALSE)</f>
        <v>M3</v>
      </c>
      <c r="D1318" s="454">
        <f>TRUNC(VLOOKUP(B1318,'DER 10-18'!$A:$F,6,FALSE)/(1+$I$4),2)</f>
        <v>326.08</v>
      </c>
      <c r="E1318" s="260"/>
      <c r="F1318" s="258"/>
      <c r="G1318" s="300">
        <v>2.5299999999999998</v>
      </c>
      <c r="H1318" s="244"/>
      <c r="I1318" s="268">
        <f t="shared" ref="I1318:I1321" si="9">TRUNC(D1318*G1318,2)</f>
        <v>824.98</v>
      </c>
    </row>
    <row r="1319" spans="1:10" x14ac:dyDescent="0.2">
      <c r="A1319" s="248" t="str">
        <f>VLOOKUP(B1319,'DER 10-18'!$A:$E,2,FALSE)</f>
        <v>Apiloamento manual</v>
      </c>
      <c r="B1319" s="238">
        <v>40300</v>
      </c>
      <c r="C1319" s="238" t="str">
        <f>VLOOKUP(B1319,'DER 10-18'!$A:$E,3,FALSE)</f>
        <v>M3</v>
      </c>
      <c r="D1319" s="454">
        <f>TRUNC(VLOOKUP(B1319,'DER 10-18'!$A:$F,6,FALSE)/(1+$I$4),2)</f>
        <v>42.91</v>
      </c>
      <c r="E1319" s="260"/>
      <c r="F1319" s="258"/>
      <c r="G1319" s="300">
        <v>0.4</v>
      </c>
      <c r="H1319" s="244"/>
      <c r="I1319" s="268">
        <f t="shared" si="9"/>
        <v>17.16</v>
      </c>
    </row>
    <row r="1320" spans="1:10" ht="22.5" x14ac:dyDescent="0.2">
      <c r="A1320" s="248" t="str">
        <f>VLOOKUP(B1320,'DER 10-18'!$A:$E,2,FALSE)</f>
        <v>Concreto estrutural fck = 15,0 MPa, tudo incluído</v>
      </c>
      <c r="B1320" s="238">
        <v>40358</v>
      </c>
      <c r="C1320" s="238" t="str">
        <f>VLOOKUP(B1320,'DER 10-18'!$A:$E,3,FALSE)</f>
        <v>M3</v>
      </c>
      <c r="D1320" s="454">
        <f>TRUNC(VLOOKUP(B1320,'DER 10-18'!$A:$F,6,FALSE)/(1+$I$4),2)</f>
        <v>523.20000000000005</v>
      </c>
      <c r="E1320" s="260"/>
      <c r="F1320" s="258"/>
      <c r="G1320" s="300">
        <v>1.258</v>
      </c>
      <c r="H1320" s="244"/>
      <c r="I1320" s="268">
        <f t="shared" si="9"/>
        <v>658.18</v>
      </c>
    </row>
    <row r="1321" spans="1:10" ht="22.5" x14ac:dyDescent="0.2">
      <c r="A1321" s="248" t="str">
        <f>VLOOKUP(B1321,'DER 10-18'!$A:$E,2,FALSE)</f>
        <v>Escavação manual em mat. 1ª cat. H= 0,00 a 1,50 m</v>
      </c>
      <c r="B1321" s="238">
        <v>40258</v>
      </c>
      <c r="C1321" s="238" t="str">
        <f>VLOOKUP(B1321,'DER 10-18'!$A:$E,3,FALSE)</f>
        <v>M3</v>
      </c>
      <c r="D1321" s="454">
        <f>TRUNC(VLOOKUP(B1321,'DER 10-18'!$A:$F,6,FALSE)/(1+$I$4),2)</f>
        <v>52.61</v>
      </c>
      <c r="E1321" s="260"/>
      <c r="F1321" s="258"/>
      <c r="G1321" s="300">
        <v>3.09</v>
      </c>
      <c r="H1321" s="244"/>
      <c r="I1321" s="268">
        <f t="shared" si="9"/>
        <v>162.56</v>
      </c>
    </row>
    <row r="1322" spans="1:10" ht="45" x14ac:dyDescent="0.2">
      <c r="A1322" s="248" t="str">
        <f>VLOOKUP(B1322,'DER 10-18'!$A:$E,2,FALSE)</f>
        <v>Formas planas de madeira com 04 (quatro) reaproveitamentos, inclusive fornecimento e transporte das madeiras</v>
      </c>
      <c r="B1322" s="238">
        <v>40313</v>
      </c>
      <c r="C1322" s="238" t="str">
        <f>VLOOKUP(B1322,'DER 10-18'!$A:$E,3,FALSE)</f>
        <v>M2</v>
      </c>
      <c r="D1322" s="454">
        <f>TRUNC(VLOOKUP(B1322,'DER 10-18'!$A:$F,6,FALSE)/(1+$I$4),2)</f>
        <v>64.180000000000007</v>
      </c>
      <c r="E1322" s="260"/>
      <c r="F1322" s="258"/>
      <c r="G1322" s="300">
        <v>7.42</v>
      </c>
      <c r="H1322" s="244"/>
      <c r="I1322" s="268">
        <f>TRUNC(D1322*G1322,2)</f>
        <v>476.21</v>
      </c>
    </row>
    <row r="1323" spans="1:10" x14ac:dyDescent="0.2">
      <c r="A1323" s="201"/>
      <c r="B1323" s="271"/>
      <c r="C1323" s="201"/>
      <c r="D1323" s="201"/>
      <c r="E1323" s="201"/>
      <c r="F1323" s="272" t="s">
        <v>214</v>
      </c>
      <c r="G1323" s="260"/>
      <c r="H1323" s="273"/>
      <c r="I1323" s="436">
        <f>SUM(I1318:I1322)</f>
        <v>2139.09</v>
      </c>
    </row>
    <row r="1324" spans="1:10" x14ac:dyDescent="0.2">
      <c r="A1324" s="201"/>
      <c r="B1324" s="271"/>
      <c r="C1324" s="201"/>
      <c r="D1324" s="201"/>
      <c r="E1324" s="201"/>
      <c r="F1324" s="201"/>
      <c r="G1324" s="201"/>
      <c r="H1324" s="201"/>
      <c r="I1324" s="201"/>
    </row>
    <row r="1325" spans="1:10" x14ac:dyDescent="0.2">
      <c r="A1325" s="274" t="s">
        <v>215</v>
      </c>
      <c r="B1325" s="275" t="s">
        <v>60</v>
      </c>
      <c r="C1325" s="275" t="s">
        <v>211</v>
      </c>
      <c r="D1325" s="275" t="s">
        <v>216</v>
      </c>
      <c r="E1325" s="275" t="s">
        <v>217</v>
      </c>
      <c r="F1325" s="275" t="s">
        <v>218</v>
      </c>
      <c r="G1325" s="275" t="s">
        <v>96</v>
      </c>
      <c r="H1325" s="275" t="s">
        <v>91</v>
      </c>
      <c r="I1325" s="275" t="s">
        <v>219</v>
      </c>
    </row>
    <row r="1326" spans="1:10" x14ac:dyDescent="0.2">
      <c r="A1326" s="201"/>
      <c r="B1326" s="271"/>
      <c r="C1326" s="201"/>
      <c r="D1326" s="201"/>
      <c r="E1326" s="201"/>
      <c r="F1326" s="272" t="s">
        <v>220</v>
      </c>
      <c r="G1326" s="244"/>
      <c r="H1326" s="279"/>
      <c r="I1326" s="438"/>
    </row>
    <row r="1327" spans="1:10" x14ac:dyDescent="0.2">
      <c r="A1327" s="201"/>
      <c r="B1327" s="271"/>
      <c r="C1327" s="201"/>
      <c r="D1327" s="201"/>
      <c r="E1327" s="201"/>
      <c r="F1327" s="201"/>
      <c r="G1327" s="201"/>
      <c r="H1327" s="201"/>
      <c r="I1327" s="202"/>
    </row>
    <row r="1328" spans="1:10" x14ac:dyDescent="0.2">
      <c r="A1328" s="280"/>
      <c r="B1328" s="281"/>
      <c r="C1328" s="282"/>
      <c r="D1328" s="282"/>
      <c r="E1328" s="282"/>
      <c r="F1328" s="283" t="s">
        <v>221</v>
      </c>
      <c r="G1328" s="280"/>
      <c r="H1328" s="254"/>
      <c r="I1328" s="634">
        <f>+I1312+I1315+I1323+I1326</f>
        <v>2139.09</v>
      </c>
      <c r="J1328" s="446"/>
    </row>
    <row r="1329" spans="1:13" x14ac:dyDescent="0.2">
      <c r="A1329" s="260"/>
      <c r="B1329" s="284"/>
      <c r="C1329" s="273"/>
      <c r="D1329" s="273"/>
      <c r="E1329" s="273"/>
      <c r="F1329" s="285" t="str">
        <f>CONCATENATE($H$3," ",$I$3)</f>
        <v>BDI: 23,32</v>
      </c>
      <c r="G1329" s="439"/>
      <c r="H1329" s="258"/>
      <c r="I1329" s="635">
        <f>+ROUND(I1328*$I$4,2)</f>
        <v>498.84</v>
      </c>
    </row>
    <row r="1330" spans="1:13" x14ac:dyDescent="0.2">
      <c r="A1330" s="244"/>
      <c r="B1330" s="286"/>
      <c r="C1330" s="279"/>
      <c r="D1330" s="279"/>
      <c r="E1330" s="279"/>
      <c r="F1330" s="287" t="s">
        <v>222</v>
      </c>
      <c r="G1330" s="440"/>
      <c r="H1330" s="245"/>
      <c r="I1330" s="1017">
        <f>+I1328+I1329</f>
        <v>2637.93</v>
      </c>
      <c r="J1330" s="446"/>
    </row>
    <row r="1331" spans="1:13" x14ac:dyDescent="0.2">
      <c r="A1331" s="1277" t="str">
        <f>$A$1</f>
        <v>COMPOSIÇÃO DE CUSTOS UNITÁRIOS</v>
      </c>
      <c r="B1331" s="1277"/>
      <c r="C1331" s="1277"/>
      <c r="D1331" s="1277"/>
      <c r="E1331" s="1277"/>
      <c r="F1331" s="1277"/>
      <c r="G1331" s="1277"/>
      <c r="H1331" s="1277"/>
      <c r="I1331" s="1277"/>
    </row>
    <row r="1332" spans="1:13" x14ac:dyDescent="0.2">
      <c r="A1332" s="232" t="str">
        <f>$A$2</f>
        <v>Tabela Referencial de Preços - DER-ES</v>
      </c>
      <c r="B1332" s="233"/>
      <c r="C1332" s="199"/>
      <c r="D1332" s="199"/>
      <c r="E1332" s="199"/>
      <c r="F1332" s="199"/>
      <c r="G1332" s="199"/>
      <c r="H1332" s="199"/>
      <c r="I1332" s="234" t="str">
        <f>$I$2</f>
        <v>Data Base: Outubro/2018</v>
      </c>
      <c r="J1332" s="433">
        <v>40754</v>
      </c>
      <c r="K1332" s="433">
        <f>VLOOKUP("Preço Unitário Total",F1334:I3525,4,FALSE)</f>
        <v>1.23</v>
      </c>
      <c r="L1332" s="302">
        <f>VLOOKUP(J1332,'DER 10-18'!A:E,5,FALSE)</f>
        <v>0</v>
      </c>
      <c r="M1332" s="302" t="str">
        <f>VLOOKUP(J1332,'DER 10-18'!$A:$D,2,FALSE)</f>
        <v>Regularização e compactação do sub-leito (100% P.I.) H = 0,20 m</v>
      </c>
    </row>
    <row r="1333" spans="1:13" x14ac:dyDescent="0.2">
      <c r="A1333" s="1278" t="str">
        <f>+CONCATENATE("Serviço: ",J1332," ",VLOOKUP(J1332,'DER 10-18'!$A:$D,2,FALSE))</f>
        <v>Serviço: 40754 Regularização e compactação do sub-leito (100% P.I.) H = 0,20 m</v>
      </c>
      <c r="B1333" s="1278"/>
      <c r="C1333" s="1278"/>
      <c r="D1333" s="1278"/>
      <c r="E1333" s="1278"/>
      <c r="F1333" s="1278"/>
      <c r="G1333" s="1278"/>
      <c r="H1333" s="1278"/>
      <c r="I1333" s="1278" t="str">
        <f>CONCATENATE("Unidade: ", VLOOKUP(J1332,'DER 10-18'!$A:$E,3,FALSE))</f>
        <v>Unidade: M2</v>
      </c>
    </row>
    <row r="1334" spans="1:13" x14ac:dyDescent="0.2">
      <c r="A1334" s="1279"/>
      <c r="B1334" s="1279"/>
      <c r="C1334" s="1279"/>
      <c r="D1334" s="1279"/>
      <c r="E1334" s="1279"/>
      <c r="F1334" s="1279"/>
      <c r="G1334" s="1279"/>
      <c r="H1334" s="1279"/>
      <c r="I1334" s="1279"/>
    </row>
    <row r="1335" spans="1:13" ht="22.5" x14ac:dyDescent="0.2">
      <c r="A1335" s="235" t="s">
        <v>192</v>
      </c>
      <c r="B1335" s="236" t="s">
        <v>60</v>
      </c>
      <c r="C1335" s="236" t="s">
        <v>193</v>
      </c>
      <c r="D1335" s="236" t="s">
        <v>194</v>
      </c>
      <c r="E1335" s="236" t="s">
        <v>195</v>
      </c>
      <c r="F1335" s="236" t="s">
        <v>196</v>
      </c>
      <c r="G1335" s="236" t="s">
        <v>197</v>
      </c>
      <c r="H1335" s="236" t="s">
        <v>91</v>
      </c>
      <c r="I1335" s="236" t="s">
        <v>198</v>
      </c>
    </row>
    <row r="1336" spans="1:13" ht="22.5" x14ac:dyDescent="0.2">
      <c r="A1336" s="237" t="str">
        <f>VLOOKUP(B1336,equip.!$A:$G,2,FALSE)</f>
        <v>Caminhão tanque L 1319/48 PBT=12,9t (6.000L)</v>
      </c>
      <c r="B1336" s="238">
        <v>30007</v>
      </c>
      <c r="C1336" s="239" t="str">
        <f>VLOOKUP(B1336,equip.!$A$1:$G$239,3,FALSE)</f>
        <v>M</v>
      </c>
      <c r="D1336" s="240">
        <v>0.98</v>
      </c>
      <c r="E1336" s="205">
        <f>1-D1336</f>
        <v>0.02</v>
      </c>
      <c r="F1336" s="241">
        <f>VLOOKUP(B1336,equip.!$A:$G,6,FALSE)</f>
        <v>155.91</v>
      </c>
      <c r="G1336" s="241">
        <f>VLOOKUP(B1336,equip.!$A:$G,7,FALSE)</f>
        <v>43.38</v>
      </c>
      <c r="H1336" s="242">
        <v>1</v>
      </c>
      <c r="I1336" s="243">
        <f t="shared" ref="I1336:I1342" si="10">TRUNC(D1336*F1336*H1336+E1336*G1336*H1336,2)</f>
        <v>153.65</v>
      </c>
    </row>
    <row r="1337" spans="1:13" x14ac:dyDescent="0.2">
      <c r="A1337" s="237" t="str">
        <f>VLOOKUP(B1337,equip.!$A:$G,2,FALSE)</f>
        <v>Conjunto moto bomba diam. 4"</v>
      </c>
      <c r="B1337" s="238">
        <v>30080</v>
      </c>
      <c r="C1337" s="239">
        <f>VLOOKUP(B1337,equip.!$A$1:$G$239,3,FALSE)</f>
        <v>0</v>
      </c>
      <c r="D1337" s="240">
        <v>0.5</v>
      </c>
      <c r="E1337" s="205">
        <f t="shared" ref="E1337:E1342" si="11">1-D1337</f>
        <v>0.5</v>
      </c>
      <c r="F1337" s="241">
        <f>VLOOKUP(B1337,equip.!$A:$G,6,FALSE)</f>
        <v>18.05</v>
      </c>
      <c r="G1337" s="241">
        <f>VLOOKUP(B1337,equip.!$A:$G,7,FALSE)</f>
        <v>12.15</v>
      </c>
      <c r="H1337" s="242">
        <v>1</v>
      </c>
      <c r="I1337" s="243">
        <f t="shared" si="10"/>
        <v>15.1</v>
      </c>
    </row>
    <row r="1338" spans="1:13" ht="22.5" x14ac:dyDescent="0.2">
      <c r="A1338" s="237" t="str">
        <f>VLOOKUP(B1338,equip.!$A:$G,2,FALSE)</f>
        <v>Grade de disco GA-24x24 (TATU) ou equivalente</v>
      </c>
      <c r="B1338" s="238">
        <v>30054</v>
      </c>
      <c r="C1338" s="239">
        <f>VLOOKUP(B1338,equip.!$A$1:$G$239,3,FALSE)</f>
        <v>0</v>
      </c>
      <c r="D1338" s="240">
        <v>0.52</v>
      </c>
      <c r="E1338" s="205">
        <f t="shared" si="11"/>
        <v>0.48</v>
      </c>
      <c r="F1338" s="241">
        <f>VLOOKUP(B1338,equip.!$A:$G,6,FALSE)</f>
        <v>15.59</v>
      </c>
      <c r="G1338" s="241">
        <f>VLOOKUP(B1338,equip.!$A:$G,7,FALSE)</f>
        <v>14.45</v>
      </c>
      <c r="H1338" s="242">
        <v>1</v>
      </c>
      <c r="I1338" s="243">
        <f t="shared" si="10"/>
        <v>15.04</v>
      </c>
    </row>
    <row r="1339" spans="1:13" ht="33.75" x14ac:dyDescent="0.2">
      <c r="A1339" s="237" t="str">
        <f>VLOOKUP(B1339,equip.!$A:$G,2,FALSE)</f>
        <v>Motoniveladora Caterpillar modelo 120K ( cab + ar + ríper) ou equivalente</v>
      </c>
      <c r="B1339" s="238">
        <v>30022</v>
      </c>
      <c r="C1339" s="239" t="str">
        <f>VLOOKUP(B1339,equip.!$A$1:$G$239,3,FALSE)</f>
        <v>M</v>
      </c>
      <c r="D1339" s="240">
        <v>0.55000000000000004</v>
      </c>
      <c r="E1339" s="205">
        <f t="shared" si="11"/>
        <v>0.45</v>
      </c>
      <c r="F1339" s="241">
        <f>VLOOKUP(B1339,equip.!$A:$G,6,FALSE)</f>
        <v>247.92</v>
      </c>
      <c r="G1339" s="241">
        <f>VLOOKUP(B1339,equip.!$A:$G,7,FALSE)</f>
        <v>83.72</v>
      </c>
      <c r="H1339" s="242">
        <v>1</v>
      </c>
      <c r="I1339" s="243">
        <f t="shared" si="10"/>
        <v>174.03</v>
      </c>
    </row>
    <row r="1340" spans="1:13" ht="22.5" x14ac:dyDescent="0.2">
      <c r="A1340" s="237" t="str">
        <f>VLOOKUP(B1340,equip.!$A:$G,2,FALSE)</f>
        <v>Rolo AP vib. patas 100 mm CA-25P (DYNAPAC) ou equivalente</v>
      </c>
      <c r="B1340" s="238">
        <v>30040</v>
      </c>
      <c r="C1340" s="239" t="str">
        <f>VLOOKUP(B1340,equip.!$A$1:$G$239,3,FALSE)</f>
        <v>M</v>
      </c>
      <c r="D1340" s="240">
        <v>1</v>
      </c>
      <c r="E1340" s="205">
        <f t="shared" si="11"/>
        <v>0</v>
      </c>
      <c r="F1340" s="241">
        <f>VLOOKUP(B1340,equip.!$A:$G,6,FALSE)</f>
        <v>187.58</v>
      </c>
      <c r="G1340" s="241">
        <f>VLOOKUP(B1340,equip.!$A:$G,7,FALSE)</f>
        <v>58.07</v>
      </c>
      <c r="H1340" s="242">
        <v>1</v>
      </c>
      <c r="I1340" s="243">
        <f t="shared" si="10"/>
        <v>187.58</v>
      </c>
    </row>
    <row r="1341" spans="1:13" ht="22.5" x14ac:dyDescent="0.2">
      <c r="A1341" s="237" t="str">
        <f>VLOOKUP(B1341,equip.!$A:$G,2,FALSE)</f>
        <v>Rolo compactador de pneus CP 224, Dynapac ou equivalente</v>
      </c>
      <c r="B1341" s="238">
        <v>30033</v>
      </c>
      <c r="C1341" s="239">
        <f>VLOOKUP(B1341,equip.!$A$1:$G$239,3,FALSE)</f>
        <v>0</v>
      </c>
      <c r="D1341" s="240">
        <v>0.78</v>
      </c>
      <c r="E1341" s="205">
        <f t="shared" si="11"/>
        <v>0.22</v>
      </c>
      <c r="F1341" s="241">
        <f>VLOOKUP(B1341,equip.!$A:$G,6,FALSE)</f>
        <v>192.45</v>
      </c>
      <c r="G1341" s="241">
        <f>VLOOKUP(B1341,equip.!$A:$G,7,FALSE)</f>
        <v>61.52</v>
      </c>
      <c r="H1341" s="242">
        <v>1</v>
      </c>
      <c r="I1341" s="243">
        <f t="shared" si="10"/>
        <v>163.63999999999999</v>
      </c>
    </row>
    <row r="1342" spans="1:13" ht="33.75" x14ac:dyDescent="0.2">
      <c r="A1342" s="237" t="str">
        <f>VLOOKUP(B1342,equip.!$A:$G,2,FALSE)</f>
        <v>Trator agrícola MF 297/4 -4 X 4 (MASSEY FERGUSSON) ou equivalente</v>
      </c>
      <c r="B1342" s="238">
        <v>30030</v>
      </c>
      <c r="C1342" s="239" t="str">
        <f>VLOOKUP(B1342,equip.!$A$1:$G$239,3,FALSE)</f>
        <v>M</v>
      </c>
      <c r="D1342" s="240">
        <v>0.52</v>
      </c>
      <c r="E1342" s="205">
        <f t="shared" si="11"/>
        <v>0.48</v>
      </c>
      <c r="F1342" s="241">
        <f>VLOOKUP(B1342,equip.!$A:$G,6,FALSE)</f>
        <v>117.24</v>
      </c>
      <c r="G1342" s="241">
        <f>VLOOKUP(B1342,equip.!$A:$G,7,FALSE)</f>
        <v>30.29</v>
      </c>
      <c r="H1342" s="242">
        <v>1</v>
      </c>
      <c r="I1342" s="243">
        <f t="shared" si="10"/>
        <v>75.5</v>
      </c>
    </row>
    <row r="1343" spans="1:13" x14ac:dyDescent="0.2">
      <c r="A1343" s="199"/>
      <c r="B1343" s="233"/>
      <c r="C1343" s="233"/>
      <c r="D1343" s="199"/>
      <c r="E1343" s="199"/>
      <c r="F1343" s="234" t="s">
        <v>199</v>
      </c>
      <c r="G1343" s="244"/>
      <c r="H1343" s="245"/>
      <c r="I1343" s="434">
        <f>SUM(I1336:I1342)</f>
        <v>784.54</v>
      </c>
    </row>
    <row r="1344" spans="1:13" x14ac:dyDescent="0.2">
      <c r="A1344" s="199"/>
      <c r="B1344" s="233"/>
      <c r="C1344" s="233"/>
      <c r="D1344" s="199"/>
      <c r="E1344" s="199"/>
      <c r="F1344" s="199"/>
      <c r="G1344" s="199"/>
      <c r="H1344" s="199"/>
      <c r="I1344" s="200"/>
    </row>
    <row r="1345" spans="1:17" x14ac:dyDescent="0.2">
      <c r="A1345" s="246" t="s">
        <v>200</v>
      </c>
      <c r="B1345" s="247" t="s">
        <v>60</v>
      </c>
      <c r="C1345" s="236" t="s">
        <v>1242</v>
      </c>
      <c r="D1345" s="247" t="s">
        <v>202</v>
      </c>
      <c r="E1345" s="1271" t="s">
        <v>91</v>
      </c>
      <c r="F1345" s="1272"/>
      <c r="G1345" s="1273"/>
      <c r="H1345" s="1276" t="s">
        <v>198</v>
      </c>
      <c r="I1345" s="1275"/>
    </row>
    <row r="1346" spans="1:17" x14ac:dyDescent="0.2">
      <c r="A1346" s="248" t="str">
        <f>VLOOKUP(B1346,m.o.!$A:$H,2,FALSE)</f>
        <v>Encarregado de pista</v>
      </c>
      <c r="B1346" s="238">
        <v>20063</v>
      </c>
      <c r="C1346" s="243">
        <f>VLOOKUP(B1346,m.o.!$A:$F,4,FALSE)</f>
        <v>2.2599999999999998</v>
      </c>
      <c r="D1346" s="243">
        <f>VLOOKUP(B1346,m.o.!$A:$G,7,FALSE)</f>
        <v>26.3</v>
      </c>
      <c r="E1346" s="260"/>
      <c r="F1346" s="258"/>
      <c r="G1346" s="300">
        <v>1</v>
      </c>
      <c r="H1346" s="244"/>
      <c r="I1346" s="249">
        <f>TRUNC(D1346*G1346,2)</f>
        <v>26.3</v>
      </c>
      <c r="J1346" s="302"/>
      <c r="K1346" s="302"/>
    </row>
    <row r="1347" spans="1:17" x14ac:dyDescent="0.2">
      <c r="A1347" s="265" t="str">
        <f>VLOOKUP(B1347,m.o.!$A:$H,2,FALSE)</f>
        <v>Servente</v>
      </c>
      <c r="B1347" s="238">
        <v>20002</v>
      </c>
      <c r="C1347" s="267">
        <f>VLOOKUP(B1347,m.o.!$A:$F,4,FALSE)</f>
        <v>1</v>
      </c>
      <c r="D1347" s="267">
        <f>VLOOKUP(B1347,m.o.!$A:$G,7,FALSE)</f>
        <v>11.64</v>
      </c>
      <c r="E1347" s="260"/>
      <c r="F1347" s="258"/>
      <c r="G1347" s="441">
        <v>3</v>
      </c>
      <c r="H1347" s="260"/>
      <c r="I1347" s="268">
        <f>TRUNC(D1347*G1347,2)</f>
        <v>34.92</v>
      </c>
      <c r="J1347" s="302"/>
      <c r="K1347" s="302"/>
    </row>
    <row r="1348" spans="1:17" x14ac:dyDescent="0.2">
      <c r="A1348" s="199"/>
      <c r="B1348" s="233"/>
      <c r="C1348" s="233"/>
      <c r="D1348" s="199"/>
      <c r="E1348" s="199"/>
      <c r="F1348" s="234" t="s">
        <v>203</v>
      </c>
      <c r="G1348" s="244"/>
      <c r="H1348" s="245"/>
      <c r="I1348" s="434">
        <f>SUM(I1346:I1347)</f>
        <v>61.22</v>
      </c>
      <c r="J1348" s="302"/>
      <c r="K1348" s="302"/>
    </row>
    <row r="1349" spans="1:17" x14ac:dyDescent="0.2">
      <c r="A1349" s="199"/>
      <c r="B1349" s="233"/>
      <c r="C1349" s="233"/>
      <c r="D1349" s="199"/>
      <c r="E1349" s="199"/>
      <c r="F1349" s="199"/>
      <c r="G1349" s="199"/>
      <c r="H1349" s="199"/>
      <c r="I1349" s="200"/>
      <c r="J1349" s="302"/>
      <c r="K1349" s="302"/>
    </row>
    <row r="1350" spans="1:17" x14ac:dyDescent="0.2">
      <c r="A1350" s="250" t="s">
        <v>204</v>
      </c>
      <c r="B1350" s="247" t="s">
        <v>60</v>
      </c>
      <c r="C1350" s="866" t="s">
        <v>17</v>
      </c>
      <c r="D1350" s="247" t="s">
        <v>205</v>
      </c>
      <c r="E1350" s="247" t="s">
        <v>206</v>
      </c>
      <c r="F1350" s="247" t="s">
        <v>207</v>
      </c>
      <c r="G1350" s="1276" t="s">
        <v>96</v>
      </c>
      <c r="H1350" s="1274"/>
      <c r="I1350" s="1275"/>
      <c r="J1350" s="302"/>
      <c r="K1350" s="302"/>
    </row>
    <row r="1351" spans="1:17" x14ac:dyDescent="0.2">
      <c r="A1351" s="248"/>
      <c r="B1351" s="238"/>
      <c r="C1351" s="243"/>
      <c r="D1351" s="239"/>
      <c r="E1351" s="251"/>
      <c r="F1351" s="251"/>
      <c r="G1351" s="244"/>
      <c r="H1351" s="245"/>
      <c r="I1351" s="249">
        <f>TRUNC(C1351/100*I1348,2)</f>
        <v>0</v>
      </c>
      <c r="J1351" s="302"/>
      <c r="K1351" s="302"/>
    </row>
    <row r="1352" spans="1:17" x14ac:dyDescent="0.2">
      <c r="A1352" s="199"/>
      <c r="B1352" s="233"/>
      <c r="C1352" s="199"/>
      <c r="D1352" s="199"/>
      <c r="E1352" s="199"/>
      <c r="F1352" s="234" t="s">
        <v>1170</v>
      </c>
      <c r="G1352" s="244"/>
      <c r="H1352" s="245"/>
      <c r="I1352" s="434">
        <f>SUM(I1351)</f>
        <v>0</v>
      </c>
      <c r="J1352" s="302"/>
      <c r="K1352" s="302"/>
    </row>
    <row r="1353" spans="1:17" x14ac:dyDescent="0.2">
      <c r="A1353" s="199"/>
      <c r="B1353" s="233"/>
      <c r="C1353" s="199"/>
      <c r="D1353" s="199"/>
      <c r="E1353" s="199"/>
      <c r="F1353" s="199"/>
      <c r="G1353" s="199"/>
      <c r="H1353" s="199"/>
      <c r="I1353" s="200"/>
      <c r="J1353" s="302"/>
      <c r="K1353" s="302"/>
      <c r="P1353" s="198"/>
      <c r="Q1353" s="198"/>
    </row>
    <row r="1354" spans="1:17" x14ac:dyDescent="0.2">
      <c r="A1354" s="252"/>
      <c r="B1354" s="253"/>
      <c r="C1354" s="254"/>
      <c r="D1354" s="254"/>
      <c r="E1354" s="254"/>
      <c r="F1354" s="255" t="s">
        <v>208</v>
      </c>
      <c r="G1354" s="435"/>
      <c r="H1354" s="254"/>
      <c r="I1354" s="634">
        <f>+I1343+I1348+I1352</f>
        <v>845.76</v>
      </c>
      <c r="J1354" s="302"/>
      <c r="K1354" s="302"/>
      <c r="P1354" s="198"/>
      <c r="Q1354" s="198"/>
    </row>
    <row r="1355" spans="1:17" x14ac:dyDescent="0.2">
      <c r="A1355" s="256"/>
      <c r="B1355" s="257"/>
      <c r="C1355" s="258"/>
      <c r="D1355" s="258"/>
      <c r="E1355" s="258"/>
      <c r="F1355" s="259" t="s">
        <v>209</v>
      </c>
      <c r="G1355" s="260"/>
      <c r="H1355" s="258"/>
      <c r="I1355" s="635">
        <v>841</v>
      </c>
      <c r="J1355" s="302"/>
      <c r="K1355" s="302"/>
      <c r="P1355" s="198"/>
      <c r="Q1355" s="198"/>
    </row>
    <row r="1356" spans="1:17" x14ac:dyDescent="0.2">
      <c r="A1356" s="237"/>
      <c r="B1356" s="261"/>
      <c r="C1356" s="245"/>
      <c r="D1356" s="245"/>
      <c r="E1356" s="245"/>
      <c r="F1356" s="262" t="s">
        <v>232</v>
      </c>
      <c r="G1356" s="244"/>
      <c r="H1356" s="245"/>
      <c r="I1356" s="633">
        <f>TRUNC(I1354/I1355,2)</f>
        <v>1</v>
      </c>
      <c r="J1356" s="302"/>
      <c r="K1356" s="302"/>
      <c r="P1356" s="198"/>
      <c r="Q1356" s="198"/>
    </row>
    <row r="1357" spans="1:17" x14ac:dyDescent="0.2">
      <c r="A1357" s="867"/>
      <c r="B1357" s="233"/>
      <c r="C1357" s="199"/>
      <c r="D1357" s="199"/>
      <c r="E1357" s="199"/>
      <c r="F1357" s="263"/>
      <c r="G1357" s="199"/>
      <c r="H1357" s="199"/>
      <c r="I1357" s="264"/>
      <c r="J1357" s="302"/>
      <c r="K1357" s="302"/>
      <c r="P1357" s="198"/>
      <c r="Q1357" s="198"/>
    </row>
    <row r="1358" spans="1:17" x14ac:dyDescent="0.2">
      <c r="A1358" s="246" t="s">
        <v>210</v>
      </c>
      <c r="B1358" s="247" t="s">
        <v>60</v>
      </c>
      <c r="C1358" s="247" t="s">
        <v>211</v>
      </c>
      <c r="D1358" s="247" t="s">
        <v>233</v>
      </c>
      <c r="E1358" s="1276" t="s">
        <v>91</v>
      </c>
      <c r="F1358" s="1274"/>
      <c r="G1358" s="1275"/>
      <c r="H1358" s="1276" t="s">
        <v>198</v>
      </c>
      <c r="I1358" s="1275"/>
      <c r="J1358" s="302"/>
      <c r="K1358" s="302"/>
    </row>
    <row r="1359" spans="1:17" x14ac:dyDescent="0.2">
      <c r="A1359" s="265"/>
      <c r="B1359" s="238"/>
      <c r="C1359" s="266"/>
      <c r="D1359" s="267"/>
      <c r="E1359" s="260"/>
      <c r="F1359" s="258"/>
      <c r="G1359" s="300"/>
      <c r="H1359" s="260"/>
      <c r="I1359" s="268">
        <f>TRUNC(D1359*G1359,2)</f>
        <v>0</v>
      </c>
      <c r="J1359" s="302"/>
      <c r="K1359" s="302"/>
    </row>
    <row r="1360" spans="1:17" x14ac:dyDescent="0.2">
      <c r="A1360" s="199"/>
      <c r="B1360" s="233"/>
      <c r="C1360" s="199"/>
      <c r="D1360" s="199"/>
      <c r="E1360" s="199"/>
      <c r="F1360" s="234" t="s">
        <v>212</v>
      </c>
      <c r="G1360" s="244"/>
      <c r="H1360" s="245"/>
      <c r="I1360" s="434">
        <f>SUM(I1359:I1359)</f>
        <v>0</v>
      </c>
      <c r="J1360" s="302"/>
      <c r="K1360" s="302"/>
    </row>
    <row r="1361" spans="1:13" x14ac:dyDescent="0.2">
      <c r="A1361" s="199"/>
      <c r="B1361" s="233"/>
      <c r="C1361" s="199"/>
      <c r="D1361" s="199"/>
      <c r="E1361" s="199"/>
      <c r="F1361" s="199"/>
      <c r="G1361" s="269"/>
      <c r="H1361" s="199"/>
      <c r="I1361" s="200"/>
    </row>
    <row r="1362" spans="1:13" x14ac:dyDescent="0.2">
      <c r="A1362" s="270" t="s">
        <v>213</v>
      </c>
      <c r="B1362" s="247" t="s">
        <v>60</v>
      </c>
      <c r="C1362" s="247" t="s">
        <v>211</v>
      </c>
      <c r="D1362" s="866" t="s">
        <v>233</v>
      </c>
      <c r="E1362" s="1271" t="s">
        <v>91</v>
      </c>
      <c r="F1362" s="1272"/>
      <c r="G1362" s="1273"/>
      <c r="H1362" s="1274" t="s">
        <v>198</v>
      </c>
      <c r="I1362" s="1275"/>
    </row>
    <row r="1363" spans="1:13" x14ac:dyDescent="0.2">
      <c r="A1363" s="248"/>
      <c r="B1363" s="238"/>
      <c r="C1363" s="238"/>
      <c r="D1363" s="243"/>
      <c r="E1363" s="260"/>
      <c r="F1363" s="258"/>
      <c r="G1363" s="300"/>
      <c r="H1363" s="244"/>
      <c r="I1363" s="268">
        <f>TRUNC(D1363*G1363,2)</f>
        <v>0</v>
      </c>
    </row>
    <row r="1364" spans="1:13" x14ac:dyDescent="0.2">
      <c r="A1364" s="201"/>
      <c r="B1364" s="271"/>
      <c r="C1364" s="201"/>
      <c r="D1364" s="201"/>
      <c r="E1364" s="201"/>
      <c r="F1364" s="272" t="s">
        <v>214</v>
      </c>
      <c r="G1364" s="260"/>
      <c r="H1364" s="273"/>
      <c r="I1364" s="436">
        <f>SUM(I1363:I1363)</f>
        <v>0</v>
      </c>
    </row>
    <row r="1365" spans="1:13" x14ac:dyDescent="0.2">
      <c r="A1365" s="201"/>
      <c r="B1365" s="271"/>
      <c r="C1365" s="201"/>
      <c r="D1365" s="201"/>
      <c r="E1365" s="201"/>
      <c r="F1365" s="201"/>
      <c r="G1365" s="201"/>
      <c r="H1365" s="201"/>
      <c r="I1365" s="201"/>
    </row>
    <row r="1366" spans="1:13" x14ac:dyDescent="0.2">
      <c r="A1366" s="274" t="s">
        <v>215</v>
      </c>
      <c r="B1366" s="275" t="s">
        <v>60</v>
      </c>
      <c r="C1366" s="275" t="s">
        <v>211</v>
      </c>
      <c r="D1366" s="275" t="s">
        <v>216</v>
      </c>
      <c r="E1366" s="275" t="s">
        <v>217</v>
      </c>
      <c r="F1366" s="275" t="s">
        <v>218</v>
      </c>
      <c r="G1366" s="275" t="s">
        <v>96</v>
      </c>
      <c r="H1366" s="275" t="s">
        <v>91</v>
      </c>
      <c r="I1366" s="275" t="s">
        <v>219</v>
      </c>
      <c r="J1366" s="433" t="s">
        <v>118</v>
      </c>
    </row>
    <row r="1367" spans="1:13" x14ac:dyDescent="0.2">
      <c r="A1367" s="248"/>
      <c r="B1367" s="238"/>
      <c r="C1367" s="238"/>
      <c r="D1367" s="437"/>
      <c r="E1367" s="277"/>
      <c r="F1367" s="277"/>
      <c r="G1367" s="243"/>
      <c r="H1367" s="278"/>
      <c r="I1367" s="243"/>
    </row>
    <row r="1368" spans="1:13" x14ac:dyDescent="0.2">
      <c r="A1368" s="201"/>
      <c r="B1368" s="271"/>
      <c r="C1368" s="201"/>
      <c r="D1368" s="201"/>
      <c r="E1368" s="201"/>
      <c r="F1368" s="272" t="s">
        <v>220</v>
      </c>
      <c r="G1368" s="244"/>
      <c r="H1368" s="279"/>
      <c r="I1368" s="438">
        <f>SUM(I1367:I1367)</f>
        <v>0</v>
      </c>
    </row>
    <row r="1369" spans="1:13" x14ac:dyDescent="0.2">
      <c r="A1369" s="201"/>
      <c r="B1369" s="271"/>
      <c r="C1369" s="201"/>
      <c r="D1369" s="201"/>
      <c r="E1369" s="201"/>
      <c r="F1369" s="201"/>
      <c r="G1369" s="201"/>
      <c r="H1369" s="201"/>
      <c r="I1369" s="202"/>
    </row>
    <row r="1370" spans="1:13" x14ac:dyDescent="0.2">
      <c r="A1370" s="280"/>
      <c r="B1370" s="281"/>
      <c r="C1370" s="282"/>
      <c r="D1370" s="282"/>
      <c r="E1370" s="282"/>
      <c r="F1370" s="283" t="s">
        <v>221</v>
      </c>
      <c r="G1370" s="280"/>
      <c r="H1370" s="254"/>
      <c r="I1370" s="634">
        <f>+I1356+I1360+I1364+I1368</f>
        <v>1</v>
      </c>
    </row>
    <row r="1371" spans="1:13" x14ac:dyDescent="0.2">
      <c r="A1371" s="260"/>
      <c r="B1371" s="284"/>
      <c r="C1371" s="273"/>
      <c r="D1371" s="273"/>
      <c r="E1371" s="273"/>
      <c r="F1371" s="285" t="str">
        <f>CONCATENATE($H$3," ",$I$3)</f>
        <v>BDI: 23,32</v>
      </c>
      <c r="G1371" s="439"/>
      <c r="H1371" s="258"/>
      <c r="I1371" s="635">
        <f>+ROUND(I1370*$I$4,2)</f>
        <v>0.23</v>
      </c>
    </row>
    <row r="1372" spans="1:13" x14ac:dyDescent="0.2">
      <c r="A1372" s="244"/>
      <c r="B1372" s="286"/>
      <c r="C1372" s="279"/>
      <c r="D1372" s="279"/>
      <c r="E1372" s="279"/>
      <c r="F1372" s="287" t="s">
        <v>222</v>
      </c>
      <c r="G1372" s="440"/>
      <c r="H1372" s="245"/>
      <c r="I1372" s="1017">
        <f>+I1370+I1371</f>
        <v>1.23</v>
      </c>
    </row>
    <row r="1373" spans="1:13" x14ac:dyDescent="0.2">
      <c r="A1373" s="1277" t="str">
        <f>$A$1</f>
        <v>COMPOSIÇÃO DE CUSTOS UNITÁRIOS</v>
      </c>
      <c r="B1373" s="1277"/>
      <c r="C1373" s="1277"/>
      <c r="D1373" s="1277"/>
      <c r="E1373" s="1277"/>
      <c r="F1373" s="1277"/>
      <c r="G1373" s="1277"/>
      <c r="H1373" s="1277"/>
      <c r="I1373" s="1277"/>
    </row>
    <row r="1374" spans="1:13" x14ac:dyDescent="0.2">
      <c r="A1374" s="232" t="str">
        <f>$A$2</f>
        <v>Tabela Referencial de Preços - DER-ES</v>
      </c>
      <c r="B1374" s="233"/>
      <c r="C1374" s="199"/>
      <c r="D1374" s="199"/>
      <c r="E1374" s="199"/>
      <c r="F1374" s="199"/>
      <c r="G1374" s="199"/>
      <c r="H1374" s="199"/>
      <c r="I1374" s="234" t="str">
        <f>$I$2</f>
        <v>Data Base: Outubro/2018</v>
      </c>
    </row>
    <row r="1375" spans="1:13" x14ac:dyDescent="0.2">
      <c r="A1375" s="1278" t="str">
        <f>+CONCATENATE("Serviço: ",J1375," ",VLOOKUP(J1375,'DER 10-18'!$A:$D,2,FALSE))</f>
        <v>Serviço: 40757 Estabilização granulométrica de solo s/ mistura 100% P.I.</v>
      </c>
      <c r="B1375" s="1278"/>
      <c r="C1375" s="1278"/>
      <c r="D1375" s="1278"/>
      <c r="E1375" s="1278"/>
      <c r="F1375" s="1278"/>
      <c r="G1375" s="1278"/>
      <c r="H1375" s="1278"/>
      <c r="I1375" s="1278" t="str">
        <f>CONCATENATE("Unidade: ", VLOOKUP(J1375,'DER 10-18'!$A:$E,3,FALSE))</f>
        <v>Unidade: M3</v>
      </c>
      <c r="J1375" s="433">
        <v>40757</v>
      </c>
      <c r="K1375" s="433">
        <f>VLOOKUP("Preço Unitário Total",F1376:I2366,4,FALSE)</f>
        <v>18.68</v>
      </c>
      <c r="L1375" s="302">
        <f>VLOOKUP(J1375,'DER 10-18'!A:E,5,FALSE)</f>
        <v>0</v>
      </c>
      <c r="M1375" s="302" t="str">
        <f>VLOOKUP(J1375,'DER 10-18'!$A:$D,2,FALSE)</f>
        <v>Estabilização granulométrica de solo s/ mistura 100% P.I.</v>
      </c>
    </row>
    <row r="1376" spans="1:13" x14ac:dyDescent="0.2">
      <c r="A1376" s="1279"/>
      <c r="B1376" s="1279"/>
      <c r="C1376" s="1279"/>
      <c r="D1376" s="1279"/>
      <c r="E1376" s="1279"/>
      <c r="F1376" s="1279"/>
      <c r="G1376" s="1279"/>
      <c r="H1376" s="1279"/>
      <c r="I1376" s="1279"/>
    </row>
    <row r="1377" spans="1:9" ht="22.5" x14ac:dyDescent="0.2">
      <c r="A1377" s="235" t="s">
        <v>192</v>
      </c>
      <c r="B1377" s="236" t="s">
        <v>60</v>
      </c>
      <c r="C1377" s="236" t="s">
        <v>193</v>
      </c>
      <c r="D1377" s="236" t="s">
        <v>194</v>
      </c>
      <c r="E1377" s="236" t="s">
        <v>195</v>
      </c>
      <c r="F1377" s="236" t="s">
        <v>196</v>
      </c>
      <c r="G1377" s="236" t="s">
        <v>197</v>
      </c>
      <c r="H1377" s="236" t="s">
        <v>91</v>
      </c>
      <c r="I1377" s="236" t="s">
        <v>198</v>
      </c>
    </row>
    <row r="1378" spans="1:9" ht="22.5" x14ac:dyDescent="0.2">
      <c r="A1378" s="237" t="str">
        <f>VLOOKUP(B1378,equip.!$A:$G,2,FALSE)</f>
        <v>Caminhão tanque L 1319/48 PBT=12,9t (6.000L)</v>
      </c>
      <c r="B1378" s="238">
        <v>30007</v>
      </c>
      <c r="C1378" s="239" t="str">
        <f>VLOOKUP(B1378,equip.!$A$1:$G$240,3,FALSE)</f>
        <v>M</v>
      </c>
      <c r="D1378" s="240">
        <v>0.8</v>
      </c>
      <c r="E1378" s="205">
        <v>0.2</v>
      </c>
      <c r="F1378" s="241">
        <f>VLOOKUP(B1378,equip.!$A:$G,6,FALSE)</f>
        <v>155.91</v>
      </c>
      <c r="G1378" s="241">
        <f>VLOOKUP(B1378,equip.!$A:$G,7,FALSE)</f>
        <v>43.38</v>
      </c>
      <c r="H1378" s="242">
        <v>2</v>
      </c>
      <c r="I1378" s="243">
        <f>TRUNC(D1378*F1378*H1378+E1378*G1378*H1378,2)</f>
        <v>266.8</v>
      </c>
    </row>
    <row r="1379" spans="1:9" x14ac:dyDescent="0.2">
      <c r="A1379" s="237" t="str">
        <f>VLOOKUP(B1379,equip.!$A:$G,2,FALSE)</f>
        <v>Conjunto moto bomba diam. 4"</v>
      </c>
      <c r="B1379" s="238">
        <v>30080</v>
      </c>
      <c r="C1379" s="239">
        <f>VLOOKUP(B1379,equip.!$A$1:$G$240,3,FALSE)</f>
        <v>0</v>
      </c>
      <c r="D1379" s="240">
        <v>0.8</v>
      </c>
      <c r="E1379" s="205">
        <v>0.2</v>
      </c>
      <c r="F1379" s="241">
        <f>VLOOKUP(B1379,equip.!$A:$G,6,FALSE)</f>
        <v>18.05</v>
      </c>
      <c r="G1379" s="241">
        <f>VLOOKUP(B1379,equip.!$A:$G,7,FALSE)</f>
        <v>12.15</v>
      </c>
      <c r="H1379" s="242">
        <v>1</v>
      </c>
      <c r="I1379" s="243">
        <f t="shared" ref="I1379:I1385" si="12">TRUNC(D1379*F1379*H1379+E1379*G1379*H1379,2)</f>
        <v>16.87</v>
      </c>
    </row>
    <row r="1380" spans="1:9" ht="22.5" x14ac:dyDescent="0.2">
      <c r="A1380" s="237" t="str">
        <f>VLOOKUP(B1380,equip.!$A:$G,2,FALSE)</f>
        <v>Grade de disco GA-24x24 (TATU) ou equivalente</v>
      </c>
      <c r="B1380" s="238">
        <v>30054</v>
      </c>
      <c r="C1380" s="239">
        <f>VLOOKUP(B1380,equip.!$A$1:$G$240,3,FALSE)</f>
        <v>0</v>
      </c>
      <c r="D1380" s="240">
        <v>0.6</v>
      </c>
      <c r="E1380" s="205">
        <v>0.4</v>
      </c>
      <c r="F1380" s="241">
        <f>VLOOKUP(B1380,equip.!$A:$G,6,FALSE)</f>
        <v>15.59</v>
      </c>
      <c r="G1380" s="241">
        <f>VLOOKUP(B1380,equip.!$A:$G,7,FALSE)</f>
        <v>14.45</v>
      </c>
      <c r="H1380" s="242">
        <v>1</v>
      </c>
      <c r="I1380" s="243">
        <f t="shared" si="12"/>
        <v>15.13</v>
      </c>
    </row>
    <row r="1381" spans="1:9" ht="33.75" x14ac:dyDescent="0.2">
      <c r="A1381" s="237" t="str">
        <f>VLOOKUP(B1381,equip.!$A:$G,2,FALSE)</f>
        <v>Motoniveladora Caterpillar modelo 120K ( cab + ar + ríper) ou equivalente</v>
      </c>
      <c r="B1381" s="238">
        <v>30022</v>
      </c>
      <c r="C1381" s="239" t="str">
        <f>VLOOKUP(B1381,equip.!$A$1:$G$240,3,FALSE)</f>
        <v>M</v>
      </c>
      <c r="D1381" s="240">
        <v>1</v>
      </c>
      <c r="E1381" s="205">
        <v>0</v>
      </c>
      <c r="F1381" s="241">
        <f>VLOOKUP(B1381,equip.!$A:$G,6,FALSE)</f>
        <v>247.92</v>
      </c>
      <c r="G1381" s="241">
        <f>VLOOKUP(B1381,equip.!$A:$G,7,FALSE)</f>
        <v>83.72</v>
      </c>
      <c r="H1381" s="242">
        <v>1</v>
      </c>
      <c r="I1381" s="243">
        <f t="shared" si="12"/>
        <v>247.92</v>
      </c>
    </row>
    <row r="1382" spans="1:9" ht="22.5" x14ac:dyDescent="0.2">
      <c r="A1382" s="237" t="str">
        <f>VLOOKUP(B1382,equip.!$A:$G,2,FALSE)</f>
        <v>Rolo AP vib. liso de aço CA-15 STD (DYNAPAC) ou equivalente</v>
      </c>
      <c r="B1382" s="238">
        <v>30037</v>
      </c>
      <c r="C1382" s="239" t="str">
        <f>VLOOKUP(B1382,equip.!$A$1:$G$240,3,FALSE)</f>
        <v>M</v>
      </c>
      <c r="D1382" s="240">
        <v>0.55000000000000004</v>
      </c>
      <c r="E1382" s="205">
        <v>0.45</v>
      </c>
      <c r="F1382" s="241">
        <f>VLOOKUP(B1382,equip.!$A:$G,6,FALSE)</f>
        <v>114.97</v>
      </c>
      <c r="G1382" s="241">
        <f>VLOOKUP(B1382,equip.!$A:$G,7,FALSE)</f>
        <v>44.25</v>
      </c>
      <c r="H1382" s="242">
        <v>1</v>
      </c>
      <c r="I1382" s="243">
        <f t="shared" si="12"/>
        <v>83.14</v>
      </c>
    </row>
    <row r="1383" spans="1:9" ht="22.5" x14ac:dyDescent="0.2">
      <c r="A1383" s="237" t="str">
        <f>VLOOKUP(B1383,equip.!$A:$G,2,FALSE)</f>
        <v>Rolo AP vib. patas 100 mm CA-25P (DYNAPAC) ou equivalente</v>
      </c>
      <c r="B1383" s="238">
        <v>30040</v>
      </c>
      <c r="C1383" s="239" t="str">
        <f>VLOOKUP(B1383,equip.!$A$1:$G$240,3,FALSE)</f>
        <v>M</v>
      </c>
      <c r="D1383" s="240">
        <v>0.6</v>
      </c>
      <c r="E1383" s="205">
        <v>0.4</v>
      </c>
      <c r="F1383" s="241">
        <f>VLOOKUP(B1383,equip.!$A:$G,6,FALSE)</f>
        <v>187.58</v>
      </c>
      <c r="G1383" s="241">
        <f>VLOOKUP(B1383,equip.!$A:$G,7,FALSE)</f>
        <v>58.07</v>
      </c>
      <c r="H1383" s="242">
        <v>1</v>
      </c>
      <c r="I1383" s="243">
        <f t="shared" si="12"/>
        <v>135.77000000000001</v>
      </c>
    </row>
    <row r="1384" spans="1:9" ht="22.5" x14ac:dyDescent="0.2">
      <c r="A1384" s="237" t="str">
        <f>VLOOKUP(B1384,equip.!$A:$G,2,FALSE)</f>
        <v>Rolo compactador de pneus CP 224, Dynapac ou equivalente</v>
      </c>
      <c r="B1384" s="238">
        <v>30033</v>
      </c>
      <c r="C1384" s="239">
        <f>VLOOKUP(B1384,equip.!$A$1:$G$240,3,FALSE)</f>
        <v>0</v>
      </c>
      <c r="D1384" s="240">
        <v>0.5</v>
      </c>
      <c r="E1384" s="205">
        <v>0.5</v>
      </c>
      <c r="F1384" s="241">
        <f>VLOOKUP(B1384,equip.!$A:$G,6,FALSE)</f>
        <v>192.45</v>
      </c>
      <c r="G1384" s="241">
        <f>VLOOKUP(B1384,equip.!$A:$G,7,FALSE)</f>
        <v>61.52</v>
      </c>
      <c r="H1384" s="242">
        <v>1</v>
      </c>
      <c r="I1384" s="243">
        <f t="shared" si="12"/>
        <v>126.98</v>
      </c>
    </row>
    <row r="1385" spans="1:9" ht="33.75" x14ac:dyDescent="0.2">
      <c r="A1385" s="237" t="str">
        <f>VLOOKUP(B1385,equip.!$A:$G,2,FALSE)</f>
        <v>Trator agrícola MF 297/4 -4 X 4 (MASSEY FERGUSSON) ou equivalente</v>
      </c>
      <c r="B1385" s="238">
        <v>30030</v>
      </c>
      <c r="C1385" s="239" t="str">
        <f>VLOOKUP(B1385,equip.!$A$1:$G$240,3,FALSE)</f>
        <v>M</v>
      </c>
      <c r="D1385" s="240">
        <v>0.6</v>
      </c>
      <c r="E1385" s="205">
        <v>0.4</v>
      </c>
      <c r="F1385" s="241">
        <f>VLOOKUP(B1385,equip.!$A:$G,6,FALSE)</f>
        <v>117.24</v>
      </c>
      <c r="G1385" s="241">
        <f>VLOOKUP(B1385,equip.!$A:$G,7,FALSE)</f>
        <v>30.29</v>
      </c>
      <c r="H1385" s="242">
        <v>1</v>
      </c>
      <c r="I1385" s="243">
        <f t="shared" si="12"/>
        <v>82.46</v>
      </c>
    </row>
    <row r="1386" spans="1:9" x14ac:dyDescent="0.2">
      <c r="A1386" s="199"/>
      <c r="B1386" s="233"/>
      <c r="C1386" s="233"/>
      <c r="D1386" s="199"/>
      <c r="E1386" s="199"/>
      <c r="F1386" s="234" t="s">
        <v>199</v>
      </c>
      <c r="G1386" s="244"/>
      <c r="H1386" s="245"/>
      <c r="I1386" s="434">
        <f>SUM(I1378:I1385)</f>
        <v>975.07</v>
      </c>
    </row>
    <row r="1387" spans="1:9" x14ac:dyDescent="0.2">
      <c r="A1387" s="199"/>
      <c r="B1387" s="233"/>
      <c r="C1387" s="233"/>
      <c r="D1387" s="199"/>
      <c r="E1387" s="199"/>
      <c r="F1387" s="199"/>
      <c r="G1387" s="199"/>
      <c r="H1387" s="199"/>
      <c r="I1387" s="200"/>
    </row>
    <row r="1388" spans="1:9" x14ac:dyDescent="0.2">
      <c r="A1388" s="246" t="s">
        <v>200</v>
      </c>
      <c r="B1388" s="247" t="s">
        <v>60</v>
      </c>
      <c r="C1388" s="236" t="s">
        <v>1242</v>
      </c>
      <c r="D1388" s="247" t="s">
        <v>202</v>
      </c>
      <c r="E1388" s="1271" t="s">
        <v>91</v>
      </c>
      <c r="F1388" s="1272"/>
      <c r="G1388" s="1273"/>
      <c r="H1388" s="1276" t="s">
        <v>198</v>
      </c>
      <c r="I1388" s="1275"/>
    </row>
    <row r="1389" spans="1:9" x14ac:dyDescent="0.2">
      <c r="A1389" s="248" t="str">
        <f>VLOOKUP(B1389,m.o.!$A:$H,2,FALSE)</f>
        <v>Encarregado de pista</v>
      </c>
      <c r="B1389" s="238">
        <v>20063</v>
      </c>
      <c r="C1389" s="243">
        <f>VLOOKUP(B1389,m.o.!$A:$F,4,FALSE)</f>
        <v>2.2599999999999998</v>
      </c>
      <c r="D1389" s="243">
        <f>VLOOKUP(B1389,m.o.!$A:$G,7,FALSE)</f>
        <v>26.3</v>
      </c>
      <c r="E1389" s="260"/>
      <c r="F1389" s="258"/>
      <c r="G1389" s="300">
        <v>0.5</v>
      </c>
      <c r="H1389" s="244"/>
      <c r="I1389" s="249">
        <f>TRUNC(D1389*G1389,2)</f>
        <v>13.15</v>
      </c>
    </row>
    <row r="1390" spans="1:9" x14ac:dyDescent="0.2">
      <c r="A1390" s="265" t="str">
        <f>VLOOKUP(B1390,m.o.!$A:$H,2,FALSE)</f>
        <v>Greidista</v>
      </c>
      <c r="B1390" s="238">
        <v>20088</v>
      </c>
      <c r="C1390" s="267">
        <f>VLOOKUP(B1390,m.o.!$A:$F,4,FALSE)</f>
        <v>1.24</v>
      </c>
      <c r="D1390" s="267">
        <f>VLOOKUP(B1390,m.o.!$A:$G,7,FALSE)</f>
        <v>14.43</v>
      </c>
      <c r="E1390" s="260"/>
      <c r="F1390" s="258"/>
      <c r="G1390" s="441">
        <v>1</v>
      </c>
      <c r="H1390" s="260"/>
      <c r="I1390" s="268">
        <f>TRUNC(D1390*G1390,2)</f>
        <v>14.43</v>
      </c>
    </row>
    <row r="1391" spans="1:9" x14ac:dyDescent="0.2">
      <c r="A1391" s="265" t="str">
        <f>VLOOKUP(B1391,m.o.!$A:$H,2,FALSE)</f>
        <v>Servente</v>
      </c>
      <c r="B1391" s="238">
        <v>20002</v>
      </c>
      <c r="C1391" s="267">
        <f>VLOOKUP(B1391,m.o.!$A:$F,4,FALSE)</f>
        <v>1</v>
      </c>
      <c r="D1391" s="267">
        <f>VLOOKUP(B1391,m.o.!$A:$G,7,FALSE)</f>
        <v>11.64</v>
      </c>
      <c r="E1391" s="260"/>
      <c r="F1391" s="258"/>
      <c r="G1391" s="441">
        <v>5</v>
      </c>
      <c r="H1391" s="260"/>
      <c r="I1391" s="268">
        <f>TRUNC(D1391*G1391,2)</f>
        <v>58.2</v>
      </c>
    </row>
    <row r="1392" spans="1:9" x14ac:dyDescent="0.2">
      <c r="A1392" s="199"/>
      <c r="B1392" s="233"/>
      <c r="C1392" s="233"/>
      <c r="D1392" s="199"/>
      <c r="E1392" s="199"/>
      <c r="F1392" s="234" t="s">
        <v>203</v>
      </c>
      <c r="G1392" s="244"/>
      <c r="H1392" s="245"/>
      <c r="I1392" s="434">
        <f>SUM(I1389:I1391)</f>
        <v>85.78</v>
      </c>
    </row>
    <row r="1393" spans="1:9" x14ac:dyDescent="0.2">
      <c r="A1393" s="199"/>
      <c r="B1393" s="233"/>
      <c r="C1393" s="233"/>
      <c r="D1393" s="199"/>
      <c r="E1393" s="199"/>
      <c r="F1393" s="199"/>
      <c r="G1393" s="199"/>
      <c r="H1393" s="199"/>
      <c r="I1393" s="200"/>
    </row>
    <row r="1394" spans="1:9" x14ac:dyDescent="0.2">
      <c r="A1394" s="250" t="s">
        <v>204</v>
      </c>
      <c r="B1394" s="247" t="s">
        <v>60</v>
      </c>
      <c r="C1394" s="866" t="s">
        <v>17</v>
      </c>
      <c r="D1394" s="247" t="s">
        <v>205</v>
      </c>
      <c r="E1394" s="247" t="s">
        <v>206</v>
      </c>
      <c r="F1394" s="247" t="s">
        <v>207</v>
      </c>
      <c r="G1394" s="1276" t="s">
        <v>96</v>
      </c>
      <c r="H1394" s="1274"/>
      <c r="I1394" s="1275"/>
    </row>
    <row r="1395" spans="1:9" x14ac:dyDescent="0.2">
      <c r="A1395" s="248"/>
      <c r="B1395" s="238"/>
      <c r="C1395" s="243"/>
      <c r="D1395" s="239"/>
      <c r="E1395" s="251"/>
      <c r="F1395" s="251"/>
      <c r="G1395" s="244"/>
      <c r="H1395" s="245"/>
      <c r="I1395" s="249">
        <f>TRUNC(C1395/100*I1392,2)</f>
        <v>0</v>
      </c>
    </row>
    <row r="1396" spans="1:9" x14ac:dyDescent="0.2">
      <c r="A1396" s="199"/>
      <c r="B1396" s="233"/>
      <c r="C1396" s="199"/>
      <c r="D1396" s="199"/>
      <c r="E1396" s="199"/>
      <c r="F1396" s="234" t="s">
        <v>1170</v>
      </c>
      <c r="G1396" s="244"/>
      <c r="H1396" s="245"/>
      <c r="I1396" s="434">
        <f>SUM(I1395)</f>
        <v>0</v>
      </c>
    </row>
    <row r="1397" spans="1:9" x14ac:dyDescent="0.2">
      <c r="A1397" s="199"/>
      <c r="B1397" s="233"/>
      <c r="C1397" s="199"/>
      <c r="D1397" s="199"/>
      <c r="E1397" s="199"/>
      <c r="F1397" s="199"/>
      <c r="G1397" s="199"/>
      <c r="H1397" s="199"/>
      <c r="I1397" s="200"/>
    </row>
    <row r="1398" spans="1:9" x14ac:dyDescent="0.2">
      <c r="A1398" s="252"/>
      <c r="B1398" s="253"/>
      <c r="C1398" s="254"/>
      <c r="D1398" s="254"/>
      <c r="E1398" s="254"/>
      <c r="F1398" s="255" t="s">
        <v>208</v>
      </c>
      <c r="G1398" s="435"/>
      <c r="H1398" s="254"/>
      <c r="I1398" s="634">
        <f>+I1386+I1392+I1396</f>
        <v>1060.8499999999999</v>
      </c>
    </row>
    <row r="1399" spans="1:9" x14ac:dyDescent="0.2">
      <c r="A1399" s="256"/>
      <c r="B1399" s="257"/>
      <c r="C1399" s="258"/>
      <c r="D1399" s="258"/>
      <c r="E1399" s="258"/>
      <c r="F1399" s="259" t="s">
        <v>209</v>
      </c>
      <c r="G1399" s="260"/>
      <c r="H1399" s="258"/>
      <c r="I1399" s="635">
        <v>70</v>
      </c>
    </row>
    <row r="1400" spans="1:9" x14ac:dyDescent="0.2">
      <c r="A1400" s="237"/>
      <c r="B1400" s="261"/>
      <c r="C1400" s="245"/>
      <c r="D1400" s="245"/>
      <c r="E1400" s="245"/>
      <c r="F1400" s="262" t="s">
        <v>232</v>
      </c>
      <c r="G1400" s="244"/>
      <c r="H1400" s="245"/>
      <c r="I1400" s="633">
        <f>TRUNC(I1398/I1399,2)</f>
        <v>15.15</v>
      </c>
    </row>
    <row r="1401" spans="1:9" x14ac:dyDescent="0.2">
      <c r="A1401" s="867"/>
      <c r="B1401" s="233"/>
      <c r="C1401" s="199"/>
      <c r="D1401" s="199"/>
      <c r="E1401" s="199"/>
      <c r="F1401" s="263"/>
      <c r="G1401" s="199"/>
      <c r="H1401" s="199"/>
      <c r="I1401" s="264"/>
    </row>
    <row r="1402" spans="1:9" x14ac:dyDescent="0.2">
      <c r="A1402" s="246" t="s">
        <v>210</v>
      </c>
      <c r="B1402" s="247" t="s">
        <v>60</v>
      </c>
      <c r="C1402" s="247" t="s">
        <v>211</v>
      </c>
      <c r="D1402" s="247" t="s">
        <v>233</v>
      </c>
      <c r="E1402" s="1276" t="s">
        <v>91</v>
      </c>
      <c r="F1402" s="1274"/>
      <c r="G1402" s="1275"/>
      <c r="H1402" s="1276" t="s">
        <v>198</v>
      </c>
      <c r="I1402" s="1275"/>
    </row>
    <row r="1403" spans="1:9" x14ac:dyDescent="0.2">
      <c r="A1403" s="265"/>
      <c r="B1403" s="238"/>
      <c r="C1403" s="266"/>
      <c r="D1403" s="267"/>
      <c r="E1403" s="260"/>
      <c r="F1403" s="258"/>
      <c r="G1403" s="300"/>
      <c r="H1403" s="260"/>
      <c r="I1403" s="268">
        <f>TRUNC(D1403*G1403,2)</f>
        <v>0</v>
      </c>
    </row>
    <row r="1404" spans="1:9" x14ac:dyDescent="0.2">
      <c r="A1404" s="199"/>
      <c r="B1404" s="233"/>
      <c r="C1404" s="199"/>
      <c r="D1404" s="199"/>
      <c r="E1404" s="199"/>
      <c r="F1404" s="234" t="s">
        <v>212</v>
      </c>
      <c r="G1404" s="244"/>
      <c r="H1404" s="245"/>
      <c r="I1404" s="434">
        <f>SUM(I1403:I1403)</f>
        <v>0</v>
      </c>
    </row>
    <row r="1405" spans="1:9" x14ac:dyDescent="0.2">
      <c r="A1405" s="199"/>
      <c r="B1405" s="233"/>
      <c r="C1405" s="199"/>
      <c r="D1405" s="199"/>
      <c r="E1405" s="199"/>
      <c r="F1405" s="199"/>
      <c r="G1405" s="269"/>
      <c r="H1405" s="199"/>
      <c r="I1405" s="200"/>
    </row>
    <row r="1406" spans="1:9" x14ac:dyDescent="0.2">
      <c r="A1406" s="270" t="s">
        <v>213</v>
      </c>
      <c r="B1406" s="247" t="s">
        <v>60</v>
      </c>
      <c r="C1406" s="247" t="s">
        <v>211</v>
      </c>
      <c r="D1406" s="866" t="s">
        <v>233</v>
      </c>
      <c r="E1406" s="1271" t="s">
        <v>91</v>
      </c>
      <c r="F1406" s="1272"/>
      <c r="G1406" s="1273"/>
      <c r="H1406" s="1274" t="s">
        <v>198</v>
      </c>
      <c r="I1406" s="1275"/>
    </row>
    <row r="1407" spans="1:9" x14ac:dyDescent="0.2">
      <c r="A1407" s="248"/>
      <c r="B1407" s="238"/>
      <c r="C1407" s="238"/>
      <c r="D1407" s="243"/>
      <c r="E1407" s="260"/>
      <c r="F1407" s="258"/>
      <c r="G1407" s="300"/>
      <c r="H1407" s="244"/>
      <c r="I1407" s="268">
        <f>TRUNC(D1407*G1407,2)</f>
        <v>0</v>
      </c>
    </row>
    <row r="1408" spans="1:9" x14ac:dyDescent="0.2">
      <c r="A1408" s="201"/>
      <c r="B1408" s="271"/>
      <c r="C1408" s="201"/>
      <c r="D1408" s="201"/>
      <c r="E1408" s="201"/>
      <c r="F1408" s="272" t="s">
        <v>214</v>
      </c>
      <c r="G1408" s="260"/>
      <c r="H1408" s="273"/>
      <c r="I1408" s="436">
        <f>SUM(I1407:I1407)</f>
        <v>0</v>
      </c>
    </row>
    <row r="1409" spans="1:13" x14ac:dyDescent="0.2">
      <c r="A1409" s="201"/>
      <c r="B1409" s="271"/>
      <c r="C1409" s="201"/>
      <c r="D1409" s="201"/>
      <c r="E1409" s="201"/>
      <c r="F1409" s="201"/>
      <c r="G1409" s="201"/>
      <c r="H1409" s="201"/>
      <c r="I1409" s="201"/>
    </row>
    <row r="1410" spans="1:13" x14ac:dyDescent="0.2">
      <c r="A1410" s="274" t="s">
        <v>215</v>
      </c>
      <c r="B1410" s="275" t="s">
        <v>60</v>
      </c>
      <c r="C1410" s="275" t="s">
        <v>211</v>
      </c>
      <c r="D1410" s="275" t="s">
        <v>216</v>
      </c>
      <c r="E1410" s="275" t="s">
        <v>217</v>
      </c>
      <c r="F1410" s="275" t="s">
        <v>218</v>
      </c>
      <c r="G1410" s="275" t="s">
        <v>96</v>
      </c>
      <c r="H1410" s="275" t="s">
        <v>91</v>
      </c>
      <c r="I1410" s="275" t="s">
        <v>219</v>
      </c>
    </row>
    <row r="1411" spans="1:13" x14ac:dyDescent="0.2">
      <c r="A1411" s="248"/>
      <c r="B1411" s="238"/>
      <c r="C1411" s="238"/>
      <c r="D1411" s="437"/>
      <c r="E1411" s="277"/>
      <c r="F1411" s="277"/>
      <c r="G1411" s="243"/>
      <c r="H1411" s="278"/>
      <c r="I1411" s="243"/>
      <c r="J1411" s="433" t="s">
        <v>115</v>
      </c>
    </row>
    <row r="1412" spans="1:13" x14ac:dyDescent="0.2">
      <c r="A1412" s="201"/>
      <c r="B1412" s="271"/>
      <c r="C1412" s="201"/>
      <c r="D1412" s="201"/>
      <c r="E1412" s="201"/>
      <c r="F1412" s="272" t="s">
        <v>220</v>
      </c>
      <c r="G1412" s="244"/>
      <c r="H1412" s="279"/>
      <c r="I1412" s="438">
        <f>SUM(I1411:I1411)</f>
        <v>0</v>
      </c>
    </row>
    <row r="1413" spans="1:13" x14ac:dyDescent="0.2">
      <c r="A1413" s="201"/>
      <c r="B1413" s="271"/>
      <c r="C1413" s="201"/>
      <c r="D1413" s="201"/>
      <c r="E1413" s="201"/>
      <c r="F1413" s="201"/>
      <c r="G1413" s="201"/>
      <c r="H1413" s="201"/>
      <c r="I1413" s="202"/>
    </row>
    <row r="1414" spans="1:13" x14ac:dyDescent="0.2">
      <c r="A1414" s="280"/>
      <c r="B1414" s="281"/>
      <c r="C1414" s="282"/>
      <c r="D1414" s="282"/>
      <c r="E1414" s="282"/>
      <c r="F1414" s="283" t="s">
        <v>221</v>
      </c>
      <c r="G1414" s="280"/>
      <c r="H1414" s="254"/>
      <c r="I1414" s="634">
        <f>+I1400+I1404+I1408+I1412</f>
        <v>15.15</v>
      </c>
    </row>
    <row r="1415" spans="1:13" x14ac:dyDescent="0.2">
      <c r="A1415" s="260"/>
      <c r="B1415" s="284"/>
      <c r="C1415" s="273"/>
      <c r="D1415" s="273"/>
      <c r="E1415" s="273"/>
      <c r="F1415" s="285" t="str">
        <f>CONCATENATE($H$3," ",$I$3)</f>
        <v>BDI: 23,32</v>
      </c>
      <c r="G1415" s="439"/>
      <c r="H1415" s="258"/>
      <c r="I1415" s="635">
        <f>+ROUND(I1414*$I$4,2)</f>
        <v>3.53</v>
      </c>
    </row>
    <row r="1416" spans="1:13" x14ac:dyDescent="0.2">
      <c r="A1416" s="244"/>
      <c r="B1416" s="286"/>
      <c r="C1416" s="279"/>
      <c r="D1416" s="279"/>
      <c r="E1416" s="279"/>
      <c r="F1416" s="287" t="s">
        <v>222</v>
      </c>
      <c r="G1416" s="440"/>
      <c r="H1416" s="245"/>
      <c r="I1416" s="1017">
        <f>+I1414+I1415</f>
        <v>18.68</v>
      </c>
    </row>
    <row r="1417" spans="1:13" x14ac:dyDescent="0.2">
      <c r="A1417" s="1277" t="str">
        <f>$A$1</f>
        <v>COMPOSIÇÃO DE CUSTOS UNITÁRIOS</v>
      </c>
      <c r="B1417" s="1277"/>
      <c r="C1417" s="1277"/>
      <c r="D1417" s="1277"/>
      <c r="E1417" s="1277"/>
      <c r="F1417" s="1277"/>
      <c r="G1417" s="1277"/>
      <c r="H1417" s="1277"/>
      <c r="I1417" s="1277"/>
    </row>
    <row r="1418" spans="1:13" x14ac:dyDescent="0.2">
      <c r="A1418" s="232" t="str">
        <f>$A$2</f>
        <v>Tabela Referencial de Preços - DER-ES</v>
      </c>
      <c r="B1418" s="233"/>
      <c r="C1418" s="199"/>
      <c r="D1418" s="199"/>
      <c r="E1418" s="199"/>
      <c r="F1418" s="199"/>
      <c r="G1418" s="199"/>
      <c r="H1418" s="199"/>
      <c r="I1418" s="234" t="str">
        <f>$I$2</f>
        <v>Data Base: Outubro/2018</v>
      </c>
    </row>
    <row r="1419" spans="1:13" x14ac:dyDescent="0.2">
      <c r="A1419" s="1278" t="str">
        <f>+CONCATENATE("Serviço: ",J1419," ",VLOOKUP(J1419,'DER 10-18'!$A:$D,2,FALSE))</f>
        <v>Serviço: 40780 Sub-base solo brita, 50% em peso, inclusive fornecimento e transporte da brita</v>
      </c>
      <c r="B1419" s="1278"/>
      <c r="C1419" s="1278"/>
      <c r="D1419" s="1278"/>
      <c r="E1419" s="1278"/>
      <c r="F1419" s="1278"/>
      <c r="G1419" s="1278"/>
      <c r="H1419" s="1278"/>
      <c r="I1419" s="1278" t="str">
        <f>CONCATENATE("Unidade: ", VLOOKUP(J1419,'DER 10-18'!$A:$E,3,FALSE))</f>
        <v>Unidade: M3</v>
      </c>
      <c r="J1419" s="433">
        <v>40780</v>
      </c>
      <c r="K1419" s="433">
        <f>VLOOKUP("Preço Unitário Total",F1420:I4496,4,FALSE)</f>
        <v>106.82</v>
      </c>
      <c r="L1419" s="302" t="str">
        <f>VLOOKUP(J1419,'DER 10-18'!A:E,5,FALSE)</f>
        <v>A incluir</v>
      </c>
      <c r="M1419" s="302" t="str">
        <f>VLOOKUP(J1419,'DER 10-18'!$A:$D,2,FALSE)</f>
        <v>Sub-base solo brita, 50% em peso, inclusive fornecimento e transporte da brita</v>
      </c>
    </row>
    <row r="1420" spans="1:13" x14ac:dyDescent="0.2">
      <c r="A1420" s="1279"/>
      <c r="B1420" s="1279"/>
      <c r="C1420" s="1279"/>
      <c r="D1420" s="1279"/>
      <c r="E1420" s="1279"/>
      <c r="F1420" s="1279"/>
      <c r="G1420" s="1279"/>
      <c r="H1420" s="1279"/>
      <c r="I1420" s="1279"/>
    </row>
    <row r="1421" spans="1:13" ht="22.5" x14ac:dyDescent="0.2">
      <c r="A1421" s="235" t="s">
        <v>192</v>
      </c>
      <c r="B1421" s="236" t="s">
        <v>60</v>
      </c>
      <c r="C1421" s="236" t="s">
        <v>193</v>
      </c>
      <c r="D1421" s="236" t="s">
        <v>194</v>
      </c>
      <c r="E1421" s="236" t="s">
        <v>195</v>
      </c>
      <c r="F1421" s="236" t="s">
        <v>196</v>
      </c>
      <c r="G1421" s="236" t="s">
        <v>197</v>
      </c>
      <c r="H1421" s="236" t="s">
        <v>91</v>
      </c>
      <c r="I1421" s="236" t="s">
        <v>198</v>
      </c>
    </row>
    <row r="1422" spans="1:13" ht="22.5" x14ac:dyDescent="0.2">
      <c r="A1422" s="237" t="str">
        <f>VLOOKUP(B1422,equip.!$A:$G,2,FALSE)</f>
        <v>Caminhão tanque L 1319/48 PBT=12,9t (6.000L)</v>
      </c>
      <c r="B1422" s="238">
        <v>30007</v>
      </c>
      <c r="C1422" s="239" t="str">
        <f>VLOOKUP(B1422,equip.!$A$1:$G$239,3,FALSE)</f>
        <v>M</v>
      </c>
      <c r="D1422" s="240">
        <v>1</v>
      </c>
      <c r="E1422" s="205">
        <v>0</v>
      </c>
      <c r="F1422" s="241">
        <f>VLOOKUP(B1422,equip.!$A:$G,6,FALSE)</f>
        <v>155.91</v>
      </c>
      <c r="G1422" s="241">
        <f>VLOOKUP(B1422,equip.!$A:$G,7,FALSE)</f>
        <v>43.38</v>
      </c>
      <c r="H1422" s="242">
        <v>1</v>
      </c>
      <c r="I1422" s="243">
        <f t="shared" ref="I1422:I1429" si="13">TRUNC(D1422*F1422*H1422+E1422*G1422*H1422,2)</f>
        <v>155.91</v>
      </c>
    </row>
    <row r="1423" spans="1:13" x14ac:dyDescent="0.2">
      <c r="A1423" s="237" t="str">
        <f>VLOOKUP(B1423,equip.!$A:$G,2,FALSE)</f>
        <v>Conjunto moto bomba diam. 4"</v>
      </c>
      <c r="B1423" s="238">
        <v>30080</v>
      </c>
      <c r="C1423" s="239">
        <f>VLOOKUP(B1423,equip.!$A$1:$G$239,3,FALSE)</f>
        <v>0</v>
      </c>
      <c r="D1423" s="240">
        <v>0.5</v>
      </c>
      <c r="E1423" s="205">
        <v>0.5</v>
      </c>
      <c r="F1423" s="241">
        <f>VLOOKUP(B1423,equip.!$A:$G,6,FALSE)</f>
        <v>18.05</v>
      </c>
      <c r="G1423" s="241">
        <f>VLOOKUP(B1423,equip.!$A:$G,7,FALSE)</f>
        <v>12.15</v>
      </c>
      <c r="H1423" s="242">
        <v>1</v>
      </c>
      <c r="I1423" s="243">
        <f t="shared" si="13"/>
        <v>15.1</v>
      </c>
    </row>
    <row r="1424" spans="1:13" ht="22.5" x14ac:dyDescent="0.2">
      <c r="A1424" s="237" t="str">
        <f>VLOOKUP(B1424,equip.!$A:$G,2,FALSE)</f>
        <v>Grade de disco GA-24x24 (TATU) ou equivalente</v>
      </c>
      <c r="B1424" s="238">
        <v>30054</v>
      </c>
      <c r="C1424" s="239">
        <f>VLOOKUP(B1424,equip.!$A$1:$G$239,3,FALSE)</f>
        <v>0</v>
      </c>
      <c r="D1424" s="240">
        <v>0.6</v>
      </c>
      <c r="E1424" s="205">
        <v>0.4</v>
      </c>
      <c r="F1424" s="241">
        <f>VLOOKUP(B1424,equip.!$A:$G,6,FALSE)</f>
        <v>15.59</v>
      </c>
      <c r="G1424" s="241">
        <f>VLOOKUP(B1424,equip.!$A:$G,7,FALSE)</f>
        <v>14.45</v>
      </c>
      <c r="H1424" s="242">
        <v>2</v>
      </c>
      <c r="I1424" s="243">
        <f t="shared" si="13"/>
        <v>30.26</v>
      </c>
    </row>
    <row r="1425" spans="1:17" ht="33.75" x14ac:dyDescent="0.2">
      <c r="A1425" s="237" t="str">
        <f>VLOOKUP(B1425,equip.!$A:$G,2,FALSE)</f>
        <v>Motoniveladora Caterpillar modelo 120K ( cab + ar + ríper) ou equivalente</v>
      </c>
      <c r="B1425" s="238">
        <v>30022</v>
      </c>
      <c r="C1425" s="239" t="str">
        <f>VLOOKUP(B1425,equip.!$A$1:$G$239,3,FALSE)</f>
        <v>M</v>
      </c>
      <c r="D1425" s="240">
        <v>1</v>
      </c>
      <c r="E1425" s="205">
        <v>0</v>
      </c>
      <c r="F1425" s="241">
        <f>VLOOKUP(B1425,equip.!$A:$G,6,FALSE)</f>
        <v>247.92</v>
      </c>
      <c r="G1425" s="241">
        <f>VLOOKUP(B1425,equip.!$A:$G,7,FALSE)</f>
        <v>83.72</v>
      </c>
      <c r="H1425" s="242">
        <v>1</v>
      </c>
      <c r="I1425" s="243">
        <f t="shared" si="13"/>
        <v>247.92</v>
      </c>
    </row>
    <row r="1426" spans="1:17" ht="22.5" x14ac:dyDescent="0.2">
      <c r="A1426" s="237" t="str">
        <f>VLOOKUP(B1426,equip.!$A:$G,2,FALSE)</f>
        <v>Rolo AP liso de aço CA 2505 STD Dynapac ou equivalente</v>
      </c>
      <c r="B1426" s="238">
        <v>30038</v>
      </c>
      <c r="C1426" s="239" t="str">
        <f>VLOOKUP(B1426,equip.!$A$1:$G$239,3,FALSE)</f>
        <v>M</v>
      </c>
      <c r="D1426" s="240">
        <v>0.8</v>
      </c>
      <c r="E1426" s="205">
        <v>0.2</v>
      </c>
      <c r="F1426" s="241">
        <f>VLOOKUP(B1426,equip.!$A:$G,6,FALSE)</f>
        <v>179.43</v>
      </c>
      <c r="G1426" s="241">
        <f>VLOOKUP(B1426,equip.!$A:$G,7,FALSE)</f>
        <v>53.86</v>
      </c>
      <c r="H1426" s="242">
        <v>1</v>
      </c>
      <c r="I1426" s="243">
        <f t="shared" si="13"/>
        <v>154.31</v>
      </c>
    </row>
    <row r="1427" spans="1:17" ht="22.5" x14ac:dyDescent="0.2">
      <c r="A1427" s="237" t="str">
        <f>VLOOKUP(B1427,equip.!$A:$G,2,FALSE)</f>
        <v>Rolo AP vib. patas 100 mm CA-25P (DYNAPAC) ou equivalente</v>
      </c>
      <c r="B1427" s="238">
        <v>30040</v>
      </c>
      <c r="C1427" s="239" t="str">
        <f>VLOOKUP(B1427,equip.!$A$1:$G$239,3,FALSE)</f>
        <v>M</v>
      </c>
      <c r="D1427" s="240">
        <v>0.4</v>
      </c>
      <c r="E1427" s="205">
        <v>0.6</v>
      </c>
      <c r="F1427" s="241">
        <f>VLOOKUP(B1427,equip.!$A:$G,6,FALSE)</f>
        <v>187.58</v>
      </c>
      <c r="G1427" s="241">
        <f>VLOOKUP(B1427,equip.!$A:$G,7,FALSE)</f>
        <v>58.07</v>
      </c>
      <c r="H1427" s="242">
        <v>1</v>
      </c>
      <c r="I1427" s="243">
        <f t="shared" si="13"/>
        <v>109.87</v>
      </c>
    </row>
    <row r="1428" spans="1:17" ht="22.5" x14ac:dyDescent="0.2">
      <c r="A1428" s="237" t="str">
        <f>VLOOKUP(B1428,equip.!$A:$G,2,FALSE)</f>
        <v>Rolo compactador de pneus CP 224, Dynapac ou equivalente</v>
      </c>
      <c r="B1428" s="238">
        <v>30033</v>
      </c>
      <c r="C1428" s="239">
        <f>VLOOKUP(B1428,equip.!$A$1:$G$239,3,FALSE)</f>
        <v>0</v>
      </c>
      <c r="D1428" s="240">
        <v>0.6</v>
      </c>
      <c r="E1428" s="205">
        <v>0.4</v>
      </c>
      <c r="F1428" s="241">
        <f>VLOOKUP(B1428,equip.!$A:$G,6,FALSE)</f>
        <v>192.45</v>
      </c>
      <c r="G1428" s="241">
        <f>VLOOKUP(B1428,equip.!$A:$G,7,FALSE)</f>
        <v>61.52</v>
      </c>
      <c r="H1428" s="242">
        <v>1</v>
      </c>
      <c r="I1428" s="243">
        <f t="shared" si="13"/>
        <v>140.07</v>
      </c>
    </row>
    <row r="1429" spans="1:17" ht="33.75" x14ac:dyDescent="0.2">
      <c r="A1429" s="237" t="str">
        <f>VLOOKUP(B1429,equip.!$A:$G,2,FALSE)</f>
        <v>Trator agrícola MF 297/4 -4 X 4 (MASSEY FERGUSSON) ou equivalente</v>
      </c>
      <c r="B1429" s="238">
        <v>30030</v>
      </c>
      <c r="C1429" s="239" t="str">
        <f>VLOOKUP(B1429,equip.!$A$1:$G$239,3,FALSE)</f>
        <v>M</v>
      </c>
      <c r="D1429" s="240">
        <v>0.6</v>
      </c>
      <c r="E1429" s="205">
        <v>0.4</v>
      </c>
      <c r="F1429" s="241">
        <f>VLOOKUP(B1429,equip.!$A:$G,6,FALSE)</f>
        <v>117.24</v>
      </c>
      <c r="G1429" s="241">
        <f>VLOOKUP(B1429,equip.!$A:$G,7,FALSE)</f>
        <v>30.29</v>
      </c>
      <c r="H1429" s="242">
        <v>2</v>
      </c>
      <c r="I1429" s="243">
        <f t="shared" si="13"/>
        <v>164.92</v>
      </c>
    </row>
    <row r="1430" spans="1:17" x14ac:dyDescent="0.2">
      <c r="A1430" s="199"/>
      <c r="B1430" s="233"/>
      <c r="C1430" s="233"/>
      <c r="D1430" s="199"/>
      <c r="E1430" s="199"/>
      <c r="F1430" s="234" t="s">
        <v>199</v>
      </c>
      <c r="G1430" s="244"/>
      <c r="H1430" s="245"/>
      <c r="I1430" s="434">
        <f>SUM(I1422:I1429)</f>
        <v>1018.36</v>
      </c>
    </row>
    <row r="1431" spans="1:17" x14ac:dyDescent="0.2">
      <c r="A1431" s="199"/>
      <c r="B1431" s="233"/>
      <c r="C1431" s="233"/>
      <c r="D1431" s="199"/>
      <c r="E1431" s="199"/>
      <c r="F1431" s="199"/>
      <c r="G1431" s="199"/>
      <c r="H1431" s="199"/>
      <c r="I1431" s="200"/>
    </row>
    <row r="1432" spans="1:17" x14ac:dyDescent="0.2">
      <c r="A1432" s="246" t="s">
        <v>200</v>
      </c>
      <c r="B1432" s="247" t="s">
        <v>60</v>
      </c>
      <c r="C1432" s="236" t="s">
        <v>1242</v>
      </c>
      <c r="D1432" s="247" t="s">
        <v>202</v>
      </c>
      <c r="E1432" s="1271" t="s">
        <v>91</v>
      </c>
      <c r="F1432" s="1272"/>
      <c r="G1432" s="1273"/>
      <c r="H1432" s="1276" t="s">
        <v>198</v>
      </c>
      <c r="I1432" s="1275"/>
    </row>
    <row r="1433" spans="1:17" x14ac:dyDescent="0.2">
      <c r="A1433" s="248" t="str">
        <f>VLOOKUP(B1433,m.o.!$A:$H,2,FALSE)</f>
        <v>Encarregado de pista</v>
      </c>
      <c r="B1433" s="238">
        <v>20063</v>
      </c>
      <c r="C1433" s="243">
        <f>VLOOKUP(B1433,m.o.!$A:$F,4,FALSE)</f>
        <v>2.2599999999999998</v>
      </c>
      <c r="D1433" s="243">
        <f>VLOOKUP(B1433,m.o.!$A:$G,7,FALSE)</f>
        <v>26.3</v>
      </c>
      <c r="E1433" s="260"/>
      <c r="F1433" s="258"/>
      <c r="G1433" s="300">
        <v>0.6</v>
      </c>
      <c r="H1433" s="244"/>
      <c r="I1433" s="249">
        <f>TRUNC(D1433*G1433,2)</f>
        <v>15.78</v>
      </c>
    </row>
    <row r="1434" spans="1:17" x14ac:dyDescent="0.2">
      <c r="A1434" s="248" t="str">
        <f>VLOOKUP(B1434,m.o.!$A:$H,2,FALSE)</f>
        <v>Greidista</v>
      </c>
      <c r="B1434" s="238">
        <v>20088</v>
      </c>
      <c r="C1434" s="243">
        <f>VLOOKUP(B1434,m.o.!$A:$F,4,FALSE)</f>
        <v>1.24</v>
      </c>
      <c r="D1434" s="243">
        <f>VLOOKUP(B1434,m.o.!$A:$G,7,FALSE)</f>
        <v>14.43</v>
      </c>
      <c r="E1434" s="260"/>
      <c r="F1434" s="258"/>
      <c r="G1434" s="300">
        <v>1</v>
      </c>
      <c r="H1434" s="244"/>
      <c r="I1434" s="249">
        <f>TRUNC(D1434*G1434,2)</f>
        <v>14.43</v>
      </c>
    </row>
    <row r="1435" spans="1:17" x14ac:dyDescent="0.2">
      <c r="A1435" s="248" t="str">
        <f>VLOOKUP(B1435,m.o.!$A:$H,2,FALSE)</f>
        <v>Servente</v>
      </c>
      <c r="B1435" s="238">
        <v>20002</v>
      </c>
      <c r="C1435" s="243">
        <f>VLOOKUP(B1435,m.o.!$A:$F,4,FALSE)</f>
        <v>1</v>
      </c>
      <c r="D1435" s="243">
        <f>VLOOKUP(B1435,m.o.!$A:$G,7,FALSE)</f>
        <v>11.64</v>
      </c>
      <c r="E1435" s="260"/>
      <c r="F1435" s="258"/>
      <c r="G1435" s="300">
        <v>5</v>
      </c>
      <c r="H1435" s="244"/>
      <c r="I1435" s="249">
        <f>TRUNC(D1435*G1435,2)</f>
        <v>58.2</v>
      </c>
    </row>
    <row r="1436" spans="1:17" x14ac:dyDescent="0.2">
      <c r="A1436" s="199"/>
      <c r="B1436" s="233"/>
      <c r="C1436" s="233"/>
      <c r="D1436" s="199"/>
      <c r="E1436" s="199"/>
      <c r="F1436" s="234" t="s">
        <v>203</v>
      </c>
      <c r="G1436" s="244"/>
      <c r="H1436" s="245"/>
      <c r="I1436" s="434">
        <f>SUM(I1433:I1435)</f>
        <v>88.41</v>
      </c>
    </row>
    <row r="1437" spans="1:17" x14ac:dyDescent="0.2">
      <c r="A1437" s="199"/>
      <c r="B1437" s="233"/>
      <c r="C1437" s="233"/>
      <c r="D1437" s="199"/>
      <c r="E1437" s="199"/>
      <c r="F1437" s="199"/>
      <c r="G1437" s="199"/>
      <c r="H1437" s="199"/>
      <c r="I1437" s="200"/>
    </row>
    <row r="1438" spans="1:17" ht="25.5" customHeight="1" x14ac:dyDescent="0.2">
      <c r="A1438" s="250" t="s">
        <v>204</v>
      </c>
      <c r="B1438" s="247" t="s">
        <v>60</v>
      </c>
      <c r="C1438" s="866" t="s">
        <v>17</v>
      </c>
      <c r="D1438" s="247" t="s">
        <v>205</v>
      </c>
      <c r="E1438" s="247" t="s">
        <v>206</v>
      </c>
      <c r="F1438" s="247" t="s">
        <v>207</v>
      </c>
      <c r="G1438" s="1276" t="s">
        <v>96</v>
      </c>
      <c r="H1438" s="1274"/>
      <c r="I1438" s="1275"/>
    </row>
    <row r="1439" spans="1:17" x14ac:dyDescent="0.2">
      <c r="A1439" s="452"/>
      <c r="B1439" s="453"/>
      <c r="C1439" s="454"/>
      <c r="D1439" s="460"/>
      <c r="E1439" s="461"/>
      <c r="F1439" s="461"/>
      <c r="G1439" s="458"/>
      <c r="H1439" s="462"/>
      <c r="I1439" s="463"/>
      <c r="J1439" s="451"/>
      <c r="K1439" s="451"/>
      <c r="L1439" s="198"/>
      <c r="M1439" s="198"/>
      <c r="N1439" s="198"/>
      <c r="O1439" s="198"/>
      <c r="P1439" s="198"/>
      <c r="Q1439" s="198"/>
    </row>
    <row r="1440" spans="1:17" x14ac:dyDescent="0.2">
      <c r="A1440" s="199"/>
      <c r="B1440" s="233"/>
      <c r="C1440" s="199"/>
      <c r="D1440" s="199"/>
      <c r="E1440" s="199"/>
      <c r="F1440" s="234" t="s">
        <v>1170</v>
      </c>
      <c r="G1440" s="244"/>
      <c r="H1440" s="245"/>
      <c r="I1440" s="434">
        <f>SUM(I1439)</f>
        <v>0</v>
      </c>
    </row>
    <row r="1441" spans="1:17" x14ac:dyDescent="0.2">
      <c r="A1441" s="199"/>
      <c r="B1441" s="233"/>
      <c r="C1441" s="199"/>
      <c r="D1441" s="199"/>
      <c r="E1441" s="199"/>
      <c r="F1441" s="199"/>
      <c r="G1441" s="199"/>
      <c r="H1441" s="199"/>
      <c r="I1441" s="200"/>
    </row>
    <row r="1442" spans="1:17" x14ac:dyDescent="0.2">
      <c r="A1442" s="252"/>
      <c r="B1442" s="253"/>
      <c r="C1442" s="254"/>
      <c r="D1442" s="254"/>
      <c r="E1442" s="254"/>
      <c r="F1442" s="255" t="s">
        <v>208</v>
      </c>
      <c r="G1442" s="435"/>
      <c r="H1442" s="254"/>
      <c r="I1442" s="634">
        <f>+I1430+I1436+I1440</f>
        <v>1106.77</v>
      </c>
    </row>
    <row r="1443" spans="1:17" x14ac:dyDescent="0.2">
      <c r="A1443" s="256"/>
      <c r="B1443" s="257"/>
      <c r="C1443" s="258"/>
      <c r="D1443" s="258"/>
      <c r="E1443" s="258"/>
      <c r="F1443" s="259" t="s">
        <v>209</v>
      </c>
      <c r="G1443" s="260"/>
      <c r="H1443" s="258"/>
      <c r="I1443" s="635">
        <v>60</v>
      </c>
    </row>
    <row r="1444" spans="1:17" x14ac:dyDescent="0.2">
      <c r="A1444" s="237"/>
      <c r="B1444" s="261"/>
      <c r="C1444" s="245"/>
      <c r="D1444" s="245"/>
      <c r="E1444" s="245"/>
      <c r="F1444" s="262" t="s">
        <v>232</v>
      </c>
      <c r="G1444" s="244"/>
      <c r="H1444" s="245"/>
      <c r="I1444" s="633">
        <f>TRUNC(I1442/I1443,2)</f>
        <v>18.440000000000001</v>
      </c>
    </row>
    <row r="1445" spans="1:17" x14ac:dyDescent="0.2">
      <c r="A1445" s="867"/>
      <c r="B1445" s="233"/>
      <c r="C1445" s="199"/>
      <c r="D1445" s="199"/>
      <c r="E1445" s="199"/>
      <c r="F1445" s="263"/>
      <c r="G1445" s="199"/>
      <c r="H1445" s="199"/>
      <c r="I1445" s="264"/>
    </row>
    <row r="1446" spans="1:17" x14ac:dyDescent="0.2">
      <c r="A1446" s="500" t="s">
        <v>210</v>
      </c>
      <c r="B1446" s="468" t="s">
        <v>60</v>
      </c>
      <c r="C1446" s="468" t="s">
        <v>211</v>
      </c>
      <c r="D1446" s="468" t="s">
        <v>233</v>
      </c>
      <c r="E1446" s="1289" t="s">
        <v>91</v>
      </c>
      <c r="F1446" s="1284"/>
      <c r="G1446" s="1285"/>
      <c r="H1446" s="1289" t="s">
        <v>198</v>
      </c>
      <c r="I1446" s="1285"/>
      <c r="J1446" s="451"/>
      <c r="K1446" s="451"/>
      <c r="L1446" s="198"/>
      <c r="M1446" s="198"/>
      <c r="N1446" s="198"/>
      <c r="O1446" s="198"/>
      <c r="P1446" s="198"/>
      <c r="Q1446" s="198"/>
    </row>
    <row r="1447" spans="1:17" ht="22.5" x14ac:dyDescent="0.2">
      <c r="A1447" s="265" t="str">
        <f>VLOOKUP(B1447,mat.!$A:$D,2,FALSE)</f>
        <v>Brita graduada, especificada sem pó, sem frete</v>
      </c>
      <c r="B1447" s="238">
        <v>10119</v>
      </c>
      <c r="C1447" s="266" t="str">
        <f>VLOOKUP(B1447,mat.!$A:$D,3,FALSE)</f>
        <v>m3</v>
      </c>
      <c r="D1447" s="267">
        <f>VLOOKUP(B1447,mat.!$A:$D,4,FALSE)</f>
        <v>49.19</v>
      </c>
      <c r="E1447" s="260"/>
      <c r="F1447" s="258"/>
      <c r="G1447" s="300">
        <v>0.7</v>
      </c>
      <c r="H1447" s="260"/>
      <c r="I1447" s="268">
        <f>TRUNC(D1447*G1447,2)</f>
        <v>34.43</v>
      </c>
    </row>
    <row r="1448" spans="1:17" x14ac:dyDescent="0.2">
      <c r="A1448" s="199"/>
      <c r="B1448" s="233"/>
      <c r="C1448" s="199"/>
      <c r="D1448" s="199"/>
      <c r="E1448" s="199"/>
      <c r="F1448" s="234" t="s">
        <v>212</v>
      </c>
      <c r="G1448" s="244"/>
      <c r="H1448" s="245"/>
      <c r="I1448" s="434">
        <f>SUM(I1447:I1447)</f>
        <v>34.43</v>
      </c>
    </row>
    <row r="1449" spans="1:17" x14ac:dyDescent="0.2">
      <c r="A1449" s="199"/>
      <c r="B1449" s="233"/>
      <c r="C1449" s="199"/>
      <c r="D1449" s="199"/>
      <c r="E1449" s="199"/>
      <c r="F1449" s="199"/>
      <c r="G1449" s="269"/>
      <c r="H1449" s="199"/>
      <c r="I1449" s="200"/>
    </row>
    <row r="1450" spans="1:17" x14ac:dyDescent="0.2">
      <c r="A1450" s="270" t="s">
        <v>213</v>
      </c>
      <c r="B1450" s="247" t="s">
        <v>60</v>
      </c>
      <c r="C1450" s="247" t="s">
        <v>211</v>
      </c>
      <c r="D1450" s="866" t="s">
        <v>233</v>
      </c>
      <c r="E1450" s="1271" t="s">
        <v>91</v>
      </c>
      <c r="F1450" s="1272"/>
      <c r="G1450" s="1273"/>
      <c r="H1450" s="1274" t="s">
        <v>198</v>
      </c>
      <c r="I1450" s="1275"/>
    </row>
    <row r="1451" spans="1:17" x14ac:dyDescent="0.2">
      <c r="A1451" s="201"/>
      <c r="B1451" s="271"/>
      <c r="C1451" s="201"/>
      <c r="D1451" s="201"/>
      <c r="E1451" s="201"/>
      <c r="F1451" s="272" t="s">
        <v>214</v>
      </c>
      <c r="G1451" s="260"/>
      <c r="H1451" s="273"/>
      <c r="I1451" s="436"/>
    </row>
    <row r="1452" spans="1:17" x14ac:dyDescent="0.2">
      <c r="A1452" s="201"/>
      <c r="B1452" s="271"/>
      <c r="C1452" s="201"/>
      <c r="D1452" s="201"/>
      <c r="E1452" s="201"/>
      <c r="F1452" s="201"/>
      <c r="G1452" s="201"/>
      <c r="H1452" s="201"/>
      <c r="I1452" s="201"/>
    </row>
    <row r="1453" spans="1:17" x14ac:dyDescent="0.2">
      <c r="A1453" s="274" t="s">
        <v>215</v>
      </c>
      <c r="B1453" s="275" t="s">
        <v>60</v>
      </c>
      <c r="C1453" s="275" t="s">
        <v>211</v>
      </c>
      <c r="D1453" s="275" t="s">
        <v>216</v>
      </c>
      <c r="E1453" s="275" t="s">
        <v>217</v>
      </c>
      <c r="F1453" s="275" t="s">
        <v>218</v>
      </c>
      <c r="G1453" s="275" t="s">
        <v>96</v>
      </c>
      <c r="H1453" s="275" t="s">
        <v>91</v>
      </c>
      <c r="I1453" s="275" t="s">
        <v>219</v>
      </c>
    </row>
    <row r="1454" spans="1:17" ht="22.5" x14ac:dyDescent="0.2">
      <c r="A1454" s="265" t="str">
        <f>VLOOKUP(B1454,tranp.!A:D,2,FALSE)</f>
        <v>Transporte de Brita Gadruada</v>
      </c>
      <c r="B1454" s="453">
        <v>1028</v>
      </c>
      <c r="C1454" s="453" t="str">
        <f>VLOOKUP(B1454,tranp.!$A:$J,3,FALSE)</f>
        <v xml:space="preserve"> t  </v>
      </c>
      <c r="D1454" s="518" t="str">
        <f>VLOOKUP(B1454,tranp.!$A:$J,4,FALSE)</f>
        <v>0,681XP + 0,710XR + 2,841</v>
      </c>
      <c r="E1454" s="519">
        <f>VLOOKUP(J1454,Ocor.!$B:$F,4,FALSE)</f>
        <v>37.200000000000003</v>
      </c>
      <c r="F1454" s="519">
        <f>VLOOKUP(J1454,Ocor.!$B:$F,5,FALSE)</f>
        <v>5.6</v>
      </c>
      <c r="G1454" s="454">
        <f>TRUNC(VLOOKUP(B1454,tranp.!$A:$J,5,FALSE)*E1454+VLOOKUP(B1454,tranp.!$A:$J,6,FALSE)*F1454+VLOOKUP(B1454,tranp.!$A:$J,7,FALSE),2)</f>
        <v>32.15</v>
      </c>
      <c r="H1454" s="520">
        <v>1.05</v>
      </c>
      <c r="I1454" s="454">
        <f>TRUNC(G1454*H1454,2)</f>
        <v>33.75</v>
      </c>
      <c r="J1454" s="433" t="s">
        <v>1056</v>
      </c>
      <c r="K1454" s="451"/>
      <c r="L1454" s="198"/>
      <c r="M1454" s="198"/>
      <c r="N1454" s="198"/>
      <c r="O1454" s="198"/>
      <c r="P1454" s="198"/>
      <c r="Q1454" s="198"/>
    </row>
    <row r="1455" spans="1:17" x14ac:dyDescent="0.2">
      <c r="A1455" s="201"/>
      <c r="B1455" s="271"/>
      <c r="C1455" s="201"/>
      <c r="D1455" s="201"/>
      <c r="E1455" s="201"/>
      <c r="F1455" s="272" t="s">
        <v>220</v>
      </c>
      <c r="G1455" s="244"/>
      <c r="H1455" s="279"/>
      <c r="I1455" s="438">
        <f>I1454</f>
        <v>33.75</v>
      </c>
    </row>
    <row r="1456" spans="1:17" x14ac:dyDescent="0.2">
      <c r="A1456" s="201"/>
      <c r="B1456" s="271"/>
      <c r="C1456" s="201"/>
      <c r="D1456" s="201"/>
      <c r="E1456" s="201"/>
      <c r="F1456" s="201"/>
      <c r="G1456" s="201"/>
      <c r="H1456" s="201"/>
      <c r="I1456" s="202"/>
    </row>
    <row r="1457" spans="1:13" x14ac:dyDescent="0.2">
      <c r="A1457" s="280"/>
      <c r="B1457" s="281"/>
      <c r="C1457" s="282"/>
      <c r="D1457" s="282"/>
      <c r="E1457" s="282"/>
      <c r="F1457" s="283" t="s">
        <v>221</v>
      </c>
      <c r="G1457" s="280"/>
      <c r="H1457" s="254"/>
      <c r="I1457" s="634">
        <f>+I1444+I1448+I1451+I1455</f>
        <v>86.62</v>
      </c>
      <c r="J1457" s="446"/>
    </row>
    <row r="1458" spans="1:13" x14ac:dyDescent="0.2">
      <c r="A1458" s="260"/>
      <c r="B1458" s="284"/>
      <c r="C1458" s="273"/>
      <c r="D1458" s="273"/>
      <c r="E1458" s="273"/>
      <c r="F1458" s="285" t="str">
        <f>CONCATENATE($H$3," ",$I$3)</f>
        <v>BDI: 23,32</v>
      </c>
      <c r="G1458" s="439"/>
      <c r="H1458" s="258"/>
      <c r="I1458" s="635">
        <f>+ROUND(I1457*$I$4,2)</f>
        <v>20.2</v>
      </c>
    </row>
    <row r="1459" spans="1:13" x14ac:dyDescent="0.2">
      <c r="A1459" s="244"/>
      <c r="B1459" s="286"/>
      <c r="C1459" s="279"/>
      <c r="D1459" s="279"/>
      <c r="E1459" s="279"/>
      <c r="F1459" s="287" t="s">
        <v>222</v>
      </c>
      <c r="G1459" s="440"/>
      <c r="H1459" s="245"/>
      <c r="I1459" s="1017">
        <f>+I1457+I1458</f>
        <v>106.82</v>
      </c>
      <c r="J1459" s="446"/>
      <c r="K1459" s="302"/>
    </row>
    <row r="1460" spans="1:13" x14ac:dyDescent="0.2">
      <c r="A1460" s="1277" t="str">
        <f>$A$1</f>
        <v>COMPOSIÇÃO DE CUSTOS UNITÁRIOS</v>
      </c>
      <c r="B1460" s="1277"/>
      <c r="C1460" s="1277"/>
      <c r="D1460" s="1277"/>
      <c r="E1460" s="1277"/>
      <c r="F1460" s="1277"/>
      <c r="G1460" s="1277"/>
      <c r="H1460" s="1277"/>
      <c r="I1460" s="1277"/>
    </row>
    <row r="1461" spans="1:13" x14ac:dyDescent="0.2">
      <c r="A1461" s="232" t="str">
        <f>$A$2</f>
        <v>Tabela Referencial de Preços - DER-ES</v>
      </c>
      <c r="B1461" s="233"/>
      <c r="C1461" s="199"/>
      <c r="D1461" s="199"/>
      <c r="E1461" s="199"/>
      <c r="F1461" s="199"/>
      <c r="G1461" s="199"/>
      <c r="H1461" s="199"/>
      <c r="I1461" s="234" t="str">
        <f>$I$2</f>
        <v>Data Base: Outubro/2018</v>
      </c>
    </row>
    <row r="1462" spans="1:13" x14ac:dyDescent="0.2">
      <c r="A1462" s="1278" t="str">
        <f>+CONCATENATE("Serviço: ",J1462," ",VLOOKUP(J1462,'DER 10-18'!$A:$D,2,FALSE))</f>
        <v>Serviço: 40812 Base de brita graduada, inclusive fornecimento, exclusive transporte da brita</v>
      </c>
      <c r="B1462" s="1278"/>
      <c r="C1462" s="1278"/>
      <c r="D1462" s="1278"/>
      <c r="E1462" s="1278"/>
      <c r="F1462" s="1278"/>
      <c r="G1462" s="1278"/>
      <c r="H1462" s="1278"/>
      <c r="I1462" s="1278" t="str">
        <f>CONCATENATE("Unidade: ", VLOOKUP(J1462,'DER 10-18'!$A:$E,3,FALSE))</f>
        <v>Unidade: M3</v>
      </c>
      <c r="J1462" s="433">
        <v>40812</v>
      </c>
      <c r="K1462" s="433">
        <f>VLOOKUP("Preço Unitário Total",F1463:I4496,4,FALSE)</f>
        <v>98.56</v>
      </c>
      <c r="L1462" s="302">
        <f>VLOOKUP(J1462,'DER 10-18'!A:E,5,FALSE)</f>
        <v>0</v>
      </c>
      <c r="M1462" s="302" t="str">
        <f>VLOOKUP(J1462,'DER 10-18'!$A:$D,2,FALSE)</f>
        <v>Base de brita graduada, inclusive fornecimento, exclusive transporte da brita</v>
      </c>
    </row>
    <row r="1463" spans="1:13" x14ac:dyDescent="0.2">
      <c r="A1463" s="1279"/>
      <c r="B1463" s="1279"/>
      <c r="C1463" s="1279"/>
      <c r="D1463" s="1279"/>
      <c r="E1463" s="1279"/>
      <c r="F1463" s="1279"/>
      <c r="G1463" s="1279"/>
      <c r="H1463" s="1279"/>
      <c r="I1463" s="1279"/>
    </row>
    <row r="1464" spans="1:13" ht="22.5" x14ac:dyDescent="0.2">
      <c r="A1464" s="235" t="s">
        <v>192</v>
      </c>
      <c r="B1464" s="236" t="s">
        <v>60</v>
      </c>
      <c r="C1464" s="236" t="s">
        <v>193</v>
      </c>
      <c r="D1464" s="236" t="s">
        <v>194</v>
      </c>
      <c r="E1464" s="236" t="s">
        <v>195</v>
      </c>
      <c r="F1464" s="236" t="s">
        <v>196</v>
      </c>
      <c r="G1464" s="236" t="s">
        <v>197</v>
      </c>
      <c r="H1464" s="236" t="s">
        <v>91</v>
      </c>
      <c r="I1464" s="236" t="s">
        <v>198</v>
      </c>
    </row>
    <row r="1465" spans="1:13" ht="22.5" x14ac:dyDescent="0.2">
      <c r="A1465" s="237" t="str">
        <f>VLOOKUP(B1465,equip.!$A:$G,2,FALSE)</f>
        <v>Caminhão tanque L 1319/48 PBT=12,9t (6.000L)</v>
      </c>
      <c r="B1465" s="238">
        <v>30007</v>
      </c>
      <c r="C1465" s="239" t="str">
        <f>VLOOKUP(B1465,equip.!$A$1:$G$239,3,FALSE)</f>
        <v>M</v>
      </c>
      <c r="D1465" s="240">
        <v>1</v>
      </c>
      <c r="E1465" s="205">
        <v>0</v>
      </c>
      <c r="F1465" s="241">
        <f>VLOOKUP(B1465,equip.!$A:$G,6,FALSE)</f>
        <v>155.91</v>
      </c>
      <c r="G1465" s="241">
        <f>VLOOKUP(B1465,equip.!$A:$G,7,FALSE)</f>
        <v>43.38</v>
      </c>
      <c r="H1465" s="242">
        <v>1</v>
      </c>
      <c r="I1465" s="243">
        <f t="shared" ref="I1465:I1469" si="14">TRUNC(D1465*F1465*H1465+E1465*G1465*H1465,2)</f>
        <v>155.91</v>
      </c>
    </row>
    <row r="1466" spans="1:13" x14ac:dyDescent="0.2">
      <c r="A1466" s="237" t="str">
        <f>VLOOKUP(B1466,equip.!$A:$G,2,FALSE)</f>
        <v>Conjunto moto bomba diam. 4"</v>
      </c>
      <c r="B1466" s="238">
        <v>30080</v>
      </c>
      <c r="C1466" s="239">
        <f>VLOOKUP(B1466,equip.!$A$1:$G$239,3,FALSE)</f>
        <v>0</v>
      </c>
      <c r="D1466" s="240">
        <v>0.5</v>
      </c>
      <c r="E1466" s="205">
        <v>0.5</v>
      </c>
      <c r="F1466" s="241">
        <f>VLOOKUP(B1466,equip.!$A:$G,6,FALSE)</f>
        <v>18.05</v>
      </c>
      <c r="G1466" s="241">
        <f>VLOOKUP(B1466,equip.!$A:$G,7,FALSE)</f>
        <v>12.15</v>
      </c>
      <c r="H1466" s="242">
        <v>1</v>
      </c>
      <c r="I1466" s="243">
        <f t="shared" si="14"/>
        <v>15.1</v>
      </c>
    </row>
    <row r="1467" spans="1:13" ht="25.5" customHeight="1" x14ac:dyDescent="0.2">
      <c r="A1467" s="237" t="str">
        <f>VLOOKUP(B1467,equip.!$A:$G,2,FALSE)</f>
        <v>Motoniveladora Caterpillar modelo 120K ( cab + ar + ríper) ou equivalente</v>
      </c>
      <c r="B1467" s="238">
        <v>30022</v>
      </c>
      <c r="C1467" s="239" t="str">
        <f>VLOOKUP(B1467,equip.!$A$1:$G$239,3,FALSE)</f>
        <v>M</v>
      </c>
      <c r="D1467" s="240">
        <v>1</v>
      </c>
      <c r="E1467" s="205">
        <v>0</v>
      </c>
      <c r="F1467" s="241">
        <f>VLOOKUP(B1467,equip.!$A:$G,6,FALSE)</f>
        <v>247.92</v>
      </c>
      <c r="G1467" s="241">
        <f>VLOOKUP(B1467,equip.!$A:$G,7,FALSE)</f>
        <v>83.72</v>
      </c>
      <c r="H1467" s="242">
        <v>1</v>
      </c>
      <c r="I1467" s="243">
        <f t="shared" si="14"/>
        <v>247.92</v>
      </c>
    </row>
    <row r="1468" spans="1:13" ht="22.5" x14ac:dyDescent="0.2">
      <c r="A1468" s="237" t="str">
        <f>VLOOKUP(B1468,equip.!$A:$G,2,FALSE)</f>
        <v>Rolo AP liso de aço CA 2505 STD Dynapac ou equivalente</v>
      </c>
      <c r="B1468" s="238">
        <v>30038</v>
      </c>
      <c r="C1468" s="239" t="str">
        <f>VLOOKUP(B1468,equip.!$A$1:$G$239,3,FALSE)</f>
        <v>M</v>
      </c>
      <c r="D1468" s="240">
        <v>0.8</v>
      </c>
      <c r="E1468" s="205">
        <v>0.2</v>
      </c>
      <c r="F1468" s="241">
        <f>VLOOKUP(B1468,equip.!$A:$G,6,FALSE)</f>
        <v>179.43</v>
      </c>
      <c r="G1468" s="241">
        <f>VLOOKUP(B1468,equip.!$A:$G,7,FALSE)</f>
        <v>53.86</v>
      </c>
      <c r="H1468" s="242">
        <v>1</v>
      </c>
      <c r="I1468" s="243">
        <f t="shared" si="14"/>
        <v>154.31</v>
      </c>
    </row>
    <row r="1469" spans="1:13" ht="22.5" x14ac:dyDescent="0.2">
      <c r="A1469" s="237" t="str">
        <f>VLOOKUP(B1469,equip.!$A:$G,2,FALSE)</f>
        <v>Rolo compactador de pneus CP 224, Dynapac ou equivalente</v>
      </c>
      <c r="B1469" s="238">
        <v>30033</v>
      </c>
      <c r="C1469" s="239">
        <f>VLOOKUP(B1469,equip.!$A$1:$G$239,3,FALSE)</f>
        <v>0</v>
      </c>
      <c r="D1469" s="240">
        <v>0.5</v>
      </c>
      <c r="E1469" s="205">
        <v>0.5</v>
      </c>
      <c r="F1469" s="241">
        <f>VLOOKUP(B1469,equip.!$A:$G,6,FALSE)</f>
        <v>192.45</v>
      </c>
      <c r="G1469" s="241">
        <f>VLOOKUP(B1469,equip.!$A:$G,7,FALSE)</f>
        <v>61.52</v>
      </c>
      <c r="H1469" s="242">
        <v>1</v>
      </c>
      <c r="I1469" s="243">
        <f t="shared" si="14"/>
        <v>126.98</v>
      </c>
    </row>
    <row r="1470" spans="1:13" x14ac:dyDescent="0.2">
      <c r="A1470" s="199"/>
      <c r="B1470" s="233"/>
      <c r="C1470" s="233"/>
      <c r="D1470" s="199"/>
      <c r="E1470" s="199"/>
      <c r="F1470" s="234" t="s">
        <v>199</v>
      </c>
      <c r="G1470" s="244"/>
      <c r="H1470" s="245"/>
      <c r="I1470" s="434">
        <f>SUM(I1465:I1469)</f>
        <v>700.22</v>
      </c>
    </row>
    <row r="1471" spans="1:13" x14ac:dyDescent="0.2">
      <c r="A1471" s="199"/>
      <c r="B1471" s="233"/>
      <c r="C1471" s="233"/>
      <c r="D1471" s="199"/>
      <c r="E1471" s="199"/>
      <c r="F1471" s="199"/>
      <c r="G1471" s="199"/>
      <c r="H1471" s="199"/>
      <c r="I1471" s="200"/>
    </row>
    <row r="1472" spans="1:13" x14ac:dyDescent="0.2">
      <c r="A1472" s="246" t="s">
        <v>200</v>
      </c>
      <c r="B1472" s="247" t="s">
        <v>60</v>
      </c>
      <c r="C1472" s="236" t="s">
        <v>1242</v>
      </c>
      <c r="D1472" s="247" t="s">
        <v>202</v>
      </c>
      <c r="E1472" s="1271" t="s">
        <v>91</v>
      </c>
      <c r="F1472" s="1272"/>
      <c r="G1472" s="1273"/>
      <c r="H1472" s="1276" t="s">
        <v>198</v>
      </c>
      <c r="I1472" s="1275"/>
    </row>
    <row r="1473" spans="1:17" x14ac:dyDescent="0.2">
      <c r="A1473" s="248" t="str">
        <f>VLOOKUP(B1473,m.o.!$A:$H,2,FALSE)</f>
        <v>Encarregado de pista</v>
      </c>
      <c r="B1473" s="238">
        <v>20063</v>
      </c>
      <c r="C1473" s="243">
        <f>VLOOKUP(B1473,m.o.!$A:$F,4,FALSE)</f>
        <v>2.2599999999999998</v>
      </c>
      <c r="D1473" s="243">
        <f>VLOOKUP(B1473,m.o.!$A:$G,7,FALSE)</f>
        <v>26.3</v>
      </c>
      <c r="E1473" s="260"/>
      <c r="F1473" s="258"/>
      <c r="G1473" s="300">
        <v>0.5</v>
      </c>
      <c r="H1473" s="244"/>
      <c r="I1473" s="249">
        <f>TRUNC(D1473*G1473,2)</f>
        <v>13.15</v>
      </c>
    </row>
    <row r="1474" spans="1:17" x14ac:dyDescent="0.2">
      <c r="A1474" s="248" t="str">
        <f>VLOOKUP(B1474,m.o.!$A:$H,2,FALSE)</f>
        <v>Greidista</v>
      </c>
      <c r="B1474" s="238">
        <v>20088</v>
      </c>
      <c r="C1474" s="243">
        <f>VLOOKUP(B1474,m.o.!$A:$F,4,FALSE)</f>
        <v>1.24</v>
      </c>
      <c r="D1474" s="243">
        <f>VLOOKUP(B1474,m.o.!$A:$G,7,FALSE)</f>
        <v>14.43</v>
      </c>
      <c r="E1474" s="260"/>
      <c r="F1474" s="258"/>
      <c r="G1474" s="300">
        <v>1</v>
      </c>
      <c r="H1474" s="244"/>
      <c r="I1474" s="249">
        <f>TRUNC(D1474*G1474,2)</f>
        <v>14.43</v>
      </c>
    </row>
    <row r="1475" spans="1:17" x14ac:dyDescent="0.2">
      <c r="A1475" s="248" t="str">
        <f>VLOOKUP(B1475,m.o.!$A:$H,2,FALSE)</f>
        <v>Servente</v>
      </c>
      <c r="B1475" s="238">
        <v>20002</v>
      </c>
      <c r="C1475" s="243">
        <f>VLOOKUP(B1475,m.o.!$A:$F,4,FALSE)</f>
        <v>1</v>
      </c>
      <c r="D1475" s="243">
        <f>VLOOKUP(B1475,m.o.!$A:$G,7,FALSE)</f>
        <v>11.64</v>
      </c>
      <c r="E1475" s="260"/>
      <c r="F1475" s="258"/>
      <c r="G1475" s="300">
        <v>4</v>
      </c>
      <c r="H1475" s="244"/>
      <c r="I1475" s="249">
        <f>TRUNC(D1475*G1475,2)</f>
        <v>46.56</v>
      </c>
    </row>
    <row r="1476" spans="1:17" x14ac:dyDescent="0.2">
      <c r="A1476" s="199"/>
      <c r="B1476" s="233"/>
      <c r="C1476" s="233"/>
      <c r="D1476" s="199"/>
      <c r="E1476" s="199"/>
      <c r="F1476" s="234" t="s">
        <v>203</v>
      </c>
      <c r="G1476" s="244"/>
      <c r="H1476" s="245"/>
      <c r="I1476" s="434">
        <f>SUM(I1473:I1475)</f>
        <v>74.14</v>
      </c>
    </row>
    <row r="1477" spans="1:17" x14ac:dyDescent="0.2">
      <c r="A1477" s="199"/>
      <c r="B1477" s="233"/>
      <c r="C1477" s="233"/>
      <c r="D1477" s="199"/>
      <c r="E1477" s="199"/>
      <c r="F1477" s="199"/>
      <c r="G1477" s="199"/>
      <c r="H1477" s="199"/>
      <c r="I1477" s="200"/>
    </row>
    <row r="1478" spans="1:17" x14ac:dyDescent="0.2">
      <c r="A1478" s="250" t="s">
        <v>204</v>
      </c>
      <c r="B1478" s="247" t="s">
        <v>60</v>
      </c>
      <c r="C1478" s="866" t="s">
        <v>17</v>
      </c>
      <c r="D1478" s="247" t="s">
        <v>205</v>
      </c>
      <c r="E1478" s="247" t="s">
        <v>206</v>
      </c>
      <c r="F1478" s="247" t="s">
        <v>207</v>
      </c>
      <c r="G1478" s="1276" t="s">
        <v>96</v>
      </c>
      <c r="H1478" s="1274"/>
      <c r="I1478" s="1275"/>
    </row>
    <row r="1479" spans="1:17" x14ac:dyDescent="0.2">
      <c r="A1479" s="452"/>
      <c r="B1479" s="453"/>
      <c r="C1479" s="454"/>
      <c r="D1479" s="460"/>
      <c r="E1479" s="461"/>
      <c r="F1479" s="461"/>
      <c r="G1479" s="458"/>
      <c r="H1479" s="462"/>
      <c r="I1479" s="463"/>
      <c r="J1479" s="451"/>
      <c r="K1479" s="451"/>
      <c r="L1479" s="198"/>
      <c r="M1479" s="198"/>
      <c r="N1479" s="198"/>
      <c r="O1479" s="198"/>
      <c r="P1479" s="198"/>
      <c r="Q1479" s="198"/>
    </row>
    <row r="1480" spans="1:17" x14ac:dyDescent="0.2">
      <c r="A1480" s="199"/>
      <c r="B1480" s="233"/>
      <c r="C1480" s="199"/>
      <c r="D1480" s="199"/>
      <c r="E1480" s="199"/>
      <c r="F1480" s="234" t="s">
        <v>1170</v>
      </c>
      <c r="G1480" s="244"/>
      <c r="H1480" s="245"/>
      <c r="I1480" s="434">
        <f>SUM(I1479)</f>
        <v>0</v>
      </c>
    </row>
    <row r="1481" spans="1:17" x14ac:dyDescent="0.2">
      <c r="A1481" s="199"/>
      <c r="B1481" s="233"/>
      <c r="C1481" s="199"/>
      <c r="D1481" s="199"/>
      <c r="E1481" s="199"/>
      <c r="F1481" s="199"/>
      <c r="G1481" s="199"/>
      <c r="H1481" s="199"/>
      <c r="I1481" s="200"/>
    </row>
    <row r="1482" spans="1:17" x14ac:dyDescent="0.2">
      <c r="A1482" s="252"/>
      <c r="B1482" s="253"/>
      <c r="C1482" s="254"/>
      <c r="D1482" s="254"/>
      <c r="E1482" s="254"/>
      <c r="F1482" s="255" t="s">
        <v>208</v>
      </c>
      <c r="G1482" s="435"/>
      <c r="H1482" s="254"/>
      <c r="I1482" s="634">
        <f>+I1470+I1476+I1480</f>
        <v>774.36</v>
      </c>
    </row>
    <row r="1483" spans="1:17" x14ac:dyDescent="0.2">
      <c r="A1483" s="256"/>
      <c r="B1483" s="257"/>
      <c r="C1483" s="258"/>
      <c r="D1483" s="258"/>
      <c r="E1483" s="258"/>
      <c r="F1483" s="259" t="s">
        <v>209</v>
      </c>
      <c r="G1483" s="260"/>
      <c r="H1483" s="258"/>
      <c r="I1483" s="635">
        <v>70</v>
      </c>
    </row>
    <row r="1484" spans="1:17" x14ac:dyDescent="0.2">
      <c r="A1484" s="237"/>
      <c r="B1484" s="261"/>
      <c r="C1484" s="245"/>
      <c r="D1484" s="245"/>
      <c r="E1484" s="245"/>
      <c r="F1484" s="262" t="s">
        <v>232</v>
      </c>
      <c r="G1484" s="244"/>
      <c r="H1484" s="245"/>
      <c r="I1484" s="633">
        <f>TRUNC(I1482/I1483,2)</f>
        <v>11.06</v>
      </c>
    </row>
    <row r="1485" spans="1:17" x14ac:dyDescent="0.2">
      <c r="A1485" s="867"/>
      <c r="B1485" s="233"/>
      <c r="C1485" s="199"/>
      <c r="D1485" s="199"/>
      <c r="E1485" s="199"/>
      <c r="F1485" s="263"/>
      <c r="G1485" s="199"/>
      <c r="H1485" s="199"/>
      <c r="I1485" s="264"/>
    </row>
    <row r="1486" spans="1:17" x14ac:dyDescent="0.2">
      <c r="A1486" s="500" t="s">
        <v>210</v>
      </c>
      <c r="B1486" s="468" t="s">
        <v>60</v>
      </c>
      <c r="C1486" s="468" t="s">
        <v>211</v>
      </c>
      <c r="D1486" s="468" t="s">
        <v>233</v>
      </c>
      <c r="E1486" s="1289" t="s">
        <v>91</v>
      </c>
      <c r="F1486" s="1284"/>
      <c r="G1486" s="1285"/>
      <c r="H1486" s="1289" t="s">
        <v>198</v>
      </c>
      <c r="I1486" s="1285"/>
      <c r="J1486" s="451"/>
      <c r="K1486" s="451"/>
      <c r="L1486" s="198"/>
      <c r="M1486" s="198"/>
      <c r="N1486" s="198"/>
      <c r="O1486" s="198"/>
      <c r="P1486" s="198"/>
      <c r="Q1486" s="198"/>
    </row>
    <row r="1487" spans="1:17" ht="22.5" x14ac:dyDescent="0.2">
      <c r="A1487" s="265" t="str">
        <f>VLOOKUP(B1487,mat.!$A:$D,2,FALSE)</f>
        <v>Brita graduada, especificada sem pó, sem frete</v>
      </c>
      <c r="B1487" s="238">
        <v>10119</v>
      </c>
      <c r="C1487" s="266" t="str">
        <f>VLOOKUP(B1487,mat.!$A:$D,3,FALSE)</f>
        <v>m3</v>
      </c>
      <c r="D1487" s="267">
        <f>VLOOKUP(B1487,mat.!$A:$D,4,FALSE)</f>
        <v>49.19</v>
      </c>
      <c r="E1487" s="260"/>
      <c r="F1487" s="258"/>
      <c r="G1487" s="300">
        <v>1.4</v>
      </c>
      <c r="H1487" s="260"/>
      <c r="I1487" s="268">
        <f>TRUNC(D1487*G1487,2)</f>
        <v>68.86</v>
      </c>
    </row>
    <row r="1488" spans="1:17" x14ac:dyDescent="0.2">
      <c r="A1488" s="199"/>
      <c r="B1488" s="233"/>
      <c r="C1488" s="199"/>
      <c r="D1488" s="199"/>
      <c r="E1488" s="199"/>
      <c r="F1488" s="234" t="s">
        <v>212</v>
      </c>
      <c r="G1488" s="244"/>
      <c r="H1488" s="245"/>
      <c r="I1488" s="434">
        <f>SUM(I1487:I1487)</f>
        <v>68.86</v>
      </c>
    </row>
    <row r="1489" spans="1:17" x14ac:dyDescent="0.2">
      <c r="A1489" s="199"/>
      <c r="B1489" s="233"/>
      <c r="C1489" s="199"/>
      <c r="D1489" s="199"/>
      <c r="E1489" s="199"/>
      <c r="F1489" s="199"/>
      <c r="G1489" s="269"/>
      <c r="H1489" s="199"/>
      <c r="I1489" s="200"/>
    </row>
    <row r="1490" spans="1:17" x14ac:dyDescent="0.2">
      <c r="A1490" s="270" t="s">
        <v>213</v>
      </c>
      <c r="B1490" s="247" t="s">
        <v>60</v>
      </c>
      <c r="C1490" s="247" t="s">
        <v>211</v>
      </c>
      <c r="D1490" s="866" t="s">
        <v>233</v>
      </c>
      <c r="E1490" s="1271" t="s">
        <v>91</v>
      </c>
      <c r="F1490" s="1272"/>
      <c r="G1490" s="1273"/>
      <c r="H1490" s="1274" t="s">
        <v>198</v>
      </c>
      <c r="I1490" s="1275"/>
    </row>
    <row r="1491" spans="1:17" x14ac:dyDescent="0.2">
      <c r="A1491" s="201"/>
      <c r="B1491" s="271"/>
      <c r="C1491" s="201"/>
      <c r="D1491" s="201"/>
      <c r="E1491" s="201"/>
      <c r="F1491" s="272" t="s">
        <v>214</v>
      </c>
      <c r="G1491" s="260"/>
      <c r="H1491" s="273"/>
      <c r="I1491" s="436"/>
    </row>
    <row r="1492" spans="1:17" x14ac:dyDescent="0.2">
      <c r="A1492" s="201"/>
      <c r="B1492" s="271"/>
      <c r="C1492" s="201"/>
      <c r="D1492" s="201"/>
      <c r="E1492" s="201"/>
      <c r="F1492" s="201"/>
      <c r="G1492" s="201"/>
      <c r="H1492" s="201"/>
      <c r="I1492" s="201"/>
    </row>
    <row r="1493" spans="1:17" x14ac:dyDescent="0.2">
      <c r="A1493" s="274" t="s">
        <v>215</v>
      </c>
      <c r="B1493" s="275" t="s">
        <v>60</v>
      </c>
      <c r="C1493" s="275" t="s">
        <v>211</v>
      </c>
      <c r="D1493" s="275" t="s">
        <v>216</v>
      </c>
      <c r="E1493" s="275" t="s">
        <v>217</v>
      </c>
      <c r="F1493" s="275" t="s">
        <v>218</v>
      </c>
      <c r="G1493" s="275" t="s">
        <v>96</v>
      </c>
      <c r="H1493" s="275" t="s">
        <v>91</v>
      </c>
      <c r="I1493" s="275" t="s">
        <v>219</v>
      </c>
    </row>
    <row r="1494" spans="1:17" ht="21.75" customHeight="1" x14ac:dyDescent="0.2">
      <c r="A1494" s="201"/>
      <c r="B1494" s="271"/>
      <c r="C1494" s="201"/>
      <c r="D1494" s="201"/>
      <c r="E1494" s="201"/>
      <c r="F1494" s="272" t="s">
        <v>220</v>
      </c>
      <c r="G1494" s="244"/>
      <c r="H1494" s="279"/>
      <c r="I1494" s="438"/>
    </row>
    <row r="1495" spans="1:17" x14ac:dyDescent="0.2">
      <c r="A1495" s="201"/>
      <c r="B1495" s="271"/>
      <c r="C1495" s="201"/>
      <c r="D1495" s="201"/>
      <c r="E1495" s="201"/>
      <c r="F1495" s="201"/>
      <c r="G1495" s="201"/>
      <c r="H1495" s="201"/>
      <c r="I1495" s="202"/>
    </row>
    <row r="1496" spans="1:17" x14ac:dyDescent="0.2">
      <c r="A1496" s="280"/>
      <c r="B1496" s="281"/>
      <c r="C1496" s="282"/>
      <c r="D1496" s="282"/>
      <c r="E1496" s="282"/>
      <c r="F1496" s="283" t="s">
        <v>221</v>
      </c>
      <c r="G1496" s="280"/>
      <c r="H1496" s="254"/>
      <c r="I1496" s="634">
        <f>+I1484+I1488+I1491+I1494</f>
        <v>79.92</v>
      </c>
      <c r="J1496" s="446"/>
    </row>
    <row r="1497" spans="1:17" x14ac:dyDescent="0.2">
      <c r="A1497" s="260"/>
      <c r="B1497" s="284"/>
      <c r="C1497" s="273"/>
      <c r="D1497" s="273"/>
      <c r="E1497" s="273"/>
      <c r="F1497" s="285" t="str">
        <f>CONCATENATE($H$3," ",$I$3)</f>
        <v>BDI: 23,32</v>
      </c>
      <c r="G1497" s="439"/>
      <c r="H1497" s="258"/>
      <c r="I1497" s="635">
        <f>+ROUND(I1496*$I$4,2)</f>
        <v>18.64</v>
      </c>
    </row>
    <row r="1498" spans="1:17" x14ac:dyDescent="0.2">
      <c r="A1498" s="244"/>
      <c r="B1498" s="286"/>
      <c r="C1498" s="279"/>
      <c r="D1498" s="279"/>
      <c r="E1498" s="279"/>
      <c r="F1498" s="287" t="s">
        <v>222</v>
      </c>
      <c r="G1498" s="440"/>
      <c r="H1498" s="245"/>
      <c r="I1498" s="1017">
        <f>+I1496+I1497</f>
        <v>98.56</v>
      </c>
      <c r="J1498" s="446"/>
      <c r="K1498" s="302"/>
    </row>
    <row r="1499" spans="1:17" x14ac:dyDescent="0.2">
      <c r="A1499" s="1277" t="str">
        <f>$A$1</f>
        <v>COMPOSIÇÃO DE CUSTOS UNITÁRIOS</v>
      </c>
      <c r="B1499" s="1277"/>
      <c r="C1499" s="1277"/>
      <c r="D1499" s="1277"/>
      <c r="E1499" s="1277"/>
      <c r="F1499" s="1277"/>
      <c r="G1499" s="1277"/>
      <c r="H1499" s="1277"/>
      <c r="I1499" s="1277"/>
    </row>
    <row r="1500" spans="1:17" s="198" customFormat="1" x14ac:dyDescent="0.2">
      <c r="A1500" s="232" t="str">
        <f>$A$2</f>
        <v>Tabela Referencial de Preços - DER-ES</v>
      </c>
      <c r="B1500" s="233"/>
      <c r="C1500" s="199"/>
      <c r="D1500" s="199"/>
      <c r="E1500" s="199"/>
      <c r="F1500" s="199"/>
      <c r="G1500" s="199"/>
      <c r="H1500" s="199"/>
      <c r="I1500" s="234" t="str">
        <f>$I$2</f>
        <v>Data Base: Outubro/2018</v>
      </c>
      <c r="J1500" s="433">
        <v>40816</v>
      </c>
      <c r="K1500" s="433">
        <f>VLOOKUP("Preço Unitário Total",F1502:I4251,4,FALSE)</f>
        <v>0.84</v>
      </c>
      <c r="L1500" s="302">
        <f>VLOOKUP(J1500,'DER 10-18'!A:E,5,FALSE)</f>
        <v>0</v>
      </c>
      <c r="M1500" s="302" t="str">
        <f>VLOOKUP(J1500,'DER 10-18'!$A:$D,2,FALSE)</f>
        <v>Imprimação exclusive fornecimento e transporte comercial do material betuminoso</v>
      </c>
      <c r="N1500" s="302"/>
      <c r="O1500" s="302"/>
      <c r="P1500" s="302"/>
      <c r="Q1500" s="302"/>
    </row>
    <row r="1501" spans="1:17" x14ac:dyDescent="0.2">
      <c r="A1501" s="1278" t="str">
        <f>+CONCATENATE("Serviço: ",J1500," ",VLOOKUP(J1500,'DER 10-18'!$A:$D,2,FALSE))</f>
        <v>Serviço: 40816 Imprimação exclusive fornecimento e transporte comercial do material betuminoso</v>
      </c>
      <c r="B1501" s="1278"/>
      <c r="C1501" s="1278"/>
      <c r="D1501" s="1278"/>
      <c r="E1501" s="1278"/>
      <c r="F1501" s="1278"/>
      <c r="G1501" s="1278"/>
      <c r="H1501" s="1278"/>
      <c r="I1501" s="1278" t="str">
        <f>CONCATENATE("Unidade: ", VLOOKUP(J1500,'DER 10-18'!$A:$E,3,FALSE))</f>
        <v>Unidade: M2</v>
      </c>
    </row>
    <row r="1502" spans="1:17" x14ac:dyDescent="0.2">
      <c r="A1502" s="1279"/>
      <c r="B1502" s="1279"/>
      <c r="C1502" s="1279"/>
      <c r="D1502" s="1279"/>
      <c r="E1502" s="1279"/>
      <c r="F1502" s="1279"/>
      <c r="G1502" s="1279"/>
      <c r="H1502" s="1279"/>
      <c r="I1502" s="1279"/>
    </row>
    <row r="1503" spans="1:17" ht="22.5" x14ac:dyDescent="0.2">
      <c r="A1503" s="235" t="s">
        <v>192</v>
      </c>
      <c r="B1503" s="236" t="s">
        <v>60</v>
      </c>
      <c r="C1503" s="236" t="s">
        <v>193</v>
      </c>
      <c r="D1503" s="236" t="s">
        <v>194</v>
      </c>
      <c r="E1503" s="236" t="s">
        <v>195</v>
      </c>
      <c r="F1503" s="236" t="s">
        <v>196</v>
      </c>
      <c r="G1503" s="236" t="s">
        <v>197</v>
      </c>
      <c r="H1503" s="236" t="s">
        <v>91</v>
      </c>
      <c r="I1503" s="236" t="s">
        <v>198</v>
      </c>
    </row>
    <row r="1504" spans="1:17" ht="33.75" x14ac:dyDescent="0.2">
      <c r="A1504" s="237" t="str">
        <f>VLOOKUP(B1504,equip.!$A:$G,2,FALSE)</f>
        <v>Equipamento espargidor de asfalto 1315C DA-6C 6.500L (CONSMAQ) ou equivalente</v>
      </c>
      <c r="B1504" s="238">
        <v>30009</v>
      </c>
      <c r="C1504" s="239" t="str">
        <f>VLOOKUP(B1504,equip.!$A$1:$G$239,3,FALSE)</f>
        <v>M</v>
      </c>
      <c r="D1504" s="240">
        <v>1</v>
      </c>
      <c r="E1504" s="205">
        <v>0</v>
      </c>
      <c r="F1504" s="241">
        <f>VLOOKUP(B1504,equip.!$A:$G,6,FALSE)</f>
        <v>163.12</v>
      </c>
      <c r="G1504" s="241">
        <f>VLOOKUP(B1504,equip.!$A:$G,7,FALSE)</f>
        <v>52.9</v>
      </c>
      <c r="H1504" s="242">
        <v>1</v>
      </c>
      <c r="I1504" s="243">
        <f>TRUNC(D1504*F1504*H1504+E1504*G1504*H1504,2)</f>
        <v>163.12</v>
      </c>
    </row>
    <row r="1505" spans="1:17" x14ac:dyDescent="0.2">
      <c r="A1505" s="237" t="str">
        <f>VLOOKUP(B1505,equip.!$A:$G,2,FALSE)</f>
        <v>Tanque estacionário 20.000 L</v>
      </c>
      <c r="B1505" s="238">
        <v>30084</v>
      </c>
      <c r="C1505" s="239">
        <f>VLOOKUP(B1505,equip.!$A$1:$G$239,3,FALSE)</f>
        <v>0</v>
      </c>
      <c r="D1505" s="240">
        <v>1</v>
      </c>
      <c r="E1505" s="205">
        <v>0</v>
      </c>
      <c r="F1505" s="241">
        <f>VLOOKUP(B1505,equip.!$A:$G,6,FALSE)</f>
        <v>5.23</v>
      </c>
      <c r="G1505" s="241">
        <f>VLOOKUP(B1505,equip.!$A:$G,7,FALSE)</f>
        <v>3.74</v>
      </c>
      <c r="H1505" s="242">
        <v>1</v>
      </c>
      <c r="I1505" s="243">
        <f>TRUNC(D1505*F1505*H1505+E1505*G1505*H1505,2)</f>
        <v>5.23</v>
      </c>
    </row>
    <row r="1506" spans="1:17" ht="33.75" x14ac:dyDescent="0.2">
      <c r="A1506" s="237" t="str">
        <f>VLOOKUP(B1506,equip.!$A:$G,2,FALSE)</f>
        <v>Trator agrícola MF 297/4 -4 X 4 (MASSEY FERGUSSON) ou equivalente</v>
      </c>
      <c r="B1506" s="238">
        <v>30030</v>
      </c>
      <c r="C1506" s="239" t="str">
        <f>VLOOKUP(B1506,equip.!$A$1:$G$239,3,FALSE)</f>
        <v>M</v>
      </c>
      <c r="D1506" s="240">
        <v>0.5</v>
      </c>
      <c r="E1506" s="205">
        <v>0.5</v>
      </c>
      <c r="F1506" s="241">
        <f>VLOOKUP(B1506,equip.!$A:$G,6,FALSE)</f>
        <v>117.24</v>
      </c>
      <c r="G1506" s="241">
        <f>VLOOKUP(B1506,equip.!$A:$G,7,FALSE)</f>
        <v>30.29</v>
      </c>
      <c r="H1506" s="242">
        <v>1</v>
      </c>
      <c r="I1506" s="243">
        <f>TRUNC(D1506*F1506*H1506+E1506*G1506*H1506,2)</f>
        <v>73.760000000000005</v>
      </c>
    </row>
    <row r="1507" spans="1:17" s="198" customFormat="1" ht="22.5" x14ac:dyDescent="0.2">
      <c r="A1507" s="237" t="str">
        <f>VLOOKUP(B1507,equip.!$A:$G,2,FALSE)</f>
        <v>Vassoura mecânica VM-2440 (CMV) ou equivalente</v>
      </c>
      <c r="B1507" s="238">
        <v>30051</v>
      </c>
      <c r="C1507" s="239" t="str">
        <f>VLOOKUP(B1507,equip.!$A$1:$G$239,3,FALSE)</f>
        <v>M</v>
      </c>
      <c r="D1507" s="240">
        <v>0.5</v>
      </c>
      <c r="E1507" s="205">
        <v>0.5</v>
      </c>
      <c r="F1507" s="241">
        <f>VLOOKUP(B1507,equip.!$A:$G,6,FALSE)</f>
        <v>7.09</v>
      </c>
      <c r="G1507" s="241">
        <f>VLOOKUP(B1507,equip.!$A:$G,7,FALSE)</f>
        <v>4.4400000000000004</v>
      </c>
      <c r="H1507" s="242">
        <v>1</v>
      </c>
      <c r="I1507" s="243">
        <f>TRUNC(D1507*F1507*H1507+E1507*G1507*H1507,2)</f>
        <v>5.76</v>
      </c>
      <c r="J1507" s="433"/>
      <c r="K1507" s="433"/>
      <c r="L1507" s="302"/>
      <c r="M1507" s="302"/>
      <c r="N1507" s="302"/>
      <c r="O1507" s="302"/>
      <c r="P1507" s="302"/>
      <c r="Q1507" s="302"/>
    </row>
    <row r="1508" spans="1:17" s="198" customFormat="1" x14ac:dyDescent="0.2">
      <c r="A1508" s="199"/>
      <c r="B1508" s="233"/>
      <c r="C1508" s="233"/>
      <c r="D1508" s="199"/>
      <c r="E1508" s="199"/>
      <c r="F1508" s="234" t="s">
        <v>199</v>
      </c>
      <c r="G1508" s="244"/>
      <c r="H1508" s="245"/>
      <c r="I1508" s="434">
        <f>SUM(I1504:I1507)</f>
        <v>247.87</v>
      </c>
      <c r="J1508" s="433"/>
      <c r="K1508" s="433"/>
      <c r="L1508" s="302"/>
      <c r="M1508" s="302"/>
      <c r="N1508" s="302"/>
      <c r="O1508" s="302"/>
      <c r="P1508" s="302"/>
      <c r="Q1508" s="302"/>
    </row>
    <row r="1509" spans="1:17" s="198" customFormat="1" x14ac:dyDescent="0.2">
      <c r="A1509" s="199"/>
      <c r="B1509" s="233"/>
      <c r="C1509" s="233"/>
      <c r="D1509" s="199"/>
      <c r="E1509" s="199"/>
      <c r="F1509" s="199"/>
      <c r="G1509" s="199"/>
      <c r="H1509" s="199"/>
      <c r="I1509" s="200"/>
      <c r="J1509" s="433"/>
      <c r="K1509" s="433"/>
      <c r="L1509" s="302"/>
      <c r="M1509" s="302"/>
      <c r="N1509" s="302"/>
      <c r="O1509" s="302"/>
      <c r="P1509" s="302"/>
      <c r="Q1509" s="302"/>
    </row>
    <row r="1510" spans="1:17" x14ac:dyDescent="0.2">
      <c r="A1510" s="246" t="s">
        <v>200</v>
      </c>
      <c r="B1510" s="247" t="s">
        <v>60</v>
      </c>
      <c r="C1510" s="236" t="s">
        <v>1242</v>
      </c>
      <c r="D1510" s="247" t="s">
        <v>202</v>
      </c>
      <c r="E1510" s="1276" t="s">
        <v>91</v>
      </c>
      <c r="F1510" s="1274"/>
      <c r="G1510" s="1275"/>
      <c r="H1510" s="1276" t="s">
        <v>198</v>
      </c>
      <c r="I1510" s="1275"/>
    </row>
    <row r="1511" spans="1:17" x14ac:dyDescent="0.2">
      <c r="A1511" s="248" t="str">
        <f>VLOOKUP(B1511,m.o.!$A:$H,2,FALSE)</f>
        <v>Encarregado de pista</v>
      </c>
      <c r="B1511" s="238">
        <v>20063</v>
      </c>
      <c r="C1511" s="243">
        <f>VLOOKUP(B1511,m.o.!$A:$F,4,FALSE)</f>
        <v>2.2599999999999998</v>
      </c>
      <c r="D1511" s="243">
        <f>VLOOKUP(B1511,m.o.!$A:$G,7,FALSE)</f>
        <v>26.3</v>
      </c>
      <c r="E1511" s="260"/>
      <c r="F1511" s="258"/>
      <c r="G1511" s="300">
        <v>1</v>
      </c>
      <c r="H1511" s="244"/>
      <c r="I1511" s="249">
        <f>TRUNC(D1511*G1511,2)</f>
        <v>26.3</v>
      </c>
      <c r="J1511" s="302"/>
      <c r="K1511" s="302"/>
    </row>
    <row r="1512" spans="1:17" x14ac:dyDescent="0.2">
      <c r="A1512" s="248" t="str">
        <f>VLOOKUP(B1512,m.o.!$A:$H,2,FALSE)</f>
        <v>Servente</v>
      </c>
      <c r="B1512" s="238">
        <v>20002</v>
      </c>
      <c r="C1512" s="243">
        <f>VLOOKUP(B1512,m.o.!$A:$F,4,FALSE)</f>
        <v>1</v>
      </c>
      <c r="D1512" s="243">
        <f>VLOOKUP(B1512,m.o.!$A:$G,7,FALSE)</f>
        <v>11.64</v>
      </c>
      <c r="E1512" s="244"/>
      <c r="F1512" s="245"/>
      <c r="G1512" s="441">
        <v>6</v>
      </c>
      <c r="H1512" s="244"/>
      <c r="I1512" s="249">
        <f>TRUNC(D1512*G1512,2)</f>
        <v>69.84</v>
      </c>
      <c r="J1512" s="302"/>
      <c r="K1512" s="302"/>
    </row>
    <row r="1513" spans="1:17" x14ac:dyDescent="0.2">
      <c r="A1513" s="199"/>
      <c r="B1513" s="233"/>
      <c r="C1513" s="233"/>
      <c r="D1513" s="199"/>
      <c r="E1513" s="199"/>
      <c r="F1513" s="234" t="s">
        <v>203</v>
      </c>
      <c r="G1513" s="244"/>
      <c r="H1513" s="245"/>
      <c r="I1513" s="434">
        <f>SUM(I1511:I1512)</f>
        <v>96.14</v>
      </c>
      <c r="J1513" s="302"/>
      <c r="K1513" s="302"/>
    </row>
    <row r="1514" spans="1:17" x14ac:dyDescent="0.2">
      <c r="A1514" s="199"/>
      <c r="B1514" s="233"/>
      <c r="C1514" s="233"/>
      <c r="D1514" s="199"/>
      <c r="E1514" s="199"/>
      <c r="F1514" s="199"/>
      <c r="G1514" s="199"/>
      <c r="H1514" s="199"/>
      <c r="I1514" s="200"/>
      <c r="J1514" s="302"/>
      <c r="K1514" s="302"/>
    </row>
    <row r="1515" spans="1:17" x14ac:dyDescent="0.2">
      <c r="A1515" s="270" t="s">
        <v>204</v>
      </c>
      <c r="B1515" s="247" t="s">
        <v>60</v>
      </c>
      <c r="C1515" s="866" t="s">
        <v>17</v>
      </c>
      <c r="D1515" s="247" t="s">
        <v>205</v>
      </c>
      <c r="E1515" s="247" t="s">
        <v>206</v>
      </c>
      <c r="F1515" s="247" t="s">
        <v>207</v>
      </c>
      <c r="G1515" s="1276" t="s">
        <v>96</v>
      </c>
      <c r="H1515" s="1274"/>
      <c r="I1515" s="1275"/>
      <c r="J1515" s="302"/>
      <c r="K1515" s="302"/>
    </row>
    <row r="1516" spans="1:17" x14ac:dyDescent="0.2">
      <c r="A1516" s="248"/>
      <c r="B1516" s="238"/>
      <c r="C1516" s="243"/>
      <c r="D1516" s="239"/>
      <c r="E1516" s="251"/>
      <c r="F1516" s="251"/>
      <c r="G1516" s="244"/>
      <c r="H1516" s="245"/>
      <c r="I1516" s="249"/>
      <c r="J1516" s="302"/>
      <c r="K1516" s="302"/>
    </row>
    <row r="1517" spans="1:17" s="198" customFormat="1" x14ac:dyDescent="0.2">
      <c r="A1517" s="199"/>
      <c r="B1517" s="233"/>
      <c r="C1517" s="199"/>
      <c r="D1517" s="199"/>
      <c r="E1517" s="199"/>
      <c r="F1517" s="234" t="s">
        <v>1170</v>
      </c>
      <c r="G1517" s="244"/>
      <c r="H1517" s="245"/>
      <c r="I1517" s="434">
        <f>SUM(I1516)</f>
        <v>0</v>
      </c>
      <c r="J1517" s="302"/>
      <c r="K1517" s="302"/>
      <c r="L1517" s="302"/>
      <c r="M1517" s="302"/>
      <c r="N1517" s="302"/>
      <c r="O1517" s="302"/>
      <c r="P1517" s="302"/>
      <c r="Q1517" s="302"/>
    </row>
    <row r="1518" spans="1:17" s="198" customFormat="1" x14ac:dyDescent="0.2">
      <c r="A1518" s="199"/>
      <c r="B1518" s="233"/>
      <c r="C1518" s="199"/>
      <c r="D1518" s="199"/>
      <c r="E1518" s="199"/>
      <c r="F1518" s="199"/>
      <c r="G1518" s="199"/>
      <c r="H1518" s="199"/>
      <c r="I1518" s="200"/>
      <c r="J1518" s="302"/>
      <c r="K1518" s="302"/>
      <c r="L1518" s="302"/>
      <c r="M1518" s="302"/>
      <c r="N1518" s="302"/>
      <c r="O1518" s="302"/>
      <c r="P1518" s="302"/>
      <c r="Q1518" s="302"/>
    </row>
    <row r="1519" spans="1:17" s="198" customFormat="1" x14ac:dyDescent="0.2">
      <c r="A1519" s="252"/>
      <c r="B1519" s="253"/>
      <c r="C1519" s="254"/>
      <c r="D1519" s="254"/>
      <c r="E1519" s="254"/>
      <c r="F1519" s="255" t="s">
        <v>208</v>
      </c>
      <c r="G1519" s="435"/>
      <c r="H1519" s="254"/>
      <c r="I1519" s="634">
        <f>+I1508+I1513+I1517</f>
        <v>344.01</v>
      </c>
      <c r="J1519" s="302"/>
      <c r="K1519" s="302"/>
      <c r="L1519" s="302"/>
      <c r="M1519" s="302"/>
      <c r="N1519" s="302"/>
      <c r="O1519" s="302"/>
      <c r="P1519" s="302"/>
      <c r="Q1519" s="302"/>
    </row>
    <row r="1520" spans="1:17" x14ac:dyDescent="0.2">
      <c r="A1520" s="256"/>
      <c r="B1520" s="257"/>
      <c r="C1520" s="258"/>
      <c r="D1520" s="258"/>
      <c r="E1520" s="258"/>
      <c r="F1520" s="259" t="s">
        <v>209</v>
      </c>
      <c r="G1520" s="260"/>
      <c r="H1520" s="258"/>
      <c r="I1520" s="635">
        <v>500</v>
      </c>
      <c r="J1520" s="302"/>
      <c r="K1520" s="302"/>
    </row>
    <row r="1521" spans="1:15" x14ac:dyDescent="0.2">
      <c r="A1521" s="237"/>
      <c r="B1521" s="261"/>
      <c r="C1521" s="245"/>
      <c r="D1521" s="245"/>
      <c r="E1521" s="245"/>
      <c r="F1521" s="262" t="s">
        <v>232</v>
      </c>
      <c r="G1521" s="244"/>
      <c r="H1521" s="245"/>
      <c r="I1521" s="633">
        <f>TRUNC(I1519/I1520,2)</f>
        <v>0.68</v>
      </c>
      <c r="J1521" s="302"/>
      <c r="K1521" s="302"/>
    </row>
    <row r="1522" spans="1:15" x14ac:dyDescent="0.2">
      <c r="A1522" s="867"/>
      <c r="B1522" s="233"/>
      <c r="C1522" s="199"/>
      <c r="D1522" s="199"/>
      <c r="E1522" s="199"/>
      <c r="F1522" s="263"/>
      <c r="G1522" s="199"/>
      <c r="H1522" s="199"/>
      <c r="I1522" s="264"/>
      <c r="J1522" s="302"/>
      <c r="K1522" s="302"/>
    </row>
    <row r="1523" spans="1:15" x14ac:dyDescent="0.2">
      <c r="A1523" s="246" t="s">
        <v>210</v>
      </c>
      <c r="B1523" s="247" t="s">
        <v>60</v>
      </c>
      <c r="C1523" s="247" t="s">
        <v>211</v>
      </c>
      <c r="D1523" s="247" t="s">
        <v>233</v>
      </c>
      <c r="E1523" s="1276" t="s">
        <v>91</v>
      </c>
      <c r="F1523" s="1274"/>
      <c r="G1523" s="1275"/>
      <c r="H1523" s="1276" t="s">
        <v>198</v>
      </c>
      <c r="I1523" s="1275"/>
      <c r="J1523" s="302"/>
      <c r="K1523" s="302"/>
    </row>
    <row r="1524" spans="1:15" x14ac:dyDescent="0.2">
      <c r="A1524" s="199"/>
      <c r="B1524" s="233"/>
      <c r="C1524" s="199"/>
      <c r="D1524" s="199"/>
      <c r="E1524" s="199"/>
      <c r="F1524" s="234" t="s">
        <v>212</v>
      </c>
      <c r="G1524" s="244"/>
      <c r="H1524" s="245"/>
      <c r="I1524" s="434"/>
      <c r="J1524" s="302"/>
      <c r="K1524" s="302"/>
    </row>
    <row r="1525" spans="1:15" x14ac:dyDescent="0.2">
      <c r="A1525" s="199"/>
      <c r="B1525" s="233"/>
      <c r="C1525" s="199"/>
      <c r="D1525" s="199"/>
      <c r="E1525" s="199"/>
      <c r="F1525" s="199"/>
      <c r="G1525" s="269"/>
      <c r="H1525" s="199"/>
      <c r="I1525" s="200"/>
      <c r="J1525" s="302"/>
      <c r="K1525" s="302"/>
    </row>
    <row r="1526" spans="1:15" x14ac:dyDescent="0.2">
      <c r="A1526" s="270" t="s">
        <v>213</v>
      </c>
      <c r="B1526" s="247" t="s">
        <v>60</v>
      </c>
      <c r="C1526" s="247" t="s">
        <v>211</v>
      </c>
      <c r="D1526" s="866" t="s">
        <v>233</v>
      </c>
      <c r="E1526" s="1276" t="s">
        <v>91</v>
      </c>
      <c r="F1526" s="1274"/>
      <c r="G1526" s="1275"/>
      <c r="H1526" s="1276" t="s">
        <v>198</v>
      </c>
      <c r="I1526" s="1275"/>
      <c r="J1526" s="302"/>
      <c r="K1526" s="302"/>
      <c r="O1526" s="198"/>
    </row>
    <row r="1527" spans="1:15" x14ac:dyDescent="0.2">
      <c r="A1527" s="201"/>
      <c r="B1527" s="271"/>
      <c r="C1527" s="201"/>
      <c r="D1527" s="201"/>
      <c r="E1527" s="201"/>
      <c r="F1527" s="272" t="s">
        <v>214</v>
      </c>
      <c r="G1527" s="260"/>
      <c r="H1527" s="273"/>
      <c r="I1527" s="436">
        <f>SUM(I1525:I1526)</f>
        <v>0</v>
      </c>
      <c r="O1527" s="198"/>
    </row>
    <row r="1528" spans="1:15" x14ac:dyDescent="0.2">
      <c r="A1528" s="201"/>
      <c r="B1528" s="271"/>
      <c r="C1528" s="201"/>
      <c r="D1528" s="201"/>
      <c r="E1528" s="201"/>
      <c r="F1528" s="201"/>
      <c r="G1528" s="201"/>
      <c r="H1528" s="201"/>
      <c r="I1528" s="201"/>
    </row>
    <row r="1529" spans="1:15" x14ac:dyDescent="0.2">
      <c r="A1529" s="442" t="s">
        <v>215</v>
      </c>
      <c r="B1529" s="275" t="s">
        <v>60</v>
      </c>
      <c r="C1529" s="275" t="s">
        <v>211</v>
      </c>
      <c r="D1529" s="275" t="s">
        <v>216</v>
      </c>
      <c r="E1529" s="275" t="s">
        <v>217</v>
      </c>
      <c r="F1529" s="275" t="s">
        <v>218</v>
      </c>
      <c r="G1529" s="275" t="s">
        <v>96</v>
      </c>
      <c r="H1529" s="275" t="s">
        <v>91</v>
      </c>
      <c r="I1529" s="275" t="s">
        <v>219</v>
      </c>
    </row>
    <row r="1530" spans="1:15" x14ac:dyDescent="0.2">
      <c r="A1530" s="201"/>
      <c r="B1530" s="271"/>
      <c r="C1530" s="201"/>
      <c r="D1530" s="201"/>
      <c r="E1530" s="201"/>
      <c r="F1530" s="272" t="s">
        <v>220</v>
      </c>
      <c r="G1530" s="244"/>
      <c r="H1530" s="279"/>
      <c r="I1530" s="438"/>
    </row>
    <row r="1531" spans="1:15" x14ac:dyDescent="0.2">
      <c r="A1531" s="201"/>
      <c r="B1531" s="271"/>
      <c r="C1531" s="201"/>
      <c r="D1531" s="201"/>
      <c r="E1531" s="201"/>
      <c r="F1531" s="201"/>
      <c r="G1531" s="201"/>
      <c r="H1531" s="201"/>
      <c r="I1531" s="202"/>
    </row>
    <row r="1532" spans="1:15" x14ac:dyDescent="0.2">
      <c r="A1532" s="280"/>
      <c r="B1532" s="281"/>
      <c r="C1532" s="282"/>
      <c r="D1532" s="282"/>
      <c r="E1532" s="282"/>
      <c r="F1532" s="283" t="s">
        <v>221</v>
      </c>
      <c r="G1532" s="280"/>
      <c r="H1532" s="254"/>
      <c r="I1532" s="634">
        <f>+I1521+I1524+I1527+I1530</f>
        <v>0.68</v>
      </c>
      <c r="O1532" s="198"/>
    </row>
    <row r="1533" spans="1:15" x14ac:dyDescent="0.2">
      <c r="A1533" s="260"/>
      <c r="B1533" s="284"/>
      <c r="C1533" s="273"/>
      <c r="D1533" s="273"/>
      <c r="E1533" s="273"/>
      <c r="F1533" s="285" t="str">
        <f>CONCATENATE($H$3," ",$I$3)</f>
        <v>BDI: 23,32</v>
      </c>
      <c r="G1533" s="439"/>
      <c r="H1533" s="258"/>
      <c r="I1533" s="635">
        <f>+ROUND(I1532*$I$4,2)</f>
        <v>0.16</v>
      </c>
      <c r="O1533" s="198"/>
    </row>
    <row r="1534" spans="1:15" x14ac:dyDescent="0.2">
      <c r="A1534" s="260"/>
      <c r="B1534" s="284"/>
      <c r="C1534" s="273"/>
      <c r="D1534" s="273"/>
      <c r="E1534" s="273"/>
      <c r="F1534" s="285" t="s">
        <v>222</v>
      </c>
      <c r="G1534" s="439"/>
      <c r="H1534" s="258"/>
      <c r="I1534" s="1020">
        <f>+I1532+I1533</f>
        <v>0.84</v>
      </c>
    </row>
    <row r="1535" spans="1:15" x14ac:dyDescent="0.2">
      <c r="A1535" s="1277" t="str">
        <f>$A$1</f>
        <v>COMPOSIÇÃO DE CUSTOS UNITÁRIOS</v>
      </c>
      <c r="B1535" s="1277"/>
      <c r="C1535" s="1277"/>
      <c r="D1535" s="1277"/>
      <c r="E1535" s="1277"/>
      <c r="F1535" s="1277"/>
      <c r="G1535" s="1277"/>
      <c r="H1535" s="1277"/>
      <c r="I1535" s="1277"/>
    </row>
    <row r="1536" spans="1:15" x14ac:dyDescent="0.2">
      <c r="A1536" s="232" t="str">
        <f>$A$2</f>
        <v>Tabela Referencial de Preços - DER-ES</v>
      </c>
      <c r="B1536" s="233"/>
      <c r="C1536" s="199"/>
      <c r="D1536" s="199"/>
      <c r="E1536" s="199"/>
      <c r="F1536" s="199"/>
      <c r="G1536" s="199"/>
      <c r="H1536" s="199"/>
      <c r="I1536" s="234" t="str">
        <f>$I$2</f>
        <v>Data Base: Outubro/2018</v>
      </c>
    </row>
    <row r="1537" spans="1:13" x14ac:dyDescent="0.2">
      <c r="A1537" s="1278" t="str">
        <f>+CONCATENATE("Serviço: ",J1537," ",VLOOKUP(J1537,'DER 10-18'!$A:$D,2,FALSE))</f>
        <v>Serviço: 40828 T.S.B.D. sem capa selante exclusive fornecimento e transporte comercial da emulsão, inclusive lavagem e transporte comercial da brita</v>
      </c>
      <c r="B1537" s="1278"/>
      <c r="C1537" s="1278"/>
      <c r="D1537" s="1278"/>
      <c r="E1537" s="1278"/>
      <c r="F1537" s="1278"/>
      <c r="G1537" s="1278"/>
      <c r="H1537" s="1278"/>
      <c r="I1537" s="1278" t="str">
        <f>CONCATENATE("Unidade: ", VLOOKUP(J1537,'DER 10-18'!$A:$E,3,FALSE))</f>
        <v>Unidade: M2</v>
      </c>
      <c r="J1537" s="433">
        <v>40828</v>
      </c>
      <c r="K1537" s="433">
        <f>VLOOKUP("Preço Unitário Total",F1538:I3033,4,FALSE)</f>
        <v>9.06</v>
      </c>
      <c r="L1537" s="302" t="str">
        <f>VLOOKUP(J1537,'DER 10-18'!A:E,5,FALSE)</f>
        <v>A incluir</v>
      </c>
      <c r="M1537" s="302" t="str">
        <f>VLOOKUP(J1537,'DER 10-18'!$A:$D,2,FALSE)</f>
        <v>T.S.B.D. sem capa selante exclusive fornecimento e transporte comercial da emulsão, inclusive lavagem e transporte comercial da brita</v>
      </c>
    </row>
    <row r="1538" spans="1:13" x14ac:dyDescent="0.2">
      <c r="A1538" s="1279"/>
      <c r="B1538" s="1279"/>
      <c r="C1538" s="1279"/>
      <c r="D1538" s="1279"/>
      <c r="E1538" s="1279"/>
      <c r="F1538" s="1279"/>
      <c r="G1538" s="1279"/>
      <c r="H1538" s="1279"/>
      <c r="I1538" s="1279"/>
    </row>
    <row r="1539" spans="1:13" ht="22.5" x14ac:dyDescent="0.2">
      <c r="A1539" s="235" t="s">
        <v>192</v>
      </c>
      <c r="B1539" s="236" t="s">
        <v>60</v>
      </c>
      <c r="C1539" s="236" t="s">
        <v>193</v>
      </c>
      <c r="D1539" s="236" t="s">
        <v>194</v>
      </c>
      <c r="E1539" s="236" t="s">
        <v>195</v>
      </c>
      <c r="F1539" s="236" t="s">
        <v>196</v>
      </c>
      <c r="G1539" s="236" t="s">
        <v>197</v>
      </c>
      <c r="H1539" s="236" t="s">
        <v>91</v>
      </c>
      <c r="I1539" s="236" t="s">
        <v>198</v>
      </c>
    </row>
    <row r="1540" spans="1:13" ht="22.5" x14ac:dyDescent="0.2">
      <c r="A1540" s="237" t="str">
        <f>VLOOKUP(B1540,equip.!$A:$G,2,FALSE)</f>
        <v>Caminhão basculante 1518/48C PBT=19,0t (TRUCK 12,0t)</v>
      </c>
      <c r="B1540" s="238">
        <v>30001</v>
      </c>
      <c r="C1540" s="239" t="str">
        <f>VLOOKUP(B1540,equip.!$A$1:$G$238,3,FALSE)</f>
        <v>M</v>
      </c>
      <c r="D1540" s="240">
        <v>1</v>
      </c>
      <c r="E1540" s="205">
        <v>0</v>
      </c>
      <c r="F1540" s="241">
        <f>VLOOKUP(B1540,equip.!$A:$G,6,FALSE)</f>
        <v>167.31</v>
      </c>
      <c r="G1540" s="241">
        <f>VLOOKUP(B1540,equip.!$A:$G,7,FALSE)</f>
        <v>48.22</v>
      </c>
      <c r="H1540" s="242">
        <v>2</v>
      </c>
      <c r="I1540" s="243">
        <f>TRUNC(D1540*F1540*H1540+E1540*G1540*H1540,2)</f>
        <v>334.62</v>
      </c>
    </row>
    <row r="1541" spans="1:13" ht="33.75" x14ac:dyDescent="0.2">
      <c r="A1541" s="237" t="str">
        <f>VLOOKUP(B1541,equip.!$A:$G,2,FALSE)</f>
        <v>Carregadeira de rodas ref. Caterpillar modelo 950H (3,10 m3) ( cab + ar ) ou equivalente</v>
      </c>
      <c r="B1541" s="238">
        <v>30024</v>
      </c>
      <c r="C1541" s="239" t="str">
        <f>VLOOKUP(B1541,equip.!$A$1:$G$238,3,FALSE)</f>
        <v>M</v>
      </c>
      <c r="D1541" s="240">
        <v>0.5</v>
      </c>
      <c r="E1541" s="205">
        <v>0.5</v>
      </c>
      <c r="F1541" s="241">
        <f>VLOOKUP(B1541,equip.!$A:$G,6,FALSE)</f>
        <v>333.85</v>
      </c>
      <c r="G1541" s="241">
        <f>VLOOKUP(B1541,equip.!$A:$G,7,FALSE)</f>
        <v>132.1</v>
      </c>
      <c r="H1541" s="242">
        <v>1</v>
      </c>
      <c r="I1541" s="243">
        <f t="shared" ref="I1541:I1547" si="15">TRUNC(D1541*F1541*H1541+E1541*G1541*H1541,2)</f>
        <v>232.97</v>
      </c>
    </row>
    <row r="1542" spans="1:13" ht="22.5" x14ac:dyDescent="0.2">
      <c r="A1542" s="237" t="str">
        <f>VLOOKUP(B1542,equip.!$A:$G,2,FALSE)</f>
        <v>Distribuidor de agregado DA 3660 D, CMV ou equivalente</v>
      </c>
      <c r="B1542" s="238">
        <v>30053</v>
      </c>
      <c r="C1542" s="239" t="str">
        <f>VLOOKUP(B1542,equip.!$A$1:$G$238,3,FALSE)</f>
        <v>M</v>
      </c>
      <c r="D1542" s="240">
        <v>0.8</v>
      </c>
      <c r="E1542" s="205">
        <v>0.2</v>
      </c>
      <c r="F1542" s="241">
        <f>VLOOKUP(B1542,equip.!$A:$G,6,FALSE)</f>
        <v>5.0599999999999996</v>
      </c>
      <c r="G1542" s="241">
        <f>VLOOKUP(B1542,equip.!$A:$G,7,FALSE)</f>
        <v>3.69</v>
      </c>
      <c r="H1542" s="242">
        <v>1</v>
      </c>
      <c r="I1542" s="243">
        <f t="shared" si="15"/>
        <v>4.78</v>
      </c>
    </row>
    <row r="1543" spans="1:13" ht="33.75" x14ac:dyDescent="0.2">
      <c r="A1543" s="237" t="str">
        <f>VLOOKUP(B1543,equip.!$A:$G,2,FALSE)</f>
        <v>Equipamento espargidor de asfalto 1315C DA-6C 6.500L (CONSMAQ) ou equivalente</v>
      </c>
      <c r="B1543" s="238">
        <v>30009</v>
      </c>
      <c r="C1543" s="239" t="str">
        <f>VLOOKUP(B1543,equip.!$A$1:$G$238,3,FALSE)</f>
        <v>M</v>
      </c>
      <c r="D1543" s="240">
        <v>1</v>
      </c>
      <c r="E1543" s="205">
        <v>0</v>
      </c>
      <c r="F1543" s="241">
        <f>VLOOKUP(B1543,equip.!$A:$G,6,FALSE)</f>
        <v>163.12</v>
      </c>
      <c r="G1543" s="241">
        <f>VLOOKUP(B1543,equip.!$A:$G,7,FALSE)</f>
        <v>52.9</v>
      </c>
      <c r="H1543" s="242">
        <v>1</v>
      </c>
      <c r="I1543" s="243">
        <f t="shared" si="15"/>
        <v>163.12</v>
      </c>
    </row>
    <row r="1544" spans="1:13" ht="22.5" x14ac:dyDescent="0.2">
      <c r="A1544" s="237" t="str">
        <f>VLOOKUP(B1544,equip.!$A:$G,2,FALSE)</f>
        <v>Rolo AP liso de aço TH-10 (6,3t) (TEMA TERRA) ou equivalente</v>
      </c>
      <c r="B1544" s="238">
        <v>30035</v>
      </c>
      <c r="C1544" s="239">
        <f>VLOOKUP(B1544,equip.!$A$1:$G$238,3,FALSE)</f>
        <v>0</v>
      </c>
      <c r="D1544" s="240">
        <v>0.6</v>
      </c>
      <c r="E1544" s="205">
        <v>0.4</v>
      </c>
      <c r="F1544" s="241">
        <f>VLOOKUP(B1544,equip.!$A:$G,6,FALSE)</f>
        <v>98.09</v>
      </c>
      <c r="G1544" s="241">
        <f>VLOOKUP(B1544,equip.!$A:$G,7,FALSE)</f>
        <v>49.13</v>
      </c>
      <c r="H1544" s="242">
        <v>1</v>
      </c>
      <c r="I1544" s="243">
        <f t="shared" si="15"/>
        <v>78.5</v>
      </c>
    </row>
    <row r="1545" spans="1:13" x14ac:dyDescent="0.2">
      <c r="A1545" s="237" t="str">
        <f>VLOOKUP(B1545,equip.!$A:$G,2,FALSE)</f>
        <v>Tanque estacionário 20.000 L</v>
      </c>
      <c r="B1545" s="238">
        <v>30084</v>
      </c>
      <c r="C1545" s="239">
        <f>VLOOKUP(B1545,equip.!$A$1:$G$238,3,FALSE)</f>
        <v>0</v>
      </c>
      <c r="D1545" s="240">
        <v>0.5</v>
      </c>
      <c r="E1545" s="205">
        <v>0.5</v>
      </c>
      <c r="F1545" s="241">
        <f>VLOOKUP(B1545,equip.!$A:$G,6,FALSE)</f>
        <v>5.23</v>
      </c>
      <c r="G1545" s="241">
        <f>VLOOKUP(B1545,equip.!$A:$G,7,FALSE)</f>
        <v>3.74</v>
      </c>
      <c r="H1545" s="242">
        <v>2</v>
      </c>
      <c r="I1545" s="243">
        <f t="shared" si="15"/>
        <v>8.9700000000000006</v>
      </c>
    </row>
    <row r="1546" spans="1:13" ht="33.75" x14ac:dyDescent="0.2">
      <c r="A1546" s="237" t="str">
        <f>VLOOKUP(B1546,equip.!$A:$G,2,FALSE)</f>
        <v>Trator agrícola MF 297/4 -4 X 4 (MASSEY FERGUSSON) ou equivalente</v>
      </c>
      <c r="B1546" s="238">
        <v>30030</v>
      </c>
      <c r="C1546" s="239" t="str">
        <f>VLOOKUP(B1546,equip.!$A$1:$G$238,3,FALSE)</f>
        <v>M</v>
      </c>
      <c r="D1546" s="240">
        <v>0.6</v>
      </c>
      <c r="E1546" s="205">
        <v>0.4</v>
      </c>
      <c r="F1546" s="241">
        <f>VLOOKUP(B1546,equip.!$A:$G,6,FALSE)</f>
        <v>117.24</v>
      </c>
      <c r="G1546" s="241">
        <f>VLOOKUP(B1546,equip.!$A:$G,7,FALSE)</f>
        <v>30.29</v>
      </c>
      <c r="H1546" s="242">
        <v>1</v>
      </c>
      <c r="I1546" s="243">
        <f t="shared" si="15"/>
        <v>82.46</v>
      </c>
    </row>
    <row r="1547" spans="1:13" ht="22.5" x14ac:dyDescent="0.2">
      <c r="A1547" s="237" t="str">
        <f>VLOOKUP(B1547,equip.!$A:$G,2,FALSE)</f>
        <v>Vassoura mecânica VM-2440 (CMV) ou equivalente</v>
      </c>
      <c r="B1547" s="238">
        <v>30051</v>
      </c>
      <c r="C1547" s="239" t="str">
        <f>VLOOKUP(B1547,equip.!$A$1:$G$238,3,FALSE)</f>
        <v>M</v>
      </c>
      <c r="D1547" s="240">
        <v>0.6</v>
      </c>
      <c r="E1547" s="205">
        <v>0.4</v>
      </c>
      <c r="F1547" s="241">
        <f>VLOOKUP(B1547,equip.!$A:$G,6,FALSE)</f>
        <v>7.09</v>
      </c>
      <c r="G1547" s="241">
        <f>VLOOKUP(B1547,equip.!$A:$G,7,FALSE)</f>
        <v>4.4400000000000004</v>
      </c>
      <c r="H1547" s="242">
        <v>1</v>
      </c>
      <c r="I1547" s="243">
        <f t="shared" si="15"/>
        <v>6.03</v>
      </c>
    </row>
    <row r="1548" spans="1:13" x14ac:dyDescent="0.2">
      <c r="A1548" s="199"/>
      <c r="B1548" s="233"/>
      <c r="C1548" s="233"/>
      <c r="D1548" s="199"/>
      <c r="E1548" s="199"/>
      <c r="F1548" s="234" t="s">
        <v>199</v>
      </c>
      <c r="G1548" s="244"/>
      <c r="H1548" s="245"/>
      <c r="I1548" s="434">
        <f>SUM(I1540:I1547)</f>
        <v>911.45</v>
      </c>
    </row>
    <row r="1549" spans="1:13" x14ac:dyDescent="0.2">
      <c r="A1549" s="199"/>
      <c r="B1549" s="233"/>
      <c r="C1549" s="233"/>
      <c r="D1549" s="199"/>
      <c r="E1549" s="199"/>
      <c r="F1549" s="199"/>
      <c r="G1549" s="199"/>
      <c r="H1549" s="199"/>
      <c r="I1549" s="200"/>
    </row>
    <row r="1550" spans="1:13" x14ac:dyDescent="0.2">
      <c r="A1550" s="246" t="s">
        <v>200</v>
      </c>
      <c r="B1550" s="247" t="s">
        <v>60</v>
      </c>
      <c r="C1550" s="236" t="s">
        <v>1242</v>
      </c>
      <c r="D1550" s="247" t="s">
        <v>202</v>
      </c>
      <c r="E1550" s="1271" t="s">
        <v>91</v>
      </c>
      <c r="F1550" s="1272"/>
      <c r="G1550" s="1273"/>
      <c r="H1550" s="1276" t="s">
        <v>198</v>
      </c>
      <c r="I1550" s="1275"/>
    </row>
    <row r="1551" spans="1:13" x14ac:dyDescent="0.2">
      <c r="A1551" s="248" t="str">
        <f>VLOOKUP(B1551,m.o.!$A:$H,2,FALSE)</f>
        <v>Encarregado de pista</v>
      </c>
      <c r="B1551" s="238">
        <v>20063</v>
      </c>
      <c r="C1551" s="243">
        <f>VLOOKUP(B1551,m.o.!$A:$F,4,FALSE)</f>
        <v>2.2599999999999998</v>
      </c>
      <c r="D1551" s="243">
        <f>VLOOKUP(B1551,m.o.!$A:$G,7,FALSE)</f>
        <v>26.3</v>
      </c>
      <c r="E1551" s="260"/>
      <c r="F1551" s="258"/>
      <c r="G1551" s="300">
        <v>1</v>
      </c>
      <c r="H1551" s="244"/>
      <c r="I1551" s="249">
        <f>TRUNC(D1551*G1551,2)</f>
        <v>26.3</v>
      </c>
    </row>
    <row r="1552" spans="1:13" x14ac:dyDescent="0.2">
      <c r="A1552" s="265" t="str">
        <f>VLOOKUP(B1552,m.o.!$A:$H,2,FALSE)</f>
        <v>Servente</v>
      </c>
      <c r="B1552" s="238">
        <v>20002</v>
      </c>
      <c r="C1552" s="267">
        <f>VLOOKUP(B1552,m.o.!$A:$F,4,FALSE)</f>
        <v>1</v>
      </c>
      <c r="D1552" s="267">
        <f>VLOOKUP(B1552,m.o.!$A:$G,7,FALSE)</f>
        <v>11.64</v>
      </c>
      <c r="E1552" s="260"/>
      <c r="F1552" s="258"/>
      <c r="G1552" s="441">
        <v>10</v>
      </c>
      <c r="H1552" s="260"/>
      <c r="I1552" s="268">
        <f>TRUNC(D1552*G1552,2)</f>
        <v>116.4</v>
      </c>
    </row>
    <row r="1553" spans="1:9" x14ac:dyDescent="0.2">
      <c r="A1553" s="199"/>
      <c r="B1553" s="233"/>
      <c r="C1553" s="233"/>
      <c r="D1553" s="199"/>
      <c r="E1553" s="199"/>
      <c r="F1553" s="234" t="s">
        <v>203</v>
      </c>
      <c r="G1553" s="244"/>
      <c r="H1553" s="245"/>
      <c r="I1553" s="434">
        <f>SUM(I1551:I1552)</f>
        <v>142.69999999999999</v>
      </c>
    </row>
    <row r="1554" spans="1:9" x14ac:dyDescent="0.2">
      <c r="A1554" s="199"/>
      <c r="B1554" s="233"/>
      <c r="C1554" s="233"/>
      <c r="D1554" s="199"/>
      <c r="E1554" s="199"/>
      <c r="F1554" s="199"/>
      <c r="G1554" s="199"/>
      <c r="H1554" s="199"/>
      <c r="I1554" s="200"/>
    </row>
    <row r="1555" spans="1:9" x14ac:dyDescent="0.2">
      <c r="A1555" s="250" t="s">
        <v>204</v>
      </c>
      <c r="B1555" s="247" t="s">
        <v>60</v>
      </c>
      <c r="C1555" s="866" t="s">
        <v>17</v>
      </c>
      <c r="D1555" s="247" t="s">
        <v>205</v>
      </c>
      <c r="E1555" s="247" t="s">
        <v>206</v>
      </c>
      <c r="F1555" s="247" t="s">
        <v>207</v>
      </c>
      <c r="G1555" s="1276" t="s">
        <v>96</v>
      </c>
      <c r="H1555" s="1274"/>
      <c r="I1555" s="1275"/>
    </row>
    <row r="1556" spans="1:9" x14ac:dyDescent="0.2">
      <c r="A1556" s="248"/>
      <c r="B1556" s="238"/>
      <c r="C1556" s="243"/>
      <c r="D1556" s="239"/>
      <c r="E1556" s="251"/>
      <c r="F1556" s="251"/>
      <c r="G1556" s="244"/>
      <c r="H1556" s="245"/>
      <c r="I1556" s="249">
        <f>TRUNC(C1556/100*I1553,2)</f>
        <v>0</v>
      </c>
    </row>
    <row r="1557" spans="1:9" x14ac:dyDescent="0.2">
      <c r="A1557" s="199"/>
      <c r="B1557" s="233"/>
      <c r="C1557" s="199"/>
      <c r="D1557" s="199"/>
      <c r="E1557" s="199"/>
      <c r="F1557" s="234" t="s">
        <v>1170</v>
      </c>
      <c r="G1557" s="244"/>
      <c r="H1557" s="245"/>
      <c r="I1557" s="434">
        <f>SUM(I1556)</f>
        <v>0</v>
      </c>
    </row>
    <row r="1558" spans="1:9" x14ac:dyDescent="0.2">
      <c r="A1558" s="199"/>
      <c r="B1558" s="233"/>
      <c r="C1558" s="199"/>
      <c r="D1558" s="199"/>
      <c r="E1558" s="199"/>
      <c r="F1558" s="199"/>
      <c r="G1558" s="199"/>
      <c r="H1558" s="199"/>
      <c r="I1558" s="200"/>
    </row>
    <row r="1559" spans="1:9" x14ac:dyDescent="0.2">
      <c r="A1559" s="252"/>
      <c r="B1559" s="253"/>
      <c r="C1559" s="254"/>
      <c r="D1559" s="254"/>
      <c r="E1559" s="254"/>
      <c r="F1559" s="255" t="s">
        <v>208</v>
      </c>
      <c r="G1559" s="435"/>
      <c r="H1559" s="254"/>
      <c r="I1559" s="634">
        <f>+I1548+I1553+I1557</f>
        <v>1054.1500000000001</v>
      </c>
    </row>
    <row r="1560" spans="1:9" x14ac:dyDescent="0.2">
      <c r="A1560" s="256"/>
      <c r="B1560" s="257"/>
      <c r="C1560" s="258"/>
      <c r="D1560" s="258"/>
      <c r="E1560" s="258"/>
      <c r="F1560" s="259" t="s">
        <v>209</v>
      </c>
      <c r="G1560" s="260"/>
      <c r="H1560" s="258"/>
      <c r="I1560" s="635">
        <v>300</v>
      </c>
    </row>
    <row r="1561" spans="1:9" x14ac:dyDescent="0.2">
      <c r="A1561" s="237"/>
      <c r="B1561" s="261"/>
      <c r="C1561" s="245"/>
      <c r="D1561" s="245"/>
      <c r="E1561" s="245"/>
      <c r="F1561" s="262" t="s">
        <v>232</v>
      </c>
      <c r="G1561" s="244"/>
      <c r="H1561" s="245"/>
      <c r="I1561" s="633">
        <f>TRUNC(I1559/I1560,2)</f>
        <v>3.51</v>
      </c>
    </row>
    <row r="1562" spans="1:9" x14ac:dyDescent="0.2">
      <c r="A1562" s="867"/>
      <c r="B1562" s="233"/>
      <c r="C1562" s="199"/>
      <c r="D1562" s="199"/>
      <c r="E1562" s="199"/>
      <c r="F1562" s="263"/>
      <c r="G1562" s="199"/>
      <c r="H1562" s="199"/>
      <c r="I1562" s="264"/>
    </row>
    <row r="1563" spans="1:9" x14ac:dyDescent="0.2">
      <c r="A1563" s="246" t="s">
        <v>210</v>
      </c>
      <c r="B1563" s="247" t="s">
        <v>60</v>
      </c>
      <c r="C1563" s="247" t="s">
        <v>211</v>
      </c>
      <c r="D1563" s="247" t="s">
        <v>233</v>
      </c>
      <c r="E1563" s="1276" t="s">
        <v>91</v>
      </c>
      <c r="F1563" s="1274"/>
      <c r="G1563" s="1275"/>
      <c r="H1563" s="1276" t="s">
        <v>198</v>
      </c>
      <c r="I1563" s="1275"/>
    </row>
    <row r="1564" spans="1:9" x14ac:dyDescent="0.2">
      <c r="A1564" s="265" t="str">
        <f>VLOOKUP(B1564,mat.!$A:$D,2,FALSE)</f>
        <v>Brita 0 (incl. 0% IUM) sem frete</v>
      </c>
      <c r="B1564" s="238">
        <v>10113</v>
      </c>
      <c r="C1564" s="266" t="str">
        <f>VLOOKUP(B1564,mat.!$A:$D,3,FALSE)</f>
        <v>m3</v>
      </c>
      <c r="D1564" s="267">
        <f>VLOOKUP(B1564,mat.!$A:$D,4,FALSE)</f>
        <v>77.099999999999994</v>
      </c>
      <c r="E1564" s="260"/>
      <c r="F1564" s="258"/>
      <c r="G1564" s="300">
        <v>1.4E-2</v>
      </c>
      <c r="H1564" s="260"/>
      <c r="I1564" s="268">
        <f>TRUNC(D1564*G1564,2)</f>
        <v>1.07</v>
      </c>
    </row>
    <row r="1565" spans="1:9" x14ac:dyDescent="0.2">
      <c r="A1565" s="265" t="str">
        <f>VLOOKUP(B1565,mat.!$A:$D,2,FALSE)</f>
        <v>Brita 1 (incl. 0% IUM) sem frete</v>
      </c>
      <c r="B1565" s="238">
        <v>10114</v>
      </c>
      <c r="C1565" s="266" t="str">
        <f>VLOOKUP(B1565,mat.!$A:$D,3,FALSE)</f>
        <v>m3</v>
      </c>
      <c r="D1565" s="267">
        <f>VLOOKUP(B1565,mat.!$A:$D,4,FALSE)</f>
        <v>60.22</v>
      </c>
      <c r="E1565" s="260"/>
      <c r="F1565" s="258"/>
      <c r="G1565" s="300">
        <v>1.5299999999999999E-2</v>
      </c>
      <c r="H1565" s="260"/>
      <c r="I1565" s="268">
        <f>TRUNC(D1565*G1565,2)</f>
        <v>0.92</v>
      </c>
    </row>
    <row r="1566" spans="1:9" x14ac:dyDescent="0.2">
      <c r="A1566" s="199"/>
      <c r="B1566" s="233"/>
      <c r="C1566" s="199"/>
      <c r="D1566" s="199"/>
      <c r="E1566" s="199"/>
      <c r="F1566" s="234" t="s">
        <v>212</v>
      </c>
      <c r="G1566" s="244"/>
      <c r="H1566" s="245"/>
      <c r="I1566" s="434">
        <f>SUM(I1564:I1565)</f>
        <v>1.99</v>
      </c>
    </row>
    <row r="1567" spans="1:9" x14ac:dyDescent="0.2">
      <c r="A1567" s="199"/>
      <c r="B1567" s="233"/>
      <c r="C1567" s="199"/>
      <c r="D1567" s="199"/>
      <c r="E1567" s="199"/>
      <c r="F1567" s="199"/>
      <c r="G1567" s="269"/>
      <c r="H1567" s="199"/>
      <c r="I1567" s="200"/>
    </row>
    <row r="1568" spans="1:9" x14ac:dyDescent="0.2">
      <c r="A1568" s="270" t="s">
        <v>213</v>
      </c>
      <c r="B1568" s="247" t="s">
        <v>60</v>
      </c>
      <c r="C1568" s="247" t="s">
        <v>211</v>
      </c>
      <c r="D1568" s="866" t="s">
        <v>233</v>
      </c>
      <c r="E1568" s="1271" t="s">
        <v>91</v>
      </c>
      <c r="F1568" s="1272"/>
      <c r="G1568" s="1273"/>
      <c r="H1568" s="1274" t="s">
        <v>198</v>
      </c>
      <c r="I1568" s="1275"/>
    </row>
    <row r="1569" spans="1:13" x14ac:dyDescent="0.2">
      <c r="A1569" s="248" t="s">
        <v>1599</v>
      </c>
      <c r="B1569" s="238">
        <v>42229</v>
      </c>
      <c r="C1569" s="238" t="s">
        <v>69</v>
      </c>
      <c r="D1569" s="454">
        <v>15.51</v>
      </c>
      <c r="E1569" s="260"/>
      <c r="F1569" s="258"/>
      <c r="G1569" s="300">
        <v>2.93E-2</v>
      </c>
      <c r="H1569" s="244"/>
      <c r="I1569" s="268">
        <f>TRUNC(D1569*G1569,2)</f>
        <v>0.45</v>
      </c>
    </row>
    <row r="1570" spans="1:13" x14ac:dyDescent="0.2">
      <c r="A1570" s="201"/>
      <c r="B1570" s="271"/>
      <c r="C1570" s="201"/>
      <c r="D1570" s="201"/>
      <c r="E1570" s="201"/>
      <c r="F1570" s="272" t="s">
        <v>214</v>
      </c>
      <c r="G1570" s="260"/>
      <c r="H1570" s="273"/>
      <c r="I1570" s="436">
        <f>SUM(I1569:I1569)</f>
        <v>0.45</v>
      </c>
    </row>
    <row r="1571" spans="1:13" x14ac:dyDescent="0.2">
      <c r="A1571" s="201"/>
      <c r="B1571" s="271"/>
      <c r="C1571" s="201"/>
      <c r="D1571" s="201"/>
      <c r="E1571" s="201"/>
      <c r="F1571" s="201"/>
      <c r="G1571" s="201"/>
      <c r="H1571" s="201"/>
      <c r="I1571" s="201"/>
    </row>
    <row r="1572" spans="1:13" x14ac:dyDescent="0.2">
      <c r="A1572" s="274" t="s">
        <v>215</v>
      </c>
      <c r="B1572" s="275" t="s">
        <v>60</v>
      </c>
      <c r="C1572" s="275" t="s">
        <v>211</v>
      </c>
      <c r="D1572" s="275" t="s">
        <v>216</v>
      </c>
      <c r="E1572" s="275" t="s">
        <v>217</v>
      </c>
      <c r="F1572" s="275" t="s">
        <v>218</v>
      </c>
      <c r="G1572" s="275" t="s">
        <v>96</v>
      </c>
      <c r="H1572" s="275" t="s">
        <v>91</v>
      </c>
      <c r="I1572" s="275" t="s">
        <v>219</v>
      </c>
    </row>
    <row r="1573" spans="1:13" ht="22.5" x14ac:dyDescent="0.2">
      <c r="A1573" s="248" t="str">
        <f>VLOOKUP(B1573,tranp.!A:D,2,FALSE)</f>
        <v>Transp. de Brita 0 (incl. 0% IUM) s/ frete</v>
      </c>
      <c r="B1573" s="238">
        <v>1024</v>
      </c>
      <c r="C1573" s="238" t="str">
        <f>VLOOKUP(B1573,tranp.!$A:$J,3,FALSE)</f>
        <v xml:space="preserve"> t  </v>
      </c>
      <c r="D1573" s="437" t="str">
        <f>VLOOKUP(B1573,tranp.!$A:$J,4,FALSE)</f>
        <v>0,681XP + 0,710XR + 2,841</v>
      </c>
      <c r="E1573" s="277">
        <f>VLOOKUP(J1573,Ocor.!$B:$F,4,FALSE)</f>
        <v>37.200000000000003</v>
      </c>
      <c r="F1573" s="277">
        <f>VLOOKUP(J1573,Ocor.!$B:$F,5,FALSE)</f>
        <v>5.6</v>
      </c>
      <c r="G1573" s="243">
        <f>TRUNC(VLOOKUP(B1573,tranp.!$A:$J,5,FALSE)*E1573+VLOOKUP(B1573,tranp.!$A:$J,6,FALSE)*F1573+VLOOKUP(B1573,tranp.!$A:$J,7,FALSE),2)</f>
        <v>32.15</v>
      </c>
      <c r="H1573" s="278">
        <v>2.1000000000000001E-2</v>
      </c>
      <c r="I1573" s="243">
        <f>TRUNC(G1573*H1573,2)</f>
        <v>0.67</v>
      </c>
      <c r="J1573" s="433" t="s">
        <v>1056</v>
      </c>
    </row>
    <row r="1574" spans="1:13" ht="22.5" x14ac:dyDescent="0.2">
      <c r="A1574" s="248" t="str">
        <f>VLOOKUP(B1574,tranp.!A:D,2,FALSE)</f>
        <v>Transp. de Brita 1 (incl. 0% IUM) s/ frete</v>
      </c>
      <c r="B1574" s="238">
        <v>1025</v>
      </c>
      <c r="C1574" s="238" t="str">
        <f>VLOOKUP(B1574,tranp.!$A:$J,3,FALSE)</f>
        <v xml:space="preserve"> t  </v>
      </c>
      <c r="D1574" s="437" t="str">
        <f>VLOOKUP(B1574,tranp.!$A:$J,4,FALSE)</f>
        <v>0,681XP + 0,710XR + 2,841</v>
      </c>
      <c r="E1574" s="277">
        <f>VLOOKUP(J1574,Ocor.!$B:$F,4,FALSE)</f>
        <v>37.200000000000003</v>
      </c>
      <c r="F1574" s="277">
        <f>VLOOKUP(J1574,Ocor.!$B:$F,5,FALSE)</f>
        <v>5.6</v>
      </c>
      <c r="G1574" s="243">
        <f>TRUNC(VLOOKUP(B1574,tranp.!$A:$J,5,FALSE)*E1574+VLOOKUP(B1574,tranp.!$A:$J,6,FALSE)*F1574+VLOOKUP(B1574,tranp.!$A:$J,7,FALSE),2)</f>
        <v>32.15</v>
      </c>
      <c r="H1574" s="278">
        <v>2.3E-2</v>
      </c>
      <c r="I1574" s="243">
        <f>TRUNC(G1574*H1574,2)</f>
        <v>0.73</v>
      </c>
      <c r="J1574" s="433" t="s">
        <v>1056</v>
      </c>
    </row>
    <row r="1575" spans="1:13" x14ac:dyDescent="0.2">
      <c r="A1575" s="201"/>
      <c r="B1575" s="271"/>
      <c r="C1575" s="201"/>
      <c r="D1575" s="201"/>
      <c r="E1575" s="201"/>
      <c r="F1575" s="272" t="s">
        <v>220</v>
      </c>
      <c r="G1575" s="244"/>
      <c r="H1575" s="279"/>
      <c r="I1575" s="438">
        <f>SUM(I1573:I1574)</f>
        <v>1.4</v>
      </c>
    </row>
    <row r="1576" spans="1:13" x14ac:dyDescent="0.2">
      <c r="A1576" s="201"/>
      <c r="B1576" s="271"/>
      <c r="C1576" s="201"/>
      <c r="D1576" s="201"/>
      <c r="E1576" s="201"/>
      <c r="F1576" s="201"/>
      <c r="G1576" s="201"/>
      <c r="H1576" s="201"/>
      <c r="I1576" s="202"/>
    </row>
    <row r="1577" spans="1:13" x14ac:dyDescent="0.2">
      <c r="A1577" s="280"/>
      <c r="B1577" s="281"/>
      <c r="C1577" s="282"/>
      <c r="D1577" s="282"/>
      <c r="E1577" s="282"/>
      <c r="F1577" s="283" t="s">
        <v>221</v>
      </c>
      <c r="G1577" s="280"/>
      <c r="H1577" s="254"/>
      <c r="I1577" s="634">
        <f>+I1561+I1566+I1570+I1575</f>
        <v>7.35</v>
      </c>
    </row>
    <row r="1578" spans="1:13" x14ac:dyDescent="0.2">
      <c r="A1578" s="260"/>
      <c r="B1578" s="284"/>
      <c r="C1578" s="273"/>
      <c r="D1578" s="273"/>
      <c r="E1578" s="273"/>
      <c r="F1578" s="285" t="str">
        <f>CONCATENATE($H$3," ",$I$3)</f>
        <v>BDI: 23,32</v>
      </c>
      <c r="G1578" s="439"/>
      <c r="H1578" s="258"/>
      <c r="I1578" s="635">
        <f>+ROUND(I1577*$I$4,2)</f>
        <v>1.71</v>
      </c>
    </row>
    <row r="1579" spans="1:13" x14ac:dyDescent="0.2">
      <c r="A1579" s="244"/>
      <c r="B1579" s="286"/>
      <c r="C1579" s="279"/>
      <c r="D1579" s="279"/>
      <c r="E1579" s="279"/>
      <c r="F1579" s="287" t="s">
        <v>222</v>
      </c>
      <c r="G1579" s="440"/>
      <c r="H1579" s="245"/>
      <c r="I1579" s="1017">
        <f>+I1577+I1578</f>
        <v>9.06</v>
      </c>
    </row>
    <row r="1580" spans="1:13" x14ac:dyDescent="0.2">
      <c r="A1580" s="1277" t="str">
        <f>$A$1</f>
        <v>COMPOSIÇÃO DE CUSTOS UNITÁRIOS</v>
      </c>
      <c r="B1580" s="1277"/>
      <c r="C1580" s="1277"/>
      <c r="D1580" s="1277"/>
      <c r="E1580" s="1277"/>
      <c r="F1580" s="1277"/>
      <c r="G1580" s="1277"/>
      <c r="H1580" s="1277"/>
      <c r="I1580" s="1277"/>
    </row>
    <row r="1581" spans="1:13" x14ac:dyDescent="0.2">
      <c r="A1581" s="232" t="str">
        <f>$A$2</f>
        <v>Tabela Referencial de Preços - DER-ES</v>
      </c>
      <c r="B1581" s="233"/>
      <c r="C1581" s="199"/>
      <c r="D1581" s="199"/>
      <c r="E1581" s="199"/>
      <c r="F1581" s="199"/>
      <c r="G1581" s="199"/>
      <c r="H1581" s="199"/>
      <c r="I1581" s="234" t="str">
        <f>$I$2</f>
        <v>Data Base: Outubro/2018</v>
      </c>
    </row>
    <row r="1582" spans="1:13" x14ac:dyDescent="0.2">
      <c r="A1582" s="1278" t="str">
        <f>+CONCATENATE("Serviço: ",J1582," ",VLOOKUP(J1582,'DER 10-18'!$A:$D,2,FALSE))</f>
        <v>Serviço: 42045 Aquisição de solo de jazida comercial (saibreira)</v>
      </c>
      <c r="B1582" s="1278"/>
      <c r="C1582" s="1278"/>
      <c r="D1582" s="1278"/>
      <c r="E1582" s="1278"/>
      <c r="F1582" s="1278"/>
      <c r="G1582" s="1278"/>
      <c r="H1582" s="1278"/>
      <c r="I1582" s="1278" t="str">
        <f>CONCATENATE("Unidade: ", VLOOKUP(J1582,'DER 10-18'!$A:$E,3,FALSE))</f>
        <v>Unidade: M3</v>
      </c>
      <c r="J1582" s="433">
        <v>42045</v>
      </c>
      <c r="K1582" s="433">
        <f>VLOOKUP("Preço Unitário Total",F1583:I3688,4,FALSE)</f>
        <v>6.16</v>
      </c>
      <c r="L1582" s="302">
        <f>VLOOKUP(J1582,'DER 10-18'!A:E,5,FALSE)</f>
        <v>0</v>
      </c>
      <c r="M1582" s="302" t="str">
        <f>VLOOKUP(J1582,'DER 10-18'!$A:$D,2,FALSE)</f>
        <v>Aquisição de solo de jazida comercial (saibreira)</v>
      </c>
    </row>
    <row r="1583" spans="1:13" x14ac:dyDescent="0.2">
      <c r="A1583" s="1279"/>
      <c r="B1583" s="1279"/>
      <c r="C1583" s="1279"/>
      <c r="D1583" s="1279"/>
      <c r="E1583" s="1279"/>
      <c r="F1583" s="1279"/>
      <c r="G1583" s="1279"/>
      <c r="H1583" s="1279"/>
      <c r="I1583" s="1279"/>
    </row>
    <row r="1584" spans="1:13" ht="22.5" x14ac:dyDescent="0.2">
      <c r="A1584" s="235" t="s">
        <v>192</v>
      </c>
      <c r="B1584" s="236" t="s">
        <v>60</v>
      </c>
      <c r="C1584" s="236" t="s">
        <v>193</v>
      </c>
      <c r="D1584" s="236" t="s">
        <v>194</v>
      </c>
      <c r="E1584" s="236" t="s">
        <v>195</v>
      </c>
      <c r="F1584" s="236" t="s">
        <v>196</v>
      </c>
      <c r="G1584" s="236" t="s">
        <v>197</v>
      </c>
      <c r="H1584" s="236" t="s">
        <v>91</v>
      </c>
      <c r="I1584" s="236" t="s">
        <v>198</v>
      </c>
    </row>
    <row r="1585" spans="1:17" x14ac:dyDescent="0.2">
      <c r="A1585" s="199"/>
      <c r="B1585" s="233"/>
      <c r="C1585" s="233"/>
      <c r="D1585" s="199"/>
      <c r="E1585" s="199"/>
      <c r="F1585" s="234" t="s">
        <v>199</v>
      </c>
      <c r="G1585" s="244"/>
      <c r="H1585" s="245"/>
      <c r="I1585" s="434"/>
    </row>
    <row r="1586" spans="1:17" x14ac:dyDescent="0.2">
      <c r="A1586" s="199"/>
      <c r="B1586" s="233"/>
      <c r="C1586" s="233"/>
      <c r="D1586" s="199"/>
      <c r="E1586" s="199"/>
      <c r="F1586" s="199"/>
      <c r="G1586" s="199"/>
      <c r="H1586" s="199"/>
      <c r="I1586" s="200"/>
    </row>
    <row r="1587" spans="1:17" x14ac:dyDescent="0.2">
      <c r="A1587" s="246" t="s">
        <v>200</v>
      </c>
      <c r="B1587" s="247" t="s">
        <v>60</v>
      </c>
      <c r="C1587" s="236" t="s">
        <v>1242</v>
      </c>
      <c r="D1587" s="247" t="s">
        <v>202</v>
      </c>
      <c r="E1587" s="1276" t="s">
        <v>91</v>
      </c>
      <c r="F1587" s="1274"/>
      <c r="G1587" s="1275"/>
      <c r="H1587" s="1276" t="s">
        <v>198</v>
      </c>
      <c r="I1587" s="1275"/>
    </row>
    <row r="1588" spans="1:17" x14ac:dyDescent="0.2">
      <c r="A1588" s="199"/>
      <c r="B1588" s="233"/>
      <c r="C1588" s="233"/>
      <c r="D1588" s="199"/>
      <c r="E1588" s="199"/>
      <c r="F1588" s="234" t="s">
        <v>203</v>
      </c>
      <c r="G1588" s="244"/>
      <c r="H1588" s="245"/>
      <c r="I1588" s="434"/>
    </row>
    <row r="1589" spans="1:17" x14ac:dyDescent="0.2">
      <c r="A1589" s="199"/>
      <c r="B1589" s="233"/>
      <c r="C1589" s="233"/>
      <c r="D1589" s="199"/>
      <c r="E1589" s="199"/>
      <c r="F1589" s="199"/>
      <c r="G1589" s="199"/>
      <c r="H1589" s="199"/>
      <c r="I1589" s="200"/>
    </row>
    <row r="1590" spans="1:17" x14ac:dyDescent="0.2">
      <c r="A1590" s="250" t="s">
        <v>204</v>
      </c>
      <c r="B1590" s="247" t="s">
        <v>60</v>
      </c>
      <c r="C1590" s="866" t="s">
        <v>17</v>
      </c>
      <c r="D1590" s="247" t="s">
        <v>205</v>
      </c>
      <c r="E1590" s="247" t="s">
        <v>206</v>
      </c>
      <c r="F1590" s="247" t="s">
        <v>207</v>
      </c>
      <c r="G1590" s="1276" t="s">
        <v>96</v>
      </c>
      <c r="H1590" s="1274"/>
      <c r="I1590" s="1275"/>
    </row>
    <row r="1591" spans="1:17" x14ac:dyDescent="0.2">
      <c r="A1591" s="797"/>
      <c r="B1591" s="798"/>
      <c r="C1591" s="303"/>
      <c r="D1591" s="798"/>
      <c r="E1591" s="798"/>
      <c r="F1591" s="798"/>
      <c r="G1591" s="799"/>
      <c r="H1591" s="303"/>
      <c r="I1591" s="800"/>
    </row>
    <row r="1592" spans="1:17" x14ac:dyDescent="0.2">
      <c r="A1592" s="248"/>
      <c r="B1592" s="238"/>
      <c r="C1592" s="243"/>
      <c r="D1592" s="239"/>
      <c r="E1592" s="251"/>
      <c r="F1592" s="251"/>
      <c r="G1592" s="244"/>
      <c r="H1592" s="245"/>
      <c r="I1592" s="249"/>
    </row>
    <row r="1593" spans="1:17" s="198" customFormat="1" x14ac:dyDescent="0.2">
      <c r="A1593" s="199"/>
      <c r="B1593" s="233"/>
      <c r="C1593" s="199"/>
      <c r="D1593" s="199"/>
      <c r="E1593" s="199"/>
      <c r="F1593" s="234" t="s">
        <v>1170</v>
      </c>
      <c r="G1593" s="244"/>
      <c r="H1593" s="245"/>
      <c r="I1593" s="434">
        <f>SUM(I1592)</f>
        <v>0</v>
      </c>
      <c r="J1593" s="433"/>
      <c r="K1593" s="433"/>
      <c r="L1593" s="302"/>
      <c r="M1593" s="302"/>
      <c r="N1593" s="302"/>
      <c r="O1593" s="302"/>
      <c r="P1593" s="302"/>
      <c r="Q1593" s="302"/>
    </row>
    <row r="1594" spans="1:17" s="198" customFormat="1" x14ac:dyDescent="0.2">
      <c r="A1594" s="199"/>
      <c r="B1594" s="233"/>
      <c r="C1594" s="199"/>
      <c r="D1594" s="199"/>
      <c r="E1594" s="199"/>
      <c r="F1594" s="199"/>
      <c r="G1594" s="199"/>
      <c r="H1594" s="199"/>
      <c r="I1594" s="200"/>
      <c r="J1594" s="433"/>
      <c r="K1594" s="433"/>
      <c r="L1594" s="302"/>
      <c r="M1594" s="302"/>
      <c r="N1594" s="302"/>
      <c r="O1594" s="302"/>
      <c r="P1594" s="302"/>
      <c r="Q1594" s="302"/>
    </row>
    <row r="1595" spans="1:17" s="198" customFormat="1" x14ac:dyDescent="0.2">
      <c r="A1595" s="252"/>
      <c r="B1595" s="253"/>
      <c r="C1595" s="254"/>
      <c r="D1595" s="254"/>
      <c r="E1595" s="254"/>
      <c r="F1595" s="255" t="s">
        <v>208</v>
      </c>
      <c r="G1595" s="435"/>
      <c r="H1595" s="254"/>
      <c r="I1595" s="634">
        <f>+I1585+I1588+I1593</f>
        <v>0</v>
      </c>
      <c r="J1595" s="433"/>
      <c r="K1595" s="433"/>
      <c r="L1595" s="302"/>
      <c r="M1595" s="302"/>
      <c r="N1595" s="302"/>
      <c r="O1595" s="302"/>
      <c r="P1595" s="302"/>
      <c r="Q1595" s="302"/>
    </row>
    <row r="1596" spans="1:17" x14ac:dyDescent="0.2">
      <c r="A1596" s="256"/>
      <c r="B1596" s="257"/>
      <c r="C1596" s="258"/>
      <c r="D1596" s="258"/>
      <c r="E1596" s="258"/>
      <c r="F1596" s="259" t="s">
        <v>209</v>
      </c>
      <c r="G1596" s="260"/>
      <c r="H1596" s="258"/>
      <c r="I1596" s="635">
        <v>1</v>
      </c>
    </row>
    <row r="1597" spans="1:17" x14ac:dyDescent="0.2">
      <c r="A1597" s="237"/>
      <c r="B1597" s="261"/>
      <c r="C1597" s="245"/>
      <c r="D1597" s="245"/>
      <c r="E1597" s="245"/>
      <c r="F1597" s="262" t="s">
        <v>232</v>
      </c>
      <c r="G1597" s="244"/>
      <c r="H1597" s="245"/>
      <c r="I1597" s="633">
        <f>TRUNC(I1595/I1596,2)</f>
        <v>0</v>
      </c>
    </row>
    <row r="1598" spans="1:17" x14ac:dyDescent="0.2">
      <c r="A1598" s="867"/>
      <c r="B1598" s="233"/>
      <c r="C1598" s="199"/>
      <c r="D1598" s="199"/>
      <c r="E1598" s="199"/>
      <c r="F1598" s="263"/>
      <c r="G1598" s="199"/>
      <c r="H1598" s="199"/>
      <c r="I1598" s="264"/>
    </row>
    <row r="1599" spans="1:17" x14ac:dyDescent="0.2">
      <c r="A1599" s="246" t="s">
        <v>210</v>
      </c>
      <c r="B1599" s="247" t="s">
        <v>60</v>
      </c>
      <c r="C1599" s="247" t="s">
        <v>211</v>
      </c>
      <c r="D1599" s="247" t="s">
        <v>233</v>
      </c>
      <c r="E1599" s="1276" t="s">
        <v>91</v>
      </c>
      <c r="F1599" s="1274"/>
      <c r="G1599" s="1275"/>
      <c r="H1599" s="1276" t="s">
        <v>198</v>
      </c>
      <c r="I1599" s="1275"/>
    </row>
    <row r="1600" spans="1:17" ht="22.5" x14ac:dyDescent="0.2">
      <c r="A1600" s="265" t="str">
        <f>VLOOKUP(B1600,mat.!$A:$D,2,FALSE)</f>
        <v>Argila (barreiras comerciais - saibreiras)</v>
      </c>
      <c r="B1600" s="238">
        <v>10564</v>
      </c>
      <c r="C1600" s="266" t="str">
        <f>VLOOKUP(B1600,mat.!$A:$D,3,FALSE)</f>
        <v>M3</v>
      </c>
      <c r="D1600" s="267">
        <f>VLOOKUP(B1600,mat.!$A:$D,4,FALSE)</f>
        <v>6.16</v>
      </c>
      <c r="E1600" s="260"/>
      <c r="F1600" s="258"/>
      <c r="G1600" s="300">
        <v>1</v>
      </c>
      <c r="H1600" s="260"/>
      <c r="I1600" s="268">
        <f>TRUNC(D1600*G1600,2)</f>
        <v>6.16</v>
      </c>
    </row>
    <row r="1601" spans="1:13" x14ac:dyDescent="0.2">
      <c r="A1601" s="199"/>
      <c r="B1601" s="233"/>
      <c r="C1601" s="199"/>
      <c r="D1601" s="199"/>
      <c r="E1601" s="199"/>
      <c r="F1601" s="234" t="s">
        <v>212</v>
      </c>
      <c r="G1601" s="244"/>
      <c r="H1601" s="245"/>
      <c r="I1601" s="434">
        <f>SUM(I1600:I1600)</f>
        <v>6.16</v>
      </c>
    </row>
    <row r="1602" spans="1:13" x14ac:dyDescent="0.2">
      <c r="A1602" s="199"/>
      <c r="B1602" s="233"/>
      <c r="C1602" s="199"/>
      <c r="D1602" s="199"/>
      <c r="E1602" s="199"/>
      <c r="F1602" s="199"/>
      <c r="G1602" s="269"/>
      <c r="H1602" s="199"/>
      <c r="I1602" s="200"/>
    </row>
    <row r="1603" spans="1:13" x14ac:dyDescent="0.2">
      <c r="A1603" s="270" t="s">
        <v>213</v>
      </c>
      <c r="B1603" s="247" t="s">
        <v>60</v>
      </c>
      <c r="C1603" s="247" t="s">
        <v>211</v>
      </c>
      <c r="D1603" s="866" t="s">
        <v>233</v>
      </c>
      <c r="E1603" s="1276" t="s">
        <v>91</v>
      </c>
      <c r="F1603" s="1274"/>
      <c r="G1603" s="1275"/>
      <c r="H1603" s="1276" t="s">
        <v>198</v>
      </c>
      <c r="I1603" s="1275"/>
    </row>
    <row r="1604" spans="1:13" x14ac:dyDescent="0.2">
      <c r="A1604" s="248"/>
      <c r="B1604" s="238"/>
      <c r="C1604" s="238"/>
      <c r="D1604" s="243"/>
      <c r="E1604" s="244"/>
      <c r="F1604" s="258"/>
      <c r="G1604" s="300"/>
      <c r="H1604" s="244"/>
      <c r="I1604" s="268"/>
    </row>
    <row r="1605" spans="1:13" x14ac:dyDescent="0.2">
      <c r="A1605" s="201"/>
      <c r="B1605" s="271"/>
      <c r="C1605" s="201"/>
      <c r="D1605" s="201"/>
      <c r="E1605" s="201"/>
      <c r="F1605" s="272" t="s">
        <v>214</v>
      </c>
      <c r="G1605" s="260"/>
      <c r="H1605" s="273"/>
      <c r="I1605" s="436">
        <f>SUM(I1604:I1604)</f>
        <v>0</v>
      </c>
    </row>
    <row r="1606" spans="1:13" x14ac:dyDescent="0.2">
      <c r="A1606" s="201"/>
      <c r="B1606" s="271"/>
      <c r="C1606" s="201"/>
      <c r="D1606" s="201"/>
      <c r="E1606" s="201"/>
      <c r="F1606" s="201"/>
      <c r="G1606" s="201"/>
      <c r="H1606" s="201"/>
      <c r="I1606" s="201"/>
    </row>
    <row r="1607" spans="1:13" x14ac:dyDescent="0.2">
      <c r="A1607" s="274" t="s">
        <v>215</v>
      </c>
      <c r="B1607" s="275" t="s">
        <v>60</v>
      </c>
      <c r="C1607" s="275" t="s">
        <v>211</v>
      </c>
      <c r="D1607" s="275" t="s">
        <v>216</v>
      </c>
      <c r="E1607" s="275" t="s">
        <v>217</v>
      </c>
      <c r="F1607" s="275" t="s">
        <v>218</v>
      </c>
      <c r="G1607" s="275" t="s">
        <v>96</v>
      </c>
      <c r="H1607" s="275" t="s">
        <v>91</v>
      </c>
      <c r="I1607" s="275" t="s">
        <v>219</v>
      </c>
    </row>
    <row r="1608" spans="1:13" x14ac:dyDescent="0.2">
      <c r="A1608" s="201"/>
      <c r="B1608" s="271"/>
      <c r="C1608" s="201"/>
      <c r="D1608" s="201"/>
      <c r="E1608" s="201"/>
      <c r="F1608" s="272" t="s">
        <v>220</v>
      </c>
      <c r="G1608" s="244"/>
      <c r="H1608" s="279"/>
      <c r="I1608" s="438"/>
    </row>
    <row r="1609" spans="1:13" x14ac:dyDescent="0.2">
      <c r="A1609" s="201"/>
      <c r="B1609" s="271"/>
      <c r="C1609" s="201"/>
      <c r="D1609" s="201"/>
      <c r="E1609" s="201"/>
      <c r="F1609" s="201"/>
      <c r="G1609" s="201"/>
      <c r="H1609" s="201"/>
      <c r="I1609" s="202"/>
    </row>
    <row r="1610" spans="1:13" x14ac:dyDescent="0.2">
      <c r="A1610" s="801"/>
      <c r="B1610" s="802"/>
      <c r="C1610" s="273"/>
      <c r="D1610" s="273"/>
      <c r="E1610" s="803"/>
      <c r="F1610" s="283" t="s">
        <v>221</v>
      </c>
      <c r="G1610" s="280"/>
      <c r="H1610" s="254"/>
      <c r="I1610" s="634">
        <f>+I1597+I1601+I1605+I1608</f>
        <v>6.16</v>
      </c>
    </row>
    <row r="1611" spans="1:13" x14ac:dyDescent="0.2">
      <c r="A1611" s="244"/>
      <c r="B1611" s="286"/>
      <c r="C1611" s="279"/>
      <c r="D1611" s="279"/>
      <c r="E1611" s="279"/>
      <c r="F1611" s="287" t="s">
        <v>222</v>
      </c>
      <c r="G1611" s="440"/>
      <c r="H1611" s="245"/>
      <c r="I1611" s="1017">
        <f>I1610</f>
        <v>6.16</v>
      </c>
    </row>
    <row r="1612" spans="1:13" x14ac:dyDescent="0.2">
      <c r="A1612" s="1277" t="str">
        <f>$A$1</f>
        <v>COMPOSIÇÃO DE CUSTOS UNITÁRIOS</v>
      </c>
      <c r="B1612" s="1277"/>
      <c r="C1612" s="1277"/>
      <c r="D1612" s="1277"/>
      <c r="E1612" s="1277"/>
      <c r="F1612" s="1277"/>
      <c r="G1612" s="1277"/>
      <c r="H1612" s="1277"/>
      <c r="I1612" s="1277"/>
    </row>
    <row r="1613" spans="1:13" x14ac:dyDescent="0.2">
      <c r="A1613" s="232" t="str">
        <f>$A$2</f>
        <v>Tabela Referencial de Preços - DER-ES</v>
      </c>
      <c r="B1613" s="233"/>
      <c r="C1613" s="199"/>
      <c r="D1613" s="199"/>
      <c r="E1613" s="199"/>
      <c r="F1613" s="199"/>
      <c r="G1613" s="199"/>
      <c r="H1613" s="199"/>
      <c r="I1613" s="234" t="str">
        <f>$I$2</f>
        <v>Data Base: Outubro/2018</v>
      </c>
      <c r="J1613" s="433">
        <v>40843</v>
      </c>
      <c r="K1613" s="433">
        <f>VLOOKUP("Preço Unitário Total",F1615:I3649,4,FALSE)</f>
        <v>150.08000000000001</v>
      </c>
      <c r="L1613" s="302" t="str">
        <f>VLOOKUP(J1613,'DER 10-18'!A:E,5,FALSE)</f>
        <v>A incluir</v>
      </c>
      <c r="M1613" s="302" t="str">
        <f>VLOOKUP(J1613,'DER 10-18'!$A:$D,2,FALSE)</f>
        <v>CBUQ (camada pronta - capa) exclusive fornecimento e transportes do CAP e massa</v>
      </c>
    </row>
    <row r="1614" spans="1:13" x14ac:dyDescent="0.2">
      <c r="A1614" s="1278" t="str">
        <f>+CONCATENATE("Serviço: ",J1613," ",VLOOKUP(J1613,'DER 10-18'!$A:$D,2,FALSE))</f>
        <v>Serviço: 40843 CBUQ (camada pronta - capa) exclusive fornecimento e transportes do CAP e massa</v>
      </c>
      <c r="B1614" s="1278"/>
      <c r="C1614" s="1278"/>
      <c r="D1614" s="1278"/>
      <c r="E1614" s="1278"/>
      <c r="F1614" s="1278"/>
      <c r="G1614" s="1278"/>
      <c r="H1614" s="1278"/>
      <c r="I1614" s="1278" t="str">
        <f>CONCATENATE("Unidade: ", VLOOKUP(J1613,'DER 10-18'!$A:$E,3,FALSE))</f>
        <v>Unidade: t</v>
      </c>
    </row>
    <row r="1615" spans="1:13" x14ac:dyDescent="0.2">
      <c r="A1615" s="1279"/>
      <c r="B1615" s="1279"/>
      <c r="C1615" s="1279"/>
      <c r="D1615" s="1279"/>
      <c r="E1615" s="1279"/>
      <c r="F1615" s="1279"/>
      <c r="G1615" s="1279"/>
      <c r="H1615" s="1279"/>
      <c r="I1615" s="1279"/>
    </row>
    <row r="1616" spans="1:13" ht="22.5" x14ac:dyDescent="0.2">
      <c r="A1616" s="235" t="s">
        <v>192</v>
      </c>
      <c r="B1616" s="236" t="s">
        <v>60</v>
      </c>
      <c r="C1616" s="236" t="s">
        <v>193</v>
      </c>
      <c r="D1616" s="236" t="s">
        <v>194</v>
      </c>
      <c r="E1616" s="236" t="s">
        <v>195</v>
      </c>
      <c r="F1616" s="236" t="s">
        <v>196</v>
      </c>
      <c r="G1616" s="236" t="s">
        <v>197</v>
      </c>
      <c r="H1616" s="236" t="s">
        <v>91</v>
      </c>
      <c r="I1616" s="236" t="s">
        <v>198</v>
      </c>
    </row>
    <row r="1617" spans="1:17" ht="22.5" x14ac:dyDescent="0.2">
      <c r="A1617" s="237" t="str">
        <f>VLOOKUP(B1617,equip.!$A:$G,2,FALSE)</f>
        <v>Acabadora de asfalto AF 5000, esteira, CIBER ou equivalente</v>
      </c>
      <c r="B1617" s="238">
        <v>30041</v>
      </c>
      <c r="C1617" s="239">
        <f>VLOOKUP(B1617,equip.!$A$1:$G$239,3,FALSE)</f>
        <v>0</v>
      </c>
      <c r="D1617" s="240">
        <v>0.84</v>
      </c>
      <c r="E1617" s="205">
        <v>0.16</v>
      </c>
      <c r="F1617" s="241">
        <f>VLOOKUP(B1617,equip.!$A:$G,6,FALSE)</f>
        <v>197.82</v>
      </c>
      <c r="G1617" s="241">
        <f>VLOOKUP(B1617,equip.!$A:$G,7,FALSE)</f>
        <v>100.1</v>
      </c>
      <c r="H1617" s="242">
        <v>1</v>
      </c>
      <c r="I1617" s="243">
        <f>TRUNC(D1617*F1617*H1617+E1617*G1617*H1617,2)</f>
        <v>182.18</v>
      </c>
    </row>
    <row r="1618" spans="1:17" ht="22.5" x14ac:dyDescent="0.2">
      <c r="A1618" s="237" t="str">
        <f>VLOOKUP(B1618,equip.!$A:$G,2,FALSE)</f>
        <v>Rolo AP de pneus AP-26 (8,9t) (MULLER) ou equivalente</v>
      </c>
      <c r="B1618" s="238">
        <v>30032</v>
      </c>
      <c r="C1618" s="239" t="str">
        <f>VLOOKUP(B1618,equip.!$A$1:$G$239,3,FALSE)</f>
        <v>M</v>
      </c>
      <c r="D1618" s="240">
        <v>0.96</v>
      </c>
      <c r="E1618" s="205">
        <v>0.04</v>
      </c>
      <c r="F1618" s="241">
        <f>VLOOKUP(B1618,equip.!$A:$G,6,FALSE)</f>
        <v>175.45</v>
      </c>
      <c r="G1618" s="241">
        <f>VLOOKUP(B1618,equip.!$A:$G,7,FALSE)</f>
        <v>59</v>
      </c>
      <c r="H1618" s="242">
        <v>1</v>
      </c>
      <c r="I1618" s="243">
        <f>TRUNC(D1618*F1618*H1618+E1618*G1618*H1618,2)</f>
        <v>170.79</v>
      </c>
    </row>
    <row r="1619" spans="1:17" ht="22.5" x14ac:dyDescent="0.2">
      <c r="A1619" s="237" t="str">
        <f>VLOOKUP(B1619,equip.!$A:$G,2,FALSE)</f>
        <v>Rolo AP liso de aço TH-10 (6,3t) (TEMA TERRA) ou equivalente</v>
      </c>
      <c r="B1619" s="238">
        <v>30035</v>
      </c>
      <c r="C1619" s="239">
        <f>VLOOKUP(B1619,equip.!$A$1:$G$239,3,FALSE)</f>
        <v>0</v>
      </c>
      <c r="D1619" s="240">
        <v>0.3</v>
      </c>
      <c r="E1619" s="205">
        <v>0.7</v>
      </c>
      <c r="F1619" s="241">
        <f>VLOOKUP(B1619,equip.!$A:$G,6,FALSE)</f>
        <v>98.09</v>
      </c>
      <c r="G1619" s="241">
        <f>VLOOKUP(B1619,equip.!$A:$G,7,FALSE)</f>
        <v>49.13</v>
      </c>
      <c r="H1619" s="242">
        <v>1</v>
      </c>
      <c r="I1619" s="243">
        <f>TRUNC(D1619*F1619*H1619+E1619*G1619*H1619,2)</f>
        <v>63.81</v>
      </c>
      <c r="J1619" s="302"/>
      <c r="K1619" s="302"/>
    </row>
    <row r="1620" spans="1:17" ht="33.75" x14ac:dyDescent="0.2">
      <c r="A1620" s="237" t="str">
        <f>VLOOKUP(B1620,equip.!$A:$G,2,FALSE)</f>
        <v>Trator agrícola MF 297/4 -4 X 4 (MASSEY FERGUSSON) ou equivalente</v>
      </c>
      <c r="B1620" s="238">
        <v>30030</v>
      </c>
      <c r="C1620" s="239" t="str">
        <f>VLOOKUP(B1620,equip.!$A$1:$G$239,3,FALSE)</f>
        <v>M</v>
      </c>
      <c r="D1620" s="240">
        <v>0.59</v>
      </c>
      <c r="E1620" s="205">
        <v>0.41</v>
      </c>
      <c r="F1620" s="241">
        <f>VLOOKUP(B1620,equip.!$A:$G,6,FALSE)</f>
        <v>117.24</v>
      </c>
      <c r="G1620" s="241">
        <f>VLOOKUP(B1620,equip.!$A:$G,7,FALSE)</f>
        <v>30.29</v>
      </c>
      <c r="H1620" s="242">
        <v>1</v>
      </c>
      <c r="I1620" s="243">
        <f>TRUNC(D1620*F1620*H1620+E1620*G1620*H1620,2)</f>
        <v>81.59</v>
      </c>
      <c r="J1620" s="302"/>
      <c r="K1620" s="302"/>
    </row>
    <row r="1621" spans="1:17" ht="22.5" x14ac:dyDescent="0.2">
      <c r="A1621" s="237" t="str">
        <f>VLOOKUP(B1621,equip.!$A:$G,2,FALSE)</f>
        <v>Vassoura mecânica VM-2440 (CMV) ou equivalente</v>
      </c>
      <c r="B1621" s="238">
        <v>30051</v>
      </c>
      <c r="C1621" s="239" t="str">
        <f>VLOOKUP(B1621,equip.!$A$1:$G$239,3,FALSE)</f>
        <v>M</v>
      </c>
      <c r="D1621" s="240">
        <v>0.59</v>
      </c>
      <c r="E1621" s="205">
        <v>0.41</v>
      </c>
      <c r="F1621" s="241">
        <f>VLOOKUP(B1621,equip.!$A:$G,6,FALSE)</f>
        <v>7.09</v>
      </c>
      <c r="G1621" s="241">
        <f>VLOOKUP(B1621,equip.!$A:$G,7,FALSE)</f>
        <v>4.4400000000000004</v>
      </c>
      <c r="H1621" s="242">
        <v>1</v>
      </c>
      <c r="I1621" s="243">
        <f>TRUNC(D1621*F1621*H1621+E1621*G1621*H1621,2)</f>
        <v>6</v>
      </c>
      <c r="J1621" s="302"/>
      <c r="K1621" s="302"/>
    </row>
    <row r="1622" spans="1:17" x14ac:dyDescent="0.2">
      <c r="A1622" s="199"/>
      <c r="B1622" s="233"/>
      <c r="C1622" s="233"/>
      <c r="D1622" s="199"/>
      <c r="E1622" s="199"/>
      <c r="F1622" s="234" t="s">
        <v>199</v>
      </c>
      <c r="G1622" s="244"/>
      <c r="H1622" s="245"/>
      <c r="I1622" s="434">
        <f>SUM(I1617:I1621)</f>
        <v>504.37</v>
      </c>
      <c r="J1622" s="302"/>
      <c r="K1622" s="302"/>
    </row>
    <row r="1623" spans="1:17" x14ac:dyDescent="0.2">
      <c r="A1623" s="199"/>
      <c r="B1623" s="233"/>
      <c r="C1623" s="233"/>
      <c r="D1623" s="199"/>
      <c r="E1623" s="199"/>
      <c r="F1623" s="199"/>
      <c r="G1623" s="199"/>
      <c r="H1623" s="199"/>
      <c r="I1623" s="200"/>
      <c r="J1623" s="302"/>
      <c r="K1623" s="302"/>
    </row>
    <row r="1624" spans="1:17" x14ac:dyDescent="0.2">
      <c r="A1624" s="246" t="s">
        <v>200</v>
      </c>
      <c r="B1624" s="247" t="s">
        <v>60</v>
      </c>
      <c r="C1624" s="236" t="s">
        <v>1242</v>
      </c>
      <c r="D1624" s="247" t="s">
        <v>202</v>
      </c>
      <c r="E1624" s="1271" t="s">
        <v>91</v>
      </c>
      <c r="F1624" s="1272"/>
      <c r="G1624" s="1273"/>
      <c r="H1624" s="1276" t="s">
        <v>198</v>
      </c>
      <c r="I1624" s="1275"/>
      <c r="J1624" s="302"/>
      <c r="K1624" s="302"/>
    </row>
    <row r="1625" spans="1:17" x14ac:dyDescent="0.2">
      <c r="A1625" s="248" t="str">
        <f>VLOOKUP(B1625,m.o.!$A:$H,2,FALSE)</f>
        <v>Encarregado de pista</v>
      </c>
      <c r="B1625" s="238">
        <v>20063</v>
      </c>
      <c r="C1625" s="243">
        <f>VLOOKUP(B1625,m.o.!$A:$F,4,FALSE)</f>
        <v>2.2599999999999998</v>
      </c>
      <c r="D1625" s="243">
        <f>VLOOKUP(B1625,m.o.!$A:$G,7,FALSE)</f>
        <v>26.3</v>
      </c>
      <c r="E1625" s="260"/>
      <c r="F1625" s="258"/>
      <c r="G1625" s="300">
        <v>1</v>
      </c>
      <c r="H1625" s="244"/>
      <c r="I1625" s="249">
        <f>TRUNC(D1625*G1625,2)</f>
        <v>26.3</v>
      </c>
      <c r="J1625" s="302"/>
      <c r="K1625" s="302"/>
    </row>
    <row r="1626" spans="1:17" x14ac:dyDescent="0.2">
      <c r="A1626" s="248" t="str">
        <f>VLOOKUP(B1626,m.o.!$A:$H,2,FALSE)</f>
        <v>Rasteleiro</v>
      </c>
      <c r="B1626" s="238">
        <v>20156</v>
      </c>
      <c r="C1626" s="243">
        <f>VLOOKUP(B1626,m.o.!$A:$F,4,FALSE)</f>
        <v>1.24</v>
      </c>
      <c r="D1626" s="243">
        <f>VLOOKUP(B1626,m.o.!$A:$G,7,FALSE)</f>
        <v>14.43</v>
      </c>
      <c r="E1626" s="260"/>
      <c r="F1626" s="258"/>
      <c r="G1626" s="300">
        <v>4</v>
      </c>
      <c r="H1626" s="244"/>
      <c r="I1626" s="249">
        <f>TRUNC(D1626*G1626,2)</f>
        <v>57.72</v>
      </c>
      <c r="J1626" s="302"/>
      <c r="K1626" s="302"/>
    </row>
    <row r="1627" spans="1:17" x14ac:dyDescent="0.2">
      <c r="A1627" s="248" t="str">
        <f>VLOOKUP(B1627,m.o.!$A:$H,2,FALSE)</f>
        <v>Servente</v>
      </c>
      <c r="B1627" s="238">
        <v>20002</v>
      </c>
      <c r="C1627" s="243">
        <f>VLOOKUP(B1627,m.o.!$A:$F,4,FALSE)</f>
        <v>1</v>
      </c>
      <c r="D1627" s="243">
        <f>VLOOKUP(B1627,m.o.!$A:$G,7,FALSE)</f>
        <v>11.64</v>
      </c>
      <c r="E1627" s="260"/>
      <c r="F1627" s="258"/>
      <c r="G1627" s="300">
        <v>8</v>
      </c>
      <c r="H1627" s="244"/>
      <c r="I1627" s="249">
        <f>TRUNC(D1627*G1627,2)</f>
        <v>93.12</v>
      </c>
      <c r="J1627" s="302"/>
      <c r="K1627" s="302"/>
    </row>
    <row r="1628" spans="1:17" x14ac:dyDescent="0.2">
      <c r="A1628" s="199"/>
      <c r="B1628" s="233"/>
      <c r="C1628" s="233"/>
      <c r="D1628" s="199"/>
      <c r="E1628" s="199"/>
      <c r="F1628" s="234" t="s">
        <v>203</v>
      </c>
      <c r="G1628" s="244"/>
      <c r="H1628" s="245"/>
      <c r="I1628" s="434">
        <f>SUM(I1625:I1627)</f>
        <v>177.14</v>
      </c>
      <c r="J1628" s="302"/>
      <c r="K1628" s="302"/>
    </row>
    <row r="1629" spans="1:17" x14ac:dyDescent="0.2">
      <c r="A1629" s="199"/>
      <c r="B1629" s="233"/>
      <c r="C1629" s="233"/>
      <c r="D1629" s="199"/>
      <c r="E1629" s="199"/>
      <c r="F1629" s="199"/>
      <c r="G1629" s="199"/>
      <c r="H1629" s="199"/>
      <c r="I1629" s="200"/>
      <c r="J1629" s="302"/>
      <c r="K1629" s="302"/>
    </row>
    <row r="1630" spans="1:17" s="198" customFormat="1" x14ac:dyDescent="0.2">
      <c r="A1630" s="250" t="s">
        <v>204</v>
      </c>
      <c r="B1630" s="247" t="s">
        <v>60</v>
      </c>
      <c r="C1630" s="866" t="s">
        <v>17</v>
      </c>
      <c r="D1630" s="247" t="s">
        <v>205</v>
      </c>
      <c r="E1630" s="247" t="s">
        <v>206</v>
      </c>
      <c r="F1630" s="247" t="s">
        <v>207</v>
      </c>
      <c r="G1630" s="1276" t="s">
        <v>96</v>
      </c>
      <c r="H1630" s="1274"/>
      <c r="I1630" s="1275"/>
      <c r="J1630" s="302"/>
      <c r="K1630" s="302"/>
      <c r="L1630" s="302"/>
      <c r="M1630" s="302"/>
      <c r="N1630" s="302"/>
      <c r="O1630" s="302"/>
      <c r="P1630" s="302"/>
      <c r="Q1630" s="302"/>
    </row>
    <row r="1631" spans="1:17" x14ac:dyDescent="0.2">
      <c r="A1631" s="248" t="s">
        <v>142</v>
      </c>
      <c r="B1631" s="238">
        <v>2000</v>
      </c>
      <c r="C1631" s="243">
        <v>5</v>
      </c>
      <c r="D1631" s="239" t="s">
        <v>223</v>
      </c>
      <c r="E1631" s="251"/>
      <c r="F1631" s="251"/>
      <c r="G1631" s="244"/>
      <c r="H1631" s="245"/>
      <c r="I1631" s="249">
        <f>TRUNC(C1631/100*I1628,2)</f>
        <v>8.85</v>
      </c>
      <c r="J1631" s="302"/>
      <c r="K1631" s="302"/>
    </row>
    <row r="1632" spans="1:17" x14ac:dyDescent="0.2">
      <c r="A1632" s="199"/>
      <c r="B1632" s="233"/>
      <c r="C1632" s="199"/>
      <c r="D1632" s="199"/>
      <c r="E1632" s="199"/>
      <c r="F1632" s="234" t="s">
        <v>1170</v>
      </c>
      <c r="G1632" s="244"/>
      <c r="H1632" s="245"/>
      <c r="I1632" s="434">
        <f>SUM(I1631)</f>
        <v>8.85</v>
      </c>
      <c r="J1632" s="302"/>
      <c r="K1632" s="302"/>
    </row>
    <row r="1633" spans="1:14" x14ac:dyDescent="0.2">
      <c r="A1633" s="199"/>
      <c r="B1633" s="233"/>
      <c r="C1633" s="199"/>
      <c r="D1633" s="199"/>
      <c r="E1633" s="199"/>
      <c r="F1633" s="199"/>
      <c r="G1633" s="199"/>
      <c r="H1633" s="199"/>
      <c r="I1633" s="200"/>
      <c r="J1633" s="302"/>
      <c r="K1633" s="302"/>
    </row>
    <row r="1634" spans="1:14" x14ac:dyDescent="0.2">
      <c r="A1634" s="252"/>
      <c r="B1634" s="253"/>
      <c r="C1634" s="254"/>
      <c r="D1634" s="254"/>
      <c r="E1634" s="254"/>
      <c r="F1634" s="255" t="s">
        <v>208</v>
      </c>
      <c r="G1634" s="435"/>
      <c r="H1634" s="254"/>
      <c r="I1634" s="634">
        <f>+I1622+I1628+I1632</f>
        <v>690.36</v>
      </c>
      <c r="J1634" s="302"/>
      <c r="K1634" s="302"/>
    </row>
    <row r="1635" spans="1:14" x14ac:dyDescent="0.2">
      <c r="A1635" s="256"/>
      <c r="B1635" s="257"/>
      <c r="C1635" s="258"/>
      <c r="D1635" s="258"/>
      <c r="E1635" s="258"/>
      <c r="F1635" s="259" t="s">
        <v>209</v>
      </c>
      <c r="G1635" s="260"/>
      <c r="H1635" s="258"/>
      <c r="I1635" s="635">
        <v>36</v>
      </c>
    </row>
    <row r="1636" spans="1:14" x14ac:dyDescent="0.2">
      <c r="A1636" s="237"/>
      <c r="B1636" s="261"/>
      <c r="C1636" s="245"/>
      <c r="D1636" s="245"/>
      <c r="E1636" s="245"/>
      <c r="F1636" s="262" t="s">
        <v>232</v>
      </c>
      <c r="G1636" s="244"/>
      <c r="H1636" s="245"/>
      <c r="I1636" s="633">
        <f>TRUNC(I1634/I1635,2)</f>
        <v>19.170000000000002</v>
      </c>
    </row>
    <row r="1637" spans="1:14" x14ac:dyDescent="0.2">
      <c r="A1637" s="867"/>
      <c r="B1637" s="233"/>
      <c r="C1637" s="199"/>
      <c r="D1637" s="199"/>
      <c r="E1637" s="199"/>
      <c r="F1637" s="263"/>
      <c r="G1637" s="199"/>
      <c r="H1637" s="199"/>
      <c r="I1637" s="264"/>
    </row>
    <row r="1638" spans="1:14" x14ac:dyDescent="0.2">
      <c r="A1638" s="246" t="s">
        <v>210</v>
      </c>
      <c r="B1638" s="247" t="s">
        <v>60</v>
      </c>
      <c r="C1638" s="247" t="s">
        <v>211</v>
      </c>
      <c r="D1638" s="247" t="s">
        <v>233</v>
      </c>
      <c r="E1638" s="1276" t="s">
        <v>91</v>
      </c>
      <c r="F1638" s="1274"/>
      <c r="G1638" s="1275"/>
      <c r="H1638" s="1276" t="s">
        <v>198</v>
      </c>
      <c r="I1638" s="1275"/>
    </row>
    <row r="1639" spans="1:14" ht="22.5" x14ac:dyDescent="0.2">
      <c r="A1639" s="265" t="str">
        <f>VLOOKUP(B1639,mat.!$A:$D,2,FALSE)</f>
        <v>Brita graduada, especificada sem pó, sem frete</v>
      </c>
      <c r="B1639" s="238">
        <v>10119</v>
      </c>
      <c r="C1639" s="266" t="str">
        <f>VLOOKUP(B1639,mat.!$A:$D,3,FALSE)</f>
        <v>m3</v>
      </c>
      <c r="D1639" s="267">
        <f>VLOOKUP(B1639,mat.!$A:$D,4,FALSE)</f>
        <v>49.19</v>
      </c>
      <c r="E1639" s="260"/>
      <c r="F1639" s="258"/>
      <c r="G1639" s="300">
        <v>0.39960000000000001</v>
      </c>
      <c r="H1639" s="260"/>
      <c r="I1639" s="268">
        <f>TRUNC(D1639*G1639,2)</f>
        <v>19.649999999999999</v>
      </c>
    </row>
    <row r="1640" spans="1:14" x14ac:dyDescent="0.2">
      <c r="A1640" s="265" t="str">
        <f>VLOOKUP(B1640,mat.!$A:$D,2,FALSE)</f>
        <v>Filler</v>
      </c>
      <c r="B1640" s="238">
        <v>10098</v>
      </c>
      <c r="C1640" s="266" t="str">
        <f>VLOOKUP(B1640,mat.!$A:$D,3,FALSE)</f>
        <v>t</v>
      </c>
      <c r="D1640" s="267">
        <f>VLOOKUP(B1640,mat.!$A:$D,4,FALSE)</f>
        <v>141.9</v>
      </c>
      <c r="E1640" s="260"/>
      <c r="F1640" s="258"/>
      <c r="G1640" s="300">
        <v>0.03</v>
      </c>
      <c r="H1640" s="260"/>
      <c r="I1640" s="268">
        <f>TRUNC(D1640*G1640,2)</f>
        <v>4.25</v>
      </c>
    </row>
    <row r="1641" spans="1:14" x14ac:dyDescent="0.2">
      <c r="A1641" s="265" t="str">
        <f>VLOOKUP(B1641,mat.!$A:$D,2,FALSE)</f>
        <v>Pó de pedra (incl. 0% IUM) s/ frete</v>
      </c>
      <c r="B1641" s="238">
        <v>10120</v>
      </c>
      <c r="C1641" s="266" t="str">
        <f>VLOOKUP(B1641,mat.!$A:$D,3,FALSE)</f>
        <v>m3</v>
      </c>
      <c r="D1641" s="267">
        <f>VLOOKUP(B1641,mat.!$A:$D,4,FALSE)</f>
        <v>30.6</v>
      </c>
      <c r="E1641" s="260"/>
      <c r="F1641" s="258"/>
      <c r="G1641" s="300">
        <v>0.20710000000000001</v>
      </c>
      <c r="H1641" s="260"/>
      <c r="I1641" s="268">
        <f>TRUNC(D1641*G1641,2)</f>
        <v>6.33</v>
      </c>
    </row>
    <row r="1642" spans="1:14" x14ac:dyDescent="0.2">
      <c r="A1642" s="199"/>
      <c r="B1642" s="233"/>
      <c r="C1642" s="199"/>
      <c r="D1642" s="199"/>
      <c r="E1642" s="199"/>
      <c r="F1642" s="234" t="s">
        <v>212</v>
      </c>
      <c r="G1642" s="244"/>
      <c r="H1642" s="245"/>
      <c r="I1642" s="434">
        <f>SUM(I1639:I1641)</f>
        <v>30.23</v>
      </c>
    </row>
    <row r="1643" spans="1:14" x14ac:dyDescent="0.2">
      <c r="A1643" s="199"/>
      <c r="B1643" s="233"/>
      <c r="C1643" s="199"/>
      <c r="D1643" s="199"/>
      <c r="E1643" s="199"/>
      <c r="F1643" s="199"/>
      <c r="G1643" s="269"/>
      <c r="H1643" s="199"/>
      <c r="I1643" s="200"/>
      <c r="J1643" s="451"/>
      <c r="K1643" s="451"/>
      <c r="L1643" s="198"/>
      <c r="M1643" s="198"/>
      <c r="N1643" s="198"/>
    </row>
    <row r="1644" spans="1:14" x14ac:dyDescent="0.2">
      <c r="A1644" s="467" t="s">
        <v>213</v>
      </c>
      <c r="B1644" s="468" t="s">
        <v>60</v>
      </c>
      <c r="C1644" s="468" t="s">
        <v>211</v>
      </c>
      <c r="D1644" s="869" t="s">
        <v>233</v>
      </c>
      <c r="E1644" s="1281" t="s">
        <v>91</v>
      </c>
      <c r="F1644" s="1282"/>
      <c r="G1644" s="1283"/>
      <c r="H1644" s="1284" t="s">
        <v>198</v>
      </c>
      <c r="I1644" s="1285"/>
      <c r="J1644" s="451"/>
      <c r="K1644" s="451"/>
      <c r="L1644" s="198"/>
      <c r="M1644" s="198"/>
      <c r="N1644" s="198"/>
    </row>
    <row r="1645" spans="1:14" ht="45" x14ac:dyDescent="0.2">
      <c r="A1645" s="452" t="str">
        <f>VLOOKUP(B1645,'DER 10-18'!$A:$E,2,FALSE)</f>
        <v>Usinagem de concreto betuminoso usinado a quente (CBUQ), inclusive transporte comercial do oleo combustível</v>
      </c>
      <c r="B1645" s="453">
        <v>40840</v>
      </c>
      <c r="C1645" s="453" t="str">
        <f>VLOOKUP(B1645,'DER 10-18'!$A:$E,3,FALSE)</f>
        <v>t</v>
      </c>
      <c r="D1645" s="454">
        <f>TRUNC(VLOOKUP(B1645,'DER 10-18'!$A:$F,6,FALSE)/(1+$I$4),2)</f>
        <v>42.18</v>
      </c>
      <c r="E1645" s="455"/>
      <c r="F1645" s="456"/>
      <c r="G1645" s="457">
        <v>1</v>
      </c>
      <c r="H1645" s="458"/>
      <c r="I1645" s="459">
        <f>TRUNC(D1645*G1645,2)</f>
        <v>42.18</v>
      </c>
    </row>
    <row r="1646" spans="1:14" x14ac:dyDescent="0.2">
      <c r="A1646" s="201"/>
      <c r="B1646" s="271"/>
      <c r="C1646" s="201"/>
      <c r="D1646" s="201"/>
      <c r="E1646" s="201"/>
      <c r="F1646" s="272" t="s">
        <v>214</v>
      </c>
      <c r="G1646" s="260"/>
      <c r="H1646" s="273"/>
      <c r="I1646" s="436">
        <f>SUM(I1645:I1645)</f>
        <v>42.18</v>
      </c>
    </row>
    <row r="1647" spans="1:14" x14ac:dyDescent="0.2">
      <c r="A1647" s="201"/>
      <c r="B1647" s="271"/>
      <c r="C1647" s="201"/>
      <c r="D1647" s="201"/>
      <c r="E1647" s="201"/>
      <c r="F1647" s="201"/>
      <c r="G1647" s="201"/>
      <c r="H1647" s="201"/>
      <c r="I1647" s="201"/>
    </row>
    <row r="1648" spans="1:14" x14ac:dyDescent="0.2">
      <c r="A1648" s="274" t="s">
        <v>215</v>
      </c>
      <c r="B1648" s="275" t="s">
        <v>60</v>
      </c>
      <c r="C1648" s="275" t="s">
        <v>211</v>
      </c>
      <c r="D1648" s="275" t="s">
        <v>216</v>
      </c>
      <c r="E1648" s="275" t="s">
        <v>217</v>
      </c>
      <c r="F1648" s="275" t="s">
        <v>218</v>
      </c>
      <c r="G1648" s="275" t="s">
        <v>96</v>
      </c>
      <c r="H1648" s="275" t="s">
        <v>91</v>
      </c>
      <c r="I1648" s="275" t="s">
        <v>219</v>
      </c>
      <c r="J1648" s="433" t="s">
        <v>1056</v>
      </c>
    </row>
    <row r="1649" spans="1:14" ht="22.5" x14ac:dyDescent="0.2">
      <c r="A1649" s="265" t="str">
        <f>VLOOKUP(B1649,tranp.!A:D,2,FALSE)</f>
        <v>Transporte de Brita Gadruada</v>
      </c>
      <c r="B1649" s="238">
        <v>1028</v>
      </c>
      <c r="C1649" s="238" t="str">
        <f>VLOOKUP(B1649,tranp.!$A:$J,3,FALSE)</f>
        <v xml:space="preserve"> t  </v>
      </c>
      <c r="D1649" s="437" t="str">
        <f>VLOOKUP(B1649,tranp.!$A:$J,4,FALSE)</f>
        <v>0,681XP + 0,710XR + 2,841</v>
      </c>
      <c r="E1649" s="277">
        <f>VLOOKUP(J1648,Ocor.!$B:$F,4,FALSE)</f>
        <v>37.200000000000003</v>
      </c>
      <c r="F1649" s="277">
        <f>VLOOKUP(J1648,Ocor.!$B:$F,5,FALSE)</f>
        <v>5.6</v>
      </c>
      <c r="G1649" s="243">
        <f>TRUNC(VLOOKUP(B1649,tranp.!$A:$J,5,FALSE)*E1649+VLOOKUP(B1649,tranp.!$A:$J,6,FALSE)*F1649+VLOOKUP(B1649,tranp.!$A:$J,7,FALSE),2)</f>
        <v>32.15</v>
      </c>
      <c r="H1649" s="278">
        <v>0.59950000000000003</v>
      </c>
      <c r="I1649" s="243">
        <f>TRUNC(G1649*H1649,2)</f>
        <v>19.27</v>
      </c>
      <c r="J1649" s="433" t="s">
        <v>113</v>
      </c>
      <c r="K1649" s="451"/>
      <c r="L1649" s="198"/>
      <c r="M1649" s="198"/>
      <c r="N1649" s="198"/>
    </row>
    <row r="1650" spans="1:14" x14ac:dyDescent="0.2">
      <c r="A1650" s="265" t="str">
        <f>VLOOKUP(B1650,tranp.!A:D,2,FALSE)</f>
        <v>Transporte de Filler</v>
      </c>
      <c r="B1650" s="453">
        <v>1032</v>
      </c>
      <c r="C1650" s="453" t="str">
        <f>VLOOKUP(B1650,tranp.!$A:$J,3,FALSE)</f>
        <v xml:space="preserve"> t  </v>
      </c>
      <c r="D1650" s="518" t="str">
        <f>VLOOKUP(B1650,tranp.!$A:$J,4,FALSE)</f>
        <v>0,676XP + 0,703XR</v>
      </c>
      <c r="E1650" s="519">
        <f>VLOOKUP(J1649,Ocor.!$B:$F,4,FALSE)</f>
        <v>37.200000000000003</v>
      </c>
      <c r="F1650" s="519">
        <f>VLOOKUP(J1649,Ocor.!$B:$F,5,FALSE)</f>
        <v>5.6</v>
      </c>
      <c r="G1650" s="454">
        <f>TRUNC(VLOOKUP(B1650,tranp.!$A:$J,5,FALSE)*E1650+VLOOKUP(B1650,tranp.!$A:$J,6,FALSE)*F1650+VLOOKUP(B1650,tranp.!$A:$J,7,FALSE),2)</f>
        <v>29.08</v>
      </c>
      <c r="H1650" s="520">
        <v>0.03</v>
      </c>
      <c r="I1650" s="454">
        <f>TRUNC(G1650*H1650,2)</f>
        <v>0.87</v>
      </c>
      <c r="J1650" s="433" t="s">
        <v>113</v>
      </c>
      <c r="K1650" s="451"/>
      <c r="L1650" s="198"/>
      <c r="M1650" s="198"/>
      <c r="N1650" s="198"/>
    </row>
    <row r="1651" spans="1:14" ht="22.5" x14ac:dyDescent="0.2">
      <c r="A1651" s="265" t="str">
        <f>VLOOKUP(B1651,tranp.!A:D,2,FALSE)</f>
        <v>Transporte de pó de pedra (Incl. 0% IUM) s/ frete</v>
      </c>
      <c r="B1651" s="453">
        <v>1029</v>
      </c>
      <c r="C1651" s="453" t="str">
        <f>VLOOKUP(B1651,tranp.!$A:$J,3,FALSE)</f>
        <v xml:space="preserve"> t  </v>
      </c>
      <c r="D1651" s="518" t="str">
        <f>VLOOKUP(B1651,tranp.!$A:$J,4,FALSE)</f>
        <v>0,681XP + 0,710XR + 2,841</v>
      </c>
      <c r="E1651" s="519">
        <f>VLOOKUP(J1650,Ocor.!$B:$F,4,FALSE)</f>
        <v>37.200000000000003</v>
      </c>
      <c r="F1651" s="519">
        <f>VLOOKUP(J1650,Ocor.!$B:$F,5,FALSE)</f>
        <v>5.6</v>
      </c>
      <c r="G1651" s="454">
        <f>TRUNC(VLOOKUP(B1651,tranp.!$A:$J,5,FALSE)*E1651+VLOOKUP(B1651,tranp.!$A:$J,6,FALSE)*F1651+VLOOKUP(B1651,tranp.!$A:$J,7,FALSE),2)</f>
        <v>32.15</v>
      </c>
      <c r="H1651" s="520">
        <v>0.31059999999999999</v>
      </c>
      <c r="I1651" s="454">
        <f>TRUNC(G1651*H1651,2)</f>
        <v>9.98</v>
      </c>
    </row>
    <row r="1652" spans="1:14" x14ac:dyDescent="0.2">
      <c r="A1652" s="201"/>
      <c r="B1652" s="271"/>
      <c r="C1652" s="201"/>
      <c r="D1652" s="201"/>
      <c r="E1652" s="201"/>
      <c r="F1652" s="272" t="s">
        <v>220</v>
      </c>
      <c r="G1652" s="244"/>
      <c r="H1652" s="279"/>
      <c r="I1652" s="438">
        <f>SUM(I1649:I1651)</f>
        <v>30.12</v>
      </c>
    </row>
    <row r="1653" spans="1:14" x14ac:dyDescent="0.2">
      <c r="A1653" s="201"/>
      <c r="B1653" s="271"/>
      <c r="C1653" s="201"/>
      <c r="D1653" s="201"/>
      <c r="E1653" s="201"/>
      <c r="F1653" s="201"/>
      <c r="G1653" s="201"/>
      <c r="H1653" s="201"/>
      <c r="I1653" s="202"/>
      <c r="J1653" s="446"/>
    </row>
    <row r="1654" spans="1:14" x14ac:dyDescent="0.2">
      <c r="A1654" s="280"/>
      <c r="B1654" s="281"/>
      <c r="C1654" s="282"/>
      <c r="D1654" s="282"/>
      <c r="E1654" s="282"/>
      <c r="F1654" s="283" t="s">
        <v>221</v>
      </c>
      <c r="G1654" s="280"/>
      <c r="H1654" s="254"/>
      <c r="I1654" s="634">
        <f>+I1636+I1642+I1646+I1652</f>
        <v>121.7</v>
      </c>
    </row>
    <row r="1655" spans="1:14" x14ac:dyDescent="0.2">
      <c r="A1655" s="260"/>
      <c r="B1655" s="284"/>
      <c r="C1655" s="273"/>
      <c r="D1655" s="273"/>
      <c r="E1655" s="273"/>
      <c r="F1655" s="285" t="str">
        <f>CONCATENATE($H$3," ",$I$3)</f>
        <v>BDI: 23,32</v>
      </c>
      <c r="G1655" s="439"/>
      <c r="H1655" s="258"/>
      <c r="I1655" s="635">
        <f>+ROUND(I1654*$I$4,2)</f>
        <v>28.38</v>
      </c>
    </row>
    <row r="1656" spans="1:14" x14ac:dyDescent="0.2">
      <c r="A1656" s="244"/>
      <c r="B1656" s="286"/>
      <c r="C1656" s="279"/>
      <c r="D1656" s="279"/>
      <c r="E1656" s="279"/>
      <c r="F1656" s="287" t="s">
        <v>222</v>
      </c>
      <c r="G1656" s="440"/>
      <c r="H1656" s="245"/>
      <c r="I1656" s="1017">
        <f>+I1654+I1655</f>
        <v>150.08000000000001</v>
      </c>
    </row>
    <row r="1657" spans="1:14" x14ac:dyDescent="0.2">
      <c r="A1657" s="1277" t="str">
        <f>$A$1</f>
        <v>COMPOSIÇÃO DE CUSTOS UNITÁRIOS</v>
      </c>
      <c r="B1657" s="1277"/>
      <c r="C1657" s="1277"/>
      <c r="D1657" s="1277"/>
      <c r="E1657" s="1277"/>
      <c r="F1657" s="1277"/>
      <c r="G1657" s="1277"/>
      <c r="H1657" s="1277"/>
      <c r="I1657" s="1277"/>
    </row>
    <row r="1658" spans="1:14" x14ac:dyDescent="0.2">
      <c r="A1658" s="232" t="str">
        <f>$A$2</f>
        <v>Tabela Referencial de Preços - DER-ES</v>
      </c>
      <c r="B1658" s="233"/>
      <c r="C1658" s="199"/>
      <c r="D1658" s="199"/>
      <c r="E1658" s="199"/>
      <c r="F1658" s="199"/>
      <c r="G1658" s="199"/>
      <c r="H1658" s="199"/>
      <c r="I1658" s="234" t="str">
        <f>$I$2</f>
        <v>Data Base: Outubro/2018</v>
      </c>
      <c r="J1658" s="433">
        <v>40968</v>
      </c>
      <c r="K1658" s="433">
        <f>VLOOKUP("Preço Unitário Total",F1660:I4004,4,FALSE)</f>
        <v>4446.3999999999996</v>
      </c>
      <c r="L1658" s="302">
        <f>VLOOKUP(J1658,'DER 10-18'!A:E,5,FALSE)</f>
        <v>0</v>
      </c>
      <c r="M1658" s="302" t="str">
        <f>VLOOKUP(J1658,'DER 10-18'!$A:$D,2,FALSE)</f>
        <v>CM-30, fornecimento</v>
      </c>
    </row>
    <row r="1659" spans="1:14" x14ac:dyDescent="0.2">
      <c r="A1659" s="1278" t="str">
        <f>+CONCATENATE("Serviço: ",J1658," ",VLOOKUP(J1658,'DER 10-18'!$A:$D,2,FALSE))</f>
        <v>Serviço: 40968 CM-30, fornecimento</v>
      </c>
      <c r="B1659" s="1278"/>
      <c r="C1659" s="1278"/>
      <c r="D1659" s="1278"/>
      <c r="E1659" s="1278"/>
      <c r="F1659" s="1278"/>
      <c r="G1659" s="1278"/>
      <c r="H1659" s="1278"/>
      <c r="I1659" s="1278" t="str">
        <f>CONCATENATE("Unidade: ", VLOOKUP(J1658,'DER 10-18'!$A:$E,3,FALSE))</f>
        <v>Unidade: t</v>
      </c>
    </row>
    <row r="1660" spans="1:14" x14ac:dyDescent="0.2">
      <c r="A1660" s="1279"/>
      <c r="B1660" s="1279"/>
      <c r="C1660" s="1279"/>
      <c r="D1660" s="1279"/>
      <c r="E1660" s="1279"/>
      <c r="F1660" s="1279"/>
      <c r="G1660" s="1279"/>
      <c r="H1660" s="1279"/>
      <c r="I1660" s="1279"/>
    </row>
    <row r="1661" spans="1:14" ht="22.5" x14ac:dyDescent="0.2">
      <c r="A1661" s="235" t="s">
        <v>192</v>
      </c>
      <c r="B1661" s="236" t="s">
        <v>60</v>
      </c>
      <c r="C1661" s="236" t="s">
        <v>193</v>
      </c>
      <c r="D1661" s="236" t="s">
        <v>194</v>
      </c>
      <c r="E1661" s="236" t="s">
        <v>195</v>
      </c>
      <c r="F1661" s="236" t="s">
        <v>196</v>
      </c>
      <c r="G1661" s="236" t="s">
        <v>197</v>
      </c>
      <c r="H1661" s="236" t="s">
        <v>91</v>
      </c>
      <c r="I1661" s="236" t="s">
        <v>198</v>
      </c>
    </row>
    <row r="1662" spans="1:14" x14ac:dyDescent="0.2">
      <c r="A1662" s="237"/>
      <c r="B1662" s="238"/>
      <c r="C1662" s="239"/>
      <c r="D1662" s="240"/>
      <c r="E1662" s="205"/>
      <c r="F1662" s="241"/>
      <c r="G1662" s="241"/>
      <c r="H1662" s="242"/>
      <c r="I1662" s="243"/>
    </row>
    <row r="1663" spans="1:14" x14ac:dyDescent="0.2">
      <c r="A1663" s="199"/>
      <c r="B1663" s="233"/>
      <c r="C1663" s="233"/>
      <c r="D1663" s="199"/>
      <c r="E1663" s="199"/>
      <c r="F1663" s="234" t="s">
        <v>199</v>
      </c>
      <c r="G1663" s="244"/>
      <c r="H1663" s="245"/>
      <c r="I1663" s="434">
        <f>SUM(I1662:I1662)</f>
        <v>0</v>
      </c>
    </row>
    <row r="1664" spans="1:14" x14ac:dyDescent="0.2">
      <c r="A1664" s="199"/>
      <c r="B1664" s="233"/>
      <c r="C1664" s="233"/>
      <c r="D1664" s="199"/>
      <c r="E1664" s="199"/>
      <c r="F1664" s="199"/>
      <c r="G1664" s="199"/>
      <c r="H1664" s="199"/>
      <c r="I1664" s="200"/>
    </row>
    <row r="1665" spans="1:11" x14ac:dyDescent="0.2">
      <c r="A1665" s="246" t="s">
        <v>200</v>
      </c>
      <c r="B1665" s="247" t="s">
        <v>60</v>
      </c>
      <c r="C1665" s="236" t="s">
        <v>1242</v>
      </c>
      <c r="D1665" s="247" t="s">
        <v>202</v>
      </c>
      <c r="E1665" s="1271" t="s">
        <v>91</v>
      </c>
      <c r="F1665" s="1272"/>
      <c r="G1665" s="1273"/>
      <c r="H1665" s="1276" t="s">
        <v>198</v>
      </c>
      <c r="I1665" s="1275"/>
    </row>
    <row r="1666" spans="1:11" x14ac:dyDescent="0.2">
      <c r="A1666" s="248"/>
      <c r="B1666" s="238"/>
      <c r="C1666" s="243"/>
      <c r="D1666" s="243"/>
      <c r="E1666" s="260"/>
      <c r="F1666" s="258"/>
      <c r="G1666" s="300"/>
      <c r="H1666" s="244"/>
      <c r="I1666" s="249"/>
    </row>
    <row r="1667" spans="1:11" x14ac:dyDescent="0.2">
      <c r="A1667" s="199"/>
      <c r="B1667" s="233"/>
      <c r="C1667" s="233"/>
      <c r="D1667" s="199"/>
      <c r="E1667" s="199"/>
      <c r="F1667" s="234" t="s">
        <v>203</v>
      </c>
      <c r="G1667" s="244"/>
      <c r="H1667" s="245"/>
      <c r="I1667" s="434">
        <f>SUM(I1666:I1666)</f>
        <v>0</v>
      </c>
      <c r="J1667" s="302"/>
      <c r="K1667" s="302"/>
    </row>
    <row r="1668" spans="1:11" x14ac:dyDescent="0.2">
      <c r="A1668" s="199"/>
      <c r="B1668" s="233"/>
      <c r="C1668" s="233"/>
      <c r="D1668" s="199"/>
      <c r="E1668" s="199"/>
      <c r="F1668" s="199"/>
      <c r="G1668" s="199"/>
      <c r="H1668" s="199"/>
      <c r="I1668" s="200"/>
      <c r="J1668" s="302"/>
      <c r="K1668" s="302"/>
    </row>
    <row r="1669" spans="1:11" x14ac:dyDescent="0.2">
      <c r="A1669" s="250" t="s">
        <v>204</v>
      </c>
      <c r="B1669" s="247" t="s">
        <v>60</v>
      </c>
      <c r="C1669" s="866" t="s">
        <v>17</v>
      </c>
      <c r="D1669" s="247" t="s">
        <v>205</v>
      </c>
      <c r="E1669" s="247" t="s">
        <v>206</v>
      </c>
      <c r="F1669" s="247" t="s">
        <v>207</v>
      </c>
      <c r="G1669" s="1276" t="s">
        <v>96</v>
      </c>
      <c r="H1669" s="1274"/>
      <c r="I1669" s="1275"/>
      <c r="J1669" s="302"/>
      <c r="K1669" s="302"/>
    </row>
    <row r="1670" spans="1:11" x14ac:dyDescent="0.2">
      <c r="A1670" s="248"/>
      <c r="B1670" s="238"/>
      <c r="C1670" s="243"/>
      <c r="D1670" s="239"/>
      <c r="E1670" s="251"/>
      <c r="F1670" s="251"/>
      <c r="G1670" s="244"/>
      <c r="H1670" s="245"/>
      <c r="I1670" s="249">
        <f>TRUNC(C1670/100*I1667,2)</f>
        <v>0</v>
      </c>
      <c r="J1670" s="302"/>
      <c r="K1670" s="302"/>
    </row>
    <row r="1671" spans="1:11" x14ac:dyDescent="0.2">
      <c r="A1671" s="199"/>
      <c r="B1671" s="233"/>
      <c r="C1671" s="199"/>
      <c r="D1671" s="199"/>
      <c r="E1671" s="199"/>
      <c r="F1671" s="234" t="s">
        <v>1170</v>
      </c>
      <c r="G1671" s="244"/>
      <c r="H1671" s="245"/>
      <c r="I1671" s="434">
        <f>SUM(I1670)</f>
        <v>0</v>
      </c>
      <c r="J1671" s="302"/>
      <c r="K1671" s="302"/>
    </row>
    <row r="1672" spans="1:11" x14ac:dyDescent="0.2">
      <c r="A1672" s="199"/>
      <c r="B1672" s="233"/>
      <c r="C1672" s="199"/>
      <c r="D1672" s="199"/>
      <c r="E1672" s="199"/>
      <c r="F1672" s="199"/>
      <c r="G1672" s="199"/>
      <c r="H1672" s="199"/>
      <c r="I1672" s="200"/>
      <c r="J1672" s="302"/>
      <c r="K1672" s="302"/>
    </row>
    <row r="1673" spans="1:11" x14ac:dyDescent="0.2">
      <c r="A1673" s="252"/>
      <c r="B1673" s="253"/>
      <c r="C1673" s="254"/>
      <c r="D1673" s="254"/>
      <c r="E1673" s="254"/>
      <c r="F1673" s="255" t="s">
        <v>208</v>
      </c>
      <c r="G1673" s="435"/>
      <c r="H1673" s="254"/>
      <c r="I1673" s="634">
        <f>+I1663+I1667+I1671</f>
        <v>0</v>
      </c>
      <c r="J1673" s="302"/>
      <c r="K1673" s="302"/>
    </row>
    <row r="1674" spans="1:11" x14ac:dyDescent="0.2">
      <c r="A1674" s="256"/>
      <c r="B1674" s="257"/>
      <c r="C1674" s="258"/>
      <c r="D1674" s="258"/>
      <c r="E1674" s="258"/>
      <c r="F1674" s="259" t="s">
        <v>209</v>
      </c>
      <c r="G1674" s="260"/>
      <c r="H1674" s="258"/>
      <c r="I1674" s="635">
        <v>1</v>
      </c>
      <c r="J1674" s="302"/>
      <c r="K1674" s="302"/>
    </row>
    <row r="1675" spans="1:11" x14ac:dyDescent="0.2">
      <c r="A1675" s="237"/>
      <c r="B1675" s="261"/>
      <c r="C1675" s="245"/>
      <c r="D1675" s="245"/>
      <c r="E1675" s="245"/>
      <c r="F1675" s="262" t="s">
        <v>232</v>
      </c>
      <c r="G1675" s="244"/>
      <c r="H1675" s="245"/>
      <c r="I1675" s="633">
        <f>TRUNC(I1673/I1674,2)</f>
        <v>0</v>
      </c>
      <c r="J1675" s="302"/>
      <c r="K1675" s="302"/>
    </row>
    <row r="1676" spans="1:11" x14ac:dyDescent="0.2">
      <c r="A1676" s="867"/>
      <c r="B1676" s="233"/>
      <c r="C1676" s="199"/>
      <c r="D1676" s="199"/>
      <c r="E1676" s="199"/>
      <c r="F1676" s="263"/>
      <c r="G1676" s="199"/>
      <c r="H1676" s="199"/>
      <c r="I1676" s="264"/>
      <c r="J1676" s="302"/>
      <c r="K1676" s="302"/>
    </row>
    <row r="1677" spans="1:11" x14ac:dyDescent="0.2">
      <c r="A1677" s="246" t="s">
        <v>210</v>
      </c>
      <c r="B1677" s="247" t="s">
        <v>60</v>
      </c>
      <c r="C1677" s="247" t="s">
        <v>211</v>
      </c>
      <c r="D1677" s="247" t="s">
        <v>233</v>
      </c>
      <c r="E1677" s="1276" t="s">
        <v>91</v>
      </c>
      <c r="F1677" s="1274"/>
      <c r="G1677" s="1275"/>
      <c r="H1677" s="1276" t="s">
        <v>198</v>
      </c>
      <c r="I1677" s="1275"/>
      <c r="J1677" s="302"/>
      <c r="K1677" s="302"/>
    </row>
    <row r="1678" spans="1:11" x14ac:dyDescent="0.2">
      <c r="A1678" s="265" t="str">
        <f>VLOOKUP(B1678,mat.!$A:$D,2,FALSE)</f>
        <v>CM 30</v>
      </c>
      <c r="B1678" s="238">
        <v>10006</v>
      </c>
      <c r="C1678" s="266" t="str">
        <f>VLOOKUP(B1678,mat.!$A:$D,3,FALSE)</f>
        <v>t</v>
      </c>
      <c r="D1678" s="267">
        <f>VLOOKUP(B1678,mat.!$A:$D,4,FALSE)</f>
        <v>4446.3999999999996</v>
      </c>
      <c r="E1678" s="260"/>
      <c r="F1678" s="258"/>
      <c r="G1678" s="300">
        <v>1</v>
      </c>
      <c r="H1678" s="260"/>
      <c r="I1678" s="268">
        <f>TRUNC(D1678*G1678,2)</f>
        <v>4446.3999999999996</v>
      </c>
      <c r="J1678" s="302"/>
      <c r="K1678" s="302"/>
    </row>
    <row r="1679" spans="1:11" x14ac:dyDescent="0.2">
      <c r="A1679" s="199"/>
      <c r="B1679" s="233"/>
      <c r="C1679" s="199"/>
      <c r="D1679" s="199"/>
      <c r="E1679" s="199"/>
      <c r="F1679" s="234" t="s">
        <v>212</v>
      </c>
      <c r="G1679" s="244"/>
      <c r="H1679" s="245"/>
      <c r="I1679" s="434">
        <f>SUM(I1678:I1678)</f>
        <v>4446.3999999999996</v>
      </c>
      <c r="J1679" s="302"/>
      <c r="K1679" s="302"/>
    </row>
    <row r="1680" spans="1:11" x14ac:dyDescent="0.2">
      <c r="A1680" s="199"/>
      <c r="B1680" s="233"/>
      <c r="C1680" s="199"/>
      <c r="D1680" s="199"/>
      <c r="E1680" s="199"/>
      <c r="F1680" s="199"/>
      <c r="G1680" s="269"/>
      <c r="H1680" s="199"/>
      <c r="I1680" s="200"/>
      <c r="J1680" s="302"/>
      <c r="K1680" s="302"/>
    </row>
    <row r="1681" spans="1:13" x14ac:dyDescent="0.2">
      <c r="A1681" s="270" t="s">
        <v>213</v>
      </c>
      <c r="B1681" s="247" t="s">
        <v>60</v>
      </c>
      <c r="C1681" s="247" t="s">
        <v>211</v>
      </c>
      <c r="D1681" s="866" t="s">
        <v>233</v>
      </c>
      <c r="E1681" s="1271" t="s">
        <v>91</v>
      </c>
      <c r="F1681" s="1272"/>
      <c r="G1681" s="1273"/>
      <c r="H1681" s="1274" t="s">
        <v>198</v>
      </c>
      <c r="I1681" s="1275"/>
      <c r="J1681" s="302"/>
      <c r="K1681" s="302"/>
    </row>
    <row r="1682" spans="1:13" x14ac:dyDescent="0.2">
      <c r="A1682" s="248"/>
      <c r="B1682" s="238"/>
      <c r="C1682" s="238"/>
      <c r="D1682" s="243"/>
      <c r="E1682" s="260"/>
      <c r="F1682" s="258"/>
      <c r="G1682" s="300"/>
      <c r="H1682" s="244"/>
      <c r="I1682" s="268">
        <f>TRUNC(D59909*G59909,2)</f>
        <v>0</v>
      </c>
      <c r="J1682" s="302"/>
      <c r="K1682" s="302"/>
    </row>
    <row r="1683" spans="1:13" x14ac:dyDescent="0.2">
      <c r="A1683" s="201"/>
      <c r="B1683" s="271"/>
      <c r="C1683" s="201"/>
      <c r="D1683" s="201"/>
      <c r="E1683" s="201"/>
      <c r="F1683" s="272" t="s">
        <v>214</v>
      </c>
      <c r="G1683" s="260"/>
      <c r="H1683" s="273"/>
      <c r="I1683" s="436">
        <f>SUM(I59909:I59909)</f>
        <v>0</v>
      </c>
    </row>
    <row r="1684" spans="1:13" x14ac:dyDescent="0.2">
      <c r="A1684" s="201"/>
      <c r="B1684" s="271"/>
      <c r="C1684" s="201"/>
      <c r="D1684" s="201"/>
      <c r="E1684" s="201"/>
      <c r="F1684" s="201"/>
      <c r="G1684" s="201"/>
      <c r="H1684" s="201"/>
      <c r="I1684" s="201"/>
    </row>
    <row r="1685" spans="1:13" x14ac:dyDescent="0.2">
      <c r="A1685" s="274" t="s">
        <v>215</v>
      </c>
      <c r="B1685" s="275" t="s">
        <v>60</v>
      </c>
      <c r="C1685" s="275" t="s">
        <v>211</v>
      </c>
      <c r="D1685" s="275" t="s">
        <v>216</v>
      </c>
      <c r="E1685" s="275" t="s">
        <v>217</v>
      </c>
      <c r="F1685" s="275" t="s">
        <v>218</v>
      </c>
      <c r="G1685" s="275" t="s">
        <v>96</v>
      </c>
      <c r="H1685" s="275" t="s">
        <v>91</v>
      </c>
      <c r="I1685" s="275" t="s">
        <v>219</v>
      </c>
      <c r="J1685" s="433" t="s">
        <v>113</v>
      </c>
    </row>
    <row r="1686" spans="1:13" x14ac:dyDescent="0.2">
      <c r="A1686" s="248"/>
      <c r="B1686" s="238"/>
      <c r="C1686" s="238"/>
      <c r="D1686" s="276"/>
      <c r="E1686" s="277"/>
      <c r="F1686" s="277"/>
      <c r="G1686" s="243"/>
      <c r="H1686" s="278"/>
      <c r="I1686" s="243"/>
    </row>
    <row r="1687" spans="1:13" x14ac:dyDescent="0.2">
      <c r="A1687" s="201"/>
      <c r="B1687" s="271"/>
      <c r="C1687" s="201"/>
      <c r="D1687" s="201"/>
      <c r="E1687" s="201"/>
      <c r="F1687" s="272" t="s">
        <v>220</v>
      </c>
      <c r="G1687" s="244"/>
      <c r="H1687" s="279"/>
      <c r="I1687" s="438">
        <f>SUM(I1686:I1686)</f>
        <v>0</v>
      </c>
    </row>
    <row r="1688" spans="1:13" x14ac:dyDescent="0.2">
      <c r="A1688" s="201"/>
      <c r="B1688" s="271"/>
      <c r="C1688" s="201"/>
      <c r="D1688" s="201"/>
      <c r="E1688" s="201"/>
      <c r="F1688" s="201"/>
      <c r="G1688" s="201"/>
      <c r="H1688" s="201"/>
      <c r="I1688" s="202"/>
    </row>
    <row r="1689" spans="1:13" x14ac:dyDescent="0.2">
      <c r="A1689" s="535" t="s">
        <v>1116</v>
      </c>
      <c r="B1689" s="281"/>
      <c r="C1689" s="282"/>
      <c r="D1689" s="282"/>
      <c r="E1689" s="282"/>
      <c r="F1689" s="283" t="s">
        <v>221</v>
      </c>
      <c r="G1689" s="280"/>
      <c r="H1689" s="254"/>
      <c r="I1689" s="634">
        <f>+I1675+I1679+I1683+I1687</f>
        <v>4446.3999999999996</v>
      </c>
    </row>
    <row r="1690" spans="1:13" x14ac:dyDescent="0.2">
      <c r="A1690" s="244"/>
      <c r="B1690" s="286"/>
      <c r="C1690" s="279"/>
      <c r="D1690" s="279"/>
      <c r="E1690" s="279"/>
      <c r="F1690" s="287" t="s">
        <v>222</v>
      </c>
      <c r="G1690" s="440"/>
      <c r="H1690" s="245"/>
      <c r="I1690" s="1017">
        <f>I1689</f>
        <v>4446.3999999999996</v>
      </c>
      <c r="K1690" s="302"/>
    </row>
    <row r="1691" spans="1:13" x14ac:dyDescent="0.2">
      <c r="A1691" s="1277" t="str">
        <f>$A$1</f>
        <v>COMPOSIÇÃO DE CUSTOS UNITÁRIOS</v>
      </c>
      <c r="B1691" s="1277"/>
      <c r="C1691" s="1277"/>
      <c r="D1691" s="1277"/>
      <c r="E1691" s="1277"/>
      <c r="F1691" s="1277"/>
      <c r="G1691" s="1277"/>
      <c r="H1691" s="1277"/>
      <c r="I1691" s="1277"/>
      <c r="K1691" s="302"/>
    </row>
    <row r="1692" spans="1:13" x14ac:dyDescent="0.2">
      <c r="A1692" s="232" t="str">
        <f>$A$2</f>
        <v>Tabela Referencial de Preços - DER-ES</v>
      </c>
      <c r="B1692" s="233"/>
      <c r="C1692" s="199"/>
      <c r="D1692" s="199"/>
      <c r="E1692" s="199"/>
      <c r="F1692" s="199"/>
      <c r="G1692" s="199"/>
      <c r="H1692" s="199"/>
      <c r="I1692" s="234" t="str">
        <f>$I$2</f>
        <v>Data Base: Outubro/2018</v>
      </c>
      <c r="J1692" s="433">
        <v>41360</v>
      </c>
      <c r="K1692" s="433">
        <f>VLOOKUP("Preço Unitário Total",F1694:I4039,4,FALSE)</f>
        <v>3016.56</v>
      </c>
      <c r="L1692" s="302">
        <f>VLOOKUP(J1692,'DER 10-18'!A:E,5,FALSE)</f>
        <v>0</v>
      </c>
      <c r="M1692" s="302" t="str">
        <f>VLOOKUP(J1692,'DER 10-18'!$A:$D,2,FALSE)</f>
        <v>CAP-50/70, fornecimento</v>
      </c>
    </row>
    <row r="1693" spans="1:13" x14ac:dyDescent="0.2">
      <c r="A1693" s="1278" t="str">
        <f>+CONCATENATE("Serviço: ",J1692," ",VLOOKUP(J1692,'DER 10-18'!$A:$D,2,FALSE))</f>
        <v>Serviço: 41360 CAP-50/70, fornecimento</v>
      </c>
      <c r="B1693" s="1278"/>
      <c r="C1693" s="1278"/>
      <c r="D1693" s="1278"/>
      <c r="E1693" s="1278"/>
      <c r="F1693" s="1278"/>
      <c r="G1693" s="1278"/>
      <c r="H1693" s="1278"/>
      <c r="I1693" s="1278" t="str">
        <f>CONCATENATE("Unidade: ", VLOOKUP(J1692,'DER 10-18'!$A:$E,3,FALSE))</f>
        <v>Unidade: t</v>
      </c>
    </row>
    <row r="1694" spans="1:13" x14ac:dyDescent="0.2">
      <c r="A1694" s="1279"/>
      <c r="B1694" s="1279"/>
      <c r="C1694" s="1279"/>
      <c r="D1694" s="1279"/>
      <c r="E1694" s="1279"/>
      <c r="F1694" s="1279"/>
      <c r="G1694" s="1279"/>
      <c r="H1694" s="1279"/>
      <c r="I1694" s="1279"/>
    </row>
    <row r="1695" spans="1:13" ht="22.5" x14ac:dyDescent="0.2">
      <c r="A1695" s="235" t="s">
        <v>192</v>
      </c>
      <c r="B1695" s="236" t="s">
        <v>60</v>
      </c>
      <c r="C1695" s="236" t="s">
        <v>193</v>
      </c>
      <c r="D1695" s="236" t="s">
        <v>194</v>
      </c>
      <c r="E1695" s="236" t="s">
        <v>195</v>
      </c>
      <c r="F1695" s="236" t="s">
        <v>196</v>
      </c>
      <c r="G1695" s="236" t="s">
        <v>197</v>
      </c>
      <c r="H1695" s="236" t="s">
        <v>91</v>
      </c>
      <c r="I1695" s="236" t="s">
        <v>198</v>
      </c>
    </row>
    <row r="1696" spans="1:13" x14ac:dyDescent="0.2">
      <c r="A1696" s="199"/>
      <c r="B1696" s="233"/>
      <c r="C1696" s="233"/>
      <c r="D1696" s="199"/>
      <c r="E1696" s="199"/>
      <c r="F1696" s="234" t="s">
        <v>199</v>
      </c>
      <c r="G1696" s="244"/>
      <c r="H1696" s="245"/>
      <c r="I1696" s="434"/>
    </row>
    <row r="1697" spans="1:17" x14ac:dyDescent="0.2">
      <c r="A1697" s="199"/>
      <c r="B1697" s="233"/>
      <c r="C1697" s="233"/>
      <c r="D1697" s="199"/>
      <c r="E1697" s="199"/>
      <c r="F1697" s="199"/>
      <c r="G1697" s="199"/>
      <c r="H1697" s="199"/>
      <c r="I1697" s="200"/>
    </row>
    <row r="1698" spans="1:17" x14ac:dyDescent="0.2">
      <c r="A1698" s="246" t="s">
        <v>200</v>
      </c>
      <c r="B1698" s="247" t="s">
        <v>60</v>
      </c>
      <c r="C1698" s="236" t="s">
        <v>1242</v>
      </c>
      <c r="D1698" s="247" t="s">
        <v>202</v>
      </c>
      <c r="E1698" s="1276" t="s">
        <v>91</v>
      </c>
      <c r="F1698" s="1274"/>
      <c r="G1698" s="1275"/>
      <c r="H1698" s="1276" t="s">
        <v>198</v>
      </c>
      <c r="I1698" s="1275"/>
    </row>
    <row r="1699" spans="1:17" x14ac:dyDescent="0.2">
      <c r="A1699" s="199"/>
      <c r="B1699" s="233"/>
      <c r="C1699" s="233"/>
      <c r="D1699" s="199"/>
      <c r="E1699" s="199"/>
      <c r="F1699" s="234" t="s">
        <v>203</v>
      </c>
      <c r="G1699" s="244"/>
      <c r="H1699" s="245"/>
      <c r="I1699" s="434"/>
      <c r="J1699" s="302"/>
      <c r="K1699" s="302"/>
    </row>
    <row r="1700" spans="1:17" x14ac:dyDescent="0.2">
      <c r="A1700" s="199"/>
      <c r="B1700" s="233"/>
      <c r="C1700" s="233"/>
      <c r="D1700" s="199"/>
      <c r="E1700" s="199"/>
      <c r="F1700" s="199"/>
      <c r="G1700" s="199"/>
      <c r="H1700" s="199"/>
      <c r="I1700" s="200"/>
      <c r="J1700" s="302"/>
      <c r="K1700" s="302"/>
    </row>
    <row r="1701" spans="1:17" x14ac:dyDescent="0.2">
      <c r="A1701" s="270" t="s">
        <v>204</v>
      </c>
      <c r="B1701" s="247" t="s">
        <v>60</v>
      </c>
      <c r="C1701" s="866" t="s">
        <v>17</v>
      </c>
      <c r="D1701" s="247" t="s">
        <v>205</v>
      </c>
      <c r="E1701" s="247" t="s">
        <v>206</v>
      </c>
      <c r="F1701" s="247" t="s">
        <v>207</v>
      </c>
      <c r="G1701" s="1276" t="s">
        <v>96</v>
      </c>
      <c r="H1701" s="1274"/>
      <c r="I1701" s="1275"/>
      <c r="J1701" s="302"/>
      <c r="K1701" s="302"/>
    </row>
    <row r="1702" spans="1:17" x14ac:dyDescent="0.2">
      <c r="A1702" s="199"/>
      <c r="B1702" s="233"/>
      <c r="C1702" s="199"/>
      <c r="D1702" s="199"/>
      <c r="E1702" s="199"/>
      <c r="F1702" s="234" t="s">
        <v>1170</v>
      </c>
      <c r="G1702" s="244"/>
      <c r="H1702" s="245"/>
      <c r="I1702" s="434"/>
      <c r="J1702" s="302"/>
      <c r="K1702" s="302"/>
    </row>
    <row r="1703" spans="1:17" x14ac:dyDescent="0.2">
      <c r="A1703" s="199"/>
      <c r="B1703" s="233"/>
      <c r="C1703" s="199"/>
      <c r="D1703" s="199"/>
      <c r="E1703" s="199"/>
      <c r="F1703" s="199"/>
      <c r="G1703" s="199"/>
      <c r="H1703" s="199"/>
      <c r="I1703" s="200"/>
      <c r="J1703" s="302"/>
      <c r="K1703" s="302"/>
    </row>
    <row r="1704" spans="1:17" x14ac:dyDescent="0.2">
      <c r="A1704" s="252"/>
      <c r="B1704" s="253"/>
      <c r="C1704" s="254"/>
      <c r="D1704" s="254"/>
      <c r="E1704" s="254"/>
      <c r="F1704" s="255" t="s">
        <v>208</v>
      </c>
      <c r="G1704" s="435"/>
      <c r="H1704" s="254"/>
      <c r="I1704" s="634">
        <f>+I1696+I1699+I1702</f>
        <v>0</v>
      </c>
      <c r="J1704" s="302"/>
      <c r="K1704" s="302"/>
    </row>
    <row r="1705" spans="1:17" x14ac:dyDescent="0.2">
      <c r="A1705" s="256"/>
      <c r="B1705" s="257"/>
      <c r="C1705" s="258"/>
      <c r="D1705" s="258"/>
      <c r="E1705" s="258"/>
      <c r="F1705" s="259" t="s">
        <v>209</v>
      </c>
      <c r="G1705" s="260"/>
      <c r="H1705" s="258"/>
      <c r="I1705" s="635">
        <v>1</v>
      </c>
      <c r="J1705" s="302"/>
      <c r="K1705" s="302"/>
    </row>
    <row r="1706" spans="1:17" x14ac:dyDescent="0.2">
      <c r="A1706" s="237"/>
      <c r="B1706" s="261"/>
      <c r="C1706" s="245"/>
      <c r="D1706" s="245"/>
      <c r="E1706" s="245"/>
      <c r="F1706" s="262" t="s">
        <v>232</v>
      </c>
      <c r="G1706" s="244"/>
      <c r="H1706" s="245"/>
      <c r="I1706" s="633">
        <f>TRUNC(I1704/I1705,2)</f>
        <v>0</v>
      </c>
      <c r="J1706" s="302"/>
      <c r="K1706" s="302"/>
    </row>
    <row r="1707" spans="1:17" x14ac:dyDescent="0.2">
      <c r="A1707" s="867"/>
      <c r="B1707" s="233"/>
      <c r="C1707" s="199"/>
      <c r="D1707" s="199"/>
      <c r="E1707" s="199"/>
      <c r="F1707" s="263"/>
      <c r="G1707" s="199"/>
      <c r="H1707" s="199"/>
      <c r="I1707" s="264"/>
      <c r="J1707" s="302"/>
      <c r="K1707" s="302"/>
    </row>
    <row r="1708" spans="1:17" x14ac:dyDescent="0.2">
      <c r="A1708" s="246" t="s">
        <v>210</v>
      </c>
      <c r="B1708" s="247" t="s">
        <v>60</v>
      </c>
      <c r="C1708" s="247" t="s">
        <v>211</v>
      </c>
      <c r="D1708" s="247" t="s">
        <v>233</v>
      </c>
      <c r="E1708" s="1276" t="s">
        <v>91</v>
      </c>
      <c r="F1708" s="1274"/>
      <c r="G1708" s="1275"/>
      <c r="H1708" s="1276" t="s">
        <v>198</v>
      </c>
      <c r="I1708" s="1275"/>
      <c r="J1708" s="302"/>
      <c r="K1708" s="302"/>
    </row>
    <row r="1709" spans="1:17" x14ac:dyDescent="0.2">
      <c r="A1709" s="265" t="str">
        <f>VLOOKUP(B1709,mat.!$A:$D,2,FALSE)</f>
        <v>CAP 50/70</v>
      </c>
      <c r="B1709" s="238">
        <v>10001</v>
      </c>
      <c r="C1709" s="266" t="str">
        <f>VLOOKUP(B1709,mat.!$A:$D,3,FALSE)</f>
        <v>t</v>
      </c>
      <c r="D1709" s="267">
        <f>VLOOKUP(B1709,mat.!$A:$D,4,FALSE)</f>
        <v>3016.56</v>
      </c>
      <c r="E1709" s="260"/>
      <c r="F1709" s="258"/>
      <c r="G1709" s="300">
        <v>1</v>
      </c>
      <c r="H1709" s="260"/>
      <c r="I1709" s="268">
        <f>TRUNC(D1709*G1709,2)</f>
        <v>3016.56</v>
      </c>
      <c r="J1709" s="302"/>
      <c r="K1709" s="302"/>
      <c r="O1709" s="198"/>
    </row>
    <row r="1710" spans="1:17" x14ac:dyDescent="0.2">
      <c r="A1710" s="199"/>
      <c r="B1710" s="233"/>
      <c r="C1710" s="199"/>
      <c r="D1710" s="199"/>
      <c r="E1710" s="199"/>
      <c r="F1710" s="234" t="s">
        <v>212</v>
      </c>
      <c r="G1710" s="244"/>
      <c r="H1710" s="245"/>
      <c r="I1710" s="434">
        <f>SUM(I1709:I1709)</f>
        <v>3016.56</v>
      </c>
      <c r="J1710" s="302"/>
      <c r="K1710" s="302"/>
      <c r="O1710" s="198"/>
    </row>
    <row r="1711" spans="1:17" x14ac:dyDescent="0.2">
      <c r="A1711" s="199"/>
      <c r="B1711" s="233"/>
      <c r="C1711" s="199"/>
      <c r="D1711" s="199"/>
      <c r="E1711" s="199"/>
      <c r="F1711" s="199"/>
      <c r="G1711" s="269"/>
      <c r="H1711" s="199"/>
      <c r="I1711" s="200"/>
      <c r="J1711" s="302"/>
      <c r="K1711" s="302"/>
      <c r="O1711" s="198"/>
    </row>
    <row r="1712" spans="1:17" s="198" customFormat="1" x14ac:dyDescent="0.2">
      <c r="A1712" s="270" t="s">
        <v>213</v>
      </c>
      <c r="B1712" s="247" t="s">
        <v>60</v>
      </c>
      <c r="C1712" s="247" t="s">
        <v>211</v>
      </c>
      <c r="D1712" s="866" t="s">
        <v>233</v>
      </c>
      <c r="E1712" s="1276" t="s">
        <v>91</v>
      </c>
      <c r="F1712" s="1274"/>
      <c r="G1712" s="1275"/>
      <c r="H1712" s="1276" t="s">
        <v>198</v>
      </c>
      <c r="I1712" s="1275"/>
      <c r="J1712" s="433"/>
      <c r="K1712" s="433"/>
      <c r="L1712" s="302"/>
      <c r="M1712" s="302"/>
      <c r="N1712" s="302"/>
      <c r="P1712" s="302"/>
      <c r="Q1712" s="302"/>
    </row>
    <row r="1713" spans="1:17" x14ac:dyDescent="0.2">
      <c r="A1713" s="201"/>
      <c r="B1713" s="271"/>
      <c r="C1713" s="201"/>
      <c r="D1713" s="201"/>
      <c r="E1713" s="201"/>
      <c r="F1713" s="272" t="s">
        <v>214</v>
      </c>
      <c r="G1713" s="260"/>
      <c r="H1713" s="273"/>
      <c r="I1713" s="436">
        <f>SUM(I1711:I1712)</f>
        <v>0</v>
      </c>
    </row>
    <row r="1714" spans="1:17" x14ac:dyDescent="0.2">
      <c r="A1714" s="201"/>
      <c r="B1714" s="271"/>
      <c r="C1714" s="201"/>
      <c r="D1714" s="201"/>
      <c r="E1714" s="201"/>
      <c r="F1714" s="201"/>
      <c r="G1714" s="201"/>
      <c r="H1714" s="201"/>
      <c r="I1714" s="201"/>
    </row>
    <row r="1715" spans="1:17" x14ac:dyDescent="0.2">
      <c r="A1715" s="442" t="s">
        <v>215</v>
      </c>
      <c r="B1715" s="275" t="s">
        <v>60</v>
      </c>
      <c r="C1715" s="275" t="s">
        <v>211</v>
      </c>
      <c r="D1715" s="275" t="s">
        <v>216</v>
      </c>
      <c r="E1715" s="275" t="s">
        <v>217</v>
      </c>
      <c r="F1715" s="275" t="s">
        <v>218</v>
      </c>
      <c r="G1715" s="275" t="s">
        <v>96</v>
      </c>
      <c r="H1715" s="275" t="s">
        <v>91</v>
      </c>
      <c r="I1715" s="275" t="s">
        <v>219</v>
      </c>
    </row>
    <row r="1716" spans="1:17" x14ac:dyDescent="0.2">
      <c r="A1716" s="201"/>
      <c r="B1716" s="271"/>
      <c r="C1716" s="201"/>
      <c r="D1716" s="201"/>
      <c r="E1716" s="201"/>
      <c r="F1716" s="272" t="s">
        <v>220</v>
      </c>
      <c r="G1716" s="244"/>
      <c r="H1716" s="279"/>
      <c r="I1716" s="438"/>
    </row>
    <row r="1717" spans="1:17" x14ac:dyDescent="0.2">
      <c r="A1717" s="201"/>
      <c r="B1717" s="271"/>
      <c r="C1717" s="201"/>
      <c r="D1717" s="201"/>
      <c r="E1717" s="201"/>
      <c r="F1717" s="201"/>
      <c r="G1717" s="201"/>
      <c r="H1717" s="201"/>
      <c r="I1717" s="202"/>
    </row>
    <row r="1718" spans="1:17" x14ac:dyDescent="0.2">
      <c r="A1718" s="535" t="s">
        <v>1116</v>
      </c>
      <c r="B1718" s="281"/>
      <c r="C1718" s="282"/>
      <c r="D1718" s="282"/>
      <c r="E1718" s="282"/>
      <c r="F1718" s="283" t="s">
        <v>221</v>
      </c>
      <c r="G1718" s="280"/>
      <c r="H1718" s="254"/>
      <c r="I1718" s="634">
        <f>+I1706+I1710+I1713+I1716</f>
        <v>3016.56</v>
      </c>
    </row>
    <row r="1719" spans="1:17" x14ac:dyDescent="0.2">
      <c r="A1719" s="244"/>
      <c r="B1719" s="286"/>
      <c r="C1719" s="279"/>
      <c r="D1719" s="279"/>
      <c r="E1719" s="279"/>
      <c r="F1719" s="287" t="s">
        <v>222</v>
      </c>
      <c r="G1719" s="440"/>
      <c r="H1719" s="245"/>
      <c r="I1719" s="1017">
        <f>+I1717+I1718</f>
        <v>3016.56</v>
      </c>
      <c r="K1719" s="302"/>
    </row>
    <row r="1720" spans="1:17" x14ac:dyDescent="0.2">
      <c r="A1720" s="1277" t="str">
        <f>$A$1</f>
        <v>COMPOSIÇÃO DE CUSTOS UNITÁRIOS</v>
      </c>
      <c r="B1720" s="1277"/>
      <c r="C1720" s="1277"/>
      <c r="D1720" s="1277"/>
      <c r="E1720" s="1277"/>
      <c r="F1720" s="1277"/>
      <c r="G1720" s="1277"/>
      <c r="H1720" s="1277"/>
      <c r="I1720" s="1277"/>
      <c r="K1720" s="302"/>
    </row>
    <row r="1721" spans="1:17" x14ac:dyDescent="0.2">
      <c r="A1721" s="232" t="str">
        <f>$A$2</f>
        <v>Tabela Referencial de Preços - DER-ES</v>
      </c>
      <c r="B1721" s="233"/>
      <c r="C1721" s="199"/>
      <c r="D1721" s="199"/>
      <c r="E1721" s="199"/>
      <c r="F1721" s="199"/>
      <c r="G1721" s="199"/>
      <c r="H1721" s="199"/>
      <c r="I1721" s="234" t="str">
        <f>$I$2</f>
        <v>Data Base: Outubro/2018</v>
      </c>
      <c r="J1721" s="433">
        <v>40976</v>
      </c>
      <c r="K1721" s="433">
        <f>VLOOKUP("Preço Unitário Total",F1723:I4063,4,FALSE)</f>
        <v>56050</v>
      </c>
      <c r="L1721" s="302">
        <f>VLOOKUP(J1721,'DER 10-18'!A:E,5,FALSE)</f>
        <v>0</v>
      </c>
      <c r="M1721" s="302" t="str">
        <f>VLOOKUP(J1721,'DER 10-18'!$A:$D,2,FALSE)</f>
        <v>Dope, fornecimento</v>
      </c>
    </row>
    <row r="1722" spans="1:17" x14ac:dyDescent="0.2">
      <c r="A1722" s="1278" t="str">
        <f>+CONCATENATE("Serviço: ",J1721," ",VLOOKUP(J1721,'DER 10-18'!$A:$D,2,FALSE))</f>
        <v>Serviço: 40976 Dope, fornecimento</v>
      </c>
      <c r="B1722" s="1278"/>
      <c r="C1722" s="1278"/>
      <c r="D1722" s="1278"/>
      <c r="E1722" s="1278"/>
      <c r="F1722" s="1278"/>
      <c r="G1722" s="1278"/>
      <c r="H1722" s="1278"/>
      <c r="I1722" s="1278" t="str">
        <f>CONCATENATE("Unidade: ", VLOOKUP(J1721,'DER 10-18'!$A:$E,3,FALSE))</f>
        <v>Unidade: t</v>
      </c>
    </row>
    <row r="1723" spans="1:17" ht="14.25" customHeight="1" x14ac:dyDescent="0.2">
      <c r="A1723" s="1279"/>
      <c r="B1723" s="1279"/>
      <c r="C1723" s="1279"/>
      <c r="D1723" s="1279"/>
      <c r="E1723" s="1279"/>
      <c r="F1723" s="1279"/>
      <c r="G1723" s="1279"/>
      <c r="H1723" s="1279"/>
      <c r="I1723" s="1279"/>
    </row>
    <row r="1724" spans="1:17" ht="29.25" customHeight="1" x14ac:dyDescent="0.2">
      <c r="A1724" s="235" t="s">
        <v>192</v>
      </c>
      <c r="B1724" s="236" t="s">
        <v>60</v>
      </c>
      <c r="C1724" s="236" t="s">
        <v>193</v>
      </c>
      <c r="D1724" s="236" t="s">
        <v>194</v>
      </c>
      <c r="E1724" s="236" t="s">
        <v>195</v>
      </c>
      <c r="F1724" s="236" t="s">
        <v>196</v>
      </c>
      <c r="G1724" s="236" t="s">
        <v>197</v>
      </c>
      <c r="H1724" s="236" t="s">
        <v>91</v>
      </c>
      <c r="I1724" s="236" t="s">
        <v>198</v>
      </c>
    </row>
    <row r="1725" spans="1:17" s="198" customFormat="1" x14ac:dyDescent="0.2">
      <c r="A1725" s="199"/>
      <c r="B1725" s="233"/>
      <c r="C1725" s="233"/>
      <c r="D1725" s="199"/>
      <c r="E1725" s="199"/>
      <c r="F1725" s="234" t="s">
        <v>199</v>
      </c>
      <c r="G1725" s="244"/>
      <c r="H1725" s="245"/>
      <c r="I1725" s="434"/>
      <c r="J1725" s="433"/>
      <c r="K1725" s="433"/>
      <c r="L1725" s="302"/>
      <c r="M1725" s="302"/>
      <c r="N1725" s="302"/>
      <c r="O1725" s="302"/>
      <c r="P1725" s="302"/>
      <c r="Q1725" s="302"/>
    </row>
    <row r="1726" spans="1:17" s="198" customFormat="1" x14ac:dyDescent="0.2">
      <c r="A1726" s="199"/>
      <c r="B1726" s="233"/>
      <c r="C1726" s="233"/>
      <c r="D1726" s="199"/>
      <c r="E1726" s="199"/>
      <c r="F1726" s="199"/>
      <c r="G1726" s="199"/>
      <c r="H1726" s="199"/>
      <c r="I1726" s="200"/>
      <c r="J1726" s="433"/>
      <c r="K1726" s="433"/>
      <c r="L1726" s="302"/>
      <c r="M1726" s="302"/>
      <c r="N1726" s="302"/>
      <c r="O1726" s="302"/>
      <c r="P1726" s="302"/>
      <c r="Q1726" s="302"/>
    </row>
    <row r="1727" spans="1:17" s="198" customFormat="1" x14ac:dyDescent="0.2">
      <c r="A1727" s="246" t="s">
        <v>200</v>
      </c>
      <c r="B1727" s="247" t="s">
        <v>60</v>
      </c>
      <c r="C1727" s="236" t="s">
        <v>1242</v>
      </c>
      <c r="D1727" s="247" t="s">
        <v>202</v>
      </c>
      <c r="E1727" s="1276" t="s">
        <v>91</v>
      </c>
      <c r="F1727" s="1274"/>
      <c r="G1727" s="1275"/>
      <c r="H1727" s="1276" t="s">
        <v>198</v>
      </c>
      <c r="I1727" s="1275"/>
      <c r="J1727" s="433"/>
      <c r="K1727" s="433"/>
      <c r="L1727" s="302"/>
      <c r="M1727" s="302"/>
      <c r="N1727" s="302"/>
      <c r="O1727" s="302"/>
      <c r="P1727" s="302"/>
      <c r="Q1727" s="302"/>
    </row>
    <row r="1728" spans="1:17" s="198" customFormat="1" x14ac:dyDescent="0.2">
      <c r="A1728" s="199"/>
      <c r="B1728" s="233"/>
      <c r="C1728" s="233"/>
      <c r="D1728" s="199"/>
      <c r="E1728" s="199"/>
      <c r="F1728" s="234" t="s">
        <v>203</v>
      </c>
      <c r="G1728" s="244"/>
      <c r="H1728" s="245"/>
      <c r="I1728" s="434"/>
      <c r="J1728" s="302"/>
      <c r="K1728" s="302"/>
      <c r="L1728" s="302"/>
      <c r="M1728" s="302"/>
      <c r="N1728" s="302"/>
      <c r="O1728" s="302"/>
      <c r="P1728" s="302"/>
      <c r="Q1728" s="302"/>
    </row>
    <row r="1729" spans="1:17" s="198" customFormat="1" x14ac:dyDescent="0.2">
      <c r="A1729" s="199"/>
      <c r="B1729" s="233"/>
      <c r="C1729" s="233"/>
      <c r="D1729" s="199"/>
      <c r="E1729" s="199"/>
      <c r="F1729" s="199"/>
      <c r="G1729" s="199"/>
      <c r="H1729" s="199"/>
      <c r="I1729" s="200"/>
      <c r="J1729" s="302"/>
      <c r="K1729" s="302"/>
      <c r="L1729" s="302"/>
      <c r="M1729" s="302"/>
      <c r="N1729" s="302"/>
      <c r="O1729" s="302"/>
      <c r="P1729" s="302"/>
      <c r="Q1729" s="302"/>
    </row>
    <row r="1730" spans="1:17" s="198" customFormat="1" x14ac:dyDescent="0.2">
      <c r="A1730" s="270" t="s">
        <v>204</v>
      </c>
      <c r="B1730" s="247" t="s">
        <v>60</v>
      </c>
      <c r="C1730" s="866" t="s">
        <v>17</v>
      </c>
      <c r="D1730" s="247" t="s">
        <v>205</v>
      </c>
      <c r="E1730" s="247" t="s">
        <v>206</v>
      </c>
      <c r="F1730" s="247" t="s">
        <v>207</v>
      </c>
      <c r="G1730" s="1276" t="s">
        <v>96</v>
      </c>
      <c r="H1730" s="1274"/>
      <c r="I1730" s="1275"/>
      <c r="J1730" s="302"/>
      <c r="K1730" s="302"/>
      <c r="L1730" s="302"/>
      <c r="M1730" s="302"/>
      <c r="N1730" s="302"/>
      <c r="O1730" s="302"/>
      <c r="P1730" s="302"/>
      <c r="Q1730" s="302"/>
    </row>
    <row r="1731" spans="1:17" s="198" customFormat="1" x14ac:dyDescent="0.2">
      <c r="A1731" s="199"/>
      <c r="B1731" s="233"/>
      <c r="C1731" s="199"/>
      <c r="D1731" s="199"/>
      <c r="E1731" s="199"/>
      <c r="F1731" s="234" t="s">
        <v>1170</v>
      </c>
      <c r="G1731" s="244"/>
      <c r="H1731" s="245"/>
      <c r="I1731" s="434"/>
      <c r="J1731" s="302"/>
      <c r="K1731" s="302"/>
      <c r="L1731" s="302"/>
      <c r="M1731" s="302"/>
      <c r="N1731" s="302"/>
      <c r="O1731" s="302"/>
      <c r="P1731" s="302"/>
      <c r="Q1731" s="302"/>
    </row>
    <row r="1732" spans="1:17" s="198" customFormat="1" x14ac:dyDescent="0.2">
      <c r="A1732" s="199"/>
      <c r="B1732" s="233"/>
      <c r="C1732" s="199"/>
      <c r="D1732" s="199"/>
      <c r="E1732" s="199"/>
      <c r="F1732" s="199"/>
      <c r="G1732" s="199"/>
      <c r="H1732" s="199"/>
      <c r="I1732" s="200"/>
      <c r="J1732" s="302"/>
      <c r="K1732" s="302"/>
      <c r="L1732" s="302"/>
      <c r="M1732" s="302"/>
      <c r="N1732" s="302"/>
      <c r="O1732" s="302"/>
      <c r="P1732" s="302"/>
      <c r="Q1732" s="302"/>
    </row>
    <row r="1733" spans="1:17" s="198" customFormat="1" x14ac:dyDescent="0.2">
      <c r="A1733" s="252"/>
      <c r="B1733" s="253"/>
      <c r="C1733" s="254"/>
      <c r="D1733" s="254"/>
      <c r="E1733" s="254"/>
      <c r="F1733" s="255" t="s">
        <v>208</v>
      </c>
      <c r="G1733" s="435"/>
      <c r="H1733" s="254"/>
      <c r="I1733" s="634">
        <f>+I1725+I1728+I1731</f>
        <v>0</v>
      </c>
      <c r="J1733" s="302"/>
      <c r="K1733" s="302"/>
      <c r="L1733" s="302"/>
      <c r="M1733" s="302"/>
      <c r="N1733" s="302"/>
      <c r="O1733" s="302"/>
      <c r="P1733" s="302"/>
      <c r="Q1733" s="302"/>
    </row>
    <row r="1734" spans="1:17" s="198" customFormat="1" x14ac:dyDescent="0.2">
      <c r="A1734" s="256"/>
      <c r="B1734" s="257"/>
      <c r="C1734" s="258"/>
      <c r="D1734" s="258"/>
      <c r="E1734" s="258"/>
      <c r="F1734" s="259" t="s">
        <v>209</v>
      </c>
      <c r="G1734" s="260"/>
      <c r="H1734" s="258"/>
      <c r="I1734" s="635">
        <v>1</v>
      </c>
      <c r="J1734" s="302"/>
      <c r="K1734" s="302"/>
      <c r="L1734" s="302"/>
      <c r="M1734" s="302"/>
      <c r="N1734" s="302"/>
      <c r="O1734" s="302"/>
      <c r="P1734" s="302"/>
      <c r="Q1734" s="302"/>
    </row>
    <row r="1735" spans="1:17" x14ac:dyDescent="0.2">
      <c r="A1735" s="237"/>
      <c r="B1735" s="261"/>
      <c r="C1735" s="245"/>
      <c r="D1735" s="245"/>
      <c r="E1735" s="245"/>
      <c r="F1735" s="262" t="s">
        <v>232</v>
      </c>
      <c r="G1735" s="244"/>
      <c r="H1735" s="245"/>
      <c r="I1735" s="633">
        <f>TRUNC(I1733/I1734,2)</f>
        <v>0</v>
      </c>
      <c r="J1735" s="302"/>
      <c r="K1735" s="302"/>
    </row>
    <row r="1736" spans="1:17" x14ac:dyDescent="0.2">
      <c r="A1736" s="867"/>
      <c r="B1736" s="233"/>
      <c r="C1736" s="199"/>
      <c r="D1736" s="199"/>
      <c r="E1736" s="199"/>
      <c r="F1736" s="263"/>
      <c r="G1736" s="199"/>
      <c r="H1736" s="199"/>
      <c r="I1736" s="264"/>
      <c r="J1736" s="302"/>
      <c r="K1736" s="302"/>
    </row>
    <row r="1737" spans="1:17" x14ac:dyDescent="0.2">
      <c r="A1737" s="246" t="s">
        <v>210</v>
      </c>
      <c r="B1737" s="247" t="s">
        <v>60</v>
      </c>
      <c r="C1737" s="247" t="s">
        <v>211</v>
      </c>
      <c r="D1737" s="247" t="s">
        <v>233</v>
      </c>
      <c r="E1737" s="1276" t="s">
        <v>91</v>
      </c>
      <c r="F1737" s="1274"/>
      <c r="G1737" s="1275"/>
      <c r="H1737" s="1276" t="s">
        <v>198</v>
      </c>
      <c r="I1737" s="1275"/>
      <c r="J1737" s="302"/>
      <c r="K1737" s="302"/>
    </row>
    <row r="1738" spans="1:17" x14ac:dyDescent="0.2">
      <c r="A1738" s="265" t="str">
        <f>VLOOKUP(B1738,mat.!$A:$D,2,FALSE)</f>
        <v>Dope AT</v>
      </c>
      <c r="B1738" s="238">
        <v>10028</v>
      </c>
      <c r="C1738" s="266" t="str">
        <f>VLOOKUP(B1738,mat.!$A:$D,3,FALSE)</f>
        <v>t</v>
      </c>
      <c r="D1738" s="267">
        <f>VLOOKUP(B1738,mat.!$A:$D,4,FALSE)</f>
        <v>56050</v>
      </c>
      <c r="E1738" s="260"/>
      <c r="F1738" s="258"/>
      <c r="G1738" s="300">
        <v>1</v>
      </c>
      <c r="H1738" s="260"/>
      <c r="I1738" s="268">
        <f>TRUNC(D1738*G1738,2)</f>
        <v>56050</v>
      </c>
      <c r="J1738" s="302"/>
      <c r="K1738" s="302"/>
    </row>
    <row r="1739" spans="1:17" x14ac:dyDescent="0.2">
      <c r="A1739" s="199"/>
      <c r="B1739" s="233"/>
      <c r="C1739" s="199"/>
      <c r="D1739" s="199"/>
      <c r="E1739" s="199"/>
      <c r="F1739" s="234" t="s">
        <v>212</v>
      </c>
      <c r="G1739" s="244"/>
      <c r="H1739" s="245"/>
      <c r="I1739" s="434">
        <f>SUM(I1738:I1738)</f>
        <v>56050</v>
      </c>
      <c r="J1739" s="302"/>
      <c r="K1739" s="302"/>
    </row>
    <row r="1740" spans="1:17" x14ac:dyDescent="0.2">
      <c r="A1740" s="199"/>
      <c r="B1740" s="233"/>
      <c r="C1740" s="199"/>
      <c r="D1740" s="199"/>
      <c r="E1740" s="199"/>
      <c r="F1740" s="199"/>
      <c r="G1740" s="269"/>
      <c r="H1740" s="199"/>
      <c r="I1740" s="200"/>
      <c r="J1740" s="302"/>
      <c r="K1740" s="302"/>
    </row>
    <row r="1741" spans="1:17" x14ac:dyDescent="0.2">
      <c r="A1741" s="270" t="s">
        <v>213</v>
      </c>
      <c r="B1741" s="247" t="s">
        <v>60</v>
      </c>
      <c r="C1741" s="247" t="s">
        <v>211</v>
      </c>
      <c r="D1741" s="866" t="s">
        <v>233</v>
      </c>
      <c r="E1741" s="1276" t="s">
        <v>91</v>
      </c>
      <c r="F1741" s="1274"/>
      <c r="G1741" s="1275"/>
      <c r="H1741" s="1276" t="s">
        <v>198</v>
      </c>
      <c r="I1741" s="1275"/>
    </row>
    <row r="1742" spans="1:17" x14ac:dyDescent="0.2">
      <c r="A1742" s="201"/>
      <c r="B1742" s="271"/>
      <c r="C1742" s="201"/>
      <c r="D1742" s="201"/>
      <c r="E1742" s="201"/>
      <c r="F1742" s="272" t="s">
        <v>214</v>
      </c>
      <c r="G1742" s="260"/>
      <c r="H1742" s="273"/>
      <c r="I1742" s="436">
        <f>SUM(I1740:I1741)</f>
        <v>0</v>
      </c>
    </row>
    <row r="1743" spans="1:17" x14ac:dyDescent="0.2">
      <c r="A1743" s="201"/>
      <c r="B1743" s="271"/>
      <c r="C1743" s="201"/>
      <c r="D1743" s="201"/>
      <c r="E1743" s="201"/>
      <c r="F1743" s="201"/>
      <c r="G1743" s="201"/>
      <c r="H1743" s="201"/>
      <c r="I1743" s="201"/>
    </row>
    <row r="1744" spans="1:17" x14ac:dyDescent="0.2">
      <c r="A1744" s="442" t="s">
        <v>215</v>
      </c>
      <c r="B1744" s="275" t="s">
        <v>60</v>
      </c>
      <c r="C1744" s="275" t="s">
        <v>211</v>
      </c>
      <c r="D1744" s="275" t="s">
        <v>216</v>
      </c>
      <c r="E1744" s="275" t="s">
        <v>217</v>
      </c>
      <c r="F1744" s="275" t="s">
        <v>218</v>
      </c>
      <c r="G1744" s="275" t="s">
        <v>96</v>
      </c>
      <c r="H1744" s="275" t="s">
        <v>91</v>
      </c>
      <c r="I1744" s="275" t="s">
        <v>219</v>
      </c>
    </row>
    <row r="1745" spans="1:17" x14ac:dyDescent="0.2">
      <c r="A1745" s="201"/>
      <c r="B1745" s="271"/>
      <c r="C1745" s="201"/>
      <c r="D1745" s="201"/>
      <c r="E1745" s="201"/>
      <c r="F1745" s="272" t="s">
        <v>220</v>
      </c>
      <c r="G1745" s="244"/>
      <c r="H1745" s="279"/>
      <c r="I1745" s="438"/>
    </row>
    <row r="1746" spans="1:17" x14ac:dyDescent="0.2">
      <c r="A1746" s="201"/>
      <c r="B1746" s="271"/>
      <c r="C1746" s="201"/>
      <c r="D1746" s="201"/>
      <c r="E1746" s="201"/>
      <c r="F1746" s="201"/>
      <c r="G1746" s="201"/>
      <c r="H1746" s="201"/>
      <c r="I1746" s="202"/>
    </row>
    <row r="1747" spans="1:17" x14ac:dyDescent="0.2">
      <c r="A1747" s="535" t="s">
        <v>1116</v>
      </c>
      <c r="B1747" s="281"/>
      <c r="C1747" s="282"/>
      <c r="D1747" s="282"/>
      <c r="E1747" s="282"/>
      <c r="F1747" s="283" t="s">
        <v>221</v>
      </c>
      <c r="G1747" s="280"/>
      <c r="H1747" s="636"/>
      <c r="I1747" s="637">
        <f>+I1735+I1739+I1742+I1745</f>
        <v>56050</v>
      </c>
    </row>
    <row r="1748" spans="1:17" x14ac:dyDescent="0.2">
      <c r="A1748" s="244"/>
      <c r="B1748" s="286"/>
      <c r="C1748" s="279"/>
      <c r="D1748" s="279"/>
      <c r="E1748" s="279"/>
      <c r="F1748" s="287" t="s">
        <v>222</v>
      </c>
      <c r="G1748" s="440"/>
      <c r="H1748" s="638"/>
      <c r="I1748" s="1021">
        <f>+I1746+I1747</f>
        <v>56050</v>
      </c>
    </row>
    <row r="1749" spans="1:17" x14ac:dyDescent="0.2">
      <c r="A1749" s="1277" t="str">
        <f>$A$1</f>
        <v>COMPOSIÇÃO DE CUSTOS UNITÁRIOS</v>
      </c>
      <c r="B1749" s="1277"/>
      <c r="C1749" s="1277"/>
      <c r="D1749" s="1277"/>
      <c r="E1749" s="1277"/>
      <c r="F1749" s="1277"/>
      <c r="G1749" s="1277"/>
      <c r="H1749" s="1277"/>
      <c r="I1749" s="1277"/>
    </row>
    <row r="1750" spans="1:17" x14ac:dyDescent="0.2">
      <c r="A1750" s="232" t="str">
        <f>$A$2</f>
        <v>Tabela Referencial de Preços - DER-ES</v>
      </c>
      <c r="B1750" s="233"/>
      <c r="C1750" s="199"/>
      <c r="D1750" s="199"/>
      <c r="E1750" s="199"/>
      <c r="F1750" s="199"/>
      <c r="G1750" s="199"/>
      <c r="H1750" s="199"/>
      <c r="I1750" s="234" t="str">
        <f>$I$2</f>
        <v>Data Base: Outubro/2018</v>
      </c>
    </row>
    <row r="1751" spans="1:17" x14ac:dyDescent="0.2">
      <c r="A1751" s="1278" t="str">
        <f>+CONCATENATE("Serviço: ",J1751," ",VLOOKUP(J1751,'DER 10-18'!$A:$D,2,FALSE))</f>
        <v>Serviço: 40969 Emulsão RR-2C, fornecimento</v>
      </c>
      <c r="B1751" s="1278"/>
      <c r="C1751" s="1278"/>
      <c r="D1751" s="1278"/>
      <c r="E1751" s="1278"/>
      <c r="F1751" s="1278"/>
      <c r="G1751" s="1278"/>
      <c r="H1751" s="1278"/>
      <c r="I1751" s="1278" t="str">
        <f>CONCATENATE("Unidade: ", VLOOKUP(J1751,'DER 10-18'!$A:$E,3,FALSE))</f>
        <v>Unidade: t</v>
      </c>
      <c r="J1751" s="433">
        <v>40969</v>
      </c>
      <c r="K1751" s="433">
        <f>VLOOKUP("Preço Unitário Total",F1752:I3067,4,FALSE)</f>
        <v>2534.35</v>
      </c>
      <c r="L1751" s="302">
        <f>VLOOKUP(J1751,'DER 10-18'!A:E,5,FALSE)</f>
        <v>0</v>
      </c>
      <c r="M1751" s="302" t="str">
        <f>VLOOKUP(J1751,'DER 10-18'!$A:$D,2,FALSE)</f>
        <v>Emulsão RR-2C, fornecimento</v>
      </c>
    </row>
    <row r="1752" spans="1:17" x14ac:dyDescent="0.2">
      <c r="A1752" s="1279"/>
      <c r="B1752" s="1279"/>
      <c r="C1752" s="1279"/>
      <c r="D1752" s="1279"/>
      <c r="E1752" s="1279"/>
      <c r="F1752" s="1279"/>
      <c r="G1752" s="1279"/>
      <c r="H1752" s="1279"/>
      <c r="I1752" s="1279"/>
    </row>
    <row r="1753" spans="1:17" s="198" customFormat="1" ht="22.5" x14ac:dyDescent="0.2">
      <c r="A1753" s="235" t="s">
        <v>192</v>
      </c>
      <c r="B1753" s="236" t="s">
        <v>60</v>
      </c>
      <c r="C1753" s="236" t="s">
        <v>193</v>
      </c>
      <c r="D1753" s="236" t="s">
        <v>194</v>
      </c>
      <c r="E1753" s="236" t="s">
        <v>195</v>
      </c>
      <c r="F1753" s="236" t="s">
        <v>196</v>
      </c>
      <c r="G1753" s="236" t="s">
        <v>197</v>
      </c>
      <c r="H1753" s="236" t="s">
        <v>91</v>
      </c>
      <c r="I1753" s="236" t="s">
        <v>198</v>
      </c>
      <c r="J1753" s="433"/>
      <c r="K1753" s="433"/>
      <c r="L1753" s="302"/>
      <c r="M1753" s="302"/>
      <c r="N1753" s="302"/>
      <c r="O1753" s="302"/>
      <c r="P1753" s="302"/>
      <c r="Q1753" s="302"/>
    </row>
    <row r="1754" spans="1:17" x14ac:dyDescent="0.2">
      <c r="A1754" s="237"/>
      <c r="B1754" s="238"/>
      <c r="C1754" s="239"/>
      <c r="D1754" s="240"/>
      <c r="E1754" s="205"/>
      <c r="F1754" s="241"/>
      <c r="G1754" s="241"/>
      <c r="H1754" s="242"/>
      <c r="I1754" s="243"/>
    </row>
    <row r="1755" spans="1:17" x14ac:dyDescent="0.2">
      <c r="A1755" s="199"/>
      <c r="B1755" s="233"/>
      <c r="C1755" s="233"/>
      <c r="D1755" s="199"/>
      <c r="E1755" s="199"/>
      <c r="F1755" s="234" t="s">
        <v>199</v>
      </c>
      <c r="G1755" s="244"/>
      <c r="H1755" s="245"/>
      <c r="I1755" s="434">
        <f>SUM(I1754:I1754)</f>
        <v>0</v>
      </c>
    </row>
    <row r="1756" spans="1:17" x14ac:dyDescent="0.2">
      <c r="A1756" s="199"/>
      <c r="B1756" s="233"/>
      <c r="C1756" s="233"/>
      <c r="D1756" s="199"/>
      <c r="E1756" s="199"/>
      <c r="F1756" s="199"/>
      <c r="G1756" s="199"/>
      <c r="H1756" s="199"/>
      <c r="I1756" s="200"/>
    </row>
    <row r="1757" spans="1:17" x14ac:dyDescent="0.2">
      <c r="A1757" s="246" t="s">
        <v>200</v>
      </c>
      <c r="B1757" s="247" t="s">
        <v>60</v>
      </c>
      <c r="C1757" s="236" t="s">
        <v>1242</v>
      </c>
      <c r="D1757" s="247" t="s">
        <v>202</v>
      </c>
      <c r="E1757" s="1271" t="s">
        <v>91</v>
      </c>
      <c r="F1757" s="1272"/>
      <c r="G1757" s="1273"/>
      <c r="H1757" s="1276" t="s">
        <v>198</v>
      </c>
      <c r="I1757" s="1275"/>
    </row>
    <row r="1758" spans="1:17" x14ac:dyDescent="0.2">
      <c r="A1758" s="248"/>
      <c r="B1758" s="238"/>
      <c r="C1758" s="243"/>
      <c r="D1758" s="243"/>
      <c r="E1758" s="260"/>
      <c r="F1758" s="258"/>
      <c r="G1758" s="300"/>
      <c r="H1758" s="244"/>
      <c r="I1758" s="249"/>
    </row>
    <row r="1759" spans="1:17" x14ac:dyDescent="0.2">
      <c r="A1759" s="199"/>
      <c r="B1759" s="233"/>
      <c r="C1759" s="233"/>
      <c r="D1759" s="199"/>
      <c r="E1759" s="199"/>
      <c r="F1759" s="234" t="s">
        <v>203</v>
      </c>
      <c r="G1759" s="244"/>
      <c r="H1759" s="245"/>
      <c r="I1759" s="434">
        <f>SUM(I1758:I1758)</f>
        <v>0</v>
      </c>
    </row>
    <row r="1760" spans="1:17" x14ac:dyDescent="0.2">
      <c r="A1760" s="199"/>
      <c r="B1760" s="233"/>
      <c r="C1760" s="233"/>
      <c r="D1760" s="199"/>
      <c r="E1760" s="199"/>
      <c r="F1760" s="199"/>
      <c r="G1760" s="199"/>
      <c r="H1760" s="199"/>
      <c r="I1760" s="200"/>
    </row>
    <row r="1761" spans="1:17" x14ac:dyDescent="0.2">
      <c r="A1761" s="250" t="s">
        <v>204</v>
      </c>
      <c r="B1761" s="247" t="s">
        <v>60</v>
      </c>
      <c r="C1761" s="866" t="s">
        <v>17</v>
      </c>
      <c r="D1761" s="247" t="s">
        <v>205</v>
      </c>
      <c r="E1761" s="247" t="s">
        <v>206</v>
      </c>
      <c r="F1761" s="247" t="s">
        <v>207</v>
      </c>
      <c r="G1761" s="1276" t="s">
        <v>96</v>
      </c>
      <c r="H1761" s="1274"/>
      <c r="I1761" s="1275"/>
    </row>
    <row r="1762" spans="1:17" s="198" customFormat="1" x14ac:dyDescent="0.2">
      <c r="A1762" s="248"/>
      <c r="B1762" s="238"/>
      <c r="C1762" s="243"/>
      <c r="D1762" s="239"/>
      <c r="E1762" s="251"/>
      <c r="F1762" s="251"/>
      <c r="G1762" s="244"/>
      <c r="H1762" s="245"/>
      <c r="I1762" s="249">
        <f>TRUNC(C1762/100*I1759,2)</f>
        <v>0</v>
      </c>
      <c r="J1762" s="433"/>
      <c r="K1762" s="433"/>
      <c r="L1762" s="302"/>
      <c r="M1762" s="302"/>
      <c r="N1762" s="302"/>
      <c r="O1762" s="302"/>
      <c r="P1762" s="302"/>
      <c r="Q1762" s="302"/>
    </row>
    <row r="1763" spans="1:17" s="198" customFormat="1" x14ac:dyDescent="0.2">
      <c r="A1763" s="199"/>
      <c r="B1763" s="233"/>
      <c r="C1763" s="199"/>
      <c r="D1763" s="199"/>
      <c r="E1763" s="199"/>
      <c r="F1763" s="234" t="s">
        <v>1170</v>
      </c>
      <c r="G1763" s="244"/>
      <c r="H1763" s="245"/>
      <c r="I1763" s="434">
        <f>SUM(I1762)</f>
        <v>0</v>
      </c>
      <c r="J1763" s="433"/>
      <c r="K1763" s="433"/>
      <c r="L1763" s="302"/>
      <c r="M1763" s="302"/>
      <c r="N1763" s="302"/>
      <c r="O1763" s="302"/>
      <c r="P1763" s="302"/>
      <c r="Q1763" s="302"/>
    </row>
    <row r="1764" spans="1:17" s="198" customFormat="1" x14ac:dyDescent="0.2">
      <c r="A1764" s="199"/>
      <c r="B1764" s="233"/>
      <c r="C1764" s="199"/>
      <c r="D1764" s="199"/>
      <c r="E1764" s="199"/>
      <c r="F1764" s="199"/>
      <c r="G1764" s="199"/>
      <c r="H1764" s="199"/>
      <c r="I1764" s="200"/>
      <c r="J1764" s="433"/>
      <c r="K1764" s="433"/>
      <c r="L1764" s="302"/>
      <c r="M1764" s="302"/>
      <c r="N1764" s="302"/>
      <c r="O1764" s="302"/>
      <c r="P1764" s="302"/>
      <c r="Q1764" s="302"/>
    </row>
    <row r="1765" spans="1:17" s="198" customFormat="1" x14ac:dyDescent="0.2">
      <c r="A1765" s="252"/>
      <c r="B1765" s="253"/>
      <c r="C1765" s="254"/>
      <c r="D1765" s="254"/>
      <c r="E1765" s="254"/>
      <c r="F1765" s="255" t="s">
        <v>208</v>
      </c>
      <c r="G1765" s="435"/>
      <c r="H1765" s="254"/>
      <c r="I1765" s="634">
        <f>+I1755+I1759+I1763</f>
        <v>0</v>
      </c>
      <c r="J1765" s="433"/>
      <c r="K1765" s="433"/>
      <c r="L1765" s="302"/>
      <c r="M1765" s="302"/>
      <c r="N1765" s="302"/>
      <c r="O1765" s="302"/>
      <c r="P1765" s="302"/>
      <c r="Q1765" s="302"/>
    </row>
    <row r="1766" spans="1:17" s="198" customFormat="1" x14ac:dyDescent="0.2">
      <c r="A1766" s="256"/>
      <c r="B1766" s="257"/>
      <c r="C1766" s="258"/>
      <c r="D1766" s="258"/>
      <c r="E1766" s="258"/>
      <c r="F1766" s="259" t="s">
        <v>209</v>
      </c>
      <c r="G1766" s="260"/>
      <c r="H1766" s="258"/>
      <c r="I1766" s="635">
        <v>1</v>
      </c>
      <c r="J1766" s="433"/>
      <c r="K1766" s="433"/>
      <c r="L1766" s="302"/>
      <c r="M1766" s="302"/>
      <c r="N1766" s="302"/>
      <c r="O1766" s="302"/>
      <c r="P1766" s="302"/>
      <c r="Q1766" s="302"/>
    </row>
    <row r="1767" spans="1:17" s="198" customFormat="1" x14ac:dyDescent="0.2">
      <c r="A1767" s="237"/>
      <c r="B1767" s="261"/>
      <c r="C1767" s="245"/>
      <c r="D1767" s="245"/>
      <c r="E1767" s="245"/>
      <c r="F1767" s="262" t="s">
        <v>232</v>
      </c>
      <c r="G1767" s="244"/>
      <c r="H1767" s="245"/>
      <c r="I1767" s="633">
        <f>TRUNC(I1765/I1766,2)</f>
        <v>0</v>
      </c>
      <c r="J1767" s="433"/>
      <c r="K1767" s="433"/>
      <c r="L1767" s="302"/>
      <c r="M1767" s="302"/>
      <c r="N1767" s="302"/>
      <c r="O1767" s="302"/>
      <c r="P1767" s="302"/>
      <c r="Q1767" s="302"/>
    </row>
    <row r="1768" spans="1:17" s="198" customFormat="1" x14ac:dyDescent="0.2">
      <c r="A1768" s="867"/>
      <c r="B1768" s="233"/>
      <c r="C1768" s="199"/>
      <c r="D1768" s="199"/>
      <c r="E1768" s="199"/>
      <c r="F1768" s="263"/>
      <c r="G1768" s="199"/>
      <c r="H1768" s="199"/>
      <c r="I1768" s="264"/>
      <c r="J1768" s="433"/>
      <c r="K1768" s="433"/>
      <c r="L1768" s="302"/>
      <c r="M1768" s="302"/>
      <c r="N1768" s="302"/>
      <c r="O1768" s="302"/>
      <c r="P1768" s="302"/>
      <c r="Q1768" s="302"/>
    </row>
    <row r="1769" spans="1:17" s="198" customFormat="1" x14ac:dyDescent="0.2">
      <c r="A1769" s="246" t="s">
        <v>210</v>
      </c>
      <c r="B1769" s="247" t="s">
        <v>60</v>
      </c>
      <c r="C1769" s="247" t="s">
        <v>211</v>
      </c>
      <c r="D1769" s="247" t="s">
        <v>233</v>
      </c>
      <c r="E1769" s="1276" t="s">
        <v>91</v>
      </c>
      <c r="F1769" s="1274"/>
      <c r="G1769" s="1275"/>
      <c r="H1769" s="1276" t="s">
        <v>198</v>
      </c>
      <c r="I1769" s="1275"/>
      <c r="J1769" s="433"/>
      <c r="K1769" s="433"/>
      <c r="L1769" s="302"/>
      <c r="M1769" s="302"/>
      <c r="N1769" s="302"/>
      <c r="O1769" s="302"/>
      <c r="P1769" s="302"/>
      <c r="Q1769" s="302"/>
    </row>
    <row r="1770" spans="1:17" s="198" customFormat="1" x14ac:dyDescent="0.2">
      <c r="A1770" s="265" t="str">
        <f>VLOOKUP(B1770,mat.!$A:$D,2,FALSE)</f>
        <v>Emulsao RR 2C</v>
      </c>
      <c r="B1770" s="238">
        <v>10010</v>
      </c>
      <c r="C1770" s="266" t="str">
        <f>VLOOKUP(B1770,mat.!$A:$D,3,FALSE)</f>
        <v>t</v>
      </c>
      <c r="D1770" s="267">
        <f>VLOOKUP(B1770,mat.!$A:$D,4,FALSE)</f>
        <v>2534.35</v>
      </c>
      <c r="E1770" s="260"/>
      <c r="F1770" s="258"/>
      <c r="G1770" s="300">
        <v>1</v>
      </c>
      <c r="H1770" s="260"/>
      <c r="I1770" s="268">
        <f>TRUNC(D1770*G1770,2)</f>
        <v>2534.35</v>
      </c>
      <c r="J1770" s="433"/>
      <c r="K1770" s="433"/>
      <c r="L1770" s="302"/>
      <c r="M1770" s="302"/>
      <c r="N1770" s="302"/>
      <c r="O1770" s="302"/>
      <c r="P1770" s="302"/>
      <c r="Q1770" s="302"/>
    </row>
    <row r="1771" spans="1:17" s="198" customFormat="1" x14ac:dyDescent="0.2">
      <c r="A1771" s="199"/>
      <c r="B1771" s="233"/>
      <c r="C1771" s="199"/>
      <c r="D1771" s="199"/>
      <c r="E1771" s="199"/>
      <c r="F1771" s="234" t="s">
        <v>212</v>
      </c>
      <c r="G1771" s="244"/>
      <c r="H1771" s="245"/>
      <c r="I1771" s="434">
        <f>SUM(I1770:I1770)</f>
        <v>2534.35</v>
      </c>
      <c r="J1771" s="433"/>
      <c r="K1771" s="433"/>
      <c r="L1771" s="302"/>
      <c r="M1771" s="302"/>
      <c r="N1771" s="302"/>
      <c r="O1771" s="302"/>
      <c r="P1771" s="302"/>
      <c r="Q1771" s="302"/>
    </row>
    <row r="1772" spans="1:17" x14ac:dyDescent="0.2">
      <c r="A1772" s="199"/>
      <c r="B1772" s="233"/>
      <c r="C1772" s="199"/>
      <c r="D1772" s="199"/>
      <c r="E1772" s="199"/>
      <c r="F1772" s="199"/>
      <c r="G1772" s="269"/>
      <c r="H1772" s="199"/>
      <c r="I1772" s="200"/>
    </row>
    <row r="1773" spans="1:17" x14ac:dyDescent="0.2">
      <c r="A1773" s="270" t="s">
        <v>213</v>
      </c>
      <c r="B1773" s="247" t="s">
        <v>60</v>
      </c>
      <c r="C1773" s="247" t="s">
        <v>211</v>
      </c>
      <c r="D1773" s="866" t="s">
        <v>233</v>
      </c>
      <c r="E1773" s="1271" t="s">
        <v>91</v>
      </c>
      <c r="F1773" s="1272"/>
      <c r="G1773" s="1273"/>
      <c r="H1773" s="1274" t="s">
        <v>198</v>
      </c>
      <c r="I1773" s="1275"/>
    </row>
    <row r="1774" spans="1:17" x14ac:dyDescent="0.2">
      <c r="A1774" s="248"/>
      <c r="B1774" s="238"/>
      <c r="C1774" s="238"/>
      <c r="D1774" s="243"/>
      <c r="E1774" s="260"/>
      <c r="F1774" s="258"/>
      <c r="G1774" s="300"/>
      <c r="H1774" s="244"/>
      <c r="I1774" s="268">
        <f>TRUNC(D1774*G1774,2)</f>
        <v>0</v>
      </c>
    </row>
    <row r="1775" spans="1:17" x14ac:dyDescent="0.2">
      <c r="A1775" s="201"/>
      <c r="B1775" s="271"/>
      <c r="C1775" s="201"/>
      <c r="D1775" s="201"/>
      <c r="E1775" s="201"/>
      <c r="F1775" s="272" t="s">
        <v>214</v>
      </c>
      <c r="G1775" s="260"/>
      <c r="H1775" s="273"/>
      <c r="I1775" s="436">
        <f>SUM(I1774:I1774)</f>
        <v>0</v>
      </c>
    </row>
    <row r="1776" spans="1:17" x14ac:dyDescent="0.2">
      <c r="A1776" s="201"/>
      <c r="B1776" s="271"/>
      <c r="C1776" s="201"/>
      <c r="D1776" s="201"/>
      <c r="E1776" s="201"/>
      <c r="F1776" s="201"/>
      <c r="G1776" s="201"/>
      <c r="H1776" s="201"/>
      <c r="I1776" s="201"/>
    </row>
    <row r="1777" spans="1:17" x14ac:dyDescent="0.2">
      <c r="A1777" s="274" t="s">
        <v>215</v>
      </c>
      <c r="B1777" s="275" t="s">
        <v>60</v>
      </c>
      <c r="C1777" s="275" t="s">
        <v>211</v>
      </c>
      <c r="D1777" s="275" t="s">
        <v>216</v>
      </c>
      <c r="E1777" s="275" t="s">
        <v>217</v>
      </c>
      <c r="F1777" s="275" t="s">
        <v>218</v>
      </c>
      <c r="G1777" s="275" t="s">
        <v>96</v>
      </c>
      <c r="H1777" s="275" t="s">
        <v>91</v>
      </c>
      <c r="I1777" s="275" t="s">
        <v>219</v>
      </c>
    </row>
    <row r="1778" spans="1:17" x14ac:dyDescent="0.2">
      <c r="A1778" s="248"/>
      <c r="B1778" s="238"/>
      <c r="C1778" s="238"/>
      <c r="D1778" s="276"/>
      <c r="E1778" s="277"/>
      <c r="F1778" s="277"/>
      <c r="G1778" s="243"/>
      <c r="H1778" s="278"/>
      <c r="I1778" s="243"/>
      <c r="J1778" s="433" t="s">
        <v>121</v>
      </c>
    </row>
    <row r="1779" spans="1:17" x14ac:dyDescent="0.2">
      <c r="A1779" s="201"/>
      <c r="B1779" s="271"/>
      <c r="C1779" s="201"/>
      <c r="D1779" s="201"/>
      <c r="E1779" s="201"/>
      <c r="F1779" s="272" t="s">
        <v>220</v>
      </c>
      <c r="G1779" s="244"/>
      <c r="H1779" s="279"/>
      <c r="I1779" s="438">
        <f>SUM(I1778:I1778)</f>
        <v>0</v>
      </c>
    </row>
    <row r="1780" spans="1:17" x14ac:dyDescent="0.2">
      <c r="A1780" s="201"/>
      <c r="B1780" s="271"/>
      <c r="C1780" s="201"/>
      <c r="D1780" s="201"/>
      <c r="E1780" s="201"/>
      <c r="F1780" s="201"/>
      <c r="G1780" s="201"/>
      <c r="H1780" s="201"/>
      <c r="I1780" s="202"/>
    </row>
    <row r="1781" spans="1:17" x14ac:dyDescent="0.2">
      <c r="A1781" s="535" t="s">
        <v>1116</v>
      </c>
      <c r="B1781" s="281"/>
      <c r="C1781" s="282"/>
      <c r="D1781" s="282"/>
      <c r="E1781" s="282"/>
      <c r="F1781" s="283" t="s">
        <v>221</v>
      </c>
      <c r="G1781" s="280"/>
      <c r="H1781" s="254"/>
      <c r="I1781" s="634">
        <f>+I1767+I1771+I1775+I1779</f>
        <v>2534.35</v>
      </c>
    </row>
    <row r="1782" spans="1:17" x14ac:dyDescent="0.2">
      <c r="A1782" s="244"/>
      <c r="B1782" s="286"/>
      <c r="C1782" s="279"/>
      <c r="D1782" s="279"/>
      <c r="E1782" s="279"/>
      <c r="F1782" s="287" t="s">
        <v>222</v>
      </c>
      <c r="G1782" s="440"/>
      <c r="H1782" s="245"/>
      <c r="I1782" s="1017">
        <f>I1781</f>
        <v>2534.35</v>
      </c>
    </row>
    <row r="1783" spans="1:17" x14ac:dyDescent="0.2">
      <c r="A1783" s="1277" t="str">
        <f>$A$1</f>
        <v>COMPOSIÇÃO DE CUSTOS UNITÁRIOS</v>
      </c>
      <c r="B1783" s="1277"/>
      <c r="C1783" s="1277"/>
      <c r="D1783" s="1277"/>
      <c r="E1783" s="1277"/>
      <c r="F1783" s="1277"/>
      <c r="G1783" s="1277"/>
      <c r="H1783" s="1277"/>
      <c r="I1783" s="1277"/>
      <c r="J1783" s="451"/>
      <c r="K1783" s="451"/>
      <c r="L1783" s="198"/>
      <c r="M1783" s="198"/>
      <c r="N1783" s="198"/>
    </row>
    <row r="1784" spans="1:17" x14ac:dyDescent="0.2">
      <c r="A1784" s="447" t="str">
        <f>$A$2</f>
        <v>Tabela Referencial de Preços - DER-ES</v>
      </c>
      <c r="B1784" s="448"/>
      <c r="C1784" s="449"/>
      <c r="D1784" s="449"/>
      <c r="E1784" s="449"/>
      <c r="F1784" s="449"/>
      <c r="G1784" s="449"/>
      <c r="H1784" s="449"/>
      <c r="I1784" s="450" t="str">
        <f>$I$2</f>
        <v>Data Base: Outubro/2018</v>
      </c>
      <c r="J1784" s="451">
        <v>40972</v>
      </c>
      <c r="K1784" s="433">
        <f>VLOOKUP("Preço Unitário Total",F1786:I4063,4,FALSE)</f>
        <v>0</v>
      </c>
      <c r="L1784" s="198">
        <f>VLOOKUP(J1784,'DER 10-18'!A:E,5,FALSE)</f>
        <v>0</v>
      </c>
      <c r="M1784" s="198" t="str">
        <f>VLOOKUP(J1784,'DER 10-18'!$A:$D,2,FALSE)</f>
        <v>Bonificação de 15,28% sobre Materiais Betuminosos</v>
      </c>
      <c r="N1784" s="198"/>
    </row>
    <row r="1785" spans="1:17" x14ac:dyDescent="0.2">
      <c r="A1785" s="1287" t="str">
        <f>+CONCATENATE("Serviço: ",J1784," ",VLOOKUP(J1784,'DER 10-18'!$A:$D,2,FALSE))</f>
        <v>Serviço: 40972 Bonificação de 15,28% sobre Materiais Betuminosos</v>
      </c>
      <c r="B1785" s="1287"/>
      <c r="C1785" s="1287"/>
      <c r="D1785" s="1287"/>
      <c r="E1785" s="1287"/>
      <c r="F1785" s="1287"/>
      <c r="G1785" s="1287"/>
      <c r="H1785" s="1287"/>
      <c r="I1785" s="1287" t="str">
        <f>CONCATENATE("Unidade: ", VLOOKUP(J1784,'DER 10-18'!$A:$E,3,FALSE))</f>
        <v>Unidade: %</v>
      </c>
      <c r="J1785" s="451"/>
      <c r="K1785" s="451"/>
      <c r="L1785" s="198"/>
      <c r="M1785" s="198"/>
      <c r="N1785" s="198"/>
    </row>
    <row r="1786" spans="1:17" x14ac:dyDescent="0.2">
      <c r="A1786" s="1288"/>
      <c r="B1786" s="1288"/>
      <c r="C1786" s="1288"/>
      <c r="D1786" s="1288"/>
      <c r="E1786" s="1288"/>
      <c r="F1786" s="1288"/>
      <c r="G1786" s="1288"/>
      <c r="H1786" s="1288"/>
      <c r="I1786" s="1288"/>
      <c r="J1786" s="451"/>
      <c r="K1786" s="451"/>
      <c r="L1786" s="198"/>
      <c r="M1786" s="198"/>
      <c r="N1786" s="198"/>
    </row>
    <row r="1787" spans="1:17" ht="22.5" x14ac:dyDescent="0.2">
      <c r="A1787" s="469" t="s">
        <v>192</v>
      </c>
      <c r="B1787" s="470" t="s">
        <v>60</v>
      </c>
      <c r="C1787" s="470" t="s">
        <v>193</v>
      </c>
      <c r="D1787" s="470" t="s">
        <v>194</v>
      </c>
      <c r="E1787" s="470" t="s">
        <v>195</v>
      </c>
      <c r="F1787" s="470" t="s">
        <v>196</v>
      </c>
      <c r="G1787" s="470" t="s">
        <v>197</v>
      </c>
      <c r="H1787" s="470" t="s">
        <v>91</v>
      </c>
      <c r="I1787" s="470" t="s">
        <v>198</v>
      </c>
      <c r="J1787" s="302"/>
      <c r="K1787" s="302"/>
    </row>
    <row r="1788" spans="1:17" x14ac:dyDescent="0.2">
      <c r="A1788" s="237"/>
      <c r="B1788" s="238"/>
      <c r="C1788" s="239"/>
      <c r="D1788" s="240"/>
      <c r="E1788" s="205"/>
      <c r="F1788" s="241"/>
      <c r="G1788" s="241"/>
      <c r="H1788" s="242"/>
      <c r="I1788" s="243"/>
      <c r="J1788" s="302"/>
      <c r="K1788" s="302"/>
    </row>
    <row r="1789" spans="1:17" x14ac:dyDescent="0.2">
      <c r="A1789" s="199"/>
      <c r="B1789" s="233"/>
      <c r="C1789" s="233"/>
      <c r="D1789" s="199"/>
      <c r="E1789" s="199"/>
      <c r="F1789" s="234" t="s">
        <v>199</v>
      </c>
      <c r="G1789" s="244"/>
      <c r="H1789" s="245"/>
      <c r="I1789" s="434">
        <f>SUM(I1788:I1788)</f>
        <v>0</v>
      </c>
      <c r="J1789" s="302"/>
      <c r="K1789" s="302"/>
    </row>
    <row r="1790" spans="1:17" s="198" customFormat="1" x14ac:dyDescent="0.2">
      <c r="A1790" s="199"/>
      <c r="B1790" s="233"/>
      <c r="C1790" s="233"/>
      <c r="D1790" s="199"/>
      <c r="E1790" s="199"/>
      <c r="F1790" s="199"/>
      <c r="G1790" s="199"/>
      <c r="H1790" s="199"/>
      <c r="I1790" s="200"/>
      <c r="J1790" s="302"/>
      <c r="K1790" s="302"/>
      <c r="L1790" s="302"/>
      <c r="M1790" s="302"/>
      <c r="N1790" s="302"/>
      <c r="O1790" s="302"/>
      <c r="P1790" s="302"/>
      <c r="Q1790" s="302"/>
    </row>
    <row r="1791" spans="1:17" x14ac:dyDescent="0.2">
      <c r="A1791" s="246" t="s">
        <v>200</v>
      </c>
      <c r="B1791" s="247" t="s">
        <v>60</v>
      </c>
      <c r="C1791" s="236" t="s">
        <v>1242</v>
      </c>
      <c r="D1791" s="247" t="s">
        <v>202</v>
      </c>
      <c r="E1791" s="1271" t="s">
        <v>91</v>
      </c>
      <c r="F1791" s="1272"/>
      <c r="G1791" s="1273"/>
      <c r="H1791" s="1276" t="s">
        <v>198</v>
      </c>
      <c r="I1791" s="1275"/>
      <c r="J1791" s="302"/>
      <c r="K1791" s="302"/>
    </row>
    <row r="1792" spans="1:17" x14ac:dyDescent="0.2">
      <c r="A1792" s="248"/>
      <c r="B1792" s="238"/>
      <c r="C1792" s="243"/>
      <c r="D1792" s="243"/>
      <c r="E1792" s="260"/>
      <c r="F1792" s="258"/>
      <c r="G1792" s="300"/>
      <c r="H1792" s="244"/>
      <c r="I1792" s="249"/>
      <c r="J1792" s="302"/>
      <c r="K1792" s="302"/>
    </row>
    <row r="1793" spans="1:11" x14ac:dyDescent="0.2">
      <c r="A1793" s="199"/>
      <c r="B1793" s="233"/>
      <c r="C1793" s="233"/>
      <c r="D1793" s="199"/>
      <c r="E1793" s="199"/>
      <c r="F1793" s="234" t="s">
        <v>203</v>
      </c>
      <c r="G1793" s="244"/>
      <c r="H1793" s="245"/>
      <c r="I1793" s="434">
        <f>SUM(I1792:I1792)</f>
        <v>0</v>
      </c>
      <c r="J1793" s="302"/>
      <c r="K1793" s="302"/>
    </row>
    <row r="1794" spans="1:11" x14ac:dyDescent="0.2">
      <c r="A1794" s="199"/>
      <c r="B1794" s="233"/>
      <c r="C1794" s="233"/>
      <c r="D1794" s="199"/>
      <c r="E1794" s="199"/>
      <c r="F1794" s="199"/>
      <c r="G1794" s="199"/>
      <c r="H1794" s="199"/>
      <c r="I1794" s="200"/>
      <c r="J1794" s="302"/>
      <c r="K1794" s="302"/>
    </row>
    <row r="1795" spans="1:11" x14ac:dyDescent="0.2">
      <c r="A1795" s="250" t="s">
        <v>204</v>
      </c>
      <c r="B1795" s="247" t="s">
        <v>60</v>
      </c>
      <c r="C1795" s="866" t="s">
        <v>17</v>
      </c>
      <c r="D1795" s="247" t="s">
        <v>205</v>
      </c>
      <c r="E1795" s="247" t="s">
        <v>206</v>
      </c>
      <c r="F1795" s="247" t="s">
        <v>207</v>
      </c>
      <c r="G1795" s="1276" t="s">
        <v>96</v>
      </c>
      <c r="H1795" s="1274"/>
      <c r="I1795" s="1275"/>
      <c r="J1795" s="302"/>
      <c r="K1795" s="302"/>
    </row>
    <row r="1796" spans="1:11" x14ac:dyDescent="0.2">
      <c r="A1796" s="248"/>
      <c r="B1796" s="238"/>
      <c r="C1796" s="243"/>
      <c r="D1796" s="239"/>
      <c r="E1796" s="251"/>
      <c r="F1796" s="251"/>
      <c r="G1796" s="244"/>
      <c r="H1796" s="245"/>
      <c r="I1796" s="249">
        <f>TRUNC(C1796/100*I1793,2)</f>
        <v>0</v>
      </c>
      <c r="J1796" s="302"/>
      <c r="K1796" s="302"/>
    </row>
    <row r="1797" spans="1:11" x14ac:dyDescent="0.2">
      <c r="A1797" s="199"/>
      <c r="B1797" s="233"/>
      <c r="C1797" s="199"/>
      <c r="D1797" s="199"/>
      <c r="E1797" s="199"/>
      <c r="F1797" s="234" t="s">
        <v>1170</v>
      </c>
      <c r="G1797" s="244"/>
      <c r="H1797" s="245"/>
      <c r="I1797" s="434">
        <f>SUM(I1796)</f>
        <v>0</v>
      </c>
      <c r="J1797" s="302"/>
      <c r="K1797" s="302"/>
    </row>
    <row r="1798" spans="1:11" x14ac:dyDescent="0.2">
      <c r="A1798" s="199"/>
      <c r="B1798" s="233"/>
      <c r="C1798" s="199"/>
      <c r="D1798" s="199"/>
      <c r="E1798" s="199"/>
      <c r="F1798" s="199"/>
      <c r="G1798" s="199"/>
      <c r="H1798" s="199"/>
      <c r="I1798" s="200"/>
      <c r="J1798" s="302"/>
      <c r="K1798" s="302"/>
    </row>
    <row r="1799" spans="1:11" x14ac:dyDescent="0.2">
      <c r="A1799" s="252"/>
      <c r="B1799" s="253"/>
      <c r="C1799" s="254"/>
      <c r="D1799" s="254"/>
      <c r="E1799" s="254"/>
      <c r="F1799" s="255" t="s">
        <v>208</v>
      </c>
      <c r="G1799" s="435"/>
      <c r="H1799" s="254"/>
      <c r="I1799" s="634">
        <f>+I1789+I1793+I1797</f>
        <v>0</v>
      </c>
      <c r="J1799" s="302"/>
      <c r="K1799" s="302"/>
    </row>
    <row r="1800" spans="1:11" x14ac:dyDescent="0.2">
      <c r="A1800" s="256"/>
      <c r="B1800" s="257"/>
      <c r="C1800" s="258"/>
      <c r="D1800" s="258"/>
      <c r="E1800" s="258"/>
      <c r="F1800" s="259" t="s">
        <v>209</v>
      </c>
      <c r="G1800" s="260"/>
      <c r="H1800" s="258"/>
      <c r="I1800" s="635">
        <v>1</v>
      </c>
      <c r="J1800" s="302"/>
      <c r="K1800" s="302"/>
    </row>
    <row r="1801" spans="1:11" x14ac:dyDescent="0.2">
      <c r="A1801" s="237"/>
      <c r="B1801" s="261"/>
      <c r="C1801" s="245"/>
      <c r="D1801" s="245"/>
      <c r="E1801" s="245"/>
      <c r="F1801" s="262" t="s">
        <v>232</v>
      </c>
      <c r="G1801" s="244"/>
      <c r="H1801" s="245"/>
      <c r="I1801" s="633"/>
      <c r="J1801" s="302"/>
      <c r="K1801" s="302"/>
    </row>
    <row r="1802" spans="1:11" x14ac:dyDescent="0.2">
      <c r="A1802" s="867"/>
      <c r="B1802" s="233"/>
      <c r="C1802" s="199"/>
      <c r="D1802" s="199"/>
      <c r="E1802" s="199"/>
      <c r="F1802" s="263"/>
      <c r="G1802" s="199"/>
      <c r="H1802" s="199"/>
      <c r="I1802" s="264"/>
      <c r="J1802" s="302"/>
      <c r="K1802" s="302"/>
    </row>
    <row r="1803" spans="1:11" x14ac:dyDescent="0.2">
      <c r="A1803" s="246" t="s">
        <v>210</v>
      </c>
      <c r="B1803" s="247" t="s">
        <v>60</v>
      </c>
      <c r="C1803" s="247" t="s">
        <v>211</v>
      </c>
      <c r="D1803" s="247" t="s">
        <v>233</v>
      </c>
      <c r="E1803" s="1276" t="s">
        <v>91</v>
      </c>
      <c r="F1803" s="1274"/>
      <c r="G1803" s="1275"/>
      <c r="H1803" s="1276" t="s">
        <v>198</v>
      </c>
      <c r="I1803" s="1275"/>
      <c r="K1803" s="302"/>
    </row>
    <row r="1804" spans="1:11" x14ac:dyDescent="0.2">
      <c r="A1804" s="265"/>
      <c r="B1804" s="238"/>
      <c r="C1804" s="266"/>
      <c r="D1804" s="267"/>
      <c r="E1804" s="260"/>
      <c r="F1804" s="258"/>
      <c r="G1804" s="300"/>
      <c r="H1804" s="260"/>
      <c r="I1804" s="268"/>
      <c r="K1804" s="302"/>
    </row>
    <row r="1805" spans="1:11" x14ac:dyDescent="0.2">
      <c r="A1805" s="199"/>
      <c r="B1805" s="233"/>
      <c r="C1805" s="199"/>
      <c r="D1805" s="199"/>
      <c r="E1805" s="199"/>
      <c r="F1805" s="234" t="s">
        <v>212</v>
      </c>
      <c r="G1805" s="244"/>
      <c r="H1805" s="245"/>
      <c r="I1805" s="434">
        <f>SUM(I1804:I1804)</f>
        <v>0</v>
      </c>
      <c r="K1805" s="302"/>
    </row>
    <row r="1806" spans="1:11" x14ac:dyDescent="0.2">
      <c r="A1806" s="199"/>
      <c r="B1806" s="233"/>
      <c r="C1806" s="199"/>
      <c r="D1806" s="199"/>
      <c r="E1806" s="199"/>
      <c r="F1806" s="199"/>
      <c r="G1806" s="269"/>
      <c r="H1806" s="199"/>
      <c r="I1806" s="200"/>
      <c r="K1806" s="302"/>
    </row>
    <row r="1807" spans="1:11" x14ac:dyDescent="0.2">
      <c r="A1807" s="270" t="s">
        <v>213</v>
      </c>
      <c r="B1807" s="247" t="s">
        <v>60</v>
      </c>
      <c r="C1807" s="247" t="s">
        <v>211</v>
      </c>
      <c r="D1807" s="866" t="s">
        <v>233</v>
      </c>
      <c r="E1807" s="1271" t="s">
        <v>91</v>
      </c>
      <c r="F1807" s="1272"/>
      <c r="G1807" s="1273"/>
      <c r="H1807" s="1274" t="s">
        <v>198</v>
      </c>
      <c r="I1807" s="1275"/>
      <c r="K1807" s="302"/>
    </row>
    <row r="1808" spans="1:11" x14ac:dyDescent="0.2">
      <c r="A1808" s="248"/>
      <c r="B1808" s="238"/>
      <c r="C1808" s="238"/>
      <c r="D1808" s="243"/>
      <c r="E1808" s="260"/>
      <c r="F1808" s="258"/>
      <c r="G1808" s="300"/>
      <c r="H1808" s="244"/>
      <c r="I1808" s="268">
        <f>TRUNC(D1808*G1808,2)</f>
        <v>0</v>
      </c>
      <c r="K1808" s="302"/>
    </row>
    <row r="1809" spans="1:13" x14ac:dyDescent="0.2">
      <c r="A1809" s="201"/>
      <c r="B1809" s="271"/>
      <c r="C1809" s="201"/>
      <c r="D1809" s="201"/>
      <c r="E1809" s="201"/>
      <c r="F1809" s="272" t="s">
        <v>214</v>
      </c>
      <c r="G1809" s="260"/>
      <c r="H1809" s="273"/>
      <c r="I1809" s="436">
        <f>SUM(I1808:I1808)</f>
        <v>0</v>
      </c>
      <c r="K1809" s="302"/>
    </row>
    <row r="1810" spans="1:13" x14ac:dyDescent="0.2">
      <c r="A1810" s="201"/>
      <c r="B1810" s="271"/>
      <c r="C1810" s="201"/>
      <c r="D1810" s="201"/>
      <c r="E1810" s="201"/>
      <c r="F1810" s="201"/>
      <c r="G1810" s="201"/>
      <c r="H1810" s="201"/>
      <c r="I1810" s="201"/>
      <c r="K1810" s="302"/>
    </row>
    <row r="1811" spans="1:13" x14ac:dyDescent="0.2">
      <c r="A1811" s="274" t="s">
        <v>215</v>
      </c>
      <c r="B1811" s="275" t="s">
        <v>60</v>
      </c>
      <c r="C1811" s="275" t="s">
        <v>211</v>
      </c>
      <c r="D1811" s="275" t="s">
        <v>216</v>
      </c>
      <c r="E1811" s="275" t="s">
        <v>217</v>
      </c>
      <c r="F1811" s="275" t="s">
        <v>218</v>
      </c>
      <c r="G1811" s="275" t="s">
        <v>96</v>
      </c>
      <c r="H1811" s="275" t="s">
        <v>91</v>
      </c>
      <c r="I1811" s="275" t="s">
        <v>219</v>
      </c>
      <c r="J1811" s="433" t="s">
        <v>113</v>
      </c>
      <c r="K1811" s="302"/>
    </row>
    <row r="1812" spans="1:13" x14ac:dyDescent="0.2">
      <c r="A1812" s="248"/>
      <c r="B1812" s="238"/>
      <c r="C1812" s="238"/>
      <c r="D1812" s="276"/>
      <c r="E1812" s="277"/>
      <c r="F1812" s="277"/>
      <c r="G1812" s="243"/>
      <c r="H1812" s="278"/>
      <c r="I1812" s="243"/>
      <c r="K1812" s="302"/>
    </row>
    <row r="1813" spans="1:13" x14ac:dyDescent="0.2">
      <c r="A1813" s="201"/>
      <c r="B1813" s="271"/>
      <c r="C1813" s="201"/>
      <c r="D1813" s="201"/>
      <c r="E1813" s="201"/>
      <c r="F1813" s="272" t="s">
        <v>220</v>
      </c>
      <c r="G1813" s="244"/>
      <c r="H1813" s="279"/>
      <c r="I1813" s="438">
        <f>SUM(I1812:I1812)</f>
        <v>0</v>
      </c>
      <c r="K1813" s="302"/>
    </row>
    <row r="1814" spans="1:13" x14ac:dyDescent="0.2">
      <c r="A1814" s="201"/>
      <c r="B1814" s="271"/>
      <c r="C1814" s="201"/>
      <c r="D1814" s="201"/>
      <c r="E1814" s="201"/>
      <c r="F1814" s="201"/>
      <c r="G1814" s="201"/>
      <c r="H1814" s="201"/>
      <c r="I1814" s="202"/>
      <c r="K1814" s="302"/>
    </row>
    <row r="1815" spans="1:13" x14ac:dyDescent="0.2">
      <c r="A1815" s="535" t="s">
        <v>1116</v>
      </c>
      <c r="B1815" s="281"/>
      <c r="C1815" s="282"/>
      <c r="D1815" s="282"/>
      <c r="E1815" s="282"/>
      <c r="F1815" s="283" t="s">
        <v>221</v>
      </c>
      <c r="G1815" s="280"/>
      <c r="H1815" s="254"/>
      <c r="I1815" s="634">
        <f>+I1801+I1805+I1809+I1813</f>
        <v>0</v>
      </c>
      <c r="K1815" s="302"/>
    </row>
    <row r="1816" spans="1:13" x14ac:dyDescent="0.2">
      <c r="A1816" s="244"/>
      <c r="B1816" s="286"/>
      <c r="C1816" s="279"/>
      <c r="D1816" s="279"/>
      <c r="E1816" s="279"/>
      <c r="F1816" s="287" t="s">
        <v>222</v>
      </c>
      <c r="G1816" s="440"/>
      <c r="H1816" s="245"/>
      <c r="I1816" s="1017">
        <f>I1815</f>
        <v>0</v>
      </c>
    </row>
    <row r="1817" spans="1:13" x14ac:dyDescent="0.2">
      <c r="A1817" s="1277" t="str">
        <f>$A$1</f>
        <v>COMPOSIÇÃO DE CUSTOS UNITÁRIOS</v>
      </c>
      <c r="B1817" s="1277"/>
      <c r="C1817" s="1277"/>
      <c r="D1817" s="1277"/>
      <c r="E1817" s="1277"/>
      <c r="F1817" s="1277"/>
      <c r="G1817" s="1277"/>
      <c r="H1817" s="1277"/>
      <c r="I1817" s="1277"/>
    </row>
    <row r="1818" spans="1:13" x14ac:dyDescent="0.2">
      <c r="A1818" s="232" t="str">
        <f>$A$2</f>
        <v>Tabela Referencial de Preços - DER-ES</v>
      </c>
      <c r="B1818" s="233"/>
      <c r="C1818" s="199"/>
      <c r="D1818" s="199"/>
      <c r="E1818" s="199"/>
      <c r="F1818" s="199"/>
      <c r="G1818" s="199"/>
      <c r="H1818" s="199"/>
      <c r="I1818" s="234" t="str">
        <f>$I$2</f>
        <v>Data Base: Outubro/2018</v>
      </c>
    </row>
    <row r="1819" spans="1:13" x14ac:dyDescent="0.2">
      <c r="A1819" s="1278" t="str">
        <f>+CONCATENATE("Serviço: ",J1819," ",VLOOKUP(J1819,'DER 10-18'!$A:$D,2,FALSE))</f>
        <v>Serviço: 40903 Cerca de arame farpado 4 fios com postes cada 2,5 m, esticadores de concreto a cada 25,0 m</v>
      </c>
      <c r="B1819" s="1278"/>
      <c r="C1819" s="1278"/>
      <c r="D1819" s="1278"/>
      <c r="E1819" s="1278"/>
      <c r="F1819" s="1278"/>
      <c r="G1819" s="1278"/>
      <c r="H1819" s="1278"/>
      <c r="I1819" s="1278" t="str">
        <f>CONCATENATE("Unidade: ", VLOOKUP(J1819,'DER 10-18'!$A:$E,3,FALSE))</f>
        <v>Unidade: M</v>
      </c>
      <c r="J1819" s="433">
        <v>40903</v>
      </c>
      <c r="K1819" s="433">
        <f>VLOOKUP("Preço Unitário Total",F1820:I4496,4,FALSE)</f>
        <v>23.86</v>
      </c>
      <c r="L1819" s="302" t="str">
        <f>VLOOKUP(J1819,'DER 10-18'!A:E,5,FALSE)</f>
        <v>A incluir</v>
      </c>
      <c r="M1819" s="302" t="str">
        <f>VLOOKUP(J1819,'DER 10-18'!$A:$D,2,FALSE)</f>
        <v>Cerca de arame farpado 4 fios com postes cada 2,5 m, esticadores de concreto a cada 25,0 m</v>
      </c>
    </row>
    <row r="1820" spans="1:13" x14ac:dyDescent="0.2">
      <c r="A1820" s="1279"/>
      <c r="B1820" s="1279"/>
      <c r="C1820" s="1279"/>
      <c r="D1820" s="1279"/>
      <c r="E1820" s="1279"/>
      <c r="F1820" s="1279"/>
      <c r="G1820" s="1279"/>
      <c r="H1820" s="1279"/>
      <c r="I1820" s="1279"/>
    </row>
    <row r="1821" spans="1:13" ht="22.5" x14ac:dyDescent="0.2">
      <c r="A1821" s="235" t="s">
        <v>192</v>
      </c>
      <c r="B1821" s="236" t="s">
        <v>60</v>
      </c>
      <c r="C1821" s="236" t="s">
        <v>193</v>
      </c>
      <c r="D1821" s="236" t="s">
        <v>194</v>
      </c>
      <c r="E1821" s="236" t="s">
        <v>195</v>
      </c>
      <c r="F1821" s="236" t="s">
        <v>196</v>
      </c>
      <c r="G1821" s="236" t="s">
        <v>197</v>
      </c>
      <c r="H1821" s="236" t="s">
        <v>91</v>
      </c>
      <c r="I1821" s="236" t="s">
        <v>198</v>
      </c>
    </row>
    <row r="1822" spans="1:13" x14ac:dyDescent="0.2">
      <c r="A1822" s="199"/>
      <c r="B1822" s="233"/>
      <c r="C1822" s="233"/>
      <c r="D1822" s="199"/>
      <c r="E1822" s="199"/>
      <c r="F1822" s="234" t="s">
        <v>199</v>
      </c>
      <c r="G1822" s="244"/>
      <c r="H1822" s="245"/>
      <c r="I1822" s="434"/>
    </row>
    <row r="1823" spans="1:13" x14ac:dyDescent="0.2">
      <c r="A1823" s="199"/>
      <c r="B1823" s="233"/>
      <c r="C1823" s="233"/>
      <c r="D1823" s="199"/>
      <c r="E1823" s="199"/>
      <c r="F1823" s="199"/>
      <c r="G1823" s="199"/>
      <c r="H1823" s="199"/>
      <c r="I1823" s="200"/>
    </row>
    <row r="1824" spans="1:13" x14ac:dyDescent="0.2">
      <c r="A1824" s="246" t="s">
        <v>200</v>
      </c>
      <c r="B1824" s="247" t="s">
        <v>60</v>
      </c>
      <c r="C1824" s="236" t="s">
        <v>1242</v>
      </c>
      <c r="D1824" s="247" t="s">
        <v>202</v>
      </c>
      <c r="E1824" s="1271" t="s">
        <v>91</v>
      </c>
      <c r="F1824" s="1272"/>
      <c r="G1824" s="1273"/>
      <c r="H1824" s="1276" t="s">
        <v>198</v>
      </c>
      <c r="I1824" s="1275"/>
    </row>
    <row r="1825" spans="1:17" x14ac:dyDescent="0.2">
      <c r="A1825" s="248" t="str">
        <f>VLOOKUP(B1825,m.o.!$A:$H,2,FALSE)</f>
        <v>Encarregado de O.A.C.</v>
      </c>
      <c r="B1825" s="238">
        <v>20060</v>
      </c>
      <c r="C1825" s="243">
        <f>VLOOKUP(B1825,m.o.!$A:$F,4,FALSE)</f>
        <v>2.2599999999999998</v>
      </c>
      <c r="D1825" s="243">
        <f>VLOOKUP(B1825,m.o.!$A:$G,7,FALSE)</f>
        <v>26.3</v>
      </c>
      <c r="E1825" s="260"/>
      <c r="F1825" s="258"/>
      <c r="G1825" s="300">
        <v>1</v>
      </c>
      <c r="H1825" s="244"/>
      <c r="I1825" s="249">
        <f>TRUNC(D1825*G1825,2)</f>
        <v>26.3</v>
      </c>
    </row>
    <row r="1826" spans="1:17" s="198" customFormat="1" x14ac:dyDescent="0.2">
      <c r="A1826" s="248" t="str">
        <f>VLOOKUP(B1826,m.o.!$A:$H,2,FALSE)</f>
        <v>Servente</v>
      </c>
      <c r="B1826" s="238">
        <v>20002</v>
      </c>
      <c r="C1826" s="243">
        <f>VLOOKUP(B1826,m.o.!$A:$F,4,FALSE)</f>
        <v>1</v>
      </c>
      <c r="D1826" s="243">
        <f>VLOOKUP(B1826,m.o.!$A:$G,7,FALSE)</f>
        <v>11.64</v>
      </c>
      <c r="E1826" s="260"/>
      <c r="F1826" s="258"/>
      <c r="G1826" s="300">
        <v>7</v>
      </c>
      <c r="H1826" s="244"/>
      <c r="I1826" s="249">
        <f>TRUNC(D1826*G1826,2)</f>
        <v>81.48</v>
      </c>
      <c r="J1826" s="433"/>
      <c r="K1826" s="433"/>
      <c r="L1826" s="302"/>
      <c r="M1826" s="302"/>
      <c r="N1826" s="302"/>
      <c r="O1826" s="302"/>
      <c r="P1826" s="302"/>
      <c r="Q1826" s="302"/>
    </row>
    <row r="1827" spans="1:17" x14ac:dyDescent="0.2">
      <c r="A1827" s="199"/>
      <c r="B1827" s="233"/>
      <c r="C1827" s="233"/>
      <c r="D1827" s="199"/>
      <c r="E1827" s="199"/>
      <c r="F1827" s="234" t="s">
        <v>203</v>
      </c>
      <c r="G1827" s="244"/>
      <c r="H1827" s="245"/>
      <c r="I1827" s="434">
        <f>SUM(I1825:I1826)</f>
        <v>107.78</v>
      </c>
    </row>
    <row r="1828" spans="1:17" x14ac:dyDescent="0.2">
      <c r="A1828" s="199"/>
      <c r="B1828" s="233"/>
      <c r="C1828" s="233"/>
      <c r="D1828" s="199"/>
      <c r="E1828" s="199"/>
      <c r="F1828" s="199"/>
      <c r="G1828" s="199"/>
      <c r="H1828" s="199"/>
      <c r="I1828" s="200"/>
    </row>
    <row r="1829" spans="1:17" x14ac:dyDescent="0.2">
      <c r="A1829" s="250" t="s">
        <v>204</v>
      </c>
      <c r="B1829" s="247" t="s">
        <v>60</v>
      </c>
      <c r="C1829" s="866" t="s">
        <v>17</v>
      </c>
      <c r="D1829" s="247" t="s">
        <v>205</v>
      </c>
      <c r="E1829" s="247" t="s">
        <v>206</v>
      </c>
      <c r="F1829" s="247" t="s">
        <v>207</v>
      </c>
      <c r="G1829" s="1276" t="s">
        <v>96</v>
      </c>
      <c r="H1829" s="1274"/>
      <c r="I1829" s="1275"/>
    </row>
    <row r="1830" spans="1:17" x14ac:dyDescent="0.2">
      <c r="A1830" s="248" t="s">
        <v>142</v>
      </c>
      <c r="B1830" s="238">
        <v>2000</v>
      </c>
      <c r="C1830" s="243">
        <v>5</v>
      </c>
      <c r="D1830" s="239" t="s">
        <v>223</v>
      </c>
      <c r="E1830" s="251"/>
      <c r="F1830" s="251"/>
      <c r="G1830" s="244"/>
      <c r="H1830" s="245"/>
      <c r="I1830" s="249">
        <f>TRUNC(C1830/100*I1827,2)</f>
        <v>5.38</v>
      </c>
      <c r="J1830" s="451"/>
      <c r="K1830" s="451"/>
      <c r="L1830" s="198"/>
      <c r="M1830" s="198"/>
      <c r="N1830" s="198"/>
      <c r="O1830" s="198"/>
      <c r="P1830" s="198"/>
      <c r="Q1830" s="198"/>
    </row>
    <row r="1831" spans="1:17" x14ac:dyDescent="0.2">
      <c r="A1831" s="199"/>
      <c r="B1831" s="233"/>
      <c r="C1831" s="199"/>
      <c r="D1831" s="199"/>
      <c r="E1831" s="199"/>
      <c r="F1831" s="234" t="s">
        <v>1170</v>
      </c>
      <c r="G1831" s="244"/>
      <c r="H1831" s="245"/>
      <c r="I1831" s="434">
        <f>SUM(I1830)</f>
        <v>5.38</v>
      </c>
    </row>
    <row r="1832" spans="1:17" x14ac:dyDescent="0.2">
      <c r="A1832" s="199"/>
      <c r="B1832" s="233"/>
      <c r="C1832" s="199"/>
      <c r="D1832" s="199"/>
      <c r="E1832" s="199"/>
      <c r="F1832" s="199"/>
      <c r="G1832" s="199"/>
      <c r="H1832" s="199"/>
      <c r="I1832" s="200"/>
    </row>
    <row r="1833" spans="1:17" x14ac:dyDescent="0.2">
      <c r="A1833" s="252"/>
      <c r="B1833" s="253"/>
      <c r="C1833" s="254"/>
      <c r="D1833" s="254"/>
      <c r="E1833" s="254"/>
      <c r="F1833" s="255" t="s">
        <v>208</v>
      </c>
      <c r="G1833" s="435"/>
      <c r="H1833" s="254"/>
      <c r="I1833" s="634">
        <f>+I1822+I1827+I1831</f>
        <v>113.16</v>
      </c>
    </row>
    <row r="1834" spans="1:17" x14ac:dyDescent="0.2">
      <c r="A1834" s="256"/>
      <c r="B1834" s="257"/>
      <c r="C1834" s="258"/>
      <c r="D1834" s="258"/>
      <c r="E1834" s="258"/>
      <c r="F1834" s="259" t="s">
        <v>209</v>
      </c>
      <c r="G1834" s="260"/>
      <c r="H1834" s="258"/>
      <c r="I1834" s="635">
        <v>60</v>
      </c>
    </row>
    <row r="1835" spans="1:17" x14ac:dyDescent="0.2">
      <c r="A1835" s="237"/>
      <c r="B1835" s="261"/>
      <c r="C1835" s="245"/>
      <c r="D1835" s="245"/>
      <c r="E1835" s="245"/>
      <c r="F1835" s="262" t="s">
        <v>232</v>
      </c>
      <c r="G1835" s="244"/>
      <c r="H1835" s="245"/>
      <c r="I1835" s="633">
        <f>TRUNC(I1833/I1834,2)</f>
        <v>1.88</v>
      </c>
    </row>
    <row r="1836" spans="1:17" x14ac:dyDescent="0.2">
      <c r="A1836" s="867"/>
      <c r="B1836" s="233"/>
      <c r="C1836" s="199"/>
      <c r="D1836" s="199"/>
      <c r="E1836" s="199"/>
      <c r="F1836" s="263"/>
      <c r="G1836" s="199"/>
      <c r="H1836" s="199"/>
      <c r="I1836" s="264"/>
    </row>
    <row r="1837" spans="1:17" x14ac:dyDescent="0.2">
      <c r="A1837" s="500" t="s">
        <v>210</v>
      </c>
      <c r="B1837" s="468" t="s">
        <v>60</v>
      </c>
      <c r="C1837" s="468" t="s">
        <v>211</v>
      </c>
      <c r="D1837" s="468" t="s">
        <v>233</v>
      </c>
      <c r="E1837" s="1289" t="s">
        <v>91</v>
      </c>
      <c r="F1837" s="1284"/>
      <c r="G1837" s="1285"/>
      <c r="H1837" s="1289" t="s">
        <v>198</v>
      </c>
      <c r="I1837" s="1285"/>
      <c r="J1837" s="451"/>
      <c r="K1837" s="451"/>
      <c r="L1837" s="198"/>
      <c r="M1837" s="198"/>
      <c r="N1837" s="198"/>
      <c r="O1837" s="198"/>
      <c r="P1837" s="198"/>
      <c r="Q1837" s="198"/>
    </row>
    <row r="1838" spans="1:17" x14ac:dyDescent="0.2">
      <c r="A1838" s="265" t="str">
        <f>VLOOKUP(B1838,mat.!$A:$D,2,FALSE)</f>
        <v>Arame farpado fio 16 rolo 500 m</v>
      </c>
      <c r="B1838" s="238">
        <v>10140</v>
      </c>
      <c r="C1838" s="266" t="str">
        <f>VLOOKUP(B1838,mat.!$A:$D,3,FALSE)</f>
        <v>rl</v>
      </c>
      <c r="D1838" s="267">
        <f>VLOOKUP(B1838,mat.!$A:$D,4,FALSE)</f>
        <v>341.46</v>
      </c>
      <c r="E1838" s="260"/>
      <c r="F1838" s="258"/>
      <c r="G1838" s="300">
        <v>8.0000000000000002E-3</v>
      </c>
      <c r="H1838" s="260"/>
      <c r="I1838" s="268">
        <f t="shared" ref="I1838:I1839" si="16">TRUNC(D1838*G1838,2)</f>
        <v>2.73</v>
      </c>
      <c r="J1838" s="451"/>
      <c r="K1838" s="451"/>
      <c r="L1838" s="198"/>
      <c r="M1838" s="198"/>
      <c r="N1838" s="198"/>
      <c r="O1838" s="198"/>
      <c r="P1838" s="198"/>
      <c r="Q1838" s="198"/>
    </row>
    <row r="1839" spans="1:17" ht="22.5" x14ac:dyDescent="0.2">
      <c r="A1839" s="265" t="str">
        <f>VLOOKUP(B1839,mat.!$A:$D,2,FALSE)</f>
        <v>Mourao quadrado (tipo DNIT) 10 X 10 cm X 2,20 m</v>
      </c>
      <c r="B1839" s="238">
        <v>10260</v>
      </c>
      <c r="C1839" s="266" t="str">
        <f>VLOOKUP(B1839,mat.!$A:$D,3,FALSE)</f>
        <v>PÇ</v>
      </c>
      <c r="D1839" s="267">
        <f>VLOOKUP(B1839,mat.!$A:$D,4,FALSE)</f>
        <v>34.229999999999997</v>
      </c>
      <c r="E1839" s="260"/>
      <c r="F1839" s="258"/>
      <c r="G1839" s="300">
        <v>0.04</v>
      </c>
      <c r="H1839" s="260"/>
      <c r="I1839" s="268">
        <f t="shared" si="16"/>
        <v>1.36</v>
      </c>
      <c r="J1839" s="451"/>
      <c r="K1839" s="451"/>
      <c r="L1839" s="198"/>
      <c r="M1839" s="198"/>
      <c r="N1839" s="198"/>
      <c r="O1839" s="198"/>
      <c r="P1839" s="198"/>
      <c r="Q1839" s="198"/>
    </row>
    <row r="1840" spans="1:17" ht="22.5" x14ac:dyDescent="0.2">
      <c r="A1840" s="265" t="str">
        <f>VLOOKUP(B1840,mat.!$A:$D,2,FALSE)</f>
        <v>Mourao triangular (tipo DNIT) 10 cm X 2,00 m</v>
      </c>
      <c r="B1840" s="238">
        <v>10261</v>
      </c>
      <c r="C1840" s="266" t="str">
        <f>VLOOKUP(B1840,mat.!$A:$D,3,FALSE)</f>
        <v>PÇ</v>
      </c>
      <c r="D1840" s="267">
        <f>VLOOKUP(B1840,mat.!$A:$D,4,FALSE)</f>
        <v>28.82</v>
      </c>
      <c r="E1840" s="260"/>
      <c r="F1840" s="258"/>
      <c r="G1840" s="300">
        <v>0.4</v>
      </c>
      <c r="H1840" s="260"/>
      <c r="I1840" s="268">
        <f>TRUNC(D1840*G1840,2)</f>
        <v>11.52</v>
      </c>
    </row>
    <row r="1841" spans="1:17" x14ac:dyDescent="0.2">
      <c r="A1841" s="199"/>
      <c r="B1841" s="233"/>
      <c r="C1841" s="199"/>
      <c r="D1841" s="199"/>
      <c r="E1841" s="199"/>
      <c r="F1841" s="234" t="s">
        <v>212</v>
      </c>
      <c r="G1841" s="244"/>
      <c r="H1841" s="245"/>
      <c r="I1841" s="434">
        <f>SUM(I1838:I1840)</f>
        <v>15.61</v>
      </c>
    </row>
    <row r="1842" spans="1:17" x14ac:dyDescent="0.2">
      <c r="A1842" s="199"/>
      <c r="B1842" s="233"/>
      <c r="C1842" s="199"/>
      <c r="D1842" s="199"/>
      <c r="E1842" s="199"/>
      <c r="F1842" s="199"/>
      <c r="G1842" s="269"/>
      <c r="H1842" s="199"/>
      <c r="I1842" s="200"/>
    </row>
    <row r="1843" spans="1:17" x14ac:dyDescent="0.2">
      <c r="A1843" s="270" t="s">
        <v>213</v>
      </c>
      <c r="B1843" s="247" t="s">
        <v>60</v>
      </c>
      <c r="C1843" s="247" t="s">
        <v>211</v>
      </c>
      <c r="D1843" s="866" t="s">
        <v>233</v>
      </c>
      <c r="E1843" s="1271" t="s">
        <v>91</v>
      </c>
      <c r="F1843" s="1272"/>
      <c r="G1843" s="1273"/>
      <c r="H1843" s="1274" t="s">
        <v>198</v>
      </c>
      <c r="I1843" s="1275"/>
    </row>
    <row r="1844" spans="1:17" ht="33.75" x14ac:dyDescent="0.2">
      <c r="A1844" s="452" t="str">
        <f>VLOOKUP(B1844,'DER 10-18'!$A:$E,2,FALSE)</f>
        <v>Escavação manual furos, valetas mat. 1ª cat. H= 0,00 a 1,50 m (dim. reduz.)</v>
      </c>
      <c r="B1844" s="453">
        <v>40256</v>
      </c>
      <c r="C1844" s="453" t="str">
        <f>VLOOKUP(B1844,'DER 10-18'!$A:$E,3,FALSE)</f>
        <v>M3</v>
      </c>
      <c r="D1844" s="454">
        <f>TRUNC(VLOOKUP(B1844,'DER 10-18'!$A:$F,6,FALSE)/(1+$I$4),2)</f>
        <v>77.53</v>
      </c>
      <c r="E1844" s="455"/>
      <c r="F1844" s="456"/>
      <c r="G1844" s="457">
        <v>1.9800000000000002E-2</v>
      </c>
      <c r="H1844" s="458"/>
      <c r="I1844" s="459">
        <f t="shared" ref="I1844" si="17">TRUNC(D1844*G1844,2)</f>
        <v>1.53</v>
      </c>
    </row>
    <row r="1845" spans="1:17" x14ac:dyDescent="0.2">
      <c r="A1845" s="201"/>
      <c r="B1845" s="271"/>
      <c r="C1845" s="201"/>
      <c r="D1845" s="201"/>
      <c r="E1845" s="201"/>
      <c r="F1845" s="272" t="s">
        <v>214</v>
      </c>
      <c r="G1845" s="260"/>
      <c r="H1845" s="273"/>
      <c r="I1845" s="436">
        <f>I1844</f>
        <v>1.53</v>
      </c>
    </row>
    <row r="1846" spans="1:17" x14ac:dyDescent="0.2">
      <c r="A1846" s="201"/>
      <c r="B1846" s="271"/>
      <c r="C1846" s="201"/>
      <c r="D1846" s="201"/>
      <c r="E1846" s="201"/>
      <c r="F1846" s="201"/>
      <c r="G1846" s="201"/>
      <c r="H1846" s="201"/>
      <c r="I1846" s="201"/>
    </row>
    <row r="1847" spans="1:17" x14ac:dyDescent="0.2">
      <c r="A1847" s="274" t="s">
        <v>215</v>
      </c>
      <c r="B1847" s="275" t="s">
        <v>60</v>
      </c>
      <c r="C1847" s="275" t="s">
        <v>211</v>
      </c>
      <c r="D1847" s="275" t="s">
        <v>216</v>
      </c>
      <c r="E1847" s="275" t="s">
        <v>217</v>
      </c>
      <c r="F1847" s="275" t="s">
        <v>218</v>
      </c>
      <c r="G1847" s="275" t="s">
        <v>96</v>
      </c>
      <c r="H1847" s="275" t="s">
        <v>91</v>
      </c>
      <c r="I1847" s="275" t="s">
        <v>219</v>
      </c>
      <c r="J1847" s="198"/>
      <c r="K1847" s="451"/>
      <c r="L1847" s="198"/>
      <c r="M1847" s="198"/>
      <c r="N1847" s="198"/>
      <c r="O1847" s="198"/>
      <c r="P1847" s="198"/>
      <c r="Q1847" s="198"/>
    </row>
    <row r="1848" spans="1:17" ht="22.5" x14ac:dyDescent="0.2">
      <c r="A1848" s="265" t="str">
        <f>VLOOKUP(B1848,tranp.!A:D,2,FALSE)</f>
        <v>Transp. de Arame farpado fio 16 rolo 500 m</v>
      </c>
      <c r="B1848" s="453">
        <v>1002</v>
      </c>
      <c r="C1848" s="453" t="str">
        <f>VLOOKUP(B1848,tranp.!$A:$J,3,FALSE)</f>
        <v xml:space="preserve"> t  </v>
      </c>
      <c r="D1848" s="518" t="str">
        <f>VLOOKUP(B1848,tranp.!$A:$J,4,FALSE)</f>
        <v>0,676XP + 0,703XR</v>
      </c>
      <c r="E1848" s="519">
        <f>VLOOKUP(J1848,Ocor.!$B:$F,4,FALSE)</f>
        <v>37.200000000000003</v>
      </c>
      <c r="F1848" s="519">
        <f>VLOOKUP(J1848,Ocor.!$B:$F,5,FALSE)</f>
        <v>5.6</v>
      </c>
      <c r="G1848" s="454">
        <f>TRUNC(VLOOKUP(B1848,tranp.!$A:$J,5,FALSE)*E1848+VLOOKUP(B1848,tranp.!$A:$J,6,FALSE)*F1848+VLOOKUP(B1848,tranp.!$A:$J,7,FALSE),2)</f>
        <v>29.08</v>
      </c>
      <c r="H1848" s="520">
        <v>2.0000000000000001E-4</v>
      </c>
      <c r="I1848" s="454">
        <f t="shared" ref="I1848:I1849" si="18">TRUNC(G1848*H1848,2)</f>
        <v>0</v>
      </c>
      <c r="J1848" s="433" t="s">
        <v>1059</v>
      </c>
      <c r="K1848" s="451"/>
      <c r="L1848" s="198"/>
      <c r="M1848" s="198"/>
      <c r="N1848" s="198"/>
      <c r="O1848" s="198"/>
      <c r="P1848" s="198"/>
      <c r="Q1848" s="198"/>
    </row>
    <row r="1849" spans="1:17" ht="22.5" x14ac:dyDescent="0.2">
      <c r="A1849" s="265" t="str">
        <f>VLOOKUP(B1849,tranp.!A:D,2,FALSE)</f>
        <v>Transp. de Mourao quadrado (tipo DNER) 10 X 10 cm X 2,20 m</v>
      </c>
      <c r="B1849" s="453">
        <v>1630</v>
      </c>
      <c r="C1849" s="453" t="str">
        <f>VLOOKUP(B1849,tranp.!$A:$J,3,FALSE)</f>
        <v xml:space="preserve"> t  </v>
      </c>
      <c r="D1849" s="518" t="str">
        <f>VLOOKUP(B1849,tranp.!$A:$J,4,FALSE)</f>
        <v>0,676XP + 0,703XR</v>
      </c>
      <c r="E1849" s="519">
        <f>VLOOKUP(J1849,Ocor.!$B:$F,4,FALSE)</f>
        <v>37.200000000000003</v>
      </c>
      <c r="F1849" s="519">
        <f>VLOOKUP(J1849,Ocor.!$B:$F,5,FALSE)</f>
        <v>5.6</v>
      </c>
      <c r="G1849" s="454">
        <f>TRUNC(VLOOKUP(B1849,tranp.!$A:$J,5,FALSE)*E1849+VLOOKUP(B1849,tranp.!$A:$J,6,FALSE)*F1849+VLOOKUP(B1849,tranp.!$A:$J,7,FALSE),2)</f>
        <v>29.08</v>
      </c>
      <c r="H1849" s="520">
        <v>2.0999999999999999E-3</v>
      </c>
      <c r="I1849" s="454">
        <f t="shared" si="18"/>
        <v>0.06</v>
      </c>
      <c r="J1849" s="433" t="s">
        <v>118</v>
      </c>
      <c r="K1849" s="451"/>
      <c r="L1849" s="198"/>
      <c r="M1849" s="198"/>
      <c r="N1849" s="198"/>
      <c r="O1849" s="198"/>
      <c r="P1849" s="198"/>
      <c r="Q1849" s="198"/>
    </row>
    <row r="1850" spans="1:17" ht="22.5" x14ac:dyDescent="0.2">
      <c r="A1850" s="265" t="str">
        <f>VLOOKUP(B1850,tranp.!A:D,2,FALSE)</f>
        <v>Transp. de Mourao triangular (tipo DNER) 10 cm X 2,00 m</v>
      </c>
      <c r="B1850" s="453">
        <v>1631</v>
      </c>
      <c r="C1850" s="453" t="str">
        <f>VLOOKUP(B1850,tranp.!$A:$J,3,FALSE)</f>
        <v xml:space="preserve"> t  </v>
      </c>
      <c r="D1850" s="518" t="str">
        <f>VLOOKUP(B1850,tranp.!$A:$J,4,FALSE)</f>
        <v>0,676XP + 0,703XR</v>
      </c>
      <c r="E1850" s="519">
        <f>VLOOKUP(J1850,Ocor.!$B:$F,4,FALSE)</f>
        <v>37.200000000000003</v>
      </c>
      <c r="F1850" s="519">
        <f>VLOOKUP(J1850,Ocor.!$B:$F,5,FALSE)</f>
        <v>5.6</v>
      </c>
      <c r="G1850" s="454">
        <f>TRUNC(VLOOKUP(B1850,tranp.!$A:$J,5,FALSE)*E1850+VLOOKUP(B1850,tranp.!$A:$J,6,FALSE)*F1850+VLOOKUP(B1850,tranp.!$A:$J,7,FALSE),2)</f>
        <v>29.08</v>
      </c>
      <c r="H1850" s="520">
        <v>9.5999999999999992E-3</v>
      </c>
      <c r="I1850" s="454">
        <f>TRUNC(G1850*H1850,2)</f>
        <v>0.27</v>
      </c>
      <c r="J1850" s="433" t="s">
        <v>118</v>
      </c>
    </row>
    <row r="1851" spans="1:17" x14ac:dyDescent="0.2">
      <c r="A1851" s="201"/>
      <c r="B1851" s="271"/>
      <c r="C1851" s="201"/>
      <c r="D1851" s="201"/>
      <c r="E1851" s="201"/>
      <c r="F1851" s="272" t="s">
        <v>220</v>
      </c>
      <c r="G1851" s="244"/>
      <c r="H1851" s="279"/>
      <c r="I1851" s="438">
        <f>SUM(I1848:I1850)</f>
        <v>0.33</v>
      </c>
    </row>
    <row r="1852" spans="1:17" x14ac:dyDescent="0.2">
      <c r="A1852" s="201"/>
      <c r="B1852" s="271"/>
      <c r="C1852" s="201"/>
      <c r="D1852" s="201"/>
      <c r="E1852" s="201"/>
      <c r="F1852" s="201"/>
      <c r="G1852" s="201"/>
      <c r="H1852" s="201"/>
      <c r="I1852" s="202"/>
      <c r="J1852" s="446"/>
    </row>
    <row r="1853" spans="1:17" x14ac:dyDescent="0.2">
      <c r="A1853" s="280"/>
      <c r="B1853" s="281"/>
      <c r="C1853" s="282"/>
      <c r="D1853" s="282"/>
      <c r="E1853" s="282"/>
      <c r="F1853" s="283" t="s">
        <v>221</v>
      </c>
      <c r="G1853" s="280"/>
      <c r="H1853" s="254"/>
      <c r="I1853" s="634">
        <f>+I1835+I1841+I1845+I1851</f>
        <v>19.350000000000001</v>
      </c>
    </row>
    <row r="1854" spans="1:17" x14ac:dyDescent="0.2">
      <c r="A1854" s="260"/>
      <c r="B1854" s="284"/>
      <c r="C1854" s="273"/>
      <c r="D1854" s="273"/>
      <c r="E1854" s="273"/>
      <c r="F1854" s="285" t="str">
        <f>CONCATENATE($H$3," ",$I$3)</f>
        <v>BDI: 23,32</v>
      </c>
      <c r="G1854" s="439"/>
      <c r="H1854" s="258"/>
      <c r="I1854" s="635">
        <f>+ROUND(I1853*$I$4,2)</f>
        <v>4.51</v>
      </c>
      <c r="J1854" s="446"/>
      <c r="K1854" s="302"/>
    </row>
    <row r="1855" spans="1:17" x14ac:dyDescent="0.2">
      <c r="A1855" s="244"/>
      <c r="B1855" s="286"/>
      <c r="C1855" s="279"/>
      <c r="D1855" s="279"/>
      <c r="E1855" s="279"/>
      <c r="F1855" s="287" t="s">
        <v>222</v>
      </c>
      <c r="G1855" s="440"/>
      <c r="H1855" s="245"/>
      <c r="I1855" s="1017">
        <f>+I1853+I1854</f>
        <v>23.86</v>
      </c>
    </row>
    <row r="1856" spans="1:17" x14ac:dyDescent="0.2">
      <c r="A1856" s="1277" t="str">
        <f>$A$1</f>
        <v>COMPOSIÇÃO DE CUSTOS UNITÁRIOS</v>
      </c>
      <c r="B1856" s="1277"/>
      <c r="C1856" s="1277"/>
      <c r="D1856" s="1277"/>
      <c r="E1856" s="1277"/>
      <c r="F1856" s="1277"/>
      <c r="G1856" s="1277"/>
      <c r="H1856" s="1277"/>
      <c r="I1856" s="1277"/>
    </row>
    <row r="1857" spans="1:13" x14ac:dyDescent="0.2">
      <c r="A1857" s="232" t="str">
        <f>$A$2</f>
        <v>Tabela Referencial de Preços - DER-ES</v>
      </c>
      <c r="B1857" s="233"/>
      <c r="C1857" s="199"/>
      <c r="D1857" s="199"/>
      <c r="E1857" s="199"/>
      <c r="F1857" s="199"/>
      <c r="G1857" s="199"/>
      <c r="H1857" s="199"/>
      <c r="I1857" s="234" t="str">
        <f>$I$2</f>
        <v>Data Base: Outubro/2018</v>
      </c>
      <c r="J1857" s="433">
        <v>40902</v>
      </c>
      <c r="K1857" s="433">
        <f>VLOOKUP("Preço Unitário Total",F1859:I4208,4,FALSE)</f>
        <v>5.1100000000000003</v>
      </c>
      <c r="L1857" s="302">
        <f>VLOOKUP(J1857,'DER 10-18'!A:E,5,FALSE)</f>
        <v>0</v>
      </c>
      <c r="M1857" s="302" t="str">
        <f>VLOOKUP(J1857,'DER 10-18'!$A:$D,2,FALSE)</f>
        <v>Deslocamento de cerca de madeira com 4 fios de arame</v>
      </c>
    </row>
    <row r="1858" spans="1:13" x14ac:dyDescent="0.2">
      <c r="A1858" s="1278" t="str">
        <f>+CONCATENATE("Serviço: ",J1857," ",VLOOKUP(J1857,'DER 10-18'!$A:$D,2,FALSE))</f>
        <v>Serviço: 40902 Deslocamento de cerca de madeira com 4 fios de arame</v>
      </c>
      <c r="B1858" s="1278"/>
      <c r="C1858" s="1278"/>
      <c r="D1858" s="1278"/>
      <c r="E1858" s="1278"/>
      <c r="F1858" s="1278"/>
      <c r="G1858" s="1278"/>
      <c r="H1858" s="1278"/>
      <c r="I1858" s="1278" t="str">
        <f>CONCATENATE("Unidade: ", VLOOKUP(J1857,'DER 10-18'!$A:$E,3,FALSE))</f>
        <v>Unidade: M</v>
      </c>
    </row>
    <row r="1859" spans="1:13" x14ac:dyDescent="0.2">
      <c r="A1859" s="1279"/>
      <c r="B1859" s="1279"/>
      <c r="C1859" s="1279"/>
      <c r="D1859" s="1279"/>
      <c r="E1859" s="1279"/>
      <c r="F1859" s="1279"/>
      <c r="G1859" s="1279"/>
      <c r="H1859" s="1279"/>
      <c r="I1859" s="1279"/>
    </row>
    <row r="1860" spans="1:13" ht="22.5" x14ac:dyDescent="0.2">
      <c r="A1860" s="235" t="s">
        <v>192</v>
      </c>
      <c r="B1860" s="236" t="s">
        <v>60</v>
      </c>
      <c r="C1860" s="236" t="s">
        <v>193</v>
      </c>
      <c r="D1860" s="236" t="s">
        <v>194</v>
      </c>
      <c r="E1860" s="236" t="s">
        <v>195</v>
      </c>
      <c r="F1860" s="236" t="s">
        <v>196</v>
      </c>
      <c r="G1860" s="236" t="s">
        <v>197</v>
      </c>
      <c r="H1860" s="236" t="s">
        <v>91</v>
      </c>
      <c r="I1860" s="236" t="s">
        <v>198</v>
      </c>
    </row>
    <row r="1861" spans="1:13" x14ac:dyDescent="0.2">
      <c r="A1861" s="237"/>
      <c r="B1861" s="238"/>
      <c r="C1861" s="239"/>
      <c r="D1861" s="240"/>
      <c r="E1861" s="205"/>
      <c r="F1861" s="241"/>
      <c r="G1861" s="241"/>
      <c r="H1861" s="242"/>
      <c r="I1861" s="243"/>
    </row>
    <row r="1862" spans="1:13" x14ac:dyDescent="0.2">
      <c r="A1862" s="199"/>
      <c r="B1862" s="233"/>
      <c r="C1862" s="233"/>
      <c r="D1862" s="199"/>
      <c r="E1862" s="199"/>
      <c r="F1862" s="234" t="s">
        <v>199</v>
      </c>
      <c r="G1862" s="244"/>
      <c r="H1862" s="245"/>
      <c r="I1862" s="434">
        <f>SUM(I1861:I1861)</f>
        <v>0</v>
      </c>
    </row>
    <row r="1863" spans="1:13" x14ac:dyDescent="0.2">
      <c r="A1863" s="199"/>
      <c r="B1863" s="233"/>
      <c r="C1863" s="233"/>
      <c r="D1863" s="199"/>
      <c r="E1863" s="199"/>
      <c r="F1863" s="199"/>
      <c r="G1863" s="199"/>
      <c r="H1863" s="199"/>
      <c r="I1863" s="200"/>
    </row>
    <row r="1864" spans="1:13" x14ac:dyDescent="0.2">
      <c r="A1864" s="246" t="s">
        <v>200</v>
      </c>
      <c r="B1864" s="247" t="s">
        <v>60</v>
      </c>
      <c r="C1864" s="236" t="s">
        <v>1242</v>
      </c>
      <c r="D1864" s="247" t="s">
        <v>202</v>
      </c>
      <c r="E1864" s="1271" t="s">
        <v>91</v>
      </c>
      <c r="F1864" s="1272"/>
      <c r="G1864" s="1273"/>
      <c r="H1864" s="1276" t="s">
        <v>198</v>
      </c>
      <c r="I1864" s="1275"/>
    </row>
    <row r="1865" spans="1:13" x14ac:dyDescent="0.2">
      <c r="A1865" s="248" t="str">
        <f>VLOOKUP(B1865,m.o.!$A:$H,2,FALSE)</f>
        <v>Encarregado de O.A.C.</v>
      </c>
      <c r="B1865" s="238">
        <v>20060</v>
      </c>
      <c r="C1865" s="243">
        <f>VLOOKUP(B1865,m.o.!$A:$F,4,FALSE)</f>
        <v>2.2599999999999998</v>
      </c>
      <c r="D1865" s="243">
        <f>VLOOKUP(B1865,m.o.!$A:$G,7,FALSE)</f>
        <v>26.3</v>
      </c>
      <c r="E1865" s="260"/>
      <c r="F1865" s="258"/>
      <c r="G1865" s="300">
        <v>1</v>
      </c>
      <c r="H1865" s="244"/>
      <c r="I1865" s="249">
        <f>TRUNC(D1865*G1865,2)</f>
        <v>26.3</v>
      </c>
      <c r="J1865" s="302"/>
      <c r="K1865" s="302"/>
    </row>
    <row r="1866" spans="1:13" x14ac:dyDescent="0.2">
      <c r="A1866" s="248" t="str">
        <f>VLOOKUP(B1866,m.o.!$A:$H,2,FALSE)</f>
        <v>Servente</v>
      </c>
      <c r="B1866" s="238">
        <v>20002</v>
      </c>
      <c r="C1866" s="243">
        <f>VLOOKUP(B1866,m.o.!$A:$F,4,FALSE)</f>
        <v>1</v>
      </c>
      <c r="D1866" s="243">
        <f>VLOOKUP(B1866,m.o.!$A:$G,7,FALSE)</f>
        <v>11.64</v>
      </c>
      <c r="E1866" s="260"/>
      <c r="F1866" s="258"/>
      <c r="G1866" s="300">
        <v>9</v>
      </c>
      <c r="H1866" s="244"/>
      <c r="I1866" s="249">
        <f>TRUNC(D1866*G1866,2)</f>
        <v>104.76</v>
      </c>
      <c r="J1866" s="302"/>
      <c r="K1866" s="302"/>
    </row>
    <row r="1867" spans="1:13" x14ac:dyDescent="0.2">
      <c r="A1867" s="199"/>
      <c r="B1867" s="233"/>
      <c r="C1867" s="233"/>
      <c r="D1867" s="199"/>
      <c r="E1867" s="199"/>
      <c r="F1867" s="234" t="s">
        <v>203</v>
      </c>
      <c r="G1867" s="244"/>
      <c r="H1867" s="245"/>
      <c r="I1867" s="434">
        <f>SUM(I1865:I1866)</f>
        <v>131.06</v>
      </c>
      <c r="J1867" s="302"/>
      <c r="K1867" s="302"/>
    </row>
    <row r="1868" spans="1:13" x14ac:dyDescent="0.2">
      <c r="A1868" s="199"/>
      <c r="B1868" s="233"/>
      <c r="C1868" s="233"/>
      <c r="D1868" s="199"/>
      <c r="E1868" s="199"/>
      <c r="F1868" s="199"/>
      <c r="G1868" s="199"/>
      <c r="H1868" s="199"/>
      <c r="I1868" s="200"/>
      <c r="J1868" s="302"/>
      <c r="K1868" s="302"/>
    </row>
    <row r="1869" spans="1:13" x14ac:dyDescent="0.2">
      <c r="A1869" s="250" t="s">
        <v>204</v>
      </c>
      <c r="B1869" s="247" t="s">
        <v>60</v>
      </c>
      <c r="C1869" s="866" t="s">
        <v>17</v>
      </c>
      <c r="D1869" s="247" t="s">
        <v>205</v>
      </c>
      <c r="E1869" s="247" t="s">
        <v>206</v>
      </c>
      <c r="F1869" s="247" t="s">
        <v>207</v>
      </c>
      <c r="G1869" s="1276" t="s">
        <v>96</v>
      </c>
      <c r="H1869" s="1274"/>
      <c r="I1869" s="1275"/>
      <c r="J1869" s="302"/>
      <c r="K1869" s="302"/>
    </row>
    <row r="1870" spans="1:13" x14ac:dyDescent="0.2">
      <c r="A1870" s="248" t="s">
        <v>142</v>
      </c>
      <c r="B1870" s="238">
        <v>2000</v>
      </c>
      <c r="C1870" s="243">
        <v>5</v>
      </c>
      <c r="D1870" s="239" t="s">
        <v>223</v>
      </c>
      <c r="E1870" s="251"/>
      <c r="F1870" s="251"/>
      <c r="G1870" s="244"/>
      <c r="H1870" s="245"/>
      <c r="I1870" s="249">
        <f>TRUNC(C1870/100*I1867,2)</f>
        <v>6.55</v>
      </c>
      <c r="J1870" s="302"/>
      <c r="K1870" s="302"/>
    </row>
    <row r="1871" spans="1:13" x14ac:dyDescent="0.2">
      <c r="A1871" s="199"/>
      <c r="B1871" s="233"/>
      <c r="C1871" s="199"/>
      <c r="D1871" s="199"/>
      <c r="E1871" s="199"/>
      <c r="F1871" s="234" t="s">
        <v>1170</v>
      </c>
      <c r="G1871" s="244"/>
      <c r="H1871" s="245"/>
      <c r="I1871" s="434">
        <f>SUM(I1870)</f>
        <v>6.55</v>
      </c>
      <c r="J1871" s="302"/>
      <c r="K1871" s="302"/>
    </row>
    <row r="1872" spans="1:13" x14ac:dyDescent="0.2">
      <c r="A1872" s="199"/>
      <c r="B1872" s="233"/>
      <c r="C1872" s="199"/>
      <c r="D1872" s="199"/>
      <c r="E1872" s="199"/>
      <c r="F1872" s="199"/>
      <c r="G1872" s="199"/>
      <c r="H1872" s="199"/>
      <c r="I1872" s="200"/>
      <c r="J1872" s="302"/>
      <c r="K1872" s="302"/>
    </row>
    <row r="1873" spans="1:11" x14ac:dyDescent="0.2">
      <c r="A1873" s="252"/>
      <c r="B1873" s="253"/>
      <c r="C1873" s="254"/>
      <c r="D1873" s="254"/>
      <c r="E1873" s="254"/>
      <c r="F1873" s="255" t="s">
        <v>208</v>
      </c>
      <c r="G1873" s="435"/>
      <c r="H1873" s="254"/>
      <c r="I1873" s="634">
        <f>+I1862+I1867+I1871</f>
        <v>137.61000000000001</v>
      </c>
      <c r="J1873" s="302"/>
      <c r="K1873" s="302"/>
    </row>
    <row r="1874" spans="1:11" x14ac:dyDescent="0.2">
      <c r="A1874" s="256"/>
      <c r="B1874" s="257"/>
      <c r="C1874" s="258"/>
      <c r="D1874" s="258"/>
      <c r="E1874" s="258"/>
      <c r="F1874" s="259" t="s">
        <v>209</v>
      </c>
      <c r="G1874" s="260"/>
      <c r="H1874" s="258"/>
      <c r="I1874" s="635">
        <v>60</v>
      </c>
      <c r="J1874" s="302"/>
      <c r="K1874" s="302"/>
    </row>
    <row r="1875" spans="1:11" x14ac:dyDescent="0.2">
      <c r="A1875" s="237"/>
      <c r="B1875" s="261"/>
      <c r="C1875" s="245"/>
      <c r="D1875" s="245"/>
      <c r="E1875" s="245"/>
      <c r="F1875" s="262" t="s">
        <v>232</v>
      </c>
      <c r="G1875" s="244"/>
      <c r="H1875" s="245"/>
      <c r="I1875" s="633">
        <f>TRUNC(I1873/I1874,2)</f>
        <v>2.29</v>
      </c>
      <c r="J1875" s="302"/>
      <c r="K1875" s="302"/>
    </row>
    <row r="1876" spans="1:11" x14ac:dyDescent="0.2">
      <c r="A1876" s="867"/>
      <c r="B1876" s="233"/>
      <c r="C1876" s="199"/>
      <c r="D1876" s="199"/>
      <c r="E1876" s="199"/>
      <c r="F1876" s="263"/>
      <c r="G1876" s="199"/>
      <c r="H1876" s="199"/>
      <c r="I1876" s="264"/>
      <c r="J1876" s="302"/>
      <c r="K1876" s="302"/>
    </row>
    <row r="1877" spans="1:11" x14ac:dyDescent="0.2">
      <c r="A1877" s="246" t="s">
        <v>210</v>
      </c>
      <c r="B1877" s="247" t="s">
        <v>60</v>
      </c>
      <c r="C1877" s="247" t="s">
        <v>211</v>
      </c>
      <c r="D1877" s="247" t="s">
        <v>233</v>
      </c>
      <c r="E1877" s="1276" t="s">
        <v>91</v>
      </c>
      <c r="F1877" s="1274"/>
      <c r="G1877" s="1275"/>
      <c r="H1877" s="1276" t="s">
        <v>198</v>
      </c>
      <c r="I1877" s="1275"/>
      <c r="J1877" s="302"/>
      <c r="K1877" s="302"/>
    </row>
    <row r="1878" spans="1:11" x14ac:dyDescent="0.2">
      <c r="A1878" s="265" t="str">
        <f>VLOOKUP(B1878,mat.!$A:$D,2,FALSE)</f>
        <v>Grampo para cerca (galvanizado)</v>
      </c>
      <c r="B1878" s="238">
        <v>10137</v>
      </c>
      <c r="C1878" s="266" t="str">
        <f>VLOOKUP(B1878,mat.!$A:$D,3,FALSE)</f>
        <v>kg</v>
      </c>
      <c r="D1878" s="267">
        <f>VLOOKUP(B1878,mat.!$A:$D,4,FALSE)</f>
        <v>11.76</v>
      </c>
      <c r="E1878" s="260"/>
      <c r="F1878" s="258"/>
      <c r="G1878" s="300">
        <v>0.01</v>
      </c>
      <c r="H1878" s="260"/>
      <c r="I1878" s="268">
        <f>TRUNC(D1878*G1878,2)</f>
        <v>0.11</v>
      </c>
      <c r="J1878" s="302"/>
      <c r="K1878" s="302"/>
    </row>
    <row r="1879" spans="1:11" x14ac:dyDescent="0.2">
      <c r="A1879" s="199"/>
      <c r="B1879" s="233"/>
      <c r="C1879" s="199"/>
      <c r="D1879" s="199"/>
      <c r="E1879" s="199"/>
      <c r="F1879" s="234" t="s">
        <v>212</v>
      </c>
      <c r="G1879" s="244"/>
      <c r="H1879" s="245"/>
      <c r="I1879" s="434">
        <f>SUM(I1878:I1878)</f>
        <v>0.11</v>
      </c>
      <c r="J1879" s="302"/>
      <c r="K1879" s="302"/>
    </row>
    <row r="1880" spans="1:11" x14ac:dyDescent="0.2">
      <c r="A1880" s="199"/>
      <c r="B1880" s="233"/>
      <c r="C1880" s="199"/>
      <c r="D1880" s="199"/>
      <c r="E1880" s="199"/>
      <c r="F1880" s="199"/>
      <c r="G1880" s="269"/>
      <c r="H1880" s="199"/>
      <c r="I1880" s="200"/>
      <c r="J1880" s="302"/>
      <c r="K1880" s="302"/>
    </row>
    <row r="1881" spans="1:11" x14ac:dyDescent="0.2">
      <c r="A1881" s="270" t="s">
        <v>213</v>
      </c>
      <c r="B1881" s="247" t="s">
        <v>60</v>
      </c>
      <c r="C1881" s="247" t="s">
        <v>211</v>
      </c>
      <c r="D1881" s="866" t="s">
        <v>233</v>
      </c>
      <c r="E1881" s="1271" t="s">
        <v>91</v>
      </c>
      <c r="F1881" s="1272"/>
      <c r="G1881" s="1273"/>
      <c r="H1881" s="1274" t="s">
        <v>198</v>
      </c>
      <c r="I1881" s="1275"/>
    </row>
    <row r="1882" spans="1:11" ht="33.75" x14ac:dyDescent="0.2">
      <c r="A1882" s="248" t="str">
        <f>VLOOKUP(B1882,'DER 10-18'!$A:$E,2,FALSE)</f>
        <v>Escavação manual furos, valetas mat. 1ª cat. H= 0,00 a 1,50 m (dim. reduz.)</v>
      </c>
      <c r="B1882" s="238">
        <v>40256</v>
      </c>
      <c r="C1882" s="238" t="str">
        <f>VLOOKUP(B1882,'DER 10-18'!$A:$E,3,FALSE)</f>
        <v>M3</v>
      </c>
      <c r="D1882" s="454">
        <f>TRUNC(VLOOKUP(B1882,'DER 10-18'!$A:$F,6,FALSE)/(1+$I$4),2)</f>
        <v>77.53</v>
      </c>
      <c r="E1882" s="260"/>
      <c r="F1882" s="258"/>
      <c r="G1882" s="300">
        <v>2.2499999999999999E-2</v>
      </c>
      <c r="H1882" s="244"/>
      <c r="I1882" s="268">
        <f>TRUNC(D1882*G1882,2)</f>
        <v>1.74</v>
      </c>
    </row>
    <row r="1883" spans="1:11" x14ac:dyDescent="0.2">
      <c r="A1883" s="201"/>
      <c r="B1883" s="271"/>
      <c r="C1883" s="201"/>
      <c r="D1883" s="201"/>
      <c r="E1883" s="201"/>
      <c r="F1883" s="272" t="s">
        <v>214</v>
      </c>
      <c r="G1883" s="260"/>
      <c r="H1883" s="273"/>
      <c r="I1883" s="436">
        <f>SUM(I1882:I1882)</f>
        <v>1.74</v>
      </c>
    </row>
    <row r="1884" spans="1:11" x14ac:dyDescent="0.2">
      <c r="A1884" s="201"/>
      <c r="B1884" s="271"/>
      <c r="C1884" s="201"/>
      <c r="D1884" s="201"/>
      <c r="E1884" s="201"/>
      <c r="F1884" s="201"/>
      <c r="G1884" s="201"/>
      <c r="H1884" s="201"/>
      <c r="I1884" s="201"/>
    </row>
    <row r="1885" spans="1:11" x14ac:dyDescent="0.2">
      <c r="A1885" s="274" t="s">
        <v>215</v>
      </c>
      <c r="B1885" s="275" t="s">
        <v>60</v>
      </c>
      <c r="C1885" s="275" t="s">
        <v>211</v>
      </c>
      <c r="D1885" s="275" t="s">
        <v>216</v>
      </c>
      <c r="E1885" s="275" t="s">
        <v>217</v>
      </c>
      <c r="F1885" s="275" t="s">
        <v>218</v>
      </c>
      <c r="G1885" s="275" t="s">
        <v>96</v>
      </c>
      <c r="H1885" s="275" t="s">
        <v>91</v>
      </c>
      <c r="I1885" s="275" t="s">
        <v>219</v>
      </c>
      <c r="J1885" s="433" t="s">
        <v>113</v>
      </c>
    </row>
    <row r="1886" spans="1:11" x14ac:dyDescent="0.2">
      <c r="A1886" s="248"/>
      <c r="B1886" s="238"/>
      <c r="C1886" s="238"/>
      <c r="D1886" s="276"/>
      <c r="E1886" s="277"/>
      <c r="F1886" s="277"/>
      <c r="G1886" s="243"/>
      <c r="H1886" s="278"/>
      <c r="I1886" s="243"/>
    </row>
    <row r="1887" spans="1:11" x14ac:dyDescent="0.2">
      <c r="A1887" s="201"/>
      <c r="B1887" s="271"/>
      <c r="C1887" s="201"/>
      <c r="D1887" s="201"/>
      <c r="E1887" s="201"/>
      <c r="F1887" s="272" t="s">
        <v>220</v>
      </c>
      <c r="G1887" s="244"/>
      <c r="H1887" s="279"/>
      <c r="I1887" s="438">
        <f>SUM(I1886:I1886)</f>
        <v>0</v>
      </c>
    </row>
    <row r="1888" spans="1:11" x14ac:dyDescent="0.2">
      <c r="A1888" s="201"/>
      <c r="B1888" s="271"/>
      <c r="C1888" s="201"/>
      <c r="D1888" s="201"/>
      <c r="E1888" s="201"/>
      <c r="F1888" s="201"/>
      <c r="G1888" s="201"/>
      <c r="H1888" s="201"/>
      <c r="I1888" s="202"/>
    </row>
    <row r="1889" spans="1:13" x14ac:dyDescent="0.2">
      <c r="A1889" s="280"/>
      <c r="B1889" s="281"/>
      <c r="C1889" s="282"/>
      <c r="D1889" s="282"/>
      <c r="E1889" s="282"/>
      <c r="F1889" s="283" t="s">
        <v>221</v>
      </c>
      <c r="G1889" s="280"/>
      <c r="H1889" s="254"/>
      <c r="I1889" s="634">
        <f>+I1875+I1879+I1883+I1887</f>
        <v>4.1399999999999997</v>
      </c>
    </row>
    <row r="1890" spans="1:13" x14ac:dyDescent="0.2">
      <c r="A1890" s="260"/>
      <c r="B1890" s="284"/>
      <c r="C1890" s="273"/>
      <c r="D1890" s="273"/>
      <c r="E1890" s="273"/>
      <c r="F1890" s="285" t="str">
        <f>CONCATENATE($H$3," ",$I$3)</f>
        <v>BDI: 23,32</v>
      </c>
      <c r="G1890" s="439"/>
      <c r="H1890" s="258"/>
      <c r="I1890" s="635">
        <f>+ROUND(I1889*$I$4,2)</f>
        <v>0.97</v>
      </c>
    </row>
    <row r="1891" spans="1:13" x14ac:dyDescent="0.2">
      <c r="A1891" s="244"/>
      <c r="B1891" s="286"/>
      <c r="C1891" s="279"/>
      <c r="D1891" s="279"/>
      <c r="E1891" s="279"/>
      <c r="F1891" s="287" t="s">
        <v>222</v>
      </c>
      <c r="G1891" s="440"/>
      <c r="H1891" s="245"/>
      <c r="I1891" s="1017">
        <f>+I1889+I1890</f>
        <v>5.1100000000000003</v>
      </c>
    </row>
    <row r="1892" spans="1:13" x14ac:dyDescent="0.2">
      <c r="A1892" s="1277" t="str">
        <f>$A$1</f>
        <v>COMPOSIÇÃO DE CUSTOS UNITÁRIOS</v>
      </c>
      <c r="B1892" s="1277"/>
      <c r="C1892" s="1277"/>
      <c r="D1892" s="1277"/>
      <c r="E1892" s="1277"/>
      <c r="F1892" s="1277"/>
      <c r="G1892" s="1277"/>
      <c r="H1892" s="1277"/>
      <c r="I1892" s="1277"/>
    </row>
    <row r="1893" spans="1:13" x14ac:dyDescent="0.2">
      <c r="A1893" s="232" t="str">
        <f>$A$2</f>
        <v>Tabela Referencial de Preços - DER-ES</v>
      </c>
      <c r="B1893" s="233"/>
      <c r="C1893" s="199"/>
      <c r="D1893" s="199"/>
      <c r="E1893" s="199"/>
      <c r="F1893" s="199"/>
      <c r="G1893" s="199"/>
      <c r="H1893" s="199"/>
      <c r="I1893" s="234" t="str">
        <f>$I$2</f>
        <v>Data Base: Outubro/2018</v>
      </c>
    </row>
    <row r="1894" spans="1:13" x14ac:dyDescent="0.2">
      <c r="A1894" s="1278" t="str">
        <f>+CONCATENATE("Serviço: ",J1894," ",VLOOKUP(J1894,'DER 10-18'!$A:$D,2,FALSE))</f>
        <v>Serviço: 40910 Abrigo de Ônibus - Rodovia Rural - 3,40 m x 6,00 m</v>
      </c>
      <c r="B1894" s="1278"/>
      <c r="C1894" s="1278"/>
      <c r="D1894" s="1278"/>
      <c r="E1894" s="1278"/>
      <c r="F1894" s="1278"/>
      <c r="G1894" s="1278"/>
      <c r="H1894" s="1278"/>
      <c r="I1894" s="1278" t="str">
        <f>CONCATENATE("Unidade: ", VLOOKUP(J1894,'DER 10-18'!$A:$E,3,FALSE))</f>
        <v>Unidade: Ud</v>
      </c>
      <c r="J1894" s="433">
        <v>40910</v>
      </c>
      <c r="K1894" s="433">
        <f>VLOOKUP("Preço Unitário Total",F1895:I4104,4,FALSE)</f>
        <v>15241.78</v>
      </c>
      <c r="L1894" s="302">
        <f>VLOOKUP(J1894,'DER 10-18'!A:E,5,FALSE)</f>
        <v>0</v>
      </c>
      <c r="M1894" s="302" t="str">
        <f>VLOOKUP(J1894,'DER 10-18'!$A:$D,2,FALSE)</f>
        <v>Abrigo de Ônibus - Rodovia Rural - 3,40 m x 6,00 m</v>
      </c>
    </row>
    <row r="1895" spans="1:13" x14ac:dyDescent="0.2">
      <c r="A1895" s="1279"/>
      <c r="B1895" s="1279"/>
      <c r="C1895" s="1279"/>
      <c r="D1895" s="1279"/>
      <c r="E1895" s="1279"/>
      <c r="F1895" s="1279"/>
      <c r="G1895" s="1279"/>
      <c r="H1895" s="1279"/>
      <c r="I1895" s="1279"/>
    </row>
    <row r="1896" spans="1:13" ht="22.5" x14ac:dyDescent="0.2">
      <c r="A1896" s="235" t="s">
        <v>192</v>
      </c>
      <c r="B1896" s="236" t="s">
        <v>60</v>
      </c>
      <c r="C1896" s="236" t="s">
        <v>193</v>
      </c>
      <c r="D1896" s="236" t="s">
        <v>194</v>
      </c>
      <c r="E1896" s="236" t="s">
        <v>195</v>
      </c>
      <c r="F1896" s="236" t="s">
        <v>196</v>
      </c>
      <c r="G1896" s="236" t="s">
        <v>197</v>
      </c>
      <c r="H1896" s="236" t="s">
        <v>91</v>
      </c>
      <c r="I1896" s="236" t="s">
        <v>198</v>
      </c>
    </row>
    <row r="1897" spans="1:13" ht="22.5" x14ac:dyDescent="0.2">
      <c r="A1897" s="237" t="str">
        <f>VLOOKUP(B1897,equip.!$A:$G,2,FALSE)</f>
        <v>Caminhão carroceria L 1319 PBT=13,9t (TOCO 8,0t)</v>
      </c>
      <c r="B1897" s="238">
        <v>30005</v>
      </c>
      <c r="C1897" s="239" t="str">
        <f>VLOOKUP(B1897,equip.!$A$1:$G$240,3,FALSE)</f>
        <v>M</v>
      </c>
      <c r="D1897" s="240">
        <v>0.4</v>
      </c>
      <c r="E1897" s="205">
        <v>0.6</v>
      </c>
      <c r="F1897" s="241">
        <f>VLOOKUP(B1897,equip.!$A:$G,6,FALSE)</f>
        <v>151.94999999999999</v>
      </c>
      <c r="G1897" s="241">
        <f>VLOOKUP(B1897,equip.!$A:$G,7,FALSE)</f>
        <v>41.15</v>
      </c>
      <c r="H1897" s="242">
        <v>4</v>
      </c>
      <c r="I1897" s="243">
        <f>TRUNC(D1897*F1897*H1897+E1897*G1897*H1897,2)</f>
        <v>341.88</v>
      </c>
    </row>
    <row r="1898" spans="1:13" x14ac:dyDescent="0.2">
      <c r="A1898" s="199"/>
      <c r="B1898" s="233"/>
      <c r="C1898" s="233"/>
      <c r="D1898" s="199"/>
      <c r="E1898" s="199"/>
      <c r="F1898" s="234" t="s">
        <v>199</v>
      </c>
      <c r="G1898" s="244"/>
      <c r="H1898" s="245"/>
      <c r="I1898" s="434">
        <f>SUM(I1897:I1897)</f>
        <v>341.88</v>
      </c>
      <c r="J1898" s="302"/>
      <c r="K1898" s="302"/>
    </row>
    <row r="1899" spans="1:13" x14ac:dyDescent="0.2">
      <c r="A1899" s="199"/>
      <c r="B1899" s="233"/>
      <c r="C1899" s="233"/>
      <c r="D1899" s="199"/>
      <c r="E1899" s="199"/>
      <c r="F1899" s="199"/>
      <c r="G1899" s="199"/>
      <c r="H1899" s="199"/>
      <c r="I1899" s="200"/>
      <c r="J1899" s="302"/>
      <c r="K1899" s="302"/>
    </row>
    <row r="1900" spans="1:13" x14ac:dyDescent="0.2">
      <c r="A1900" s="246" t="s">
        <v>200</v>
      </c>
      <c r="B1900" s="247" t="s">
        <v>60</v>
      </c>
      <c r="C1900" s="236" t="s">
        <v>1242</v>
      </c>
      <c r="D1900" s="247" t="s">
        <v>202</v>
      </c>
      <c r="E1900" s="1271" t="s">
        <v>91</v>
      </c>
      <c r="F1900" s="1272"/>
      <c r="G1900" s="1273"/>
      <c r="H1900" s="1276" t="s">
        <v>198</v>
      </c>
      <c r="I1900" s="1275"/>
      <c r="J1900" s="302"/>
      <c r="K1900" s="302"/>
    </row>
    <row r="1901" spans="1:13" x14ac:dyDescent="0.2">
      <c r="A1901" s="248" t="str">
        <f>VLOOKUP(B1901,m.o.!$A:$H,2,FALSE)</f>
        <v>Carpinteiro de O.A.C.</v>
      </c>
      <c r="B1901" s="238">
        <v>20038</v>
      </c>
      <c r="C1901" s="243">
        <f>VLOOKUP(B1901,m.o.!$A:$F,4,FALSE)</f>
        <v>1.24</v>
      </c>
      <c r="D1901" s="243">
        <f>VLOOKUP(B1901,m.o.!$A:$G,7,FALSE)</f>
        <v>14.43</v>
      </c>
      <c r="E1901" s="260"/>
      <c r="F1901" s="258"/>
      <c r="G1901" s="300">
        <v>40</v>
      </c>
      <c r="H1901" s="244"/>
      <c r="I1901" s="249">
        <f>TRUNC(D1901*G1901,2)</f>
        <v>577.20000000000005</v>
      </c>
      <c r="J1901" s="302"/>
      <c r="K1901" s="302"/>
    </row>
    <row r="1902" spans="1:13" x14ac:dyDescent="0.2">
      <c r="A1902" s="248" t="str">
        <f>VLOOKUP(B1902,m.o.!$A:$H,2,FALSE)</f>
        <v>Encarregado de O.A.C.</v>
      </c>
      <c r="B1902" s="238">
        <v>20060</v>
      </c>
      <c r="C1902" s="243">
        <f>VLOOKUP(B1902,m.o.!$A:$F,4,FALSE)</f>
        <v>2.2599999999999998</v>
      </c>
      <c r="D1902" s="243">
        <f>VLOOKUP(B1902,m.o.!$A:$G,7,FALSE)</f>
        <v>26.3</v>
      </c>
      <c r="E1902" s="260"/>
      <c r="F1902" s="258"/>
      <c r="G1902" s="300">
        <v>40</v>
      </c>
      <c r="H1902" s="244"/>
      <c r="I1902" s="249">
        <f>TRUNC(D1902*G1902,2)</f>
        <v>1052</v>
      </c>
      <c r="J1902" s="302"/>
      <c r="K1902" s="302"/>
    </row>
    <row r="1903" spans="1:13" x14ac:dyDescent="0.2">
      <c r="A1903" s="248" t="str">
        <f>VLOOKUP(B1903,m.o.!$A:$H,2,FALSE)</f>
        <v>Servente</v>
      </c>
      <c r="B1903" s="238">
        <v>20002</v>
      </c>
      <c r="C1903" s="243">
        <f>VLOOKUP(B1903,m.o.!$A:$F,4,FALSE)</f>
        <v>1</v>
      </c>
      <c r="D1903" s="243">
        <f>VLOOKUP(B1903,m.o.!$A:$G,7,FALSE)</f>
        <v>11.64</v>
      </c>
      <c r="E1903" s="260"/>
      <c r="F1903" s="258"/>
      <c r="G1903" s="300">
        <v>160</v>
      </c>
      <c r="H1903" s="244"/>
      <c r="I1903" s="249">
        <f>TRUNC(D1903*G1903,2)</f>
        <v>1862.4</v>
      </c>
      <c r="J1903" s="302"/>
      <c r="K1903" s="302"/>
    </row>
    <row r="1904" spans="1:13" x14ac:dyDescent="0.2">
      <c r="A1904" s="199"/>
      <c r="B1904" s="233"/>
      <c r="C1904" s="233"/>
      <c r="D1904" s="199"/>
      <c r="E1904" s="199"/>
      <c r="F1904" s="234" t="s">
        <v>203</v>
      </c>
      <c r="G1904" s="244"/>
      <c r="H1904" s="245"/>
      <c r="I1904" s="434">
        <f>SUM(I1901:I1903)</f>
        <v>3491.6</v>
      </c>
      <c r="J1904" s="302"/>
      <c r="K1904" s="302"/>
    </row>
    <row r="1905" spans="1:11" x14ac:dyDescent="0.2">
      <c r="A1905" s="199"/>
      <c r="B1905" s="233"/>
      <c r="C1905" s="233"/>
      <c r="D1905" s="199"/>
      <c r="E1905" s="199"/>
      <c r="F1905" s="199"/>
      <c r="G1905" s="199"/>
      <c r="H1905" s="199"/>
      <c r="I1905" s="200"/>
      <c r="J1905" s="302"/>
      <c r="K1905" s="302"/>
    </row>
    <row r="1906" spans="1:11" x14ac:dyDescent="0.2">
      <c r="A1906" s="250" t="s">
        <v>204</v>
      </c>
      <c r="B1906" s="247" t="s">
        <v>60</v>
      </c>
      <c r="C1906" s="866" t="s">
        <v>17</v>
      </c>
      <c r="D1906" s="247" t="s">
        <v>205</v>
      </c>
      <c r="E1906" s="247" t="s">
        <v>206</v>
      </c>
      <c r="F1906" s="247" t="s">
        <v>207</v>
      </c>
      <c r="G1906" s="1276" t="s">
        <v>96</v>
      </c>
      <c r="H1906" s="1274"/>
      <c r="I1906" s="1275"/>
      <c r="J1906" s="302"/>
      <c r="K1906" s="302"/>
    </row>
    <row r="1907" spans="1:11" x14ac:dyDescent="0.2">
      <c r="A1907" s="248" t="s">
        <v>142</v>
      </c>
      <c r="B1907" s="238">
        <v>2000</v>
      </c>
      <c r="C1907" s="243">
        <v>5</v>
      </c>
      <c r="D1907" s="239" t="s">
        <v>223</v>
      </c>
      <c r="E1907" s="251"/>
      <c r="F1907" s="251"/>
      <c r="G1907" s="244"/>
      <c r="H1907" s="245"/>
      <c r="I1907" s="249">
        <f>TRUNC(C1907/100*I1904,2)</f>
        <v>174.58</v>
      </c>
      <c r="J1907" s="302"/>
      <c r="K1907" s="302"/>
    </row>
    <row r="1908" spans="1:11" x14ac:dyDescent="0.2">
      <c r="A1908" s="199"/>
      <c r="B1908" s="233"/>
      <c r="C1908" s="199"/>
      <c r="D1908" s="199"/>
      <c r="E1908" s="199"/>
      <c r="F1908" s="234" t="s">
        <v>1170</v>
      </c>
      <c r="G1908" s="244"/>
      <c r="H1908" s="245"/>
      <c r="I1908" s="434">
        <f>SUM(I1907)</f>
        <v>174.58</v>
      </c>
      <c r="J1908" s="302"/>
      <c r="K1908" s="302"/>
    </row>
    <row r="1909" spans="1:11" x14ac:dyDescent="0.2">
      <c r="A1909" s="199"/>
      <c r="B1909" s="233"/>
      <c r="C1909" s="199"/>
      <c r="D1909" s="199"/>
      <c r="E1909" s="199"/>
      <c r="F1909" s="199"/>
      <c r="G1909" s="199"/>
      <c r="H1909" s="199"/>
      <c r="I1909" s="200"/>
      <c r="J1909" s="302"/>
      <c r="K1909" s="302"/>
    </row>
    <row r="1910" spans="1:11" x14ac:dyDescent="0.2">
      <c r="A1910" s="252"/>
      <c r="B1910" s="253"/>
      <c r="C1910" s="254"/>
      <c r="D1910" s="254"/>
      <c r="E1910" s="254"/>
      <c r="F1910" s="255" t="s">
        <v>208</v>
      </c>
      <c r="G1910" s="435"/>
      <c r="H1910" s="254"/>
      <c r="I1910" s="634">
        <f>+I1898+I1904+I1908</f>
        <v>4008.06</v>
      </c>
      <c r="J1910" s="302"/>
      <c r="K1910" s="302"/>
    </row>
    <row r="1911" spans="1:11" x14ac:dyDescent="0.2">
      <c r="A1911" s="256"/>
      <c r="B1911" s="257"/>
      <c r="C1911" s="258"/>
      <c r="D1911" s="258"/>
      <c r="E1911" s="258"/>
      <c r="F1911" s="259" t="s">
        <v>209</v>
      </c>
      <c r="G1911" s="260"/>
      <c r="H1911" s="258"/>
      <c r="I1911" s="635">
        <v>1</v>
      </c>
      <c r="J1911" s="302"/>
      <c r="K1911" s="302"/>
    </row>
    <row r="1912" spans="1:11" x14ac:dyDescent="0.2">
      <c r="A1912" s="237"/>
      <c r="B1912" s="261"/>
      <c r="C1912" s="245"/>
      <c r="D1912" s="245"/>
      <c r="E1912" s="245"/>
      <c r="F1912" s="262" t="s">
        <v>232</v>
      </c>
      <c r="G1912" s="244"/>
      <c r="H1912" s="245"/>
      <c r="I1912" s="633">
        <f>TRUNC(I1910/I1911,2)</f>
        <v>4008.06</v>
      </c>
      <c r="J1912" s="302"/>
      <c r="K1912" s="302"/>
    </row>
    <row r="1913" spans="1:11" x14ac:dyDescent="0.2">
      <c r="A1913" s="867"/>
      <c r="B1913" s="233"/>
      <c r="C1913" s="199"/>
      <c r="D1913" s="199"/>
      <c r="E1913" s="199"/>
      <c r="F1913" s="263"/>
      <c r="G1913" s="199"/>
      <c r="H1913" s="199"/>
      <c r="I1913" s="264"/>
      <c r="J1913" s="302"/>
      <c r="K1913" s="302"/>
    </row>
    <row r="1914" spans="1:11" x14ac:dyDescent="0.2">
      <c r="A1914" s="246" t="s">
        <v>210</v>
      </c>
      <c r="B1914" s="247" t="s">
        <v>60</v>
      </c>
      <c r="C1914" s="247" t="s">
        <v>211</v>
      </c>
      <c r="D1914" s="247" t="s">
        <v>233</v>
      </c>
      <c r="E1914" s="1276" t="s">
        <v>91</v>
      </c>
      <c r="F1914" s="1274"/>
      <c r="G1914" s="1275"/>
      <c r="H1914" s="1276" t="s">
        <v>198</v>
      </c>
      <c r="I1914" s="1275"/>
    </row>
    <row r="1915" spans="1:11" x14ac:dyDescent="0.2">
      <c r="A1915" s="265" t="str">
        <f>VLOOKUP(B1915,mat.!$A:$D,2,FALSE)</f>
        <v>Brita 2 (incl. 0% IUM) sem frete</v>
      </c>
      <c r="B1915" s="238">
        <v>10115</v>
      </c>
      <c r="C1915" s="266" t="str">
        <f>VLOOKUP(B1915,mat.!$A:$D,3,FALSE)</f>
        <v>m3</v>
      </c>
      <c r="D1915" s="267">
        <f>VLOOKUP(B1915,mat.!$A:$D,4,FALSE)</f>
        <v>61.29</v>
      </c>
      <c r="E1915" s="260"/>
      <c r="F1915" s="258"/>
      <c r="G1915" s="300">
        <v>1.8</v>
      </c>
      <c r="H1915" s="260"/>
      <c r="I1915" s="268">
        <f t="shared" ref="I1915:I1920" si="19">TRUNC(D1915*G1915,2)</f>
        <v>110.32</v>
      </c>
    </row>
    <row r="1916" spans="1:11" ht="22.5" x14ac:dyDescent="0.2">
      <c r="A1916" s="265" t="str">
        <f>VLOOKUP(B1916,mat.!$A:$D,2,FALSE)</f>
        <v>Caibros abrigo passag. 8pç 15x7x300 / 2pç 25x7x620cm</v>
      </c>
      <c r="B1916" s="238">
        <v>10064</v>
      </c>
      <c r="C1916" s="266" t="str">
        <f>VLOOKUP(B1916,mat.!$A:$D,3,FALSE)</f>
        <v>CJ</v>
      </c>
      <c r="D1916" s="267">
        <f>VLOOKUP(B1916,mat.!$A:$D,4,FALSE)</f>
        <v>1388.56</v>
      </c>
      <c r="E1916" s="260"/>
      <c r="F1916" s="258"/>
      <c r="G1916" s="300">
        <v>1</v>
      </c>
      <c r="H1916" s="260"/>
      <c r="I1916" s="268">
        <f t="shared" si="19"/>
        <v>1388.56</v>
      </c>
    </row>
    <row r="1917" spans="1:11" ht="22.5" x14ac:dyDescent="0.2">
      <c r="A1917" s="265" t="str">
        <f>VLOOKUP(B1917,mat.!$A:$D,2,FALSE)</f>
        <v>Parafuso em aço galvanizado comp. 250mm, diâmetro = 16mm</v>
      </c>
      <c r="B1917" s="238">
        <v>101971</v>
      </c>
      <c r="C1917" s="266" t="str">
        <f>VLOOKUP(B1917,mat.!$A:$D,3,FALSE)</f>
        <v>Ud</v>
      </c>
      <c r="D1917" s="267">
        <f>VLOOKUP(B1917,mat.!$A:$D,4,FALSE)</f>
        <v>7.73</v>
      </c>
      <c r="E1917" s="260"/>
      <c r="F1917" s="258"/>
      <c r="G1917" s="300">
        <v>16</v>
      </c>
      <c r="H1917" s="260"/>
      <c r="I1917" s="268">
        <f t="shared" si="19"/>
        <v>123.68</v>
      </c>
    </row>
    <row r="1918" spans="1:11" x14ac:dyDescent="0.2">
      <c r="A1918" s="265" t="str">
        <f>VLOOKUP(B1918,mat.!$A:$D,2,FALSE)</f>
        <v>Parafusos completos 5/16 X 65 mm</v>
      </c>
      <c r="B1918" s="238">
        <v>10326</v>
      </c>
      <c r="C1918" s="266" t="str">
        <f>VLOOKUP(B1918,mat.!$A:$D,3,FALSE)</f>
        <v>Ud</v>
      </c>
      <c r="D1918" s="267">
        <f>VLOOKUP(B1918,mat.!$A:$D,4,FALSE)</f>
        <v>0.65</v>
      </c>
      <c r="E1918" s="260"/>
      <c r="F1918" s="258"/>
      <c r="G1918" s="300">
        <v>28</v>
      </c>
      <c r="H1918" s="260"/>
      <c r="I1918" s="268">
        <f t="shared" si="19"/>
        <v>18.2</v>
      </c>
    </row>
    <row r="1919" spans="1:11" ht="22.5" x14ac:dyDescent="0.2">
      <c r="A1919" s="265" t="str">
        <f>VLOOKUP(B1919,mat.!$A:$D,2,FALSE)</f>
        <v>Telha fibrocimento - Canalete normal 49 - Comp. = 3,60 m</v>
      </c>
      <c r="B1919" s="238">
        <v>10324</v>
      </c>
      <c r="C1919" s="266" t="str">
        <f>VLOOKUP(B1919,mat.!$A:$D,3,FALSE)</f>
        <v>PÇ</v>
      </c>
      <c r="D1919" s="267">
        <f>VLOOKUP(B1919,mat.!$A:$D,4,FALSE)</f>
        <v>125.92</v>
      </c>
      <c r="E1919" s="260"/>
      <c r="F1919" s="258"/>
      <c r="G1919" s="300">
        <v>13</v>
      </c>
      <c r="H1919" s="260"/>
      <c r="I1919" s="268">
        <f t="shared" si="19"/>
        <v>1636.96</v>
      </c>
    </row>
    <row r="1920" spans="1:11" ht="22.5" x14ac:dyDescent="0.2">
      <c r="A1920" s="265" t="str">
        <f>VLOOKUP(B1920,mat.!$A:$D,2,FALSE)</f>
        <v>Telha fibrocimento - Canalete terminal 49 - Comp. = 3,60 m</v>
      </c>
      <c r="B1920" s="238">
        <v>10325</v>
      </c>
      <c r="C1920" s="266" t="str">
        <f>VLOOKUP(B1920,mat.!$A:$D,3,FALSE)</f>
        <v>PÇ</v>
      </c>
      <c r="D1920" s="267">
        <f>VLOOKUP(B1920,mat.!$A:$D,4,FALSE)</f>
        <v>126.65</v>
      </c>
      <c r="E1920" s="260"/>
      <c r="F1920" s="258"/>
      <c r="G1920" s="300">
        <v>2</v>
      </c>
      <c r="H1920" s="260"/>
      <c r="I1920" s="268">
        <f t="shared" si="19"/>
        <v>253.3</v>
      </c>
    </row>
    <row r="1921" spans="1:17" x14ac:dyDescent="0.2">
      <c r="A1921" s="199"/>
      <c r="B1921" s="233"/>
      <c r="C1921" s="199"/>
      <c r="D1921" s="199"/>
      <c r="E1921" s="199"/>
      <c r="F1921" s="234" t="s">
        <v>212</v>
      </c>
      <c r="G1921" s="244"/>
      <c r="H1921" s="245"/>
      <c r="I1921" s="434">
        <f>SUM(I1915:I1920)</f>
        <v>3531.02</v>
      </c>
    </row>
    <row r="1922" spans="1:17" x14ac:dyDescent="0.2">
      <c r="A1922" s="199"/>
      <c r="B1922" s="233"/>
      <c r="C1922" s="199"/>
      <c r="D1922" s="199"/>
      <c r="E1922" s="199"/>
      <c r="F1922" s="199"/>
      <c r="G1922" s="269"/>
      <c r="H1922" s="199"/>
      <c r="I1922" s="200"/>
    </row>
    <row r="1923" spans="1:17" x14ac:dyDescent="0.2">
      <c r="A1923" s="270" t="s">
        <v>213</v>
      </c>
      <c r="B1923" s="247" t="s">
        <v>60</v>
      </c>
      <c r="C1923" s="247" t="s">
        <v>211</v>
      </c>
      <c r="D1923" s="866" t="s">
        <v>233</v>
      </c>
      <c r="E1923" s="1271" t="s">
        <v>91</v>
      </c>
      <c r="F1923" s="1272"/>
      <c r="G1923" s="1273"/>
      <c r="H1923" s="1274" t="s">
        <v>198</v>
      </c>
      <c r="I1923" s="1275"/>
    </row>
    <row r="1924" spans="1:17" ht="33.75" x14ac:dyDescent="0.2">
      <c r="A1924" s="248" t="str">
        <f>VLOOKUP(B1924,'DER 10-18'!$A:$E,2,FALSE)</f>
        <v>Aço CA-50, fornecimento, dobragem e colocação nas formas (preço médio das bitolas)</v>
      </c>
      <c r="B1924" s="238">
        <v>40376</v>
      </c>
      <c r="C1924" s="238" t="str">
        <f>VLOOKUP(B1924,'DER 10-18'!$A:$E,3,FALSE)</f>
        <v>kg</v>
      </c>
      <c r="D1924" s="454">
        <f>TRUNC(VLOOKUP(B1924,'DER 10-18'!$A:$F,6,FALSE)/(1+$I$4),2)</f>
        <v>7.89</v>
      </c>
      <c r="E1924" s="260"/>
      <c r="F1924" s="258"/>
      <c r="G1924" s="300">
        <v>56.44</v>
      </c>
      <c r="H1924" s="244"/>
      <c r="I1924" s="268">
        <f>TRUNC(D1924*G1924,2)</f>
        <v>445.31</v>
      </c>
    </row>
    <row r="1925" spans="1:17" ht="56.25" x14ac:dyDescent="0.2">
      <c r="A1925" s="248" t="str">
        <f>VLOOKUP(B1925,'DER 10-18'!$A:$E,2,FALSE)</f>
        <v>Alvenaria de tijolos cerâmicos maciços aparentes 5x10x20cm,assent.c/argam.de cimento,cal hidratada CH1 e areia no traço 1:0,5:8,juntas de 10mm e esp.</v>
      </c>
      <c r="B1925" s="238">
        <v>43343</v>
      </c>
      <c r="C1925" s="238" t="str">
        <f>VLOOKUP(B1925,'DER 10-18'!$A:$E,3,FALSE)</f>
        <v>M2</v>
      </c>
      <c r="D1925" s="454">
        <f>TRUNC(VLOOKUP(B1925,'DER 10-18'!$A:$F,6,FALSE)/(1+$I$4),2)</f>
        <v>78.150000000000006</v>
      </c>
      <c r="E1925" s="260"/>
      <c r="F1925" s="258"/>
      <c r="G1925" s="300">
        <v>8</v>
      </c>
      <c r="H1925" s="244"/>
      <c r="I1925" s="268">
        <f>TRUNC(D1925*G1925,2)</f>
        <v>625.20000000000005</v>
      </c>
    </row>
    <row r="1926" spans="1:17" ht="33.75" x14ac:dyDescent="0.2">
      <c r="A1926" s="452" t="str">
        <f>VLOOKUP(B1926,'DER 10-18'!$A:$E,2,FALSE)</f>
        <v>Concreto estrutural fck = 10,0 MPa, inclusive transportes areia, cimento e pedra britada</v>
      </c>
      <c r="B1926" s="453">
        <v>42475</v>
      </c>
      <c r="C1926" s="453" t="str">
        <f>VLOOKUP(B1926,'DER 10-18'!$A:$E,3,FALSE)</f>
        <v>M3</v>
      </c>
      <c r="D1926" s="454">
        <f>TRUNC(VLOOKUP(B1926,'DER 10-18'!$A:$F,6,FALSE)/(1+$I$4),2)</f>
        <v>489.36</v>
      </c>
      <c r="E1926" s="455"/>
      <c r="F1926" s="456"/>
      <c r="G1926" s="457">
        <v>3.5</v>
      </c>
      <c r="H1926" s="458"/>
      <c r="I1926" s="459">
        <f>TRUNC(D1926*G1926,2)</f>
        <v>1712.76</v>
      </c>
      <c r="J1926" s="451"/>
      <c r="K1926" s="451"/>
      <c r="L1926" s="198"/>
      <c r="M1926" s="198"/>
      <c r="N1926" s="198"/>
      <c r="O1926" s="198"/>
      <c r="P1926" s="198"/>
      <c r="Q1926" s="198"/>
    </row>
    <row r="1927" spans="1:17" ht="22.5" x14ac:dyDescent="0.2">
      <c r="A1927" s="452" t="str">
        <f>VLOOKUP(B1927,'DER 10-18'!$A:$E,2,FALSE)</f>
        <v>Escavação manual em mat. 1ª cat. H= 0,00 a 1,50 m</v>
      </c>
      <c r="B1927" s="453">
        <v>40258</v>
      </c>
      <c r="C1927" s="453" t="str">
        <f>VLOOKUP(B1927,'DER 10-18'!$A:$E,3,FALSE)</f>
        <v>M3</v>
      </c>
      <c r="D1927" s="454">
        <f>TRUNC(VLOOKUP(B1927,'DER 10-18'!$A:$F,6,FALSE)/(1+$I$4),2)</f>
        <v>52.61</v>
      </c>
      <c r="E1927" s="455"/>
      <c r="F1927" s="456"/>
      <c r="G1927" s="457">
        <v>10.72</v>
      </c>
      <c r="H1927" s="458"/>
      <c r="I1927" s="459">
        <f>TRUNC(D1927*G1927,2)</f>
        <v>563.97</v>
      </c>
      <c r="J1927" s="451"/>
      <c r="K1927" s="451"/>
      <c r="L1927" s="198"/>
      <c r="M1927" s="198"/>
      <c r="N1927" s="198"/>
      <c r="O1927" s="198"/>
      <c r="P1927" s="198"/>
      <c r="Q1927" s="198"/>
    </row>
    <row r="1928" spans="1:17" ht="45" x14ac:dyDescent="0.2">
      <c r="A1928" s="452" t="str">
        <f>VLOOKUP(B1928,'DER 10-18'!$A:$E,2,FALSE)</f>
        <v>Formas planas de madeira com 02 (dois) reaproveitamentos, inclusive fornecimento e transporte das madeiras</v>
      </c>
      <c r="B1928" s="453">
        <v>40312</v>
      </c>
      <c r="C1928" s="453" t="str">
        <f>VLOOKUP(B1928,'DER 10-18'!$A:$E,3,FALSE)</f>
        <v>M2</v>
      </c>
      <c r="D1928" s="454">
        <f>TRUNC(VLOOKUP(B1928,'DER 10-18'!$A:$F,6,FALSE)/(1+$I$4),2)</f>
        <v>75.55</v>
      </c>
      <c r="E1928" s="455"/>
      <c r="F1928" s="456"/>
      <c r="G1928" s="457">
        <v>19.5</v>
      </c>
      <c r="H1928" s="458"/>
      <c r="I1928" s="459">
        <f>TRUNC(D1928*G1928,2)</f>
        <v>1473.22</v>
      </c>
      <c r="J1928" s="451"/>
      <c r="K1928" s="451"/>
      <c r="L1928" s="198"/>
      <c r="M1928" s="198"/>
      <c r="N1928" s="198"/>
      <c r="O1928" s="198"/>
      <c r="P1928" s="198"/>
      <c r="Q1928" s="198"/>
    </row>
    <row r="1929" spans="1:17" x14ac:dyDescent="0.2">
      <c r="A1929" s="201"/>
      <c r="B1929" s="271"/>
      <c r="C1929" s="201"/>
      <c r="D1929" s="201"/>
      <c r="E1929" s="201"/>
      <c r="F1929" s="272" t="s">
        <v>214</v>
      </c>
      <c r="G1929" s="260"/>
      <c r="H1929" s="273"/>
      <c r="I1929" s="436">
        <f>SUM(I1924:I1928)</f>
        <v>4820.46</v>
      </c>
    </row>
    <row r="1930" spans="1:17" x14ac:dyDescent="0.2">
      <c r="A1930" s="201"/>
      <c r="B1930" s="271"/>
      <c r="C1930" s="201"/>
      <c r="D1930" s="201"/>
      <c r="E1930" s="201"/>
      <c r="F1930" s="201"/>
      <c r="G1930" s="201"/>
      <c r="H1930" s="201"/>
      <c r="I1930" s="201"/>
    </row>
    <row r="1931" spans="1:17" x14ac:dyDescent="0.2">
      <c r="A1931" s="274" t="s">
        <v>215</v>
      </c>
      <c r="B1931" s="275" t="s">
        <v>60</v>
      </c>
      <c r="C1931" s="275" t="s">
        <v>211</v>
      </c>
      <c r="D1931" s="275" t="s">
        <v>216</v>
      </c>
      <c r="E1931" s="275" t="s">
        <v>217</v>
      </c>
      <c r="F1931" s="275" t="s">
        <v>218</v>
      </c>
      <c r="G1931" s="275" t="s">
        <v>96</v>
      </c>
      <c r="H1931" s="275" t="s">
        <v>91</v>
      </c>
      <c r="I1931" s="275" t="s">
        <v>219</v>
      </c>
    </row>
    <row r="1932" spans="1:17" x14ac:dyDescent="0.2">
      <c r="A1932" s="248"/>
      <c r="B1932" s="238"/>
      <c r="C1932" s="238"/>
      <c r="D1932" s="437"/>
      <c r="E1932" s="277"/>
      <c r="F1932" s="277"/>
      <c r="G1932" s="243"/>
      <c r="H1932" s="278"/>
      <c r="I1932" s="243"/>
      <c r="J1932" s="433" t="s">
        <v>115</v>
      </c>
    </row>
    <row r="1933" spans="1:17" x14ac:dyDescent="0.2">
      <c r="A1933" s="201"/>
      <c r="B1933" s="271"/>
      <c r="C1933" s="201"/>
      <c r="D1933" s="201"/>
      <c r="E1933" s="201"/>
      <c r="F1933" s="272" t="s">
        <v>220</v>
      </c>
      <c r="G1933" s="244"/>
      <c r="H1933" s="279"/>
      <c r="I1933" s="438">
        <f>SUM(I1932:I1932)</f>
        <v>0</v>
      </c>
    </row>
    <row r="1934" spans="1:17" x14ac:dyDescent="0.2">
      <c r="A1934" s="201"/>
      <c r="B1934" s="271"/>
      <c r="C1934" s="201"/>
      <c r="D1934" s="201"/>
      <c r="E1934" s="201"/>
      <c r="F1934" s="201"/>
      <c r="G1934" s="201"/>
      <c r="H1934" s="201"/>
      <c r="I1934" s="202"/>
    </row>
    <row r="1935" spans="1:17" x14ac:dyDescent="0.2">
      <c r="A1935" s="280"/>
      <c r="B1935" s="281"/>
      <c r="C1935" s="282"/>
      <c r="D1935" s="282"/>
      <c r="E1935" s="282"/>
      <c r="F1935" s="283" t="s">
        <v>221</v>
      </c>
      <c r="G1935" s="280"/>
      <c r="H1935" s="254"/>
      <c r="I1935" s="634">
        <f>+I1912+I1921+I1929+I1933</f>
        <v>12359.54</v>
      </c>
    </row>
    <row r="1936" spans="1:17" x14ac:dyDescent="0.2">
      <c r="A1936" s="260"/>
      <c r="B1936" s="284"/>
      <c r="C1936" s="273"/>
      <c r="D1936" s="273"/>
      <c r="E1936" s="273"/>
      <c r="F1936" s="285" t="str">
        <f>CONCATENATE($H$3," ",$I$3)</f>
        <v>BDI: 23,32</v>
      </c>
      <c r="G1936" s="439"/>
      <c r="H1936" s="258"/>
      <c r="I1936" s="635">
        <f>+ROUND(I1935*$I$4,2)</f>
        <v>2882.24</v>
      </c>
    </row>
    <row r="1937" spans="1:13" x14ac:dyDescent="0.2">
      <c r="A1937" s="244"/>
      <c r="B1937" s="286"/>
      <c r="C1937" s="279"/>
      <c r="D1937" s="279"/>
      <c r="E1937" s="279"/>
      <c r="F1937" s="287" t="s">
        <v>222</v>
      </c>
      <c r="G1937" s="440"/>
      <c r="H1937" s="245"/>
      <c r="I1937" s="1017">
        <f>+I1935+I1936</f>
        <v>15241.78</v>
      </c>
    </row>
    <row r="1938" spans="1:13" x14ac:dyDescent="0.2">
      <c r="A1938" s="1277" t="str">
        <f>$A$1</f>
        <v>COMPOSIÇÃO DE CUSTOS UNITÁRIOS</v>
      </c>
      <c r="B1938" s="1277"/>
      <c r="C1938" s="1277"/>
      <c r="D1938" s="1277"/>
      <c r="E1938" s="1277"/>
      <c r="F1938" s="1277"/>
      <c r="G1938" s="1277"/>
      <c r="H1938" s="1277"/>
      <c r="I1938" s="1277"/>
    </row>
    <row r="1939" spans="1:13" x14ac:dyDescent="0.2">
      <c r="A1939" s="232" t="str">
        <f>$A$2</f>
        <v>Tabela Referencial de Preços - DER-ES</v>
      </c>
      <c r="B1939" s="233"/>
      <c r="C1939" s="199"/>
      <c r="D1939" s="199"/>
      <c r="E1939" s="199"/>
      <c r="F1939" s="199"/>
      <c r="G1939" s="199"/>
      <c r="H1939" s="199"/>
      <c r="I1939" s="234" t="str">
        <f>$I$2</f>
        <v>Data Base: Outubro/2018</v>
      </c>
      <c r="J1939" s="433">
        <v>40925</v>
      </c>
      <c r="K1939" s="433">
        <f>VLOOKUP("Preço Unitário Total",F1941:I4208,4,FALSE)</f>
        <v>18.23</v>
      </c>
      <c r="L1939" s="302" t="str">
        <f>VLOOKUP(J1939,'DER 10-18'!A:E,5,FALSE)</f>
        <v>A incluir</v>
      </c>
      <c r="M1939" s="302" t="str">
        <f>VLOOKUP(J1939,'DER 10-18'!$A:$D,2,FALSE)</f>
        <v>Sinalização horizontal TMD=400, vida útil 2 a 3 anos, taxa=0,60 L/m²</v>
      </c>
    </row>
    <row r="1940" spans="1:13" x14ac:dyDescent="0.2">
      <c r="A1940" s="1278" t="str">
        <f>+CONCATENATE("Serviço: ",J1939," ",VLOOKUP(J1939,'DER 10-18'!$A:$D,2,FALSE))</f>
        <v>Serviço: 40925 Sinalização horizontal TMD=400, vida útil 2 a 3 anos, taxa=0,60 L/m²</v>
      </c>
      <c r="B1940" s="1278"/>
      <c r="C1940" s="1278"/>
      <c r="D1940" s="1278"/>
      <c r="E1940" s="1278"/>
      <c r="F1940" s="1278"/>
      <c r="G1940" s="1278"/>
      <c r="H1940" s="1278"/>
      <c r="I1940" s="1278" t="str">
        <f>CONCATENATE("Unidade: ", VLOOKUP(J1939,'DER 10-18'!$A:$E,3,FALSE))</f>
        <v>Unidade: M2</v>
      </c>
      <c r="J1940" s="302"/>
      <c r="K1940" s="302"/>
    </row>
    <row r="1941" spans="1:13" x14ac:dyDescent="0.2">
      <c r="A1941" s="1279"/>
      <c r="B1941" s="1279"/>
      <c r="C1941" s="1279"/>
      <c r="D1941" s="1279"/>
      <c r="E1941" s="1279"/>
      <c r="F1941" s="1279"/>
      <c r="G1941" s="1279"/>
      <c r="H1941" s="1279"/>
      <c r="I1941" s="1279"/>
      <c r="J1941" s="302"/>
      <c r="K1941" s="302"/>
    </row>
    <row r="1942" spans="1:13" ht="22.5" x14ac:dyDescent="0.2">
      <c r="A1942" s="235" t="s">
        <v>192</v>
      </c>
      <c r="B1942" s="236" t="s">
        <v>60</v>
      </c>
      <c r="C1942" s="236" t="s">
        <v>193</v>
      </c>
      <c r="D1942" s="236" t="s">
        <v>194</v>
      </c>
      <c r="E1942" s="236" t="s">
        <v>195</v>
      </c>
      <c r="F1942" s="236" t="s">
        <v>196</v>
      </c>
      <c r="G1942" s="236" t="s">
        <v>197</v>
      </c>
      <c r="H1942" s="236" t="s">
        <v>91</v>
      </c>
      <c r="I1942" s="236" t="s">
        <v>198</v>
      </c>
      <c r="J1942" s="302"/>
      <c r="K1942" s="302"/>
    </row>
    <row r="1943" spans="1:13" ht="22.5" x14ac:dyDescent="0.2">
      <c r="A1943" s="237" t="str">
        <f>VLOOKUP(B1943,equip.!$A:$G,2,FALSE)</f>
        <v>Automóvel Utilitário - VW/ Kombi (flex)</v>
      </c>
      <c r="B1943" s="238">
        <v>30101</v>
      </c>
      <c r="C1943" s="239">
        <f>VLOOKUP(B1943,equip.!$A$1:$G$239,3,FALSE)</f>
        <v>0</v>
      </c>
      <c r="D1943" s="240">
        <v>0.4</v>
      </c>
      <c r="E1943" s="205">
        <v>0.6</v>
      </c>
      <c r="F1943" s="241">
        <f>VLOOKUP(B1943,equip.!$A:$G,6,FALSE)</f>
        <v>112.47</v>
      </c>
      <c r="G1943" s="241">
        <f>VLOOKUP(B1943,equip.!$A:$G,7,FALSE)</f>
        <v>27.63</v>
      </c>
      <c r="H1943" s="242">
        <v>1</v>
      </c>
      <c r="I1943" s="243">
        <f>TRUNC(D1943*F1943*H1943+E1943*G1943*H1943,2)</f>
        <v>61.56</v>
      </c>
      <c r="J1943" s="302"/>
      <c r="K1943" s="302"/>
    </row>
    <row r="1944" spans="1:13" ht="33.75" x14ac:dyDescent="0.2">
      <c r="A1944" s="237" t="str">
        <f>VLOOKUP(B1944,equip.!$A:$G,2,FALSE)</f>
        <v>Demarcador de faixas a gasolina referência Elgimaq EGM CAF 800 L ou equivalente</v>
      </c>
      <c r="B1944" s="238">
        <v>30092</v>
      </c>
      <c r="C1944" s="239">
        <f>VLOOKUP(B1944,equip.!$A$1:$G$239,3,FALSE)</f>
        <v>0</v>
      </c>
      <c r="D1944" s="240">
        <v>1</v>
      </c>
      <c r="E1944" s="205">
        <v>0</v>
      </c>
      <c r="F1944" s="241">
        <f>VLOOKUP(B1944,equip.!$A:$G,6,FALSE)</f>
        <v>198.7</v>
      </c>
      <c r="G1944" s="241">
        <f>VLOOKUP(B1944,equip.!$A:$G,7,FALSE)</f>
        <v>96.36</v>
      </c>
      <c r="H1944" s="242">
        <v>1</v>
      </c>
      <c r="I1944" s="243">
        <f>TRUNC(D1944*F1944*H1944+E1944*G1944*H1944,2)</f>
        <v>198.7</v>
      </c>
      <c r="J1944" s="302"/>
      <c r="K1944" s="302"/>
    </row>
    <row r="1945" spans="1:13" x14ac:dyDescent="0.2">
      <c r="A1945" s="199"/>
      <c r="B1945" s="233"/>
      <c r="C1945" s="233"/>
      <c r="D1945" s="199"/>
      <c r="E1945" s="199"/>
      <c r="F1945" s="234" t="s">
        <v>199</v>
      </c>
      <c r="G1945" s="244"/>
      <c r="H1945" s="245"/>
      <c r="I1945" s="434">
        <f>SUM(I1943:I1944)</f>
        <v>260.26</v>
      </c>
      <c r="J1945" s="302"/>
      <c r="K1945" s="302"/>
    </row>
    <row r="1946" spans="1:13" x14ac:dyDescent="0.2">
      <c r="A1946" s="199"/>
      <c r="B1946" s="233"/>
      <c r="C1946" s="233"/>
      <c r="D1946" s="199"/>
      <c r="E1946" s="199"/>
      <c r="F1946" s="199"/>
      <c r="G1946" s="199"/>
      <c r="H1946" s="199"/>
      <c r="I1946" s="200"/>
      <c r="J1946" s="302"/>
      <c r="K1946" s="302"/>
    </row>
    <row r="1947" spans="1:13" x14ac:dyDescent="0.2">
      <c r="A1947" s="246" t="s">
        <v>200</v>
      </c>
      <c r="B1947" s="247" t="s">
        <v>60</v>
      </c>
      <c r="C1947" s="236" t="s">
        <v>1242</v>
      </c>
      <c r="D1947" s="247" t="s">
        <v>202</v>
      </c>
      <c r="E1947" s="1271" t="s">
        <v>91</v>
      </c>
      <c r="F1947" s="1272"/>
      <c r="G1947" s="1273"/>
      <c r="H1947" s="1276" t="s">
        <v>198</v>
      </c>
      <c r="I1947" s="1275"/>
      <c r="J1947" s="302"/>
      <c r="K1947" s="302"/>
    </row>
    <row r="1948" spans="1:13" x14ac:dyDescent="0.2">
      <c r="A1948" s="248" t="str">
        <f>VLOOKUP(B1948,m.o.!$A:$H,2,FALSE)</f>
        <v>Encarregado de pavimentação</v>
      </c>
      <c r="B1948" s="238">
        <v>20065</v>
      </c>
      <c r="C1948" s="243">
        <f>VLOOKUP(B1948,m.o.!$A:$F,4,FALSE)</f>
        <v>2.2599999999999998</v>
      </c>
      <c r="D1948" s="243">
        <f>VLOOKUP(B1948,m.o.!$A:$G,7,FALSE)</f>
        <v>26.3</v>
      </c>
      <c r="E1948" s="260"/>
      <c r="F1948" s="258"/>
      <c r="G1948" s="300">
        <v>2</v>
      </c>
      <c r="H1948" s="244"/>
      <c r="I1948" s="249">
        <f>TRUNC(D1948*G1948,2)</f>
        <v>52.6</v>
      </c>
      <c r="J1948" s="302"/>
      <c r="K1948" s="302"/>
    </row>
    <row r="1949" spans="1:13" x14ac:dyDescent="0.2">
      <c r="A1949" s="248" t="str">
        <f>VLOOKUP(B1949,m.o.!$A:$H,2,FALSE)</f>
        <v>Servente</v>
      </c>
      <c r="B1949" s="238">
        <v>20002</v>
      </c>
      <c r="C1949" s="243">
        <f>VLOOKUP(B1949,m.o.!$A:$F,4,FALSE)</f>
        <v>1</v>
      </c>
      <c r="D1949" s="243">
        <f>VLOOKUP(B1949,m.o.!$A:$G,7,FALSE)</f>
        <v>11.64</v>
      </c>
      <c r="E1949" s="260"/>
      <c r="F1949" s="258"/>
      <c r="G1949" s="300">
        <v>8</v>
      </c>
      <c r="H1949" s="244"/>
      <c r="I1949" s="249">
        <f>TRUNC(D1949*G1949,2)</f>
        <v>93.12</v>
      </c>
      <c r="J1949" s="302"/>
      <c r="K1949" s="302"/>
    </row>
    <row r="1950" spans="1:13" x14ac:dyDescent="0.2">
      <c r="A1950" s="199"/>
      <c r="B1950" s="233"/>
      <c r="C1950" s="233"/>
      <c r="D1950" s="199"/>
      <c r="E1950" s="199"/>
      <c r="F1950" s="234" t="s">
        <v>203</v>
      </c>
      <c r="G1950" s="244"/>
      <c r="H1950" s="245"/>
      <c r="I1950" s="434">
        <f>SUM(I1948:I1949)</f>
        <v>145.72</v>
      </c>
      <c r="J1950" s="302"/>
      <c r="K1950" s="302"/>
    </row>
    <row r="1951" spans="1:13" x14ac:dyDescent="0.2">
      <c r="A1951" s="199"/>
      <c r="B1951" s="233"/>
      <c r="C1951" s="233"/>
      <c r="D1951" s="199"/>
      <c r="E1951" s="199"/>
      <c r="F1951" s="199"/>
      <c r="G1951" s="199"/>
      <c r="H1951" s="199"/>
      <c r="I1951" s="200"/>
      <c r="J1951" s="302"/>
      <c r="K1951" s="302"/>
    </row>
    <row r="1952" spans="1:13" x14ac:dyDescent="0.2">
      <c r="A1952" s="250" t="s">
        <v>204</v>
      </c>
      <c r="B1952" s="247" t="s">
        <v>60</v>
      </c>
      <c r="C1952" s="866" t="s">
        <v>17</v>
      </c>
      <c r="D1952" s="247" t="s">
        <v>205</v>
      </c>
      <c r="E1952" s="247" t="s">
        <v>206</v>
      </c>
      <c r="F1952" s="247" t="s">
        <v>207</v>
      </c>
      <c r="G1952" s="1276" t="s">
        <v>96</v>
      </c>
      <c r="H1952" s="1274"/>
      <c r="I1952" s="1275"/>
      <c r="J1952" s="302"/>
      <c r="K1952" s="302"/>
    </row>
    <row r="1953" spans="1:17" x14ac:dyDescent="0.2">
      <c r="A1953" s="248" t="s">
        <v>142</v>
      </c>
      <c r="B1953" s="238">
        <v>2000</v>
      </c>
      <c r="C1953" s="243">
        <v>5</v>
      </c>
      <c r="D1953" s="239" t="s">
        <v>223</v>
      </c>
      <c r="E1953" s="251"/>
      <c r="F1953" s="251"/>
      <c r="G1953" s="244"/>
      <c r="H1953" s="245"/>
      <c r="I1953" s="249">
        <f>TRUNC(C1953/100*I1950,2)</f>
        <v>7.28</v>
      </c>
      <c r="J1953" s="302"/>
      <c r="K1953" s="302"/>
    </row>
    <row r="1954" spans="1:17" x14ac:dyDescent="0.2">
      <c r="A1954" s="199"/>
      <c r="B1954" s="233"/>
      <c r="C1954" s="199"/>
      <c r="D1954" s="199"/>
      <c r="E1954" s="199"/>
      <c r="F1954" s="234" t="s">
        <v>1170</v>
      </c>
      <c r="G1954" s="244"/>
      <c r="H1954" s="245"/>
      <c r="I1954" s="434">
        <f>SUM(I1953)</f>
        <v>7.28</v>
      </c>
      <c r="J1954" s="302"/>
      <c r="K1954" s="302"/>
    </row>
    <row r="1955" spans="1:17" x14ac:dyDescent="0.2">
      <c r="A1955" s="199"/>
      <c r="B1955" s="233"/>
      <c r="C1955" s="199"/>
      <c r="D1955" s="199"/>
      <c r="E1955" s="199"/>
      <c r="F1955" s="199"/>
      <c r="G1955" s="199"/>
      <c r="H1955" s="199"/>
      <c r="I1955" s="200"/>
      <c r="J1955" s="302"/>
      <c r="K1955" s="302"/>
    </row>
    <row r="1956" spans="1:17" x14ac:dyDescent="0.2">
      <c r="A1956" s="252"/>
      <c r="B1956" s="253"/>
      <c r="C1956" s="254"/>
      <c r="D1956" s="254"/>
      <c r="E1956" s="254"/>
      <c r="F1956" s="255" t="s">
        <v>208</v>
      </c>
      <c r="G1956" s="435"/>
      <c r="H1956" s="254"/>
      <c r="I1956" s="634">
        <f>+I1945+I1950+I1954</f>
        <v>413.26</v>
      </c>
      <c r="K1956" s="302"/>
    </row>
    <row r="1957" spans="1:17" x14ac:dyDescent="0.2">
      <c r="A1957" s="256"/>
      <c r="B1957" s="257"/>
      <c r="C1957" s="258"/>
      <c r="D1957" s="258"/>
      <c r="E1957" s="258"/>
      <c r="F1957" s="259" t="s">
        <v>209</v>
      </c>
      <c r="G1957" s="260"/>
      <c r="H1957" s="258"/>
      <c r="I1957" s="635">
        <v>200</v>
      </c>
      <c r="K1957" s="302"/>
    </row>
    <row r="1958" spans="1:17" x14ac:dyDescent="0.2">
      <c r="A1958" s="237"/>
      <c r="B1958" s="261"/>
      <c r="C1958" s="245"/>
      <c r="D1958" s="245"/>
      <c r="E1958" s="245"/>
      <c r="F1958" s="262" t="s">
        <v>232</v>
      </c>
      <c r="G1958" s="244"/>
      <c r="H1958" s="245"/>
      <c r="I1958" s="633">
        <f>TRUNC(I1956/I1957,2)</f>
        <v>2.06</v>
      </c>
      <c r="K1958" s="302"/>
    </row>
    <row r="1959" spans="1:17" x14ac:dyDescent="0.2">
      <c r="A1959" s="867"/>
      <c r="B1959" s="233"/>
      <c r="C1959" s="199"/>
      <c r="D1959" s="199"/>
      <c r="E1959" s="199"/>
      <c r="F1959" s="263"/>
      <c r="G1959" s="199"/>
      <c r="H1959" s="199"/>
      <c r="I1959" s="264"/>
      <c r="K1959" s="302"/>
    </row>
    <row r="1960" spans="1:17" x14ac:dyDescent="0.2">
      <c r="A1960" s="246" t="s">
        <v>210</v>
      </c>
      <c r="B1960" s="247" t="s">
        <v>60</v>
      </c>
      <c r="C1960" s="247" t="s">
        <v>211</v>
      </c>
      <c r="D1960" s="247" t="s">
        <v>233</v>
      </c>
      <c r="E1960" s="1276" t="s">
        <v>91</v>
      </c>
      <c r="F1960" s="1274"/>
      <c r="G1960" s="1275"/>
      <c r="H1960" s="1276" t="s">
        <v>198</v>
      </c>
      <c r="I1960" s="1275"/>
      <c r="K1960" s="302"/>
    </row>
    <row r="1961" spans="1:17" x14ac:dyDescent="0.2">
      <c r="A1961" s="265" t="str">
        <f>VLOOKUP(B1961,mat.!$A:$D,2,FALSE)</f>
        <v>Micro-esfera (preço médio)</v>
      </c>
      <c r="B1961" s="238">
        <v>10346</v>
      </c>
      <c r="C1961" s="266" t="str">
        <f>VLOOKUP(B1961,mat.!$A:$D,3,FALSE)</f>
        <v>kg</v>
      </c>
      <c r="D1961" s="267">
        <f>VLOOKUP(B1961,mat.!$A:$D,4,FALSE)</f>
        <v>11.78</v>
      </c>
      <c r="E1961" s="260"/>
      <c r="F1961" s="258"/>
      <c r="G1961" s="300">
        <v>0.38500000000000001</v>
      </c>
      <c r="H1961" s="260"/>
      <c r="I1961" s="268">
        <f>TRUNC(D1961*G1961,2)</f>
        <v>4.53</v>
      </c>
      <c r="K1961" s="302"/>
    </row>
    <row r="1962" spans="1:17" x14ac:dyDescent="0.2">
      <c r="A1962" s="265" t="str">
        <f>VLOOKUP(B1962,mat.!$A:$D,2,FALSE)</f>
        <v>Tinta base água (preço médio)</v>
      </c>
      <c r="B1962" s="238">
        <v>10317</v>
      </c>
      <c r="C1962" s="266" t="str">
        <f>VLOOKUP(B1962,mat.!$A:$D,3,FALSE)</f>
        <v>BD</v>
      </c>
      <c r="D1962" s="267">
        <f>VLOOKUP(B1962,mat.!$A:$D,4,FALSE)</f>
        <v>276.66000000000003</v>
      </c>
      <c r="E1962" s="260"/>
      <c r="F1962" s="258"/>
      <c r="G1962" s="300">
        <v>1E-3</v>
      </c>
      <c r="H1962" s="260"/>
      <c r="I1962" s="268">
        <f>TRUNC(D1962*G1962,2)</f>
        <v>0.27</v>
      </c>
      <c r="K1962" s="302"/>
    </row>
    <row r="1963" spans="1:17" ht="33.75" x14ac:dyDescent="0.2">
      <c r="A1963" s="265" t="str">
        <f>VLOOKUP(B1963,mat.!$A:$D,2,FALSE)</f>
        <v>Tinta para demarc.viária à base de resina acrílica emuls. água (Preço médio)</v>
      </c>
      <c r="B1963" s="238">
        <v>10339</v>
      </c>
      <c r="C1963" s="266" t="str">
        <f>VLOOKUP(B1963,mat.!$A:$D,3,FALSE)</f>
        <v>BD</v>
      </c>
      <c r="D1963" s="267">
        <f>VLOOKUP(B1963,mat.!$A:$D,4,FALSE)</f>
        <v>234.72</v>
      </c>
      <c r="E1963" s="260"/>
      <c r="F1963" s="258"/>
      <c r="G1963" s="300">
        <v>3.3300000000000003E-2</v>
      </c>
      <c r="H1963" s="260"/>
      <c r="I1963" s="268">
        <f>TRUNC(D1963*G1963,2)</f>
        <v>7.81</v>
      </c>
      <c r="K1963" s="302"/>
    </row>
    <row r="1964" spans="1:17" x14ac:dyDescent="0.2">
      <c r="A1964" s="199"/>
      <c r="B1964" s="233"/>
      <c r="C1964" s="199"/>
      <c r="D1964" s="199"/>
      <c r="E1964" s="199"/>
      <c r="F1964" s="234" t="s">
        <v>212</v>
      </c>
      <c r="G1964" s="244"/>
      <c r="H1964" s="245"/>
      <c r="I1964" s="434">
        <f>SUM(I1961:I1963)</f>
        <v>12.61</v>
      </c>
      <c r="K1964" s="302"/>
      <c r="P1964" s="198"/>
      <c r="Q1964" s="198"/>
    </row>
    <row r="1965" spans="1:17" x14ac:dyDescent="0.2">
      <c r="A1965" s="199"/>
      <c r="B1965" s="233"/>
      <c r="C1965" s="199"/>
      <c r="D1965" s="199"/>
      <c r="E1965" s="199"/>
      <c r="F1965" s="199"/>
      <c r="G1965" s="269"/>
      <c r="H1965" s="199"/>
      <c r="I1965" s="200"/>
      <c r="K1965" s="302"/>
    </row>
    <row r="1966" spans="1:17" x14ac:dyDescent="0.2">
      <c r="A1966" s="270" t="s">
        <v>213</v>
      </c>
      <c r="B1966" s="247" t="s">
        <v>60</v>
      </c>
      <c r="C1966" s="247" t="s">
        <v>211</v>
      </c>
      <c r="D1966" s="866" t="s">
        <v>233</v>
      </c>
      <c r="E1966" s="1271" t="s">
        <v>91</v>
      </c>
      <c r="F1966" s="1272"/>
      <c r="G1966" s="1273"/>
      <c r="H1966" s="1274" t="s">
        <v>198</v>
      </c>
      <c r="I1966" s="1275"/>
      <c r="K1966" s="302"/>
    </row>
    <row r="1967" spans="1:17" x14ac:dyDescent="0.2">
      <c r="A1967" s="248"/>
      <c r="B1967" s="238"/>
      <c r="C1967" s="238"/>
      <c r="D1967" s="243"/>
      <c r="E1967" s="260"/>
      <c r="F1967" s="258"/>
      <c r="G1967" s="300"/>
      <c r="H1967" s="244"/>
      <c r="I1967" s="268">
        <f>TRUNC(D1967*G1967,2)</f>
        <v>0</v>
      </c>
      <c r="K1967" s="302"/>
    </row>
    <row r="1968" spans="1:17" x14ac:dyDescent="0.2">
      <c r="A1968" s="201"/>
      <c r="B1968" s="271"/>
      <c r="C1968" s="201"/>
      <c r="D1968" s="201"/>
      <c r="E1968" s="201"/>
      <c r="F1968" s="272" t="s">
        <v>214</v>
      </c>
      <c r="G1968" s="260"/>
      <c r="H1968" s="273"/>
      <c r="I1968" s="436">
        <f>SUM(I1967:I1967)</f>
        <v>0</v>
      </c>
      <c r="K1968" s="302"/>
    </row>
    <row r="1969" spans="1:15" x14ac:dyDescent="0.2">
      <c r="A1969" s="201"/>
      <c r="B1969" s="271"/>
      <c r="C1969" s="201"/>
      <c r="D1969" s="201"/>
      <c r="E1969" s="201"/>
      <c r="F1969" s="201"/>
      <c r="G1969" s="201"/>
      <c r="H1969" s="201"/>
      <c r="I1969" s="201"/>
      <c r="K1969" s="302"/>
      <c r="O1969" s="198"/>
    </row>
    <row r="1970" spans="1:15" x14ac:dyDescent="0.2">
      <c r="A1970" s="274" t="s">
        <v>215</v>
      </c>
      <c r="B1970" s="275" t="s">
        <v>60</v>
      </c>
      <c r="C1970" s="275" t="s">
        <v>211</v>
      </c>
      <c r="D1970" s="275" t="s">
        <v>216</v>
      </c>
      <c r="E1970" s="275" t="s">
        <v>217</v>
      </c>
      <c r="F1970" s="275" t="s">
        <v>218</v>
      </c>
      <c r="G1970" s="275" t="s">
        <v>96</v>
      </c>
      <c r="H1970" s="275" t="s">
        <v>91</v>
      </c>
      <c r="I1970" s="275" t="s">
        <v>219</v>
      </c>
      <c r="J1970" s="433" t="s">
        <v>122</v>
      </c>
      <c r="K1970" s="302"/>
    </row>
    <row r="1971" spans="1:15" ht="22.5" x14ac:dyDescent="0.2">
      <c r="A1971" s="265" t="str">
        <f>VLOOKUP(B1971,tranp.!A:D,2,FALSE)</f>
        <v>Transp. de Micro-esfera (preço médio)</v>
      </c>
      <c r="B1971" s="238">
        <v>1090</v>
      </c>
      <c r="C1971" s="238" t="str">
        <f>VLOOKUP(B1971,tranp.!$A:$J,3,FALSE)</f>
        <v xml:space="preserve"> t  </v>
      </c>
      <c r="D1971" s="437" t="str">
        <f>VLOOKUP(B1971,tranp.!$A:$J,4,FALSE)</f>
        <v>0,676XP + 0,703XR</v>
      </c>
      <c r="E1971" s="277">
        <f>VLOOKUP(J1970,Ocor.!$B:$F,4,FALSE)</f>
        <v>159</v>
      </c>
      <c r="F1971" s="277">
        <f>VLOOKUP(J1970,Ocor.!$B:$F,5,FALSE)</f>
        <v>5.6</v>
      </c>
      <c r="G1971" s="243">
        <f>TRUNC(VLOOKUP(B1971,tranp.!$A:$J,5,FALSE)*E1971+VLOOKUP(B1971,tranp.!$A:$J,6,FALSE)*F1971+VLOOKUP(B1971,tranp.!$A:$J,7,FALSE),2)</f>
        <v>111.42</v>
      </c>
      <c r="H1971" s="278">
        <v>4.0000000000000002E-4</v>
      </c>
      <c r="I1971" s="243">
        <f>TRUNC(G1971*H1971,2)</f>
        <v>0.04</v>
      </c>
      <c r="J1971" s="433" t="s">
        <v>122</v>
      </c>
      <c r="K1971" s="302"/>
    </row>
    <row r="1972" spans="1:15" x14ac:dyDescent="0.2">
      <c r="A1972" s="265" t="str">
        <f>VLOOKUP(B1972,tranp.!A:D,2,FALSE)</f>
        <v>Transp. de Tinta</v>
      </c>
      <c r="B1972" s="238">
        <v>1088</v>
      </c>
      <c r="C1972" s="238" t="str">
        <f>VLOOKUP(B1972,tranp.!$A:$J,3,FALSE)</f>
        <v xml:space="preserve"> t  </v>
      </c>
      <c r="D1972" s="437" t="str">
        <f>VLOOKUP(B1972,tranp.!$A:$J,4,FALSE)</f>
        <v>0,676XP + 0,703XR</v>
      </c>
      <c r="E1972" s="277">
        <f>VLOOKUP(J1971,Ocor.!$B:$F,4,FALSE)</f>
        <v>159</v>
      </c>
      <c r="F1972" s="277">
        <f>VLOOKUP(J1971,Ocor.!$B:$F,5,FALSE)</f>
        <v>5.6</v>
      </c>
      <c r="G1972" s="243">
        <f>TRUNC(VLOOKUP(B1972,tranp.!$A:$J,5,FALSE)*E1972+VLOOKUP(B1972,tranp.!$A:$J,6,FALSE)*F1972+VLOOKUP(B1972,tranp.!$A:$J,7,FALSE),2)</f>
        <v>111.42</v>
      </c>
      <c r="H1972" s="278">
        <v>1E-4</v>
      </c>
      <c r="I1972" s="243">
        <f>TRUNC(G1972*H1972,2)</f>
        <v>0.01</v>
      </c>
      <c r="J1972" s="433" t="s">
        <v>122</v>
      </c>
    </row>
    <row r="1973" spans="1:15" ht="22.5" x14ac:dyDescent="0.2">
      <c r="A1973" s="265" t="str">
        <f>VLOOKUP(B1973,tranp.!A:D,2,FALSE)</f>
        <v>Transp. de Tinta borracha clorada (preço médio)</v>
      </c>
      <c r="B1973" s="238">
        <v>1089</v>
      </c>
      <c r="C1973" s="238" t="str">
        <f>VLOOKUP(B1973,tranp.!$A:$J,3,FALSE)</f>
        <v xml:space="preserve"> t  </v>
      </c>
      <c r="D1973" s="437" t="str">
        <f>VLOOKUP(B1973,tranp.!$A:$J,4,FALSE)</f>
        <v>0,676XP + 0,703XR</v>
      </c>
      <c r="E1973" s="277">
        <f>VLOOKUP(J1972,Ocor.!$B:$F,4,FALSE)</f>
        <v>159</v>
      </c>
      <c r="F1973" s="277">
        <f>VLOOKUP(J1972,Ocor.!$B:$F,5,FALSE)</f>
        <v>5.6</v>
      </c>
      <c r="G1973" s="243">
        <f>TRUNC(VLOOKUP(B1973,tranp.!$A:$J,5,FALSE)*E1973+VLOOKUP(B1973,tranp.!$A:$J,6,FALSE)*F1973+VLOOKUP(B1973,tranp.!$A:$J,7,FALSE),2)</f>
        <v>111.42</v>
      </c>
      <c r="H1973" s="278">
        <v>5.9999999999999995E-4</v>
      </c>
      <c r="I1973" s="243">
        <f>TRUNC(G1973*H1973,2)</f>
        <v>0.06</v>
      </c>
    </row>
    <row r="1974" spans="1:15" x14ac:dyDescent="0.2">
      <c r="A1974" s="201"/>
      <c r="B1974" s="271"/>
      <c r="C1974" s="201"/>
      <c r="D1974" s="201"/>
      <c r="E1974" s="201"/>
      <c r="F1974" s="272" t="s">
        <v>220</v>
      </c>
      <c r="G1974" s="244"/>
      <c r="H1974" s="279"/>
      <c r="I1974" s="438">
        <f>SUM(I1971:I1973)</f>
        <v>0.11</v>
      </c>
    </row>
    <row r="1975" spans="1:15" x14ac:dyDescent="0.2">
      <c r="A1975" s="201"/>
      <c r="B1975" s="271"/>
      <c r="C1975" s="201"/>
      <c r="D1975" s="201"/>
      <c r="E1975" s="201"/>
      <c r="F1975" s="201"/>
      <c r="G1975" s="201"/>
      <c r="H1975" s="201"/>
      <c r="I1975" s="202"/>
    </row>
    <row r="1976" spans="1:15" x14ac:dyDescent="0.2">
      <c r="A1976" s="280"/>
      <c r="B1976" s="281"/>
      <c r="C1976" s="282"/>
      <c r="D1976" s="282"/>
      <c r="E1976" s="282"/>
      <c r="F1976" s="283" t="s">
        <v>221</v>
      </c>
      <c r="G1976" s="280"/>
      <c r="H1976" s="254"/>
      <c r="I1976" s="634">
        <f>+I1958+I1964+I1968+I1974</f>
        <v>14.78</v>
      </c>
    </row>
    <row r="1977" spans="1:15" x14ac:dyDescent="0.2">
      <c r="A1977" s="260"/>
      <c r="B1977" s="284"/>
      <c r="C1977" s="273"/>
      <c r="D1977" s="273"/>
      <c r="E1977" s="273"/>
      <c r="F1977" s="285" t="str">
        <f>CONCATENATE($H$3," ",$I$3)</f>
        <v>BDI: 23,32</v>
      </c>
      <c r="G1977" s="439"/>
      <c r="H1977" s="258"/>
      <c r="I1977" s="635">
        <f>+ROUND(I1976*$I$4,2)</f>
        <v>3.45</v>
      </c>
    </row>
    <row r="1978" spans="1:15" x14ac:dyDescent="0.2">
      <c r="A1978" s="244"/>
      <c r="B1978" s="286"/>
      <c r="C1978" s="279"/>
      <c r="D1978" s="279"/>
      <c r="E1978" s="279"/>
      <c r="F1978" s="287" t="s">
        <v>222</v>
      </c>
      <c r="G1978" s="440"/>
      <c r="H1978" s="245"/>
      <c r="I1978" s="1017">
        <f>+I1976+I1977</f>
        <v>18.23</v>
      </c>
    </row>
    <row r="1979" spans="1:15" x14ac:dyDescent="0.2">
      <c r="A1979" s="1277" t="str">
        <f>$A$1</f>
        <v>COMPOSIÇÃO DE CUSTOS UNITÁRIOS</v>
      </c>
      <c r="B1979" s="1277"/>
      <c r="C1979" s="1277"/>
      <c r="D1979" s="1277"/>
      <c r="E1979" s="1277"/>
      <c r="F1979" s="1277"/>
      <c r="G1979" s="1277"/>
      <c r="H1979" s="1277"/>
      <c r="I1979" s="1277"/>
    </row>
    <row r="1980" spans="1:15" x14ac:dyDescent="0.2">
      <c r="A1980" s="232" t="str">
        <f>$A$2</f>
        <v>Tabela Referencial de Preços - DER-ES</v>
      </c>
      <c r="B1980" s="233"/>
      <c r="C1980" s="199"/>
      <c r="D1980" s="199"/>
      <c r="E1980" s="199"/>
      <c r="F1980" s="199"/>
      <c r="G1980" s="199"/>
      <c r="H1980" s="199"/>
      <c r="I1980" s="234" t="str">
        <f>$I$2</f>
        <v>Data Base: Outubro/2018</v>
      </c>
      <c r="J1980" s="433">
        <v>42524</v>
      </c>
      <c r="K1980" s="433">
        <f>VLOOKUP("Preço Unitário Total",F1982:I4279,4,FALSE)</f>
        <v>95.72</v>
      </c>
      <c r="L1980" s="302">
        <f>VLOOKUP(J1980,'DER 10-18'!A:E,5,FALSE)</f>
        <v>0</v>
      </c>
      <c r="M1980" s="302" t="str">
        <f>VLOOKUP(J1980,'DER 10-18'!$A:$D,2,FALSE)</f>
        <v>Pintura de setas e zebrados em material termoplástico - 5 anos ( por extrusão)</v>
      </c>
    </row>
    <row r="1981" spans="1:15" x14ac:dyDescent="0.2">
      <c r="A1981" s="1278" t="str">
        <f>+CONCATENATE("Serviço: ",J1980," ",VLOOKUP(J1980,'DER 10-18'!$A:$D,2,FALSE))</f>
        <v>Serviço: 42524 Pintura de setas e zebrados em material termoplástico - 5 anos ( por extrusão)</v>
      </c>
      <c r="B1981" s="1278"/>
      <c r="C1981" s="1278"/>
      <c r="D1981" s="1278"/>
      <c r="E1981" s="1278"/>
      <c r="F1981" s="1278"/>
      <c r="G1981" s="1278"/>
      <c r="H1981" s="1278"/>
      <c r="I1981" s="1278" t="str">
        <f>CONCATENATE("Unidade: ", VLOOKUP(J1980,'DER 10-18'!$A:$E,3,FALSE))</f>
        <v>Unidade: M2</v>
      </c>
    </row>
    <row r="1982" spans="1:15" x14ac:dyDescent="0.2">
      <c r="A1982" s="1279"/>
      <c r="B1982" s="1279"/>
      <c r="C1982" s="1279"/>
      <c r="D1982" s="1279"/>
      <c r="E1982" s="1279"/>
      <c r="F1982" s="1279"/>
      <c r="G1982" s="1279"/>
      <c r="H1982" s="1279"/>
      <c r="I1982" s="1279"/>
    </row>
    <row r="1983" spans="1:15" ht="22.5" x14ac:dyDescent="0.2">
      <c r="A1983" s="235" t="s">
        <v>192</v>
      </c>
      <c r="B1983" s="236" t="s">
        <v>60</v>
      </c>
      <c r="C1983" s="236" t="s">
        <v>193</v>
      </c>
      <c r="D1983" s="236" t="s">
        <v>194</v>
      </c>
      <c r="E1983" s="236" t="s">
        <v>195</v>
      </c>
      <c r="F1983" s="236" t="s">
        <v>196</v>
      </c>
      <c r="G1983" s="236" t="s">
        <v>197</v>
      </c>
      <c r="H1983" s="236" t="s">
        <v>91</v>
      </c>
      <c r="I1983" s="236" t="s">
        <v>198</v>
      </c>
    </row>
    <row r="1984" spans="1:15" ht="33.75" x14ac:dyDescent="0.2">
      <c r="A1984" s="237" t="str">
        <f>VLOOKUP(B1984,equip.!$A:$G,2,FALSE)</f>
        <v>Aplicador de material termoplástico por extrusão, marca de referência Elgimaq ou equivalente</v>
      </c>
      <c r="B1984" s="238">
        <v>30140</v>
      </c>
      <c r="C1984" s="239">
        <f>VLOOKUP(B1984,equip.!$A$1:$G$239,3,FALSE)</f>
        <v>0</v>
      </c>
      <c r="D1984" s="240">
        <v>1</v>
      </c>
      <c r="E1984" s="205">
        <v>0</v>
      </c>
      <c r="F1984" s="241">
        <f>VLOOKUP(B1984,equip.!$A:$G,6,FALSE)</f>
        <v>26.56</v>
      </c>
      <c r="G1984" s="241">
        <f>VLOOKUP(B1984,equip.!$A:$G,7,FALSE)</f>
        <v>21.48</v>
      </c>
      <c r="H1984" s="242">
        <v>1</v>
      </c>
      <c r="I1984" s="243">
        <f>TRUNC(D1984*F1984*H1984+E1984*G1984*H1984,2)</f>
        <v>26.56</v>
      </c>
    </row>
    <row r="1985" spans="1:11" ht="22.5" x14ac:dyDescent="0.2">
      <c r="A1985" s="237" t="str">
        <f>VLOOKUP(B1985,equip.!$A:$G,2,FALSE)</f>
        <v>Automóvel Utilitário - GM/S 10 cabine simples (flex), ou equivalente</v>
      </c>
      <c r="B1985" s="238">
        <v>30102</v>
      </c>
      <c r="C1985" s="239" t="str">
        <f>VLOOKUP(B1985,equip.!$A$1:$G$239,3,FALSE)</f>
        <v>M</v>
      </c>
      <c r="D1985" s="240">
        <v>1</v>
      </c>
      <c r="E1985" s="205">
        <v>0</v>
      </c>
      <c r="F1985" s="241">
        <f>VLOOKUP(B1985,equip.!$A:$G,6,FALSE)</f>
        <v>197.01</v>
      </c>
      <c r="G1985" s="241">
        <f>VLOOKUP(B1985,equip.!$A:$G,7,FALSE)</f>
        <v>33.72</v>
      </c>
      <c r="H1985" s="242">
        <v>1</v>
      </c>
      <c r="I1985" s="243">
        <f>TRUNC(D1985*F1985*H1985+E1985*G1985*H1985,2)</f>
        <v>197.01</v>
      </c>
    </row>
    <row r="1986" spans="1:11" ht="22.5" x14ac:dyDescent="0.2">
      <c r="A1986" s="237" t="str">
        <f>VLOOKUP(B1986,equip.!$A:$G,2,FALSE)</f>
        <v>Caminhão carroceria 815/37 PBT=8,3t (TOCO 4,0t)</v>
      </c>
      <c r="B1986" s="238">
        <v>30004</v>
      </c>
      <c r="C1986" s="239" t="str">
        <f>VLOOKUP(B1986,equip.!$A$1:$G$239,3,FALSE)</f>
        <v>M</v>
      </c>
      <c r="D1986" s="240">
        <v>0.5</v>
      </c>
      <c r="E1986" s="205">
        <v>0.5</v>
      </c>
      <c r="F1986" s="241">
        <f>VLOOKUP(B1986,equip.!$A:$G,6,FALSE)</f>
        <v>140.51</v>
      </c>
      <c r="G1986" s="241">
        <f>VLOOKUP(B1986,equip.!$A:$G,7,FALSE)</f>
        <v>37.26</v>
      </c>
      <c r="H1986" s="242">
        <v>1</v>
      </c>
      <c r="I1986" s="243">
        <f>TRUNC(D1986*F1986*H1986+E1986*G1986*H1986,2)</f>
        <v>88.88</v>
      </c>
      <c r="J1986" s="302"/>
      <c r="K1986" s="302"/>
    </row>
    <row r="1987" spans="1:11" ht="33.75" x14ac:dyDescent="0.2">
      <c r="A1987" s="237" t="str">
        <f>VLOOKUP(B1987,equip.!$A:$G,2,FALSE)</f>
        <v>Demarcador de faixas a gasolina referência Elgimaq EGM CAF 800 L ou equivalente</v>
      </c>
      <c r="B1987" s="238">
        <v>30092</v>
      </c>
      <c r="C1987" s="239">
        <f>VLOOKUP(B1987,equip.!$A$1:$G$239,3,FALSE)</f>
        <v>0</v>
      </c>
      <c r="D1987" s="240">
        <v>1</v>
      </c>
      <c r="E1987" s="205">
        <v>0</v>
      </c>
      <c r="F1987" s="241">
        <f>VLOOKUP(B1987,equip.!$A:$G,6,FALSE)</f>
        <v>198.7</v>
      </c>
      <c r="G1987" s="241">
        <f>VLOOKUP(B1987,equip.!$A:$G,7,FALSE)</f>
        <v>96.36</v>
      </c>
      <c r="H1987" s="242">
        <v>1</v>
      </c>
      <c r="I1987" s="243">
        <f>TRUNC(D1987*F1987*H1987+E1987*G1987*H1987,2)</f>
        <v>198.7</v>
      </c>
      <c r="J1987" s="302"/>
      <c r="K1987" s="302"/>
    </row>
    <row r="1988" spans="1:11" x14ac:dyDescent="0.2">
      <c r="A1988" s="199"/>
      <c r="B1988" s="233"/>
      <c r="C1988" s="233"/>
      <c r="D1988" s="199"/>
      <c r="E1988" s="199"/>
      <c r="F1988" s="234" t="s">
        <v>199</v>
      </c>
      <c r="G1988" s="244"/>
      <c r="H1988" s="245"/>
      <c r="I1988" s="434">
        <f>SUM(I1984:I1987)</f>
        <v>511.15</v>
      </c>
      <c r="J1988" s="302"/>
      <c r="K1988" s="302"/>
    </row>
    <row r="1989" spans="1:11" x14ac:dyDescent="0.2">
      <c r="A1989" s="199"/>
      <c r="B1989" s="233"/>
      <c r="C1989" s="233"/>
      <c r="D1989" s="199"/>
      <c r="E1989" s="199"/>
      <c r="F1989" s="199"/>
      <c r="G1989" s="199"/>
      <c r="H1989" s="199"/>
      <c r="I1989" s="200"/>
      <c r="J1989" s="302"/>
      <c r="K1989" s="302"/>
    </row>
    <row r="1990" spans="1:11" x14ac:dyDescent="0.2">
      <c r="A1990" s="246" t="s">
        <v>200</v>
      </c>
      <c r="B1990" s="247" t="s">
        <v>60</v>
      </c>
      <c r="C1990" s="236" t="s">
        <v>1242</v>
      </c>
      <c r="D1990" s="247" t="s">
        <v>202</v>
      </c>
      <c r="E1990" s="1271" t="s">
        <v>91</v>
      </c>
      <c r="F1990" s="1272"/>
      <c r="G1990" s="1273"/>
      <c r="H1990" s="1276" t="s">
        <v>198</v>
      </c>
      <c r="I1990" s="1275"/>
      <c r="J1990" s="302"/>
      <c r="K1990" s="302"/>
    </row>
    <row r="1991" spans="1:11" x14ac:dyDescent="0.2">
      <c r="A1991" s="248" t="str">
        <f>VLOOKUP(B1991,m.o.!$A:$H,2,FALSE)</f>
        <v>Encarregado de pavimentação</v>
      </c>
      <c r="B1991" s="238">
        <v>20065</v>
      </c>
      <c r="C1991" s="243">
        <f>VLOOKUP(B1991,m.o.!$A:$F,4,FALSE)</f>
        <v>2.2599999999999998</v>
      </c>
      <c r="D1991" s="243">
        <f>VLOOKUP(B1991,m.o.!$A:$G,7,FALSE)</f>
        <v>26.3</v>
      </c>
      <c r="E1991" s="260"/>
      <c r="F1991" s="258"/>
      <c r="G1991" s="300">
        <v>1</v>
      </c>
      <c r="H1991" s="244"/>
      <c r="I1991" s="249">
        <f>TRUNC(D1991*G1991,2)</f>
        <v>26.3</v>
      </c>
      <c r="J1991" s="302"/>
      <c r="K1991" s="302"/>
    </row>
    <row r="1992" spans="1:11" x14ac:dyDescent="0.2">
      <c r="A1992" s="248" t="str">
        <f>VLOOKUP(B1992,m.o.!$A:$H,2,FALSE)</f>
        <v>Servente</v>
      </c>
      <c r="B1992" s="238">
        <v>20002</v>
      </c>
      <c r="C1992" s="243">
        <f>VLOOKUP(B1992,m.o.!$A:$F,4,FALSE)</f>
        <v>1</v>
      </c>
      <c r="D1992" s="243">
        <f>VLOOKUP(B1992,m.o.!$A:$G,7,FALSE)</f>
        <v>11.64</v>
      </c>
      <c r="E1992" s="260"/>
      <c r="F1992" s="258"/>
      <c r="G1992" s="300">
        <v>4</v>
      </c>
      <c r="H1992" s="244"/>
      <c r="I1992" s="249">
        <f>TRUNC(D1992*G1992,2)</f>
        <v>46.56</v>
      </c>
      <c r="J1992" s="302"/>
      <c r="K1992" s="302"/>
    </row>
    <row r="1993" spans="1:11" x14ac:dyDescent="0.2">
      <c r="A1993" s="199"/>
      <c r="B1993" s="233"/>
      <c r="C1993" s="233"/>
      <c r="D1993" s="199"/>
      <c r="E1993" s="199"/>
      <c r="F1993" s="234" t="s">
        <v>203</v>
      </c>
      <c r="G1993" s="244"/>
      <c r="H1993" s="245"/>
      <c r="I1993" s="434">
        <f>SUM(I1991:I1992)</f>
        <v>72.86</v>
      </c>
      <c r="J1993" s="302"/>
      <c r="K1993" s="302"/>
    </row>
    <row r="1994" spans="1:11" x14ac:dyDescent="0.2">
      <c r="A1994" s="199"/>
      <c r="B1994" s="233"/>
      <c r="C1994" s="233"/>
      <c r="D1994" s="199"/>
      <c r="E1994" s="199"/>
      <c r="F1994" s="199"/>
      <c r="G1994" s="199"/>
      <c r="H1994" s="199"/>
      <c r="I1994" s="200"/>
      <c r="J1994" s="302"/>
      <c r="K1994" s="302"/>
    </row>
    <row r="1995" spans="1:11" x14ac:dyDescent="0.2">
      <c r="A1995" s="250" t="s">
        <v>204</v>
      </c>
      <c r="B1995" s="247" t="s">
        <v>60</v>
      </c>
      <c r="C1995" s="866" t="s">
        <v>17</v>
      </c>
      <c r="D1995" s="247" t="s">
        <v>205</v>
      </c>
      <c r="E1995" s="247" t="s">
        <v>206</v>
      </c>
      <c r="F1995" s="247" t="s">
        <v>207</v>
      </c>
      <c r="G1995" s="1276" t="s">
        <v>96</v>
      </c>
      <c r="H1995" s="1274"/>
      <c r="I1995" s="1275"/>
      <c r="J1995" s="302"/>
      <c r="K1995" s="302"/>
    </row>
    <row r="1996" spans="1:11" x14ac:dyDescent="0.2">
      <c r="A1996" s="248" t="s">
        <v>142</v>
      </c>
      <c r="B1996" s="238">
        <v>2000</v>
      </c>
      <c r="C1996" s="243">
        <v>5</v>
      </c>
      <c r="D1996" s="239" t="s">
        <v>223</v>
      </c>
      <c r="E1996" s="251"/>
      <c r="F1996" s="251"/>
      <c r="G1996" s="244"/>
      <c r="H1996" s="245"/>
      <c r="I1996" s="249">
        <f>TRUNC(C1996/100*I1993,2)</f>
        <v>3.64</v>
      </c>
      <c r="J1996" s="302"/>
      <c r="K1996" s="302"/>
    </row>
    <row r="1997" spans="1:11" x14ac:dyDescent="0.2">
      <c r="A1997" s="199"/>
      <c r="B1997" s="233"/>
      <c r="C1997" s="199"/>
      <c r="D1997" s="199"/>
      <c r="E1997" s="199"/>
      <c r="F1997" s="234" t="s">
        <v>1170</v>
      </c>
      <c r="G1997" s="244"/>
      <c r="H1997" s="245"/>
      <c r="I1997" s="434">
        <f>SUM(I1996)</f>
        <v>3.64</v>
      </c>
      <c r="J1997" s="302"/>
      <c r="K1997" s="302"/>
    </row>
    <row r="1998" spans="1:11" x14ac:dyDescent="0.2">
      <c r="A1998" s="199"/>
      <c r="B1998" s="233"/>
      <c r="C1998" s="199"/>
      <c r="D1998" s="199"/>
      <c r="E1998" s="199"/>
      <c r="F1998" s="199"/>
      <c r="G1998" s="199"/>
      <c r="H1998" s="199"/>
      <c r="I1998" s="200"/>
      <c r="J1998" s="302"/>
      <c r="K1998" s="302"/>
    </row>
    <row r="1999" spans="1:11" x14ac:dyDescent="0.2">
      <c r="A1999" s="252"/>
      <c r="B1999" s="253"/>
      <c r="C1999" s="254"/>
      <c r="D1999" s="254"/>
      <c r="E1999" s="254"/>
      <c r="F1999" s="255" t="s">
        <v>208</v>
      </c>
      <c r="G1999" s="435"/>
      <c r="H1999" s="254"/>
      <c r="I1999" s="634">
        <f>+I1988+I1993+I1997</f>
        <v>587.65</v>
      </c>
      <c r="J1999" s="302"/>
      <c r="K1999" s="302"/>
    </row>
    <row r="2000" spans="1:11" x14ac:dyDescent="0.2">
      <c r="A2000" s="256"/>
      <c r="B2000" s="257"/>
      <c r="C2000" s="258"/>
      <c r="D2000" s="258"/>
      <c r="E2000" s="258"/>
      <c r="F2000" s="259" t="s">
        <v>209</v>
      </c>
      <c r="G2000" s="260"/>
      <c r="H2000" s="258"/>
      <c r="I2000" s="635">
        <v>20</v>
      </c>
      <c r="J2000" s="302"/>
      <c r="K2000" s="302"/>
    </row>
    <row r="2001" spans="1:17" x14ac:dyDescent="0.2">
      <c r="A2001" s="237"/>
      <c r="B2001" s="261"/>
      <c r="C2001" s="245"/>
      <c r="D2001" s="245"/>
      <c r="E2001" s="245"/>
      <c r="F2001" s="262" t="s">
        <v>232</v>
      </c>
      <c r="G2001" s="244"/>
      <c r="H2001" s="245"/>
      <c r="I2001" s="633">
        <f>TRUNC(I1999/I2000,2)</f>
        <v>29.38</v>
      </c>
      <c r="J2001" s="302"/>
      <c r="K2001" s="302"/>
    </row>
    <row r="2002" spans="1:17" x14ac:dyDescent="0.2">
      <c r="A2002" s="867"/>
      <c r="B2002" s="233"/>
      <c r="C2002" s="199"/>
      <c r="D2002" s="199"/>
      <c r="E2002" s="199"/>
      <c r="F2002" s="263"/>
      <c r="G2002" s="199"/>
      <c r="H2002" s="199"/>
      <c r="I2002" s="264"/>
    </row>
    <row r="2003" spans="1:17" x14ac:dyDescent="0.2">
      <c r="A2003" s="246" t="s">
        <v>210</v>
      </c>
      <c r="B2003" s="247" t="s">
        <v>60</v>
      </c>
      <c r="C2003" s="247" t="s">
        <v>211</v>
      </c>
      <c r="D2003" s="247" t="s">
        <v>233</v>
      </c>
      <c r="E2003" s="1276" t="s">
        <v>91</v>
      </c>
      <c r="F2003" s="1274"/>
      <c r="G2003" s="1275"/>
      <c r="H2003" s="1276" t="s">
        <v>198</v>
      </c>
      <c r="I2003" s="1275"/>
    </row>
    <row r="2004" spans="1:17" x14ac:dyDescent="0.2">
      <c r="A2004" s="265" t="str">
        <f>VLOOKUP(B2004,mat.!$A:$D,2,FALSE)</f>
        <v>Material termoplástico (extrusão)</v>
      </c>
      <c r="B2004" s="238">
        <v>11486</v>
      </c>
      <c r="C2004" s="266" t="str">
        <f>VLOOKUP(B2004,mat.!$A:$D,3,FALSE)</f>
        <v>SC</v>
      </c>
      <c r="D2004" s="267">
        <f>VLOOKUP(B2004,mat.!$A:$D,4,FALSE)</f>
        <v>253</v>
      </c>
      <c r="E2004" s="260"/>
      <c r="F2004" s="258"/>
      <c r="G2004" s="300">
        <v>0.1371</v>
      </c>
      <c r="H2004" s="260"/>
      <c r="I2004" s="268">
        <f>TRUNC(D2004*G2004,2)</f>
        <v>34.68</v>
      </c>
    </row>
    <row r="2005" spans="1:17" x14ac:dyDescent="0.2">
      <c r="A2005" s="265" t="str">
        <f>VLOOKUP(B2005,mat.!$A:$D,2,FALSE)</f>
        <v>Micro-esfera (preço médio)</v>
      </c>
      <c r="B2005" s="238">
        <v>10346</v>
      </c>
      <c r="C2005" s="266" t="str">
        <f>VLOOKUP(B2005,mat.!$A:$D,3,FALSE)</f>
        <v>kg</v>
      </c>
      <c r="D2005" s="267">
        <f>VLOOKUP(B2005,mat.!$A:$D,4,FALSE)</f>
        <v>11.78</v>
      </c>
      <c r="E2005" s="260"/>
      <c r="F2005" s="258"/>
      <c r="G2005" s="300">
        <v>0.4</v>
      </c>
      <c r="H2005" s="260"/>
      <c r="I2005" s="268">
        <f>TRUNC(D2005*G2005,2)</f>
        <v>4.71</v>
      </c>
    </row>
    <row r="2006" spans="1:17" x14ac:dyDescent="0.2">
      <c r="A2006" s="265" t="str">
        <f>VLOOKUP(B2006,mat.!$A:$D,2,FALSE)</f>
        <v>Redutor  tipo 2002 primeira qualidade</v>
      </c>
      <c r="B2006" s="238">
        <v>11487</v>
      </c>
      <c r="C2006" s="266" t="str">
        <f>VLOOKUP(B2006,mat.!$A:$D,3,FALSE)</f>
        <v>L</v>
      </c>
      <c r="D2006" s="267">
        <f>VLOOKUP(B2006,mat.!$A:$D,4,FALSE)</f>
        <v>9.48</v>
      </c>
      <c r="E2006" s="260"/>
      <c r="F2006" s="258"/>
      <c r="G2006" s="300">
        <v>0.06</v>
      </c>
      <c r="H2006" s="260"/>
      <c r="I2006" s="268">
        <f>TRUNC(D2006*G2006,2)</f>
        <v>0.56000000000000005</v>
      </c>
    </row>
    <row r="2007" spans="1:17" x14ac:dyDescent="0.2">
      <c r="A2007" s="265" t="str">
        <f>VLOOKUP(B2007,mat.!$A:$D,2,FALSE)</f>
        <v>Tinta base água (preço médio)</v>
      </c>
      <c r="B2007" s="238">
        <v>10317</v>
      </c>
      <c r="C2007" s="266" t="str">
        <f>VLOOKUP(B2007,mat.!$A:$D,3,FALSE)</f>
        <v>BD</v>
      </c>
      <c r="D2007" s="267">
        <f>VLOOKUP(B2007,mat.!$A:$D,4,FALSE)</f>
        <v>276.66000000000003</v>
      </c>
      <c r="E2007" s="260"/>
      <c r="F2007" s="258"/>
      <c r="G2007" s="300">
        <v>0.03</v>
      </c>
      <c r="H2007" s="260"/>
      <c r="I2007" s="268">
        <f>TRUNC(D2007*G2007,2)</f>
        <v>8.2899999999999991</v>
      </c>
    </row>
    <row r="2008" spans="1:17" x14ac:dyDescent="0.2">
      <c r="A2008" s="199"/>
      <c r="B2008" s="233"/>
      <c r="C2008" s="199"/>
      <c r="D2008" s="199"/>
      <c r="E2008" s="199"/>
      <c r="F2008" s="234" t="s">
        <v>212</v>
      </c>
      <c r="G2008" s="244"/>
      <c r="H2008" s="245"/>
      <c r="I2008" s="434">
        <f>SUM(I2004:I2007)</f>
        <v>48.24</v>
      </c>
    </row>
    <row r="2009" spans="1:17" s="198" customFormat="1" x14ac:dyDescent="0.2">
      <c r="A2009" s="199"/>
      <c r="B2009" s="233"/>
      <c r="C2009" s="199"/>
      <c r="D2009" s="199"/>
      <c r="E2009" s="199"/>
      <c r="F2009" s="199"/>
      <c r="G2009" s="269"/>
      <c r="H2009" s="199"/>
      <c r="I2009" s="200"/>
      <c r="J2009" s="451"/>
      <c r="K2009" s="451"/>
      <c r="O2009" s="302"/>
      <c r="P2009" s="302"/>
      <c r="Q2009" s="302"/>
    </row>
    <row r="2010" spans="1:17" s="198" customFormat="1" x14ac:dyDescent="0.2">
      <c r="A2010" s="467" t="s">
        <v>213</v>
      </c>
      <c r="B2010" s="468" t="s">
        <v>60</v>
      </c>
      <c r="C2010" s="468" t="s">
        <v>211</v>
      </c>
      <c r="D2010" s="869" t="s">
        <v>233</v>
      </c>
      <c r="E2010" s="1281" t="s">
        <v>91</v>
      </c>
      <c r="F2010" s="1282"/>
      <c r="G2010" s="1283"/>
      <c r="H2010" s="1284" t="s">
        <v>198</v>
      </c>
      <c r="I2010" s="1285"/>
      <c r="J2010" s="433"/>
      <c r="K2010" s="433"/>
      <c r="L2010" s="302"/>
      <c r="M2010" s="302"/>
      <c r="N2010" s="302"/>
      <c r="O2010" s="302"/>
      <c r="P2010" s="302"/>
      <c r="Q2010" s="302"/>
    </row>
    <row r="2011" spans="1:17" s="198" customFormat="1" x14ac:dyDescent="0.2">
      <c r="A2011" s="201"/>
      <c r="B2011" s="271"/>
      <c r="C2011" s="201"/>
      <c r="D2011" s="201"/>
      <c r="E2011" s="201"/>
      <c r="F2011" s="272" t="s">
        <v>214</v>
      </c>
      <c r="G2011" s="260"/>
      <c r="H2011" s="273"/>
      <c r="I2011" s="436"/>
      <c r="J2011" s="433"/>
      <c r="K2011" s="433"/>
      <c r="L2011" s="302"/>
      <c r="M2011" s="302"/>
      <c r="N2011" s="302"/>
      <c r="O2011" s="302"/>
      <c r="P2011" s="302"/>
      <c r="Q2011" s="302"/>
    </row>
    <row r="2012" spans="1:17" s="198" customFormat="1" x14ac:dyDescent="0.2">
      <c r="A2012" s="201"/>
      <c r="B2012" s="271"/>
      <c r="C2012" s="201"/>
      <c r="D2012" s="201"/>
      <c r="E2012" s="201"/>
      <c r="F2012" s="201"/>
      <c r="G2012" s="201"/>
      <c r="H2012" s="201"/>
      <c r="I2012" s="201"/>
      <c r="J2012" s="433"/>
      <c r="K2012" s="433"/>
      <c r="L2012" s="302"/>
      <c r="M2012" s="302"/>
      <c r="N2012" s="302"/>
      <c r="O2012" s="302"/>
      <c r="P2012" s="302"/>
      <c r="Q2012" s="302"/>
    </row>
    <row r="2013" spans="1:17" x14ac:dyDescent="0.2">
      <c r="A2013" s="274" t="s">
        <v>215</v>
      </c>
      <c r="B2013" s="275" t="s">
        <v>60</v>
      </c>
      <c r="C2013" s="275" t="s">
        <v>211</v>
      </c>
      <c r="D2013" s="275" t="s">
        <v>216</v>
      </c>
      <c r="E2013" s="275" t="s">
        <v>217</v>
      </c>
      <c r="F2013" s="275" t="s">
        <v>218</v>
      </c>
      <c r="G2013" s="275" t="s">
        <v>96</v>
      </c>
      <c r="H2013" s="275" t="s">
        <v>91</v>
      </c>
      <c r="I2013" s="275" t="s">
        <v>219</v>
      </c>
    </row>
    <row r="2014" spans="1:17" x14ac:dyDescent="0.2">
      <c r="A2014" s="201"/>
      <c r="B2014" s="271"/>
      <c r="C2014" s="201"/>
      <c r="D2014" s="201"/>
      <c r="E2014" s="201"/>
      <c r="F2014" s="272" t="s">
        <v>220</v>
      </c>
      <c r="G2014" s="244"/>
      <c r="H2014" s="279"/>
      <c r="I2014" s="438"/>
    </row>
    <row r="2015" spans="1:17" x14ac:dyDescent="0.2">
      <c r="A2015" s="201"/>
      <c r="B2015" s="271"/>
      <c r="C2015" s="201"/>
      <c r="D2015" s="201"/>
      <c r="E2015" s="201"/>
      <c r="F2015" s="201"/>
      <c r="G2015" s="201"/>
      <c r="H2015" s="201"/>
      <c r="I2015" s="202"/>
    </row>
    <row r="2016" spans="1:17" x14ac:dyDescent="0.2">
      <c r="A2016" s="280"/>
      <c r="B2016" s="281"/>
      <c r="C2016" s="282"/>
      <c r="D2016" s="282"/>
      <c r="E2016" s="282"/>
      <c r="F2016" s="283" t="s">
        <v>221</v>
      </c>
      <c r="G2016" s="280"/>
      <c r="H2016" s="254"/>
      <c r="I2016" s="634">
        <f>+I2001+I2008+I2011+I2014</f>
        <v>77.62</v>
      </c>
    </row>
    <row r="2017" spans="1:13" x14ac:dyDescent="0.2">
      <c r="A2017" s="260"/>
      <c r="B2017" s="284"/>
      <c r="C2017" s="273"/>
      <c r="D2017" s="273"/>
      <c r="E2017" s="273"/>
      <c r="F2017" s="285" t="str">
        <f>CONCATENATE($H$3," ",$I$3)</f>
        <v>BDI: 23,32</v>
      </c>
      <c r="G2017" s="439"/>
      <c r="H2017" s="258"/>
      <c r="I2017" s="635">
        <f>+ROUND(I2016*$I$4,2)</f>
        <v>18.100000000000001</v>
      </c>
    </row>
    <row r="2018" spans="1:13" x14ac:dyDescent="0.2">
      <c r="A2018" s="244"/>
      <c r="B2018" s="286"/>
      <c r="C2018" s="279"/>
      <c r="D2018" s="279"/>
      <c r="E2018" s="279"/>
      <c r="F2018" s="287" t="s">
        <v>222</v>
      </c>
      <c r="G2018" s="440"/>
      <c r="H2018" s="245"/>
      <c r="I2018" s="1017">
        <f>+I2016+I2017</f>
        <v>95.72</v>
      </c>
    </row>
    <row r="2019" spans="1:13" x14ac:dyDescent="0.2">
      <c r="A2019" s="1277" t="str">
        <f>$A$1</f>
        <v>COMPOSIÇÃO DE CUSTOS UNITÁRIOS</v>
      </c>
      <c r="B2019" s="1277"/>
      <c r="C2019" s="1277"/>
      <c r="D2019" s="1277"/>
      <c r="E2019" s="1277"/>
      <c r="F2019" s="1277"/>
      <c r="G2019" s="1277"/>
      <c r="H2019" s="1277"/>
      <c r="I2019" s="1277"/>
    </row>
    <row r="2020" spans="1:13" x14ac:dyDescent="0.2">
      <c r="A2020" s="232" t="str">
        <f>$A$2</f>
        <v>Tabela Referencial de Preços - DER-ES</v>
      </c>
      <c r="B2020" s="233"/>
      <c r="C2020" s="199"/>
      <c r="D2020" s="199"/>
      <c r="E2020" s="199"/>
      <c r="F2020" s="199"/>
      <c r="G2020" s="199"/>
      <c r="H2020" s="199"/>
      <c r="I2020" s="234" t="str">
        <f>$I$2</f>
        <v>Data Base: Outubro/2018</v>
      </c>
      <c r="J2020" s="433">
        <v>40932</v>
      </c>
      <c r="K2020" s="433">
        <f>VLOOKUP("Preço Unitário Total",F2022:I3931,4,FALSE)</f>
        <v>22.1</v>
      </c>
      <c r="L2020" s="302">
        <f>VLOOKUP(J2020,'DER 10-18'!A:E,5,FALSE)</f>
        <v>0</v>
      </c>
      <c r="M2020" s="302" t="str">
        <f>VLOOKUP(J2020,'DER 10-18'!$A:$D,2,FALSE)</f>
        <v>Tacha refletiva monodirecional, fornecimento e aplicação</v>
      </c>
    </row>
    <row r="2021" spans="1:13" x14ac:dyDescent="0.2">
      <c r="A2021" s="1278" t="str">
        <f>+CONCATENATE("Serviço: ",J2020," ",VLOOKUP(J2020,'DER 10-18'!$A:$D,2,FALSE))</f>
        <v>Serviço: 40932 Tacha refletiva monodirecional, fornecimento e aplicação</v>
      </c>
      <c r="B2021" s="1278"/>
      <c r="C2021" s="1278"/>
      <c r="D2021" s="1278"/>
      <c r="E2021" s="1278"/>
      <c r="F2021" s="1278"/>
      <c r="G2021" s="1278"/>
      <c r="H2021" s="1278"/>
      <c r="I2021" s="1278" t="str">
        <f>CONCATENATE("Unidade: ", VLOOKUP(J2020,'DER 10-18'!$A:$E,3,FALSE))</f>
        <v>Unidade: Ud</v>
      </c>
    </row>
    <row r="2022" spans="1:13" x14ac:dyDescent="0.2">
      <c r="A2022" s="1279"/>
      <c r="B2022" s="1279"/>
      <c r="C2022" s="1279"/>
      <c r="D2022" s="1279"/>
      <c r="E2022" s="1279"/>
      <c r="F2022" s="1279"/>
      <c r="G2022" s="1279"/>
      <c r="H2022" s="1279"/>
      <c r="I2022" s="1279"/>
    </row>
    <row r="2023" spans="1:13" ht="22.5" x14ac:dyDescent="0.2">
      <c r="A2023" s="235" t="s">
        <v>192</v>
      </c>
      <c r="B2023" s="236" t="s">
        <v>60</v>
      </c>
      <c r="C2023" s="236" t="s">
        <v>193</v>
      </c>
      <c r="D2023" s="236" t="s">
        <v>194</v>
      </c>
      <c r="E2023" s="236" t="s">
        <v>195</v>
      </c>
      <c r="F2023" s="236" t="s">
        <v>196</v>
      </c>
      <c r="G2023" s="236" t="s">
        <v>197</v>
      </c>
      <c r="H2023" s="236" t="s">
        <v>91</v>
      </c>
      <c r="I2023" s="236" t="s">
        <v>198</v>
      </c>
    </row>
    <row r="2024" spans="1:13" ht="22.5" x14ac:dyDescent="0.2">
      <c r="A2024" s="237" t="str">
        <f>VLOOKUP(B2024,equip.!$A:$G,2,FALSE)</f>
        <v>Caminhão carroceria 815/37 PBT=8,3t (TOCO 4,0t)</v>
      </c>
      <c r="B2024" s="238">
        <v>30004</v>
      </c>
      <c r="C2024" s="239" t="str">
        <f>VLOOKUP(B2024,equip.!$A$1:$G$239,3,FALSE)</f>
        <v>M</v>
      </c>
      <c r="D2024" s="240">
        <v>1</v>
      </c>
      <c r="E2024" s="205">
        <v>0</v>
      </c>
      <c r="F2024" s="241">
        <f>VLOOKUP(B2024,equip.!$A:$G,6,FALSE)</f>
        <v>140.51</v>
      </c>
      <c r="G2024" s="241">
        <f>VLOOKUP(B2024,equip.!$A:$G,7,FALSE)</f>
        <v>37.26</v>
      </c>
      <c r="H2024" s="242">
        <v>1</v>
      </c>
      <c r="I2024" s="243">
        <f>TRUNC(D2024*F2024*H2024+E2024*G2024*H2024,2)</f>
        <v>140.51</v>
      </c>
    </row>
    <row r="2025" spans="1:13" ht="22.5" x14ac:dyDescent="0.2">
      <c r="A2025" s="237" t="str">
        <f>VLOOKUP(B2025,equip.!$A:$G,2,FALSE)</f>
        <v>Furadeira elétrica de impacto BOSCH 1184 ou equivalente</v>
      </c>
      <c r="B2025" s="238">
        <v>30094</v>
      </c>
      <c r="C2025" s="239">
        <f>VLOOKUP(B2025,equip.!$A$1:$G$239,3,FALSE)</f>
        <v>0</v>
      </c>
      <c r="D2025" s="240">
        <v>1</v>
      </c>
      <c r="E2025" s="205">
        <v>0</v>
      </c>
      <c r="F2025" s="241">
        <f>VLOOKUP(B2025,equip.!$A:$G,6,FALSE)</f>
        <v>18.84</v>
      </c>
      <c r="G2025" s="241">
        <f>VLOOKUP(B2025,equip.!$A:$G,7,FALSE)</f>
        <v>18.149999999999999</v>
      </c>
      <c r="H2025" s="242">
        <v>2</v>
      </c>
      <c r="I2025" s="243">
        <f>TRUNC(D2025*F2025*H2025+E2025*G2025*H2025,2)</f>
        <v>37.68</v>
      </c>
    </row>
    <row r="2026" spans="1:13" ht="22.5" x14ac:dyDescent="0.2">
      <c r="A2026" s="237" t="str">
        <f>VLOOKUP(B2026,equip.!$A:$G,2,FALSE)</f>
        <v>Grupo gerador 2,5 a 3,0 kva a gasolina</v>
      </c>
      <c r="B2026" s="238">
        <v>30093</v>
      </c>
      <c r="C2026" s="239">
        <f>VLOOKUP(B2026,equip.!$A$1:$G$239,3,FALSE)</f>
        <v>0</v>
      </c>
      <c r="D2026" s="240">
        <v>1</v>
      </c>
      <c r="E2026" s="205">
        <v>0</v>
      </c>
      <c r="F2026" s="241">
        <f>VLOOKUP(B2026,equip.!$A:$G,6,FALSE)</f>
        <v>16.38</v>
      </c>
      <c r="G2026" s="241">
        <f>VLOOKUP(B2026,equip.!$A:$G,7,FALSE)</f>
        <v>12</v>
      </c>
      <c r="H2026" s="242">
        <v>1</v>
      </c>
      <c r="I2026" s="243">
        <f>TRUNC(D2026*F2026*H2026+E2026*G2026*H2026,2)</f>
        <v>16.38</v>
      </c>
    </row>
    <row r="2027" spans="1:13" x14ac:dyDescent="0.2">
      <c r="A2027" s="199"/>
      <c r="B2027" s="233"/>
      <c r="C2027" s="233"/>
      <c r="D2027" s="199"/>
      <c r="E2027" s="199"/>
      <c r="F2027" s="234" t="s">
        <v>199</v>
      </c>
      <c r="G2027" s="244"/>
      <c r="H2027" s="245"/>
      <c r="I2027" s="434">
        <f>SUM(I2024:I2026)</f>
        <v>194.57</v>
      </c>
    </row>
    <row r="2028" spans="1:13" x14ac:dyDescent="0.2">
      <c r="A2028" s="199"/>
      <c r="B2028" s="233"/>
      <c r="C2028" s="233"/>
      <c r="D2028" s="199"/>
      <c r="E2028" s="199"/>
      <c r="F2028" s="199"/>
      <c r="G2028" s="199"/>
      <c r="H2028" s="199"/>
      <c r="I2028" s="200"/>
    </row>
    <row r="2029" spans="1:13" x14ac:dyDescent="0.2">
      <c r="A2029" s="246" t="s">
        <v>200</v>
      </c>
      <c r="B2029" s="247" t="s">
        <v>60</v>
      </c>
      <c r="C2029" s="236" t="s">
        <v>1242</v>
      </c>
      <c r="D2029" s="247" t="s">
        <v>202</v>
      </c>
      <c r="E2029" s="1276" t="s">
        <v>91</v>
      </c>
      <c r="F2029" s="1274"/>
      <c r="G2029" s="1275"/>
      <c r="H2029" s="1276" t="s">
        <v>198</v>
      </c>
      <c r="I2029" s="1275"/>
    </row>
    <row r="2030" spans="1:13" x14ac:dyDescent="0.2">
      <c r="A2030" s="248" t="str">
        <f>VLOOKUP(B2030,m.o.!$A:$H,2,FALSE)</f>
        <v>Encarregado de pavimentação</v>
      </c>
      <c r="B2030" s="238">
        <v>20065</v>
      </c>
      <c r="C2030" s="243">
        <f>VLOOKUP(B2030,m.o.!$A:$F,4,FALSE)</f>
        <v>2.2599999999999998</v>
      </c>
      <c r="D2030" s="243">
        <f>VLOOKUP(B2030,m.o.!$A:$G,7,FALSE)</f>
        <v>26.3</v>
      </c>
      <c r="E2030" s="244"/>
      <c r="F2030" s="258"/>
      <c r="G2030" s="300">
        <v>1</v>
      </c>
      <c r="H2030" s="244"/>
      <c r="I2030" s="249">
        <f>TRUNC(D2030*G2030,2)</f>
        <v>26.3</v>
      </c>
    </row>
    <row r="2031" spans="1:13" x14ac:dyDescent="0.2">
      <c r="A2031" s="248" t="str">
        <f>VLOOKUP(B2031,m.o.!$A:$H,2,FALSE)</f>
        <v>Oficial</v>
      </c>
      <c r="B2031" s="238">
        <v>20099</v>
      </c>
      <c r="C2031" s="243">
        <f>VLOOKUP(B2031,m.o.!$A:$F,4,FALSE)</f>
        <v>1.65</v>
      </c>
      <c r="D2031" s="243">
        <f>VLOOKUP(B2031,m.o.!$A:$G,7,FALSE)</f>
        <v>19.2</v>
      </c>
      <c r="E2031" s="244"/>
      <c r="F2031" s="245"/>
      <c r="G2031" s="441">
        <v>2</v>
      </c>
      <c r="H2031" s="244"/>
      <c r="I2031" s="249">
        <f>TRUNC(D2031*G2031,2)</f>
        <v>38.4</v>
      </c>
      <c r="J2031" s="302"/>
      <c r="K2031" s="302"/>
    </row>
    <row r="2032" spans="1:13" x14ac:dyDescent="0.2">
      <c r="A2032" s="248" t="str">
        <f>VLOOKUP(B2032,m.o.!$A:$H,2,FALSE)</f>
        <v>Servente</v>
      </c>
      <c r="B2032" s="238">
        <v>20002</v>
      </c>
      <c r="C2032" s="243">
        <f>VLOOKUP(B2032,m.o.!$A:$F,4,FALSE)</f>
        <v>1</v>
      </c>
      <c r="D2032" s="243">
        <f>VLOOKUP(B2032,m.o.!$A:$G,7,FALSE)</f>
        <v>11.64</v>
      </c>
      <c r="E2032" s="244"/>
      <c r="F2032" s="245"/>
      <c r="G2032" s="441">
        <v>4</v>
      </c>
      <c r="H2032" s="244"/>
      <c r="I2032" s="249">
        <f>TRUNC(D2032*G2032,2)</f>
        <v>46.56</v>
      </c>
      <c r="J2032" s="302"/>
      <c r="K2032" s="302"/>
    </row>
    <row r="2033" spans="1:17" x14ac:dyDescent="0.2">
      <c r="A2033" s="199"/>
      <c r="B2033" s="233"/>
      <c r="C2033" s="233"/>
      <c r="D2033" s="199"/>
      <c r="E2033" s="199"/>
      <c r="F2033" s="234" t="s">
        <v>203</v>
      </c>
      <c r="G2033" s="244"/>
      <c r="H2033" s="245"/>
      <c r="I2033" s="434">
        <f>SUM(I2030:I2032)</f>
        <v>111.26</v>
      </c>
      <c r="J2033" s="302"/>
      <c r="K2033" s="302"/>
    </row>
    <row r="2034" spans="1:17" x14ac:dyDescent="0.2">
      <c r="A2034" s="199"/>
      <c r="B2034" s="233"/>
      <c r="C2034" s="233"/>
      <c r="D2034" s="199"/>
      <c r="E2034" s="199"/>
      <c r="F2034" s="199"/>
      <c r="G2034" s="199"/>
      <c r="H2034" s="199"/>
      <c r="I2034" s="200"/>
      <c r="J2034" s="302"/>
      <c r="K2034" s="302"/>
    </row>
    <row r="2035" spans="1:17" x14ac:dyDescent="0.2">
      <c r="A2035" s="250" t="s">
        <v>204</v>
      </c>
      <c r="B2035" s="247" t="s">
        <v>60</v>
      </c>
      <c r="C2035" s="866" t="s">
        <v>17</v>
      </c>
      <c r="D2035" s="247" t="s">
        <v>205</v>
      </c>
      <c r="E2035" s="247" t="s">
        <v>206</v>
      </c>
      <c r="F2035" s="247" t="s">
        <v>207</v>
      </c>
      <c r="G2035" s="1276" t="s">
        <v>96</v>
      </c>
      <c r="H2035" s="1274"/>
      <c r="I2035" s="1275"/>
      <c r="J2035" s="302"/>
      <c r="K2035" s="302"/>
    </row>
    <row r="2036" spans="1:17" x14ac:dyDescent="0.2">
      <c r="A2036" s="248"/>
      <c r="B2036" s="238"/>
      <c r="C2036" s="243"/>
      <c r="D2036" s="239"/>
      <c r="E2036" s="251"/>
      <c r="F2036" s="251"/>
      <c r="G2036" s="244"/>
      <c r="H2036" s="245"/>
      <c r="I2036" s="249"/>
      <c r="J2036" s="302"/>
      <c r="K2036" s="302"/>
    </row>
    <row r="2037" spans="1:17" x14ac:dyDescent="0.2">
      <c r="A2037" s="199"/>
      <c r="B2037" s="233"/>
      <c r="C2037" s="199"/>
      <c r="D2037" s="199"/>
      <c r="E2037" s="199"/>
      <c r="F2037" s="234" t="s">
        <v>1170</v>
      </c>
      <c r="G2037" s="244"/>
      <c r="H2037" s="245"/>
      <c r="I2037" s="434">
        <f>SUM(I2036)</f>
        <v>0</v>
      </c>
      <c r="J2037" s="302"/>
      <c r="K2037" s="302"/>
    </row>
    <row r="2038" spans="1:17" x14ac:dyDescent="0.2">
      <c r="A2038" s="199"/>
      <c r="B2038" s="233"/>
      <c r="C2038" s="199"/>
      <c r="D2038" s="199"/>
      <c r="E2038" s="199"/>
      <c r="F2038" s="199"/>
      <c r="G2038" s="199"/>
      <c r="H2038" s="199"/>
      <c r="I2038" s="200"/>
      <c r="J2038" s="302"/>
      <c r="K2038" s="302"/>
    </row>
    <row r="2039" spans="1:17" x14ac:dyDescent="0.2">
      <c r="A2039" s="252"/>
      <c r="B2039" s="253"/>
      <c r="C2039" s="254"/>
      <c r="D2039" s="254"/>
      <c r="E2039" s="254"/>
      <c r="F2039" s="255" t="s">
        <v>208</v>
      </c>
      <c r="G2039" s="435"/>
      <c r="H2039" s="254"/>
      <c r="I2039" s="634">
        <f>+I2027+I2033+I2037</f>
        <v>305.83</v>
      </c>
      <c r="J2039" s="302"/>
      <c r="K2039" s="302"/>
    </row>
    <row r="2040" spans="1:17" x14ac:dyDescent="0.2">
      <c r="A2040" s="256"/>
      <c r="B2040" s="257"/>
      <c r="C2040" s="258"/>
      <c r="D2040" s="258"/>
      <c r="E2040" s="258"/>
      <c r="F2040" s="259" t="s">
        <v>209</v>
      </c>
      <c r="G2040" s="260"/>
      <c r="H2040" s="258"/>
      <c r="I2040" s="635">
        <v>80</v>
      </c>
      <c r="J2040" s="302"/>
      <c r="K2040" s="302"/>
    </row>
    <row r="2041" spans="1:17" x14ac:dyDescent="0.2">
      <c r="A2041" s="237"/>
      <c r="B2041" s="261"/>
      <c r="C2041" s="245"/>
      <c r="D2041" s="245"/>
      <c r="E2041" s="245"/>
      <c r="F2041" s="262" t="s">
        <v>232</v>
      </c>
      <c r="G2041" s="244"/>
      <c r="H2041" s="245"/>
      <c r="I2041" s="633">
        <f>TRUNC(I2039/I2040,2)</f>
        <v>3.82</v>
      </c>
      <c r="J2041" s="302"/>
      <c r="K2041" s="302"/>
    </row>
    <row r="2042" spans="1:17" x14ac:dyDescent="0.2">
      <c r="A2042" s="867"/>
      <c r="B2042" s="233"/>
      <c r="C2042" s="199"/>
      <c r="D2042" s="199"/>
      <c r="E2042" s="199"/>
      <c r="F2042" s="263"/>
      <c r="G2042" s="199"/>
      <c r="H2042" s="199"/>
      <c r="I2042" s="264"/>
      <c r="J2042" s="302"/>
      <c r="K2042" s="302"/>
    </row>
    <row r="2043" spans="1:17" x14ac:dyDescent="0.2">
      <c r="A2043" s="246" t="s">
        <v>210</v>
      </c>
      <c r="B2043" s="247" t="s">
        <v>60</v>
      </c>
      <c r="C2043" s="247" t="s">
        <v>211</v>
      </c>
      <c r="D2043" s="247" t="s">
        <v>233</v>
      </c>
      <c r="E2043" s="1276" t="s">
        <v>91</v>
      </c>
      <c r="F2043" s="1274"/>
      <c r="G2043" s="1275"/>
      <c r="H2043" s="1276" t="s">
        <v>198</v>
      </c>
      <c r="I2043" s="1275"/>
      <c r="J2043" s="302"/>
      <c r="K2043" s="302"/>
    </row>
    <row r="2044" spans="1:17" x14ac:dyDescent="0.2">
      <c r="A2044" s="265" t="str">
        <f>VLOOKUP(B2044,mat.!$A:$D,2,FALSE)</f>
        <v>Cola a base de poliester</v>
      </c>
      <c r="B2044" s="238">
        <v>10362</v>
      </c>
      <c r="C2044" s="266" t="str">
        <f>VLOOKUP(B2044,mat.!$A:$D,3,FALSE)</f>
        <v>kg</v>
      </c>
      <c r="D2044" s="267">
        <f>VLOOKUP(B2044,mat.!$A:$D,4,FALSE)</f>
        <v>17.2</v>
      </c>
      <c r="E2044" s="260"/>
      <c r="F2044" s="258"/>
      <c r="G2044" s="300">
        <v>7.0000000000000007E-2</v>
      </c>
      <c r="H2044" s="260"/>
      <c r="I2044" s="268">
        <f>TRUNC(D2044*G2044,2)</f>
        <v>1.2</v>
      </c>
      <c r="J2044" s="302"/>
      <c r="K2044" s="302"/>
    </row>
    <row r="2045" spans="1:17" x14ac:dyDescent="0.2">
      <c r="A2045" s="265" t="str">
        <f>VLOOKUP(B2045,mat.!$A:$D,2,FALSE)</f>
        <v>Tacha monodirecional</v>
      </c>
      <c r="B2045" s="238">
        <v>10358</v>
      </c>
      <c r="C2045" s="266" t="str">
        <f>VLOOKUP(B2045,mat.!$A:$D,3,FALSE)</f>
        <v>Ud</v>
      </c>
      <c r="D2045" s="267">
        <f>VLOOKUP(B2045,mat.!$A:$D,4,FALSE)</f>
        <v>12.9</v>
      </c>
      <c r="E2045" s="260"/>
      <c r="F2045" s="258"/>
      <c r="G2045" s="441">
        <v>1</v>
      </c>
      <c r="H2045" s="260"/>
      <c r="I2045" s="268">
        <f>TRUNC(D2045*G2045,2)</f>
        <v>12.9</v>
      </c>
      <c r="J2045" s="302"/>
      <c r="K2045" s="302"/>
    </row>
    <row r="2046" spans="1:17" x14ac:dyDescent="0.2">
      <c r="A2046" s="199"/>
      <c r="B2046" s="233"/>
      <c r="C2046" s="199"/>
      <c r="D2046" s="199"/>
      <c r="E2046" s="199"/>
      <c r="F2046" s="234" t="s">
        <v>212</v>
      </c>
      <c r="G2046" s="244"/>
      <c r="H2046" s="245"/>
      <c r="I2046" s="434">
        <f>SUM(I2044:I2045)</f>
        <v>14.1</v>
      </c>
      <c r="J2046" s="302"/>
      <c r="K2046" s="302"/>
      <c r="O2046" s="198"/>
      <c r="P2046" s="198"/>
      <c r="Q2046" s="198"/>
    </row>
    <row r="2047" spans="1:17" x14ac:dyDescent="0.2">
      <c r="A2047" s="199"/>
      <c r="B2047" s="233"/>
      <c r="C2047" s="199"/>
      <c r="D2047" s="199"/>
      <c r="E2047" s="199"/>
      <c r="F2047" s="199"/>
      <c r="G2047" s="269"/>
      <c r="H2047" s="199"/>
      <c r="I2047" s="200"/>
    </row>
    <row r="2048" spans="1:17" x14ac:dyDescent="0.2">
      <c r="A2048" s="270" t="s">
        <v>213</v>
      </c>
      <c r="B2048" s="247" t="s">
        <v>60</v>
      </c>
      <c r="C2048" s="247" t="s">
        <v>211</v>
      </c>
      <c r="D2048" s="866" t="s">
        <v>233</v>
      </c>
      <c r="E2048" s="1276" t="s">
        <v>91</v>
      </c>
      <c r="F2048" s="1274"/>
      <c r="G2048" s="1275"/>
      <c r="H2048" s="1276" t="s">
        <v>198</v>
      </c>
      <c r="I2048" s="1275"/>
    </row>
    <row r="2049" spans="1:17" x14ac:dyDescent="0.2">
      <c r="A2049" s="248"/>
      <c r="B2049" s="238"/>
      <c r="C2049" s="238"/>
      <c r="D2049" s="243"/>
      <c r="E2049" s="244"/>
      <c r="F2049" s="258"/>
      <c r="G2049" s="300"/>
      <c r="H2049" s="244"/>
      <c r="I2049" s="268"/>
    </row>
    <row r="2050" spans="1:17" x14ac:dyDescent="0.2">
      <c r="A2050" s="201"/>
      <c r="B2050" s="271"/>
      <c r="C2050" s="201"/>
      <c r="D2050" s="201"/>
      <c r="E2050" s="201"/>
      <c r="F2050" s="272" t="s">
        <v>214</v>
      </c>
      <c r="G2050" s="260"/>
      <c r="H2050" s="273"/>
      <c r="I2050" s="436">
        <f>SUM(I2049:I2049)</f>
        <v>0</v>
      </c>
    </row>
    <row r="2051" spans="1:17" x14ac:dyDescent="0.2">
      <c r="A2051" s="201"/>
      <c r="B2051" s="271"/>
      <c r="C2051" s="201"/>
      <c r="D2051" s="201"/>
      <c r="E2051" s="201"/>
      <c r="F2051" s="201"/>
      <c r="G2051" s="201"/>
      <c r="H2051" s="201"/>
      <c r="I2051" s="201"/>
    </row>
    <row r="2052" spans="1:17" x14ac:dyDescent="0.2">
      <c r="A2052" s="274" t="s">
        <v>215</v>
      </c>
      <c r="B2052" s="275" t="s">
        <v>60</v>
      </c>
      <c r="C2052" s="275" t="s">
        <v>211</v>
      </c>
      <c r="D2052" s="275" t="s">
        <v>216</v>
      </c>
      <c r="E2052" s="275" t="s">
        <v>217</v>
      </c>
      <c r="F2052" s="275" t="s">
        <v>218</v>
      </c>
      <c r="G2052" s="275" t="s">
        <v>96</v>
      </c>
      <c r="H2052" s="275" t="s">
        <v>91</v>
      </c>
      <c r="I2052" s="275" t="s">
        <v>219</v>
      </c>
      <c r="J2052" s="433" t="s">
        <v>60</v>
      </c>
    </row>
    <row r="2053" spans="1:17" x14ac:dyDescent="0.2">
      <c r="A2053" s="248"/>
      <c r="B2053" s="238"/>
      <c r="C2053" s="238"/>
      <c r="D2053" s="276"/>
      <c r="E2053" s="277"/>
      <c r="F2053" s="277"/>
      <c r="G2053" s="243"/>
      <c r="H2053" s="278"/>
      <c r="I2053" s="243"/>
    </row>
    <row r="2054" spans="1:17" x14ac:dyDescent="0.2">
      <c r="A2054" s="201"/>
      <c r="B2054" s="271"/>
      <c r="C2054" s="201"/>
      <c r="D2054" s="201"/>
      <c r="E2054" s="201"/>
      <c r="F2054" s="272" t="s">
        <v>220</v>
      </c>
      <c r="G2054" s="244"/>
      <c r="H2054" s="279"/>
      <c r="I2054" s="438">
        <f>SUM(I2053:I2053)</f>
        <v>0</v>
      </c>
    </row>
    <row r="2055" spans="1:17" x14ac:dyDescent="0.2">
      <c r="A2055" s="201"/>
      <c r="B2055" s="271"/>
      <c r="C2055" s="201"/>
      <c r="D2055" s="201"/>
      <c r="E2055" s="201"/>
      <c r="F2055" s="201"/>
      <c r="G2055" s="201"/>
      <c r="H2055" s="201"/>
      <c r="I2055" s="202"/>
    </row>
    <row r="2056" spans="1:17" x14ac:dyDescent="0.2">
      <c r="A2056" s="280"/>
      <c r="B2056" s="281"/>
      <c r="C2056" s="282"/>
      <c r="D2056" s="282"/>
      <c r="E2056" s="282"/>
      <c r="F2056" s="283" t="s">
        <v>221</v>
      </c>
      <c r="G2056" s="280"/>
      <c r="H2056" s="254"/>
      <c r="I2056" s="634">
        <f>+I2041+I2046+I2050+I2054</f>
        <v>17.920000000000002</v>
      </c>
    </row>
    <row r="2057" spans="1:17" x14ac:dyDescent="0.2">
      <c r="A2057" s="260"/>
      <c r="B2057" s="284"/>
      <c r="C2057" s="273"/>
      <c r="D2057" s="273"/>
      <c r="E2057" s="273"/>
      <c r="F2057" s="285" t="str">
        <f>CONCATENATE($H$3," ",$I$3)</f>
        <v>BDI: 23,32</v>
      </c>
      <c r="G2057" s="439"/>
      <c r="H2057" s="258"/>
      <c r="I2057" s="635">
        <f>+ROUND(I2056*$I$4,2)</f>
        <v>4.18</v>
      </c>
    </row>
    <row r="2058" spans="1:17" x14ac:dyDescent="0.2">
      <c r="A2058" s="244"/>
      <c r="B2058" s="286"/>
      <c r="C2058" s="279"/>
      <c r="D2058" s="279"/>
      <c r="E2058" s="279"/>
      <c r="F2058" s="287" t="s">
        <v>222</v>
      </c>
      <c r="G2058" s="440"/>
      <c r="H2058" s="245"/>
      <c r="I2058" s="1017">
        <f>+I2056+I2057</f>
        <v>22.1</v>
      </c>
    </row>
    <row r="2059" spans="1:17" x14ac:dyDescent="0.2">
      <c r="A2059" s="1286" t="str">
        <f>$A$1</f>
        <v>COMPOSIÇÃO DE CUSTOS UNITÁRIOS</v>
      </c>
      <c r="B2059" s="1286"/>
      <c r="C2059" s="1286"/>
      <c r="D2059" s="1286"/>
      <c r="E2059" s="1286"/>
      <c r="F2059" s="1286"/>
      <c r="G2059" s="1286"/>
      <c r="H2059" s="1286"/>
      <c r="I2059" s="1286"/>
      <c r="J2059" s="451"/>
      <c r="K2059" s="451"/>
      <c r="L2059" s="198"/>
      <c r="M2059" s="198"/>
      <c r="N2059" s="198"/>
      <c r="O2059" s="198"/>
      <c r="P2059" s="198"/>
      <c r="Q2059" s="198"/>
    </row>
    <row r="2060" spans="1:17" x14ac:dyDescent="0.2">
      <c r="A2060" s="447" t="str">
        <f>$A$2</f>
        <v>Tabela Referencial de Preços - DER-ES</v>
      </c>
      <c r="B2060" s="448"/>
      <c r="C2060" s="449"/>
      <c r="D2060" s="449"/>
      <c r="E2060" s="449"/>
      <c r="F2060" s="449"/>
      <c r="G2060" s="449"/>
      <c r="H2060" s="449"/>
      <c r="I2060" s="450" t="str">
        <f>$I$2</f>
        <v>Data Base: Outubro/2018</v>
      </c>
      <c r="J2060" s="451"/>
      <c r="K2060" s="451"/>
      <c r="L2060" s="198"/>
      <c r="M2060" s="198"/>
      <c r="N2060" s="198"/>
      <c r="O2060" s="198"/>
      <c r="P2060" s="198"/>
      <c r="Q2060" s="198"/>
    </row>
    <row r="2061" spans="1:17" x14ac:dyDescent="0.2">
      <c r="A2061" s="1287" t="str">
        <f>+CONCATENATE("Serviço: ",J2061," ",VLOOKUP(J2061,'DER 10-18'!$A:$D,2,FALSE))</f>
        <v>Serviço: 40934 Tacha refletiva birrefletorizada, fornecimento e aplicação</v>
      </c>
      <c r="B2061" s="1287"/>
      <c r="C2061" s="1287"/>
      <c r="D2061" s="1287"/>
      <c r="E2061" s="1287"/>
      <c r="F2061" s="1287"/>
      <c r="G2061" s="1287"/>
      <c r="H2061" s="1287"/>
      <c r="I2061" s="1287" t="str">
        <f>CONCATENATE("Unidade: ", VLOOKUP(J2061,'DER 10-18'!$A:$E,3,FALSE))</f>
        <v>Unidade: Ud</v>
      </c>
      <c r="J2061" s="451">
        <v>40934</v>
      </c>
      <c r="K2061" s="451">
        <f>VLOOKUP("Preço Unitário Total",F2062:I2274,4,FALSE)</f>
        <v>22.26</v>
      </c>
      <c r="L2061" s="198">
        <f>VLOOKUP(J2061,'DER 10-18'!A:E,5,FALSE)</f>
        <v>0</v>
      </c>
      <c r="M2061" s="198" t="str">
        <f>VLOOKUP(J2061,'DER 10-18'!$A:$D,2,FALSE)</f>
        <v>Tacha refletiva birrefletorizada, fornecimento e aplicação</v>
      </c>
      <c r="N2061" s="198"/>
      <c r="O2061" s="198"/>
      <c r="P2061" s="198"/>
      <c r="Q2061" s="198"/>
    </row>
    <row r="2062" spans="1:17" x14ac:dyDescent="0.2">
      <c r="A2062" s="1288"/>
      <c r="B2062" s="1288"/>
      <c r="C2062" s="1288"/>
      <c r="D2062" s="1288"/>
      <c r="E2062" s="1288"/>
      <c r="F2062" s="1288"/>
      <c r="G2062" s="1288"/>
      <c r="H2062" s="1288"/>
      <c r="I2062" s="1288"/>
      <c r="J2062" s="451"/>
      <c r="K2062" s="451"/>
      <c r="L2062" s="198"/>
      <c r="M2062" s="198"/>
      <c r="N2062" s="198"/>
      <c r="O2062" s="198"/>
      <c r="P2062" s="198"/>
      <c r="Q2062" s="198"/>
    </row>
    <row r="2063" spans="1:17" ht="22.5" x14ac:dyDescent="0.2">
      <c r="A2063" s="469" t="s">
        <v>192</v>
      </c>
      <c r="B2063" s="470" t="s">
        <v>60</v>
      </c>
      <c r="C2063" s="470" t="s">
        <v>193</v>
      </c>
      <c r="D2063" s="470" t="s">
        <v>194</v>
      </c>
      <c r="E2063" s="470" t="s">
        <v>195</v>
      </c>
      <c r="F2063" s="470" t="s">
        <v>196</v>
      </c>
      <c r="G2063" s="470" t="s">
        <v>197</v>
      </c>
      <c r="H2063" s="470" t="s">
        <v>91</v>
      </c>
      <c r="I2063" s="470" t="s">
        <v>198</v>
      </c>
      <c r="J2063" s="451"/>
      <c r="K2063" s="451"/>
      <c r="L2063" s="198"/>
      <c r="M2063" s="198"/>
      <c r="N2063" s="198"/>
      <c r="O2063" s="198"/>
      <c r="P2063" s="198"/>
      <c r="Q2063" s="198"/>
    </row>
    <row r="2064" spans="1:17" ht="22.5" x14ac:dyDescent="0.2">
      <c r="A2064" s="509" t="str">
        <f>VLOOKUP(B2064,equip.!$A:$G,2,FALSE)</f>
        <v>Caminhão carroceria 815/37 PBT=8,3t (TOCO 4,0t)</v>
      </c>
      <c r="B2064" s="453">
        <v>30004</v>
      </c>
      <c r="C2064" s="460" t="str">
        <f>VLOOKUP(B2064,equip.!$A$1:$G$240,3,FALSE)</f>
        <v>M</v>
      </c>
      <c r="D2064" s="514">
        <v>1</v>
      </c>
      <c r="E2064" s="515">
        <v>0</v>
      </c>
      <c r="F2064" s="516">
        <f>VLOOKUP(B2064,equip.!$A:$G,6,FALSE)</f>
        <v>140.51</v>
      </c>
      <c r="G2064" s="516">
        <f>VLOOKUP(B2064,equip.!$A:$G,7,FALSE)</f>
        <v>37.26</v>
      </c>
      <c r="H2064" s="517">
        <v>1</v>
      </c>
      <c r="I2064" s="454">
        <f>TRUNC(D2064*F2064*H2064+E2064*G2064*H2064,2)</f>
        <v>140.51</v>
      </c>
      <c r="J2064" s="451"/>
      <c r="K2064" s="451"/>
      <c r="L2064" s="198"/>
      <c r="M2064" s="198"/>
      <c r="N2064" s="198"/>
      <c r="O2064" s="198"/>
      <c r="P2064" s="198"/>
      <c r="Q2064" s="198"/>
    </row>
    <row r="2065" spans="1:17" ht="22.5" x14ac:dyDescent="0.2">
      <c r="A2065" s="509" t="str">
        <f>VLOOKUP(B2065,equip.!$A:$G,2,FALSE)</f>
        <v>Furadeira elétrica de impacto BOSCH 1184 ou equivalente</v>
      </c>
      <c r="B2065" s="453">
        <v>30094</v>
      </c>
      <c r="C2065" s="460">
        <f>VLOOKUP(B2065,equip.!$A$1:$G$240,3,FALSE)</f>
        <v>0</v>
      </c>
      <c r="D2065" s="514">
        <v>1</v>
      </c>
      <c r="E2065" s="515">
        <v>0</v>
      </c>
      <c r="F2065" s="516">
        <f>VLOOKUP(B2065,equip.!$A:$G,6,FALSE)</f>
        <v>18.84</v>
      </c>
      <c r="G2065" s="516">
        <f>VLOOKUP(B2065,equip.!$A:$G,7,FALSE)</f>
        <v>18.149999999999999</v>
      </c>
      <c r="H2065" s="517">
        <v>2</v>
      </c>
      <c r="I2065" s="454">
        <f>TRUNC(D2065*F2065*H2065+E2065*G2065*H2065,2)</f>
        <v>37.68</v>
      </c>
      <c r="J2065" s="451"/>
      <c r="K2065" s="451"/>
      <c r="L2065" s="198"/>
      <c r="M2065" s="198"/>
      <c r="N2065" s="198"/>
      <c r="O2065" s="198"/>
      <c r="P2065" s="198"/>
      <c r="Q2065" s="198"/>
    </row>
    <row r="2066" spans="1:17" ht="22.5" x14ac:dyDescent="0.2">
      <c r="A2066" s="509" t="str">
        <f>VLOOKUP(B2066,equip.!$A:$G,2,FALSE)</f>
        <v>Grupo gerador 2,5 a 3,0 kva a gasolina</v>
      </c>
      <c r="B2066" s="453">
        <v>30093</v>
      </c>
      <c r="C2066" s="460">
        <f>VLOOKUP(B2066,equip.!$A$1:$G$240,3,FALSE)</f>
        <v>0</v>
      </c>
      <c r="D2066" s="514">
        <v>1</v>
      </c>
      <c r="E2066" s="515">
        <v>0</v>
      </c>
      <c r="F2066" s="516">
        <f>VLOOKUP(B2066,equip.!$A:$G,6,FALSE)</f>
        <v>16.38</v>
      </c>
      <c r="G2066" s="516">
        <f>VLOOKUP(B2066,equip.!$A:$G,7,FALSE)</f>
        <v>12</v>
      </c>
      <c r="H2066" s="517">
        <v>1</v>
      </c>
      <c r="I2066" s="454">
        <f>TRUNC(D2066*F2066*H2066+E2066*G2066*H2066,2)</f>
        <v>16.38</v>
      </c>
      <c r="J2066" s="451"/>
      <c r="K2066" s="451"/>
      <c r="L2066" s="198"/>
      <c r="M2066" s="198"/>
      <c r="N2066" s="198"/>
      <c r="O2066" s="198"/>
      <c r="P2066" s="198"/>
      <c r="Q2066" s="198"/>
    </row>
    <row r="2067" spans="1:17" x14ac:dyDescent="0.2">
      <c r="A2067" s="449"/>
      <c r="B2067" s="448"/>
      <c r="C2067" s="448"/>
      <c r="D2067" s="449"/>
      <c r="E2067" s="449"/>
      <c r="F2067" s="450" t="s">
        <v>199</v>
      </c>
      <c r="G2067" s="458"/>
      <c r="H2067" s="462"/>
      <c r="I2067" s="475">
        <f>SUM(I2064:I2066)</f>
        <v>194.57</v>
      </c>
      <c r="J2067" s="451"/>
      <c r="K2067" s="451"/>
      <c r="L2067" s="198"/>
      <c r="M2067" s="198"/>
      <c r="N2067" s="198"/>
      <c r="O2067" s="198"/>
      <c r="P2067" s="198"/>
      <c r="Q2067" s="198"/>
    </row>
    <row r="2068" spans="1:17" x14ac:dyDescent="0.2">
      <c r="A2068" s="449"/>
      <c r="B2068" s="448"/>
      <c r="C2068" s="448"/>
      <c r="D2068" s="449"/>
      <c r="E2068" s="449"/>
      <c r="F2068" s="449"/>
      <c r="G2068" s="449"/>
      <c r="H2068" s="449"/>
      <c r="I2068" s="477"/>
      <c r="J2068" s="451"/>
      <c r="K2068" s="451"/>
      <c r="L2068" s="198"/>
      <c r="M2068" s="198"/>
      <c r="N2068" s="198"/>
      <c r="O2068" s="198"/>
      <c r="P2068" s="198"/>
      <c r="Q2068" s="198"/>
    </row>
    <row r="2069" spans="1:17" x14ac:dyDescent="0.2">
      <c r="A2069" s="246" t="s">
        <v>200</v>
      </c>
      <c r="B2069" s="247" t="s">
        <v>60</v>
      </c>
      <c r="C2069" s="236" t="s">
        <v>1242</v>
      </c>
      <c r="D2069" s="247" t="s">
        <v>202</v>
      </c>
      <c r="E2069" s="1271" t="s">
        <v>91</v>
      </c>
      <c r="F2069" s="1272"/>
      <c r="G2069" s="1273"/>
      <c r="H2069" s="1276" t="s">
        <v>198</v>
      </c>
      <c r="I2069" s="1275"/>
    </row>
    <row r="2070" spans="1:17" x14ac:dyDescent="0.2">
      <c r="A2070" s="248" t="str">
        <f>VLOOKUP(B2070,m.o.!$A:$H,2,FALSE)</f>
        <v>Encarregado de pavimentação</v>
      </c>
      <c r="B2070" s="238">
        <v>20065</v>
      </c>
      <c r="C2070" s="243">
        <f>VLOOKUP(B2070,m.o.!$A:$F,4,FALSE)</f>
        <v>2.2599999999999998</v>
      </c>
      <c r="D2070" s="243">
        <f>VLOOKUP(B2070,m.o.!$A:$G,7,FALSE)</f>
        <v>26.3</v>
      </c>
      <c r="E2070" s="260"/>
      <c r="F2070" s="258"/>
      <c r="G2070" s="300">
        <v>1</v>
      </c>
      <c r="H2070" s="244"/>
      <c r="I2070" s="249">
        <f>TRUNC(D2070*G2070,2)</f>
        <v>26.3</v>
      </c>
    </row>
    <row r="2071" spans="1:17" x14ac:dyDescent="0.2">
      <c r="A2071" s="248" t="str">
        <f>VLOOKUP(B2071,m.o.!$A:$H,2,FALSE)</f>
        <v>Oficial</v>
      </c>
      <c r="B2071" s="238">
        <v>20099</v>
      </c>
      <c r="C2071" s="243">
        <f>VLOOKUP(B2071,m.o.!$A:$F,4,FALSE)</f>
        <v>1.65</v>
      </c>
      <c r="D2071" s="243">
        <f>VLOOKUP(B2071,m.o.!$A:$G,7,FALSE)</f>
        <v>19.2</v>
      </c>
      <c r="E2071" s="260"/>
      <c r="F2071" s="258"/>
      <c r="G2071" s="300">
        <v>2</v>
      </c>
      <c r="H2071" s="244"/>
      <c r="I2071" s="249">
        <f>TRUNC(D2071*G2071,2)</f>
        <v>38.4</v>
      </c>
    </row>
    <row r="2072" spans="1:17" x14ac:dyDescent="0.2">
      <c r="A2072" s="248" t="str">
        <f>VLOOKUP(B2072,m.o.!$A:$H,2,FALSE)</f>
        <v>Servente</v>
      </c>
      <c r="B2072" s="238">
        <v>20002</v>
      </c>
      <c r="C2072" s="243">
        <f>VLOOKUP(B2072,m.o.!$A:$F,4,FALSE)</f>
        <v>1</v>
      </c>
      <c r="D2072" s="243">
        <f>VLOOKUP(B2072,m.o.!$A:$G,7,FALSE)</f>
        <v>11.64</v>
      </c>
      <c r="E2072" s="260"/>
      <c r="F2072" s="258"/>
      <c r="G2072" s="300">
        <v>4</v>
      </c>
      <c r="H2072" s="244"/>
      <c r="I2072" s="249">
        <f>TRUNC(D2072*G2072,2)</f>
        <v>46.56</v>
      </c>
    </row>
    <row r="2073" spans="1:17" x14ac:dyDescent="0.2">
      <c r="A2073" s="199"/>
      <c r="B2073" s="233"/>
      <c r="C2073" s="233"/>
      <c r="D2073" s="199"/>
      <c r="E2073" s="199"/>
      <c r="F2073" s="234" t="s">
        <v>203</v>
      </c>
      <c r="G2073" s="244"/>
      <c r="H2073" s="245"/>
      <c r="I2073" s="434">
        <f>SUM(I2070:I2072)</f>
        <v>111.26</v>
      </c>
    </row>
    <row r="2074" spans="1:17" x14ac:dyDescent="0.2">
      <c r="A2074" s="199"/>
      <c r="B2074" s="233"/>
      <c r="C2074" s="233"/>
      <c r="D2074" s="199"/>
      <c r="E2074" s="199"/>
      <c r="F2074" s="199"/>
      <c r="G2074" s="199"/>
      <c r="H2074" s="199"/>
      <c r="I2074" s="200"/>
    </row>
    <row r="2075" spans="1:17" x14ac:dyDescent="0.2">
      <c r="A2075" s="250" t="s">
        <v>204</v>
      </c>
      <c r="B2075" s="247" t="s">
        <v>60</v>
      </c>
      <c r="C2075" s="866" t="s">
        <v>17</v>
      </c>
      <c r="D2075" s="247" t="s">
        <v>205</v>
      </c>
      <c r="E2075" s="247" t="s">
        <v>206</v>
      </c>
      <c r="F2075" s="247" t="s">
        <v>207</v>
      </c>
      <c r="G2075" s="1276" t="s">
        <v>96</v>
      </c>
      <c r="H2075" s="1274"/>
      <c r="I2075" s="1275"/>
    </row>
    <row r="2076" spans="1:17" x14ac:dyDescent="0.2">
      <c r="A2076" s="199"/>
      <c r="B2076" s="233"/>
      <c r="C2076" s="199"/>
      <c r="D2076" s="199"/>
      <c r="E2076" s="199"/>
      <c r="F2076" s="234" t="s">
        <v>1170</v>
      </c>
      <c r="G2076" s="244"/>
      <c r="H2076" s="245"/>
      <c r="I2076" s="434"/>
    </row>
    <row r="2077" spans="1:17" x14ac:dyDescent="0.2">
      <c r="A2077" s="199"/>
      <c r="B2077" s="233"/>
      <c r="C2077" s="199"/>
      <c r="D2077" s="199"/>
      <c r="E2077" s="199"/>
      <c r="F2077" s="199"/>
      <c r="G2077" s="199"/>
      <c r="H2077" s="199"/>
      <c r="I2077" s="200"/>
    </row>
    <row r="2078" spans="1:17" x14ac:dyDescent="0.2">
      <c r="A2078" s="252"/>
      <c r="B2078" s="253"/>
      <c r="C2078" s="254"/>
      <c r="D2078" s="254"/>
      <c r="E2078" s="254"/>
      <c r="F2078" s="255" t="s">
        <v>208</v>
      </c>
      <c r="G2078" s="435"/>
      <c r="H2078" s="254"/>
      <c r="I2078" s="634">
        <f>+I2067+I2073+I2076</f>
        <v>305.83</v>
      </c>
    </row>
    <row r="2079" spans="1:17" x14ac:dyDescent="0.2">
      <c r="A2079" s="256"/>
      <c r="B2079" s="257"/>
      <c r="C2079" s="258"/>
      <c r="D2079" s="258"/>
      <c r="E2079" s="258"/>
      <c r="F2079" s="259" t="s">
        <v>209</v>
      </c>
      <c r="G2079" s="260"/>
      <c r="H2079" s="258"/>
      <c r="I2079" s="635">
        <v>80</v>
      </c>
    </row>
    <row r="2080" spans="1:17" x14ac:dyDescent="0.2">
      <c r="A2080" s="237"/>
      <c r="B2080" s="261"/>
      <c r="C2080" s="245"/>
      <c r="D2080" s="245"/>
      <c r="E2080" s="245"/>
      <c r="F2080" s="262" t="s">
        <v>232</v>
      </c>
      <c r="G2080" s="244"/>
      <c r="H2080" s="245"/>
      <c r="I2080" s="633">
        <f>TRUNC(I2078/I2079,2)</f>
        <v>3.82</v>
      </c>
    </row>
    <row r="2081" spans="1:17" x14ac:dyDescent="0.2">
      <c r="A2081" s="867"/>
      <c r="B2081" s="233"/>
      <c r="C2081" s="199"/>
      <c r="D2081" s="199"/>
      <c r="E2081" s="199"/>
      <c r="F2081" s="263"/>
      <c r="G2081" s="199"/>
      <c r="H2081" s="199"/>
      <c r="I2081" s="264"/>
    </row>
    <row r="2082" spans="1:17" x14ac:dyDescent="0.2">
      <c r="A2082" s="246" t="s">
        <v>210</v>
      </c>
      <c r="B2082" s="247" t="s">
        <v>60</v>
      </c>
      <c r="C2082" s="247" t="s">
        <v>211</v>
      </c>
      <c r="D2082" s="247" t="s">
        <v>233</v>
      </c>
      <c r="E2082" s="1276" t="s">
        <v>91</v>
      </c>
      <c r="F2082" s="1274"/>
      <c r="G2082" s="1275"/>
      <c r="H2082" s="1276" t="s">
        <v>198</v>
      </c>
      <c r="I2082" s="1275"/>
    </row>
    <row r="2083" spans="1:17" x14ac:dyDescent="0.2">
      <c r="A2083" s="265" t="str">
        <f>VLOOKUP(B2083,mat.!$A:$D,2,FALSE)</f>
        <v>Cola a base de poliester</v>
      </c>
      <c r="B2083" s="238">
        <v>10362</v>
      </c>
      <c r="C2083" s="266" t="str">
        <f>VLOOKUP(B2083,mat.!$A:$D,3,FALSE)</f>
        <v>kg</v>
      </c>
      <c r="D2083" s="267">
        <f>VLOOKUP(B2083,mat.!$A:$D,4,FALSE)</f>
        <v>17.2</v>
      </c>
      <c r="E2083" s="260"/>
      <c r="F2083" s="258"/>
      <c r="G2083" s="300">
        <v>7.0000000000000007E-2</v>
      </c>
      <c r="H2083" s="260"/>
      <c r="I2083" s="268">
        <f>TRUNC(D2083*G2083,2)</f>
        <v>1.2</v>
      </c>
    </row>
    <row r="2084" spans="1:17" x14ac:dyDescent="0.2">
      <c r="A2084" s="265" t="str">
        <f>VLOOKUP(B2084,mat.!$A:$D,2,FALSE)</f>
        <v>Tacha bidirecional</v>
      </c>
      <c r="B2084" s="238">
        <v>10359</v>
      </c>
      <c r="C2084" s="266" t="str">
        <f>VLOOKUP(B2084,mat.!$A:$D,3,FALSE)</f>
        <v>Ud</v>
      </c>
      <c r="D2084" s="267">
        <f>VLOOKUP(B2084,mat.!$A:$D,4,FALSE)</f>
        <v>13.03</v>
      </c>
      <c r="E2084" s="260"/>
      <c r="F2084" s="258"/>
      <c r="G2084" s="300">
        <v>1</v>
      </c>
      <c r="H2084" s="260"/>
      <c r="I2084" s="268">
        <f>TRUNC(D2084*G2084,2)</f>
        <v>13.03</v>
      </c>
    </row>
    <row r="2085" spans="1:17" x14ac:dyDescent="0.2">
      <c r="A2085" s="199"/>
      <c r="B2085" s="233"/>
      <c r="C2085" s="199"/>
      <c r="D2085" s="199"/>
      <c r="E2085" s="199"/>
      <c r="F2085" s="234" t="s">
        <v>212</v>
      </c>
      <c r="G2085" s="244"/>
      <c r="H2085" s="245"/>
      <c r="I2085" s="434">
        <f>SUM(I2083:I2084)</f>
        <v>14.23</v>
      </c>
    </row>
    <row r="2086" spans="1:17" x14ac:dyDescent="0.2">
      <c r="A2086" s="199"/>
      <c r="B2086" s="233"/>
      <c r="C2086" s="199"/>
      <c r="D2086" s="199"/>
      <c r="E2086" s="199"/>
      <c r="F2086" s="199"/>
      <c r="G2086" s="269"/>
      <c r="H2086" s="199"/>
      <c r="I2086" s="200"/>
    </row>
    <row r="2087" spans="1:17" x14ac:dyDescent="0.2">
      <c r="A2087" s="467" t="s">
        <v>213</v>
      </c>
      <c r="B2087" s="468" t="s">
        <v>60</v>
      </c>
      <c r="C2087" s="468" t="s">
        <v>211</v>
      </c>
      <c r="D2087" s="869" t="s">
        <v>233</v>
      </c>
      <c r="E2087" s="1281" t="s">
        <v>91</v>
      </c>
      <c r="F2087" s="1282"/>
      <c r="G2087" s="1283"/>
      <c r="H2087" s="1284" t="s">
        <v>198</v>
      </c>
      <c r="I2087" s="1285"/>
      <c r="J2087" s="451"/>
      <c r="K2087" s="451"/>
      <c r="L2087" s="198"/>
      <c r="M2087" s="198"/>
      <c r="N2087" s="198"/>
      <c r="O2087" s="198"/>
      <c r="P2087" s="198"/>
      <c r="Q2087" s="198"/>
    </row>
    <row r="2088" spans="1:17" x14ac:dyDescent="0.2">
      <c r="A2088" s="201"/>
      <c r="B2088" s="271"/>
      <c r="C2088" s="201"/>
      <c r="D2088" s="201"/>
      <c r="E2088" s="201"/>
      <c r="F2088" s="272" t="s">
        <v>214</v>
      </c>
      <c r="G2088" s="260"/>
      <c r="H2088" s="273"/>
      <c r="I2088" s="436"/>
    </row>
    <row r="2089" spans="1:17" x14ac:dyDescent="0.2">
      <c r="A2089" s="201"/>
      <c r="B2089" s="271"/>
      <c r="C2089" s="201"/>
      <c r="D2089" s="201"/>
      <c r="E2089" s="201"/>
      <c r="F2089" s="201"/>
      <c r="G2089" s="201"/>
      <c r="H2089" s="201"/>
      <c r="I2089" s="201"/>
    </row>
    <row r="2090" spans="1:17" ht="21.75" customHeight="1" x14ac:dyDescent="0.2">
      <c r="A2090" s="274" t="s">
        <v>215</v>
      </c>
      <c r="B2090" s="275" t="s">
        <v>60</v>
      </c>
      <c r="C2090" s="275" t="s">
        <v>211</v>
      </c>
      <c r="D2090" s="275" t="s">
        <v>216</v>
      </c>
      <c r="E2090" s="275" t="s">
        <v>217</v>
      </c>
      <c r="F2090" s="275" t="s">
        <v>218</v>
      </c>
      <c r="G2090" s="275" t="s">
        <v>96</v>
      </c>
      <c r="H2090" s="275" t="s">
        <v>91</v>
      </c>
      <c r="I2090" s="275" t="s">
        <v>219</v>
      </c>
    </row>
    <row r="2091" spans="1:17" x14ac:dyDescent="0.2">
      <c r="A2091" s="201"/>
      <c r="B2091" s="271"/>
      <c r="C2091" s="201"/>
      <c r="D2091" s="201"/>
      <c r="E2091" s="201"/>
      <c r="F2091" s="272" t="s">
        <v>220</v>
      </c>
      <c r="G2091" s="244"/>
      <c r="H2091" s="279"/>
      <c r="I2091" s="438"/>
    </row>
    <row r="2092" spans="1:17" x14ac:dyDescent="0.2">
      <c r="A2092" s="201"/>
      <c r="B2092" s="271"/>
      <c r="C2092" s="201"/>
      <c r="D2092" s="201"/>
      <c r="E2092" s="201"/>
      <c r="F2092" s="201"/>
      <c r="G2092" s="201"/>
      <c r="H2092" s="201"/>
      <c r="I2092" s="202"/>
    </row>
    <row r="2093" spans="1:17" x14ac:dyDescent="0.2">
      <c r="A2093" s="280"/>
      <c r="B2093" s="281"/>
      <c r="C2093" s="282"/>
      <c r="D2093" s="282"/>
      <c r="E2093" s="282"/>
      <c r="F2093" s="283" t="s">
        <v>221</v>
      </c>
      <c r="G2093" s="280"/>
      <c r="H2093" s="254"/>
      <c r="I2093" s="634">
        <f>+I2080+I2085+I2088+I2091</f>
        <v>18.05</v>
      </c>
    </row>
    <row r="2094" spans="1:17" x14ac:dyDescent="0.2">
      <c r="A2094" s="260"/>
      <c r="B2094" s="284"/>
      <c r="C2094" s="273"/>
      <c r="D2094" s="273"/>
      <c r="E2094" s="273"/>
      <c r="F2094" s="285" t="str">
        <f>CONCATENATE($H$3," ",$I$3)</f>
        <v>BDI: 23,32</v>
      </c>
      <c r="G2094" s="439"/>
      <c r="H2094" s="258"/>
      <c r="I2094" s="635">
        <f>+ROUND(I2093*$I$4,2)</f>
        <v>4.21</v>
      </c>
    </row>
    <row r="2095" spans="1:17" x14ac:dyDescent="0.2">
      <c r="A2095" s="244"/>
      <c r="B2095" s="286"/>
      <c r="C2095" s="279"/>
      <c r="D2095" s="279"/>
      <c r="E2095" s="279"/>
      <c r="F2095" s="287" t="s">
        <v>222</v>
      </c>
      <c r="G2095" s="440"/>
      <c r="H2095" s="245"/>
      <c r="I2095" s="1017">
        <f>+I2093+I2094</f>
        <v>22.26</v>
      </c>
    </row>
    <row r="2096" spans="1:17" x14ac:dyDescent="0.2">
      <c r="A2096" s="1286" t="str">
        <f>$A$1</f>
        <v>COMPOSIÇÃO DE CUSTOS UNITÁRIOS</v>
      </c>
      <c r="B2096" s="1286"/>
      <c r="C2096" s="1286"/>
      <c r="D2096" s="1286"/>
      <c r="E2096" s="1286"/>
      <c r="F2096" s="1286"/>
      <c r="G2096" s="1286"/>
      <c r="H2096" s="1286"/>
      <c r="I2096" s="1286"/>
      <c r="J2096" s="451"/>
      <c r="K2096" s="451"/>
      <c r="L2096" s="198"/>
      <c r="M2096" s="198"/>
      <c r="N2096" s="198"/>
      <c r="O2096" s="198"/>
      <c r="P2096" s="198"/>
      <c r="Q2096" s="198"/>
    </row>
    <row r="2097" spans="1:17" x14ac:dyDescent="0.2">
      <c r="A2097" s="447" t="str">
        <f>$A$2</f>
        <v>Tabela Referencial de Preços - DER-ES</v>
      </c>
      <c r="B2097" s="448"/>
      <c r="C2097" s="449"/>
      <c r="D2097" s="449"/>
      <c r="E2097" s="449"/>
      <c r="F2097" s="449"/>
      <c r="G2097" s="449"/>
      <c r="H2097" s="449"/>
      <c r="I2097" s="450" t="str">
        <f>$I$2</f>
        <v>Data Base: Outubro/2018</v>
      </c>
      <c r="J2097" s="451"/>
      <c r="K2097" s="451"/>
      <c r="L2097" s="198"/>
      <c r="M2097" s="198"/>
      <c r="N2097" s="198"/>
      <c r="O2097" s="198"/>
      <c r="P2097" s="198"/>
      <c r="Q2097" s="198"/>
    </row>
    <row r="2098" spans="1:17" x14ac:dyDescent="0.2">
      <c r="A2098" s="1287" t="str">
        <f>+CONCATENATE("Serviço: ",J2098," ",VLOOKUP(J2098,'DER 10-18'!$A:$D,2,FALSE))</f>
        <v>Serviço: 40933 Tachão refletivo monodirecional, fornecimento e aplicação</v>
      </c>
      <c r="B2098" s="1287"/>
      <c r="C2098" s="1287"/>
      <c r="D2098" s="1287"/>
      <c r="E2098" s="1287"/>
      <c r="F2098" s="1287"/>
      <c r="G2098" s="1287"/>
      <c r="H2098" s="1287"/>
      <c r="I2098" s="1287" t="str">
        <f>CONCATENATE("Unidade: ", VLOOKUP(J2098,'DER 10-18'!$A:$E,3,FALSE))</f>
        <v>Unidade: Ud</v>
      </c>
      <c r="J2098" s="451">
        <v>40933</v>
      </c>
      <c r="K2098" s="451">
        <f>VLOOKUP("Preço Unitário Total",F2099:I2311,4,FALSE)</f>
        <v>56.26</v>
      </c>
      <c r="L2098" s="198">
        <f>VLOOKUP(J2098,'DER 10-18'!A:E,5,FALSE)</f>
        <v>0</v>
      </c>
      <c r="M2098" s="198" t="str">
        <f>VLOOKUP(J2098,'DER 10-18'!$A:$D,2,FALSE)</f>
        <v>Tachão refletivo monodirecional, fornecimento e aplicação</v>
      </c>
      <c r="N2098" s="198"/>
      <c r="O2098" s="198"/>
      <c r="P2098" s="198"/>
      <c r="Q2098" s="198"/>
    </row>
    <row r="2099" spans="1:17" x14ac:dyDescent="0.2">
      <c r="A2099" s="1288"/>
      <c r="B2099" s="1288"/>
      <c r="C2099" s="1288"/>
      <c r="D2099" s="1288"/>
      <c r="E2099" s="1288"/>
      <c r="F2099" s="1288"/>
      <c r="G2099" s="1288"/>
      <c r="H2099" s="1288"/>
      <c r="I2099" s="1288"/>
      <c r="J2099" s="451"/>
      <c r="K2099" s="451"/>
      <c r="L2099" s="198"/>
      <c r="M2099" s="198"/>
      <c r="N2099" s="198"/>
      <c r="O2099" s="198"/>
      <c r="P2099" s="198"/>
      <c r="Q2099" s="198"/>
    </row>
    <row r="2100" spans="1:17" ht="22.5" x14ac:dyDescent="0.2">
      <c r="A2100" s="469" t="s">
        <v>192</v>
      </c>
      <c r="B2100" s="470" t="s">
        <v>60</v>
      </c>
      <c r="C2100" s="470" t="s">
        <v>193</v>
      </c>
      <c r="D2100" s="470" t="s">
        <v>194</v>
      </c>
      <c r="E2100" s="470" t="s">
        <v>195</v>
      </c>
      <c r="F2100" s="470" t="s">
        <v>196</v>
      </c>
      <c r="G2100" s="470" t="s">
        <v>197</v>
      </c>
      <c r="H2100" s="470" t="s">
        <v>91</v>
      </c>
      <c r="I2100" s="470" t="s">
        <v>198</v>
      </c>
      <c r="J2100" s="451"/>
      <c r="K2100" s="451"/>
      <c r="L2100" s="198"/>
      <c r="M2100" s="198"/>
      <c r="N2100" s="198"/>
      <c r="O2100" s="198"/>
      <c r="P2100" s="198"/>
      <c r="Q2100" s="198"/>
    </row>
    <row r="2101" spans="1:17" ht="22.5" x14ac:dyDescent="0.2">
      <c r="A2101" s="509" t="str">
        <f>VLOOKUP(B2101,equip.!$A:$G,2,FALSE)</f>
        <v>Caminhão carroceria 815/37 PBT=8,3t (TOCO 4,0t)</v>
      </c>
      <c r="B2101" s="453">
        <v>30004</v>
      </c>
      <c r="C2101" s="460" t="str">
        <f>VLOOKUP(B2101,equip.!$A$1:$G$240,3,FALSE)</f>
        <v>M</v>
      </c>
      <c r="D2101" s="514">
        <v>1</v>
      </c>
      <c r="E2101" s="515">
        <v>0</v>
      </c>
      <c r="F2101" s="516">
        <f>VLOOKUP(B2101,equip.!$A:$G,6,FALSE)</f>
        <v>140.51</v>
      </c>
      <c r="G2101" s="516">
        <f>VLOOKUP(B2101,equip.!$A:$G,7,FALSE)</f>
        <v>37.26</v>
      </c>
      <c r="H2101" s="517">
        <v>1</v>
      </c>
      <c r="I2101" s="454">
        <f>TRUNC(D2101*F2101*H2101+E2101*G2101*H2101,2)</f>
        <v>140.51</v>
      </c>
      <c r="J2101" s="451"/>
      <c r="K2101" s="451"/>
      <c r="L2101" s="198"/>
      <c r="M2101" s="198"/>
      <c r="N2101" s="198"/>
      <c r="O2101" s="198"/>
      <c r="P2101" s="198"/>
      <c r="Q2101" s="198"/>
    </row>
    <row r="2102" spans="1:17" ht="22.5" x14ac:dyDescent="0.2">
      <c r="A2102" s="509" t="str">
        <f>VLOOKUP(B2102,equip.!$A:$G,2,FALSE)</f>
        <v>Furadeira elétrica de impacto BOSCH 1184 ou equivalente</v>
      </c>
      <c r="B2102" s="453">
        <v>30094</v>
      </c>
      <c r="C2102" s="460">
        <f>VLOOKUP(B2102,equip.!$A$1:$G$240,3,FALSE)</f>
        <v>0</v>
      </c>
      <c r="D2102" s="514">
        <v>1</v>
      </c>
      <c r="E2102" s="515">
        <v>0</v>
      </c>
      <c r="F2102" s="516">
        <f>VLOOKUP(B2102,equip.!$A:$G,6,FALSE)</f>
        <v>18.84</v>
      </c>
      <c r="G2102" s="516">
        <f>VLOOKUP(B2102,equip.!$A:$G,7,FALSE)</f>
        <v>18.149999999999999</v>
      </c>
      <c r="H2102" s="517">
        <v>2</v>
      </c>
      <c r="I2102" s="454">
        <f>TRUNC(D2102*F2102*H2102+E2102*G2102*H2102,2)</f>
        <v>37.68</v>
      </c>
      <c r="J2102" s="451"/>
      <c r="K2102" s="451"/>
      <c r="L2102" s="198"/>
      <c r="M2102" s="198"/>
      <c r="N2102" s="198"/>
      <c r="O2102" s="198"/>
      <c r="P2102" s="198"/>
      <c r="Q2102" s="198"/>
    </row>
    <row r="2103" spans="1:17" ht="22.5" x14ac:dyDescent="0.2">
      <c r="A2103" s="509" t="str">
        <f>VLOOKUP(B2103,equip.!$A:$G,2,FALSE)</f>
        <v>Grupo gerador 2,5 a 3,0 kva a gasolina</v>
      </c>
      <c r="B2103" s="453">
        <v>30093</v>
      </c>
      <c r="C2103" s="460">
        <f>VLOOKUP(B2103,equip.!$A$1:$G$240,3,FALSE)</f>
        <v>0</v>
      </c>
      <c r="D2103" s="514">
        <v>1</v>
      </c>
      <c r="E2103" s="515">
        <v>0</v>
      </c>
      <c r="F2103" s="516">
        <f>VLOOKUP(B2103,equip.!$A:$G,6,FALSE)</f>
        <v>16.38</v>
      </c>
      <c r="G2103" s="516">
        <f>VLOOKUP(B2103,equip.!$A:$G,7,FALSE)</f>
        <v>12</v>
      </c>
      <c r="H2103" s="517">
        <v>1</v>
      </c>
      <c r="I2103" s="454">
        <f>TRUNC(D2103*F2103*H2103+E2103*G2103*H2103,2)</f>
        <v>16.38</v>
      </c>
      <c r="J2103" s="451"/>
      <c r="K2103" s="451"/>
      <c r="L2103" s="198"/>
      <c r="M2103" s="198"/>
      <c r="N2103" s="198"/>
      <c r="O2103" s="198"/>
      <c r="P2103" s="198"/>
      <c r="Q2103" s="198"/>
    </row>
    <row r="2104" spans="1:17" x14ac:dyDescent="0.2">
      <c r="A2104" s="449"/>
      <c r="B2104" s="448"/>
      <c r="C2104" s="448"/>
      <c r="D2104" s="449"/>
      <c r="E2104" s="449"/>
      <c r="F2104" s="450" t="s">
        <v>199</v>
      </c>
      <c r="G2104" s="458"/>
      <c r="H2104" s="462"/>
      <c r="I2104" s="475">
        <f>SUM(I2101:I2103)</f>
        <v>194.57</v>
      </c>
      <c r="J2104" s="451"/>
      <c r="K2104" s="451"/>
      <c r="L2104" s="198"/>
      <c r="M2104" s="198"/>
      <c r="N2104" s="198"/>
      <c r="O2104" s="198"/>
      <c r="P2104" s="198"/>
      <c r="Q2104" s="198"/>
    </row>
    <row r="2105" spans="1:17" x14ac:dyDescent="0.2">
      <c r="A2105" s="449"/>
      <c r="B2105" s="448"/>
      <c r="C2105" s="448"/>
      <c r="D2105" s="449"/>
      <c r="E2105" s="449"/>
      <c r="F2105" s="449"/>
      <c r="G2105" s="449"/>
      <c r="H2105" s="449"/>
      <c r="I2105" s="477"/>
      <c r="J2105" s="451"/>
      <c r="K2105" s="451"/>
      <c r="L2105" s="198"/>
      <c r="M2105" s="198"/>
      <c r="N2105" s="198"/>
      <c r="O2105" s="198"/>
      <c r="P2105" s="198"/>
      <c r="Q2105" s="198"/>
    </row>
    <row r="2106" spans="1:17" x14ac:dyDescent="0.2">
      <c r="A2106" s="246" t="s">
        <v>200</v>
      </c>
      <c r="B2106" s="247" t="s">
        <v>60</v>
      </c>
      <c r="C2106" s="236" t="s">
        <v>1242</v>
      </c>
      <c r="D2106" s="247" t="s">
        <v>202</v>
      </c>
      <c r="E2106" s="1271" t="s">
        <v>91</v>
      </c>
      <c r="F2106" s="1272"/>
      <c r="G2106" s="1273"/>
      <c r="H2106" s="1276" t="s">
        <v>198</v>
      </c>
      <c r="I2106" s="1275"/>
    </row>
    <row r="2107" spans="1:17" x14ac:dyDescent="0.2">
      <c r="A2107" s="248" t="str">
        <f>VLOOKUP(B2107,m.o.!$A:$H,2,FALSE)</f>
        <v>Encarregado de pavimentação</v>
      </c>
      <c r="B2107" s="238">
        <v>20065</v>
      </c>
      <c r="C2107" s="243">
        <f>VLOOKUP(B2107,m.o.!$A:$F,4,FALSE)</f>
        <v>2.2599999999999998</v>
      </c>
      <c r="D2107" s="243">
        <f>VLOOKUP(B2107,m.o.!$A:$G,7,FALSE)</f>
        <v>26.3</v>
      </c>
      <c r="E2107" s="260"/>
      <c r="F2107" s="258"/>
      <c r="G2107" s="300">
        <v>1</v>
      </c>
      <c r="H2107" s="244"/>
      <c r="I2107" s="249">
        <f>TRUNC(D2107*G2107,2)</f>
        <v>26.3</v>
      </c>
    </row>
    <row r="2108" spans="1:17" x14ac:dyDescent="0.2">
      <c r="A2108" s="248" t="str">
        <f>VLOOKUP(B2108,m.o.!$A:$H,2,FALSE)</f>
        <v>Oficial</v>
      </c>
      <c r="B2108" s="238">
        <v>20099</v>
      </c>
      <c r="C2108" s="243">
        <f>VLOOKUP(B2108,m.o.!$A:$F,4,FALSE)</f>
        <v>1.65</v>
      </c>
      <c r="D2108" s="243">
        <f>VLOOKUP(B2108,m.o.!$A:$G,7,FALSE)</f>
        <v>19.2</v>
      </c>
      <c r="E2108" s="260"/>
      <c r="F2108" s="258"/>
      <c r="G2108" s="300">
        <v>2</v>
      </c>
      <c r="H2108" s="244"/>
      <c r="I2108" s="249">
        <f>TRUNC(D2108*G2108,2)</f>
        <v>38.4</v>
      </c>
    </row>
    <row r="2109" spans="1:17" x14ac:dyDescent="0.2">
      <c r="A2109" s="248" t="str">
        <f>VLOOKUP(B2109,m.o.!$A:$H,2,FALSE)</f>
        <v>Servente</v>
      </c>
      <c r="B2109" s="238">
        <v>20002</v>
      </c>
      <c r="C2109" s="243">
        <f>VLOOKUP(B2109,m.o.!$A:$F,4,FALSE)</f>
        <v>1</v>
      </c>
      <c r="D2109" s="243">
        <f>VLOOKUP(B2109,m.o.!$A:$G,7,FALSE)</f>
        <v>11.64</v>
      </c>
      <c r="E2109" s="260"/>
      <c r="F2109" s="258"/>
      <c r="G2109" s="300">
        <v>4</v>
      </c>
      <c r="H2109" s="244"/>
      <c r="I2109" s="249">
        <f>TRUNC(D2109*G2109,2)</f>
        <v>46.56</v>
      </c>
    </row>
    <row r="2110" spans="1:17" x14ac:dyDescent="0.2">
      <c r="A2110" s="199"/>
      <c r="B2110" s="233"/>
      <c r="C2110" s="233"/>
      <c r="D2110" s="199"/>
      <c r="E2110" s="199"/>
      <c r="F2110" s="234" t="s">
        <v>203</v>
      </c>
      <c r="G2110" s="244"/>
      <c r="H2110" s="245"/>
      <c r="I2110" s="434">
        <f>SUM(I2107:I2109)</f>
        <v>111.26</v>
      </c>
    </row>
    <row r="2111" spans="1:17" x14ac:dyDescent="0.2">
      <c r="A2111" s="199"/>
      <c r="B2111" s="233"/>
      <c r="C2111" s="233"/>
      <c r="D2111" s="199"/>
      <c r="E2111" s="199"/>
      <c r="F2111" s="199"/>
      <c r="G2111" s="199"/>
      <c r="H2111" s="199"/>
      <c r="I2111" s="200"/>
    </row>
    <row r="2112" spans="1:17" x14ac:dyDescent="0.2">
      <c r="A2112" s="250" t="s">
        <v>204</v>
      </c>
      <c r="B2112" s="247" t="s">
        <v>60</v>
      </c>
      <c r="C2112" s="866" t="s">
        <v>17</v>
      </c>
      <c r="D2112" s="247" t="s">
        <v>205</v>
      </c>
      <c r="E2112" s="247" t="s">
        <v>206</v>
      </c>
      <c r="F2112" s="247" t="s">
        <v>207</v>
      </c>
      <c r="G2112" s="1276" t="s">
        <v>96</v>
      </c>
      <c r="H2112" s="1274"/>
      <c r="I2112" s="1275"/>
    </row>
    <row r="2113" spans="1:17" x14ac:dyDescent="0.2">
      <c r="A2113" s="199"/>
      <c r="B2113" s="233"/>
      <c r="C2113" s="199"/>
      <c r="D2113" s="199"/>
      <c r="E2113" s="199"/>
      <c r="F2113" s="234" t="s">
        <v>1170</v>
      </c>
      <c r="G2113" s="244"/>
      <c r="H2113" s="245"/>
      <c r="I2113" s="434"/>
    </row>
    <row r="2114" spans="1:17" x14ac:dyDescent="0.2">
      <c r="A2114" s="199"/>
      <c r="B2114" s="233"/>
      <c r="C2114" s="199"/>
      <c r="D2114" s="199"/>
      <c r="E2114" s="199"/>
      <c r="F2114" s="199"/>
      <c r="G2114" s="199"/>
      <c r="H2114" s="199"/>
      <c r="I2114" s="200"/>
    </row>
    <row r="2115" spans="1:17" x14ac:dyDescent="0.2">
      <c r="A2115" s="252"/>
      <c r="B2115" s="253"/>
      <c r="C2115" s="254"/>
      <c r="D2115" s="254"/>
      <c r="E2115" s="254"/>
      <c r="F2115" s="255" t="s">
        <v>208</v>
      </c>
      <c r="G2115" s="435"/>
      <c r="H2115" s="254"/>
      <c r="I2115" s="634">
        <f>+I2104+I2110+I2113</f>
        <v>305.83</v>
      </c>
    </row>
    <row r="2116" spans="1:17" x14ac:dyDescent="0.2">
      <c r="A2116" s="256"/>
      <c r="B2116" s="257"/>
      <c r="C2116" s="258"/>
      <c r="D2116" s="258"/>
      <c r="E2116" s="258"/>
      <c r="F2116" s="259" t="s">
        <v>209</v>
      </c>
      <c r="G2116" s="260"/>
      <c r="H2116" s="258"/>
      <c r="I2116" s="635">
        <v>35</v>
      </c>
    </row>
    <row r="2117" spans="1:17" x14ac:dyDescent="0.2">
      <c r="A2117" s="237"/>
      <c r="B2117" s="261"/>
      <c r="C2117" s="245"/>
      <c r="D2117" s="245"/>
      <c r="E2117" s="245"/>
      <c r="F2117" s="262" t="s">
        <v>232</v>
      </c>
      <c r="G2117" s="244"/>
      <c r="H2117" s="245"/>
      <c r="I2117" s="633">
        <f>TRUNC(I2115/I2116,2)</f>
        <v>8.73</v>
      </c>
    </row>
    <row r="2118" spans="1:17" x14ac:dyDescent="0.2">
      <c r="A2118" s="867"/>
      <c r="B2118" s="233"/>
      <c r="C2118" s="199"/>
      <c r="D2118" s="199"/>
      <c r="E2118" s="199"/>
      <c r="F2118" s="263"/>
      <c r="G2118" s="199"/>
      <c r="H2118" s="199"/>
      <c r="I2118" s="264"/>
    </row>
    <row r="2119" spans="1:17" x14ac:dyDescent="0.2">
      <c r="A2119" s="246" t="s">
        <v>210</v>
      </c>
      <c r="B2119" s="247" t="s">
        <v>60</v>
      </c>
      <c r="C2119" s="247" t="s">
        <v>211</v>
      </c>
      <c r="D2119" s="247" t="s">
        <v>233</v>
      </c>
      <c r="E2119" s="1276" t="s">
        <v>91</v>
      </c>
      <c r="F2119" s="1274"/>
      <c r="G2119" s="1275"/>
      <c r="H2119" s="1276" t="s">
        <v>198</v>
      </c>
      <c r="I2119" s="1275"/>
    </row>
    <row r="2120" spans="1:17" x14ac:dyDescent="0.2">
      <c r="A2120" s="265" t="str">
        <f>VLOOKUP(B2120,mat.!$A:$D,2,FALSE)</f>
        <v>Cola a base de poliester</v>
      </c>
      <c r="B2120" s="238">
        <v>10362</v>
      </c>
      <c r="C2120" s="266" t="str">
        <f>VLOOKUP(B2120,mat.!$A:$D,3,FALSE)</f>
        <v>kg</v>
      </c>
      <c r="D2120" s="267">
        <f>VLOOKUP(B2120,mat.!$A:$D,4,FALSE)</f>
        <v>17.2</v>
      </c>
      <c r="E2120" s="260"/>
      <c r="F2120" s="258"/>
      <c r="G2120" s="300">
        <v>0.2</v>
      </c>
      <c r="H2120" s="260"/>
      <c r="I2120" s="268">
        <f>TRUNC(D2120*G2120,2)</f>
        <v>3.44</v>
      </c>
    </row>
    <row r="2121" spans="1:17" x14ac:dyDescent="0.2">
      <c r="A2121" s="265" t="str">
        <f>VLOOKUP(B2121,mat.!$A:$D,2,FALSE)</f>
        <v>Tachao monodirecional</v>
      </c>
      <c r="B2121" s="238">
        <v>10360</v>
      </c>
      <c r="C2121" s="266" t="str">
        <f>VLOOKUP(B2121,mat.!$A:$D,3,FALSE)</f>
        <v>Ud</v>
      </c>
      <c r="D2121" s="267">
        <f>VLOOKUP(B2121,mat.!$A:$D,4,FALSE)</f>
        <v>33.450000000000003</v>
      </c>
      <c r="E2121" s="260"/>
      <c r="F2121" s="258"/>
      <c r="G2121" s="300">
        <v>1</v>
      </c>
      <c r="H2121" s="260"/>
      <c r="I2121" s="268">
        <f>TRUNC(D2121*G2121,2)</f>
        <v>33.450000000000003</v>
      </c>
    </row>
    <row r="2122" spans="1:17" x14ac:dyDescent="0.2">
      <c r="A2122" s="199"/>
      <c r="B2122" s="233"/>
      <c r="C2122" s="199"/>
      <c r="D2122" s="199"/>
      <c r="E2122" s="199"/>
      <c r="F2122" s="234" t="s">
        <v>212</v>
      </c>
      <c r="G2122" s="244"/>
      <c r="H2122" s="245"/>
      <c r="I2122" s="434">
        <f>SUM(I2120:I2121)</f>
        <v>36.89</v>
      </c>
    </row>
    <row r="2123" spans="1:17" x14ac:dyDescent="0.2">
      <c r="A2123" s="199"/>
      <c r="B2123" s="233"/>
      <c r="C2123" s="199"/>
      <c r="D2123" s="199"/>
      <c r="E2123" s="199"/>
      <c r="F2123" s="199"/>
      <c r="G2123" s="269"/>
      <c r="H2123" s="199"/>
      <c r="I2123" s="200"/>
    </row>
    <row r="2124" spans="1:17" x14ac:dyDescent="0.2">
      <c r="A2124" s="467" t="s">
        <v>213</v>
      </c>
      <c r="B2124" s="468" t="s">
        <v>60</v>
      </c>
      <c r="C2124" s="468" t="s">
        <v>211</v>
      </c>
      <c r="D2124" s="869" t="s">
        <v>233</v>
      </c>
      <c r="E2124" s="1281" t="s">
        <v>91</v>
      </c>
      <c r="F2124" s="1282"/>
      <c r="G2124" s="1283"/>
      <c r="H2124" s="1284" t="s">
        <v>198</v>
      </c>
      <c r="I2124" s="1285"/>
      <c r="J2124" s="451"/>
      <c r="K2124" s="451"/>
      <c r="L2124" s="198"/>
      <c r="M2124" s="198"/>
      <c r="N2124" s="198"/>
      <c r="O2124" s="198"/>
      <c r="P2124" s="198"/>
      <c r="Q2124" s="198"/>
    </row>
    <row r="2125" spans="1:17" x14ac:dyDescent="0.2">
      <c r="A2125" s="201"/>
      <c r="B2125" s="271"/>
      <c r="C2125" s="201"/>
      <c r="D2125" s="201"/>
      <c r="E2125" s="201"/>
      <c r="F2125" s="272" t="s">
        <v>214</v>
      </c>
      <c r="G2125" s="260"/>
      <c r="H2125" s="273"/>
      <c r="I2125" s="436"/>
    </row>
    <row r="2126" spans="1:17" x14ac:dyDescent="0.2">
      <c r="A2126" s="201"/>
      <c r="B2126" s="271"/>
      <c r="C2126" s="201"/>
      <c r="D2126" s="201"/>
      <c r="E2126" s="201"/>
      <c r="F2126" s="201"/>
      <c r="G2126" s="201"/>
      <c r="H2126" s="201"/>
      <c r="I2126" s="201"/>
    </row>
    <row r="2127" spans="1:17" x14ac:dyDescent="0.2">
      <c r="A2127" s="274" t="s">
        <v>215</v>
      </c>
      <c r="B2127" s="275" t="s">
        <v>60</v>
      </c>
      <c r="C2127" s="275" t="s">
        <v>211</v>
      </c>
      <c r="D2127" s="275" t="s">
        <v>216</v>
      </c>
      <c r="E2127" s="275" t="s">
        <v>217</v>
      </c>
      <c r="F2127" s="275" t="s">
        <v>218</v>
      </c>
      <c r="G2127" s="275" t="s">
        <v>96</v>
      </c>
      <c r="H2127" s="275" t="s">
        <v>91</v>
      </c>
      <c r="I2127" s="275" t="s">
        <v>219</v>
      </c>
    </row>
    <row r="2128" spans="1:17" x14ac:dyDescent="0.2">
      <c r="A2128" s="201"/>
      <c r="B2128" s="271"/>
      <c r="C2128" s="201"/>
      <c r="D2128" s="201"/>
      <c r="E2128" s="201"/>
      <c r="F2128" s="272" t="s">
        <v>220</v>
      </c>
      <c r="G2128" s="244"/>
      <c r="H2128" s="279"/>
      <c r="I2128" s="438"/>
    </row>
    <row r="2129" spans="1:13" x14ac:dyDescent="0.2">
      <c r="A2129" s="201"/>
      <c r="B2129" s="271"/>
      <c r="C2129" s="201"/>
      <c r="D2129" s="201"/>
      <c r="E2129" s="201"/>
      <c r="F2129" s="201"/>
      <c r="G2129" s="201"/>
      <c r="H2129" s="201"/>
      <c r="I2129" s="202"/>
    </row>
    <row r="2130" spans="1:13" x14ac:dyDescent="0.2">
      <c r="A2130" s="280"/>
      <c r="B2130" s="281"/>
      <c r="C2130" s="282"/>
      <c r="D2130" s="282"/>
      <c r="E2130" s="282"/>
      <c r="F2130" s="283" t="s">
        <v>221</v>
      </c>
      <c r="G2130" s="280"/>
      <c r="H2130" s="254"/>
      <c r="I2130" s="634">
        <f>+I2117+I2122+I2125+I2128</f>
        <v>45.62</v>
      </c>
    </row>
    <row r="2131" spans="1:13" x14ac:dyDescent="0.2">
      <c r="A2131" s="260"/>
      <c r="B2131" s="284"/>
      <c r="C2131" s="273"/>
      <c r="D2131" s="273"/>
      <c r="E2131" s="273"/>
      <c r="F2131" s="285" t="str">
        <f>CONCATENATE($H$3," ",$I$3)</f>
        <v>BDI: 23,32</v>
      </c>
      <c r="G2131" s="439"/>
      <c r="H2131" s="258"/>
      <c r="I2131" s="635">
        <f>+ROUND(I2130*$I$4,2)</f>
        <v>10.64</v>
      </c>
    </row>
    <row r="2132" spans="1:13" x14ac:dyDescent="0.2">
      <c r="A2132" s="244"/>
      <c r="B2132" s="286"/>
      <c r="C2132" s="279"/>
      <c r="D2132" s="279"/>
      <c r="E2132" s="279"/>
      <c r="F2132" s="287" t="s">
        <v>222</v>
      </c>
      <c r="G2132" s="440"/>
      <c r="H2132" s="245"/>
      <c r="I2132" s="1017">
        <f>+I2130+I2131</f>
        <v>56.26</v>
      </c>
    </row>
    <row r="2133" spans="1:13" x14ac:dyDescent="0.2">
      <c r="A2133" s="1277" t="str">
        <f>$A$1</f>
        <v>COMPOSIÇÃO DE CUSTOS UNITÁRIOS</v>
      </c>
      <c r="B2133" s="1277"/>
      <c r="C2133" s="1277"/>
      <c r="D2133" s="1277"/>
      <c r="E2133" s="1277"/>
      <c r="F2133" s="1277"/>
      <c r="G2133" s="1277"/>
      <c r="H2133" s="1277"/>
      <c r="I2133" s="1277"/>
    </row>
    <row r="2134" spans="1:13" x14ac:dyDescent="0.2">
      <c r="A2134" s="232" t="str">
        <f>$A$2</f>
        <v>Tabela Referencial de Preços - DER-ES</v>
      </c>
      <c r="B2134" s="233"/>
      <c r="C2134" s="199"/>
      <c r="D2134" s="199"/>
      <c r="E2134" s="199"/>
      <c r="F2134" s="199"/>
      <c r="G2134" s="199"/>
      <c r="H2134" s="199"/>
      <c r="I2134" s="234" t="str">
        <f>$I$2</f>
        <v>Data Base: Outubro/2018</v>
      </c>
      <c r="J2134" s="433">
        <v>40936</v>
      </c>
      <c r="K2134" s="433">
        <f>VLOOKUP("Preço Unitário Total",F2136:I4208,4,FALSE)</f>
        <v>554.22</v>
      </c>
      <c r="L2134" s="302">
        <f>VLOOKUP(J2134,'DER 10-18'!A:E,5,FALSE)</f>
        <v>0</v>
      </c>
      <c r="M2134" s="302" t="str">
        <f>VLOOKUP(J2134,'DER 10-18'!$A:$D,2,FALSE)</f>
        <v>Sinalização vertical com chapa revestida em película, inclusive suporte em madeira</v>
      </c>
    </row>
    <row r="2135" spans="1:13" x14ac:dyDescent="0.2">
      <c r="A2135" s="1278" t="str">
        <f>+CONCATENATE("Serviço: ",J2134," ",VLOOKUP(J2134,'DER 10-18'!$A:$D,2,FALSE))</f>
        <v>Serviço: 40936 Sinalização vertical com chapa revestida em película, inclusive suporte em madeira</v>
      </c>
      <c r="B2135" s="1278"/>
      <c r="C2135" s="1278"/>
      <c r="D2135" s="1278"/>
      <c r="E2135" s="1278"/>
      <c r="F2135" s="1278"/>
      <c r="G2135" s="1278"/>
      <c r="H2135" s="1278"/>
      <c r="I2135" s="1278" t="str">
        <f>CONCATENATE("Unidade: ", VLOOKUP(J2134,'DER 10-18'!$A:$E,3,FALSE))</f>
        <v>Unidade: M2</v>
      </c>
    </row>
    <row r="2136" spans="1:13" x14ac:dyDescent="0.2">
      <c r="A2136" s="1279"/>
      <c r="B2136" s="1279"/>
      <c r="C2136" s="1279"/>
      <c r="D2136" s="1279"/>
      <c r="E2136" s="1279"/>
      <c r="F2136" s="1279"/>
      <c r="G2136" s="1279"/>
      <c r="H2136" s="1279"/>
      <c r="I2136" s="1279"/>
    </row>
    <row r="2137" spans="1:13" ht="22.5" x14ac:dyDescent="0.2">
      <c r="A2137" s="235" t="s">
        <v>192</v>
      </c>
      <c r="B2137" s="236" t="s">
        <v>60</v>
      </c>
      <c r="C2137" s="236" t="s">
        <v>193</v>
      </c>
      <c r="D2137" s="236" t="s">
        <v>194</v>
      </c>
      <c r="E2137" s="236" t="s">
        <v>195</v>
      </c>
      <c r="F2137" s="236" t="s">
        <v>196</v>
      </c>
      <c r="G2137" s="236" t="s">
        <v>197</v>
      </c>
      <c r="H2137" s="236" t="s">
        <v>91</v>
      </c>
      <c r="I2137" s="236" t="s">
        <v>198</v>
      </c>
    </row>
    <row r="2138" spans="1:13" ht="22.5" x14ac:dyDescent="0.2">
      <c r="A2138" s="237" t="str">
        <f>VLOOKUP(B2138,equip.!$A:$G,2,FALSE)</f>
        <v>Caminhão carroceria 815/37 PBT=8,3t (TOCO 4,0t)</v>
      </c>
      <c r="B2138" s="238">
        <v>30004</v>
      </c>
      <c r="C2138" s="239" t="str">
        <f>VLOOKUP(B2138,equip.!$A$1:$G$239,3,FALSE)</f>
        <v>M</v>
      </c>
      <c r="D2138" s="240">
        <v>0.15</v>
      </c>
      <c r="E2138" s="205">
        <v>0.85</v>
      </c>
      <c r="F2138" s="241">
        <f>VLOOKUP(B2138,equip.!$A:$G,6,FALSE)</f>
        <v>140.51</v>
      </c>
      <c r="G2138" s="241">
        <f>VLOOKUP(B2138,equip.!$A:$G,7,FALSE)</f>
        <v>37.26</v>
      </c>
      <c r="H2138" s="242">
        <v>1</v>
      </c>
      <c r="I2138" s="243">
        <f>TRUNC(D2138*F2138*H2138+E2138*G2138*H2138,2)</f>
        <v>52.74</v>
      </c>
    </row>
    <row r="2139" spans="1:13" x14ac:dyDescent="0.2">
      <c r="A2139" s="237" t="str">
        <f>VLOOKUP(B2139,equip.!$A:$G,2,FALSE)</f>
        <v>Furadeira elétrica de bancada</v>
      </c>
      <c r="B2139" s="238">
        <v>30096</v>
      </c>
      <c r="C2139" s="239">
        <f>VLOOKUP(B2139,equip.!$A$1:$G$239,3,FALSE)</f>
        <v>0</v>
      </c>
      <c r="D2139" s="240">
        <v>0.01</v>
      </c>
      <c r="E2139" s="205">
        <v>0.99</v>
      </c>
      <c r="F2139" s="241">
        <f>VLOOKUP(B2139,equip.!$A:$G,6,FALSE)</f>
        <v>0.7</v>
      </c>
      <c r="G2139" s="241">
        <f>VLOOKUP(B2139,equip.!$A:$G,7,FALSE)</f>
        <v>0.04</v>
      </c>
      <c r="H2139" s="242">
        <v>1</v>
      </c>
      <c r="I2139" s="243">
        <f>TRUNC(D2139*F2139*H2139+E2139*G2139*H2139,2)</f>
        <v>0.04</v>
      </c>
    </row>
    <row r="2140" spans="1:13" ht="22.5" x14ac:dyDescent="0.2">
      <c r="A2140" s="237" t="str">
        <f>VLOOKUP(B2140,equip.!$A:$G,2,FALSE)</f>
        <v>Guilhotina para corte em chapa de aço até 2mm</v>
      </c>
      <c r="B2140" s="238">
        <v>30097</v>
      </c>
      <c r="C2140" s="239">
        <f>VLOOKUP(B2140,equip.!$A$1:$G$239,3,FALSE)</f>
        <v>0</v>
      </c>
      <c r="D2140" s="240">
        <v>0.01</v>
      </c>
      <c r="E2140" s="205">
        <v>0.99</v>
      </c>
      <c r="F2140" s="241">
        <f>VLOOKUP(B2140,equip.!$A:$G,6,FALSE)</f>
        <v>31.67</v>
      </c>
      <c r="G2140" s="241">
        <f>VLOOKUP(B2140,equip.!$A:$G,7,FALSE)</f>
        <v>27.09</v>
      </c>
      <c r="H2140" s="242">
        <v>1</v>
      </c>
      <c r="I2140" s="243">
        <f>TRUNC(D2140*F2140*H2140+E2140*G2140*H2140,2)</f>
        <v>27.13</v>
      </c>
    </row>
    <row r="2141" spans="1:13" x14ac:dyDescent="0.2">
      <c r="A2141" s="237" t="str">
        <f>VLOOKUP(B2141,equip.!$A:$G,2,FALSE)</f>
        <v>Serra circular manual</v>
      </c>
      <c r="B2141" s="238">
        <v>30095</v>
      </c>
      <c r="C2141" s="239">
        <f>VLOOKUP(B2141,equip.!$A$1:$G$239,3,FALSE)</f>
        <v>0</v>
      </c>
      <c r="D2141" s="240">
        <v>0.01</v>
      </c>
      <c r="E2141" s="205">
        <v>0.99</v>
      </c>
      <c r="F2141" s="241">
        <f>VLOOKUP(B2141,equip.!$A:$G,6,FALSE)</f>
        <v>2.74</v>
      </c>
      <c r="G2141" s="241">
        <f>VLOOKUP(B2141,equip.!$A:$G,7,FALSE)</f>
        <v>0.1</v>
      </c>
      <c r="H2141" s="242">
        <v>1</v>
      </c>
      <c r="I2141" s="243">
        <f>TRUNC(D2141*F2141*H2141+E2141*G2141*H2141,2)</f>
        <v>0.12</v>
      </c>
    </row>
    <row r="2142" spans="1:13" x14ac:dyDescent="0.2">
      <c r="A2142" s="199"/>
      <c r="B2142" s="233"/>
      <c r="C2142" s="233"/>
      <c r="D2142" s="199"/>
      <c r="E2142" s="199"/>
      <c r="F2142" s="234" t="s">
        <v>199</v>
      </c>
      <c r="G2142" s="244"/>
      <c r="H2142" s="245"/>
      <c r="I2142" s="434">
        <f>SUM(I2138:I2141)</f>
        <v>80.03</v>
      </c>
    </row>
    <row r="2143" spans="1:13" x14ac:dyDescent="0.2">
      <c r="A2143" s="199"/>
      <c r="B2143" s="233"/>
      <c r="C2143" s="233"/>
      <c r="D2143" s="199"/>
      <c r="E2143" s="199"/>
      <c r="F2143" s="199"/>
      <c r="G2143" s="199"/>
      <c r="H2143" s="199"/>
      <c r="I2143" s="200"/>
    </row>
    <row r="2144" spans="1:13" x14ac:dyDescent="0.2">
      <c r="A2144" s="246" t="s">
        <v>200</v>
      </c>
      <c r="B2144" s="247" t="s">
        <v>60</v>
      </c>
      <c r="C2144" s="236" t="s">
        <v>1242</v>
      </c>
      <c r="D2144" s="247" t="s">
        <v>202</v>
      </c>
      <c r="E2144" s="1276" t="s">
        <v>91</v>
      </c>
      <c r="F2144" s="1274"/>
      <c r="G2144" s="1275"/>
      <c r="H2144" s="1276" t="s">
        <v>198</v>
      </c>
      <c r="I2144" s="1275"/>
    </row>
    <row r="2145" spans="1:17" x14ac:dyDescent="0.2">
      <c r="A2145" s="248" t="str">
        <f>VLOOKUP(B2145,m.o.!$A:$H,2,FALSE)</f>
        <v>Desenhista</v>
      </c>
      <c r="B2145" s="238">
        <v>20048</v>
      </c>
      <c r="C2145" s="243">
        <f>VLOOKUP(B2145,m.o.!$A:$F,4,FALSE)</f>
        <v>0</v>
      </c>
      <c r="D2145" s="243">
        <f>VLOOKUP(B2145,m.o.!$A:$G,7,FALSE)</f>
        <v>6498.26</v>
      </c>
      <c r="E2145" s="244"/>
      <c r="F2145" s="258"/>
      <c r="G2145" s="300">
        <v>4.4999999999999997E-3</v>
      </c>
      <c r="H2145" s="244"/>
      <c r="I2145" s="249">
        <f>TRUNC(D2145*G2145,2)</f>
        <v>29.24</v>
      </c>
      <c r="J2145" s="302"/>
      <c r="K2145" s="302"/>
    </row>
    <row r="2146" spans="1:17" x14ac:dyDescent="0.2">
      <c r="A2146" s="248" t="str">
        <f>VLOOKUP(B2146,m.o.!$A:$H,2,FALSE)</f>
        <v>Pintor</v>
      </c>
      <c r="B2146" s="238">
        <v>20111</v>
      </c>
      <c r="C2146" s="243">
        <f>VLOOKUP(B2146,m.o.!$A:$F,4,FALSE)</f>
        <v>1.24</v>
      </c>
      <c r="D2146" s="243">
        <f>VLOOKUP(B2146,m.o.!$A:$G,7,FALSE)</f>
        <v>14.43</v>
      </c>
      <c r="E2146" s="244"/>
      <c r="F2146" s="245"/>
      <c r="G2146" s="441">
        <v>1</v>
      </c>
      <c r="H2146" s="244"/>
      <c r="I2146" s="249">
        <f>TRUNC(D2146*G2146,2)</f>
        <v>14.43</v>
      </c>
      <c r="J2146" s="302"/>
      <c r="K2146" s="302"/>
    </row>
    <row r="2147" spans="1:17" x14ac:dyDescent="0.2">
      <c r="A2147" s="248" t="str">
        <f>VLOOKUP(B2147,m.o.!$A:$H,2,FALSE)</f>
        <v>Servente</v>
      </c>
      <c r="B2147" s="238">
        <v>20002</v>
      </c>
      <c r="C2147" s="243">
        <f>VLOOKUP(B2147,m.o.!$A:$F,4,FALSE)</f>
        <v>1</v>
      </c>
      <c r="D2147" s="243">
        <f>VLOOKUP(B2147,m.o.!$A:$G,7,FALSE)</f>
        <v>11.64</v>
      </c>
      <c r="E2147" s="244"/>
      <c r="F2147" s="245"/>
      <c r="G2147" s="441">
        <v>2</v>
      </c>
      <c r="H2147" s="244"/>
      <c r="I2147" s="249">
        <f>TRUNC(D2147*G2147,2)</f>
        <v>23.28</v>
      </c>
      <c r="J2147" s="302"/>
      <c r="K2147" s="302"/>
    </row>
    <row r="2148" spans="1:17" s="198" customFormat="1" x14ac:dyDescent="0.2">
      <c r="A2148" s="199"/>
      <c r="B2148" s="233"/>
      <c r="C2148" s="233"/>
      <c r="D2148" s="199"/>
      <c r="E2148" s="199"/>
      <c r="F2148" s="234" t="s">
        <v>203</v>
      </c>
      <c r="G2148" s="244"/>
      <c r="H2148" s="245"/>
      <c r="I2148" s="434">
        <f>SUM(I2145:I2147)</f>
        <v>66.95</v>
      </c>
      <c r="J2148" s="302"/>
      <c r="K2148" s="302"/>
      <c r="L2148" s="302"/>
      <c r="M2148" s="302"/>
      <c r="N2148" s="302"/>
      <c r="O2148" s="302"/>
      <c r="P2148" s="302"/>
      <c r="Q2148" s="302"/>
    </row>
    <row r="2149" spans="1:17" x14ac:dyDescent="0.2">
      <c r="A2149" s="199"/>
      <c r="B2149" s="233"/>
      <c r="C2149" s="233"/>
      <c r="D2149" s="199"/>
      <c r="E2149" s="199"/>
      <c r="F2149" s="199"/>
      <c r="G2149" s="199"/>
      <c r="H2149" s="199"/>
      <c r="I2149" s="200"/>
      <c r="J2149" s="302"/>
      <c r="K2149" s="302"/>
    </row>
    <row r="2150" spans="1:17" x14ac:dyDescent="0.2">
      <c r="A2150" s="250" t="s">
        <v>204</v>
      </c>
      <c r="B2150" s="247" t="s">
        <v>60</v>
      </c>
      <c r="C2150" s="866" t="s">
        <v>17</v>
      </c>
      <c r="D2150" s="247" t="s">
        <v>205</v>
      </c>
      <c r="E2150" s="247" t="s">
        <v>206</v>
      </c>
      <c r="F2150" s="247" t="s">
        <v>207</v>
      </c>
      <c r="G2150" s="1276" t="s">
        <v>96</v>
      </c>
      <c r="H2150" s="1274"/>
      <c r="I2150" s="1275"/>
      <c r="J2150" s="302"/>
      <c r="K2150" s="302"/>
    </row>
    <row r="2151" spans="1:17" x14ac:dyDescent="0.2">
      <c r="A2151" s="248" t="s">
        <v>1091</v>
      </c>
      <c r="B2151" s="238">
        <v>2000</v>
      </c>
      <c r="C2151" s="243">
        <v>5</v>
      </c>
      <c r="D2151" s="239" t="s">
        <v>1092</v>
      </c>
      <c r="E2151" s="251"/>
      <c r="F2151" s="251"/>
      <c r="G2151" s="244"/>
      <c r="H2151" s="245"/>
      <c r="I2151" s="249">
        <f>C2151/100*I2148</f>
        <v>3.35</v>
      </c>
      <c r="J2151" s="302"/>
      <c r="K2151" s="302"/>
    </row>
    <row r="2152" spans="1:17" x14ac:dyDescent="0.2">
      <c r="A2152" s="199"/>
      <c r="B2152" s="233"/>
      <c r="C2152" s="199"/>
      <c r="D2152" s="199"/>
      <c r="E2152" s="199"/>
      <c r="F2152" s="234" t="s">
        <v>1170</v>
      </c>
      <c r="G2152" s="244"/>
      <c r="H2152" s="245"/>
      <c r="I2152" s="434">
        <f>SUM(I2151)</f>
        <v>3.35</v>
      </c>
      <c r="J2152" s="302"/>
      <c r="K2152" s="302"/>
    </row>
    <row r="2153" spans="1:17" x14ac:dyDescent="0.2">
      <c r="A2153" s="199"/>
      <c r="B2153" s="233"/>
      <c r="C2153" s="199"/>
      <c r="D2153" s="199"/>
      <c r="E2153" s="199"/>
      <c r="F2153" s="199"/>
      <c r="G2153" s="199"/>
      <c r="H2153" s="199"/>
      <c r="I2153" s="200"/>
      <c r="J2153" s="302"/>
      <c r="K2153" s="302"/>
    </row>
    <row r="2154" spans="1:17" x14ac:dyDescent="0.2">
      <c r="A2154" s="252"/>
      <c r="B2154" s="253"/>
      <c r="C2154" s="254"/>
      <c r="D2154" s="254"/>
      <c r="E2154" s="254"/>
      <c r="F2154" s="255" t="s">
        <v>208</v>
      </c>
      <c r="G2154" s="435"/>
      <c r="H2154" s="254"/>
      <c r="I2154" s="634">
        <f>+I2142+I2148+I2152</f>
        <v>150.33000000000001</v>
      </c>
      <c r="J2154" s="302"/>
      <c r="K2154" s="302"/>
    </row>
    <row r="2155" spans="1:17" x14ac:dyDescent="0.2">
      <c r="A2155" s="256"/>
      <c r="B2155" s="257"/>
      <c r="C2155" s="258"/>
      <c r="D2155" s="258"/>
      <c r="E2155" s="258"/>
      <c r="F2155" s="259" t="s">
        <v>209</v>
      </c>
      <c r="G2155" s="260"/>
      <c r="H2155" s="258"/>
      <c r="I2155" s="635">
        <v>1</v>
      </c>
      <c r="J2155" s="302"/>
      <c r="K2155" s="302"/>
    </row>
    <row r="2156" spans="1:17" x14ac:dyDescent="0.2">
      <c r="A2156" s="237"/>
      <c r="B2156" s="261"/>
      <c r="C2156" s="245"/>
      <c r="D2156" s="245"/>
      <c r="E2156" s="245"/>
      <c r="F2156" s="262" t="s">
        <v>232</v>
      </c>
      <c r="G2156" s="244"/>
      <c r="H2156" s="245"/>
      <c r="I2156" s="633">
        <f>TRUNC(I2154/I2155,2)</f>
        <v>150.33000000000001</v>
      </c>
      <c r="J2156" s="302"/>
      <c r="K2156" s="302"/>
    </row>
    <row r="2157" spans="1:17" x14ac:dyDescent="0.2">
      <c r="A2157" s="867"/>
      <c r="B2157" s="233"/>
      <c r="C2157" s="199"/>
      <c r="D2157" s="199"/>
      <c r="E2157" s="199"/>
      <c r="F2157" s="263"/>
      <c r="G2157" s="199"/>
      <c r="H2157" s="199"/>
      <c r="I2157" s="264"/>
      <c r="J2157" s="302"/>
      <c r="K2157" s="302"/>
    </row>
    <row r="2158" spans="1:17" x14ac:dyDescent="0.2">
      <c r="A2158" s="246" t="s">
        <v>210</v>
      </c>
      <c r="B2158" s="247" t="s">
        <v>60</v>
      </c>
      <c r="C2158" s="247" t="s">
        <v>211</v>
      </c>
      <c r="D2158" s="247" t="s">
        <v>233</v>
      </c>
      <c r="E2158" s="1276" t="s">
        <v>91</v>
      </c>
      <c r="F2158" s="1274"/>
      <c r="G2158" s="1275"/>
      <c r="H2158" s="1276" t="s">
        <v>198</v>
      </c>
      <c r="I2158" s="1275"/>
      <c r="J2158" s="302"/>
      <c r="K2158" s="302"/>
    </row>
    <row r="2159" spans="1:17" ht="22.5" x14ac:dyDescent="0.2">
      <c r="A2159" s="265" t="str">
        <f>VLOOKUP(B2159,mat.!$A:$D,2,FALSE)</f>
        <v>Chapa de aço fina-frio nº 16, esp.1,5mm SAE 1008/1010</v>
      </c>
      <c r="B2159" s="238">
        <v>10379</v>
      </c>
      <c r="C2159" s="266" t="str">
        <f>VLOOKUP(B2159,mat.!$A:$D,3,FALSE)</f>
        <v>M2</v>
      </c>
      <c r="D2159" s="267">
        <f>VLOOKUP(B2159,mat.!$A:$D,4,FALSE)</f>
        <v>62.37</v>
      </c>
      <c r="E2159" s="260"/>
      <c r="F2159" s="258"/>
      <c r="G2159" s="300">
        <v>1</v>
      </c>
      <c r="H2159" s="260"/>
      <c r="I2159" s="268">
        <f t="shared" ref="I2159:I2168" si="20">TRUNC(D2159*G2159,2)</f>
        <v>62.37</v>
      </c>
      <c r="J2159" s="302"/>
      <c r="K2159" s="302"/>
    </row>
    <row r="2160" spans="1:17" s="198" customFormat="1" ht="22.5" x14ac:dyDescent="0.2">
      <c r="A2160" s="265" t="str">
        <f>VLOOKUP(B2160,mat.!$A:$D,2,FALSE)</f>
        <v>Esmalte sintético fosco secagem rápida</v>
      </c>
      <c r="B2160" s="238">
        <v>10370</v>
      </c>
      <c r="C2160" s="266" t="str">
        <f>VLOOKUP(B2160,mat.!$A:$D,3,FALSE)</f>
        <v>GL</v>
      </c>
      <c r="D2160" s="267">
        <f>VLOOKUP(B2160,mat.!$A:$D,4,FALSE)</f>
        <v>94.57</v>
      </c>
      <c r="E2160" s="260"/>
      <c r="F2160" s="258"/>
      <c r="G2160" s="441">
        <v>4.5499999999999999E-2</v>
      </c>
      <c r="H2160" s="260"/>
      <c r="I2160" s="268">
        <f t="shared" si="20"/>
        <v>4.3</v>
      </c>
      <c r="J2160" s="302"/>
      <c r="K2160" s="302"/>
      <c r="L2160" s="302"/>
      <c r="M2160" s="302"/>
      <c r="N2160" s="302"/>
      <c r="O2160" s="302"/>
    </row>
    <row r="2161" spans="1:17" s="198" customFormat="1" x14ac:dyDescent="0.2">
      <c r="A2161" s="265" t="str">
        <f>VLOOKUP(B2161,mat.!$A:$D,2,FALSE)</f>
        <v>Lixa d'água nº 80</v>
      </c>
      <c r="B2161" s="238">
        <v>10373</v>
      </c>
      <c r="C2161" s="266" t="str">
        <f>VLOOKUP(B2161,mat.!$A:$D,3,FALSE)</f>
        <v>Ud</v>
      </c>
      <c r="D2161" s="267">
        <f>VLOOKUP(B2161,mat.!$A:$D,4,FALSE)</f>
        <v>1.1599999999999999</v>
      </c>
      <c r="E2161" s="260"/>
      <c r="F2161" s="258"/>
      <c r="G2161" s="441">
        <v>0.08</v>
      </c>
      <c r="H2161" s="260"/>
      <c r="I2161" s="268">
        <f t="shared" si="20"/>
        <v>0.09</v>
      </c>
      <c r="J2161" s="302"/>
      <c r="K2161" s="302"/>
      <c r="L2161" s="302"/>
      <c r="M2161" s="302"/>
      <c r="N2161" s="302"/>
      <c r="O2161" s="302"/>
      <c r="P2161" s="302"/>
      <c r="Q2161" s="302"/>
    </row>
    <row r="2162" spans="1:17" s="198" customFormat="1" ht="22.5" x14ac:dyDescent="0.2">
      <c r="A2162" s="265" t="str">
        <f>VLOOKUP(B2162,mat.!$A:$D,2,FALSE)</f>
        <v>Parafuso c/ porca e arruela (3/16x1 1/2")</v>
      </c>
      <c r="B2162" s="238">
        <v>10375</v>
      </c>
      <c r="C2162" s="266" t="str">
        <f>VLOOKUP(B2162,mat.!$A:$D,3,FALSE)</f>
        <v>Ud</v>
      </c>
      <c r="D2162" s="267">
        <f>VLOOKUP(B2162,mat.!$A:$D,4,FALSE)</f>
        <v>0.3</v>
      </c>
      <c r="E2162" s="260"/>
      <c r="F2162" s="258"/>
      <c r="G2162" s="441">
        <v>4</v>
      </c>
      <c r="H2162" s="260"/>
      <c r="I2162" s="268">
        <f t="shared" si="20"/>
        <v>1.2</v>
      </c>
      <c r="J2162" s="302"/>
      <c r="K2162" s="302"/>
      <c r="L2162" s="302"/>
      <c r="M2162" s="302"/>
      <c r="N2162" s="302"/>
      <c r="O2162" s="302"/>
      <c r="P2162" s="302"/>
      <c r="Q2162" s="302"/>
    </row>
    <row r="2163" spans="1:17" x14ac:dyDescent="0.2">
      <c r="A2163" s="265" t="str">
        <f>VLOOKUP(B2163,mat.!$A:$D,2,FALSE)</f>
        <v>Película preto legenda</v>
      </c>
      <c r="B2163" s="238">
        <v>10368</v>
      </c>
      <c r="C2163" s="266" t="str">
        <f>VLOOKUP(B2163,mat.!$A:$D,3,FALSE)</f>
        <v>M2</v>
      </c>
      <c r="D2163" s="267">
        <f>VLOOKUP(B2163,mat.!$A:$D,4,FALSE)</f>
        <v>84.38</v>
      </c>
      <c r="E2163" s="260"/>
      <c r="F2163" s="258"/>
      <c r="G2163" s="441">
        <v>0.185</v>
      </c>
      <c r="H2163" s="260"/>
      <c r="I2163" s="268">
        <f t="shared" si="20"/>
        <v>15.61</v>
      </c>
      <c r="J2163" s="302"/>
      <c r="K2163" s="302"/>
    </row>
    <row r="2164" spans="1:17" ht="22.5" x14ac:dyDescent="0.2">
      <c r="A2164" s="265" t="str">
        <f>VLOOKUP(B2164,mat.!$A:$D,2,FALSE)</f>
        <v>Película refletiva grau técnico todas as cores</v>
      </c>
      <c r="B2164" s="238">
        <v>10380</v>
      </c>
      <c r="C2164" s="266" t="str">
        <f>VLOOKUP(B2164,mat.!$A:$D,3,FALSE)</f>
        <v>M2</v>
      </c>
      <c r="D2164" s="267">
        <f>VLOOKUP(B2164,mat.!$A:$D,4,FALSE)</f>
        <v>118.77</v>
      </c>
      <c r="E2164" s="260"/>
      <c r="F2164" s="258"/>
      <c r="G2164" s="441">
        <v>1.3540000000000001</v>
      </c>
      <c r="H2164" s="260"/>
      <c r="I2164" s="268">
        <f t="shared" si="20"/>
        <v>160.81</v>
      </c>
      <c r="J2164" s="302"/>
      <c r="K2164" s="302"/>
    </row>
    <row r="2165" spans="1:17" x14ac:dyDescent="0.2">
      <c r="A2165" s="265" t="str">
        <f>VLOOKUP(B2165,mat.!$A:$D,2,FALSE)</f>
        <v>Primer base cromato de zinco</v>
      </c>
      <c r="B2165" s="238">
        <v>10381</v>
      </c>
      <c r="C2165" s="266" t="str">
        <f>VLOOKUP(B2165,mat.!$A:$D,3,FALSE)</f>
        <v>GL</v>
      </c>
      <c r="D2165" s="267">
        <f>VLOOKUP(B2165,mat.!$A:$D,4,FALSE)</f>
        <v>87.48</v>
      </c>
      <c r="E2165" s="260"/>
      <c r="F2165" s="258"/>
      <c r="G2165" s="441">
        <v>9.0899999999999995E-2</v>
      </c>
      <c r="H2165" s="260"/>
      <c r="I2165" s="268">
        <f t="shared" si="20"/>
        <v>7.95</v>
      </c>
      <c r="J2165" s="302"/>
      <c r="K2165" s="302"/>
    </row>
    <row r="2166" spans="1:17" ht="22.5" x14ac:dyDescent="0.2">
      <c r="A2166" s="265" t="str">
        <f>VLOOKUP(B2166,mat.!$A:$D,2,FALSE)</f>
        <v>Suporte em madeira de 1ª qualidade (8x8x320cm)</v>
      </c>
      <c r="B2166" s="238">
        <v>10374</v>
      </c>
      <c r="C2166" s="266" t="str">
        <f>VLOOKUP(B2166,mat.!$A:$D,3,FALSE)</f>
        <v>Ud</v>
      </c>
      <c r="D2166" s="267">
        <f>VLOOKUP(B2166,mat.!$A:$D,4,FALSE)</f>
        <v>45.13</v>
      </c>
      <c r="E2166" s="260"/>
      <c r="F2166" s="258"/>
      <c r="G2166" s="441">
        <v>1</v>
      </c>
      <c r="H2166" s="260"/>
      <c r="I2166" s="268">
        <f t="shared" si="20"/>
        <v>45.13</v>
      </c>
      <c r="J2166" s="302"/>
      <c r="K2166" s="302"/>
    </row>
    <row r="2167" spans="1:17" x14ac:dyDescent="0.2">
      <c r="A2167" s="265" t="str">
        <f>VLOOKUP(B2167,mat.!$A:$D,2,FALSE)</f>
        <v>Tinner comum</v>
      </c>
      <c r="B2167" s="238">
        <v>10372</v>
      </c>
      <c r="C2167" s="266" t="str">
        <f>VLOOKUP(B2167,mat.!$A:$D,3,FALSE)</f>
        <v>L</v>
      </c>
      <c r="D2167" s="267">
        <f>VLOOKUP(B2167,mat.!$A:$D,4,FALSE)</f>
        <v>14.64</v>
      </c>
      <c r="E2167" s="260"/>
      <c r="F2167" s="258"/>
      <c r="G2167" s="441">
        <v>4.9099999999999998E-2</v>
      </c>
      <c r="H2167" s="260"/>
      <c r="I2167" s="268">
        <f t="shared" si="20"/>
        <v>0.71</v>
      </c>
      <c r="J2167" s="302"/>
      <c r="K2167" s="302"/>
    </row>
    <row r="2168" spans="1:17" x14ac:dyDescent="0.2">
      <c r="A2168" s="265" t="str">
        <f>VLOOKUP(B2168,mat.!$A:$D,2,FALSE)</f>
        <v>Tinta acrílica</v>
      </c>
      <c r="B2168" s="238">
        <v>10371</v>
      </c>
      <c r="C2168" s="266" t="str">
        <f>VLOOKUP(B2168,mat.!$A:$D,3,FALSE)</f>
        <v>BD</v>
      </c>
      <c r="D2168" s="267">
        <f>VLOOKUP(B2168,mat.!$A:$D,4,FALSE)</f>
        <v>180.88</v>
      </c>
      <c r="E2168" s="260"/>
      <c r="F2168" s="258"/>
      <c r="G2168" s="441">
        <v>5.1000000000000004E-3</v>
      </c>
      <c r="H2168" s="260"/>
      <c r="I2168" s="268">
        <f t="shared" si="20"/>
        <v>0.92</v>
      </c>
      <c r="J2168" s="302"/>
      <c r="K2168" s="302"/>
    </row>
    <row r="2169" spans="1:17" x14ac:dyDescent="0.2">
      <c r="A2169" s="199"/>
      <c r="B2169" s="233"/>
      <c r="C2169" s="199"/>
      <c r="D2169" s="199"/>
      <c r="E2169" s="199"/>
      <c r="F2169" s="234" t="s">
        <v>212</v>
      </c>
      <c r="G2169" s="244"/>
      <c r="H2169" s="245"/>
      <c r="I2169" s="434">
        <f>SUM(I2159:I2168)</f>
        <v>299.08999999999997</v>
      </c>
      <c r="J2169" s="302"/>
      <c r="K2169" s="302"/>
    </row>
    <row r="2170" spans="1:17" x14ac:dyDescent="0.2">
      <c r="A2170" s="199"/>
      <c r="B2170" s="233"/>
      <c r="C2170" s="199"/>
      <c r="D2170" s="199"/>
      <c r="E2170" s="199"/>
      <c r="F2170" s="199"/>
      <c r="G2170" s="269"/>
      <c r="H2170" s="199"/>
      <c r="I2170" s="200"/>
      <c r="J2170" s="302"/>
      <c r="K2170" s="302"/>
    </row>
    <row r="2171" spans="1:17" x14ac:dyDescent="0.2">
      <c r="A2171" s="270" t="s">
        <v>213</v>
      </c>
      <c r="B2171" s="247" t="s">
        <v>60</v>
      </c>
      <c r="C2171" s="247" t="s">
        <v>211</v>
      </c>
      <c r="D2171" s="866" t="s">
        <v>233</v>
      </c>
      <c r="E2171" s="1276" t="s">
        <v>91</v>
      </c>
      <c r="F2171" s="1274"/>
      <c r="G2171" s="1275"/>
      <c r="H2171" s="1276" t="s">
        <v>198</v>
      </c>
      <c r="I2171" s="1275"/>
      <c r="J2171" s="302"/>
      <c r="K2171" s="302"/>
    </row>
    <row r="2172" spans="1:17" x14ac:dyDescent="0.2">
      <c r="A2172" s="248"/>
      <c r="B2172" s="238"/>
      <c r="C2172" s="238"/>
      <c r="D2172" s="243"/>
      <c r="E2172" s="244"/>
      <c r="F2172" s="258"/>
      <c r="G2172" s="300"/>
      <c r="H2172" s="244"/>
      <c r="I2172" s="268"/>
      <c r="J2172" s="302"/>
      <c r="K2172" s="302"/>
    </row>
    <row r="2173" spans="1:17" x14ac:dyDescent="0.2">
      <c r="A2173" s="201"/>
      <c r="B2173" s="271"/>
      <c r="C2173" s="201"/>
      <c r="D2173" s="201"/>
      <c r="E2173" s="201"/>
      <c r="F2173" s="272" t="s">
        <v>214</v>
      </c>
      <c r="G2173" s="260"/>
      <c r="H2173" s="273"/>
      <c r="I2173" s="436">
        <f>SUM(I2172:I2172)</f>
        <v>0</v>
      </c>
      <c r="J2173" s="302"/>
      <c r="K2173" s="302"/>
    </row>
    <row r="2174" spans="1:17" x14ac:dyDescent="0.2">
      <c r="A2174" s="201"/>
      <c r="B2174" s="271"/>
      <c r="C2174" s="201"/>
      <c r="D2174" s="201"/>
      <c r="E2174" s="201"/>
      <c r="F2174" s="201"/>
      <c r="G2174" s="201"/>
      <c r="H2174" s="201"/>
      <c r="I2174" s="201"/>
      <c r="J2174" s="302"/>
      <c r="K2174" s="302"/>
    </row>
    <row r="2175" spans="1:17" x14ac:dyDescent="0.2">
      <c r="A2175" s="274" t="s">
        <v>215</v>
      </c>
      <c r="B2175" s="275" t="s">
        <v>60</v>
      </c>
      <c r="C2175" s="275" t="s">
        <v>211</v>
      </c>
      <c r="D2175" s="275" t="s">
        <v>216</v>
      </c>
      <c r="E2175" s="275" t="s">
        <v>217</v>
      </c>
      <c r="F2175" s="275" t="s">
        <v>218</v>
      </c>
      <c r="G2175" s="275" t="s">
        <v>96</v>
      </c>
      <c r="H2175" s="275" t="s">
        <v>91</v>
      </c>
      <c r="I2175" s="275" t="s">
        <v>219</v>
      </c>
      <c r="J2175" s="302"/>
      <c r="K2175" s="302"/>
    </row>
    <row r="2176" spans="1:17" x14ac:dyDescent="0.2">
      <c r="A2176" s="248"/>
      <c r="B2176" s="238"/>
      <c r="C2176" s="238"/>
      <c r="D2176" s="276"/>
      <c r="E2176" s="277"/>
      <c r="F2176" s="277"/>
      <c r="G2176" s="243"/>
      <c r="H2176" s="278"/>
      <c r="I2176" s="243"/>
      <c r="J2176" s="302"/>
      <c r="K2176" s="302"/>
    </row>
    <row r="2177" spans="1:17" x14ac:dyDescent="0.2">
      <c r="A2177" s="201"/>
      <c r="B2177" s="271"/>
      <c r="C2177" s="201"/>
      <c r="D2177" s="201"/>
      <c r="E2177" s="201"/>
      <c r="F2177" s="272" t="s">
        <v>220</v>
      </c>
      <c r="G2177" s="244"/>
      <c r="H2177" s="279"/>
      <c r="I2177" s="438">
        <f>SUM(I2176:I2176)</f>
        <v>0</v>
      </c>
    </row>
    <row r="2178" spans="1:17" x14ac:dyDescent="0.2">
      <c r="A2178" s="201"/>
      <c r="B2178" s="271"/>
      <c r="C2178" s="201"/>
      <c r="D2178" s="201"/>
      <c r="E2178" s="201"/>
      <c r="F2178" s="201"/>
      <c r="G2178" s="201"/>
      <c r="H2178" s="201"/>
      <c r="I2178" s="202"/>
    </row>
    <row r="2179" spans="1:17" x14ac:dyDescent="0.2">
      <c r="A2179" s="280"/>
      <c r="B2179" s="281"/>
      <c r="C2179" s="282"/>
      <c r="D2179" s="282"/>
      <c r="E2179" s="282"/>
      <c r="F2179" s="283" t="s">
        <v>221</v>
      </c>
      <c r="G2179" s="280"/>
      <c r="H2179" s="254"/>
      <c r="I2179" s="634">
        <f>+I2156+I2169+I2173+I2177</f>
        <v>449.42</v>
      </c>
    </row>
    <row r="2180" spans="1:17" x14ac:dyDescent="0.2">
      <c r="A2180" s="260"/>
      <c r="B2180" s="284"/>
      <c r="C2180" s="273"/>
      <c r="D2180" s="273"/>
      <c r="E2180" s="273"/>
      <c r="F2180" s="285" t="str">
        <f>CONCATENATE($H$3," ",$I$3)</f>
        <v>BDI: 23,32</v>
      </c>
      <c r="G2180" s="439"/>
      <c r="H2180" s="258"/>
      <c r="I2180" s="635">
        <f>+ROUND(I2179*$I$4,2)</f>
        <v>104.8</v>
      </c>
    </row>
    <row r="2181" spans="1:17" s="198" customFormat="1" x14ac:dyDescent="0.2">
      <c r="A2181" s="244"/>
      <c r="B2181" s="286"/>
      <c r="C2181" s="279"/>
      <c r="D2181" s="279"/>
      <c r="E2181" s="279"/>
      <c r="F2181" s="287" t="s">
        <v>222</v>
      </c>
      <c r="G2181" s="440"/>
      <c r="H2181" s="245"/>
      <c r="I2181" s="1017">
        <f>+I2179+I2180</f>
        <v>554.22</v>
      </c>
      <c r="J2181" s="433"/>
      <c r="K2181" s="433"/>
      <c r="L2181" s="302"/>
      <c r="M2181" s="302"/>
      <c r="N2181" s="302"/>
      <c r="O2181" s="302"/>
      <c r="P2181" s="302"/>
      <c r="Q2181" s="302"/>
    </row>
    <row r="2182" spans="1:17" x14ac:dyDescent="0.2">
      <c r="A2182" s="1277" t="str">
        <f>$A$1</f>
        <v>COMPOSIÇÃO DE CUSTOS UNITÁRIOS</v>
      </c>
      <c r="B2182" s="1277"/>
      <c r="C2182" s="1277"/>
      <c r="D2182" s="1277"/>
      <c r="E2182" s="1277"/>
      <c r="F2182" s="1277"/>
      <c r="G2182" s="1277"/>
      <c r="H2182" s="1277"/>
      <c r="I2182" s="1277"/>
    </row>
    <row r="2183" spans="1:17" x14ac:dyDescent="0.2">
      <c r="A2183" s="232" t="str">
        <f>$A$2</f>
        <v>Tabela Referencial de Preços - DER-ES</v>
      </c>
      <c r="B2183" s="233"/>
      <c r="C2183" s="199"/>
      <c r="D2183" s="199"/>
      <c r="E2183" s="199"/>
      <c r="F2183" s="199"/>
      <c r="G2183" s="199"/>
      <c r="H2183" s="199"/>
      <c r="I2183" s="234" t="str">
        <f>$I$2</f>
        <v>Data Base: Outubro/2018</v>
      </c>
      <c r="J2183" s="433">
        <v>41203</v>
      </c>
      <c r="K2183" s="433">
        <f>VLOOKUP("Preço Unitário Total",F2185:I4243,4,FALSE)</f>
        <v>530.28</v>
      </c>
      <c r="L2183" s="302" t="str">
        <f>VLOOKUP(J2183,'DER 10-18'!A:E,5,FALSE)</f>
        <v>A incluir</v>
      </c>
      <c r="M2183" s="302" t="str">
        <f>VLOOKUP(J2183,'DER 10-18'!$A:$D,2,FALSE)</f>
        <v>Defensa metálica (2 lâminas com espessuras = 3mm) inclusive acessórios, fornecimento e colocação</v>
      </c>
    </row>
    <row r="2184" spans="1:17" x14ac:dyDescent="0.2">
      <c r="A2184" s="1278" t="str">
        <f>+CONCATENATE("Serviço: ",J2183," ",VLOOKUP(J2183,'DER 10-18'!$A:$D,2,FALSE))</f>
        <v>Serviço: 41203 Defensa metálica (2 lâminas com espessuras = 3mm) inclusive acessórios, fornecimento e colocação</v>
      </c>
      <c r="B2184" s="1278"/>
      <c r="C2184" s="1278"/>
      <c r="D2184" s="1278"/>
      <c r="E2184" s="1278"/>
      <c r="F2184" s="1278"/>
      <c r="G2184" s="1278"/>
      <c r="H2184" s="1278"/>
      <c r="I2184" s="1278" t="str">
        <f>CONCATENATE("Unidade: ", VLOOKUP(J2183,'DER 10-18'!$A:$E,3,FALSE))</f>
        <v>Unidade: M</v>
      </c>
    </row>
    <row r="2185" spans="1:17" s="198" customFormat="1" x14ac:dyDescent="0.2">
      <c r="A2185" s="1279"/>
      <c r="B2185" s="1279"/>
      <c r="C2185" s="1279"/>
      <c r="D2185" s="1279"/>
      <c r="E2185" s="1279"/>
      <c r="F2185" s="1279"/>
      <c r="G2185" s="1279"/>
      <c r="H2185" s="1279"/>
      <c r="I2185" s="1279"/>
      <c r="J2185" s="433"/>
      <c r="K2185" s="433"/>
      <c r="L2185" s="302"/>
      <c r="M2185" s="302"/>
      <c r="N2185" s="302"/>
      <c r="O2185" s="302"/>
      <c r="P2185" s="302"/>
      <c r="Q2185" s="302"/>
    </row>
    <row r="2186" spans="1:17" ht="22.5" x14ac:dyDescent="0.2">
      <c r="A2186" s="235" t="s">
        <v>192</v>
      </c>
      <c r="B2186" s="236" t="s">
        <v>60</v>
      </c>
      <c r="C2186" s="236" t="s">
        <v>193</v>
      </c>
      <c r="D2186" s="236" t="s">
        <v>194</v>
      </c>
      <c r="E2186" s="236" t="s">
        <v>195</v>
      </c>
      <c r="F2186" s="236" t="s">
        <v>196</v>
      </c>
      <c r="G2186" s="236" t="s">
        <v>197</v>
      </c>
      <c r="H2186" s="236" t="s">
        <v>91</v>
      </c>
      <c r="I2186" s="236" t="s">
        <v>198</v>
      </c>
    </row>
    <row r="2187" spans="1:17" x14ac:dyDescent="0.2">
      <c r="A2187" s="237"/>
      <c r="B2187" s="238"/>
      <c r="C2187" s="239"/>
      <c r="D2187" s="240"/>
      <c r="E2187" s="205"/>
      <c r="F2187" s="241"/>
      <c r="G2187" s="241"/>
      <c r="H2187" s="242"/>
      <c r="I2187" s="243"/>
    </row>
    <row r="2188" spans="1:17" x14ac:dyDescent="0.2">
      <c r="A2188" s="199"/>
      <c r="B2188" s="233"/>
      <c r="C2188" s="233"/>
      <c r="D2188" s="199"/>
      <c r="E2188" s="199"/>
      <c r="F2188" s="234" t="s">
        <v>199</v>
      </c>
      <c r="G2188" s="244"/>
      <c r="H2188" s="245"/>
      <c r="I2188" s="434">
        <f>SUM(I2187:I2187)</f>
        <v>0</v>
      </c>
    </row>
    <row r="2189" spans="1:17" x14ac:dyDescent="0.2">
      <c r="A2189" s="199"/>
      <c r="B2189" s="233"/>
      <c r="C2189" s="233"/>
      <c r="D2189" s="199"/>
      <c r="E2189" s="199"/>
      <c r="F2189" s="199"/>
      <c r="G2189" s="199"/>
      <c r="H2189" s="199"/>
      <c r="I2189" s="200"/>
    </row>
    <row r="2190" spans="1:17" x14ac:dyDescent="0.2">
      <c r="A2190" s="246" t="s">
        <v>200</v>
      </c>
      <c r="B2190" s="247" t="s">
        <v>60</v>
      </c>
      <c r="C2190" s="236" t="s">
        <v>1242</v>
      </c>
      <c r="D2190" s="247" t="s">
        <v>202</v>
      </c>
      <c r="E2190" s="1271" t="s">
        <v>91</v>
      </c>
      <c r="F2190" s="1272"/>
      <c r="G2190" s="1273"/>
      <c r="H2190" s="1276" t="s">
        <v>198</v>
      </c>
      <c r="I2190" s="1275"/>
    </row>
    <row r="2191" spans="1:17" x14ac:dyDescent="0.2">
      <c r="A2191" s="248" t="str">
        <f>VLOOKUP(B2191,m.o.!$A:$H,2,FALSE)</f>
        <v>Encarregado de pavimentação</v>
      </c>
      <c r="B2191" s="238">
        <v>20065</v>
      </c>
      <c r="C2191" s="243">
        <f>VLOOKUP(B2191,m.o.!$A:$F,4,FALSE)</f>
        <v>2.2599999999999998</v>
      </c>
      <c r="D2191" s="243">
        <f>VLOOKUP(B2191,m.o.!$A:$G,7,FALSE)</f>
        <v>26.3</v>
      </c>
      <c r="E2191" s="260"/>
      <c r="F2191" s="258"/>
      <c r="G2191" s="300">
        <v>1</v>
      </c>
      <c r="H2191" s="244"/>
      <c r="I2191" s="249">
        <f>TRUNC(D2191*G2191,2)</f>
        <v>26.3</v>
      </c>
      <c r="J2191" s="302"/>
      <c r="K2191" s="302"/>
    </row>
    <row r="2192" spans="1:17" x14ac:dyDescent="0.2">
      <c r="A2192" s="248" t="str">
        <f>VLOOKUP(B2192,m.o.!$A:$H,2,FALSE)</f>
        <v>Montador</v>
      </c>
      <c r="B2192" s="238">
        <v>20096</v>
      </c>
      <c r="C2192" s="243">
        <f>VLOOKUP(B2192,m.o.!$A:$F,4,FALSE)</f>
        <v>1.96</v>
      </c>
      <c r="D2192" s="243">
        <f>VLOOKUP(B2192,m.o.!$A:$G,7,FALSE)</f>
        <v>22.81</v>
      </c>
      <c r="E2192" s="260"/>
      <c r="F2192" s="258"/>
      <c r="G2192" s="300">
        <v>1</v>
      </c>
      <c r="H2192" s="244"/>
      <c r="I2192" s="249">
        <f>TRUNC(D2192*G2192,2)</f>
        <v>22.81</v>
      </c>
      <c r="J2192" s="302"/>
      <c r="K2192" s="302"/>
    </row>
    <row r="2193" spans="1:17" x14ac:dyDescent="0.2">
      <c r="A2193" s="248" t="str">
        <f>VLOOKUP(B2193,m.o.!$A:$H,2,FALSE)</f>
        <v>Servente</v>
      </c>
      <c r="B2193" s="238">
        <v>20002</v>
      </c>
      <c r="C2193" s="243">
        <f>VLOOKUP(B2193,m.o.!$A:$F,4,FALSE)</f>
        <v>1</v>
      </c>
      <c r="D2193" s="243">
        <f>VLOOKUP(B2193,m.o.!$A:$G,7,FALSE)</f>
        <v>11.64</v>
      </c>
      <c r="E2193" s="260"/>
      <c r="F2193" s="258"/>
      <c r="G2193" s="300">
        <v>3</v>
      </c>
      <c r="H2193" s="244"/>
      <c r="I2193" s="249">
        <f>TRUNC(D2193*G2193,2)</f>
        <v>34.92</v>
      </c>
      <c r="J2193" s="302"/>
      <c r="K2193" s="302"/>
    </row>
    <row r="2194" spans="1:17" x14ac:dyDescent="0.2">
      <c r="A2194" s="199"/>
      <c r="B2194" s="233"/>
      <c r="C2194" s="233"/>
      <c r="D2194" s="199"/>
      <c r="E2194" s="199"/>
      <c r="F2194" s="234" t="s">
        <v>203</v>
      </c>
      <c r="G2194" s="244"/>
      <c r="H2194" s="245"/>
      <c r="I2194" s="434">
        <f>SUM(I2191:I2193)</f>
        <v>84.03</v>
      </c>
      <c r="J2194" s="302"/>
      <c r="K2194" s="302"/>
    </row>
    <row r="2195" spans="1:17" x14ac:dyDescent="0.2">
      <c r="A2195" s="199"/>
      <c r="B2195" s="233"/>
      <c r="C2195" s="233"/>
      <c r="D2195" s="199"/>
      <c r="E2195" s="199"/>
      <c r="F2195" s="199"/>
      <c r="G2195" s="199"/>
      <c r="H2195" s="199"/>
      <c r="I2195" s="200"/>
      <c r="J2195" s="302"/>
      <c r="K2195" s="302"/>
    </row>
    <row r="2196" spans="1:17" s="198" customFormat="1" x14ac:dyDescent="0.2">
      <c r="A2196" s="250" t="s">
        <v>204</v>
      </c>
      <c r="B2196" s="247" t="s">
        <v>60</v>
      </c>
      <c r="C2196" s="866" t="s">
        <v>17</v>
      </c>
      <c r="D2196" s="247" t="s">
        <v>205</v>
      </c>
      <c r="E2196" s="247" t="s">
        <v>206</v>
      </c>
      <c r="F2196" s="247" t="s">
        <v>207</v>
      </c>
      <c r="G2196" s="1276" t="s">
        <v>96</v>
      </c>
      <c r="H2196" s="1274"/>
      <c r="I2196" s="1275"/>
      <c r="J2196" s="302"/>
      <c r="K2196" s="302"/>
      <c r="L2196" s="302"/>
      <c r="M2196" s="302"/>
      <c r="N2196" s="302"/>
      <c r="O2196" s="302"/>
      <c r="P2196" s="302"/>
      <c r="Q2196" s="302"/>
    </row>
    <row r="2197" spans="1:17" s="198" customFormat="1" x14ac:dyDescent="0.2">
      <c r="A2197" s="248" t="s">
        <v>142</v>
      </c>
      <c r="B2197" s="238">
        <v>2000</v>
      </c>
      <c r="C2197" s="243">
        <v>5</v>
      </c>
      <c r="D2197" s="239" t="s">
        <v>223</v>
      </c>
      <c r="E2197" s="251"/>
      <c r="F2197" s="251"/>
      <c r="G2197" s="244"/>
      <c r="H2197" s="245"/>
      <c r="I2197" s="249">
        <f>TRUNC(C2197/100*I2194,2)</f>
        <v>4.2</v>
      </c>
      <c r="J2197" s="302"/>
      <c r="K2197" s="302"/>
      <c r="L2197" s="302"/>
      <c r="M2197" s="302"/>
      <c r="N2197" s="302"/>
      <c r="O2197" s="302"/>
      <c r="P2197" s="302"/>
      <c r="Q2197" s="302"/>
    </row>
    <row r="2198" spans="1:17" s="198" customFormat="1" x14ac:dyDescent="0.2">
      <c r="A2198" s="199"/>
      <c r="B2198" s="233"/>
      <c r="C2198" s="199"/>
      <c r="D2198" s="199"/>
      <c r="E2198" s="199"/>
      <c r="F2198" s="234" t="s">
        <v>1170</v>
      </c>
      <c r="G2198" s="244"/>
      <c r="H2198" s="245"/>
      <c r="I2198" s="434">
        <f>SUM(I2197)</f>
        <v>4.2</v>
      </c>
      <c r="J2198" s="302"/>
      <c r="K2198" s="302"/>
      <c r="L2198" s="302"/>
      <c r="M2198" s="302"/>
      <c r="N2198" s="302"/>
      <c r="O2198" s="302"/>
      <c r="P2198" s="302"/>
      <c r="Q2198" s="302"/>
    </row>
    <row r="2199" spans="1:17" s="198" customFormat="1" x14ac:dyDescent="0.2">
      <c r="A2199" s="199"/>
      <c r="B2199" s="233"/>
      <c r="C2199" s="199"/>
      <c r="D2199" s="199"/>
      <c r="E2199" s="199"/>
      <c r="F2199" s="199"/>
      <c r="G2199" s="199"/>
      <c r="H2199" s="199"/>
      <c r="I2199" s="200"/>
      <c r="J2199" s="302"/>
      <c r="K2199" s="302"/>
      <c r="L2199" s="302"/>
      <c r="M2199" s="302"/>
      <c r="N2199" s="302"/>
      <c r="O2199" s="302"/>
      <c r="P2199" s="302"/>
      <c r="Q2199" s="302"/>
    </row>
    <row r="2200" spans="1:17" s="198" customFormat="1" x14ac:dyDescent="0.2">
      <c r="A2200" s="252"/>
      <c r="B2200" s="253"/>
      <c r="C2200" s="254"/>
      <c r="D2200" s="254"/>
      <c r="E2200" s="254"/>
      <c r="F2200" s="255" t="s">
        <v>208</v>
      </c>
      <c r="G2200" s="435"/>
      <c r="H2200" s="254"/>
      <c r="I2200" s="634">
        <f>+I2188+I2194+I2198</f>
        <v>88.23</v>
      </c>
      <c r="J2200" s="302"/>
      <c r="K2200" s="302"/>
      <c r="L2200" s="302"/>
      <c r="M2200" s="302"/>
      <c r="N2200" s="302"/>
      <c r="O2200" s="302"/>
      <c r="P2200" s="302"/>
      <c r="Q2200" s="302"/>
    </row>
    <row r="2201" spans="1:17" s="198" customFormat="1" x14ac:dyDescent="0.2">
      <c r="A2201" s="256"/>
      <c r="B2201" s="257"/>
      <c r="C2201" s="258"/>
      <c r="D2201" s="258"/>
      <c r="E2201" s="258"/>
      <c r="F2201" s="259" t="s">
        <v>209</v>
      </c>
      <c r="G2201" s="260"/>
      <c r="H2201" s="258"/>
      <c r="I2201" s="635">
        <v>12</v>
      </c>
      <c r="J2201" s="302"/>
      <c r="K2201" s="302"/>
      <c r="L2201" s="302"/>
      <c r="M2201" s="302"/>
      <c r="N2201" s="302"/>
      <c r="O2201" s="302"/>
      <c r="P2201" s="302"/>
      <c r="Q2201" s="302"/>
    </row>
    <row r="2202" spans="1:17" s="198" customFormat="1" x14ac:dyDescent="0.2">
      <c r="A2202" s="237"/>
      <c r="B2202" s="261"/>
      <c r="C2202" s="245"/>
      <c r="D2202" s="245"/>
      <c r="E2202" s="245"/>
      <c r="F2202" s="262" t="s">
        <v>232</v>
      </c>
      <c r="G2202" s="244"/>
      <c r="H2202" s="245"/>
      <c r="I2202" s="633">
        <f>TRUNC(I2200/I2201,2)</f>
        <v>7.35</v>
      </c>
      <c r="J2202" s="302"/>
      <c r="K2202" s="302"/>
      <c r="L2202" s="302"/>
      <c r="M2202" s="302"/>
      <c r="N2202" s="302"/>
      <c r="O2202" s="302"/>
      <c r="P2202" s="302"/>
      <c r="Q2202" s="302"/>
    </row>
    <row r="2203" spans="1:17" s="198" customFormat="1" x14ac:dyDescent="0.2">
      <c r="A2203" s="867"/>
      <c r="B2203" s="233"/>
      <c r="C2203" s="199"/>
      <c r="D2203" s="199"/>
      <c r="E2203" s="199"/>
      <c r="F2203" s="263"/>
      <c r="G2203" s="199"/>
      <c r="H2203" s="199"/>
      <c r="I2203" s="264"/>
      <c r="J2203" s="302"/>
      <c r="K2203" s="302"/>
      <c r="L2203" s="302"/>
      <c r="M2203" s="302"/>
      <c r="N2203" s="302"/>
      <c r="O2203" s="302"/>
      <c r="P2203" s="302"/>
      <c r="Q2203" s="302"/>
    </row>
    <row r="2204" spans="1:17" s="198" customFormat="1" x14ac:dyDescent="0.2">
      <c r="A2204" s="246" t="s">
        <v>210</v>
      </c>
      <c r="B2204" s="247" t="s">
        <v>60</v>
      </c>
      <c r="C2204" s="247" t="s">
        <v>211</v>
      </c>
      <c r="D2204" s="247" t="s">
        <v>233</v>
      </c>
      <c r="E2204" s="1276" t="s">
        <v>91</v>
      </c>
      <c r="F2204" s="1274"/>
      <c r="G2204" s="1275"/>
      <c r="H2204" s="1276" t="s">
        <v>198</v>
      </c>
      <c r="I2204" s="1275"/>
      <c r="J2204" s="302"/>
      <c r="K2204" s="302"/>
      <c r="L2204" s="302"/>
      <c r="M2204" s="302"/>
      <c r="N2204" s="302"/>
      <c r="O2204" s="302"/>
      <c r="P2204" s="302"/>
      <c r="Q2204" s="302"/>
    </row>
    <row r="2205" spans="1:17" s="198" customFormat="1" ht="22.5" x14ac:dyDescent="0.2">
      <c r="A2205" s="265" t="str">
        <f>VLOOKUP(B2205,mat.!$A:$D,2,FALSE)</f>
        <v>Defensa (lâmina 4 m, espessura = 3 mm) - semi maleável</v>
      </c>
      <c r="B2205" s="238">
        <v>10342</v>
      </c>
      <c r="C2205" s="266" t="str">
        <f>VLOOKUP(B2205,mat.!$A:$D,3,FALSE)</f>
        <v>M</v>
      </c>
      <c r="D2205" s="267">
        <f>VLOOKUP(B2205,mat.!$A:$D,4,FALSE)</f>
        <v>208</v>
      </c>
      <c r="E2205" s="260"/>
      <c r="F2205" s="258"/>
      <c r="G2205" s="300">
        <v>2</v>
      </c>
      <c r="H2205" s="260"/>
      <c r="I2205" s="268">
        <f>TRUNC(D2205*G2205,2)</f>
        <v>416</v>
      </c>
      <c r="J2205" s="302"/>
      <c r="K2205" s="302"/>
      <c r="L2205" s="302"/>
      <c r="M2205" s="302"/>
      <c r="N2205" s="302"/>
      <c r="O2205" s="302"/>
      <c r="P2205" s="302"/>
      <c r="Q2205" s="302"/>
    </row>
    <row r="2206" spans="1:17" s="198" customFormat="1" x14ac:dyDescent="0.2">
      <c r="A2206" s="199"/>
      <c r="B2206" s="233"/>
      <c r="C2206" s="199"/>
      <c r="D2206" s="199"/>
      <c r="E2206" s="199"/>
      <c r="F2206" s="234" t="s">
        <v>212</v>
      </c>
      <c r="G2206" s="244"/>
      <c r="H2206" s="245"/>
      <c r="I2206" s="434">
        <f>SUM(I2205:I2205)</f>
        <v>416</v>
      </c>
      <c r="J2206" s="302"/>
      <c r="K2206" s="302"/>
      <c r="L2206" s="302"/>
      <c r="M2206" s="302"/>
      <c r="N2206" s="302"/>
      <c r="O2206" s="302"/>
      <c r="P2206" s="302"/>
      <c r="Q2206" s="302"/>
    </row>
    <row r="2207" spans="1:17" s="198" customFormat="1" x14ac:dyDescent="0.2">
      <c r="A2207" s="199"/>
      <c r="B2207" s="233"/>
      <c r="C2207" s="199"/>
      <c r="D2207" s="199"/>
      <c r="E2207" s="199"/>
      <c r="F2207" s="199"/>
      <c r="G2207" s="269"/>
      <c r="H2207" s="199"/>
      <c r="I2207" s="200"/>
      <c r="J2207" s="302"/>
      <c r="K2207" s="302"/>
      <c r="L2207" s="302"/>
      <c r="M2207" s="302"/>
      <c r="N2207" s="302"/>
      <c r="O2207" s="302"/>
      <c r="P2207" s="302"/>
      <c r="Q2207" s="302"/>
    </row>
    <row r="2208" spans="1:17" s="198" customFormat="1" x14ac:dyDescent="0.2">
      <c r="A2208" s="270" t="s">
        <v>213</v>
      </c>
      <c r="B2208" s="247" t="s">
        <v>60</v>
      </c>
      <c r="C2208" s="247" t="s">
        <v>211</v>
      </c>
      <c r="D2208" s="866" t="s">
        <v>233</v>
      </c>
      <c r="E2208" s="1271" t="s">
        <v>91</v>
      </c>
      <c r="F2208" s="1272"/>
      <c r="G2208" s="1273"/>
      <c r="H2208" s="1274" t="s">
        <v>198</v>
      </c>
      <c r="I2208" s="1275"/>
      <c r="J2208" s="433"/>
      <c r="K2208" s="433"/>
      <c r="L2208" s="302"/>
      <c r="M2208" s="302"/>
      <c r="N2208" s="302"/>
      <c r="O2208" s="302"/>
      <c r="P2208" s="302"/>
      <c r="Q2208" s="302"/>
    </row>
    <row r="2209" spans="1:17" s="198" customFormat="1" ht="33.75" x14ac:dyDescent="0.2">
      <c r="A2209" s="248" t="str">
        <f>VLOOKUP(B2209,'DER 10-18'!$A:$E,2,FALSE)</f>
        <v>Escavação manual furos, valetas mat. 1ª cat. H= 0,00 a 1,50 m (dim. reduz.)</v>
      </c>
      <c r="B2209" s="238">
        <v>40256</v>
      </c>
      <c r="C2209" s="238" t="str">
        <f>VLOOKUP(B2209,'DER 10-18'!$A:$E,3,FALSE)</f>
        <v>M3</v>
      </c>
      <c r="D2209" s="454">
        <f>TRUNC(VLOOKUP(B2209,'DER 10-18'!$A:$F,6,FALSE)/(1+$I$4),2)</f>
        <v>77.53</v>
      </c>
      <c r="E2209" s="260"/>
      <c r="F2209" s="258"/>
      <c r="G2209" s="300">
        <v>0.05</v>
      </c>
      <c r="H2209" s="244"/>
      <c r="I2209" s="268">
        <f>TRUNC(D2209*G2209,2)</f>
        <v>3.87</v>
      </c>
      <c r="J2209" s="433"/>
      <c r="K2209" s="433"/>
      <c r="L2209" s="302"/>
      <c r="M2209" s="302"/>
      <c r="N2209" s="302"/>
      <c r="O2209" s="302"/>
      <c r="P2209" s="302"/>
      <c r="Q2209" s="302"/>
    </row>
    <row r="2210" spans="1:17" s="198" customFormat="1" x14ac:dyDescent="0.2">
      <c r="A2210" s="201"/>
      <c r="B2210" s="271"/>
      <c r="C2210" s="201"/>
      <c r="D2210" s="201"/>
      <c r="E2210" s="201"/>
      <c r="F2210" s="272" t="s">
        <v>214</v>
      </c>
      <c r="G2210" s="260"/>
      <c r="H2210" s="273"/>
      <c r="I2210" s="436">
        <f>SUM(I2209:I2209)</f>
        <v>3.87</v>
      </c>
      <c r="J2210" s="433"/>
      <c r="K2210" s="433"/>
      <c r="L2210" s="302"/>
      <c r="M2210" s="302"/>
      <c r="N2210" s="302"/>
      <c r="O2210" s="302"/>
      <c r="P2210" s="302"/>
      <c r="Q2210" s="302"/>
    </row>
    <row r="2211" spans="1:17" s="198" customFormat="1" x14ac:dyDescent="0.2">
      <c r="A2211" s="201"/>
      <c r="B2211" s="271"/>
      <c r="C2211" s="201"/>
      <c r="D2211" s="201"/>
      <c r="E2211" s="201"/>
      <c r="F2211" s="201"/>
      <c r="G2211" s="201"/>
      <c r="H2211" s="201"/>
      <c r="I2211" s="201"/>
      <c r="J2211" s="433"/>
      <c r="K2211" s="433"/>
      <c r="L2211" s="302"/>
      <c r="M2211" s="302"/>
      <c r="N2211" s="302"/>
      <c r="O2211" s="302"/>
      <c r="P2211" s="302"/>
      <c r="Q2211" s="302"/>
    </row>
    <row r="2212" spans="1:17" s="198" customFormat="1" x14ac:dyDescent="0.2">
      <c r="A2212" s="274" t="s">
        <v>215</v>
      </c>
      <c r="B2212" s="275" t="s">
        <v>60</v>
      </c>
      <c r="C2212" s="275" t="s">
        <v>211</v>
      </c>
      <c r="D2212" s="275" t="s">
        <v>216</v>
      </c>
      <c r="E2212" s="275" t="s">
        <v>217</v>
      </c>
      <c r="F2212" s="275" t="s">
        <v>218</v>
      </c>
      <c r="G2212" s="275" t="s">
        <v>96</v>
      </c>
      <c r="H2212" s="275" t="s">
        <v>91</v>
      </c>
      <c r="I2212" s="275" t="s">
        <v>219</v>
      </c>
      <c r="J2212" s="433" t="s">
        <v>122</v>
      </c>
      <c r="K2212" s="302"/>
      <c r="L2212" s="302"/>
      <c r="M2212" s="302"/>
      <c r="N2212" s="302"/>
      <c r="O2212" s="302"/>
      <c r="P2212" s="302"/>
      <c r="Q2212" s="302"/>
    </row>
    <row r="2213" spans="1:17" s="198" customFormat="1" ht="22.5" x14ac:dyDescent="0.2">
      <c r="A2213" s="265" t="str">
        <f>VLOOKUP(B2213,tranp.!A:D,2,FALSE)</f>
        <v>Transp. de Defensa (lâmina 4 m) - semi maleável</v>
      </c>
      <c r="B2213" s="238">
        <v>1091</v>
      </c>
      <c r="C2213" s="238" t="str">
        <f>VLOOKUP(B2213,tranp.!$A:$J,3,FALSE)</f>
        <v xml:space="preserve"> t  </v>
      </c>
      <c r="D2213" s="437" t="str">
        <f>VLOOKUP(B2213,tranp.!$A:$J,4,FALSE)</f>
        <v>0,676XP + 0,703XR</v>
      </c>
      <c r="E2213" s="277">
        <f>VLOOKUP(J2212,Ocor.!$B:$F,4,FALSE)</f>
        <v>159</v>
      </c>
      <c r="F2213" s="277">
        <f>VLOOKUP(J2212,Ocor.!$B:$F,5,FALSE)</f>
        <v>5.6</v>
      </c>
      <c r="G2213" s="243">
        <f>TRUNC(VLOOKUP(B2213,tranp.!$A:$J,5,FALSE)*E2213+VLOOKUP(B2213,tranp.!$A:$J,6,FALSE)*F2213+VLOOKUP(B2213,tranp.!$A:$J,7,FALSE),2)</f>
        <v>111.42</v>
      </c>
      <c r="H2213" s="278">
        <v>2.5000000000000001E-2</v>
      </c>
      <c r="I2213" s="243">
        <f>TRUNC(G2213*H2213,2)</f>
        <v>2.78</v>
      </c>
      <c r="J2213" s="433" t="s">
        <v>122</v>
      </c>
      <c r="K2213" s="302"/>
      <c r="L2213" s="302"/>
      <c r="M2213" s="302"/>
      <c r="N2213" s="302"/>
      <c r="O2213" s="302"/>
      <c r="P2213" s="302"/>
      <c r="Q2213" s="302"/>
    </row>
    <row r="2214" spans="1:17" s="198" customFormat="1" x14ac:dyDescent="0.2">
      <c r="A2214" s="201"/>
      <c r="B2214" s="271"/>
      <c r="C2214" s="201"/>
      <c r="D2214" s="201"/>
      <c r="E2214" s="201"/>
      <c r="F2214" s="272" t="s">
        <v>220</v>
      </c>
      <c r="G2214" s="244"/>
      <c r="H2214" s="279"/>
      <c r="I2214" s="438">
        <f>SUM(I2213:I2213)</f>
        <v>2.78</v>
      </c>
      <c r="J2214" s="433"/>
      <c r="K2214" s="433"/>
      <c r="L2214" s="302"/>
      <c r="M2214" s="302"/>
      <c r="N2214" s="302"/>
      <c r="O2214" s="302"/>
      <c r="P2214" s="302"/>
      <c r="Q2214" s="302"/>
    </row>
    <row r="2215" spans="1:17" s="198" customFormat="1" x14ac:dyDescent="0.2">
      <c r="A2215" s="201"/>
      <c r="B2215" s="271"/>
      <c r="C2215" s="201"/>
      <c r="D2215" s="201"/>
      <c r="E2215" s="201"/>
      <c r="F2215" s="201"/>
      <c r="G2215" s="201"/>
      <c r="H2215" s="201"/>
      <c r="I2215" s="202"/>
      <c r="J2215" s="433"/>
      <c r="K2215" s="433"/>
      <c r="L2215" s="302"/>
      <c r="M2215" s="302"/>
      <c r="N2215" s="302"/>
      <c r="O2215" s="302"/>
      <c r="P2215" s="302"/>
      <c r="Q2215" s="302"/>
    </row>
    <row r="2216" spans="1:17" s="198" customFormat="1" x14ac:dyDescent="0.2">
      <c r="A2216" s="280"/>
      <c r="B2216" s="281"/>
      <c r="C2216" s="282"/>
      <c r="D2216" s="282"/>
      <c r="E2216" s="282"/>
      <c r="F2216" s="283" t="s">
        <v>221</v>
      </c>
      <c r="G2216" s="280"/>
      <c r="H2216" s="254"/>
      <c r="I2216" s="634">
        <f>+I2202+I2206+I2210+I2214</f>
        <v>430</v>
      </c>
      <c r="J2216" s="433"/>
      <c r="K2216" s="433"/>
      <c r="L2216" s="302"/>
      <c r="M2216" s="302"/>
      <c r="N2216" s="302"/>
      <c r="O2216" s="302"/>
      <c r="P2216" s="302"/>
      <c r="Q2216" s="302"/>
    </row>
    <row r="2217" spans="1:17" s="198" customFormat="1" x14ac:dyDescent="0.2">
      <c r="A2217" s="260"/>
      <c r="B2217" s="284"/>
      <c r="C2217" s="273"/>
      <c r="D2217" s="273"/>
      <c r="E2217" s="273"/>
      <c r="F2217" s="285" t="str">
        <f>CONCATENATE($H$3," ",$I$3)</f>
        <v>BDI: 23,32</v>
      </c>
      <c r="G2217" s="439"/>
      <c r="H2217" s="258"/>
      <c r="I2217" s="635">
        <f>+ROUND(I2216*$I$4,2)</f>
        <v>100.28</v>
      </c>
      <c r="J2217" s="433"/>
      <c r="K2217" s="433"/>
      <c r="L2217" s="302"/>
      <c r="M2217" s="302"/>
      <c r="N2217" s="302"/>
      <c r="O2217" s="302"/>
      <c r="P2217" s="302"/>
      <c r="Q2217" s="302"/>
    </row>
    <row r="2218" spans="1:17" s="198" customFormat="1" x14ac:dyDescent="0.2">
      <c r="A2218" s="244"/>
      <c r="B2218" s="286"/>
      <c r="C2218" s="279"/>
      <c r="D2218" s="279"/>
      <c r="E2218" s="279"/>
      <c r="F2218" s="287" t="s">
        <v>222</v>
      </c>
      <c r="G2218" s="440"/>
      <c r="H2218" s="245"/>
      <c r="I2218" s="1017">
        <f>+I2216+I2217</f>
        <v>530.28</v>
      </c>
      <c r="J2218" s="433"/>
      <c r="K2218" s="433"/>
      <c r="L2218" s="302"/>
      <c r="M2218" s="302"/>
      <c r="N2218" s="302"/>
      <c r="O2218" s="302"/>
      <c r="P2218" s="302"/>
      <c r="Q2218" s="302"/>
    </row>
    <row r="2219" spans="1:17" s="198" customFormat="1" x14ac:dyDescent="0.2">
      <c r="A2219" s="1277" t="str">
        <f>$A$1</f>
        <v>COMPOSIÇÃO DE CUSTOS UNITÁRIOS</v>
      </c>
      <c r="B2219" s="1277"/>
      <c r="C2219" s="1277"/>
      <c r="D2219" s="1277"/>
      <c r="E2219" s="1277"/>
      <c r="F2219" s="1277"/>
      <c r="G2219" s="1277"/>
      <c r="H2219" s="1277"/>
      <c r="I2219" s="1277"/>
      <c r="J2219" s="433"/>
      <c r="K2219" s="433"/>
      <c r="L2219" s="302"/>
      <c r="M2219" s="302"/>
      <c r="N2219" s="302"/>
      <c r="O2219" s="302"/>
      <c r="P2219" s="302"/>
      <c r="Q2219" s="302"/>
    </row>
    <row r="2220" spans="1:17" s="198" customFormat="1" x14ac:dyDescent="0.2">
      <c r="A2220" s="232" t="str">
        <f>$A$2</f>
        <v>Tabela Referencial de Preços - DER-ES</v>
      </c>
      <c r="B2220" s="233"/>
      <c r="C2220" s="199"/>
      <c r="D2220" s="199"/>
      <c r="E2220" s="199"/>
      <c r="F2220" s="199"/>
      <c r="G2220" s="199"/>
      <c r="H2220" s="199"/>
      <c r="I2220" s="234" t="str">
        <f>$I$2</f>
        <v>Data Base: Outubro/2018</v>
      </c>
      <c r="J2220" s="433">
        <v>42046</v>
      </c>
      <c r="K2220" s="433">
        <f>VLOOKUP("Preço Unitário Total",F2222:I4208,4,FALSE)</f>
        <v>90.05</v>
      </c>
      <c r="L2220" s="302">
        <f>VLOOKUP(J2220,'DER 10-18'!A:E,5,FALSE)</f>
        <v>0</v>
      </c>
      <c r="M2220" s="302" t="str">
        <f>VLOOKUP(J2220,'DER 10-18'!$A:$D,2,FALSE)</f>
        <v>Cones para sinalização, fornecimento e colocação</v>
      </c>
      <c r="N2220" s="302"/>
      <c r="O2220" s="302"/>
      <c r="P2220" s="302"/>
      <c r="Q2220" s="302"/>
    </row>
    <row r="2221" spans="1:17" s="198" customFormat="1" x14ac:dyDescent="0.2">
      <c r="A2221" s="1278" t="str">
        <f>+CONCATENATE("Serviço: ",J2220," ",VLOOKUP(J2220,'DER 10-18'!$A:$D,2,FALSE))</f>
        <v>Serviço: 42046 Cones para sinalização, fornecimento e colocação</v>
      </c>
      <c r="B2221" s="1278"/>
      <c r="C2221" s="1278"/>
      <c r="D2221" s="1278"/>
      <c r="E2221" s="1278"/>
      <c r="F2221" s="1278"/>
      <c r="G2221" s="1278"/>
      <c r="H2221" s="1278"/>
      <c r="I2221" s="1278" t="str">
        <f>CONCATENATE("Unidade: ", VLOOKUP(J2220,'DER 10-18'!$A:$E,3,FALSE))</f>
        <v>Unidade: Ud</v>
      </c>
      <c r="J2221" s="433"/>
      <c r="K2221" s="433"/>
      <c r="L2221" s="302"/>
      <c r="M2221" s="302"/>
      <c r="N2221" s="302"/>
      <c r="O2221" s="302"/>
      <c r="P2221" s="302"/>
      <c r="Q2221" s="302"/>
    </row>
    <row r="2222" spans="1:17" s="198" customFormat="1" x14ac:dyDescent="0.2">
      <c r="A2222" s="1279"/>
      <c r="B2222" s="1279"/>
      <c r="C2222" s="1279"/>
      <c r="D2222" s="1279"/>
      <c r="E2222" s="1279"/>
      <c r="F2222" s="1279"/>
      <c r="G2222" s="1279"/>
      <c r="H2222" s="1279"/>
      <c r="I2222" s="1279"/>
      <c r="J2222" s="433"/>
      <c r="K2222" s="433"/>
      <c r="L2222" s="302"/>
      <c r="M2222" s="302"/>
      <c r="N2222" s="302"/>
      <c r="O2222" s="302"/>
      <c r="P2222" s="302"/>
      <c r="Q2222" s="302"/>
    </row>
    <row r="2223" spans="1:17" s="198" customFormat="1" ht="22.5" x14ac:dyDescent="0.2">
      <c r="A2223" s="235" t="s">
        <v>192</v>
      </c>
      <c r="B2223" s="236" t="s">
        <v>60</v>
      </c>
      <c r="C2223" s="236" t="s">
        <v>193</v>
      </c>
      <c r="D2223" s="236" t="s">
        <v>194</v>
      </c>
      <c r="E2223" s="236" t="s">
        <v>195</v>
      </c>
      <c r="F2223" s="236" t="s">
        <v>196</v>
      </c>
      <c r="G2223" s="236" t="s">
        <v>197</v>
      </c>
      <c r="H2223" s="236" t="s">
        <v>91</v>
      </c>
      <c r="I2223" s="236" t="s">
        <v>198</v>
      </c>
      <c r="J2223" s="433"/>
      <c r="K2223" s="433"/>
      <c r="L2223" s="302"/>
      <c r="M2223" s="302"/>
      <c r="N2223" s="302"/>
      <c r="O2223" s="302"/>
      <c r="P2223" s="302"/>
      <c r="Q2223" s="302"/>
    </row>
    <row r="2224" spans="1:17" s="198" customFormat="1" x14ac:dyDescent="0.2">
      <c r="A2224" s="237"/>
      <c r="B2224" s="238"/>
      <c r="C2224" s="239"/>
      <c r="D2224" s="240"/>
      <c r="E2224" s="205"/>
      <c r="F2224" s="241"/>
      <c r="G2224" s="241"/>
      <c r="H2224" s="242"/>
      <c r="I2224" s="243"/>
      <c r="J2224" s="433"/>
      <c r="K2224" s="433"/>
      <c r="L2224" s="302"/>
      <c r="M2224" s="302"/>
      <c r="N2224" s="302"/>
      <c r="O2224" s="302"/>
      <c r="P2224" s="302"/>
      <c r="Q2224" s="302"/>
    </row>
    <row r="2225" spans="1:17" s="198" customFormat="1" x14ac:dyDescent="0.2">
      <c r="A2225" s="199"/>
      <c r="B2225" s="233"/>
      <c r="C2225" s="233"/>
      <c r="D2225" s="199"/>
      <c r="E2225" s="199"/>
      <c r="F2225" s="234" t="s">
        <v>199</v>
      </c>
      <c r="G2225" s="244"/>
      <c r="H2225" s="245"/>
      <c r="I2225" s="434">
        <f>SUM(I2224:I2224)</f>
        <v>0</v>
      </c>
      <c r="J2225" s="433"/>
      <c r="K2225" s="433"/>
      <c r="L2225" s="302"/>
      <c r="M2225" s="302"/>
      <c r="N2225" s="302"/>
      <c r="O2225" s="302"/>
      <c r="P2225" s="302"/>
      <c r="Q2225" s="302"/>
    </row>
    <row r="2226" spans="1:17" s="198" customFormat="1" x14ac:dyDescent="0.2">
      <c r="A2226" s="199"/>
      <c r="B2226" s="233"/>
      <c r="C2226" s="233"/>
      <c r="D2226" s="199"/>
      <c r="E2226" s="199"/>
      <c r="F2226" s="199"/>
      <c r="G2226" s="199"/>
      <c r="H2226" s="199"/>
      <c r="I2226" s="200"/>
      <c r="J2226" s="433"/>
      <c r="K2226" s="433"/>
      <c r="L2226" s="302"/>
      <c r="M2226" s="302"/>
      <c r="N2226" s="302"/>
      <c r="O2226" s="302"/>
      <c r="P2226" s="302"/>
      <c r="Q2226" s="302"/>
    </row>
    <row r="2227" spans="1:17" s="198" customFormat="1" x14ac:dyDescent="0.2">
      <c r="A2227" s="246" t="s">
        <v>200</v>
      </c>
      <c r="B2227" s="247" t="s">
        <v>60</v>
      </c>
      <c r="C2227" s="236" t="s">
        <v>1242</v>
      </c>
      <c r="D2227" s="247" t="s">
        <v>202</v>
      </c>
      <c r="E2227" s="1276" t="s">
        <v>91</v>
      </c>
      <c r="F2227" s="1274"/>
      <c r="G2227" s="1275"/>
      <c r="H2227" s="1276" t="s">
        <v>198</v>
      </c>
      <c r="I2227" s="1275"/>
      <c r="J2227" s="433"/>
      <c r="K2227" s="433"/>
      <c r="L2227" s="302"/>
      <c r="M2227" s="302"/>
      <c r="N2227" s="302"/>
      <c r="O2227" s="302"/>
      <c r="P2227" s="302"/>
      <c r="Q2227" s="302"/>
    </row>
    <row r="2228" spans="1:17" s="198" customFormat="1" x14ac:dyDescent="0.2">
      <c r="A2228" s="248" t="str">
        <f>VLOOKUP(B2228,m.o.!$A:$H,2,FALSE)</f>
        <v>Servente</v>
      </c>
      <c r="B2228" s="238">
        <v>20002</v>
      </c>
      <c r="C2228" s="243">
        <f>VLOOKUP(B2228,m.o.!$A:$F,4,FALSE)</f>
        <v>1</v>
      </c>
      <c r="D2228" s="243">
        <f>VLOOKUP(B2228,m.o.!$A:$G,7,FALSE)</f>
        <v>11.64</v>
      </c>
      <c r="E2228" s="244"/>
      <c r="F2228" s="258"/>
      <c r="G2228" s="300">
        <v>1</v>
      </c>
      <c r="H2228" s="244"/>
      <c r="I2228" s="249">
        <f>TRUNC(D2228*G2228,2)</f>
        <v>11.64</v>
      </c>
      <c r="J2228" s="433"/>
      <c r="K2228" s="433"/>
      <c r="L2228" s="302"/>
      <c r="M2228" s="302"/>
      <c r="N2228" s="302"/>
      <c r="O2228" s="302"/>
      <c r="P2228" s="302"/>
      <c r="Q2228" s="302"/>
    </row>
    <row r="2229" spans="1:17" s="198" customFormat="1" x14ac:dyDescent="0.2">
      <c r="A2229" s="199"/>
      <c r="B2229" s="233"/>
      <c r="C2229" s="233"/>
      <c r="D2229" s="199"/>
      <c r="E2229" s="199"/>
      <c r="F2229" s="234" t="s">
        <v>203</v>
      </c>
      <c r="G2229" s="244"/>
      <c r="H2229" s="245"/>
      <c r="I2229" s="434">
        <f>SUM(I2228:I2228)</f>
        <v>11.64</v>
      </c>
      <c r="J2229" s="302"/>
      <c r="K2229" s="302"/>
      <c r="L2229" s="302"/>
      <c r="M2229" s="302"/>
      <c r="N2229" s="302"/>
      <c r="O2229" s="302"/>
      <c r="P2229" s="302"/>
      <c r="Q2229" s="302"/>
    </row>
    <row r="2230" spans="1:17" s="198" customFormat="1" x14ac:dyDescent="0.2">
      <c r="A2230" s="199"/>
      <c r="B2230" s="233"/>
      <c r="C2230" s="233"/>
      <c r="D2230" s="199"/>
      <c r="E2230" s="199"/>
      <c r="F2230" s="199"/>
      <c r="G2230" s="199"/>
      <c r="H2230" s="199"/>
      <c r="I2230" s="200"/>
      <c r="J2230" s="302"/>
      <c r="K2230" s="302"/>
      <c r="L2230" s="302"/>
      <c r="M2230" s="302"/>
      <c r="N2230" s="302"/>
      <c r="O2230" s="302"/>
      <c r="P2230" s="302"/>
      <c r="Q2230" s="302"/>
    </row>
    <row r="2231" spans="1:17" s="198" customFormat="1" x14ac:dyDescent="0.2">
      <c r="A2231" s="250" t="s">
        <v>204</v>
      </c>
      <c r="B2231" s="247" t="s">
        <v>60</v>
      </c>
      <c r="C2231" s="866" t="s">
        <v>17</v>
      </c>
      <c r="D2231" s="247" t="s">
        <v>205</v>
      </c>
      <c r="E2231" s="247" t="s">
        <v>206</v>
      </c>
      <c r="F2231" s="247" t="s">
        <v>207</v>
      </c>
      <c r="G2231" s="1276" t="s">
        <v>96</v>
      </c>
      <c r="H2231" s="1274"/>
      <c r="I2231" s="1275"/>
      <c r="J2231" s="302"/>
      <c r="K2231" s="302"/>
      <c r="L2231" s="302"/>
      <c r="M2231" s="302"/>
      <c r="N2231" s="302"/>
      <c r="O2231" s="302"/>
      <c r="P2231" s="302"/>
      <c r="Q2231" s="302"/>
    </row>
    <row r="2232" spans="1:17" s="198" customFormat="1" x14ac:dyDescent="0.2">
      <c r="A2232" s="248"/>
      <c r="B2232" s="238"/>
      <c r="C2232" s="243"/>
      <c r="D2232" s="239"/>
      <c r="E2232" s="251"/>
      <c r="F2232" s="251"/>
      <c r="G2232" s="244"/>
      <c r="H2232" s="245"/>
      <c r="I2232" s="249"/>
      <c r="J2232" s="302"/>
      <c r="K2232" s="302"/>
      <c r="L2232" s="302"/>
      <c r="M2232" s="302"/>
      <c r="N2232" s="302"/>
      <c r="O2232" s="302"/>
      <c r="P2232" s="302"/>
      <c r="Q2232" s="302"/>
    </row>
    <row r="2233" spans="1:17" s="198" customFormat="1" x14ac:dyDescent="0.2">
      <c r="A2233" s="199"/>
      <c r="B2233" s="233"/>
      <c r="C2233" s="199"/>
      <c r="D2233" s="199"/>
      <c r="E2233" s="199"/>
      <c r="F2233" s="234" t="s">
        <v>1170</v>
      </c>
      <c r="G2233" s="244"/>
      <c r="H2233" s="245"/>
      <c r="I2233" s="434">
        <f>SUM(I2232)</f>
        <v>0</v>
      </c>
      <c r="J2233" s="302"/>
      <c r="K2233" s="302"/>
      <c r="L2233" s="302"/>
      <c r="M2233" s="302"/>
      <c r="N2233" s="302"/>
      <c r="O2233" s="302"/>
      <c r="P2233" s="302"/>
      <c r="Q2233" s="302"/>
    </row>
    <row r="2234" spans="1:17" s="198" customFormat="1" x14ac:dyDescent="0.2">
      <c r="A2234" s="199"/>
      <c r="B2234" s="233"/>
      <c r="C2234" s="199"/>
      <c r="D2234" s="199"/>
      <c r="E2234" s="199"/>
      <c r="F2234" s="199"/>
      <c r="G2234" s="199"/>
      <c r="H2234" s="199"/>
      <c r="I2234" s="200"/>
      <c r="J2234" s="302"/>
      <c r="K2234" s="302"/>
      <c r="L2234" s="302"/>
      <c r="M2234" s="302"/>
      <c r="N2234" s="302"/>
      <c r="O2234" s="302"/>
      <c r="P2234" s="302"/>
      <c r="Q2234" s="302"/>
    </row>
    <row r="2235" spans="1:17" s="198" customFormat="1" x14ac:dyDescent="0.2">
      <c r="A2235" s="252"/>
      <c r="B2235" s="253"/>
      <c r="C2235" s="254"/>
      <c r="D2235" s="254"/>
      <c r="E2235" s="254"/>
      <c r="F2235" s="255" t="s">
        <v>208</v>
      </c>
      <c r="G2235" s="435"/>
      <c r="H2235" s="254"/>
      <c r="I2235" s="634">
        <f>+I2225+I2229+I2233</f>
        <v>11.64</v>
      </c>
      <c r="J2235" s="302"/>
      <c r="K2235" s="302"/>
      <c r="L2235" s="302"/>
      <c r="M2235" s="302"/>
      <c r="N2235" s="302"/>
      <c r="O2235" s="302"/>
      <c r="P2235" s="302"/>
      <c r="Q2235" s="302"/>
    </row>
    <row r="2236" spans="1:17" s="198" customFormat="1" x14ac:dyDescent="0.2">
      <c r="A2236" s="256"/>
      <c r="B2236" s="257"/>
      <c r="C2236" s="258"/>
      <c r="D2236" s="258"/>
      <c r="E2236" s="258"/>
      <c r="F2236" s="259" t="s">
        <v>209</v>
      </c>
      <c r="G2236" s="260"/>
      <c r="H2236" s="258"/>
      <c r="I2236" s="635">
        <v>40</v>
      </c>
      <c r="J2236" s="302"/>
      <c r="K2236" s="302"/>
      <c r="L2236" s="302"/>
      <c r="M2236" s="302"/>
      <c r="N2236" s="302"/>
      <c r="O2236" s="302"/>
      <c r="P2236" s="302"/>
      <c r="Q2236" s="302"/>
    </row>
    <row r="2237" spans="1:17" s="198" customFormat="1" x14ac:dyDescent="0.2">
      <c r="A2237" s="237"/>
      <c r="B2237" s="261"/>
      <c r="C2237" s="245"/>
      <c r="D2237" s="245"/>
      <c r="E2237" s="245"/>
      <c r="F2237" s="262" t="s">
        <v>232</v>
      </c>
      <c r="G2237" s="244"/>
      <c r="H2237" s="245"/>
      <c r="I2237" s="633">
        <f>TRUNC(I2235/I2236,2)</f>
        <v>0.28999999999999998</v>
      </c>
      <c r="J2237" s="302"/>
      <c r="K2237" s="302"/>
      <c r="L2237" s="302"/>
      <c r="M2237" s="302"/>
      <c r="N2237" s="302"/>
      <c r="O2237" s="302"/>
      <c r="P2237" s="302"/>
      <c r="Q2237" s="302"/>
    </row>
    <row r="2238" spans="1:17" s="198" customFormat="1" x14ac:dyDescent="0.2">
      <c r="A2238" s="867"/>
      <c r="B2238" s="233"/>
      <c r="C2238" s="199"/>
      <c r="D2238" s="199"/>
      <c r="E2238" s="199"/>
      <c r="F2238" s="263"/>
      <c r="G2238" s="199"/>
      <c r="H2238" s="199"/>
      <c r="I2238" s="264"/>
      <c r="J2238" s="302"/>
      <c r="K2238" s="302"/>
      <c r="L2238" s="302"/>
      <c r="M2238" s="302"/>
      <c r="N2238" s="302"/>
      <c r="O2238" s="302"/>
      <c r="P2238" s="302"/>
      <c r="Q2238" s="302"/>
    </row>
    <row r="2239" spans="1:17" s="198" customFormat="1" x14ac:dyDescent="0.2">
      <c r="A2239" s="246" t="s">
        <v>210</v>
      </c>
      <c r="B2239" s="247" t="s">
        <v>60</v>
      </c>
      <c r="C2239" s="247" t="s">
        <v>211</v>
      </c>
      <c r="D2239" s="247" t="s">
        <v>233</v>
      </c>
      <c r="E2239" s="1276" t="s">
        <v>91</v>
      </c>
      <c r="F2239" s="1274"/>
      <c r="G2239" s="1275"/>
      <c r="H2239" s="1276" t="s">
        <v>198</v>
      </c>
      <c r="I2239" s="1275"/>
      <c r="J2239" s="302"/>
      <c r="K2239" s="302"/>
      <c r="L2239" s="302"/>
      <c r="M2239" s="302"/>
      <c r="N2239" s="302"/>
      <c r="O2239" s="302"/>
      <c r="P2239" s="302"/>
      <c r="Q2239" s="302"/>
    </row>
    <row r="2240" spans="1:17" s="198" customFormat="1" ht="22.5" x14ac:dyDescent="0.2">
      <c r="A2240" s="265" t="str">
        <f>VLOOKUP(B2240,mat.!$A:$D,2,FALSE)</f>
        <v>Cone para sinalizaçao ( NBR-15.071, h=75cm)</v>
      </c>
      <c r="B2240" s="238">
        <v>10364</v>
      </c>
      <c r="C2240" s="266" t="str">
        <f>VLOOKUP(B2240,mat.!$A:$D,3,FALSE)</f>
        <v>Ud</v>
      </c>
      <c r="D2240" s="267">
        <f>VLOOKUP(B2240,mat.!$A:$D,4,FALSE)</f>
        <v>72.73</v>
      </c>
      <c r="E2240" s="260"/>
      <c r="F2240" s="258"/>
      <c r="G2240" s="300">
        <v>1</v>
      </c>
      <c r="H2240" s="260"/>
      <c r="I2240" s="268">
        <f>TRUNC(D2240*G2240,2)</f>
        <v>72.73</v>
      </c>
      <c r="J2240" s="302"/>
      <c r="K2240" s="302"/>
      <c r="L2240" s="302"/>
      <c r="M2240" s="302"/>
      <c r="N2240" s="302"/>
      <c r="O2240" s="302"/>
      <c r="P2240" s="302"/>
      <c r="Q2240" s="302"/>
    </row>
    <row r="2241" spans="1:17" s="198" customFormat="1" x14ac:dyDescent="0.2">
      <c r="A2241" s="199"/>
      <c r="B2241" s="233"/>
      <c r="C2241" s="199"/>
      <c r="D2241" s="199"/>
      <c r="E2241" s="199"/>
      <c r="F2241" s="234" t="s">
        <v>212</v>
      </c>
      <c r="G2241" s="244"/>
      <c r="H2241" s="245"/>
      <c r="I2241" s="434">
        <f>SUM(I2240:I2240)</f>
        <v>72.73</v>
      </c>
      <c r="J2241" s="302"/>
      <c r="K2241" s="302"/>
      <c r="L2241" s="302"/>
      <c r="M2241" s="302"/>
      <c r="N2241" s="302"/>
      <c r="O2241" s="302"/>
      <c r="P2241" s="302"/>
      <c r="Q2241" s="302"/>
    </row>
    <row r="2242" spans="1:17" s="198" customFormat="1" x14ac:dyDescent="0.2">
      <c r="A2242" s="199"/>
      <c r="B2242" s="233"/>
      <c r="C2242" s="199"/>
      <c r="D2242" s="199"/>
      <c r="E2242" s="199"/>
      <c r="F2242" s="199"/>
      <c r="G2242" s="269"/>
      <c r="H2242" s="199"/>
      <c r="I2242" s="200"/>
      <c r="J2242" s="302"/>
      <c r="K2242" s="302"/>
      <c r="L2242" s="302"/>
      <c r="M2242" s="302"/>
      <c r="N2242" s="302"/>
      <c r="O2242" s="302"/>
      <c r="P2242" s="302"/>
      <c r="Q2242" s="302"/>
    </row>
    <row r="2243" spans="1:17" s="198" customFormat="1" x14ac:dyDescent="0.2">
      <c r="A2243" s="270" t="s">
        <v>213</v>
      </c>
      <c r="B2243" s="247" t="s">
        <v>60</v>
      </c>
      <c r="C2243" s="247" t="s">
        <v>211</v>
      </c>
      <c r="D2243" s="866" t="s">
        <v>233</v>
      </c>
      <c r="E2243" s="1276" t="s">
        <v>91</v>
      </c>
      <c r="F2243" s="1274"/>
      <c r="G2243" s="1275"/>
      <c r="H2243" s="1276" t="s">
        <v>198</v>
      </c>
      <c r="I2243" s="1275"/>
      <c r="J2243" s="302"/>
      <c r="K2243" s="302"/>
      <c r="L2243" s="302"/>
      <c r="M2243" s="302"/>
      <c r="N2243" s="302"/>
      <c r="O2243" s="302"/>
      <c r="P2243" s="302"/>
      <c r="Q2243" s="302"/>
    </row>
    <row r="2244" spans="1:17" s="198" customFormat="1" x14ac:dyDescent="0.2">
      <c r="A2244" s="248"/>
      <c r="B2244" s="238"/>
      <c r="C2244" s="238"/>
      <c r="D2244" s="243"/>
      <c r="E2244" s="244"/>
      <c r="F2244" s="258"/>
      <c r="G2244" s="300"/>
      <c r="H2244" s="244"/>
      <c r="I2244" s="268"/>
      <c r="J2244" s="302"/>
      <c r="K2244" s="302"/>
      <c r="L2244" s="302"/>
      <c r="M2244" s="302"/>
      <c r="N2244" s="302"/>
      <c r="O2244" s="302"/>
      <c r="P2244" s="302"/>
      <c r="Q2244" s="302"/>
    </row>
    <row r="2245" spans="1:17" s="198" customFormat="1" x14ac:dyDescent="0.2">
      <c r="A2245" s="201"/>
      <c r="B2245" s="271"/>
      <c r="C2245" s="201"/>
      <c r="D2245" s="201"/>
      <c r="E2245" s="201"/>
      <c r="F2245" s="272" t="s">
        <v>214</v>
      </c>
      <c r="G2245" s="260"/>
      <c r="H2245" s="273"/>
      <c r="I2245" s="436">
        <f>SUM(I2244:I2244)</f>
        <v>0</v>
      </c>
      <c r="J2245" s="433"/>
      <c r="K2245" s="433"/>
      <c r="L2245" s="302"/>
      <c r="M2245" s="302"/>
      <c r="N2245" s="302"/>
      <c r="O2245" s="302"/>
      <c r="P2245" s="302"/>
      <c r="Q2245" s="302"/>
    </row>
    <row r="2246" spans="1:17" s="198" customFormat="1" x14ac:dyDescent="0.2">
      <c r="A2246" s="201"/>
      <c r="B2246" s="271"/>
      <c r="C2246" s="201"/>
      <c r="D2246" s="201"/>
      <c r="E2246" s="201"/>
      <c r="F2246" s="201"/>
      <c r="G2246" s="201"/>
      <c r="H2246" s="201"/>
      <c r="I2246" s="201"/>
      <c r="J2246" s="433"/>
      <c r="K2246" s="433"/>
      <c r="L2246" s="302"/>
      <c r="M2246" s="302"/>
      <c r="N2246" s="302"/>
      <c r="O2246" s="302"/>
      <c r="P2246" s="302"/>
      <c r="Q2246" s="302"/>
    </row>
    <row r="2247" spans="1:17" s="198" customFormat="1" x14ac:dyDescent="0.2">
      <c r="A2247" s="274" t="s">
        <v>215</v>
      </c>
      <c r="B2247" s="275" t="s">
        <v>60</v>
      </c>
      <c r="C2247" s="275" t="s">
        <v>211</v>
      </c>
      <c r="D2247" s="275" t="s">
        <v>216</v>
      </c>
      <c r="E2247" s="275" t="s">
        <v>217</v>
      </c>
      <c r="F2247" s="275" t="s">
        <v>218</v>
      </c>
      <c r="G2247" s="275" t="s">
        <v>96</v>
      </c>
      <c r="H2247" s="275" t="s">
        <v>91</v>
      </c>
      <c r="I2247" s="275" t="s">
        <v>219</v>
      </c>
      <c r="J2247" s="433"/>
      <c r="K2247" s="433"/>
      <c r="L2247" s="302"/>
      <c r="M2247" s="302"/>
      <c r="N2247" s="302"/>
      <c r="O2247" s="302"/>
      <c r="P2247" s="302"/>
      <c r="Q2247" s="302"/>
    </row>
    <row r="2248" spans="1:17" s="198" customFormat="1" x14ac:dyDescent="0.2">
      <c r="A2248" s="248"/>
      <c r="B2248" s="238"/>
      <c r="C2248" s="238"/>
      <c r="D2248" s="276"/>
      <c r="E2248" s="277"/>
      <c r="F2248" s="277"/>
      <c r="G2248" s="243"/>
      <c r="H2248" s="278"/>
      <c r="I2248" s="243"/>
      <c r="J2248" s="433"/>
      <c r="K2248" s="433"/>
      <c r="L2248" s="302"/>
      <c r="M2248" s="302"/>
      <c r="N2248" s="302"/>
      <c r="O2248" s="302"/>
      <c r="P2248" s="302"/>
      <c r="Q2248" s="302"/>
    </row>
    <row r="2249" spans="1:17" s="198" customFormat="1" x14ac:dyDescent="0.2">
      <c r="A2249" s="201"/>
      <c r="B2249" s="271"/>
      <c r="C2249" s="201"/>
      <c r="D2249" s="201"/>
      <c r="E2249" s="201"/>
      <c r="F2249" s="272" t="s">
        <v>220</v>
      </c>
      <c r="G2249" s="244"/>
      <c r="H2249" s="279"/>
      <c r="I2249" s="438">
        <f>SUM(I2248:I2248)</f>
        <v>0</v>
      </c>
      <c r="J2249" s="433"/>
      <c r="K2249" s="433"/>
      <c r="L2249" s="302"/>
      <c r="M2249" s="302"/>
      <c r="N2249" s="302"/>
      <c r="O2249" s="302"/>
      <c r="P2249" s="302"/>
      <c r="Q2249" s="302"/>
    </row>
    <row r="2250" spans="1:17" s="198" customFormat="1" x14ac:dyDescent="0.2">
      <c r="A2250" s="201"/>
      <c r="B2250" s="271"/>
      <c r="C2250" s="201"/>
      <c r="D2250" s="201"/>
      <c r="E2250" s="201"/>
      <c r="F2250" s="201"/>
      <c r="G2250" s="201"/>
      <c r="H2250" s="201"/>
      <c r="I2250" s="202"/>
      <c r="J2250" s="433"/>
      <c r="K2250" s="433"/>
      <c r="L2250" s="302"/>
      <c r="M2250" s="302"/>
      <c r="N2250" s="302"/>
      <c r="O2250" s="302"/>
      <c r="P2250" s="302"/>
      <c r="Q2250" s="302"/>
    </row>
    <row r="2251" spans="1:17" s="198" customFormat="1" x14ac:dyDescent="0.2">
      <c r="A2251" s="280"/>
      <c r="B2251" s="281"/>
      <c r="C2251" s="282"/>
      <c r="D2251" s="282"/>
      <c r="E2251" s="282"/>
      <c r="F2251" s="283" t="s">
        <v>221</v>
      </c>
      <c r="G2251" s="280"/>
      <c r="H2251" s="254"/>
      <c r="I2251" s="634">
        <f>+I2237+I2241+I2245+I2249</f>
        <v>73.02</v>
      </c>
      <c r="J2251" s="433"/>
      <c r="K2251" s="433"/>
      <c r="L2251" s="302"/>
      <c r="M2251" s="302"/>
      <c r="N2251" s="302"/>
      <c r="O2251" s="302"/>
      <c r="P2251" s="302"/>
      <c r="Q2251" s="302"/>
    </row>
    <row r="2252" spans="1:17" s="198" customFormat="1" x14ac:dyDescent="0.2">
      <c r="A2252" s="260"/>
      <c r="B2252" s="284"/>
      <c r="C2252" s="273"/>
      <c r="D2252" s="273"/>
      <c r="E2252" s="273"/>
      <c r="F2252" s="285" t="str">
        <f>CONCATENATE($H$3," ",$I$3)</f>
        <v>BDI: 23,32</v>
      </c>
      <c r="G2252" s="439"/>
      <c r="H2252" s="258"/>
      <c r="I2252" s="635">
        <f>+ROUND(I2251*$I$4,2)</f>
        <v>17.03</v>
      </c>
      <c r="J2252" s="433"/>
      <c r="K2252" s="433"/>
      <c r="L2252" s="302"/>
      <c r="M2252" s="302"/>
      <c r="N2252" s="302"/>
      <c r="O2252" s="302"/>
      <c r="P2252" s="302"/>
      <c r="Q2252" s="302"/>
    </row>
    <row r="2253" spans="1:17" s="198" customFormat="1" x14ac:dyDescent="0.2">
      <c r="A2253" s="244"/>
      <c r="B2253" s="286"/>
      <c r="C2253" s="279"/>
      <c r="D2253" s="279"/>
      <c r="E2253" s="279"/>
      <c r="F2253" s="287" t="s">
        <v>222</v>
      </c>
      <c r="G2253" s="440"/>
      <c r="H2253" s="245"/>
      <c r="I2253" s="1017">
        <f>+I2251+I2252</f>
        <v>90.05</v>
      </c>
      <c r="J2253" s="433"/>
      <c r="K2253" s="433"/>
      <c r="L2253" s="302"/>
      <c r="M2253" s="302"/>
      <c r="N2253" s="302"/>
      <c r="O2253" s="302"/>
      <c r="P2253" s="302"/>
      <c r="Q2253" s="302"/>
    </row>
    <row r="2254" spans="1:17" s="198" customFormat="1" x14ac:dyDescent="0.2">
      <c r="A2254" s="1277" t="str">
        <f>$A$1</f>
        <v>COMPOSIÇÃO DE CUSTOS UNITÁRIOS</v>
      </c>
      <c r="B2254" s="1277"/>
      <c r="C2254" s="1277"/>
      <c r="D2254" s="1277"/>
      <c r="E2254" s="1277"/>
      <c r="F2254" s="1277"/>
      <c r="G2254" s="1277"/>
      <c r="H2254" s="1277"/>
      <c r="I2254" s="1277"/>
      <c r="J2254" s="433"/>
      <c r="K2254" s="433"/>
      <c r="L2254" s="302"/>
      <c r="M2254" s="302"/>
      <c r="N2254" s="302"/>
      <c r="O2254" s="302"/>
      <c r="P2254" s="302"/>
      <c r="Q2254" s="302"/>
    </row>
    <row r="2255" spans="1:17" s="198" customFormat="1" x14ac:dyDescent="0.2">
      <c r="A2255" s="232" t="str">
        <f>$A$2</f>
        <v>Tabela Referencial de Preços - DER-ES</v>
      </c>
      <c r="B2255" s="233"/>
      <c r="C2255" s="199"/>
      <c r="D2255" s="199"/>
      <c r="E2255" s="199"/>
      <c r="F2255" s="199"/>
      <c r="G2255" s="199"/>
      <c r="H2255" s="199"/>
      <c r="I2255" s="234" t="str">
        <f>$I$2</f>
        <v>Data Base: Outubro/2018</v>
      </c>
      <c r="J2255" s="433">
        <v>42047</v>
      </c>
      <c r="K2255" s="433">
        <f>VLOOKUP("Preço Unitário Total",F2257:I4208,4,FALSE)</f>
        <v>39.19</v>
      </c>
      <c r="L2255" s="302">
        <f>VLOOKUP(J2255,'DER 10-18'!A:E,5,FALSE)</f>
        <v>0</v>
      </c>
      <c r="M2255" s="302" t="str">
        <f>VLOOKUP(J2255,'DER 10-18'!$A:$D,2,FALSE)</f>
        <v>Elementos de madeira para sinalização - cavaletes</v>
      </c>
      <c r="N2255" s="302"/>
      <c r="O2255" s="302"/>
      <c r="P2255" s="302"/>
      <c r="Q2255" s="302"/>
    </row>
    <row r="2256" spans="1:17" s="198" customFormat="1" x14ac:dyDescent="0.2">
      <c r="A2256" s="1278" t="str">
        <f>+CONCATENATE("Serviço: ",J2255," ",VLOOKUP(J2255,'DER 10-18'!$A:$D,2,FALSE))</f>
        <v>Serviço: 42047 Elementos de madeira para sinalização - cavaletes</v>
      </c>
      <c r="B2256" s="1278"/>
      <c r="C2256" s="1278"/>
      <c r="D2256" s="1278"/>
      <c r="E2256" s="1278"/>
      <c r="F2256" s="1278"/>
      <c r="G2256" s="1278"/>
      <c r="H2256" s="1278"/>
      <c r="I2256" s="1278" t="str">
        <f>CONCATENATE("Unidade: ", VLOOKUP(J2255,'DER 10-18'!$A:$E,3,FALSE))</f>
        <v>Unidade: Ud</v>
      </c>
      <c r="J2256" s="433"/>
      <c r="K2256" s="433"/>
      <c r="L2256" s="302"/>
      <c r="M2256" s="302"/>
      <c r="N2256" s="302"/>
      <c r="O2256" s="302"/>
      <c r="P2256" s="302"/>
      <c r="Q2256" s="302"/>
    </row>
    <row r="2257" spans="1:17" s="198" customFormat="1" x14ac:dyDescent="0.2">
      <c r="A2257" s="1279"/>
      <c r="B2257" s="1279"/>
      <c r="C2257" s="1279"/>
      <c r="D2257" s="1279"/>
      <c r="E2257" s="1279"/>
      <c r="F2257" s="1279"/>
      <c r="G2257" s="1279"/>
      <c r="H2257" s="1279"/>
      <c r="I2257" s="1279"/>
      <c r="J2257" s="433"/>
      <c r="K2257" s="433"/>
      <c r="L2257" s="302"/>
      <c r="M2257" s="302"/>
      <c r="N2257" s="302"/>
      <c r="O2257" s="302"/>
      <c r="P2257" s="302"/>
      <c r="Q2257" s="302"/>
    </row>
    <row r="2258" spans="1:17" s="198" customFormat="1" ht="22.5" x14ac:dyDescent="0.2">
      <c r="A2258" s="235" t="s">
        <v>192</v>
      </c>
      <c r="B2258" s="236" t="s">
        <v>60</v>
      </c>
      <c r="C2258" s="236" t="s">
        <v>193</v>
      </c>
      <c r="D2258" s="236" t="s">
        <v>194</v>
      </c>
      <c r="E2258" s="236" t="s">
        <v>195</v>
      </c>
      <c r="F2258" s="236" t="s">
        <v>196</v>
      </c>
      <c r="G2258" s="236" t="s">
        <v>197</v>
      </c>
      <c r="H2258" s="236" t="s">
        <v>91</v>
      </c>
      <c r="I2258" s="236" t="s">
        <v>198</v>
      </c>
      <c r="J2258" s="433"/>
      <c r="K2258" s="433"/>
      <c r="L2258" s="302"/>
      <c r="M2258" s="302"/>
      <c r="N2258" s="302"/>
      <c r="O2258" s="302"/>
      <c r="P2258" s="302"/>
      <c r="Q2258" s="302"/>
    </row>
    <row r="2259" spans="1:17" s="198" customFormat="1" x14ac:dyDescent="0.2">
      <c r="A2259" s="237"/>
      <c r="B2259" s="238"/>
      <c r="C2259" s="239"/>
      <c r="D2259" s="240"/>
      <c r="E2259" s="205"/>
      <c r="F2259" s="241"/>
      <c r="G2259" s="241"/>
      <c r="H2259" s="242"/>
      <c r="I2259" s="243"/>
      <c r="J2259" s="433"/>
      <c r="K2259" s="433"/>
      <c r="L2259" s="302"/>
      <c r="M2259" s="302"/>
      <c r="N2259" s="302"/>
      <c r="O2259" s="302"/>
      <c r="P2259" s="302"/>
      <c r="Q2259" s="302"/>
    </row>
    <row r="2260" spans="1:17" s="198" customFormat="1" x14ac:dyDescent="0.2">
      <c r="A2260" s="199"/>
      <c r="B2260" s="233"/>
      <c r="C2260" s="233"/>
      <c r="D2260" s="199"/>
      <c r="E2260" s="199"/>
      <c r="F2260" s="234" t="s">
        <v>199</v>
      </c>
      <c r="G2260" s="244"/>
      <c r="H2260" s="245"/>
      <c r="I2260" s="434">
        <f>SUM(I2259:I2259)</f>
        <v>0</v>
      </c>
      <c r="J2260" s="433"/>
      <c r="K2260" s="433"/>
      <c r="L2260" s="302"/>
      <c r="M2260" s="302"/>
      <c r="N2260" s="302"/>
      <c r="O2260" s="302"/>
      <c r="P2260" s="302"/>
      <c r="Q2260" s="302"/>
    </row>
    <row r="2261" spans="1:17" s="198" customFormat="1" x14ac:dyDescent="0.2">
      <c r="A2261" s="199"/>
      <c r="B2261" s="233"/>
      <c r="C2261" s="233"/>
      <c r="D2261" s="199"/>
      <c r="E2261" s="199"/>
      <c r="F2261" s="199"/>
      <c r="G2261" s="199"/>
      <c r="H2261" s="199"/>
      <c r="I2261" s="200"/>
      <c r="J2261" s="302"/>
      <c r="K2261" s="302"/>
      <c r="L2261" s="302"/>
      <c r="M2261" s="302"/>
      <c r="N2261" s="302"/>
      <c r="O2261" s="302"/>
      <c r="P2261" s="302"/>
      <c r="Q2261" s="302"/>
    </row>
    <row r="2262" spans="1:17" s="198" customFormat="1" x14ac:dyDescent="0.2">
      <c r="A2262" s="246" t="s">
        <v>200</v>
      </c>
      <c r="B2262" s="247" t="s">
        <v>60</v>
      </c>
      <c r="C2262" s="236" t="s">
        <v>1242</v>
      </c>
      <c r="D2262" s="247" t="s">
        <v>202</v>
      </c>
      <c r="E2262" s="1276" t="s">
        <v>91</v>
      </c>
      <c r="F2262" s="1274"/>
      <c r="G2262" s="1275"/>
      <c r="H2262" s="1276" t="s">
        <v>198</v>
      </c>
      <c r="I2262" s="1275"/>
      <c r="J2262" s="302"/>
      <c r="K2262" s="302"/>
      <c r="L2262" s="302"/>
      <c r="M2262" s="302"/>
      <c r="N2262" s="302"/>
      <c r="O2262" s="302"/>
      <c r="P2262" s="302"/>
      <c r="Q2262" s="302"/>
    </row>
    <row r="2263" spans="1:17" s="198" customFormat="1" x14ac:dyDescent="0.2">
      <c r="A2263" s="248" t="str">
        <f>VLOOKUP(B2263,m.o.!$A:$H,2,FALSE)</f>
        <v>Pedreiro de O.A.C.</v>
      </c>
      <c r="B2263" s="238">
        <v>20109</v>
      </c>
      <c r="C2263" s="243">
        <f>VLOOKUP(B2263,m.o.!$A:$F,4,FALSE)</f>
        <v>1.24</v>
      </c>
      <c r="D2263" s="243">
        <f>VLOOKUP(B2263,m.o.!$A:$G,7,FALSE)</f>
        <v>14.43</v>
      </c>
      <c r="E2263" s="244"/>
      <c r="F2263" s="258"/>
      <c r="G2263" s="300">
        <v>1</v>
      </c>
      <c r="H2263" s="244"/>
      <c r="I2263" s="249">
        <f>TRUNC(D2263*G2263,2)</f>
        <v>14.43</v>
      </c>
      <c r="J2263" s="302"/>
      <c r="K2263" s="302"/>
      <c r="L2263" s="302"/>
      <c r="M2263" s="302"/>
      <c r="N2263" s="302"/>
      <c r="O2263" s="302"/>
      <c r="P2263" s="302"/>
      <c r="Q2263" s="302"/>
    </row>
    <row r="2264" spans="1:17" s="198" customFormat="1" x14ac:dyDescent="0.2">
      <c r="A2264" s="248" t="str">
        <f>VLOOKUP(B2264,m.o.!$A:$H,2,FALSE)</f>
        <v>Servente</v>
      </c>
      <c r="B2264" s="238">
        <v>20002</v>
      </c>
      <c r="C2264" s="243">
        <f>VLOOKUP(B2264,m.o.!$A:$F,4,FALSE)</f>
        <v>1</v>
      </c>
      <c r="D2264" s="243">
        <f>VLOOKUP(B2264,m.o.!$A:$G,7,FALSE)</f>
        <v>11.64</v>
      </c>
      <c r="E2264" s="244"/>
      <c r="F2264" s="245"/>
      <c r="G2264" s="441">
        <v>1</v>
      </c>
      <c r="H2264" s="244"/>
      <c r="I2264" s="249">
        <f>TRUNC(D2264*G2264,2)</f>
        <v>11.64</v>
      </c>
      <c r="J2264" s="302"/>
      <c r="K2264" s="302"/>
      <c r="L2264" s="302"/>
      <c r="M2264" s="302"/>
      <c r="N2264" s="302"/>
      <c r="O2264" s="302"/>
      <c r="P2264" s="302"/>
      <c r="Q2264" s="302"/>
    </row>
    <row r="2265" spans="1:17" s="198" customFormat="1" x14ac:dyDescent="0.2">
      <c r="A2265" s="199"/>
      <c r="B2265" s="233"/>
      <c r="C2265" s="233"/>
      <c r="D2265" s="199"/>
      <c r="E2265" s="199"/>
      <c r="F2265" s="234" t="s">
        <v>203</v>
      </c>
      <c r="G2265" s="244"/>
      <c r="H2265" s="245"/>
      <c r="I2265" s="434">
        <f>SUM(I2263:I2264)</f>
        <v>26.07</v>
      </c>
      <c r="J2265" s="302"/>
      <c r="K2265" s="302"/>
      <c r="L2265" s="302"/>
      <c r="M2265" s="302"/>
      <c r="N2265" s="302"/>
      <c r="O2265" s="302"/>
      <c r="P2265" s="302"/>
      <c r="Q2265" s="302"/>
    </row>
    <row r="2266" spans="1:17" s="198" customFormat="1" x14ac:dyDescent="0.2">
      <c r="A2266" s="199"/>
      <c r="B2266" s="233"/>
      <c r="C2266" s="233"/>
      <c r="D2266" s="199"/>
      <c r="E2266" s="199"/>
      <c r="F2266" s="199"/>
      <c r="G2266" s="199"/>
      <c r="H2266" s="199"/>
      <c r="I2266" s="200"/>
      <c r="J2266" s="302"/>
      <c r="K2266" s="302"/>
      <c r="L2266" s="302"/>
      <c r="M2266" s="302"/>
      <c r="N2266" s="302"/>
      <c r="O2266" s="302"/>
      <c r="P2266" s="302"/>
      <c r="Q2266" s="302"/>
    </row>
    <row r="2267" spans="1:17" s="198" customFormat="1" x14ac:dyDescent="0.2">
      <c r="A2267" s="250" t="s">
        <v>204</v>
      </c>
      <c r="B2267" s="247" t="s">
        <v>60</v>
      </c>
      <c r="C2267" s="866" t="s">
        <v>17</v>
      </c>
      <c r="D2267" s="247" t="s">
        <v>205</v>
      </c>
      <c r="E2267" s="247" t="s">
        <v>206</v>
      </c>
      <c r="F2267" s="247" t="s">
        <v>207</v>
      </c>
      <c r="G2267" s="1276" t="s">
        <v>96</v>
      </c>
      <c r="H2267" s="1274"/>
      <c r="I2267" s="1275"/>
      <c r="J2267" s="302"/>
      <c r="K2267" s="302"/>
      <c r="L2267" s="302"/>
      <c r="M2267" s="302"/>
      <c r="N2267" s="302"/>
      <c r="O2267" s="302"/>
      <c r="P2267" s="302"/>
      <c r="Q2267" s="302"/>
    </row>
    <row r="2268" spans="1:17" s="198" customFormat="1" x14ac:dyDescent="0.2">
      <c r="A2268" s="248" t="s">
        <v>1091</v>
      </c>
      <c r="B2268" s="238">
        <v>2000</v>
      </c>
      <c r="C2268" s="243">
        <v>5</v>
      </c>
      <c r="D2268" s="239" t="s">
        <v>1092</v>
      </c>
      <c r="E2268" s="251"/>
      <c r="F2268" s="251"/>
      <c r="G2268" s="244"/>
      <c r="H2268" s="245"/>
      <c r="I2268" s="249">
        <f>C2268/100*I2265</f>
        <v>1.3</v>
      </c>
      <c r="J2268" s="302"/>
      <c r="K2268" s="302"/>
      <c r="L2268" s="302"/>
      <c r="M2268" s="302"/>
      <c r="N2268" s="302"/>
      <c r="O2268" s="302"/>
      <c r="P2268" s="302"/>
      <c r="Q2268" s="302"/>
    </row>
    <row r="2269" spans="1:17" s="198" customFormat="1" x14ac:dyDescent="0.2">
      <c r="A2269" s="199"/>
      <c r="B2269" s="233"/>
      <c r="C2269" s="199"/>
      <c r="D2269" s="199"/>
      <c r="E2269" s="199"/>
      <c r="F2269" s="234" t="s">
        <v>1170</v>
      </c>
      <c r="G2269" s="244"/>
      <c r="H2269" s="245"/>
      <c r="I2269" s="434">
        <f>SUM(I2268)</f>
        <v>1.3</v>
      </c>
      <c r="J2269" s="302"/>
      <c r="K2269" s="302"/>
      <c r="L2269" s="302"/>
      <c r="M2269" s="302"/>
      <c r="N2269" s="302"/>
      <c r="O2269" s="302"/>
      <c r="P2269" s="302"/>
      <c r="Q2269" s="302"/>
    </row>
    <row r="2270" spans="1:17" s="198" customFormat="1" x14ac:dyDescent="0.2">
      <c r="A2270" s="199"/>
      <c r="B2270" s="233"/>
      <c r="C2270" s="199"/>
      <c r="D2270" s="199"/>
      <c r="E2270" s="199"/>
      <c r="F2270" s="199"/>
      <c r="G2270" s="199"/>
      <c r="H2270" s="199"/>
      <c r="I2270" s="200"/>
      <c r="J2270" s="302"/>
      <c r="K2270" s="302"/>
      <c r="L2270" s="302"/>
      <c r="M2270" s="302"/>
      <c r="N2270" s="302"/>
      <c r="O2270" s="302"/>
      <c r="P2270" s="302"/>
      <c r="Q2270" s="302"/>
    </row>
    <row r="2271" spans="1:17" s="198" customFormat="1" x14ac:dyDescent="0.2">
      <c r="A2271" s="252"/>
      <c r="B2271" s="253"/>
      <c r="C2271" s="254"/>
      <c r="D2271" s="254"/>
      <c r="E2271" s="254"/>
      <c r="F2271" s="255" t="s">
        <v>208</v>
      </c>
      <c r="G2271" s="435"/>
      <c r="H2271" s="254"/>
      <c r="I2271" s="634">
        <f>+I2260+I2265+I2269</f>
        <v>27.37</v>
      </c>
      <c r="J2271" s="302"/>
      <c r="K2271" s="302"/>
      <c r="L2271" s="302"/>
      <c r="M2271" s="302"/>
      <c r="N2271" s="302"/>
      <c r="O2271" s="302"/>
      <c r="P2271" s="302"/>
      <c r="Q2271" s="302"/>
    </row>
    <row r="2272" spans="1:17" s="198" customFormat="1" x14ac:dyDescent="0.2">
      <c r="A2272" s="256"/>
      <c r="B2272" s="257"/>
      <c r="C2272" s="258"/>
      <c r="D2272" s="258"/>
      <c r="E2272" s="258"/>
      <c r="F2272" s="259" t="s">
        <v>209</v>
      </c>
      <c r="G2272" s="260"/>
      <c r="H2272" s="258"/>
      <c r="I2272" s="635">
        <v>4</v>
      </c>
      <c r="J2272" s="302"/>
      <c r="K2272" s="302"/>
      <c r="L2272" s="302"/>
      <c r="M2272" s="302"/>
      <c r="N2272" s="302"/>
      <c r="O2272" s="302"/>
      <c r="P2272" s="302"/>
      <c r="Q2272" s="302"/>
    </row>
    <row r="2273" spans="1:17" s="198" customFormat="1" x14ac:dyDescent="0.2">
      <c r="A2273" s="237"/>
      <c r="B2273" s="261"/>
      <c r="C2273" s="245"/>
      <c r="D2273" s="245"/>
      <c r="E2273" s="245"/>
      <c r="F2273" s="262" t="s">
        <v>232</v>
      </c>
      <c r="G2273" s="244"/>
      <c r="H2273" s="245"/>
      <c r="I2273" s="633">
        <f>TRUNC(I2271/I2272,2)</f>
        <v>6.84</v>
      </c>
      <c r="J2273" s="302"/>
      <c r="K2273" s="302"/>
      <c r="L2273" s="302"/>
      <c r="M2273" s="302"/>
      <c r="N2273" s="302"/>
      <c r="O2273" s="302"/>
      <c r="P2273" s="302"/>
      <c r="Q2273" s="302"/>
    </row>
    <row r="2274" spans="1:17" s="198" customFormat="1" x14ac:dyDescent="0.2">
      <c r="A2274" s="867"/>
      <c r="B2274" s="233"/>
      <c r="C2274" s="199"/>
      <c r="D2274" s="199"/>
      <c r="E2274" s="199"/>
      <c r="F2274" s="263"/>
      <c r="G2274" s="199"/>
      <c r="H2274" s="199"/>
      <c r="I2274" s="264"/>
      <c r="J2274" s="302"/>
      <c r="K2274" s="302"/>
      <c r="L2274" s="302"/>
      <c r="M2274" s="302"/>
      <c r="N2274" s="302"/>
      <c r="O2274" s="302"/>
      <c r="P2274" s="302"/>
      <c r="Q2274" s="302"/>
    </row>
    <row r="2275" spans="1:17" s="198" customFormat="1" x14ac:dyDescent="0.2">
      <c r="A2275" s="246" t="s">
        <v>210</v>
      </c>
      <c r="B2275" s="247" t="s">
        <v>60</v>
      </c>
      <c r="C2275" s="247" t="s">
        <v>211</v>
      </c>
      <c r="D2275" s="247" t="s">
        <v>233</v>
      </c>
      <c r="E2275" s="1276" t="s">
        <v>91</v>
      </c>
      <c r="F2275" s="1274"/>
      <c r="G2275" s="1275"/>
      <c r="H2275" s="1276" t="s">
        <v>198</v>
      </c>
      <c r="I2275" s="1275"/>
      <c r="J2275" s="302"/>
      <c r="K2275" s="302"/>
      <c r="L2275" s="302"/>
      <c r="M2275" s="302"/>
      <c r="N2275" s="302"/>
      <c r="O2275" s="302"/>
      <c r="P2275" s="302"/>
      <c r="Q2275" s="302"/>
    </row>
    <row r="2276" spans="1:17" s="198" customFormat="1" x14ac:dyDescent="0.2">
      <c r="A2276" s="265" t="str">
        <f>VLOOKUP(B2276,mat.!$A:$D,2,FALSE)</f>
        <v>Caibros 7 X 7 cm</v>
      </c>
      <c r="B2276" s="238">
        <v>10062</v>
      </c>
      <c r="C2276" s="266" t="str">
        <f>VLOOKUP(B2276,mat.!$A:$D,3,FALSE)</f>
        <v>m</v>
      </c>
      <c r="D2276" s="267">
        <f>VLOOKUP(B2276,mat.!$A:$D,4,FALSE)</f>
        <v>7.92</v>
      </c>
      <c r="E2276" s="260"/>
      <c r="F2276" s="258"/>
      <c r="G2276" s="300">
        <v>2</v>
      </c>
      <c r="H2276" s="260"/>
      <c r="I2276" s="268">
        <f>TRUNC(D2276*G2276,2)</f>
        <v>15.84</v>
      </c>
      <c r="J2276" s="302"/>
      <c r="K2276" s="302"/>
      <c r="L2276" s="302"/>
      <c r="M2276" s="302"/>
      <c r="N2276" s="302"/>
      <c r="O2276" s="302"/>
      <c r="P2276" s="302"/>
      <c r="Q2276" s="302"/>
    </row>
    <row r="2277" spans="1:17" s="198" customFormat="1" x14ac:dyDescent="0.2">
      <c r="A2277" s="265" t="str">
        <f>VLOOKUP(B2277,mat.!$A:$D,2,FALSE)</f>
        <v>Sarrafo 10 X 2,5 cm</v>
      </c>
      <c r="B2277" s="238">
        <v>10067</v>
      </c>
      <c r="C2277" s="266" t="str">
        <f>VLOOKUP(B2277,mat.!$A:$D,3,FALSE)</f>
        <v>M3</v>
      </c>
      <c r="D2277" s="267">
        <f>VLOOKUP(B2277,mat.!$A:$D,4,FALSE)</f>
        <v>1012</v>
      </c>
      <c r="E2277" s="260"/>
      <c r="F2277" s="258"/>
      <c r="G2277" s="441">
        <v>8.9999999999999993E-3</v>
      </c>
      <c r="H2277" s="260"/>
      <c r="I2277" s="268">
        <f>TRUNC(D2277*G2277,2)</f>
        <v>9.1</v>
      </c>
      <c r="J2277" s="433"/>
      <c r="K2277" s="433"/>
      <c r="L2277" s="302"/>
      <c r="M2277" s="302"/>
      <c r="N2277" s="302"/>
      <c r="O2277" s="302"/>
      <c r="P2277" s="302"/>
      <c r="Q2277" s="302"/>
    </row>
    <row r="2278" spans="1:17" s="198" customFormat="1" x14ac:dyDescent="0.2">
      <c r="A2278" s="199"/>
      <c r="B2278" s="233"/>
      <c r="C2278" s="199"/>
      <c r="D2278" s="199"/>
      <c r="E2278" s="199"/>
      <c r="F2278" s="234" t="s">
        <v>212</v>
      </c>
      <c r="G2278" s="244"/>
      <c r="H2278" s="245"/>
      <c r="I2278" s="434">
        <f>SUM(I2276:I2277)</f>
        <v>24.94</v>
      </c>
      <c r="J2278" s="433"/>
      <c r="K2278" s="433"/>
      <c r="L2278" s="302"/>
      <c r="M2278" s="302"/>
      <c r="N2278" s="302"/>
      <c r="O2278" s="302"/>
      <c r="P2278" s="302"/>
      <c r="Q2278" s="302"/>
    </row>
    <row r="2279" spans="1:17" s="198" customFormat="1" x14ac:dyDescent="0.2">
      <c r="A2279" s="199"/>
      <c r="B2279" s="233"/>
      <c r="C2279" s="199"/>
      <c r="D2279" s="199"/>
      <c r="E2279" s="199"/>
      <c r="F2279" s="199"/>
      <c r="G2279" s="269"/>
      <c r="H2279" s="199"/>
      <c r="I2279" s="200"/>
      <c r="J2279" s="433"/>
      <c r="K2279" s="433"/>
      <c r="L2279" s="302"/>
      <c r="M2279" s="302"/>
      <c r="N2279" s="302"/>
      <c r="O2279" s="302"/>
      <c r="P2279" s="302"/>
      <c r="Q2279" s="302"/>
    </row>
    <row r="2280" spans="1:17" s="198" customFormat="1" x14ac:dyDescent="0.2">
      <c r="A2280" s="270" t="s">
        <v>213</v>
      </c>
      <c r="B2280" s="247" t="s">
        <v>60</v>
      </c>
      <c r="C2280" s="247" t="s">
        <v>211</v>
      </c>
      <c r="D2280" s="866" t="s">
        <v>233</v>
      </c>
      <c r="E2280" s="1276" t="s">
        <v>91</v>
      </c>
      <c r="F2280" s="1274"/>
      <c r="G2280" s="1275"/>
      <c r="H2280" s="1276" t="s">
        <v>198</v>
      </c>
      <c r="I2280" s="1275"/>
      <c r="J2280" s="433"/>
      <c r="K2280" s="433"/>
      <c r="L2280" s="302"/>
      <c r="M2280" s="302"/>
      <c r="N2280" s="302"/>
      <c r="O2280" s="302"/>
      <c r="P2280" s="302"/>
      <c r="Q2280" s="302"/>
    </row>
    <row r="2281" spans="1:17" s="198" customFormat="1" x14ac:dyDescent="0.2">
      <c r="A2281" s="248"/>
      <c r="B2281" s="238"/>
      <c r="C2281" s="238"/>
      <c r="D2281" s="243"/>
      <c r="E2281" s="244"/>
      <c r="F2281" s="258"/>
      <c r="G2281" s="300"/>
      <c r="H2281" s="244"/>
      <c r="I2281" s="268"/>
      <c r="J2281" s="433"/>
      <c r="K2281" s="433"/>
      <c r="L2281" s="302"/>
      <c r="M2281" s="302"/>
      <c r="N2281" s="302"/>
      <c r="O2281" s="302"/>
      <c r="P2281" s="302"/>
      <c r="Q2281" s="302"/>
    </row>
    <row r="2282" spans="1:17" s="198" customFormat="1" x14ac:dyDescent="0.2">
      <c r="A2282" s="201"/>
      <c r="B2282" s="271"/>
      <c r="C2282" s="201"/>
      <c r="D2282" s="201"/>
      <c r="E2282" s="201"/>
      <c r="F2282" s="272" t="s">
        <v>214</v>
      </c>
      <c r="G2282" s="260"/>
      <c r="H2282" s="273"/>
      <c r="I2282" s="436">
        <f>SUM(I2281:I2281)</f>
        <v>0</v>
      </c>
      <c r="J2282" s="433"/>
      <c r="K2282" s="433"/>
      <c r="L2282" s="302"/>
      <c r="M2282" s="302"/>
      <c r="N2282" s="302"/>
      <c r="O2282" s="302"/>
      <c r="P2282" s="302"/>
      <c r="Q2282" s="302"/>
    </row>
    <row r="2283" spans="1:17" s="198" customFormat="1" x14ac:dyDescent="0.2">
      <c r="A2283" s="201"/>
      <c r="B2283" s="271"/>
      <c r="C2283" s="201"/>
      <c r="D2283" s="201"/>
      <c r="E2283" s="201"/>
      <c r="F2283" s="201"/>
      <c r="G2283" s="201"/>
      <c r="H2283" s="201"/>
      <c r="I2283" s="201"/>
      <c r="J2283" s="433"/>
      <c r="K2283" s="433"/>
      <c r="L2283" s="302"/>
      <c r="M2283" s="302"/>
      <c r="N2283" s="302"/>
      <c r="O2283" s="302"/>
      <c r="P2283" s="302"/>
      <c r="Q2283" s="302"/>
    </row>
    <row r="2284" spans="1:17" s="198" customFormat="1" x14ac:dyDescent="0.2">
      <c r="A2284" s="274" t="s">
        <v>215</v>
      </c>
      <c r="B2284" s="275" t="s">
        <v>60</v>
      </c>
      <c r="C2284" s="275" t="s">
        <v>211</v>
      </c>
      <c r="D2284" s="275" t="s">
        <v>216</v>
      </c>
      <c r="E2284" s="275" t="s">
        <v>217</v>
      </c>
      <c r="F2284" s="275" t="s">
        <v>218</v>
      </c>
      <c r="G2284" s="275" t="s">
        <v>96</v>
      </c>
      <c r="H2284" s="275" t="s">
        <v>91</v>
      </c>
      <c r="I2284" s="275" t="s">
        <v>219</v>
      </c>
      <c r="J2284" s="433"/>
      <c r="K2284" s="433"/>
      <c r="L2284" s="302"/>
      <c r="M2284" s="302"/>
      <c r="N2284" s="302"/>
      <c r="O2284" s="302"/>
      <c r="P2284" s="302"/>
      <c r="Q2284" s="302"/>
    </row>
    <row r="2285" spans="1:17" s="198" customFormat="1" x14ac:dyDescent="0.2">
      <c r="A2285" s="248"/>
      <c r="B2285" s="238"/>
      <c r="C2285" s="238"/>
      <c r="D2285" s="276"/>
      <c r="E2285" s="277"/>
      <c r="F2285" s="277"/>
      <c r="G2285" s="243"/>
      <c r="H2285" s="278"/>
      <c r="I2285" s="243"/>
      <c r="J2285" s="433"/>
      <c r="K2285" s="433"/>
      <c r="L2285" s="302"/>
      <c r="M2285" s="302"/>
      <c r="N2285" s="302"/>
      <c r="O2285" s="302"/>
      <c r="P2285" s="302"/>
      <c r="Q2285" s="302"/>
    </row>
    <row r="2286" spans="1:17" s="198" customFormat="1" x14ac:dyDescent="0.2">
      <c r="A2286" s="201"/>
      <c r="B2286" s="271"/>
      <c r="C2286" s="201"/>
      <c r="D2286" s="201"/>
      <c r="E2286" s="201"/>
      <c r="F2286" s="272" t="s">
        <v>220</v>
      </c>
      <c r="G2286" s="244"/>
      <c r="H2286" s="279"/>
      <c r="I2286" s="438">
        <f>SUM(I2285:I2285)</f>
        <v>0</v>
      </c>
      <c r="J2286" s="433"/>
      <c r="K2286" s="433"/>
      <c r="L2286" s="302"/>
      <c r="M2286" s="302"/>
      <c r="N2286" s="302"/>
      <c r="O2286" s="302"/>
      <c r="P2286" s="302"/>
      <c r="Q2286" s="302"/>
    </row>
    <row r="2287" spans="1:17" s="198" customFormat="1" x14ac:dyDescent="0.2">
      <c r="A2287" s="201"/>
      <c r="B2287" s="271"/>
      <c r="C2287" s="201"/>
      <c r="D2287" s="201"/>
      <c r="E2287" s="201"/>
      <c r="F2287" s="201"/>
      <c r="G2287" s="201"/>
      <c r="H2287" s="201"/>
      <c r="I2287" s="202"/>
      <c r="J2287" s="433"/>
      <c r="K2287" s="433"/>
      <c r="L2287" s="302"/>
      <c r="M2287" s="302"/>
      <c r="N2287" s="302"/>
      <c r="O2287" s="302"/>
      <c r="P2287" s="302"/>
      <c r="Q2287" s="302"/>
    </row>
    <row r="2288" spans="1:17" s="198" customFormat="1" x14ac:dyDescent="0.2">
      <c r="A2288" s="280"/>
      <c r="B2288" s="281"/>
      <c r="C2288" s="282"/>
      <c r="D2288" s="282"/>
      <c r="E2288" s="282"/>
      <c r="F2288" s="283" t="s">
        <v>221</v>
      </c>
      <c r="G2288" s="280"/>
      <c r="H2288" s="254"/>
      <c r="I2288" s="634">
        <f>+I2273+I2278+I2282+I2286</f>
        <v>31.78</v>
      </c>
      <c r="J2288" s="433"/>
      <c r="K2288" s="433"/>
      <c r="L2288" s="302"/>
      <c r="M2288" s="302"/>
      <c r="N2288" s="302"/>
      <c r="O2288" s="302"/>
      <c r="P2288" s="302"/>
      <c r="Q2288" s="302"/>
    </row>
    <row r="2289" spans="1:17" s="198" customFormat="1" x14ac:dyDescent="0.2">
      <c r="A2289" s="260"/>
      <c r="B2289" s="284"/>
      <c r="C2289" s="273"/>
      <c r="D2289" s="273"/>
      <c r="E2289" s="273"/>
      <c r="F2289" s="285" t="str">
        <f>CONCATENATE($H$3," ",$I$3)</f>
        <v>BDI: 23,32</v>
      </c>
      <c r="G2289" s="439"/>
      <c r="H2289" s="258"/>
      <c r="I2289" s="635">
        <f>+ROUND(I2288*$I$4,2)</f>
        <v>7.41</v>
      </c>
      <c r="J2289" s="433"/>
      <c r="K2289" s="433"/>
      <c r="L2289" s="302"/>
      <c r="M2289" s="302"/>
      <c r="N2289" s="302"/>
      <c r="O2289" s="302"/>
      <c r="P2289" s="302"/>
      <c r="Q2289" s="302"/>
    </row>
    <row r="2290" spans="1:17" s="198" customFormat="1" x14ac:dyDescent="0.2">
      <c r="A2290" s="244"/>
      <c r="B2290" s="286"/>
      <c r="C2290" s="279"/>
      <c r="D2290" s="279"/>
      <c r="E2290" s="279"/>
      <c r="F2290" s="287" t="s">
        <v>222</v>
      </c>
      <c r="G2290" s="440"/>
      <c r="H2290" s="245"/>
      <c r="I2290" s="1017">
        <f>+I2288+I2289</f>
        <v>39.19</v>
      </c>
      <c r="J2290" s="433"/>
      <c r="K2290" s="433"/>
      <c r="L2290" s="302"/>
      <c r="M2290" s="302"/>
      <c r="N2290" s="302"/>
      <c r="O2290" s="302"/>
      <c r="P2290" s="302"/>
      <c r="Q2290" s="302"/>
    </row>
    <row r="2291" spans="1:17" s="198" customFormat="1" x14ac:dyDescent="0.2">
      <c r="A2291" s="199"/>
      <c r="B2291" s="617"/>
      <c r="C2291" s="201"/>
      <c r="D2291" s="201"/>
      <c r="E2291" s="201"/>
      <c r="F2291" s="272"/>
      <c r="G2291" s="201"/>
      <c r="H2291" s="199"/>
      <c r="I2291" s="620"/>
      <c r="J2291" s="433"/>
      <c r="K2291" s="433"/>
      <c r="L2291" s="302"/>
      <c r="M2291" s="302"/>
      <c r="N2291" s="302"/>
      <c r="O2291" s="302"/>
      <c r="P2291" s="302"/>
      <c r="Q2291" s="302"/>
    </row>
    <row r="2292" spans="1:17" s="198" customFormat="1" x14ac:dyDescent="0.2">
      <c r="A2292" s="1277" t="str">
        <f>$A$1</f>
        <v>COMPOSIÇÃO DE CUSTOS UNITÁRIOS</v>
      </c>
      <c r="B2292" s="1277"/>
      <c r="C2292" s="1277"/>
      <c r="D2292" s="1277"/>
      <c r="E2292" s="1277"/>
      <c r="F2292" s="1277"/>
      <c r="G2292" s="1277"/>
      <c r="H2292" s="1277"/>
      <c r="I2292" s="1277"/>
      <c r="J2292" s="433"/>
      <c r="K2292" s="433"/>
      <c r="L2292" s="302"/>
      <c r="M2292" s="302"/>
      <c r="N2292" s="302"/>
      <c r="O2292" s="302"/>
      <c r="P2292" s="302"/>
      <c r="Q2292" s="302"/>
    </row>
    <row r="2293" spans="1:17" s="198" customFormat="1" x14ac:dyDescent="0.2">
      <c r="A2293" s="232" t="str">
        <f>$A$2</f>
        <v>Tabela Referencial de Preços - DER-ES</v>
      </c>
      <c r="B2293" s="233"/>
      <c r="C2293" s="199"/>
      <c r="D2293" s="199"/>
      <c r="E2293" s="199"/>
      <c r="F2293" s="199"/>
      <c r="G2293" s="199"/>
      <c r="H2293" s="199"/>
      <c r="I2293" s="234" t="str">
        <f>$I$2</f>
        <v>Data Base: Outubro/2018</v>
      </c>
      <c r="J2293" s="433">
        <v>40937</v>
      </c>
      <c r="K2293" s="433">
        <f>VLOOKUP("Preço Unitário Total",F2295:I4208,4,FALSE)</f>
        <v>452.86</v>
      </c>
      <c r="L2293" s="302">
        <f>VLOOKUP(J2293,'DER 10-18'!A:E,5,FALSE)</f>
        <v>0</v>
      </c>
      <c r="M2293" s="302" t="str">
        <f>VLOOKUP(J2293,'DER 10-18'!$A:$D,2,FALSE)</f>
        <v>Sinalização vertical com chapa em esmalte sintético</v>
      </c>
      <c r="N2293" s="302"/>
      <c r="O2293" s="302"/>
      <c r="P2293" s="302"/>
      <c r="Q2293" s="302"/>
    </row>
    <row r="2294" spans="1:17" s="198" customFormat="1" x14ac:dyDescent="0.2">
      <c r="A2294" s="1278" t="str">
        <f>+CONCATENATE("Serviço: ",J2293," ",VLOOKUP(J2293,'DER 10-18'!$A:$D,2,FALSE))</f>
        <v>Serviço: 40937 Sinalização vertical com chapa em esmalte sintético</v>
      </c>
      <c r="B2294" s="1278"/>
      <c r="C2294" s="1278"/>
      <c r="D2294" s="1278"/>
      <c r="E2294" s="1278"/>
      <c r="F2294" s="1278"/>
      <c r="G2294" s="1278"/>
      <c r="H2294" s="1278"/>
      <c r="I2294" s="1278" t="str">
        <f>CONCATENATE("Unidade: ", VLOOKUP(J2293,'DER 10-18'!$A:$E,3,FALSE))</f>
        <v>Unidade: M2</v>
      </c>
      <c r="J2294" s="302"/>
      <c r="K2294" s="302"/>
      <c r="L2294" s="302"/>
      <c r="M2294" s="302"/>
      <c r="N2294" s="302"/>
      <c r="O2294" s="302"/>
      <c r="P2294" s="302"/>
      <c r="Q2294" s="302"/>
    </row>
    <row r="2295" spans="1:17" s="198" customFormat="1" x14ac:dyDescent="0.2">
      <c r="A2295" s="1279"/>
      <c r="B2295" s="1279"/>
      <c r="C2295" s="1279"/>
      <c r="D2295" s="1279"/>
      <c r="E2295" s="1279"/>
      <c r="F2295" s="1279"/>
      <c r="G2295" s="1279"/>
      <c r="H2295" s="1279"/>
      <c r="I2295" s="1279"/>
      <c r="J2295" s="302"/>
      <c r="K2295" s="302"/>
      <c r="L2295" s="302"/>
      <c r="M2295" s="302"/>
      <c r="N2295" s="302"/>
      <c r="O2295" s="302"/>
      <c r="P2295" s="302"/>
      <c r="Q2295" s="302"/>
    </row>
    <row r="2296" spans="1:17" s="198" customFormat="1" ht="22.5" x14ac:dyDescent="0.2">
      <c r="A2296" s="235" t="s">
        <v>192</v>
      </c>
      <c r="B2296" s="236" t="s">
        <v>60</v>
      </c>
      <c r="C2296" s="236" t="s">
        <v>193</v>
      </c>
      <c r="D2296" s="236" t="s">
        <v>194</v>
      </c>
      <c r="E2296" s="236" t="s">
        <v>195</v>
      </c>
      <c r="F2296" s="236" t="s">
        <v>196</v>
      </c>
      <c r="G2296" s="236" t="s">
        <v>197</v>
      </c>
      <c r="H2296" s="236" t="s">
        <v>91</v>
      </c>
      <c r="I2296" s="236" t="s">
        <v>198</v>
      </c>
      <c r="J2296" s="302"/>
      <c r="K2296" s="302"/>
      <c r="L2296" s="302"/>
      <c r="M2296" s="302"/>
      <c r="N2296" s="302"/>
      <c r="O2296" s="302"/>
      <c r="P2296" s="302"/>
      <c r="Q2296" s="302"/>
    </row>
    <row r="2297" spans="1:17" s="198" customFormat="1" ht="22.5" x14ac:dyDescent="0.2">
      <c r="A2297" s="237" t="str">
        <f>VLOOKUP(B2297,equip.!$A:$G,2,FALSE)</f>
        <v>Caminhão carroceria 815/37 PBT=8,3t (TOCO 4,0t)</v>
      </c>
      <c r="B2297" s="238">
        <v>30004</v>
      </c>
      <c r="C2297" s="239" t="str">
        <f>VLOOKUP(B2297,equip.!$A$1:$G$239,3,FALSE)</f>
        <v>M</v>
      </c>
      <c r="D2297" s="240">
        <v>0.15</v>
      </c>
      <c r="E2297" s="205">
        <v>0.85</v>
      </c>
      <c r="F2297" s="241">
        <f>VLOOKUP(B2297,equip.!$A:$G,6,FALSE)</f>
        <v>140.51</v>
      </c>
      <c r="G2297" s="241">
        <f>VLOOKUP(B2297,equip.!$A:$G,7,FALSE)</f>
        <v>37.26</v>
      </c>
      <c r="H2297" s="242">
        <v>1</v>
      </c>
      <c r="I2297" s="243">
        <f>TRUNC(D2297*F2297*H2297+E2297*G2297*H2297,2)</f>
        <v>52.74</v>
      </c>
      <c r="J2297" s="302"/>
      <c r="K2297" s="302"/>
      <c r="L2297" s="302"/>
      <c r="M2297" s="302"/>
      <c r="N2297" s="302"/>
      <c r="O2297" s="302"/>
      <c r="P2297" s="302"/>
      <c r="Q2297" s="302"/>
    </row>
    <row r="2298" spans="1:17" s="198" customFormat="1" x14ac:dyDescent="0.2">
      <c r="A2298" s="237" t="str">
        <f>VLOOKUP(B2298,equip.!$A:$G,2,FALSE)</f>
        <v>Furadeira elétrica de bancada</v>
      </c>
      <c r="B2298" s="238">
        <v>30096</v>
      </c>
      <c r="C2298" s="239">
        <f>VLOOKUP(B2298,equip.!$A$1:$G$239,3,FALSE)</f>
        <v>0</v>
      </c>
      <c r="D2298" s="240">
        <v>0.01</v>
      </c>
      <c r="E2298" s="205">
        <v>0.99</v>
      </c>
      <c r="F2298" s="241">
        <f>VLOOKUP(B2298,equip.!$A:$G,6,FALSE)</f>
        <v>0.7</v>
      </c>
      <c r="G2298" s="241">
        <f>VLOOKUP(B2298,equip.!$A:$G,7,FALSE)</f>
        <v>0.04</v>
      </c>
      <c r="H2298" s="242">
        <v>1</v>
      </c>
      <c r="I2298" s="243">
        <f>TRUNC(D2298*F2298*H2298+E2298*G2298*H2298,2)</f>
        <v>0.04</v>
      </c>
      <c r="J2298" s="302"/>
      <c r="K2298" s="302"/>
      <c r="L2298" s="302"/>
      <c r="M2298" s="302"/>
      <c r="N2298" s="302"/>
      <c r="O2298" s="302"/>
      <c r="P2298" s="302"/>
      <c r="Q2298" s="302"/>
    </row>
    <row r="2299" spans="1:17" s="198" customFormat="1" ht="22.5" x14ac:dyDescent="0.2">
      <c r="A2299" s="237" t="str">
        <f>VLOOKUP(B2299,equip.!$A:$G,2,FALSE)</f>
        <v>Guilhotina para corte em chapa de aço até 2mm</v>
      </c>
      <c r="B2299" s="238">
        <v>30097</v>
      </c>
      <c r="C2299" s="239">
        <f>VLOOKUP(B2299,equip.!$A$1:$G$239,3,FALSE)</f>
        <v>0</v>
      </c>
      <c r="D2299" s="240">
        <v>0.01</v>
      </c>
      <c r="E2299" s="205">
        <v>0.99</v>
      </c>
      <c r="F2299" s="241">
        <f>VLOOKUP(B2299,equip.!$A:$G,6,FALSE)</f>
        <v>31.67</v>
      </c>
      <c r="G2299" s="241">
        <f>VLOOKUP(B2299,equip.!$A:$G,7,FALSE)</f>
        <v>27.09</v>
      </c>
      <c r="H2299" s="242">
        <v>1</v>
      </c>
      <c r="I2299" s="243">
        <f>TRUNC(D2299*F2299*H2299+E2299*G2299*H2299,2)</f>
        <v>27.13</v>
      </c>
      <c r="J2299" s="302"/>
      <c r="K2299" s="302"/>
      <c r="L2299" s="302"/>
      <c r="M2299" s="302"/>
      <c r="N2299" s="302"/>
      <c r="O2299" s="302"/>
      <c r="P2299" s="302"/>
      <c r="Q2299" s="302"/>
    </row>
    <row r="2300" spans="1:17" s="198" customFormat="1" x14ac:dyDescent="0.2">
      <c r="A2300" s="237" t="str">
        <f>VLOOKUP(B2300,equip.!$A:$G,2,FALSE)</f>
        <v>Serra circular manual</v>
      </c>
      <c r="B2300" s="238">
        <v>30095</v>
      </c>
      <c r="C2300" s="239">
        <f>VLOOKUP(B2300,equip.!$A$1:$G$239,3,FALSE)</f>
        <v>0</v>
      </c>
      <c r="D2300" s="240">
        <v>0.01</v>
      </c>
      <c r="E2300" s="205">
        <v>0.99</v>
      </c>
      <c r="F2300" s="241">
        <f>VLOOKUP(B2300,equip.!$A:$G,6,FALSE)</f>
        <v>2.74</v>
      </c>
      <c r="G2300" s="241">
        <f>VLOOKUP(B2300,equip.!$A:$G,7,FALSE)</f>
        <v>0.1</v>
      </c>
      <c r="H2300" s="242">
        <v>1</v>
      </c>
      <c r="I2300" s="243">
        <f>TRUNC(D2300*F2300*H2300+E2300*G2300*H2300,2)</f>
        <v>0.12</v>
      </c>
      <c r="J2300" s="302"/>
      <c r="K2300" s="302"/>
      <c r="L2300" s="302"/>
      <c r="M2300" s="302"/>
      <c r="N2300" s="302"/>
      <c r="O2300" s="302"/>
      <c r="P2300" s="302"/>
      <c r="Q2300" s="302"/>
    </row>
    <row r="2301" spans="1:17" s="198" customFormat="1" x14ac:dyDescent="0.2">
      <c r="A2301" s="199"/>
      <c r="B2301" s="233"/>
      <c r="C2301" s="233"/>
      <c r="D2301" s="199"/>
      <c r="E2301" s="199"/>
      <c r="F2301" s="234" t="s">
        <v>199</v>
      </c>
      <c r="G2301" s="244"/>
      <c r="H2301" s="245"/>
      <c r="I2301" s="434">
        <f>SUM(I2297:I2300)</f>
        <v>80.03</v>
      </c>
      <c r="J2301" s="302"/>
      <c r="K2301" s="302"/>
      <c r="L2301" s="302"/>
      <c r="M2301" s="302"/>
      <c r="N2301" s="302"/>
      <c r="P2301" s="302"/>
      <c r="Q2301" s="302"/>
    </row>
    <row r="2302" spans="1:17" s="198" customFormat="1" x14ac:dyDescent="0.2">
      <c r="A2302" s="199"/>
      <c r="B2302" s="233"/>
      <c r="C2302" s="233"/>
      <c r="D2302" s="199"/>
      <c r="E2302" s="199"/>
      <c r="F2302" s="199"/>
      <c r="G2302" s="199"/>
      <c r="H2302" s="199"/>
      <c r="I2302" s="200"/>
      <c r="J2302" s="302"/>
      <c r="K2302" s="302"/>
      <c r="L2302" s="302"/>
      <c r="M2302" s="302"/>
      <c r="N2302" s="302"/>
      <c r="P2302" s="302"/>
      <c r="Q2302" s="302"/>
    </row>
    <row r="2303" spans="1:17" s="198" customFormat="1" x14ac:dyDescent="0.2">
      <c r="A2303" s="246" t="s">
        <v>200</v>
      </c>
      <c r="B2303" s="247" t="s">
        <v>60</v>
      </c>
      <c r="C2303" s="236" t="s">
        <v>1242</v>
      </c>
      <c r="D2303" s="247" t="s">
        <v>202</v>
      </c>
      <c r="E2303" s="1276" t="s">
        <v>91</v>
      </c>
      <c r="F2303" s="1274"/>
      <c r="G2303" s="1275"/>
      <c r="H2303" s="1276" t="s">
        <v>198</v>
      </c>
      <c r="I2303" s="1275"/>
      <c r="J2303" s="302"/>
      <c r="K2303" s="302"/>
      <c r="L2303" s="302"/>
      <c r="M2303" s="302"/>
      <c r="N2303" s="302"/>
      <c r="P2303" s="302"/>
      <c r="Q2303" s="302"/>
    </row>
    <row r="2304" spans="1:17" s="198" customFormat="1" x14ac:dyDescent="0.2">
      <c r="A2304" s="248" t="str">
        <f>VLOOKUP(B2304,m.o.!$A:$H,2,FALSE)</f>
        <v>Ajudante de carpinteiro</v>
      </c>
      <c r="B2304" s="238">
        <v>20039</v>
      </c>
      <c r="C2304" s="243">
        <f>VLOOKUP(B2304,m.o.!$A:$F,4,FALSE)</f>
        <v>1.01</v>
      </c>
      <c r="D2304" s="243">
        <f>VLOOKUP(B2304,m.o.!$A:$G,7,FALSE)</f>
        <v>11.75</v>
      </c>
      <c r="E2304" s="244"/>
      <c r="F2304" s="258"/>
      <c r="G2304" s="300">
        <v>2</v>
      </c>
      <c r="H2304" s="244"/>
      <c r="I2304" s="249">
        <f>TRUNC(D2304*G2304,2)</f>
        <v>23.5</v>
      </c>
      <c r="J2304" s="302"/>
      <c r="K2304" s="302"/>
      <c r="L2304" s="302"/>
      <c r="M2304" s="302"/>
      <c r="N2304" s="302"/>
      <c r="P2304" s="302"/>
      <c r="Q2304" s="302"/>
    </row>
    <row r="2305" spans="1:17" s="198" customFormat="1" x14ac:dyDescent="0.2">
      <c r="A2305" s="248" t="str">
        <f>VLOOKUP(B2305,m.o.!$A:$H,2,FALSE)</f>
        <v>Desenhista</v>
      </c>
      <c r="B2305" s="238">
        <v>20048</v>
      </c>
      <c r="C2305" s="243">
        <f>VLOOKUP(B2305,m.o.!$A:$F,5,FALSE)</f>
        <v>3530.9</v>
      </c>
      <c r="D2305" s="243">
        <f>VLOOKUP(B2305,m.o.!$A:$G,7,FALSE)</f>
        <v>6498.26</v>
      </c>
      <c r="E2305" s="244"/>
      <c r="F2305" s="258"/>
      <c r="G2305" s="300">
        <v>4.4999999999999997E-3</v>
      </c>
      <c r="H2305" s="244"/>
      <c r="I2305" s="249">
        <f>TRUNC(D2305*G2305,2)</f>
        <v>29.24</v>
      </c>
      <c r="J2305" s="302"/>
      <c r="K2305" s="302"/>
      <c r="L2305" s="302"/>
      <c r="M2305" s="302"/>
      <c r="N2305" s="302"/>
      <c r="O2305" s="302"/>
      <c r="P2305" s="302"/>
      <c r="Q2305" s="302"/>
    </row>
    <row r="2306" spans="1:17" s="198" customFormat="1" x14ac:dyDescent="0.2">
      <c r="A2306" s="248" t="str">
        <f>VLOOKUP(B2306,m.o.!$A:$H,2,FALSE)</f>
        <v>Pintor</v>
      </c>
      <c r="B2306" s="238">
        <v>20111</v>
      </c>
      <c r="C2306" s="243">
        <f>VLOOKUP(B2306,m.o.!$A:$F,4,FALSE)</f>
        <v>1.24</v>
      </c>
      <c r="D2306" s="243">
        <f>VLOOKUP(B2306,m.o.!$A:$G,7,FALSE)</f>
        <v>14.43</v>
      </c>
      <c r="E2306" s="244"/>
      <c r="F2306" s="245"/>
      <c r="G2306" s="441">
        <v>1</v>
      </c>
      <c r="H2306" s="244"/>
      <c r="I2306" s="249">
        <f>TRUNC(D2306*G2306,2)</f>
        <v>14.43</v>
      </c>
      <c r="J2306" s="302"/>
      <c r="K2306" s="302"/>
      <c r="L2306" s="302"/>
      <c r="M2306" s="302"/>
      <c r="N2306" s="302"/>
      <c r="O2306" s="302"/>
      <c r="P2306" s="302"/>
      <c r="Q2306" s="302"/>
    </row>
    <row r="2307" spans="1:17" s="198" customFormat="1" x14ac:dyDescent="0.2">
      <c r="A2307" s="248" t="str">
        <f>VLOOKUP(B2307,m.o.!$A:$H,2,FALSE)</f>
        <v>Servente</v>
      </c>
      <c r="B2307" s="238">
        <v>20002</v>
      </c>
      <c r="C2307" s="243">
        <f>VLOOKUP(B2307,m.o.!$A:$F,4,FALSE)</f>
        <v>1</v>
      </c>
      <c r="D2307" s="243">
        <f>VLOOKUP(B2307,m.o.!$A:$G,7,FALSE)</f>
        <v>11.64</v>
      </c>
      <c r="E2307" s="244"/>
      <c r="F2307" s="245"/>
      <c r="G2307" s="441">
        <v>2</v>
      </c>
      <c r="H2307" s="244"/>
      <c r="I2307" s="249">
        <f>TRUNC(D2307*G2307,2)</f>
        <v>23.28</v>
      </c>
      <c r="J2307" s="302"/>
      <c r="K2307" s="302"/>
      <c r="L2307" s="302"/>
      <c r="M2307" s="302"/>
      <c r="N2307" s="302"/>
      <c r="O2307" s="302"/>
      <c r="P2307" s="302"/>
      <c r="Q2307" s="302"/>
    </row>
    <row r="2308" spans="1:17" s="198" customFormat="1" x14ac:dyDescent="0.2">
      <c r="A2308" s="199"/>
      <c r="B2308" s="233"/>
      <c r="C2308" s="233"/>
      <c r="D2308" s="199"/>
      <c r="E2308" s="199"/>
      <c r="F2308" s="234" t="s">
        <v>203</v>
      </c>
      <c r="G2308" s="244"/>
      <c r="H2308" s="245"/>
      <c r="I2308" s="434">
        <f>SUM(I2304:I2307)</f>
        <v>90.45</v>
      </c>
      <c r="J2308" s="302"/>
      <c r="K2308" s="302"/>
      <c r="L2308" s="302"/>
      <c r="M2308" s="302"/>
      <c r="N2308" s="302"/>
      <c r="O2308" s="302"/>
      <c r="P2308" s="302"/>
      <c r="Q2308" s="302"/>
    </row>
    <row r="2309" spans="1:17" s="198" customFormat="1" x14ac:dyDescent="0.2">
      <c r="A2309" s="199"/>
      <c r="B2309" s="233"/>
      <c r="C2309" s="233"/>
      <c r="D2309" s="199"/>
      <c r="E2309" s="199"/>
      <c r="F2309" s="199"/>
      <c r="G2309" s="199"/>
      <c r="H2309" s="199"/>
      <c r="I2309" s="200"/>
      <c r="J2309" s="302"/>
      <c r="K2309" s="302"/>
      <c r="L2309" s="302"/>
      <c r="M2309" s="302"/>
      <c r="N2309" s="302"/>
      <c r="O2309" s="302"/>
      <c r="P2309" s="302"/>
      <c r="Q2309" s="302"/>
    </row>
    <row r="2310" spans="1:17" s="198" customFormat="1" x14ac:dyDescent="0.2">
      <c r="A2310" s="250" t="s">
        <v>204</v>
      </c>
      <c r="B2310" s="247" t="s">
        <v>60</v>
      </c>
      <c r="C2310" s="866" t="s">
        <v>17</v>
      </c>
      <c r="D2310" s="247" t="s">
        <v>205</v>
      </c>
      <c r="E2310" s="247" t="s">
        <v>206</v>
      </c>
      <c r="F2310" s="247" t="s">
        <v>207</v>
      </c>
      <c r="G2310" s="1276" t="s">
        <v>96</v>
      </c>
      <c r="H2310" s="1274"/>
      <c r="I2310" s="1275"/>
      <c r="J2310" s="302"/>
      <c r="K2310" s="302"/>
      <c r="L2310" s="302"/>
      <c r="M2310" s="302"/>
      <c r="N2310" s="302"/>
      <c r="O2310" s="302"/>
      <c r="P2310" s="302"/>
      <c r="Q2310" s="302"/>
    </row>
    <row r="2311" spans="1:17" s="198" customFormat="1" x14ac:dyDescent="0.2">
      <c r="A2311" s="248" t="s">
        <v>1091</v>
      </c>
      <c r="B2311" s="238">
        <v>2000</v>
      </c>
      <c r="C2311" s="243">
        <v>5</v>
      </c>
      <c r="D2311" s="239" t="s">
        <v>1092</v>
      </c>
      <c r="E2311" s="251"/>
      <c r="F2311" s="251"/>
      <c r="G2311" s="244"/>
      <c r="H2311" s="245"/>
      <c r="I2311" s="249">
        <f>C2311/100*I2308</f>
        <v>4.5199999999999996</v>
      </c>
      <c r="J2311" s="302"/>
      <c r="K2311" s="302"/>
      <c r="L2311" s="302"/>
      <c r="M2311" s="302"/>
      <c r="N2311" s="302"/>
      <c r="O2311" s="302"/>
      <c r="P2311" s="302"/>
      <c r="Q2311" s="302"/>
    </row>
    <row r="2312" spans="1:17" s="198" customFormat="1" x14ac:dyDescent="0.2">
      <c r="A2312" s="199"/>
      <c r="B2312" s="233"/>
      <c r="C2312" s="199"/>
      <c r="D2312" s="199"/>
      <c r="E2312" s="199"/>
      <c r="F2312" s="234" t="s">
        <v>1170</v>
      </c>
      <c r="G2312" s="244"/>
      <c r="H2312" s="245"/>
      <c r="I2312" s="434">
        <f>SUM(I2311)</f>
        <v>4.5199999999999996</v>
      </c>
      <c r="J2312" s="302"/>
      <c r="K2312" s="302"/>
      <c r="L2312" s="302"/>
      <c r="M2312" s="302"/>
      <c r="N2312" s="302"/>
      <c r="O2312" s="302"/>
      <c r="P2312" s="302"/>
      <c r="Q2312" s="302"/>
    </row>
    <row r="2313" spans="1:17" s="198" customFormat="1" x14ac:dyDescent="0.2">
      <c r="A2313" s="199"/>
      <c r="B2313" s="233"/>
      <c r="C2313" s="199"/>
      <c r="D2313" s="199"/>
      <c r="E2313" s="199"/>
      <c r="F2313" s="199"/>
      <c r="G2313" s="199"/>
      <c r="H2313" s="199"/>
      <c r="I2313" s="200"/>
      <c r="J2313" s="302"/>
      <c r="K2313" s="302"/>
      <c r="L2313" s="302"/>
      <c r="M2313" s="302"/>
      <c r="N2313" s="302"/>
      <c r="O2313" s="302"/>
      <c r="P2313" s="302"/>
      <c r="Q2313" s="302"/>
    </row>
    <row r="2314" spans="1:17" s="198" customFormat="1" x14ac:dyDescent="0.2">
      <c r="A2314" s="252"/>
      <c r="B2314" s="253"/>
      <c r="C2314" s="254"/>
      <c r="D2314" s="254"/>
      <c r="E2314" s="254"/>
      <c r="F2314" s="255" t="s">
        <v>208</v>
      </c>
      <c r="G2314" s="435"/>
      <c r="H2314" s="254"/>
      <c r="I2314" s="634">
        <f>+I2301+I2308+I2312</f>
        <v>175</v>
      </c>
      <c r="J2314" s="302"/>
      <c r="K2314" s="302"/>
      <c r="L2314" s="302"/>
      <c r="M2314" s="302"/>
      <c r="N2314" s="302"/>
      <c r="O2314" s="302"/>
      <c r="P2314" s="302"/>
      <c r="Q2314" s="302"/>
    </row>
    <row r="2315" spans="1:17" s="198" customFormat="1" x14ac:dyDescent="0.2">
      <c r="A2315" s="256"/>
      <c r="B2315" s="257"/>
      <c r="C2315" s="258"/>
      <c r="D2315" s="258"/>
      <c r="E2315" s="258"/>
      <c r="F2315" s="259" t="s">
        <v>209</v>
      </c>
      <c r="G2315" s="260"/>
      <c r="H2315" s="258"/>
      <c r="I2315" s="635">
        <v>1</v>
      </c>
      <c r="J2315" s="302"/>
      <c r="K2315" s="302"/>
      <c r="L2315" s="302"/>
      <c r="M2315" s="302"/>
      <c r="N2315" s="302"/>
      <c r="O2315" s="302"/>
      <c r="P2315" s="302"/>
      <c r="Q2315" s="302"/>
    </row>
    <row r="2316" spans="1:17" s="198" customFormat="1" x14ac:dyDescent="0.2">
      <c r="A2316" s="237"/>
      <c r="B2316" s="261"/>
      <c r="C2316" s="245"/>
      <c r="D2316" s="245"/>
      <c r="E2316" s="245"/>
      <c r="F2316" s="262" t="s">
        <v>232</v>
      </c>
      <c r="G2316" s="244"/>
      <c r="H2316" s="245"/>
      <c r="I2316" s="633">
        <f>TRUNC(I2314/I2315,2)</f>
        <v>175</v>
      </c>
      <c r="J2316" s="302"/>
      <c r="K2316" s="302"/>
      <c r="L2316" s="302"/>
      <c r="M2316" s="302"/>
      <c r="N2316" s="302"/>
      <c r="O2316" s="302"/>
      <c r="P2316" s="302"/>
      <c r="Q2316" s="302"/>
    </row>
    <row r="2317" spans="1:17" s="198" customFormat="1" x14ac:dyDescent="0.2">
      <c r="A2317" s="867"/>
      <c r="B2317" s="233"/>
      <c r="C2317" s="199"/>
      <c r="D2317" s="199"/>
      <c r="E2317" s="199"/>
      <c r="F2317" s="263"/>
      <c r="G2317" s="199"/>
      <c r="H2317" s="199"/>
      <c r="I2317" s="264"/>
      <c r="J2317" s="302"/>
      <c r="K2317" s="302"/>
      <c r="L2317" s="302"/>
      <c r="M2317" s="302"/>
      <c r="N2317" s="302"/>
      <c r="O2317" s="302"/>
      <c r="P2317" s="302"/>
      <c r="Q2317" s="302"/>
    </row>
    <row r="2318" spans="1:17" s="198" customFormat="1" x14ac:dyDescent="0.2">
      <c r="A2318" s="246" t="s">
        <v>210</v>
      </c>
      <c r="B2318" s="247" t="s">
        <v>60</v>
      </c>
      <c r="C2318" s="247" t="s">
        <v>211</v>
      </c>
      <c r="D2318" s="247" t="s">
        <v>233</v>
      </c>
      <c r="E2318" s="1276" t="s">
        <v>91</v>
      </c>
      <c r="F2318" s="1274"/>
      <c r="G2318" s="1275"/>
      <c r="H2318" s="1276" t="s">
        <v>198</v>
      </c>
      <c r="I2318" s="1275"/>
      <c r="J2318" s="302"/>
      <c r="K2318" s="302"/>
      <c r="L2318" s="302"/>
      <c r="M2318" s="302"/>
      <c r="N2318" s="302"/>
      <c r="O2318" s="302"/>
      <c r="P2318" s="302"/>
      <c r="Q2318" s="302"/>
    </row>
    <row r="2319" spans="1:17" s="198" customFormat="1" ht="22.5" x14ac:dyDescent="0.2">
      <c r="A2319" s="265" t="str">
        <f>VLOOKUP(B2319,mat.!$A:$D,2,FALSE)</f>
        <v>Chapa de aço fina-frio nº 16, esp.1,5mm SAE 1008/1010</v>
      </c>
      <c r="B2319" s="238">
        <v>10379</v>
      </c>
      <c r="C2319" s="266" t="str">
        <f>VLOOKUP(B2319,mat.!$A:$D,3,FALSE)</f>
        <v>M2</v>
      </c>
      <c r="D2319" s="267">
        <f>VLOOKUP(B2319,mat.!$A:$D,4,FALSE)</f>
        <v>62.37</v>
      </c>
      <c r="E2319" s="260"/>
      <c r="F2319" s="258"/>
      <c r="G2319" s="300">
        <v>1</v>
      </c>
      <c r="H2319" s="260"/>
      <c r="I2319" s="268">
        <f t="shared" ref="I2319:I2328" si="21">TRUNC(D2319*G2319,2)</f>
        <v>62.37</v>
      </c>
      <c r="J2319" s="302"/>
      <c r="K2319" s="302"/>
      <c r="L2319" s="302"/>
      <c r="M2319" s="302"/>
      <c r="N2319" s="302"/>
      <c r="O2319" s="302"/>
      <c r="P2319" s="302"/>
      <c r="Q2319" s="302"/>
    </row>
    <row r="2320" spans="1:17" s="198" customFormat="1" ht="22.5" x14ac:dyDescent="0.2">
      <c r="A2320" s="265" t="str">
        <f>VLOOKUP(B2320,mat.!$A:$D,2,FALSE)</f>
        <v>Esmalte sintético brilhante secagem rápida</v>
      </c>
      <c r="B2320" s="238">
        <v>10369</v>
      </c>
      <c r="C2320" s="266" t="str">
        <f>VLOOKUP(B2320,mat.!$A:$D,3,FALSE)</f>
        <v>GL</v>
      </c>
      <c r="D2320" s="267">
        <f>VLOOKUP(B2320,mat.!$A:$D,4,FALSE)</f>
        <v>83.45</v>
      </c>
      <c r="E2320" s="260"/>
      <c r="F2320" s="258"/>
      <c r="G2320" s="441">
        <v>4.5499999999999999E-2</v>
      </c>
      <c r="H2320" s="260"/>
      <c r="I2320" s="268">
        <f t="shared" si="21"/>
        <v>3.79</v>
      </c>
      <c r="J2320" s="302"/>
      <c r="K2320" s="302"/>
      <c r="L2320" s="302"/>
      <c r="M2320" s="302"/>
      <c r="N2320" s="302"/>
      <c r="O2320" s="302"/>
      <c r="P2320" s="302"/>
      <c r="Q2320" s="302"/>
    </row>
    <row r="2321" spans="1:17" s="198" customFormat="1" ht="22.5" x14ac:dyDescent="0.2">
      <c r="A2321" s="265" t="str">
        <f>VLOOKUP(B2321,mat.!$A:$D,2,FALSE)</f>
        <v>Esmalte sintético fosco secagem rápida</v>
      </c>
      <c r="B2321" s="238">
        <v>10370</v>
      </c>
      <c r="C2321" s="266" t="str">
        <f>VLOOKUP(B2321,mat.!$A:$D,3,FALSE)</f>
        <v>GL</v>
      </c>
      <c r="D2321" s="267">
        <f>VLOOKUP(B2321,mat.!$A:$D,4,FALSE)</f>
        <v>94.57</v>
      </c>
      <c r="E2321" s="260"/>
      <c r="F2321" s="258"/>
      <c r="G2321" s="441">
        <v>4.5499999999999999E-2</v>
      </c>
      <c r="H2321" s="260"/>
      <c r="I2321" s="268">
        <f t="shared" si="21"/>
        <v>4.3</v>
      </c>
      <c r="J2321" s="302"/>
      <c r="K2321" s="302"/>
      <c r="L2321" s="302"/>
      <c r="M2321" s="302"/>
      <c r="N2321" s="302"/>
      <c r="O2321" s="302"/>
      <c r="P2321" s="302"/>
      <c r="Q2321" s="302"/>
    </row>
    <row r="2322" spans="1:17" s="198" customFormat="1" x14ac:dyDescent="0.2">
      <c r="A2322" s="265" t="str">
        <f>VLOOKUP(B2322,mat.!$A:$D,2,FALSE)</f>
        <v>Lixa d'água nº 80</v>
      </c>
      <c r="B2322" s="238">
        <v>10373</v>
      </c>
      <c r="C2322" s="266" t="str">
        <f>VLOOKUP(B2322,mat.!$A:$D,3,FALSE)</f>
        <v>Ud</v>
      </c>
      <c r="D2322" s="267">
        <f>VLOOKUP(B2322,mat.!$A:$D,4,FALSE)</f>
        <v>1.1599999999999999</v>
      </c>
      <c r="E2322" s="260"/>
      <c r="F2322" s="258"/>
      <c r="G2322" s="441">
        <v>0.08</v>
      </c>
      <c r="H2322" s="260"/>
      <c r="I2322" s="268">
        <f t="shared" si="21"/>
        <v>0.09</v>
      </c>
      <c r="J2322" s="302"/>
      <c r="K2322" s="302"/>
      <c r="L2322" s="302"/>
      <c r="M2322" s="302"/>
      <c r="N2322" s="302"/>
      <c r="O2322" s="302"/>
      <c r="P2322" s="302"/>
      <c r="Q2322" s="302"/>
    </row>
    <row r="2323" spans="1:17" s="198" customFormat="1" ht="22.5" x14ac:dyDescent="0.2">
      <c r="A2323" s="265" t="str">
        <f>VLOOKUP(B2323,mat.!$A:$D,2,FALSE)</f>
        <v>Parafuso c/ porca e arruela (3/16x1 1/2")</v>
      </c>
      <c r="B2323" s="238">
        <v>10375</v>
      </c>
      <c r="C2323" s="266" t="str">
        <f>VLOOKUP(B2323,mat.!$A:$D,3,FALSE)</f>
        <v>Ud</v>
      </c>
      <c r="D2323" s="267">
        <f>VLOOKUP(B2323,mat.!$A:$D,4,FALSE)</f>
        <v>0.3</v>
      </c>
      <c r="E2323" s="260"/>
      <c r="F2323" s="258"/>
      <c r="G2323" s="441">
        <v>4</v>
      </c>
      <c r="H2323" s="260"/>
      <c r="I2323" s="268">
        <f t="shared" si="21"/>
        <v>1.2</v>
      </c>
      <c r="J2323" s="302"/>
      <c r="K2323" s="302"/>
      <c r="L2323" s="302"/>
      <c r="M2323" s="302"/>
      <c r="N2323" s="302"/>
      <c r="O2323" s="302"/>
      <c r="P2323" s="302"/>
      <c r="Q2323" s="302"/>
    </row>
    <row r="2324" spans="1:17" s="198" customFormat="1" ht="22.5" x14ac:dyDescent="0.2">
      <c r="A2324" s="265" t="str">
        <f>VLOOKUP(B2324,mat.!$A:$D,2,FALSE)</f>
        <v>Película refletiva grau técnico todas as cores</v>
      </c>
      <c r="B2324" s="238">
        <v>10380</v>
      </c>
      <c r="C2324" s="266" t="str">
        <f>VLOOKUP(B2324,mat.!$A:$D,3,FALSE)</f>
        <v>M2</v>
      </c>
      <c r="D2324" s="267">
        <f>VLOOKUP(B2324,mat.!$A:$D,4,FALSE)</f>
        <v>118.77</v>
      </c>
      <c r="E2324" s="260"/>
      <c r="F2324" s="258"/>
      <c r="G2324" s="441">
        <v>0.53900000000000003</v>
      </c>
      <c r="H2324" s="260"/>
      <c r="I2324" s="268">
        <f t="shared" si="21"/>
        <v>64.010000000000005</v>
      </c>
      <c r="J2324" s="302"/>
      <c r="K2324" s="302"/>
      <c r="L2324" s="302"/>
      <c r="M2324" s="302"/>
      <c r="N2324" s="302"/>
      <c r="O2324" s="302"/>
      <c r="P2324" s="302"/>
      <c r="Q2324" s="302"/>
    </row>
    <row r="2325" spans="1:17" s="198" customFormat="1" x14ac:dyDescent="0.2">
      <c r="A2325" s="265" t="str">
        <f>VLOOKUP(B2325,mat.!$A:$D,2,FALSE)</f>
        <v>Primer base cromato de zinco</v>
      </c>
      <c r="B2325" s="238">
        <v>10381</v>
      </c>
      <c r="C2325" s="266" t="str">
        <f>VLOOKUP(B2325,mat.!$A:$D,3,FALSE)</f>
        <v>GL</v>
      </c>
      <c r="D2325" s="267">
        <f>VLOOKUP(B2325,mat.!$A:$D,4,FALSE)</f>
        <v>87.48</v>
      </c>
      <c r="E2325" s="260"/>
      <c r="F2325" s="258"/>
      <c r="G2325" s="441">
        <v>9.0899999999999995E-2</v>
      </c>
      <c r="H2325" s="260"/>
      <c r="I2325" s="268">
        <f t="shared" si="21"/>
        <v>7.95</v>
      </c>
      <c r="J2325" s="302"/>
      <c r="K2325" s="302"/>
      <c r="L2325" s="302"/>
      <c r="M2325" s="302"/>
      <c r="N2325" s="302"/>
      <c r="O2325" s="302"/>
      <c r="P2325" s="302"/>
      <c r="Q2325" s="302"/>
    </row>
    <row r="2326" spans="1:17" s="198" customFormat="1" x14ac:dyDescent="0.2">
      <c r="A2326" s="265" t="str">
        <f>VLOOKUP(B2326,mat.!$A:$D,2,FALSE)</f>
        <v>Ripão de 2,5 X 7.0 cm</v>
      </c>
      <c r="B2326" s="238">
        <v>10069</v>
      </c>
      <c r="C2326" s="266" t="str">
        <f>VLOOKUP(B2326,mat.!$A:$D,3,FALSE)</f>
        <v>m3</v>
      </c>
      <c r="D2326" s="267">
        <f>VLOOKUP(B2326,mat.!$A:$D,4,FALSE)</f>
        <v>1370.24</v>
      </c>
      <c r="E2326" s="260"/>
      <c r="F2326" s="258"/>
      <c r="G2326" s="441">
        <v>1.8E-3</v>
      </c>
      <c r="H2326" s="260"/>
      <c r="I2326" s="268">
        <f t="shared" si="21"/>
        <v>2.46</v>
      </c>
      <c r="J2326" s="433"/>
      <c r="K2326" s="433"/>
      <c r="L2326" s="302"/>
      <c r="M2326" s="302"/>
      <c r="N2326" s="302"/>
      <c r="O2326" s="302"/>
      <c r="P2326" s="302"/>
      <c r="Q2326" s="302"/>
    </row>
    <row r="2327" spans="1:17" s="198" customFormat="1" ht="22.5" x14ac:dyDescent="0.2">
      <c r="A2327" s="265" t="str">
        <f>VLOOKUP(B2327,mat.!$A:$D,2,FALSE)</f>
        <v>Suporte em madeira de 1ª qualidade (8x8x320cm)</v>
      </c>
      <c r="B2327" s="238">
        <v>10374</v>
      </c>
      <c r="C2327" s="266" t="str">
        <f>VLOOKUP(B2327,mat.!$A:$D,3,FALSE)</f>
        <v>Ud</v>
      </c>
      <c r="D2327" s="267">
        <f>VLOOKUP(B2327,mat.!$A:$D,4,FALSE)</f>
        <v>45.13</v>
      </c>
      <c r="E2327" s="260"/>
      <c r="F2327" s="258"/>
      <c r="G2327" s="441">
        <v>1</v>
      </c>
      <c r="H2327" s="260"/>
      <c r="I2327" s="268">
        <f t="shared" si="21"/>
        <v>45.13</v>
      </c>
      <c r="J2327" s="433"/>
      <c r="K2327" s="433"/>
      <c r="L2327" s="302"/>
      <c r="M2327" s="302"/>
      <c r="N2327" s="302"/>
      <c r="P2327" s="302"/>
      <c r="Q2327" s="302"/>
    </row>
    <row r="2328" spans="1:17" s="198" customFormat="1" x14ac:dyDescent="0.2">
      <c r="A2328" s="265" t="str">
        <f>VLOOKUP(B2328,mat.!$A:$D,2,FALSE)</f>
        <v>Tinta acrílica</v>
      </c>
      <c r="B2328" s="238">
        <v>10371</v>
      </c>
      <c r="C2328" s="266" t="str">
        <f>VLOOKUP(B2328,mat.!$A:$D,3,FALSE)</f>
        <v>BD</v>
      </c>
      <c r="D2328" s="267">
        <f>VLOOKUP(B2328,mat.!$A:$D,4,FALSE)</f>
        <v>180.88</v>
      </c>
      <c r="E2328" s="260"/>
      <c r="F2328" s="258"/>
      <c r="G2328" s="441">
        <v>5.1000000000000004E-3</v>
      </c>
      <c r="H2328" s="260"/>
      <c r="I2328" s="268">
        <f t="shared" si="21"/>
        <v>0.92</v>
      </c>
      <c r="J2328" s="433"/>
      <c r="K2328" s="433"/>
      <c r="L2328" s="302"/>
      <c r="M2328" s="302"/>
      <c r="N2328" s="302"/>
      <c r="O2328" s="302"/>
      <c r="P2328" s="302"/>
      <c r="Q2328" s="302"/>
    </row>
    <row r="2329" spans="1:17" s="198" customFormat="1" x14ac:dyDescent="0.2">
      <c r="A2329" s="199"/>
      <c r="B2329" s="233"/>
      <c r="C2329" s="199"/>
      <c r="D2329" s="199"/>
      <c r="E2329" s="199"/>
      <c r="F2329" s="234" t="s">
        <v>212</v>
      </c>
      <c r="G2329" s="244"/>
      <c r="H2329" s="245"/>
      <c r="I2329" s="434">
        <f>SUM(I2319:I2328)</f>
        <v>192.22</v>
      </c>
      <c r="J2329" s="433"/>
      <c r="K2329" s="433"/>
      <c r="L2329" s="302"/>
      <c r="M2329" s="302"/>
      <c r="N2329" s="302"/>
      <c r="O2329" s="302"/>
      <c r="P2329" s="302"/>
      <c r="Q2329" s="302"/>
    </row>
    <row r="2330" spans="1:17" s="198" customFormat="1" x14ac:dyDescent="0.2">
      <c r="A2330" s="199"/>
      <c r="B2330" s="233"/>
      <c r="C2330" s="199"/>
      <c r="D2330" s="199"/>
      <c r="E2330" s="199"/>
      <c r="F2330" s="199"/>
      <c r="G2330" s="269"/>
      <c r="H2330" s="199"/>
      <c r="I2330" s="200"/>
      <c r="J2330" s="433"/>
      <c r="K2330" s="433"/>
      <c r="L2330" s="302"/>
      <c r="M2330" s="302"/>
      <c r="N2330" s="302"/>
      <c r="O2330" s="302"/>
      <c r="P2330" s="302"/>
      <c r="Q2330" s="302"/>
    </row>
    <row r="2331" spans="1:17" s="198" customFormat="1" x14ac:dyDescent="0.2">
      <c r="A2331" s="270" t="s">
        <v>213</v>
      </c>
      <c r="B2331" s="247" t="s">
        <v>60</v>
      </c>
      <c r="C2331" s="247" t="s">
        <v>211</v>
      </c>
      <c r="D2331" s="866" t="s">
        <v>233</v>
      </c>
      <c r="E2331" s="1276" t="s">
        <v>91</v>
      </c>
      <c r="F2331" s="1274"/>
      <c r="G2331" s="1275"/>
      <c r="H2331" s="1276" t="s">
        <v>198</v>
      </c>
      <c r="I2331" s="1275"/>
      <c r="J2331" s="433"/>
      <c r="K2331" s="433"/>
      <c r="L2331" s="302"/>
      <c r="M2331" s="302"/>
      <c r="N2331" s="302"/>
      <c r="O2331" s="302"/>
      <c r="P2331" s="302"/>
      <c r="Q2331" s="302"/>
    </row>
    <row r="2332" spans="1:17" s="198" customFormat="1" x14ac:dyDescent="0.2">
      <c r="A2332" s="248"/>
      <c r="B2332" s="238"/>
      <c r="C2332" s="238"/>
      <c r="D2332" s="243"/>
      <c r="E2332" s="244"/>
      <c r="F2332" s="258"/>
      <c r="G2332" s="300"/>
      <c r="H2332" s="244"/>
      <c r="I2332" s="268"/>
      <c r="J2332" s="433"/>
      <c r="K2332" s="433"/>
      <c r="L2332" s="302"/>
      <c r="M2332" s="302"/>
      <c r="N2332" s="302"/>
      <c r="O2332" s="302"/>
      <c r="P2332" s="302"/>
      <c r="Q2332" s="302"/>
    </row>
    <row r="2333" spans="1:17" s="198" customFormat="1" x14ac:dyDescent="0.2">
      <c r="A2333" s="201"/>
      <c r="B2333" s="271"/>
      <c r="C2333" s="201"/>
      <c r="D2333" s="201"/>
      <c r="E2333" s="201"/>
      <c r="F2333" s="272" t="s">
        <v>214</v>
      </c>
      <c r="G2333" s="260"/>
      <c r="H2333" s="273"/>
      <c r="I2333" s="436">
        <f>SUM(I2332:I2332)</f>
        <v>0</v>
      </c>
      <c r="J2333" s="433"/>
      <c r="K2333" s="433"/>
      <c r="L2333" s="302"/>
      <c r="M2333" s="302"/>
      <c r="N2333" s="302"/>
      <c r="O2333" s="302"/>
      <c r="P2333" s="302"/>
      <c r="Q2333" s="302"/>
    </row>
    <row r="2334" spans="1:17" s="198" customFormat="1" x14ac:dyDescent="0.2">
      <c r="A2334" s="201"/>
      <c r="B2334" s="271"/>
      <c r="C2334" s="201"/>
      <c r="D2334" s="201"/>
      <c r="E2334" s="201"/>
      <c r="F2334" s="201"/>
      <c r="G2334" s="201"/>
      <c r="H2334" s="201"/>
      <c r="I2334" s="201"/>
      <c r="J2334" s="433"/>
      <c r="K2334" s="433"/>
      <c r="L2334" s="302"/>
      <c r="M2334" s="302"/>
      <c r="N2334" s="302"/>
      <c r="O2334" s="302"/>
      <c r="P2334" s="302"/>
      <c r="Q2334" s="302"/>
    </row>
    <row r="2335" spans="1:17" s="198" customFormat="1" x14ac:dyDescent="0.2">
      <c r="A2335" s="274" t="s">
        <v>215</v>
      </c>
      <c r="B2335" s="275" t="s">
        <v>60</v>
      </c>
      <c r="C2335" s="275" t="s">
        <v>211</v>
      </c>
      <c r="D2335" s="275" t="s">
        <v>216</v>
      </c>
      <c r="E2335" s="275" t="s">
        <v>217</v>
      </c>
      <c r="F2335" s="275" t="s">
        <v>218</v>
      </c>
      <c r="G2335" s="275" t="s">
        <v>96</v>
      </c>
      <c r="H2335" s="275" t="s">
        <v>91</v>
      </c>
      <c r="I2335" s="275" t="s">
        <v>219</v>
      </c>
      <c r="J2335" s="433"/>
      <c r="K2335" s="433"/>
      <c r="L2335" s="302"/>
      <c r="M2335" s="302"/>
      <c r="N2335" s="302"/>
      <c r="O2335" s="302"/>
      <c r="P2335" s="302"/>
      <c r="Q2335" s="302"/>
    </row>
    <row r="2336" spans="1:17" s="198" customFormat="1" x14ac:dyDescent="0.2">
      <c r="A2336" s="248"/>
      <c r="B2336" s="238"/>
      <c r="C2336" s="238"/>
      <c r="D2336" s="276"/>
      <c r="E2336" s="277"/>
      <c r="F2336" s="277"/>
      <c r="G2336" s="243"/>
      <c r="H2336" s="278"/>
      <c r="I2336" s="243"/>
      <c r="J2336" s="433"/>
      <c r="K2336" s="433"/>
      <c r="L2336" s="302"/>
      <c r="M2336" s="302"/>
      <c r="N2336" s="302"/>
      <c r="O2336" s="302"/>
      <c r="P2336" s="302"/>
      <c r="Q2336" s="302"/>
    </row>
    <row r="2337" spans="1:17" s="198" customFormat="1" x14ac:dyDescent="0.2">
      <c r="A2337" s="201"/>
      <c r="B2337" s="271"/>
      <c r="C2337" s="201"/>
      <c r="D2337" s="201"/>
      <c r="E2337" s="201"/>
      <c r="F2337" s="272" t="s">
        <v>220</v>
      </c>
      <c r="G2337" s="244"/>
      <c r="H2337" s="279"/>
      <c r="I2337" s="438">
        <f>SUM(I2336:I2336)</f>
        <v>0</v>
      </c>
      <c r="J2337" s="433"/>
      <c r="K2337" s="433"/>
      <c r="L2337" s="302"/>
      <c r="M2337" s="302"/>
      <c r="N2337" s="302"/>
      <c r="O2337" s="302"/>
      <c r="P2337" s="302"/>
      <c r="Q2337" s="302"/>
    </row>
    <row r="2338" spans="1:17" s="198" customFormat="1" x14ac:dyDescent="0.2">
      <c r="A2338" s="201"/>
      <c r="B2338" s="271"/>
      <c r="C2338" s="201"/>
      <c r="D2338" s="201"/>
      <c r="E2338" s="201"/>
      <c r="F2338" s="201"/>
      <c r="G2338" s="201"/>
      <c r="H2338" s="201"/>
      <c r="I2338" s="202"/>
      <c r="J2338" s="433"/>
      <c r="K2338" s="433"/>
      <c r="L2338" s="302"/>
      <c r="M2338" s="302"/>
      <c r="N2338" s="302"/>
      <c r="O2338" s="302"/>
      <c r="P2338" s="302"/>
      <c r="Q2338" s="302"/>
    </row>
    <row r="2339" spans="1:17" s="198" customFormat="1" x14ac:dyDescent="0.2">
      <c r="A2339" s="280"/>
      <c r="B2339" s="281"/>
      <c r="C2339" s="282"/>
      <c r="D2339" s="282"/>
      <c r="E2339" s="282"/>
      <c r="F2339" s="283" t="s">
        <v>221</v>
      </c>
      <c r="G2339" s="280"/>
      <c r="H2339" s="254"/>
      <c r="I2339" s="634">
        <f>+I2316+I2329+I2333+I2337</f>
        <v>367.22</v>
      </c>
      <c r="J2339" s="433"/>
      <c r="K2339" s="433"/>
      <c r="L2339" s="302"/>
      <c r="M2339" s="302"/>
      <c r="N2339" s="302"/>
      <c r="O2339" s="302"/>
      <c r="P2339" s="302"/>
      <c r="Q2339" s="302"/>
    </row>
    <row r="2340" spans="1:17" s="198" customFormat="1" x14ac:dyDescent="0.2">
      <c r="A2340" s="260"/>
      <c r="B2340" s="284"/>
      <c r="C2340" s="273"/>
      <c r="D2340" s="273"/>
      <c r="E2340" s="273"/>
      <c r="F2340" s="285" t="str">
        <f>CONCATENATE($H$3," ",$I$3)</f>
        <v>BDI: 23,32</v>
      </c>
      <c r="G2340" s="439"/>
      <c r="H2340" s="258"/>
      <c r="I2340" s="635">
        <f>+ROUND(I2339*$I$4,2)</f>
        <v>85.64</v>
      </c>
      <c r="J2340" s="433"/>
      <c r="K2340" s="433"/>
      <c r="L2340" s="302"/>
      <c r="M2340" s="302"/>
      <c r="N2340" s="302"/>
      <c r="O2340" s="302"/>
      <c r="P2340" s="302"/>
      <c r="Q2340" s="302"/>
    </row>
    <row r="2341" spans="1:17" s="198" customFormat="1" x14ac:dyDescent="0.2">
      <c r="A2341" s="244"/>
      <c r="B2341" s="286"/>
      <c r="C2341" s="279"/>
      <c r="D2341" s="279"/>
      <c r="E2341" s="279"/>
      <c r="F2341" s="287" t="s">
        <v>222</v>
      </c>
      <c r="G2341" s="440"/>
      <c r="H2341" s="245"/>
      <c r="I2341" s="1017">
        <f>+I2339+I2340</f>
        <v>452.86</v>
      </c>
      <c r="J2341" s="433"/>
      <c r="K2341" s="433"/>
      <c r="L2341" s="302"/>
      <c r="M2341" s="302"/>
      <c r="N2341" s="302"/>
      <c r="O2341" s="302"/>
      <c r="P2341" s="302"/>
      <c r="Q2341" s="302"/>
    </row>
    <row r="2342" spans="1:17" x14ac:dyDescent="0.2">
      <c r="A2342" s="1286" t="str">
        <f>$A$1</f>
        <v>COMPOSIÇÃO DE CUSTOS UNITÁRIOS</v>
      </c>
      <c r="B2342" s="1286"/>
      <c r="C2342" s="1286"/>
      <c r="D2342" s="1286"/>
      <c r="E2342" s="1286"/>
      <c r="F2342" s="1286"/>
      <c r="G2342" s="1286"/>
      <c r="H2342" s="1286"/>
      <c r="I2342" s="1286"/>
      <c r="J2342" s="451"/>
      <c r="K2342" s="451"/>
      <c r="L2342" s="198"/>
      <c r="M2342" s="198"/>
      <c r="N2342" s="198"/>
      <c r="O2342" s="198"/>
      <c r="P2342" s="198"/>
      <c r="Q2342" s="198"/>
    </row>
    <row r="2343" spans="1:17" x14ac:dyDescent="0.2">
      <c r="A2343" s="447" t="str">
        <f>$A$2</f>
        <v>Tabela Referencial de Preços - DER-ES</v>
      </c>
      <c r="B2343" s="448"/>
      <c r="C2343" s="449"/>
      <c r="D2343" s="449"/>
      <c r="E2343" s="449"/>
      <c r="F2343" s="449"/>
      <c r="G2343" s="449"/>
      <c r="H2343" s="449"/>
      <c r="I2343" s="450" t="str">
        <f>$I$2</f>
        <v>Data Base: Outubro/2018</v>
      </c>
      <c r="J2343" s="451">
        <v>42200</v>
      </c>
      <c r="K2343" s="451">
        <f>VLOOKUP("Preço Unitário Total",F2345:I4238,4,FALSE)</f>
        <v>5.75</v>
      </c>
      <c r="L2343" s="198">
        <f>VLOOKUP(J2343,'DER 10-18'!A:E,5,FALSE)</f>
        <v>0</v>
      </c>
      <c r="M2343" s="198" t="str">
        <f>VLOOKUP(J2343,'DER 10-18'!$A:$D,2,FALSE)</f>
        <v>Hidrossemeadura simples em taludes</v>
      </c>
      <c r="N2343" s="198"/>
      <c r="O2343" s="198"/>
      <c r="P2343" s="198"/>
      <c r="Q2343" s="198"/>
    </row>
    <row r="2344" spans="1:17" x14ac:dyDescent="0.2">
      <c r="A2344" s="1287" t="str">
        <f>+CONCATENATE("Serviço: ",J2343," ",VLOOKUP(J2343,'DER 10-18'!$A:$D,2,FALSE))</f>
        <v>Serviço: 42200 Hidrossemeadura simples em taludes</v>
      </c>
      <c r="B2344" s="1287"/>
      <c r="C2344" s="1287"/>
      <c r="D2344" s="1287"/>
      <c r="E2344" s="1287"/>
      <c r="F2344" s="1287"/>
      <c r="G2344" s="1287"/>
      <c r="H2344" s="1287"/>
      <c r="I2344" s="1287" t="str">
        <f>CONCATENATE("Unidade: ", VLOOKUP(J2343,'DER 10-18'!$A:$E,3,FALSE))</f>
        <v>Unidade: M2</v>
      </c>
      <c r="J2344" s="451"/>
      <c r="K2344" s="451"/>
      <c r="L2344" s="198"/>
      <c r="M2344" s="198"/>
      <c r="N2344" s="198"/>
      <c r="O2344" s="198"/>
      <c r="P2344" s="198"/>
      <c r="Q2344" s="198"/>
    </row>
    <row r="2345" spans="1:17" x14ac:dyDescent="0.2">
      <c r="A2345" s="1288"/>
      <c r="B2345" s="1288"/>
      <c r="C2345" s="1288"/>
      <c r="D2345" s="1288"/>
      <c r="E2345" s="1288"/>
      <c r="F2345" s="1288"/>
      <c r="G2345" s="1288"/>
      <c r="H2345" s="1288"/>
      <c r="I2345" s="1288"/>
    </row>
    <row r="2346" spans="1:17" ht="22.5" x14ac:dyDescent="0.2">
      <c r="A2346" s="235" t="s">
        <v>192</v>
      </c>
      <c r="B2346" s="236" t="s">
        <v>60</v>
      </c>
      <c r="C2346" s="236" t="s">
        <v>193</v>
      </c>
      <c r="D2346" s="236" t="s">
        <v>194</v>
      </c>
      <c r="E2346" s="236" t="s">
        <v>195</v>
      </c>
      <c r="F2346" s="236" t="s">
        <v>196</v>
      </c>
      <c r="G2346" s="236" t="s">
        <v>197</v>
      </c>
      <c r="H2346" s="236" t="s">
        <v>91</v>
      </c>
      <c r="I2346" s="236" t="s">
        <v>198</v>
      </c>
    </row>
    <row r="2347" spans="1:17" ht="22.5" x14ac:dyDescent="0.2">
      <c r="A2347" s="237" t="str">
        <f>VLOOKUP(B2347,equip.!$A:$G,2,FALSE)</f>
        <v>Caminhão tanque L 1319/48 PBT=12,9t (6.000L)</v>
      </c>
      <c r="B2347" s="238">
        <v>30007</v>
      </c>
      <c r="C2347" s="239" t="str">
        <f>VLOOKUP(B2347,equip.!$A$1:$G$239,3,FALSE)</f>
        <v>M</v>
      </c>
      <c r="D2347" s="240">
        <v>1</v>
      </c>
      <c r="E2347" s="205">
        <v>0</v>
      </c>
      <c r="F2347" s="241">
        <f>VLOOKUP(B2347,equip.!$A:$G,6,FALSE)</f>
        <v>155.91</v>
      </c>
      <c r="G2347" s="241">
        <f>VLOOKUP(B2347,equip.!$A:$G,7,FALSE)</f>
        <v>43.38</v>
      </c>
      <c r="H2347" s="242">
        <v>1</v>
      </c>
      <c r="I2347" s="243">
        <f>TRUNC(D2347*F2347*H2347+E2347*G2347*H2347,2)</f>
        <v>155.91</v>
      </c>
    </row>
    <row r="2348" spans="1:17" x14ac:dyDescent="0.2">
      <c r="A2348" s="199"/>
      <c r="B2348" s="233"/>
      <c r="C2348" s="233"/>
      <c r="D2348" s="199"/>
      <c r="E2348" s="199"/>
      <c r="F2348" s="234" t="s">
        <v>199</v>
      </c>
      <c r="G2348" s="244"/>
      <c r="H2348" s="245"/>
      <c r="I2348" s="434">
        <f>SUM(I2347:I2347)</f>
        <v>155.91</v>
      </c>
    </row>
    <row r="2349" spans="1:17" x14ac:dyDescent="0.2">
      <c r="A2349" s="199"/>
      <c r="B2349" s="233"/>
      <c r="C2349" s="233"/>
      <c r="D2349" s="199"/>
      <c r="E2349" s="199"/>
      <c r="F2349" s="199"/>
      <c r="G2349" s="199"/>
      <c r="H2349" s="199"/>
      <c r="I2349" s="200"/>
    </row>
    <row r="2350" spans="1:17" x14ac:dyDescent="0.2">
      <c r="A2350" s="246" t="s">
        <v>200</v>
      </c>
      <c r="B2350" s="247" t="s">
        <v>60</v>
      </c>
      <c r="C2350" s="236" t="s">
        <v>1242</v>
      </c>
      <c r="D2350" s="247" t="s">
        <v>202</v>
      </c>
      <c r="E2350" s="1276" t="s">
        <v>91</v>
      </c>
      <c r="F2350" s="1274"/>
      <c r="G2350" s="1275"/>
      <c r="H2350" s="1276" t="s">
        <v>198</v>
      </c>
      <c r="I2350" s="1275"/>
    </row>
    <row r="2351" spans="1:17" x14ac:dyDescent="0.2">
      <c r="A2351" s="248" t="str">
        <f>VLOOKUP(B2351,m.o.!$A:$H,2,FALSE)</f>
        <v>Servente</v>
      </c>
      <c r="B2351" s="238">
        <v>20002</v>
      </c>
      <c r="C2351" s="243">
        <f>VLOOKUP(B2351,m.o.!$A:$F,4,FALSE)</f>
        <v>1</v>
      </c>
      <c r="D2351" s="243">
        <f>VLOOKUP(B2351,m.o.!$A:$G,7,FALSE)</f>
        <v>11.64</v>
      </c>
      <c r="E2351" s="244"/>
      <c r="F2351" s="245"/>
      <c r="G2351" s="441">
        <v>2</v>
      </c>
      <c r="H2351" s="244"/>
      <c r="I2351" s="249">
        <f>TRUNC(D2351*G2351,2)</f>
        <v>23.28</v>
      </c>
    </row>
    <row r="2352" spans="1:17" x14ac:dyDescent="0.2">
      <c r="A2352" s="199"/>
      <c r="B2352" s="233"/>
      <c r="C2352" s="233"/>
      <c r="D2352" s="199"/>
      <c r="E2352" s="199"/>
      <c r="F2352" s="234" t="s">
        <v>203</v>
      </c>
      <c r="G2352" s="244"/>
      <c r="H2352" s="245"/>
      <c r="I2352" s="434">
        <f>SUM(I2351:I2351)</f>
        <v>23.28</v>
      </c>
    </row>
    <row r="2353" spans="1:14" x14ac:dyDescent="0.2">
      <c r="A2353" s="199"/>
      <c r="B2353" s="233"/>
      <c r="C2353" s="233"/>
      <c r="D2353" s="199"/>
      <c r="E2353" s="199"/>
      <c r="F2353" s="199"/>
      <c r="G2353" s="199"/>
      <c r="H2353" s="199"/>
      <c r="I2353" s="200"/>
    </row>
    <row r="2354" spans="1:14" x14ac:dyDescent="0.2">
      <c r="A2354" s="250" t="s">
        <v>204</v>
      </c>
      <c r="B2354" s="247" t="s">
        <v>60</v>
      </c>
      <c r="C2354" s="866" t="s">
        <v>17</v>
      </c>
      <c r="D2354" s="247" t="s">
        <v>205</v>
      </c>
      <c r="E2354" s="247" t="s">
        <v>206</v>
      </c>
      <c r="F2354" s="247" t="s">
        <v>207</v>
      </c>
      <c r="G2354" s="1276" t="s">
        <v>96</v>
      </c>
      <c r="H2354" s="1274"/>
      <c r="I2354" s="1275"/>
    </row>
    <row r="2355" spans="1:14" x14ac:dyDescent="0.2">
      <c r="A2355" s="248" t="s">
        <v>1091</v>
      </c>
      <c r="B2355" s="238">
        <v>2000</v>
      </c>
      <c r="C2355" s="243">
        <v>5</v>
      </c>
      <c r="D2355" s="239" t="s">
        <v>1092</v>
      </c>
      <c r="E2355" s="251"/>
      <c r="F2355" s="251"/>
      <c r="G2355" s="244"/>
      <c r="H2355" s="245"/>
      <c r="I2355" s="249">
        <f>C2355/100*I2352</f>
        <v>1.1599999999999999</v>
      </c>
    </row>
    <row r="2356" spans="1:14" x14ac:dyDescent="0.2">
      <c r="A2356" s="199"/>
      <c r="B2356" s="233"/>
      <c r="C2356" s="199"/>
      <c r="D2356" s="199"/>
      <c r="E2356" s="199"/>
      <c r="F2356" s="234" t="s">
        <v>1170</v>
      </c>
      <c r="G2356" s="244"/>
      <c r="H2356" s="245"/>
      <c r="I2356" s="434">
        <f>SUM(I2355)</f>
        <v>1.1599999999999999</v>
      </c>
    </row>
    <row r="2357" spans="1:14" x14ac:dyDescent="0.2">
      <c r="A2357" s="199"/>
      <c r="B2357" s="233"/>
      <c r="C2357" s="199"/>
      <c r="D2357" s="199"/>
      <c r="E2357" s="199"/>
      <c r="F2357" s="199"/>
      <c r="G2357" s="199"/>
      <c r="H2357" s="199"/>
      <c r="I2357" s="200"/>
    </row>
    <row r="2358" spans="1:14" x14ac:dyDescent="0.2">
      <c r="A2358" s="252"/>
      <c r="B2358" s="253"/>
      <c r="C2358" s="254"/>
      <c r="D2358" s="254"/>
      <c r="E2358" s="254"/>
      <c r="F2358" s="255" t="s">
        <v>208</v>
      </c>
      <c r="G2358" s="435"/>
      <c r="H2358" s="254"/>
      <c r="I2358" s="634">
        <f>+I2348+I2352+I2356</f>
        <v>180.35</v>
      </c>
    </row>
    <row r="2359" spans="1:14" x14ac:dyDescent="0.2">
      <c r="A2359" s="256"/>
      <c r="B2359" s="257"/>
      <c r="C2359" s="258"/>
      <c r="D2359" s="258"/>
      <c r="E2359" s="258"/>
      <c r="F2359" s="259" t="s">
        <v>209</v>
      </c>
      <c r="G2359" s="260"/>
      <c r="H2359" s="258"/>
      <c r="I2359" s="635">
        <v>350</v>
      </c>
    </row>
    <row r="2360" spans="1:14" x14ac:dyDescent="0.2">
      <c r="A2360" s="237"/>
      <c r="B2360" s="261"/>
      <c r="C2360" s="245"/>
      <c r="D2360" s="245"/>
      <c r="E2360" s="245"/>
      <c r="F2360" s="262" t="s">
        <v>232</v>
      </c>
      <c r="G2360" s="244"/>
      <c r="H2360" s="245"/>
      <c r="I2360" s="633">
        <f>TRUNC(I2358/I2359,2)</f>
        <v>0.51</v>
      </c>
    </row>
    <row r="2361" spans="1:14" x14ac:dyDescent="0.2">
      <c r="A2361" s="867"/>
      <c r="B2361" s="233"/>
      <c r="C2361" s="199"/>
      <c r="D2361" s="199"/>
      <c r="E2361" s="199"/>
      <c r="F2361" s="263"/>
      <c r="G2361" s="199"/>
      <c r="H2361" s="199"/>
      <c r="I2361" s="264"/>
    </row>
    <row r="2362" spans="1:14" x14ac:dyDescent="0.2">
      <c r="A2362" s="246" t="s">
        <v>210</v>
      </c>
      <c r="B2362" s="247" t="s">
        <v>60</v>
      </c>
      <c r="C2362" s="247" t="s">
        <v>211</v>
      </c>
      <c r="D2362" s="247" t="s">
        <v>233</v>
      </c>
      <c r="E2362" s="1276" t="s">
        <v>91</v>
      </c>
      <c r="F2362" s="1274"/>
      <c r="G2362" s="1275"/>
      <c r="H2362" s="1276" t="s">
        <v>198</v>
      </c>
      <c r="I2362" s="1275"/>
    </row>
    <row r="2363" spans="1:14" x14ac:dyDescent="0.2">
      <c r="A2363" s="265"/>
      <c r="B2363" s="238"/>
      <c r="C2363" s="266"/>
      <c r="D2363" s="267"/>
      <c r="E2363" s="260"/>
      <c r="F2363" s="258"/>
      <c r="G2363" s="441"/>
      <c r="H2363" s="260"/>
      <c r="I2363" s="268"/>
    </row>
    <row r="2364" spans="1:14" x14ac:dyDescent="0.2">
      <c r="A2364" s="199"/>
      <c r="B2364" s="233"/>
      <c r="C2364" s="199"/>
      <c r="D2364" s="199"/>
      <c r="E2364" s="199"/>
      <c r="F2364" s="234" t="s">
        <v>212</v>
      </c>
      <c r="G2364" s="244"/>
      <c r="H2364" s="245"/>
      <c r="I2364" s="434">
        <f>SUM(I2363:I2363)</f>
        <v>0</v>
      </c>
    </row>
    <row r="2365" spans="1:14" x14ac:dyDescent="0.2">
      <c r="A2365" s="199"/>
      <c r="B2365" s="233"/>
      <c r="C2365" s="199"/>
      <c r="D2365" s="199"/>
      <c r="E2365" s="199"/>
      <c r="F2365" s="199"/>
      <c r="G2365" s="269"/>
      <c r="H2365" s="199"/>
      <c r="I2365" s="200"/>
    </row>
    <row r="2366" spans="1:14" x14ac:dyDescent="0.2">
      <c r="A2366" s="270" t="s">
        <v>213</v>
      </c>
      <c r="B2366" s="247" t="s">
        <v>60</v>
      </c>
      <c r="C2366" s="247" t="s">
        <v>211</v>
      </c>
      <c r="D2366" s="866" t="s">
        <v>233</v>
      </c>
      <c r="E2366" s="1276" t="s">
        <v>91</v>
      </c>
      <c r="F2366" s="1274"/>
      <c r="G2366" s="1275"/>
      <c r="H2366" s="1276" t="s">
        <v>198</v>
      </c>
      <c r="I2366" s="1275"/>
    </row>
    <row r="2367" spans="1:14" x14ac:dyDescent="0.2">
      <c r="A2367" s="452" t="str">
        <f>VLOOKUP(B2367,'DER 10-18'!$A:$E,2,FALSE)</f>
        <v>Conformação manual de taludes</v>
      </c>
      <c r="B2367" s="453">
        <v>42199</v>
      </c>
      <c r="C2367" s="453" t="str">
        <f>VLOOKUP(B2367,'DER 10-18'!$A:$E,3,FALSE)</f>
        <v>M2</v>
      </c>
      <c r="D2367" s="454">
        <f>TRUNC(VLOOKUP(B2367,'DER 10-18'!$A:$F,6,FALSE)/(1+$I$4),2)</f>
        <v>1.33</v>
      </c>
      <c r="E2367" s="455"/>
      <c r="F2367" s="456"/>
      <c r="G2367" s="457">
        <v>1</v>
      </c>
      <c r="H2367" s="458"/>
      <c r="I2367" s="459">
        <f>TRUNC(D2367*G2367,2)</f>
        <v>1.33</v>
      </c>
      <c r="J2367" s="451"/>
      <c r="K2367" s="451"/>
      <c r="L2367" s="198"/>
      <c r="M2367" s="198"/>
      <c r="N2367" s="198"/>
    </row>
    <row r="2368" spans="1:14" x14ac:dyDescent="0.2">
      <c r="A2368" s="452" t="s">
        <v>1096</v>
      </c>
      <c r="B2368" s="453">
        <v>42237</v>
      </c>
      <c r="C2368" s="453" t="s">
        <v>1094</v>
      </c>
      <c r="D2368" s="454">
        <v>2.82</v>
      </c>
      <c r="E2368" s="455"/>
      <c r="F2368" s="456"/>
      <c r="G2368" s="457">
        <v>1</v>
      </c>
      <c r="H2368" s="458"/>
      <c r="I2368" s="459">
        <f>TRUNC(D2368*G2368,2)</f>
        <v>2.82</v>
      </c>
    </row>
    <row r="2369" spans="1:13" x14ac:dyDescent="0.2">
      <c r="A2369" s="201"/>
      <c r="B2369" s="271"/>
      <c r="C2369" s="201"/>
      <c r="D2369" s="201"/>
      <c r="E2369" s="201"/>
      <c r="F2369" s="272" t="s">
        <v>214</v>
      </c>
      <c r="G2369" s="260"/>
      <c r="H2369" s="273"/>
      <c r="I2369" s="436">
        <f>SUM(I2367:I2368)</f>
        <v>4.1500000000000004</v>
      </c>
    </row>
    <row r="2370" spans="1:13" x14ac:dyDescent="0.2">
      <c r="A2370" s="201"/>
      <c r="B2370" s="271"/>
      <c r="C2370" s="201"/>
      <c r="D2370" s="201"/>
      <c r="E2370" s="201"/>
      <c r="F2370" s="201"/>
      <c r="G2370" s="201"/>
      <c r="H2370" s="201"/>
      <c r="I2370" s="201"/>
    </row>
    <row r="2371" spans="1:13" x14ac:dyDescent="0.2">
      <c r="A2371" s="274" t="s">
        <v>215</v>
      </c>
      <c r="B2371" s="275" t="s">
        <v>60</v>
      </c>
      <c r="C2371" s="275" t="s">
        <v>211</v>
      </c>
      <c r="D2371" s="275" t="s">
        <v>216</v>
      </c>
      <c r="E2371" s="275" t="s">
        <v>217</v>
      </c>
      <c r="F2371" s="275" t="s">
        <v>218</v>
      </c>
      <c r="G2371" s="275" t="s">
        <v>96</v>
      </c>
      <c r="H2371" s="275" t="s">
        <v>91</v>
      </c>
      <c r="I2371" s="275" t="s">
        <v>219</v>
      </c>
    </row>
    <row r="2372" spans="1:13" x14ac:dyDescent="0.2">
      <c r="A2372" s="248"/>
      <c r="B2372" s="238"/>
      <c r="C2372" s="238"/>
      <c r="D2372" s="276"/>
      <c r="E2372" s="277"/>
      <c r="F2372" s="277"/>
      <c r="G2372" s="243"/>
      <c r="H2372" s="278"/>
      <c r="I2372" s="243"/>
    </row>
    <row r="2373" spans="1:13" x14ac:dyDescent="0.2">
      <c r="A2373" s="201"/>
      <c r="B2373" s="271"/>
      <c r="C2373" s="201"/>
      <c r="D2373" s="201"/>
      <c r="E2373" s="201"/>
      <c r="F2373" s="272" t="s">
        <v>220</v>
      </c>
      <c r="G2373" s="244"/>
      <c r="H2373" s="279"/>
      <c r="I2373" s="438">
        <f>SUM(I2372:I2372)</f>
        <v>0</v>
      </c>
    </row>
    <row r="2374" spans="1:13" x14ac:dyDescent="0.2">
      <c r="A2374" s="201"/>
      <c r="B2374" s="271"/>
      <c r="C2374" s="201"/>
      <c r="D2374" s="201"/>
      <c r="E2374" s="201"/>
      <c r="F2374" s="201"/>
      <c r="G2374" s="201"/>
      <c r="H2374" s="201"/>
      <c r="I2374" s="202"/>
    </row>
    <row r="2375" spans="1:13" x14ac:dyDescent="0.2">
      <c r="A2375" s="280"/>
      <c r="B2375" s="281"/>
      <c r="C2375" s="282"/>
      <c r="D2375" s="282"/>
      <c r="E2375" s="282"/>
      <c r="F2375" s="283" t="s">
        <v>221</v>
      </c>
      <c r="G2375" s="280"/>
      <c r="H2375" s="254"/>
      <c r="I2375" s="634">
        <f>+I2360+I2364+I2369+I2373</f>
        <v>4.66</v>
      </c>
    </row>
    <row r="2376" spans="1:13" x14ac:dyDescent="0.2">
      <c r="A2376" s="260"/>
      <c r="B2376" s="284"/>
      <c r="C2376" s="273"/>
      <c r="D2376" s="273"/>
      <c r="E2376" s="273"/>
      <c r="F2376" s="285" t="str">
        <f>CONCATENATE($H$3," ",$I$3)</f>
        <v>BDI: 23,32</v>
      </c>
      <c r="G2376" s="439"/>
      <c r="H2376" s="258"/>
      <c r="I2376" s="635">
        <f>+ROUND(I2375*$I$4,2)</f>
        <v>1.0900000000000001</v>
      </c>
    </row>
    <row r="2377" spans="1:13" x14ac:dyDescent="0.2">
      <c r="A2377" s="244"/>
      <c r="B2377" s="286"/>
      <c r="C2377" s="279"/>
      <c r="D2377" s="279"/>
      <c r="E2377" s="279"/>
      <c r="F2377" s="287" t="s">
        <v>222</v>
      </c>
      <c r="G2377" s="440"/>
      <c r="H2377" s="245"/>
      <c r="I2377" s="1017">
        <f>+I2375+I2376</f>
        <v>5.75</v>
      </c>
    </row>
    <row r="2378" spans="1:13" x14ac:dyDescent="0.2">
      <c r="A2378" s="1277" t="str">
        <f>$A$1</f>
        <v>COMPOSIÇÃO DE CUSTOS UNITÁRIOS</v>
      </c>
      <c r="B2378" s="1277"/>
      <c r="C2378" s="1277"/>
      <c r="D2378" s="1277"/>
      <c r="E2378" s="1277"/>
      <c r="F2378" s="1277"/>
      <c r="G2378" s="1277"/>
      <c r="H2378" s="1277"/>
      <c r="I2378" s="1277"/>
    </row>
    <row r="2379" spans="1:13" x14ac:dyDescent="0.2">
      <c r="A2379" s="232" t="str">
        <f>$A$2</f>
        <v>Tabela Referencial de Preços - DER-ES</v>
      </c>
      <c r="B2379" s="233"/>
      <c r="C2379" s="199"/>
      <c r="D2379" s="199"/>
      <c r="E2379" s="199"/>
      <c r="F2379" s="199"/>
      <c r="G2379" s="199"/>
      <c r="H2379" s="199"/>
      <c r="I2379" s="234" t="str">
        <f>$I$2</f>
        <v>Data Base: Outubro/2018</v>
      </c>
    </row>
    <row r="2380" spans="1:13" x14ac:dyDescent="0.2">
      <c r="A2380" s="1278" t="str">
        <f>+CONCATENATE("Serviço: ",J2380," ",VLOOKUP(J2380,'DER 10-18'!$A:$D,2,FALSE))</f>
        <v>Serviço: 42041 Barreira de Siltagem com escoras de eucalipto, diâm. 0,10m e a altura 1,60m, espaçadas a cada 2,0 m, 1 reaproveitamento</v>
      </c>
      <c r="B2380" s="1278"/>
      <c r="C2380" s="1278"/>
      <c r="D2380" s="1278"/>
      <c r="E2380" s="1278"/>
      <c r="F2380" s="1278"/>
      <c r="G2380" s="1278"/>
      <c r="H2380" s="1278"/>
      <c r="I2380" s="1278" t="str">
        <f>CONCATENATE("Unidade: ", VLOOKUP(J2380,'DER 10-18'!$A:$E,3,FALSE))</f>
        <v>Unidade: M</v>
      </c>
      <c r="J2380" s="433">
        <v>42041</v>
      </c>
      <c r="K2380" s="433">
        <f>VLOOKUP("Preço Unitário Total",F2381:I4114,4,FALSE)</f>
        <v>25.42</v>
      </c>
      <c r="L2380" s="302" t="str">
        <f>VLOOKUP(J2380,'DER 10-18'!A:E,5,FALSE)</f>
        <v>A incluir</v>
      </c>
      <c r="M2380" s="302" t="str">
        <f>VLOOKUP(J2380,'DER 10-18'!$A:$D,2,FALSE)</f>
        <v>Barreira de Siltagem com escoras de eucalipto, diâm. 0,10m e a altura 1,60m, espaçadas a cada 2,0 m, 1 reaproveitamento</v>
      </c>
    </row>
    <row r="2381" spans="1:13" x14ac:dyDescent="0.2">
      <c r="A2381" s="1279"/>
      <c r="B2381" s="1279"/>
      <c r="C2381" s="1279"/>
      <c r="D2381" s="1279"/>
      <c r="E2381" s="1279"/>
      <c r="F2381" s="1279"/>
      <c r="G2381" s="1279"/>
      <c r="H2381" s="1279"/>
      <c r="I2381" s="1279"/>
    </row>
    <row r="2382" spans="1:13" ht="22.5" x14ac:dyDescent="0.2">
      <c r="A2382" s="235" t="s">
        <v>192</v>
      </c>
      <c r="B2382" s="236" t="s">
        <v>60</v>
      </c>
      <c r="C2382" s="236" t="s">
        <v>193</v>
      </c>
      <c r="D2382" s="236" t="s">
        <v>194</v>
      </c>
      <c r="E2382" s="236" t="s">
        <v>195</v>
      </c>
      <c r="F2382" s="236" t="s">
        <v>196</v>
      </c>
      <c r="G2382" s="236" t="s">
        <v>197</v>
      </c>
      <c r="H2382" s="236" t="s">
        <v>91</v>
      </c>
      <c r="I2382" s="236" t="s">
        <v>198</v>
      </c>
    </row>
    <row r="2383" spans="1:13" x14ac:dyDescent="0.2">
      <c r="A2383" s="237"/>
      <c r="B2383" s="238"/>
      <c r="C2383" s="239"/>
      <c r="D2383" s="240"/>
      <c r="E2383" s="205"/>
      <c r="F2383" s="241"/>
      <c r="G2383" s="241"/>
      <c r="H2383" s="242"/>
      <c r="I2383" s="243">
        <f>TRUNC(D2383*F2383*H2383+E2383*G2383*H2383,2)</f>
        <v>0</v>
      </c>
    </row>
    <row r="2384" spans="1:13" x14ac:dyDescent="0.2">
      <c r="A2384" s="199"/>
      <c r="B2384" s="233"/>
      <c r="C2384" s="233"/>
      <c r="D2384" s="199"/>
      <c r="E2384" s="199"/>
      <c r="F2384" s="234" t="s">
        <v>199</v>
      </c>
      <c r="G2384" s="244"/>
      <c r="H2384" s="245"/>
      <c r="I2384" s="434">
        <f>SUM(I2383:I2383)</f>
        <v>0</v>
      </c>
    </row>
    <row r="2385" spans="1:11" ht="21.75" customHeight="1" x14ac:dyDescent="0.2">
      <c r="A2385" s="199"/>
      <c r="B2385" s="233"/>
      <c r="C2385" s="233"/>
      <c r="D2385" s="199"/>
      <c r="E2385" s="199"/>
      <c r="F2385" s="199"/>
      <c r="G2385" s="199"/>
      <c r="H2385" s="199"/>
      <c r="I2385" s="200"/>
    </row>
    <row r="2386" spans="1:11" x14ac:dyDescent="0.2">
      <c r="A2386" s="246" t="s">
        <v>200</v>
      </c>
      <c r="B2386" s="247" t="s">
        <v>60</v>
      </c>
      <c r="C2386" s="236" t="s">
        <v>1242</v>
      </c>
      <c r="D2386" s="247" t="s">
        <v>202</v>
      </c>
      <c r="E2386" s="1271" t="s">
        <v>91</v>
      </c>
      <c r="F2386" s="1272"/>
      <c r="G2386" s="1273"/>
      <c r="H2386" s="1276" t="s">
        <v>198</v>
      </c>
      <c r="I2386" s="1275"/>
    </row>
    <row r="2387" spans="1:11" x14ac:dyDescent="0.2">
      <c r="A2387" s="248" t="str">
        <f>VLOOKUP(B2387,m.o.!$A:$H,2,FALSE)</f>
        <v>Encarregado de O.A.C.</v>
      </c>
      <c r="B2387" s="238">
        <v>20060</v>
      </c>
      <c r="C2387" s="243">
        <f>VLOOKUP(B2387,m.o.!$A:$F,4,FALSE)</f>
        <v>2.2599999999999998</v>
      </c>
      <c r="D2387" s="243">
        <f>VLOOKUP(B2387,m.o.!$A:$G,7,FALSE)</f>
        <v>26.3</v>
      </c>
      <c r="E2387" s="260"/>
      <c r="F2387" s="258"/>
      <c r="G2387" s="300">
        <v>0.1</v>
      </c>
      <c r="H2387" s="244"/>
      <c r="I2387" s="249">
        <f>TRUNC(D2387*G2387,2)</f>
        <v>2.63</v>
      </c>
    </row>
    <row r="2388" spans="1:11" x14ac:dyDescent="0.2">
      <c r="A2388" s="248" t="str">
        <f>VLOOKUP(B2388,m.o.!$A:$H,2,FALSE)</f>
        <v>Servente</v>
      </c>
      <c r="B2388" s="238">
        <v>20002</v>
      </c>
      <c r="C2388" s="243">
        <f>VLOOKUP(B2388,m.o.!$A:$F,4,FALSE)</f>
        <v>1</v>
      </c>
      <c r="D2388" s="243">
        <f>VLOOKUP(B2388,m.o.!$A:$G,7,FALSE)</f>
        <v>11.64</v>
      </c>
      <c r="E2388" s="260"/>
      <c r="F2388" s="258"/>
      <c r="G2388" s="300">
        <v>0.8</v>
      </c>
      <c r="H2388" s="244"/>
      <c r="I2388" s="249">
        <f>TRUNC(D2388*G2388,2)</f>
        <v>9.31</v>
      </c>
      <c r="J2388" s="302"/>
      <c r="K2388" s="302"/>
    </row>
    <row r="2389" spans="1:11" x14ac:dyDescent="0.2">
      <c r="A2389" s="199"/>
      <c r="B2389" s="233"/>
      <c r="C2389" s="233"/>
      <c r="D2389" s="199"/>
      <c r="E2389" s="199"/>
      <c r="F2389" s="234" t="s">
        <v>203</v>
      </c>
      <c r="G2389" s="244"/>
      <c r="H2389" s="245"/>
      <c r="I2389" s="434">
        <f>SUM(I2387:I2388)</f>
        <v>11.94</v>
      </c>
      <c r="J2389" s="302"/>
      <c r="K2389" s="302"/>
    </row>
    <row r="2390" spans="1:11" x14ac:dyDescent="0.2">
      <c r="A2390" s="199"/>
      <c r="B2390" s="233"/>
      <c r="C2390" s="233"/>
      <c r="D2390" s="199"/>
      <c r="E2390" s="199"/>
      <c r="F2390" s="199"/>
      <c r="G2390" s="199"/>
      <c r="H2390" s="199"/>
      <c r="I2390" s="200"/>
      <c r="J2390" s="302"/>
      <c r="K2390" s="302"/>
    </row>
    <row r="2391" spans="1:11" x14ac:dyDescent="0.2">
      <c r="A2391" s="250" t="s">
        <v>204</v>
      </c>
      <c r="B2391" s="247" t="s">
        <v>60</v>
      </c>
      <c r="C2391" s="866" t="s">
        <v>17</v>
      </c>
      <c r="D2391" s="247" t="s">
        <v>205</v>
      </c>
      <c r="E2391" s="247" t="s">
        <v>206</v>
      </c>
      <c r="F2391" s="247" t="s">
        <v>207</v>
      </c>
      <c r="G2391" s="1276" t="s">
        <v>96</v>
      </c>
      <c r="H2391" s="1274"/>
      <c r="I2391" s="1275"/>
      <c r="J2391" s="302"/>
      <c r="K2391" s="302"/>
    </row>
    <row r="2392" spans="1:11" x14ac:dyDescent="0.2">
      <c r="A2392" s="248" t="s">
        <v>142</v>
      </c>
      <c r="B2392" s="238">
        <v>2000</v>
      </c>
      <c r="C2392" s="243">
        <v>5</v>
      </c>
      <c r="D2392" s="239" t="s">
        <v>223</v>
      </c>
      <c r="E2392" s="251"/>
      <c r="F2392" s="251"/>
      <c r="G2392" s="244"/>
      <c r="H2392" s="245"/>
      <c r="I2392" s="249">
        <f>TRUNC(C2392/100*I2389,2)</f>
        <v>0.59</v>
      </c>
      <c r="J2392" s="302"/>
      <c r="K2392" s="302"/>
    </row>
    <row r="2393" spans="1:11" x14ac:dyDescent="0.2">
      <c r="A2393" s="199"/>
      <c r="B2393" s="233"/>
      <c r="C2393" s="199"/>
      <c r="D2393" s="199"/>
      <c r="E2393" s="199"/>
      <c r="F2393" s="234" t="s">
        <v>1170</v>
      </c>
      <c r="G2393" s="244"/>
      <c r="H2393" s="245"/>
      <c r="I2393" s="434">
        <f>SUM(I2392)</f>
        <v>0.59</v>
      </c>
      <c r="J2393" s="302"/>
      <c r="K2393" s="302"/>
    </row>
    <row r="2394" spans="1:11" x14ac:dyDescent="0.2">
      <c r="A2394" s="199"/>
      <c r="B2394" s="233"/>
      <c r="C2394" s="199"/>
      <c r="D2394" s="199"/>
      <c r="E2394" s="199"/>
      <c r="F2394" s="199"/>
      <c r="G2394" s="199"/>
      <c r="H2394" s="199"/>
      <c r="I2394" s="200"/>
      <c r="J2394" s="302"/>
      <c r="K2394" s="302"/>
    </row>
    <row r="2395" spans="1:11" x14ac:dyDescent="0.2">
      <c r="A2395" s="252"/>
      <c r="B2395" s="253"/>
      <c r="C2395" s="254"/>
      <c r="D2395" s="254"/>
      <c r="E2395" s="254"/>
      <c r="F2395" s="255" t="s">
        <v>208</v>
      </c>
      <c r="G2395" s="435"/>
      <c r="H2395" s="254"/>
      <c r="I2395" s="634">
        <f>+I2384+I2389+I2393</f>
        <v>12.53</v>
      </c>
      <c r="J2395" s="302"/>
      <c r="K2395" s="302"/>
    </row>
    <row r="2396" spans="1:11" x14ac:dyDescent="0.2">
      <c r="A2396" s="256"/>
      <c r="B2396" s="257"/>
      <c r="C2396" s="258"/>
      <c r="D2396" s="258"/>
      <c r="E2396" s="258"/>
      <c r="F2396" s="259" t="s">
        <v>209</v>
      </c>
      <c r="G2396" s="260"/>
      <c r="H2396" s="258"/>
      <c r="I2396" s="635">
        <v>1</v>
      </c>
      <c r="J2396" s="302"/>
      <c r="K2396" s="302"/>
    </row>
    <row r="2397" spans="1:11" x14ac:dyDescent="0.2">
      <c r="A2397" s="237"/>
      <c r="B2397" s="261"/>
      <c r="C2397" s="245"/>
      <c r="D2397" s="245"/>
      <c r="E2397" s="245"/>
      <c r="F2397" s="262" t="s">
        <v>232</v>
      </c>
      <c r="G2397" s="244"/>
      <c r="H2397" s="245"/>
      <c r="I2397" s="633">
        <f>TRUNC(I2395/I2396,2)</f>
        <v>12.53</v>
      </c>
      <c r="J2397" s="302"/>
      <c r="K2397" s="302"/>
    </row>
    <row r="2398" spans="1:11" x14ac:dyDescent="0.2">
      <c r="A2398" s="867"/>
      <c r="B2398" s="233"/>
      <c r="C2398" s="199"/>
      <c r="D2398" s="199"/>
      <c r="E2398" s="199"/>
      <c r="F2398" s="263"/>
      <c r="G2398" s="199"/>
      <c r="H2398" s="199"/>
      <c r="I2398" s="264"/>
      <c r="J2398" s="302"/>
      <c r="K2398" s="302"/>
    </row>
    <row r="2399" spans="1:11" x14ac:dyDescent="0.2">
      <c r="A2399" s="246" t="s">
        <v>210</v>
      </c>
      <c r="B2399" s="247" t="s">
        <v>60</v>
      </c>
      <c r="C2399" s="247" t="s">
        <v>211</v>
      </c>
      <c r="D2399" s="247" t="s">
        <v>233</v>
      </c>
      <c r="E2399" s="1276" t="s">
        <v>91</v>
      </c>
      <c r="F2399" s="1274"/>
      <c r="G2399" s="1275"/>
      <c r="H2399" s="1276" t="s">
        <v>198</v>
      </c>
      <c r="I2399" s="1275"/>
      <c r="J2399" s="302"/>
      <c r="K2399" s="302"/>
    </row>
    <row r="2400" spans="1:11" x14ac:dyDescent="0.2">
      <c r="A2400" s="265" t="str">
        <f>VLOOKUP(B2400,mat.!$A:$D,2,FALSE)</f>
        <v>Arame recozido 18</v>
      </c>
      <c r="B2400" s="238">
        <v>10134</v>
      </c>
      <c r="C2400" s="266" t="str">
        <f>VLOOKUP(B2400,mat.!$A:$D,3,FALSE)</f>
        <v>kg</v>
      </c>
      <c r="D2400" s="267">
        <f>VLOOKUP(B2400,mat.!$A:$D,4,FALSE)</f>
        <v>11.99</v>
      </c>
      <c r="E2400" s="260"/>
      <c r="F2400" s="258"/>
      <c r="G2400" s="300">
        <v>7.0000000000000001E-3</v>
      </c>
      <c r="H2400" s="260"/>
      <c r="I2400" s="268">
        <f>TRUNC(D2400*G2400,2)</f>
        <v>0.08</v>
      </c>
      <c r="J2400" s="302"/>
      <c r="K2400" s="302"/>
    </row>
    <row r="2401" spans="1:11" ht="22.5" x14ac:dyDescent="0.2">
      <c r="A2401" s="265" t="str">
        <f>VLOOKUP(B2401,mat.!$A:$D,2,FALSE)</f>
        <v>Escoras de eucalipto (4,00m - D=0,10m)</v>
      </c>
      <c r="B2401" s="238">
        <v>10073</v>
      </c>
      <c r="C2401" s="266" t="str">
        <f>VLOOKUP(B2401,mat.!$A:$D,3,FALSE)</f>
        <v>DZ</v>
      </c>
      <c r="D2401" s="267">
        <f>VLOOKUP(B2401,mat.!$A:$D,4,FALSE)</f>
        <v>60.38</v>
      </c>
      <c r="E2401" s="260"/>
      <c r="F2401" s="258"/>
      <c r="G2401" s="300">
        <v>3.1199999999999999E-2</v>
      </c>
      <c r="H2401" s="260"/>
      <c r="I2401" s="268">
        <f>TRUNC(D2401*G2401,2)</f>
        <v>1.88</v>
      </c>
      <c r="J2401" s="302"/>
      <c r="K2401" s="302"/>
    </row>
    <row r="2402" spans="1:11" ht="22.5" x14ac:dyDescent="0.2">
      <c r="A2402" s="265" t="str">
        <f>VLOOKUP(B2402,mat.!$A:$D,2,FALSE)</f>
        <v>Manta Geotêxtil não tecida RT-10 (10kN/m)</v>
      </c>
      <c r="B2402" s="238">
        <v>10847</v>
      </c>
      <c r="C2402" s="266" t="str">
        <f>VLOOKUP(B2402,mat.!$A:$D,3,FALSE)</f>
        <v>M2</v>
      </c>
      <c r="D2402" s="267">
        <f>VLOOKUP(B2402,mat.!$A:$D,4,FALSE)</f>
        <v>5.0199999999999996</v>
      </c>
      <c r="E2402" s="260"/>
      <c r="F2402" s="258"/>
      <c r="G2402" s="300">
        <v>1.2</v>
      </c>
      <c r="H2402" s="260"/>
      <c r="I2402" s="268">
        <f>TRUNC(D2402*G2402,2)</f>
        <v>6.02</v>
      </c>
      <c r="J2402" s="302"/>
      <c r="K2402" s="302"/>
    </row>
    <row r="2403" spans="1:11" x14ac:dyDescent="0.2">
      <c r="A2403" s="199"/>
      <c r="B2403" s="233"/>
      <c r="C2403" s="199"/>
      <c r="D2403" s="199"/>
      <c r="E2403" s="199"/>
      <c r="F2403" s="234" t="s">
        <v>212</v>
      </c>
      <c r="G2403" s="244"/>
      <c r="H2403" s="245"/>
      <c r="I2403" s="434">
        <f>SUM(I2400:I2402)</f>
        <v>7.98</v>
      </c>
      <c r="J2403" s="302"/>
      <c r="K2403" s="302"/>
    </row>
    <row r="2404" spans="1:11" x14ac:dyDescent="0.2">
      <c r="A2404" s="199"/>
      <c r="B2404" s="233"/>
      <c r="C2404" s="199"/>
      <c r="D2404" s="199"/>
      <c r="E2404" s="199"/>
      <c r="F2404" s="199"/>
      <c r="G2404" s="269"/>
      <c r="H2404" s="199"/>
      <c r="I2404" s="200"/>
    </row>
    <row r="2405" spans="1:11" x14ac:dyDescent="0.2">
      <c r="A2405" s="270" t="s">
        <v>213</v>
      </c>
      <c r="B2405" s="247" t="s">
        <v>60</v>
      </c>
      <c r="C2405" s="247" t="s">
        <v>211</v>
      </c>
      <c r="D2405" s="866" t="s">
        <v>233</v>
      </c>
      <c r="E2405" s="1271" t="s">
        <v>91</v>
      </c>
      <c r="F2405" s="1272"/>
      <c r="G2405" s="1273"/>
      <c r="H2405" s="1274" t="s">
        <v>198</v>
      </c>
      <c r="I2405" s="1275"/>
    </row>
    <row r="2406" spans="1:11" x14ac:dyDescent="0.2">
      <c r="A2406" s="248"/>
      <c r="B2406" s="238"/>
      <c r="C2406" s="238"/>
      <c r="D2406" s="243"/>
      <c r="E2406" s="260"/>
      <c r="F2406" s="258"/>
      <c r="G2406" s="300"/>
      <c r="H2406" s="244"/>
      <c r="I2406" s="268">
        <f>TRUNC(D2406*G2406,2)</f>
        <v>0</v>
      </c>
    </row>
    <row r="2407" spans="1:11" x14ac:dyDescent="0.2">
      <c r="A2407" s="201"/>
      <c r="B2407" s="271"/>
      <c r="C2407" s="201"/>
      <c r="D2407" s="201"/>
      <c r="E2407" s="201"/>
      <c r="F2407" s="272" t="s">
        <v>214</v>
      </c>
      <c r="G2407" s="260"/>
      <c r="H2407" s="273"/>
      <c r="I2407" s="436">
        <f>SUM(I2406:I2406)</f>
        <v>0</v>
      </c>
    </row>
    <row r="2408" spans="1:11" x14ac:dyDescent="0.2">
      <c r="A2408" s="201"/>
      <c r="B2408" s="271"/>
      <c r="C2408" s="201"/>
      <c r="D2408" s="201"/>
      <c r="E2408" s="201"/>
      <c r="F2408" s="201"/>
      <c r="G2408" s="201"/>
      <c r="H2408" s="201"/>
      <c r="I2408" s="201"/>
    </row>
    <row r="2409" spans="1:11" x14ac:dyDescent="0.2">
      <c r="A2409" s="274" t="s">
        <v>215</v>
      </c>
      <c r="B2409" s="275" t="s">
        <v>60</v>
      </c>
      <c r="C2409" s="275" t="s">
        <v>211</v>
      </c>
      <c r="D2409" s="275" t="s">
        <v>216</v>
      </c>
      <c r="E2409" s="275" t="s">
        <v>217</v>
      </c>
      <c r="F2409" s="275" t="s">
        <v>218</v>
      </c>
      <c r="G2409" s="275" t="s">
        <v>96</v>
      </c>
      <c r="H2409" s="275" t="s">
        <v>91</v>
      </c>
      <c r="I2409" s="275" t="s">
        <v>219</v>
      </c>
    </row>
    <row r="2410" spans="1:11" x14ac:dyDescent="0.2">
      <c r="A2410" s="265" t="str">
        <f>VLOOKUP(B2410,tranp.!A:D,2,FALSE)</f>
        <v>Transp. de Geotêxtil</v>
      </c>
      <c r="B2410" s="238">
        <v>1169</v>
      </c>
      <c r="C2410" s="238" t="str">
        <f>VLOOKUP(B2410,tranp.!$A:$J,3,FALSE)</f>
        <v xml:space="preserve"> t  </v>
      </c>
      <c r="D2410" s="437" t="str">
        <f>VLOOKUP(B2410,tranp.!$A:$J,4,FALSE)</f>
        <v>0,676XP + 0,703XR</v>
      </c>
      <c r="E2410" s="277">
        <f>VLOOKUP(J2410,Ocor.!$B:$F,4,FALSE)</f>
        <v>37.200000000000003</v>
      </c>
      <c r="F2410" s="277">
        <f>VLOOKUP(J2410,Ocor.!$B:$F,5,FALSE)</f>
        <v>5.6</v>
      </c>
      <c r="G2410" s="243">
        <f>TRUNC(VLOOKUP(B2410,tranp.!$A:$J,5,FALSE)*E2410+VLOOKUP(B2410,tranp.!$A:$J,6,FALSE)*F2410+VLOOKUP(B2410,tranp.!$A:$J,7,FALSE),2)</f>
        <v>29.08</v>
      </c>
      <c r="H2410" s="278">
        <v>2.9999999999999997E-4</v>
      </c>
      <c r="I2410" s="243">
        <f>TRUNC(G2410*H2410,2)</f>
        <v>0</v>
      </c>
      <c r="J2410" s="433" t="s">
        <v>121</v>
      </c>
    </row>
    <row r="2411" spans="1:11" x14ac:dyDescent="0.2">
      <c r="A2411" s="265" t="str">
        <f>VLOOKUP(B2411,tranp.!A:D,2,FALSE)</f>
        <v>Transp. de Madeira roliça</v>
      </c>
      <c r="B2411" s="238">
        <v>1168</v>
      </c>
      <c r="C2411" s="238" t="str">
        <f>VLOOKUP(B2411,tranp.!$A:$J,3,FALSE)</f>
        <v xml:space="preserve"> t  </v>
      </c>
      <c r="D2411" s="437" t="str">
        <f>VLOOKUP(B2411,tranp.!$A:$J,4,FALSE)</f>
        <v>0,676XP + 0,703XR</v>
      </c>
      <c r="E2411" s="277">
        <f>VLOOKUP(J2411,Ocor.!$B:$F,4,FALSE)</f>
        <v>37.200000000000003</v>
      </c>
      <c r="F2411" s="277">
        <f>VLOOKUP(J2411,Ocor.!$B:$F,5,FALSE)</f>
        <v>5.6</v>
      </c>
      <c r="G2411" s="243">
        <f>TRUNC(VLOOKUP(B2411,tranp.!$A:$J,5,FALSE)*E2411+VLOOKUP(B2411,tranp.!$A:$J,6,FALSE)*F2411+VLOOKUP(B2411,tranp.!$A:$J,7,FALSE),2)</f>
        <v>29.08</v>
      </c>
      <c r="H2411" s="278">
        <v>3.5000000000000001E-3</v>
      </c>
      <c r="I2411" s="243">
        <f>TRUNC(G2411*H2411,2)</f>
        <v>0.1</v>
      </c>
      <c r="J2411" s="433" t="s">
        <v>121</v>
      </c>
    </row>
    <row r="2412" spans="1:11" x14ac:dyDescent="0.2">
      <c r="A2412" s="201"/>
      <c r="B2412" s="271"/>
      <c r="C2412" s="201"/>
      <c r="D2412" s="201"/>
      <c r="E2412" s="201"/>
      <c r="F2412" s="272" t="s">
        <v>220</v>
      </c>
      <c r="G2412" s="244"/>
      <c r="H2412" s="279"/>
      <c r="I2412" s="438">
        <f>SUM(I2410:I2411)</f>
        <v>0.1</v>
      </c>
    </row>
    <row r="2413" spans="1:11" x14ac:dyDescent="0.2">
      <c r="A2413" s="201"/>
      <c r="B2413" s="271"/>
      <c r="C2413" s="201"/>
      <c r="D2413" s="201"/>
      <c r="E2413" s="201"/>
      <c r="F2413" s="201"/>
      <c r="G2413" s="201"/>
      <c r="H2413" s="201"/>
      <c r="I2413" s="202"/>
    </row>
    <row r="2414" spans="1:11" x14ac:dyDescent="0.2">
      <c r="A2414" s="280"/>
      <c r="B2414" s="281"/>
      <c r="C2414" s="282"/>
      <c r="D2414" s="282"/>
      <c r="E2414" s="282"/>
      <c r="F2414" s="283" t="s">
        <v>221</v>
      </c>
      <c r="G2414" s="280"/>
      <c r="H2414" s="254"/>
      <c r="I2414" s="634">
        <f>+I2397+I2403+I2407+I2412</f>
        <v>20.61</v>
      </c>
      <c r="J2414" s="446"/>
    </row>
    <row r="2415" spans="1:11" x14ac:dyDescent="0.2">
      <c r="A2415" s="260"/>
      <c r="B2415" s="284"/>
      <c r="C2415" s="273"/>
      <c r="D2415" s="273"/>
      <c r="E2415" s="273"/>
      <c r="F2415" s="285" t="str">
        <f>CONCATENATE($H$3," ",$I$3)</f>
        <v>BDI: 23,32</v>
      </c>
      <c r="G2415" s="439"/>
      <c r="H2415" s="258"/>
      <c r="I2415" s="635">
        <f>+ROUND(I2414*$I$4,2)</f>
        <v>4.8099999999999996</v>
      </c>
    </row>
    <row r="2416" spans="1:11" x14ac:dyDescent="0.2">
      <c r="A2416" s="244"/>
      <c r="B2416" s="286"/>
      <c r="C2416" s="279"/>
      <c r="D2416" s="279"/>
      <c r="E2416" s="279"/>
      <c r="F2416" s="287" t="s">
        <v>222</v>
      </c>
      <c r="G2416" s="440"/>
      <c r="H2416" s="245"/>
      <c r="I2416" s="1017">
        <f>+I2414+I2415</f>
        <v>25.42</v>
      </c>
    </row>
    <row r="2417" spans="1:13" x14ac:dyDescent="0.2">
      <c r="A2417" s="1277" t="str">
        <f>$A$1</f>
        <v>COMPOSIÇÃO DE CUSTOS UNITÁRIOS</v>
      </c>
      <c r="B2417" s="1277"/>
      <c r="C2417" s="1277"/>
      <c r="D2417" s="1277"/>
      <c r="E2417" s="1277"/>
      <c r="F2417" s="1277"/>
      <c r="G2417" s="1277"/>
      <c r="H2417" s="1277"/>
      <c r="I2417" s="1277"/>
    </row>
    <row r="2418" spans="1:13" x14ac:dyDescent="0.2">
      <c r="A2418" s="232" t="str">
        <f>$A$2</f>
        <v>Tabela Referencial de Preços - DER-ES</v>
      </c>
      <c r="B2418" s="233"/>
      <c r="C2418" s="199"/>
      <c r="D2418" s="199"/>
      <c r="E2418" s="199"/>
      <c r="F2418" s="199"/>
      <c r="G2418" s="199"/>
      <c r="H2418" s="199"/>
      <c r="I2418" s="234" t="str">
        <f>$I$2</f>
        <v>Data Base: Outubro/2018</v>
      </c>
      <c r="J2418" s="433">
        <v>42206</v>
      </c>
      <c r="K2418" s="433">
        <f>VLOOKUP("Preço Unitário Total",F2420:I4121,4,FALSE)</f>
        <v>15.78</v>
      </c>
      <c r="L2418" s="302" t="str">
        <f>VLOOKUP(J2418,'DER 10-18'!A:E,5,FALSE)</f>
        <v>A incluir</v>
      </c>
      <c r="M2418" s="302" t="str">
        <f>VLOOKUP(J2418,'DER 10-18'!$A:$D,2,FALSE)</f>
        <v>Grama em placas, fornecimento e plantio (sem fixação com estacas)</v>
      </c>
    </row>
    <row r="2419" spans="1:13" x14ac:dyDescent="0.2">
      <c r="A2419" s="1278" t="str">
        <f>+CONCATENATE("Serviço: ",J2418," ",VLOOKUP(J2418,'DER 10-18'!$A:$D,2,FALSE))</f>
        <v>Serviço: 42206 Grama em placas, fornecimento e plantio (sem fixação com estacas)</v>
      </c>
      <c r="B2419" s="1278"/>
      <c r="C2419" s="1278"/>
      <c r="D2419" s="1278"/>
      <c r="E2419" s="1278"/>
      <c r="F2419" s="1278"/>
      <c r="G2419" s="1278"/>
      <c r="H2419" s="1278"/>
      <c r="I2419" s="1278" t="str">
        <f>CONCATENATE("Unidade: ", VLOOKUP(J2418,'DER 10-18'!$A:$E,3,FALSE))</f>
        <v>Unidade: M2</v>
      </c>
    </row>
    <row r="2420" spans="1:13" x14ac:dyDescent="0.2">
      <c r="A2420" s="1279"/>
      <c r="B2420" s="1279"/>
      <c r="C2420" s="1279"/>
      <c r="D2420" s="1279"/>
      <c r="E2420" s="1279"/>
      <c r="F2420" s="1279"/>
      <c r="G2420" s="1279"/>
      <c r="H2420" s="1279"/>
      <c r="I2420" s="1279"/>
    </row>
    <row r="2421" spans="1:13" ht="23.25" customHeight="1" x14ac:dyDescent="0.2">
      <c r="A2421" s="235" t="s">
        <v>192</v>
      </c>
      <c r="B2421" s="236" t="s">
        <v>60</v>
      </c>
      <c r="C2421" s="236" t="s">
        <v>193</v>
      </c>
      <c r="D2421" s="236" t="s">
        <v>194</v>
      </c>
      <c r="E2421" s="236" t="s">
        <v>195</v>
      </c>
      <c r="F2421" s="236" t="s">
        <v>196</v>
      </c>
      <c r="G2421" s="236" t="s">
        <v>197</v>
      </c>
      <c r="H2421" s="236" t="s">
        <v>91</v>
      </c>
      <c r="I2421" s="236" t="s">
        <v>198</v>
      </c>
    </row>
    <row r="2422" spans="1:13" ht="22.5" x14ac:dyDescent="0.2">
      <c r="A2422" s="237" t="str">
        <f>VLOOKUP(B2422,equip.!$A:$G,2,FALSE)</f>
        <v>Caminhão tanque L 1319/48 PBT=12,9t (6.000L)</v>
      </c>
      <c r="B2422" s="238">
        <v>30007</v>
      </c>
      <c r="C2422" s="239" t="str">
        <f>VLOOKUP(B2422,equip.!$A$1:$G$239,3,FALSE)</f>
        <v>M</v>
      </c>
      <c r="D2422" s="240">
        <v>0.5</v>
      </c>
      <c r="E2422" s="205">
        <v>0.5</v>
      </c>
      <c r="F2422" s="241">
        <f>VLOOKUP(B2422,equip.!$A:$G,6,FALSE)</f>
        <v>155.91</v>
      </c>
      <c r="G2422" s="241">
        <f>VLOOKUP(B2422,equip.!$A:$G,7,FALSE)</f>
        <v>43.38</v>
      </c>
      <c r="H2422" s="242">
        <v>1</v>
      </c>
      <c r="I2422" s="243">
        <f>TRUNC(D2422*F2422*H2422+E2422*G2422*H2422,2)</f>
        <v>99.64</v>
      </c>
    </row>
    <row r="2423" spans="1:13" x14ac:dyDescent="0.2">
      <c r="A2423" s="237" t="str">
        <f>VLOOKUP(B2423,equip.!$A:$G,2,FALSE)</f>
        <v>Conjunto moto bomba diam. 4"</v>
      </c>
      <c r="B2423" s="238">
        <v>30080</v>
      </c>
      <c r="C2423" s="239">
        <f>VLOOKUP(B2423,equip.!$A$1:$G$239,3,FALSE)</f>
        <v>0</v>
      </c>
      <c r="D2423" s="240">
        <v>0.25</v>
      </c>
      <c r="E2423" s="205">
        <v>0.75</v>
      </c>
      <c r="F2423" s="241">
        <f>VLOOKUP(B2423,equip.!$A:$G,6,FALSE)</f>
        <v>18.05</v>
      </c>
      <c r="G2423" s="241">
        <f>VLOOKUP(B2423,equip.!$A:$G,7,FALSE)</f>
        <v>12.15</v>
      </c>
      <c r="H2423" s="242">
        <v>1</v>
      </c>
      <c r="I2423" s="243">
        <f>TRUNC(D2423*F2423*H2423+E2423*G2423*H2423,2)</f>
        <v>13.62</v>
      </c>
    </row>
    <row r="2424" spans="1:13" x14ac:dyDescent="0.2">
      <c r="A2424" s="199"/>
      <c r="B2424" s="233"/>
      <c r="C2424" s="233"/>
      <c r="D2424" s="199"/>
      <c r="E2424" s="199"/>
      <c r="F2424" s="234" t="s">
        <v>199</v>
      </c>
      <c r="G2424" s="244"/>
      <c r="H2424" s="245"/>
      <c r="I2424" s="434">
        <f>SUM(I2422:I2423)</f>
        <v>113.26</v>
      </c>
    </row>
    <row r="2425" spans="1:13" x14ac:dyDescent="0.2">
      <c r="A2425" s="199"/>
      <c r="B2425" s="233"/>
      <c r="C2425" s="233"/>
      <c r="D2425" s="199"/>
      <c r="E2425" s="199"/>
      <c r="F2425" s="199"/>
      <c r="G2425" s="199"/>
      <c r="H2425" s="199"/>
      <c r="I2425" s="200"/>
    </row>
    <row r="2426" spans="1:13" x14ac:dyDescent="0.2">
      <c r="A2426" s="246" t="s">
        <v>200</v>
      </c>
      <c r="B2426" s="247" t="s">
        <v>60</v>
      </c>
      <c r="C2426" s="236" t="s">
        <v>1242</v>
      </c>
      <c r="D2426" s="247" t="s">
        <v>202</v>
      </c>
      <c r="E2426" s="1271" t="s">
        <v>91</v>
      </c>
      <c r="F2426" s="1272"/>
      <c r="G2426" s="1273"/>
      <c r="H2426" s="1276" t="s">
        <v>198</v>
      </c>
      <c r="I2426" s="1275"/>
    </row>
    <row r="2427" spans="1:13" x14ac:dyDescent="0.2">
      <c r="A2427" s="248" t="str">
        <f>VLOOKUP(B2427,m.o.!$A:$H,2,FALSE)</f>
        <v>Servente</v>
      </c>
      <c r="B2427" s="238">
        <v>20002</v>
      </c>
      <c r="C2427" s="243">
        <f>VLOOKUP(B2427,m.o.!$A:$F,4,FALSE)</f>
        <v>1</v>
      </c>
      <c r="D2427" s="243">
        <f>VLOOKUP(B2427,m.o.!$A:$G,7,FALSE)</f>
        <v>11.64</v>
      </c>
      <c r="E2427" s="260"/>
      <c r="F2427" s="258"/>
      <c r="G2427" s="300">
        <v>10</v>
      </c>
      <c r="H2427" s="244"/>
      <c r="I2427" s="249">
        <f>TRUNC(D2427*G2427,2)</f>
        <v>116.4</v>
      </c>
    </row>
    <row r="2428" spans="1:13" x14ac:dyDescent="0.2">
      <c r="A2428" s="248" t="str">
        <f>VLOOKUP(B2428,m.o.!$A:$H,2,FALSE)</f>
        <v>Técnico em meio ambiente</v>
      </c>
      <c r="B2428" s="238">
        <v>20010</v>
      </c>
      <c r="C2428" s="243">
        <f>VLOOKUP(B2428,m.o.!$A:$F,5,FALSE)</f>
        <v>3530.9</v>
      </c>
      <c r="D2428" s="243">
        <f>VLOOKUP(B2428,m.o.!$A:$G,7,FALSE)</f>
        <v>6498.26</v>
      </c>
      <c r="E2428" s="260"/>
      <c r="F2428" s="258"/>
      <c r="G2428" s="300">
        <v>4.4999999999999997E-3</v>
      </c>
      <c r="H2428" s="244"/>
      <c r="I2428" s="249">
        <f>TRUNC(D2428*G2428,2)</f>
        <v>29.24</v>
      </c>
    </row>
    <row r="2429" spans="1:13" x14ac:dyDescent="0.2">
      <c r="A2429" s="199"/>
      <c r="B2429" s="233"/>
      <c r="C2429" s="233"/>
      <c r="D2429" s="199"/>
      <c r="E2429" s="199"/>
      <c r="F2429" s="234" t="s">
        <v>203</v>
      </c>
      <c r="G2429" s="244"/>
      <c r="H2429" s="245"/>
      <c r="I2429" s="434">
        <f>SUM(I2427:I2428)</f>
        <v>145.63999999999999</v>
      </c>
    </row>
    <row r="2430" spans="1:13" x14ac:dyDescent="0.2">
      <c r="A2430" s="199"/>
      <c r="B2430" s="233"/>
      <c r="C2430" s="233"/>
      <c r="D2430" s="199"/>
      <c r="E2430" s="199"/>
      <c r="F2430" s="199"/>
      <c r="G2430" s="199"/>
      <c r="H2430" s="199"/>
      <c r="I2430" s="200"/>
    </row>
    <row r="2431" spans="1:13" x14ac:dyDescent="0.2">
      <c r="A2431" s="250" t="s">
        <v>204</v>
      </c>
      <c r="B2431" s="247" t="s">
        <v>60</v>
      </c>
      <c r="C2431" s="866" t="s">
        <v>17</v>
      </c>
      <c r="D2431" s="247" t="s">
        <v>205</v>
      </c>
      <c r="E2431" s="247" t="s">
        <v>206</v>
      </c>
      <c r="F2431" s="247" t="s">
        <v>207</v>
      </c>
      <c r="G2431" s="1276" t="s">
        <v>96</v>
      </c>
      <c r="H2431" s="1274"/>
      <c r="I2431" s="1275"/>
    </row>
    <row r="2432" spans="1:13" x14ac:dyDescent="0.2">
      <c r="A2432" s="248" t="s">
        <v>142</v>
      </c>
      <c r="B2432" s="238">
        <v>2000</v>
      </c>
      <c r="C2432" s="243">
        <v>5</v>
      </c>
      <c r="D2432" s="239" t="s">
        <v>223</v>
      </c>
      <c r="E2432" s="251"/>
      <c r="F2432" s="251"/>
      <c r="G2432" s="244"/>
      <c r="H2432" s="245"/>
      <c r="I2432" s="249">
        <f>TRUNC(C2432/100*I2429,2)</f>
        <v>7.28</v>
      </c>
    </row>
    <row r="2433" spans="1:14" x14ac:dyDescent="0.2">
      <c r="A2433" s="199"/>
      <c r="B2433" s="233"/>
      <c r="C2433" s="199"/>
      <c r="D2433" s="199"/>
      <c r="E2433" s="199"/>
      <c r="F2433" s="234" t="s">
        <v>1170</v>
      </c>
      <c r="G2433" s="244"/>
      <c r="H2433" s="245"/>
      <c r="I2433" s="434">
        <f>SUM(I2432)</f>
        <v>7.28</v>
      </c>
    </row>
    <row r="2434" spans="1:14" x14ac:dyDescent="0.2">
      <c r="A2434" s="199"/>
      <c r="B2434" s="233"/>
      <c r="C2434" s="199"/>
      <c r="D2434" s="199"/>
      <c r="E2434" s="199"/>
      <c r="F2434" s="199"/>
      <c r="G2434" s="199"/>
      <c r="H2434" s="199"/>
      <c r="I2434" s="200"/>
    </row>
    <row r="2435" spans="1:14" x14ac:dyDescent="0.2">
      <c r="A2435" s="252"/>
      <c r="B2435" s="253"/>
      <c r="C2435" s="254"/>
      <c r="D2435" s="254"/>
      <c r="E2435" s="254"/>
      <c r="F2435" s="255" t="s">
        <v>208</v>
      </c>
      <c r="G2435" s="435"/>
      <c r="H2435" s="254"/>
      <c r="I2435" s="634">
        <f>+I2424+I2429+I2433</f>
        <v>266.18</v>
      </c>
    </row>
    <row r="2436" spans="1:14" x14ac:dyDescent="0.2">
      <c r="A2436" s="256"/>
      <c r="B2436" s="257"/>
      <c r="C2436" s="258"/>
      <c r="D2436" s="258"/>
      <c r="E2436" s="258"/>
      <c r="F2436" s="259" t="s">
        <v>209</v>
      </c>
      <c r="G2436" s="260"/>
      <c r="H2436" s="258"/>
      <c r="I2436" s="635">
        <v>50</v>
      </c>
    </row>
    <row r="2437" spans="1:14" x14ac:dyDescent="0.2">
      <c r="A2437" s="237"/>
      <c r="B2437" s="261"/>
      <c r="C2437" s="245"/>
      <c r="D2437" s="245"/>
      <c r="E2437" s="245"/>
      <c r="F2437" s="262" t="s">
        <v>232</v>
      </c>
      <c r="G2437" s="244"/>
      <c r="H2437" s="245"/>
      <c r="I2437" s="633">
        <f>TRUNC(I2435/I2436,2)</f>
        <v>5.32</v>
      </c>
    </row>
    <row r="2438" spans="1:14" x14ac:dyDescent="0.2">
      <c r="A2438" s="867"/>
      <c r="B2438" s="233"/>
      <c r="C2438" s="199"/>
      <c r="D2438" s="199"/>
      <c r="E2438" s="199"/>
      <c r="F2438" s="263"/>
      <c r="G2438" s="199"/>
      <c r="H2438" s="199"/>
      <c r="I2438" s="264"/>
    </row>
    <row r="2439" spans="1:14" x14ac:dyDescent="0.2">
      <c r="A2439" s="246" t="s">
        <v>210</v>
      </c>
      <c r="B2439" s="247" t="s">
        <v>60</v>
      </c>
      <c r="C2439" s="247" t="s">
        <v>211</v>
      </c>
      <c r="D2439" s="247" t="s">
        <v>233</v>
      </c>
      <c r="E2439" s="1276" t="s">
        <v>91</v>
      </c>
      <c r="F2439" s="1274"/>
      <c r="G2439" s="1275"/>
      <c r="H2439" s="1276" t="s">
        <v>198</v>
      </c>
      <c r="I2439" s="1275"/>
    </row>
    <row r="2440" spans="1:14" x14ac:dyDescent="0.2">
      <c r="A2440" s="265" t="str">
        <f>VLOOKUP(B2440,mat.!$A:$D,2,FALSE)</f>
        <v>Grama esmeralda em placas</v>
      </c>
      <c r="B2440" s="238">
        <v>10569</v>
      </c>
      <c r="C2440" s="266" t="str">
        <f>VLOOKUP(B2440,mat.!$A:$D,3,FALSE)</f>
        <v>M2</v>
      </c>
      <c r="D2440" s="267">
        <f>VLOOKUP(B2440,mat.!$A:$D,4,FALSE)</f>
        <v>6.9</v>
      </c>
      <c r="E2440" s="260"/>
      <c r="F2440" s="258"/>
      <c r="G2440" s="300">
        <v>1</v>
      </c>
      <c r="H2440" s="260"/>
      <c r="I2440" s="268">
        <f>TRUNC(D2440*G2440,2)</f>
        <v>6.9</v>
      </c>
    </row>
    <row r="2441" spans="1:14" x14ac:dyDescent="0.2">
      <c r="A2441" s="199"/>
      <c r="B2441" s="233"/>
      <c r="C2441" s="199"/>
      <c r="D2441" s="199"/>
      <c r="E2441" s="199"/>
      <c r="F2441" s="234" t="s">
        <v>212</v>
      </c>
      <c r="G2441" s="244"/>
      <c r="H2441" s="245"/>
      <c r="I2441" s="434">
        <f>SUM(I2440:I2440)</f>
        <v>6.9</v>
      </c>
    </row>
    <row r="2442" spans="1:14" x14ac:dyDescent="0.2">
      <c r="A2442" s="199"/>
      <c r="B2442" s="233"/>
      <c r="C2442" s="199"/>
      <c r="D2442" s="199"/>
      <c r="E2442" s="199"/>
      <c r="F2442" s="199"/>
      <c r="G2442" s="269"/>
      <c r="H2442" s="199"/>
      <c r="I2442" s="200"/>
      <c r="J2442" s="451"/>
      <c r="K2442" s="451"/>
      <c r="L2442" s="198"/>
      <c r="M2442" s="198"/>
      <c r="N2442" s="198"/>
    </row>
    <row r="2443" spans="1:14" x14ac:dyDescent="0.2">
      <c r="A2443" s="467" t="s">
        <v>213</v>
      </c>
      <c r="B2443" s="468" t="s">
        <v>60</v>
      </c>
      <c r="C2443" s="468" t="s">
        <v>211</v>
      </c>
      <c r="D2443" s="869" t="s">
        <v>233</v>
      </c>
      <c r="E2443" s="1281" t="s">
        <v>91</v>
      </c>
      <c r="F2443" s="1282"/>
      <c r="G2443" s="1283"/>
      <c r="H2443" s="1284" t="s">
        <v>198</v>
      </c>
      <c r="I2443" s="1285"/>
    </row>
    <row r="2444" spans="1:14" x14ac:dyDescent="0.2">
      <c r="A2444" s="201"/>
      <c r="B2444" s="271"/>
      <c r="C2444" s="201"/>
      <c r="D2444" s="201"/>
      <c r="E2444" s="201"/>
      <c r="F2444" s="272" t="s">
        <v>214</v>
      </c>
      <c r="G2444" s="260"/>
      <c r="H2444" s="273"/>
      <c r="I2444" s="436"/>
    </row>
    <row r="2445" spans="1:14" x14ac:dyDescent="0.2">
      <c r="A2445" s="201"/>
      <c r="B2445" s="271"/>
      <c r="C2445" s="201"/>
      <c r="D2445" s="201"/>
      <c r="E2445" s="201"/>
      <c r="F2445" s="201"/>
      <c r="G2445" s="201"/>
      <c r="H2445" s="201"/>
      <c r="I2445" s="201"/>
    </row>
    <row r="2446" spans="1:14" x14ac:dyDescent="0.2">
      <c r="A2446" s="274" t="s">
        <v>215</v>
      </c>
      <c r="B2446" s="275" t="s">
        <v>60</v>
      </c>
      <c r="C2446" s="275" t="s">
        <v>211</v>
      </c>
      <c r="D2446" s="275" t="s">
        <v>216</v>
      </c>
      <c r="E2446" s="275" t="s">
        <v>217</v>
      </c>
      <c r="F2446" s="275" t="s">
        <v>218</v>
      </c>
      <c r="G2446" s="275" t="s">
        <v>96</v>
      </c>
      <c r="H2446" s="275" t="s">
        <v>91</v>
      </c>
      <c r="I2446" s="275" t="s">
        <v>219</v>
      </c>
      <c r="J2446" s="433" t="s">
        <v>125</v>
      </c>
    </row>
    <row r="2447" spans="1:14" x14ac:dyDescent="0.2">
      <c r="A2447" s="265" t="str">
        <f>VLOOKUP(B2447,tranp.!A:D,2,FALSE)</f>
        <v>Transporte de Grama</v>
      </c>
      <c r="B2447" s="238">
        <v>1014</v>
      </c>
      <c r="C2447" s="238" t="str">
        <f>VLOOKUP(B2447,tranp.!$A:$J,3,FALSE)</f>
        <v xml:space="preserve"> t  </v>
      </c>
      <c r="D2447" s="437" t="str">
        <f>VLOOKUP(B2447,tranp.!$A:$J,4,FALSE)</f>
        <v>0,676XP + 0,703XR</v>
      </c>
      <c r="E2447" s="277">
        <f>VLOOKUP(J2446,Ocor.!$B:$F,4,FALSE)</f>
        <v>37.200000000000003</v>
      </c>
      <c r="F2447" s="277">
        <f>VLOOKUP(J2446,Ocor.!$B:$F,5,FALSE)</f>
        <v>5.6</v>
      </c>
      <c r="G2447" s="243">
        <f>TRUNC(VLOOKUP(B2447,tranp.!$A:$J,5,FALSE)*E2447+VLOOKUP(B2447,tranp.!$A:$J,6,FALSE)*F2447+VLOOKUP(B2447,tranp.!$A:$J,7,FALSE),2)</f>
        <v>29.08</v>
      </c>
      <c r="H2447" s="278">
        <v>0.02</v>
      </c>
      <c r="I2447" s="243">
        <f>TRUNC(G2447*H2447,2)</f>
        <v>0.57999999999999996</v>
      </c>
    </row>
    <row r="2448" spans="1:14" x14ac:dyDescent="0.2">
      <c r="A2448" s="201"/>
      <c r="B2448" s="271"/>
      <c r="C2448" s="201"/>
      <c r="D2448" s="201"/>
      <c r="E2448" s="201"/>
      <c r="F2448" s="272" t="s">
        <v>220</v>
      </c>
      <c r="G2448" s="244"/>
      <c r="H2448" s="279"/>
      <c r="I2448" s="438">
        <f>SUM(I2447:I2447)</f>
        <v>0.57999999999999996</v>
      </c>
    </row>
    <row r="2449" spans="1:17" x14ac:dyDescent="0.2">
      <c r="A2449" s="201"/>
      <c r="B2449" s="271"/>
      <c r="C2449" s="201"/>
      <c r="D2449" s="201"/>
      <c r="E2449" s="201"/>
      <c r="F2449" s="201"/>
      <c r="G2449" s="201"/>
      <c r="H2449" s="201"/>
      <c r="I2449" s="202"/>
    </row>
    <row r="2450" spans="1:17" x14ac:dyDescent="0.2">
      <c r="A2450" s="280"/>
      <c r="B2450" s="281"/>
      <c r="C2450" s="282"/>
      <c r="D2450" s="282"/>
      <c r="E2450" s="282"/>
      <c r="F2450" s="283" t="s">
        <v>221</v>
      </c>
      <c r="G2450" s="280"/>
      <c r="H2450" s="254"/>
      <c r="I2450" s="634">
        <f>+I2437+I2441+I2444+I2448</f>
        <v>12.8</v>
      </c>
    </row>
    <row r="2451" spans="1:17" x14ac:dyDescent="0.2">
      <c r="A2451" s="260"/>
      <c r="B2451" s="284"/>
      <c r="C2451" s="273"/>
      <c r="D2451" s="273"/>
      <c r="E2451" s="273"/>
      <c r="F2451" s="285" t="str">
        <f>CONCATENATE($H$3," ",$I$3)</f>
        <v>BDI: 23,32</v>
      </c>
      <c r="G2451" s="439"/>
      <c r="H2451" s="258"/>
      <c r="I2451" s="635">
        <f>+ROUND(I2450*$I$4,2)</f>
        <v>2.98</v>
      </c>
    </row>
    <row r="2452" spans="1:17" s="372" customFormat="1" x14ac:dyDescent="0.2">
      <c r="A2452" s="244"/>
      <c r="B2452" s="286"/>
      <c r="C2452" s="279"/>
      <c r="D2452" s="279"/>
      <c r="E2452" s="279"/>
      <c r="F2452" s="287" t="s">
        <v>222</v>
      </c>
      <c r="G2452" s="440"/>
      <c r="H2452" s="245"/>
      <c r="I2452" s="1017">
        <f>+I2450+I2451</f>
        <v>15.78</v>
      </c>
      <c r="J2452" s="433"/>
      <c r="K2452" s="433"/>
      <c r="L2452" s="302"/>
      <c r="M2452" s="302"/>
      <c r="N2452" s="302"/>
      <c r="O2452" s="302"/>
      <c r="P2452" s="302"/>
      <c r="Q2452" s="302"/>
    </row>
    <row r="2453" spans="1:17" s="372" customFormat="1" x14ac:dyDescent="0.2">
      <c r="A2453" s="1277" t="str">
        <f>$A$1</f>
        <v>COMPOSIÇÃO DE CUSTOS UNITÁRIOS</v>
      </c>
      <c r="B2453" s="1277"/>
      <c r="C2453" s="1277"/>
      <c r="D2453" s="1277"/>
      <c r="E2453" s="1277"/>
      <c r="F2453" s="1277"/>
      <c r="G2453" s="1277"/>
      <c r="H2453" s="1277"/>
      <c r="I2453" s="1277"/>
      <c r="J2453" s="433"/>
      <c r="K2453" s="433"/>
      <c r="L2453" s="302"/>
      <c r="M2453" s="302"/>
      <c r="N2453" s="302"/>
      <c r="O2453" s="302"/>
      <c r="P2453" s="302"/>
      <c r="Q2453" s="302"/>
    </row>
    <row r="2454" spans="1:17" x14ac:dyDescent="0.2">
      <c r="A2454" s="232" t="str">
        <f>$A$2</f>
        <v>Tabela Referencial de Preços - DER-ES</v>
      </c>
      <c r="B2454" s="233"/>
      <c r="C2454" s="199"/>
      <c r="D2454" s="199"/>
      <c r="E2454" s="199"/>
      <c r="F2454" s="199"/>
      <c r="G2454" s="199"/>
      <c r="H2454" s="199"/>
      <c r="I2454" s="234" t="str">
        <f>$I$2</f>
        <v>Data Base: Outubro/2018</v>
      </c>
      <c r="J2454" s="433">
        <v>42044</v>
      </c>
      <c r="K2454" s="433">
        <f>VLOOKUP("Preço Unitário Total",F2456:I4251,4,FALSE)</f>
        <v>4824.16</v>
      </c>
      <c r="L2454" s="302">
        <f>VLOOKUP(J2454,'DER 10-18'!A:E,5,FALSE)</f>
        <v>0</v>
      </c>
      <c r="M2454" s="302" t="str">
        <f>VLOOKUP(J2454,'DER 10-18'!$A:$D,2,FALSE)</f>
        <v>Reunião de Comunicação Social inclusive material de consumo</v>
      </c>
    </row>
    <row r="2455" spans="1:17" ht="19.5" customHeight="1" x14ac:dyDescent="0.2">
      <c r="A2455" s="1278" t="str">
        <f>+CONCATENATE("Serviço: ",J2454," ",VLOOKUP(J2454,'DER 10-18'!$A:$D,2,FALSE))</f>
        <v>Serviço: 42044 Reunião de Comunicação Social inclusive material de consumo</v>
      </c>
      <c r="B2455" s="1278"/>
      <c r="C2455" s="1278"/>
      <c r="D2455" s="1278"/>
      <c r="E2455" s="1278"/>
      <c r="F2455" s="1278"/>
      <c r="G2455" s="1278"/>
      <c r="H2455" s="1278"/>
      <c r="I2455" s="1278" t="str">
        <f>CONCATENATE("Unidade: ", VLOOKUP(J2454,'DER 10-18'!$A:$E,3,FALSE))</f>
        <v>Unidade: Ud</v>
      </c>
    </row>
    <row r="2456" spans="1:17" x14ac:dyDescent="0.2">
      <c r="A2456" s="1279"/>
      <c r="B2456" s="1279"/>
      <c r="C2456" s="1279"/>
      <c r="D2456" s="1279"/>
      <c r="E2456" s="1279"/>
      <c r="F2456" s="1279"/>
      <c r="G2456" s="1279"/>
      <c r="H2456" s="1279"/>
      <c r="I2456" s="1279"/>
    </row>
    <row r="2457" spans="1:17" ht="22.5" x14ac:dyDescent="0.2">
      <c r="A2457" s="235" t="s">
        <v>192</v>
      </c>
      <c r="B2457" s="236" t="s">
        <v>60</v>
      </c>
      <c r="C2457" s="236" t="s">
        <v>193</v>
      </c>
      <c r="D2457" s="236" t="s">
        <v>194</v>
      </c>
      <c r="E2457" s="236" t="s">
        <v>195</v>
      </c>
      <c r="F2457" s="236" t="s">
        <v>196</v>
      </c>
      <c r="G2457" s="236" t="s">
        <v>197</v>
      </c>
      <c r="H2457" s="236" t="s">
        <v>91</v>
      </c>
      <c r="I2457" s="236" t="s">
        <v>198</v>
      </c>
    </row>
    <row r="2458" spans="1:17" x14ac:dyDescent="0.2">
      <c r="A2458" s="237"/>
      <c r="B2458" s="238"/>
      <c r="C2458" s="239"/>
      <c r="D2458" s="240"/>
      <c r="E2458" s="205"/>
      <c r="F2458" s="241"/>
      <c r="G2458" s="241"/>
      <c r="H2458" s="242"/>
      <c r="I2458" s="243"/>
    </row>
    <row r="2459" spans="1:17" x14ac:dyDescent="0.2">
      <c r="A2459" s="199"/>
      <c r="B2459" s="233"/>
      <c r="C2459" s="233"/>
      <c r="D2459" s="199"/>
      <c r="E2459" s="199"/>
      <c r="F2459" s="234" t="s">
        <v>199</v>
      </c>
      <c r="G2459" s="244"/>
      <c r="H2459" s="245"/>
      <c r="I2459" s="434">
        <f>SUM(I2458:I2458)</f>
        <v>0</v>
      </c>
    </row>
    <row r="2460" spans="1:17" x14ac:dyDescent="0.2">
      <c r="A2460" s="199"/>
      <c r="B2460" s="233"/>
      <c r="C2460" s="233"/>
      <c r="D2460" s="199"/>
      <c r="E2460" s="199"/>
      <c r="F2460" s="199"/>
      <c r="G2460" s="199"/>
      <c r="H2460" s="199"/>
      <c r="I2460" s="200"/>
    </row>
    <row r="2461" spans="1:17" x14ac:dyDescent="0.2">
      <c r="A2461" s="246" t="s">
        <v>200</v>
      </c>
      <c r="B2461" s="247" t="s">
        <v>60</v>
      </c>
      <c r="C2461" s="236" t="s">
        <v>1242</v>
      </c>
      <c r="D2461" s="247" t="s">
        <v>202</v>
      </c>
      <c r="E2461" s="1276" t="s">
        <v>91</v>
      </c>
      <c r="F2461" s="1274"/>
      <c r="G2461" s="1275"/>
      <c r="H2461" s="1276" t="s">
        <v>198</v>
      </c>
      <c r="I2461" s="1275"/>
    </row>
    <row r="2462" spans="1:17" x14ac:dyDescent="0.2">
      <c r="A2462" s="248" t="str">
        <f>VLOOKUP(B2462,m.o.!$A:$H,2,FALSE)</f>
        <v>Engenheiro pleno</v>
      </c>
      <c r="B2462" s="238">
        <v>20069</v>
      </c>
      <c r="C2462" s="243">
        <f>VLOOKUP(B2462,m.o.!$A:$F,5,FALSE)</f>
        <v>10563.18</v>
      </c>
      <c r="D2462" s="243">
        <f>VLOOKUP(B2462,m.o.!$A:$G,7,FALSE)</f>
        <v>19440.47</v>
      </c>
      <c r="E2462" s="244"/>
      <c r="F2462" s="258"/>
      <c r="G2462" s="300">
        <v>1.8200000000000001E-2</v>
      </c>
      <c r="H2462" s="244"/>
      <c r="I2462" s="249">
        <f>TRUNC(D2462*G2462,2)</f>
        <v>353.81</v>
      </c>
    </row>
    <row r="2463" spans="1:17" x14ac:dyDescent="0.2">
      <c r="A2463" s="248" t="str">
        <f>VLOOKUP(B2463,m.o.!$A:$H,2,FALSE)</f>
        <v>Engenheiro junior</v>
      </c>
      <c r="B2463" s="238">
        <v>20070</v>
      </c>
      <c r="C2463" s="243">
        <f>VLOOKUP(B2463,m.o.!$A:$F,5,FALSE)</f>
        <v>8690.41</v>
      </c>
      <c r="D2463" s="243">
        <f>VLOOKUP(B2463,m.o.!$A:$G,7,FALSE)</f>
        <v>15993.83</v>
      </c>
      <c r="E2463" s="244"/>
      <c r="F2463" s="258"/>
      <c r="G2463" s="300">
        <v>1.8200000000000001E-2</v>
      </c>
      <c r="H2463" s="244"/>
      <c r="I2463" s="249">
        <f>TRUNC(D2463*G2463,2)</f>
        <v>291.08</v>
      </c>
    </row>
    <row r="2464" spans="1:17" x14ac:dyDescent="0.2">
      <c r="A2464" s="248" t="str">
        <f>VLOOKUP(B2464,m.o.!$A:$H,2,FALSE)</f>
        <v>Secretária</v>
      </c>
      <c r="B2464" s="238">
        <v>20114</v>
      </c>
      <c r="C2464" s="243">
        <f>VLOOKUP(B2464,m.o.!$A:$F,5,FALSE)</f>
        <v>2945.28</v>
      </c>
      <c r="D2464" s="243">
        <f>VLOOKUP(B2464,m.o.!$A:$G,7,FALSE)</f>
        <v>5420.49</v>
      </c>
      <c r="E2464" s="244"/>
      <c r="F2464" s="258"/>
      <c r="G2464" s="300">
        <v>3.6400000000000002E-2</v>
      </c>
      <c r="H2464" s="244"/>
      <c r="I2464" s="249">
        <f>TRUNC(D2464*G2464,2)</f>
        <v>197.3</v>
      </c>
      <c r="J2464" s="302"/>
      <c r="K2464" s="302"/>
    </row>
    <row r="2465" spans="1:17" x14ac:dyDescent="0.2">
      <c r="A2465" s="199"/>
      <c r="B2465" s="233"/>
      <c r="C2465" s="233"/>
      <c r="D2465" s="199"/>
      <c r="E2465" s="199"/>
      <c r="F2465" s="234" t="s">
        <v>203</v>
      </c>
      <c r="G2465" s="244"/>
      <c r="H2465" s="245"/>
      <c r="I2465" s="434">
        <f>SUM(I2462:I2464)</f>
        <v>842.19</v>
      </c>
      <c r="J2465" s="302"/>
      <c r="K2465" s="302"/>
    </row>
    <row r="2466" spans="1:17" x14ac:dyDescent="0.2">
      <c r="A2466" s="199"/>
      <c r="B2466" s="233"/>
      <c r="C2466" s="233"/>
      <c r="D2466" s="199"/>
      <c r="E2466" s="199"/>
      <c r="F2466" s="199"/>
      <c r="G2466" s="199"/>
      <c r="H2466" s="199"/>
      <c r="I2466" s="200"/>
      <c r="J2466" s="302"/>
      <c r="K2466" s="302"/>
    </row>
    <row r="2467" spans="1:17" x14ac:dyDescent="0.2">
      <c r="A2467" s="250" t="s">
        <v>204</v>
      </c>
      <c r="B2467" s="247" t="s">
        <v>60</v>
      </c>
      <c r="C2467" s="866" t="s">
        <v>17</v>
      </c>
      <c r="D2467" s="247" t="s">
        <v>205</v>
      </c>
      <c r="E2467" s="247" t="s">
        <v>206</v>
      </c>
      <c r="F2467" s="247" t="s">
        <v>207</v>
      </c>
      <c r="G2467" s="1276" t="s">
        <v>96</v>
      </c>
      <c r="H2467" s="1274"/>
      <c r="I2467" s="1275"/>
      <c r="J2467" s="302"/>
      <c r="K2467" s="302"/>
    </row>
    <row r="2468" spans="1:17" x14ac:dyDescent="0.2">
      <c r="A2468" s="248"/>
      <c r="B2468" s="238"/>
      <c r="C2468" s="243"/>
      <c r="D2468" s="239"/>
      <c r="E2468" s="251"/>
      <c r="F2468" s="251"/>
      <c r="G2468" s="244"/>
      <c r="H2468" s="245"/>
      <c r="I2468" s="249"/>
      <c r="J2468" s="302"/>
      <c r="K2468" s="302"/>
    </row>
    <row r="2469" spans="1:17" x14ac:dyDescent="0.2">
      <c r="A2469" s="199"/>
      <c r="B2469" s="233"/>
      <c r="C2469" s="199"/>
      <c r="D2469" s="199"/>
      <c r="E2469" s="199"/>
      <c r="F2469" s="234" t="s">
        <v>1170</v>
      </c>
      <c r="G2469" s="244"/>
      <c r="H2469" s="245"/>
      <c r="I2469" s="434">
        <f>SUM(I2468)</f>
        <v>0</v>
      </c>
      <c r="J2469" s="302"/>
      <c r="K2469" s="302"/>
    </row>
    <row r="2470" spans="1:17" x14ac:dyDescent="0.2">
      <c r="A2470" s="199"/>
      <c r="B2470" s="233"/>
      <c r="C2470" s="199"/>
      <c r="D2470" s="199"/>
      <c r="E2470" s="199"/>
      <c r="F2470" s="199"/>
      <c r="G2470" s="199"/>
      <c r="H2470" s="199"/>
      <c r="I2470" s="200"/>
      <c r="J2470" s="302"/>
      <c r="K2470" s="302"/>
    </row>
    <row r="2471" spans="1:17" x14ac:dyDescent="0.2">
      <c r="A2471" s="252"/>
      <c r="B2471" s="253"/>
      <c r="C2471" s="254"/>
      <c r="D2471" s="254"/>
      <c r="E2471" s="254"/>
      <c r="F2471" s="255" t="s">
        <v>208</v>
      </c>
      <c r="G2471" s="435"/>
      <c r="H2471" s="254"/>
      <c r="I2471" s="634">
        <f>+I2459+I2465+I2469</f>
        <v>842.19</v>
      </c>
      <c r="J2471" s="302"/>
      <c r="K2471" s="302"/>
    </row>
    <row r="2472" spans="1:17" x14ac:dyDescent="0.2">
      <c r="A2472" s="256"/>
      <c r="B2472" s="257"/>
      <c r="C2472" s="258"/>
      <c r="D2472" s="258"/>
      <c r="E2472" s="258"/>
      <c r="F2472" s="259" t="s">
        <v>209</v>
      </c>
      <c r="G2472" s="260"/>
      <c r="H2472" s="258"/>
      <c r="I2472" s="635">
        <v>1</v>
      </c>
      <c r="J2472" s="302"/>
      <c r="K2472" s="302"/>
    </row>
    <row r="2473" spans="1:17" s="372" customFormat="1" x14ac:dyDescent="0.2">
      <c r="A2473" s="237"/>
      <c r="B2473" s="261"/>
      <c r="C2473" s="245"/>
      <c r="D2473" s="245"/>
      <c r="E2473" s="245"/>
      <c r="F2473" s="262" t="s">
        <v>232</v>
      </c>
      <c r="G2473" s="244"/>
      <c r="H2473" s="245"/>
      <c r="I2473" s="633">
        <f>TRUNC(I2471/I2472,2)</f>
        <v>842.19</v>
      </c>
      <c r="J2473" s="302"/>
      <c r="K2473" s="302"/>
      <c r="L2473" s="302"/>
      <c r="M2473" s="302"/>
      <c r="N2473" s="302"/>
      <c r="O2473" s="302"/>
      <c r="P2473" s="302"/>
      <c r="Q2473" s="302"/>
    </row>
    <row r="2474" spans="1:17" s="472" customFormat="1" x14ac:dyDescent="0.2">
      <c r="A2474" s="867"/>
      <c r="B2474" s="233"/>
      <c r="C2474" s="199"/>
      <c r="D2474" s="199"/>
      <c r="E2474" s="199"/>
      <c r="F2474" s="263"/>
      <c r="G2474" s="199"/>
      <c r="H2474" s="199"/>
      <c r="I2474" s="264"/>
      <c r="J2474" s="302"/>
      <c r="K2474" s="302"/>
      <c r="L2474" s="302"/>
      <c r="M2474" s="302"/>
      <c r="N2474" s="302"/>
      <c r="O2474" s="302"/>
      <c r="P2474" s="302"/>
      <c r="Q2474" s="302"/>
    </row>
    <row r="2475" spans="1:17" x14ac:dyDescent="0.2">
      <c r="A2475" s="246" t="s">
        <v>210</v>
      </c>
      <c r="B2475" s="247" t="s">
        <v>60</v>
      </c>
      <c r="C2475" s="247" t="s">
        <v>211</v>
      </c>
      <c r="D2475" s="247" t="s">
        <v>233</v>
      </c>
      <c r="E2475" s="1276" t="s">
        <v>91</v>
      </c>
      <c r="F2475" s="1274"/>
      <c r="G2475" s="1275"/>
      <c r="H2475" s="1276" t="s">
        <v>198</v>
      </c>
      <c r="I2475" s="1275"/>
      <c r="J2475" s="302"/>
      <c r="K2475" s="302"/>
    </row>
    <row r="2476" spans="1:17" ht="22.5" x14ac:dyDescent="0.2">
      <c r="A2476" s="265" t="str">
        <f>VLOOKUP(B2476,mat.!$A:$D,2,FALSE)</f>
        <v>Serviços gráficos e materiais de consumo</v>
      </c>
      <c r="B2476" s="238">
        <v>10584</v>
      </c>
      <c r="C2476" s="266" t="str">
        <f>VLOOKUP(B2476,mat.!$A:$D,3,FALSE)</f>
        <v>Mes</v>
      </c>
      <c r="D2476" s="267">
        <f>VLOOKUP(B2476,mat.!$A:$D,4,FALSE)</f>
        <v>3069.71</v>
      </c>
      <c r="E2476" s="260"/>
      <c r="F2476" s="258"/>
      <c r="G2476" s="300">
        <v>1</v>
      </c>
      <c r="H2476" s="260"/>
      <c r="I2476" s="268">
        <f>TRUNC(D2476*G2476,2)</f>
        <v>3069.71</v>
      </c>
      <c r="J2476" s="302"/>
      <c r="K2476" s="302"/>
    </row>
    <row r="2477" spans="1:17" x14ac:dyDescent="0.2">
      <c r="A2477" s="199"/>
      <c r="B2477" s="233"/>
      <c r="C2477" s="199"/>
      <c r="D2477" s="199"/>
      <c r="E2477" s="199"/>
      <c r="F2477" s="234" t="s">
        <v>212</v>
      </c>
      <c r="G2477" s="244"/>
      <c r="H2477" s="245"/>
      <c r="I2477" s="434">
        <f>SUM(I2476:I2476)</f>
        <v>3069.71</v>
      </c>
      <c r="J2477" s="302"/>
      <c r="K2477" s="302"/>
    </row>
    <row r="2478" spans="1:17" x14ac:dyDescent="0.2">
      <c r="A2478" s="199"/>
      <c r="B2478" s="233"/>
      <c r="C2478" s="199"/>
      <c r="D2478" s="199"/>
      <c r="E2478" s="199"/>
      <c r="F2478" s="199"/>
      <c r="G2478" s="269"/>
      <c r="H2478" s="199"/>
      <c r="I2478" s="200"/>
      <c r="J2478" s="302"/>
      <c r="K2478" s="302"/>
    </row>
    <row r="2479" spans="1:17" x14ac:dyDescent="0.2">
      <c r="A2479" s="270" t="s">
        <v>213</v>
      </c>
      <c r="B2479" s="247" t="s">
        <v>60</v>
      </c>
      <c r="C2479" s="247" t="s">
        <v>211</v>
      </c>
      <c r="D2479" s="866" t="s">
        <v>233</v>
      </c>
      <c r="E2479" s="1276" t="s">
        <v>91</v>
      </c>
      <c r="F2479" s="1274"/>
      <c r="G2479" s="1275"/>
      <c r="H2479" s="1276" t="s">
        <v>198</v>
      </c>
      <c r="I2479" s="1275"/>
      <c r="J2479" s="302"/>
      <c r="K2479" s="302"/>
      <c r="P2479" s="198"/>
      <c r="Q2479" s="198"/>
    </row>
    <row r="2480" spans="1:17" x14ac:dyDescent="0.2">
      <c r="A2480" s="248"/>
      <c r="B2480" s="238"/>
      <c r="C2480" s="238"/>
      <c r="D2480" s="243"/>
      <c r="E2480" s="244"/>
      <c r="F2480" s="258"/>
      <c r="G2480" s="300"/>
      <c r="H2480" s="244"/>
      <c r="I2480" s="268"/>
    </row>
    <row r="2481" spans="1:17" x14ac:dyDescent="0.2">
      <c r="A2481" s="201"/>
      <c r="B2481" s="271"/>
      <c r="C2481" s="201"/>
      <c r="D2481" s="201"/>
      <c r="E2481" s="201"/>
      <c r="F2481" s="272" t="s">
        <v>214</v>
      </c>
      <c r="G2481" s="260"/>
      <c r="H2481" s="273"/>
      <c r="I2481" s="436">
        <f>SUM(I2480:I2480)</f>
        <v>0</v>
      </c>
    </row>
    <row r="2482" spans="1:17" x14ac:dyDescent="0.2">
      <c r="A2482" s="201"/>
      <c r="B2482" s="271"/>
      <c r="C2482" s="201"/>
      <c r="D2482" s="201"/>
      <c r="E2482" s="201"/>
      <c r="F2482" s="201"/>
      <c r="G2482" s="201"/>
      <c r="H2482" s="201"/>
      <c r="I2482" s="201"/>
    </row>
    <row r="2483" spans="1:17" x14ac:dyDescent="0.2">
      <c r="A2483" s="274" t="s">
        <v>215</v>
      </c>
      <c r="B2483" s="275" t="s">
        <v>60</v>
      </c>
      <c r="C2483" s="275" t="s">
        <v>211</v>
      </c>
      <c r="D2483" s="275" t="s">
        <v>216</v>
      </c>
      <c r="E2483" s="275" t="s">
        <v>217</v>
      </c>
      <c r="F2483" s="275" t="s">
        <v>218</v>
      </c>
      <c r="G2483" s="275" t="s">
        <v>96</v>
      </c>
      <c r="H2483" s="275" t="s">
        <v>91</v>
      </c>
      <c r="I2483" s="275" t="s">
        <v>219</v>
      </c>
    </row>
    <row r="2484" spans="1:17" x14ac:dyDescent="0.2">
      <c r="A2484" s="248"/>
      <c r="B2484" s="238"/>
      <c r="C2484" s="238"/>
      <c r="D2484" s="276"/>
      <c r="E2484" s="277"/>
      <c r="F2484" s="277"/>
      <c r="G2484" s="243"/>
      <c r="H2484" s="278"/>
      <c r="I2484" s="243"/>
    </row>
    <row r="2485" spans="1:17" x14ac:dyDescent="0.2">
      <c r="A2485" s="201"/>
      <c r="B2485" s="271"/>
      <c r="C2485" s="201"/>
      <c r="D2485" s="201"/>
      <c r="E2485" s="201"/>
      <c r="F2485" s="272" t="s">
        <v>220</v>
      </c>
      <c r="G2485" s="244"/>
      <c r="H2485" s="279"/>
      <c r="I2485" s="438">
        <f>SUM(I2484:I2484)</f>
        <v>0</v>
      </c>
    </row>
    <row r="2486" spans="1:17" x14ac:dyDescent="0.2">
      <c r="A2486" s="201"/>
      <c r="B2486" s="271"/>
      <c r="C2486" s="201"/>
      <c r="D2486" s="201"/>
      <c r="E2486" s="201"/>
      <c r="F2486" s="201"/>
      <c r="G2486" s="201"/>
      <c r="H2486" s="201"/>
      <c r="I2486" s="202"/>
    </row>
    <row r="2487" spans="1:17" x14ac:dyDescent="0.2">
      <c r="A2487" s="280"/>
      <c r="B2487" s="281"/>
      <c r="C2487" s="282"/>
      <c r="D2487" s="282"/>
      <c r="E2487" s="282"/>
      <c r="F2487" s="283" t="s">
        <v>221</v>
      </c>
      <c r="G2487" s="280"/>
      <c r="H2487" s="254"/>
      <c r="I2487" s="634">
        <f>+I2473+I2477+I2481+I2485</f>
        <v>3911.9</v>
      </c>
    </row>
    <row r="2488" spans="1:17" x14ac:dyDescent="0.2">
      <c r="A2488" s="260"/>
      <c r="B2488" s="284"/>
      <c r="C2488" s="273"/>
      <c r="D2488" s="273"/>
      <c r="E2488" s="273"/>
      <c r="F2488" s="285" t="str">
        <f>CONCATENATE($H$3," ",$I$3)</f>
        <v>BDI: 23,32</v>
      </c>
      <c r="G2488" s="439"/>
      <c r="H2488" s="258"/>
      <c r="I2488" s="635">
        <f>+ROUND(I2487*$I$4,2)</f>
        <v>912.26</v>
      </c>
    </row>
    <row r="2489" spans="1:17" x14ac:dyDescent="0.2">
      <c r="A2489" s="244"/>
      <c r="B2489" s="286"/>
      <c r="C2489" s="279"/>
      <c r="D2489" s="279"/>
      <c r="E2489" s="279"/>
      <c r="F2489" s="287" t="s">
        <v>222</v>
      </c>
      <c r="G2489" s="440"/>
      <c r="H2489" s="245"/>
      <c r="I2489" s="1017">
        <f>+I2487+I2488</f>
        <v>4824.16</v>
      </c>
    </row>
    <row r="2490" spans="1:17" x14ac:dyDescent="0.2">
      <c r="A2490" s="1286" t="str">
        <f>$A$1</f>
        <v>COMPOSIÇÃO DE CUSTOS UNITÁRIOS</v>
      </c>
      <c r="B2490" s="1286"/>
      <c r="C2490" s="1286"/>
      <c r="D2490" s="1286"/>
      <c r="E2490" s="1286"/>
      <c r="F2490" s="1286"/>
      <c r="G2490" s="1286"/>
      <c r="H2490" s="1286"/>
      <c r="I2490" s="1286"/>
      <c r="J2490" s="451"/>
      <c r="K2490" s="451"/>
      <c r="L2490" s="198"/>
      <c r="M2490" s="198"/>
      <c r="N2490" s="198"/>
      <c r="O2490" s="198"/>
      <c r="P2490" s="198"/>
      <c r="Q2490" s="198"/>
    </row>
    <row r="2491" spans="1:17" x14ac:dyDescent="0.2">
      <c r="A2491" s="447" t="str">
        <f>$A$2</f>
        <v>Tabela Referencial de Preços - DER-ES</v>
      </c>
      <c r="B2491" s="448"/>
      <c r="C2491" s="449"/>
      <c r="D2491" s="449"/>
      <c r="E2491" s="449"/>
      <c r="F2491" s="449"/>
      <c r="G2491" s="449"/>
      <c r="H2491" s="449"/>
      <c r="I2491" s="450" t="str">
        <f>$I$2</f>
        <v>Data Base: Outubro/2018</v>
      </c>
      <c r="J2491" s="451">
        <v>40303</v>
      </c>
      <c r="K2491" s="451">
        <f>VLOOKUP("Preço Unitário Total",F2493:I4251,4,FALSE)</f>
        <v>43</v>
      </c>
      <c r="L2491" s="198">
        <f>VLOOKUP(J2491,'DER 10-18'!A:E,5,FALSE)</f>
        <v>0</v>
      </c>
      <c r="M2491" s="198" t="str">
        <f>VLOOKUP(J2491,'DER 10-18'!$A:$D,2,FALSE)</f>
        <v>Reaterro de cavas c/ compactação mecânica (compactador manual)</v>
      </c>
      <c r="N2491" s="198"/>
      <c r="O2491" s="198"/>
      <c r="P2491" s="198"/>
      <c r="Q2491" s="198"/>
    </row>
    <row r="2492" spans="1:17" x14ac:dyDescent="0.2">
      <c r="A2492" s="1287" t="str">
        <f>+CONCATENATE("Serviço: ",J2491," ",VLOOKUP(J2491,'DER 10-18'!$A:$D,2,FALSE))</f>
        <v>Serviço: 40303 Reaterro de cavas c/ compactação mecânica (compactador manual)</v>
      </c>
      <c r="B2492" s="1287"/>
      <c r="C2492" s="1287"/>
      <c r="D2492" s="1287"/>
      <c r="E2492" s="1287"/>
      <c r="F2492" s="1287"/>
      <c r="G2492" s="1287"/>
      <c r="H2492" s="1287"/>
      <c r="I2492" s="1287" t="str">
        <f>CONCATENATE("Unidade: ", VLOOKUP(J2491,'DER 10-18'!$A:$E,3,FALSE))</f>
        <v>Unidade: M3</v>
      </c>
      <c r="J2492" s="451"/>
      <c r="K2492" s="451"/>
      <c r="L2492" s="198"/>
      <c r="M2492" s="198"/>
      <c r="N2492" s="198"/>
      <c r="O2492" s="198"/>
      <c r="P2492" s="198"/>
      <c r="Q2492" s="198"/>
    </row>
    <row r="2493" spans="1:17" x14ac:dyDescent="0.2">
      <c r="A2493" s="1288"/>
      <c r="B2493" s="1288"/>
      <c r="C2493" s="1288"/>
      <c r="D2493" s="1288"/>
      <c r="E2493" s="1288"/>
      <c r="F2493" s="1288"/>
      <c r="G2493" s="1288"/>
      <c r="H2493" s="1288"/>
      <c r="I2493" s="1288"/>
    </row>
    <row r="2494" spans="1:17" ht="22.5" x14ac:dyDescent="0.2">
      <c r="A2494" s="235" t="s">
        <v>192</v>
      </c>
      <c r="B2494" s="236" t="s">
        <v>60</v>
      </c>
      <c r="C2494" s="236" t="s">
        <v>193</v>
      </c>
      <c r="D2494" s="236" t="s">
        <v>194</v>
      </c>
      <c r="E2494" s="236" t="s">
        <v>195</v>
      </c>
      <c r="F2494" s="236" t="s">
        <v>196</v>
      </c>
      <c r="G2494" s="236" t="s">
        <v>197</v>
      </c>
      <c r="H2494" s="236" t="s">
        <v>91</v>
      </c>
      <c r="I2494" s="236" t="s">
        <v>198</v>
      </c>
    </row>
    <row r="2495" spans="1:17" ht="33.75" x14ac:dyDescent="0.2">
      <c r="A2495" s="237" t="str">
        <f>VLOOKUP(B2495,equip.!$A:$G,2,FALSE)</f>
        <v>Compactador manual LF-100 gasol marca de referência Honda asfal 500mm ou equivalente</v>
      </c>
      <c r="B2495" s="238">
        <v>30075</v>
      </c>
      <c r="C2495" s="239">
        <f>VLOOKUP(B2495,equip.!$A$1:$G$239,3,FALSE)</f>
        <v>0</v>
      </c>
      <c r="D2495" s="240">
        <v>1</v>
      </c>
      <c r="E2495" s="205">
        <v>0</v>
      </c>
      <c r="F2495" s="241">
        <f>VLOOKUP(B2495,equip.!$A:$G,6,FALSE)</f>
        <v>14.38</v>
      </c>
      <c r="G2495" s="241">
        <f>VLOOKUP(B2495,equip.!$A:$G,7,FALSE)</f>
        <v>12.6</v>
      </c>
      <c r="H2495" s="242">
        <v>1</v>
      </c>
      <c r="I2495" s="243">
        <f>TRUNC(D2495*F2495*H2495+E2495*G2495*H2495,2)</f>
        <v>14.38</v>
      </c>
    </row>
    <row r="2496" spans="1:17" x14ac:dyDescent="0.2">
      <c r="A2496" s="199"/>
      <c r="B2496" s="233"/>
      <c r="C2496" s="233"/>
      <c r="D2496" s="199"/>
      <c r="E2496" s="199"/>
      <c r="F2496" s="234" t="s">
        <v>199</v>
      </c>
      <c r="G2496" s="244"/>
      <c r="H2496" s="245"/>
      <c r="I2496" s="434">
        <f>SUM(I2495:I2495)</f>
        <v>14.38</v>
      </c>
    </row>
    <row r="2497" spans="1:17" x14ac:dyDescent="0.2">
      <c r="A2497" s="199"/>
      <c r="B2497" s="233"/>
      <c r="C2497" s="233"/>
      <c r="D2497" s="199"/>
      <c r="E2497" s="199"/>
      <c r="F2497" s="199"/>
      <c r="G2497" s="199"/>
      <c r="H2497" s="199"/>
      <c r="I2497" s="200"/>
    </row>
    <row r="2498" spans="1:17" x14ac:dyDescent="0.2">
      <c r="A2498" s="246" t="s">
        <v>200</v>
      </c>
      <c r="B2498" s="247" t="s">
        <v>60</v>
      </c>
      <c r="C2498" s="236" t="s">
        <v>1242</v>
      </c>
      <c r="D2498" s="247" t="s">
        <v>202</v>
      </c>
      <c r="E2498" s="1271" t="s">
        <v>91</v>
      </c>
      <c r="F2498" s="1272"/>
      <c r="G2498" s="1273"/>
      <c r="H2498" s="1276" t="s">
        <v>198</v>
      </c>
      <c r="I2498" s="1275"/>
    </row>
    <row r="2499" spans="1:17" x14ac:dyDescent="0.2">
      <c r="A2499" s="248" t="str">
        <f>VLOOKUP(B2499,m.o.!$A:$H,2,FALSE)</f>
        <v>Encarregado de O.A.C.</v>
      </c>
      <c r="B2499" s="238">
        <v>20060</v>
      </c>
      <c r="C2499" s="243">
        <f>VLOOKUP(B2499,m.o.!$A:$F,4,FALSE)</f>
        <v>2.2599999999999998</v>
      </c>
      <c r="D2499" s="243">
        <f>VLOOKUP(B2499,m.o.!$A:$G,7,FALSE)</f>
        <v>26.3</v>
      </c>
      <c r="E2499" s="260"/>
      <c r="F2499" s="258"/>
      <c r="G2499" s="300">
        <v>0.2</v>
      </c>
      <c r="H2499" s="244"/>
      <c r="I2499" s="249">
        <f>TRUNC(D2499*G2499,2)</f>
        <v>5.26</v>
      </c>
    </row>
    <row r="2500" spans="1:17" x14ac:dyDescent="0.2">
      <c r="A2500" s="248" t="str">
        <f>VLOOKUP(B2500,m.o.!$A:$H,2,FALSE)</f>
        <v>Operário braçal</v>
      </c>
      <c r="B2500" s="238">
        <v>20107</v>
      </c>
      <c r="C2500" s="243">
        <f>VLOOKUP(B2500,m.o.!$A:$F,4,FALSE)</f>
        <v>1.02</v>
      </c>
      <c r="D2500" s="243">
        <f>VLOOKUP(B2500,m.o.!$A:$G,7,FALSE)</f>
        <v>11.87</v>
      </c>
      <c r="E2500" s="260"/>
      <c r="F2500" s="258"/>
      <c r="G2500" s="300">
        <v>4</v>
      </c>
      <c r="H2500" s="244"/>
      <c r="I2500" s="249">
        <f>TRUNC(D2500*G2500,2)</f>
        <v>47.48</v>
      </c>
    </row>
    <row r="2501" spans="1:17" x14ac:dyDescent="0.2">
      <c r="A2501" s="199"/>
      <c r="B2501" s="233"/>
      <c r="C2501" s="233"/>
      <c r="D2501" s="199"/>
      <c r="E2501" s="199"/>
      <c r="F2501" s="234" t="s">
        <v>203</v>
      </c>
      <c r="G2501" s="244"/>
      <c r="H2501" s="245"/>
      <c r="I2501" s="434">
        <f>SUM(I2499:I2500)</f>
        <v>52.74</v>
      </c>
    </row>
    <row r="2502" spans="1:17" x14ac:dyDescent="0.2">
      <c r="A2502" s="199"/>
      <c r="B2502" s="233"/>
      <c r="C2502" s="233"/>
      <c r="D2502" s="199"/>
      <c r="E2502" s="199"/>
      <c r="F2502" s="199"/>
      <c r="G2502" s="199"/>
      <c r="H2502" s="199"/>
      <c r="I2502" s="200"/>
    </row>
    <row r="2503" spans="1:17" x14ac:dyDescent="0.2">
      <c r="A2503" s="250" t="s">
        <v>204</v>
      </c>
      <c r="B2503" s="247" t="s">
        <v>60</v>
      </c>
      <c r="C2503" s="866" t="s">
        <v>17</v>
      </c>
      <c r="D2503" s="247" t="s">
        <v>205</v>
      </c>
      <c r="E2503" s="247" t="s">
        <v>206</v>
      </c>
      <c r="F2503" s="247" t="s">
        <v>207</v>
      </c>
      <c r="G2503" s="1276" t="s">
        <v>96</v>
      </c>
      <c r="H2503" s="1274"/>
      <c r="I2503" s="1275"/>
    </row>
    <row r="2504" spans="1:17" x14ac:dyDescent="0.2">
      <c r="A2504" s="248" t="s">
        <v>142</v>
      </c>
      <c r="B2504" s="238">
        <v>2000</v>
      </c>
      <c r="C2504" s="243">
        <v>5</v>
      </c>
      <c r="D2504" s="239" t="s">
        <v>223</v>
      </c>
      <c r="E2504" s="251"/>
      <c r="F2504" s="251"/>
      <c r="G2504" s="244"/>
      <c r="H2504" s="245"/>
      <c r="I2504" s="249">
        <f>TRUNC(C2504/100*I2501,2)</f>
        <v>2.63</v>
      </c>
    </row>
    <row r="2505" spans="1:17" x14ac:dyDescent="0.2">
      <c r="A2505" s="199"/>
      <c r="B2505" s="233"/>
      <c r="C2505" s="199"/>
      <c r="D2505" s="199"/>
      <c r="E2505" s="199"/>
      <c r="F2505" s="234" t="s">
        <v>1170</v>
      </c>
      <c r="G2505" s="244"/>
      <c r="H2505" s="245"/>
      <c r="I2505" s="434">
        <f>SUM(I2504)</f>
        <v>2.63</v>
      </c>
    </row>
    <row r="2506" spans="1:17" x14ac:dyDescent="0.2">
      <c r="A2506" s="199"/>
      <c r="B2506" s="233"/>
      <c r="C2506" s="199"/>
      <c r="D2506" s="199"/>
      <c r="E2506" s="199"/>
      <c r="F2506" s="199"/>
      <c r="G2506" s="199"/>
      <c r="H2506" s="199"/>
      <c r="I2506" s="200"/>
    </row>
    <row r="2507" spans="1:17" x14ac:dyDescent="0.2">
      <c r="A2507" s="252"/>
      <c r="B2507" s="253"/>
      <c r="C2507" s="254"/>
      <c r="D2507" s="254"/>
      <c r="E2507" s="254"/>
      <c r="F2507" s="255" t="s">
        <v>208</v>
      </c>
      <c r="G2507" s="435"/>
      <c r="H2507" s="254"/>
      <c r="I2507" s="634">
        <f>+I2496+I2501+I2505</f>
        <v>69.75</v>
      </c>
    </row>
    <row r="2508" spans="1:17" x14ac:dyDescent="0.2">
      <c r="A2508" s="256"/>
      <c r="B2508" s="257"/>
      <c r="C2508" s="258"/>
      <c r="D2508" s="258"/>
      <c r="E2508" s="258"/>
      <c r="F2508" s="259" t="s">
        <v>209</v>
      </c>
      <c r="G2508" s="260"/>
      <c r="H2508" s="258"/>
      <c r="I2508" s="635">
        <v>2</v>
      </c>
    </row>
    <row r="2509" spans="1:17" x14ac:dyDescent="0.2">
      <c r="A2509" s="237"/>
      <c r="B2509" s="261"/>
      <c r="C2509" s="245"/>
      <c r="D2509" s="245"/>
      <c r="E2509" s="245"/>
      <c r="F2509" s="262" t="s">
        <v>232</v>
      </c>
      <c r="G2509" s="244"/>
      <c r="H2509" s="245"/>
      <c r="I2509" s="633">
        <f>TRUNC(I2507/I2508,2)</f>
        <v>34.869999999999997</v>
      </c>
    </row>
    <row r="2510" spans="1:17" x14ac:dyDescent="0.2">
      <c r="A2510" s="867"/>
      <c r="B2510" s="233"/>
      <c r="C2510" s="199"/>
      <c r="D2510" s="199"/>
      <c r="E2510" s="199"/>
      <c r="F2510" s="263"/>
      <c r="G2510" s="199"/>
      <c r="H2510" s="199"/>
      <c r="I2510" s="264"/>
    </row>
    <row r="2511" spans="1:17" x14ac:dyDescent="0.2">
      <c r="A2511" s="246" t="s">
        <v>210</v>
      </c>
      <c r="B2511" s="247" t="s">
        <v>60</v>
      </c>
      <c r="C2511" s="247" t="s">
        <v>211</v>
      </c>
      <c r="D2511" s="247" t="s">
        <v>233</v>
      </c>
      <c r="E2511" s="1276" t="s">
        <v>91</v>
      </c>
      <c r="F2511" s="1274"/>
      <c r="G2511" s="1275"/>
      <c r="H2511" s="1276" t="s">
        <v>198</v>
      </c>
      <c r="I2511" s="1275"/>
      <c r="J2511" s="451"/>
      <c r="K2511" s="451"/>
      <c r="L2511" s="198"/>
      <c r="M2511" s="198"/>
      <c r="N2511" s="198"/>
      <c r="O2511" s="198"/>
      <c r="P2511" s="198"/>
      <c r="Q2511" s="198"/>
    </row>
    <row r="2512" spans="1:17" x14ac:dyDescent="0.2">
      <c r="A2512" s="464"/>
      <c r="B2512" s="453"/>
      <c r="C2512" s="465"/>
      <c r="D2512" s="466"/>
      <c r="E2512" s="455"/>
      <c r="F2512" s="456"/>
      <c r="G2512" s="457"/>
      <c r="H2512" s="455"/>
      <c r="I2512" s="459"/>
    </row>
    <row r="2513" spans="1:17" x14ac:dyDescent="0.2">
      <c r="A2513" s="199"/>
      <c r="B2513" s="233"/>
      <c r="C2513" s="199"/>
      <c r="D2513" s="199"/>
      <c r="E2513" s="199"/>
      <c r="F2513" s="234" t="s">
        <v>212</v>
      </c>
      <c r="G2513" s="244"/>
      <c r="H2513" s="245"/>
      <c r="I2513" s="434">
        <f>SUM(I2512:I2512)</f>
        <v>0</v>
      </c>
    </row>
    <row r="2514" spans="1:17" x14ac:dyDescent="0.2">
      <c r="A2514" s="199"/>
      <c r="B2514" s="233"/>
      <c r="C2514" s="199"/>
      <c r="D2514" s="199"/>
      <c r="E2514" s="199"/>
      <c r="F2514" s="199"/>
      <c r="G2514" s="269"/>
      <c r="H2514" s="199"/>
      <c r="I2514" s="200"/>
    </row>
    <row r="2515" spans="1:17" x14ac:dyDescent="0.2">
      <c r="A2515" s="270" t="s">
        <v>213</v>
      </c>
      <c r="B2515" s="247" t="s">
        <v>60</v>
      </c>
      <c r="C2515" s="247" t="s">
        <v>211</v>
      </c>
      <c r="D2515" s="866" t="s">
        <v>233</v>
      </c>
      <c r="E2515" s="1271" t="s">
        <v>91</v>
      </c>
      <c r="F2515" s="1272"/>
      <c r="G2515" s="1273"/>
      <c r="H2515" s="1274" t="s">
        <v>198</v>
      </c>
      <c r="I2515" s="1275"/>
      <c r="J2515" s="451"/>
      <c r="K2515" s="451"/>
      <c r="L2515" s="198"/>
      <c r="M2515" s="198"/>
      <c r="N2515" s="198"/>
      <c r="O2515" s="198"/>
      <c r="P2515" s="198"/>
      <c r="Q2515" s="198"/>
    </row>
    <row r="2516" spans="1:17" x14ac:dyDescent="0.2">
      <c r="A2516" s="452"/>
      <c r="B2516" s="453"/>
      <c r="C2516" s="453"/>
      <c r="D2516" s="454"/>
      <c r="E2516" s="455"/>
      <c r="F2516" s="456"/>
      <c r="G2516" s="457"/>
      <c r="H2516" s="458"/>
      <c r="I2516" s="459"/>
    </row>
    <row r="2517" spans="1:17" x14ac:dyDescent="0.2">
      <c r="A2517" s="201"/>
      <c r="B2517" s="271"/>
      <c r="C2517" s="201"/>
      <c r="D2517" s="201"/>
      <c r="E2517" s="201"/>
      <c r="F2517" s="272" t="s">
        <v>214</v>
      </c>
      <c r="G2517" s="260"/>
      <c r="H2517" s="273"/>
      <c r="I2517" s="436">
        <f>SUM(I2516:I2516)</f>
        <v>0</v>
      </c>
    </row>
    <row r="2518" spans="1:17" x14ac:dyDescent="0.2">
      <c r="A2518" s="201"/>
      <c r="B2518" s="271"/>
      <c r="C2518" s="201"/>
      <c r="D2518" s="201"/>
      <c r="E2518" s="201"/>
      <c r="F2518" s="201"/>
      <c r="G2518" s="201"/>
      <c r="H2518" s="201"/>
      <c r="I2518" s="201"/>
    </row>
    <row r="2519" spans="1:17" x14ac:dyDescent="0.2">
      <c r="A2519" s="274" t="s">
        <v>215</v>
      </c>
      <c r="B2519" s="275" t="s">
        <v>60</v>
      </c>
      <c r="C2519" s="275" t="s">
        <v>211</v>
      </c>
      <c r="D2519" s="275" t="s">
        <v>216</v>
      </c>
      <c r="E2519" s="275" t="s">
        <v>217</v>
      </c>
      <c r="F2519" s="275" t="s">
        <v>218</v>
      </c>
      <c r="G2519" s="275" t="s">
        <v>96</v>
      </c>
      <c r="H2519" s="275" t="s">
        <v>91</v>
      </c>
      <c r="I2519" s="275" t="s">
        <v>219</v>
      </c>
    </row>
    <row r="2520" spans="1:17" x14ac:dyDescent="0.2">
      <c r="A2520" s="248"/>
      <c r="B2520" s="238"/>
      <c r="C2520" s="238"/>
      <c r="D2520" s="437"/>
      <c r="E2520" s="277"/>
      <c r="F2520" s="277"/>
      <c r="G2520" s="243"/>
      <c r="H2520" s="278"/>
      <c r="I2520" s="243"/>
    </row>
    <row r="2521" spans="1:17" x14ac:dyDescent="0.2">
      <c r="A2521" s="201"/>
      <c r="B2521" s="271"/>
      <c r="C2521" s="201"/>
      <c r="D2521" s="201"/>
      <c r="E2521" s="201"/>
      <c r="F2521" s="272" t="s">
        <v>220</v>
      </c>
      <c r="G2521" s="244"/>
      <c r="H2521" s="279"/>
      <c r="I2521" s="438">
        <f>SUM(I2520:I2520)</f>
        <v>0</v>
      </c>
    </row>
    <row r="2522" spans="1:17" x14ac:dyDescent="0.2">
      <c r="A2522" s="201"/>
      <c r="B2522" s="271"/>
      <c r="C2522" s="201"/>
      <c r="D2522" s="201"/>
      <c r="E2522" s="201"/>
      <c r="F2522" s="201"/>
      <c r="G2522" s="201"/>
      <c r="H2522" s="201"/>
      <c r="I2522" s="202"/>
    </row>
    <row r="2523" spans="1:17" x14ac:dyDescent="0.2">
      <c r="A2523" s="280"/>
      <c r="B2523" s="281"/>
      <c r="C2523" s="282"/>
      <c r="D2523" s="282"/>
      <c r="E2523" s="282"/>
      <c r="F2523" s="283" t="s">
        <v>221</v>
      </c>
      <c r="G2523" s="280"/>
      <c r="H2523" s="254"/>
      <c r="I2523" s="634">
        <f>+I2509+I2513+I2517+I2521</f>
        <v>34.869999999999997</v>
      </c>
    </row>
    <row r="2524" spans="1:17" ht="20.25" customHeight="1" x14ac:dyDescent="0.2">
      <c r="A2524" s="260"/>
      <c r="B2524" s="284"/>
      <c r="C2524" s="273"/>
      <c r="D2524" s="273"/>
      <c r="E2524" s="273"/>
      <c r="F2524" s="285" t="str">
        <f>CONCATENATE($H$3," ",$I$3)</f>
        <v>BDI: 23,32</v>
      </c>
      <c r="G2524" s="439"/>
      <c r="H2524" s="258"/>
      <c r="I2524" s="635">
        <f>+ROUND(I2523*$I$4,2)</f>
        <v>8.1300000000000008</v>
      </c>
    </row>
    <row r="2525" spans="1:17" x14ac:dyDescent="0.2">
      <c r="A2525" s="244"/>
      <c r="B2525" s="286"/>
      <c r="C2525" s="279"/>
      <c r="D2525" s="279"/>
      <c r="E2525" s="279"/>
      <c r="F2525" s="287" t="s">
        <v>222</v>
      </c>
      <c r="G2525" s="440"/>
      <c r="H2525" s="245"/>
      <c r="I2525" s="1017">
        <f>+I2523+I2524</f>
        <v>43</v>
      </c>
    </row>
    <row r="2526" spans="1:17" x14ac:dyDescent="0.2">
      <c r="A2526" s="1277" t="str">
        <f>$A$1</f>
        <v>COMPOSIÇÃO DE CUSTOS UNITÁRIOS</v>
      </c>
      <c r="B2526" s="1277"/>
      <c r="C2526" s="1277"/>
      <c r="D2526" s="1277"/>
      <c r="E2526" s="1277"/>
      <c r="F2526" s="1277"/>
      <c r="G2526" s="1277"/>
      <c r="H2526" s="1277"/>
      <c r="I2526" s="1277"/>
    </row>
    <row r="2527" spans="1:17" x14ac:dyDescent="0.2">
      <c r="A2527" s="232" t="str">
        <f>$A$2</f>
        <v>Tabela Referencial de Preços - DER-ES</v>
      </c>
      <c r="B2527" s="233"/>
      <c r="C2527" s="199"/>
      <c r="D2527" s="199"/>
      <c r="E2527" s="199"/>
      <c r="F2527" s="199"/>
      <c r="G2527" s="199"/>
      <c r="H2527" s="199"/>
      <c r="I2527" s="234" t="str">
        <f>$I$2</f>
        <v>Data Base: Outubro/2018</v>
      </c>
    </row>
    <row r="2528" spans="1:17" x14ac:dyDescent="0.2">
      <c r="A2528" s="1278" t="str">
        <f>+CONCATENATE("Serviço: ",J2528," ",VLOOKUP(J2528,'DER 10-18'!$A:$D,2,FALSE))</f>
        <v>Serviço: 40433 Corpo BSTC (greide) diâmetro 0,80 m CA-1 PB inclusive escavação, reaterro e transporte do tubo</v>
      </c>
      <c r="B2528" s="1278"/>
      <c r="C2528" s="1278"/>
      <c r="D2528" s="1278"/>
      <c r="E2528" s="1278"/>
      <c r="F2528" s="1278"/>
      <c r="G2528" s="1278"/>
      <c r="H2528" s="1278"/>
      <c r="I2528" s="1278" t="str">
        <f>CONCATENATE("Unidade: ", VLOOKUP(J2528,'DER 10-18'!$A:$E,3,FALSE))</f>
        <v>Unidade: M</v>
      </c>
      <c r="J2528" s="433">
        <v>40433</v>
      </c>
      <c r="K2528" s="433">
        <f>VLOOKUP("Preço Unitário Total",F2529:I2752,4,FALSE)</f>
        <v>556.07000000000005</v>
      </c>
      <c r="L2528" s="302" t="str">
        <f>VLOOKUP(J2528,'DER 10-18'!A:E,5,FALSE)</f>
        <v>A incluir</v>
      </c>
      <c r="M2528" s="302" t="str">
        <f>VLOOKUP(J2528,'DER 10-18'!$A:$D,2,FALSE)</f>
        <v>Corpo BSTC (greide) diâmetro 0,80 m CA-1 PB inclusive escavação, reaterro e transporte do tubo</v>
      </c>
    </row>
    <row r="2529" spans="1:9" x14ac:dyDescent="0.2">
      <c r="A2529" s="1279"/>
      <c r="B2529" s="1279"/>
      <c r="C2529" s="1279"/>
      <c r="D2529" s="1279"/>
      <c r="E2529" s="1279"/>
      <c r="F2529" s="1279"/>
      <c r="G2529" s="1279"/>
      <c r="H2529" s="1279"/>
      <c r="I2529" s="1279"/>
    </row>
    <row r="2530" spans="1:9" ht="22.5" x14ac:dyDescent="0.2">
      <c r="A2530" s="235" t="s">
        <v>192</v>
      </c>
      <c r="B2530" s="236" t="s">
        <v>60</v>
      </c>
      <c r="C2530" s="236" t="s">
        <v>193</v>
      </c>
      <c r="D2530" s="236" t="s">
        <v>194</v>
      </c>
      <c r="E2530" s="236" t="s">
        <v>195</v>
      </c>
      <c r="F2530" s="236" t="s">
        <v>196</v>
      </c>
      <c r="G2530" s="236" t="s">
        <v>197</v>
      </c>
      <c r="H2530" s="236" t="s">
        <v>91</v>
      </c>
      <c r="I2530" s="236" t="s">
        <v>198</v>
      </c>
    </row>
    <row r="2531" spans="1:9" ht="33.75" x14ac:dyDescent="0.2">
      <c r="A2531" s="237" t="str">
        <f>VLOOKUP(B2531,equip.!$A:$G,2,FALSE)</f>
        <v>Carregadeira de rodas ref. Caterpillar modelo 924H (1,9 m3) ( cab + ar ) ou equivalente</v>
      </c>
      <c r="B2531" s="238">
        <v>30023</v>
      </c>
      <c r="C2531" s="239" t="str">
        <f>VLOOKUP(B2531,equip.!$A$1:$G$240,3,FALSE)</f>
        <v>M</v>
      </c>
      <c r="D2531" s="240">
        <v>0.1</v>
      </c>
      <c r="E2531" s="205">
        <v>0.9</v>
      </c>
      <c r="F2531" s="241">
        <f>VLOOKUP(B2531,equip.!$A:$G,6,FALSE)</f>
        <v>204.45</v>
      </c>
      <c r="G2531" s="241">
        <f>VLOOKUP(B2531,equip.!$A:$G,7,FALSE)</f>
        <v>66.489999999999995</v>
      </c>
      <c r="H2531" s="242">
        <v>1</v>
      </c>
      <c r="I2531" s="243">
        <f>TRUNC(D2531*F2531*H2531+E2531*G2531*H2531,2)</f>
        <v>80.28</v>
      </c>
    </row>
    <row r="2532" spans="1:9" x14ac:dyDescent="0.2">
      <c r="A2532" s="199"/>
      <c r="B2532" s="233"/>
      <c r="C2532" s="233"/>
      <c r="D2532" s="199"/>
      <c r="E2532" s="199"/>
      <c r="F2532" s="234" t="s">
        <v>199</v>
      </c>
      <c r="G2532" s="244"/>
      <c r="H2532" s="245"/>
      <c r="I2532" s="434">
        <f>SUM(I2531:I2531)</f>
        <v>80.28</v>
      </c>
    </row>
    <row r="2533" spans="1:9" x14ac:dyDescent="0.2">
      <c r="A2533" s="199"/>
      <c r="B2533" s="233"/>
      <c r="C2533" s="233"/>
      <c r="D2533" s="199"/>
      <c r="E2533" s="199"/>
      <c r="F2533" s="199"/>
      <c r="G2533" s="199"/>
      <c r="H2533" s="199"/>
      <c r="I2533" s="200"/>
    </row>
    <row r="2534" spans="1:9" x14ac:dyDescent="0.2">
      <c r="A2534" s="246" t="s">
        <v>200</v>
      </c>
      <c r="B2534" s="247" t="s">
        <v>60</v>
      </c>
      <c r="C2534" s="236" t="s">
        <v>1242</v>
      </c>
      <c r="D2534" s="247" t="s">
        <v>202</v>
      </c>
      <c r="E2534" s="1271" t="s">
        <v>91</v>
      </c>
      <c r="F2534" s="1272"/>
      <c r="G2534" s="1273"/>
      <c r="H2534" s="1276" t="s">
        <v>198</v>
      </c>
      <c r="I2534" s="1275"/>
    </row>
    <row r="2535" spans="1:9" x14ac:dyDescent="0.2">
      <c r="A2535" s="248" t="str">
        <f>VLOOKUP(B2535,m.o.!$A:$H,2,FALSE)</f>
        <v>Encarregado de O.A.C.</v>
      </c>
      <c r="B2535" s="238">
        <v>20060</v>
      </c>
      <c r="C2535" s="243">
        <f>VLOOKUP(B2535,m.o.!$A:$F,4,FALSE)</f>
        <v>2.2599999999999998</v>
      </c>
      <c r="D2535" s="243">
        <f>VLOOKUP(B2535,m.o.!$A:$G,7,FALSE)</f>
        <v>26.3</v>
      </c>
      <c r="E2535" s="260"/>
      <c r="F2535" s="258"/>
      <c r="G2535" s="300">
        <v>0.5</v>
      </c>
      <c r="H2535" s="244"/>
      <c r="I2535" s="249">
        <f t="shared" ref="I2535:I2537" si="22">TRUNC(D2535*G2535,2)</f>
        <v>13.15</v>
      </c>
    </row>
    <row r="2536" spans="1:9" x14ac:dyDescent="0.2">
      <c r="A2536" s="248" t="str">
        <f>VLOOKUP(B2536,m.o.!$A:$H,2,FALSE)</f>
        <v>Pedreiro de O.A.C.</v>
      </c>
      <c r="B2536" s="238">
        <v>20109</v>
      </c>
      <c r="C2536" s="243">
        <f>VLOOKUP(B2536,m.o.!$A:$F,4,FALSE)</f>
        <v>1.24</v>
      </c>
      <c r="D2536" s="243">
        <f>VLOOKUP(B2536,m.o.!$A:$G,7,FALSE)</f>
        <v>14.43</v>
      </c>
      <c r="E2536" s="260"/>
      <c r="F2536" s="258"/>
      <c r="G2536" s="300">
        <v>1.8</v>
      </c>
      <c r="H2536" s="244"/>
      <c r="I2536" s="249">
        <f t="shared" si="22"/>
        <v>25.97</v>
      </c>
    </row>
    <row r="2537" spans="1:9" x14ac:dyDescent="0.2">
      <c r="A2537" s="248" t="str">
        <f>VLOOKUP(B2537,m.o.!$A:$H,2,FALSE)</f>
        <v>Servente</v>
      </c>
      <c r="B2537" s="238">
        <v>20002</v>
      </c>
      <c r="C2537" s="243">
        <f>VLOOKUP(B2537,m.o.!$A:$F,4,FALSE)</f>
        <v>1</v>
      </c>
      <c r="D2537" s="243">
        <f>VLOOKUP(B2537,m.o.!$A:$G,7,FALSE)</f>
        <v>11.64</v>
      </c>
      <c r="E2537" s="260"/>
      <c r="F2537" s="258"/>
      <c r="G2537" s="300">
        <v>3</v>
      </c>
      <c r="H2537" s="244"/>
      <c r="I2537" s="249">
        <f t="shared" si="22"/>
        <v>34.92</v>
      </c>
    </row>
    <row r="2538" spans="1:9" x14ac:dyDescent="0.2">
      <c r="A2538" s="199"/>
      <c r="B2538" s="233"/>
      <c r="C2538" s="233"/>
      <c r="D2538" s="199"/>
      <c r="E2538" s="199"/>
      <c r="F2538" s="234" t="s">
        <v>203</v>
      </c>
      <c r="G2538" s="244"/>
      <c r="H2538" s="245"/>
      <c r="I2538" s="434">
        <f>SUM(I2535:I2537)</f>
        <v>74.040000000000006</v>
      </c>
    </row>
    <row r="2539" spans="1:9" x14ac:dyDescent="0.2">
      <c r="A2539" s="199"/>
      <c r="B2539" s="233"/>
      <c r="C2539" s="233"/>
      <c r="D2539" s="199"/>
      <c r="E2539" s="199"/>
      <c r="F2539" s="199"/>
      <c r="G2539" s="199"/>
      <c r="H2539" s="199"/>
      <c r="I2539" s="200"/>
    </row>
    <row r="2540" spans="1:9" x14ac:dyDescent="0.2">
      <c r="A2540" s="250" t="s">
        <v>204</v>
      </c>
      <c r="B2540" s="247" t="s">
        <v>60</v>
      </c>
      <c r="C2540" s="866" t="s">
        <v>17</v>
      </c>
      <c r="D2540" s="247" t="s">
        <v>205</v>
      </c>
      <c r="E2540" s="247" t="s">
        <v>206</v>
      </c>
      <c r="F2540" s="247" t="s">
        <v>207</v>
      </c>
      <c r="G2540" s="1276" t="s">
        <v>96</v>
      </c>
      <c r="H2540" s="1274"/>
      <c r="I2540" s="1275"/>
    </row>
    <row r="2541" spans="1:9" x14ac:dyDescent="0.2">
      <c r="A2541" s="248" t="s">
        <v>142</v>
      </c>
      <c r="B2541" s="238">
        <v>2000</v>
      </c>
      <c r="C2541" s="243">
        <v>5</v>
      </c>
      <c r="D2541" s="239" t="s">
        <v>223</v>
      </c>
      <c r="E2541" s="251"/>
      <c r="F2541" s="251"/>
      <c r="G2541" s="244"/>
      <c r="H2541" s="245"/>
      <c r="I2541" s="249">
        <f>TRUNC(C2541/100*I2538,2)</f>
        <v>3.7</v>
      </c>
    </row>
    <row r="2542" spans="1:9" x14ac:dyDescent="0.2">
      <c r="A2542" s="199"/>
      <c r="B2542" s="233"/>
      <c r="C2542" s="199"/>
      <c r="D2542" s="199"/>
      <c r="E2542" s="199"/>
      <c r="F2542" s="234" t="s">
        <v>1170</v>
      </c>
      <c r="G2542" s="244"/>
      <c r="H2542" s="245"/>
      <c r="I2542" s="434">
        <f>SUM(I2541)</f>
        <v>3.7</v>
      </c>
    </row>
    <row r="2543" spans="1:9" x14ac:dyDescent="0.2">
      <c r="A2543" s="199"/>
      <c r="B2543" s="233"/>
      <c r="C2543" s="199"/>
      <c r="D2543" s="199"/>
      <c r="E2543" s="199"/>
      <c r="F2543" s="199"/>
      <c r="G2543" s="199"/>
      <c r="H2543" s="199"/>
      <c r="I2543" s="200"/>
    </row>
    <row r="2544" spans="1:9" x14ac:dyDescent="0.2">
      <c r="A2544" s="252"/>
      <c r="B2544" s="253"/>
      <c r="C2544" s="254"/>
      <c r="D2544" s="254"/>
      <c r="E2544" s="254"/>
      <c r="F2544" s="255" t="s">
        <v>208</v>
      </c>
      <c r="G2544" s="435"/>
      <c r="H2544" s="254"/>
      <c r="I2544" s="634">
        <f>+I2532+I2538+I2542</f>
        <v>158.02000000000001</v>
      </c>
    </row>
    <row r="2545" spans="1:17" x14ac:dyDescent="0.2">
      <c r="A2545" s="256"/>
      <c r="B2545" s="257"/>
      <c r="C2545" s="258"/>
      <c r="D2545" s="258"/>
      <c r="E2545" s="258"/>
      <c r="F2545" s="259" t="s">
        <v>209</v>
      </c>
      <c r="G2545" s="260"/>
      <c r="H2545" s="258"/>
      <c r="I2545" s="635">
        <v>1</v>
      </c>
    </row>
    <row r="2546" spans="1:17" x14ac:dyDescent="0.2">
      <c r="A2546" s="237"/>
      <c r="B2546" s="261"/>
      <c r="C2546" s="245"/>
      <c r="D2546" s="245"/>
      <c r="E2546" s="245"/>
      <c r="F2546" s="262" t="s">
        <v>232</v>
      </c>
      <c r="G2546" s="244"/>
      <c r="H2546" s="245"/>
      <c r="I2546" s="633">
        <f>TRUNC(I2544/I2545,2)</f>
        <v>158.02000000000001</v>
      </c>
    </row>
    <row r="2547" spans="1:17" x14ac:dyDescent="0.2">
      <c r="A2547" s="867"/>
      <c r="B2547" s="233"/>
      <c r="C2547" s="199"/>
      <c r="D2547" s="199"/>
      <c r="E2547" s="199"/>
      <c r="F2547" s="263"/>
      <c r="G2547" s="199"/>
      <c r="H2547" s="199"/>
      <c r="I2547" s="264"/>
    </row>
    <row r="2548" spans="1:17" x14ac:dyDescent="0.2">
      <c r="A2548" s="246" t="s">
        <v>210</v>
      </c>
      <c r="B2548" s="247" t="s">
        <v>60</v>
      </c>
      <c r="C2548" s="247" t="s">
        <v>211</v>
      </c>
      <c r="D2548" s="247" t="s">
        <v>233</v>
      </c>
      <c r="E2548" s="1276" t="s">
        <v>91</v>
      </c>
      <c r="F2548" s="1274"/>
      <c r="G2548" s="1275"/>
      <c r="H2548" s="1276" t="s">
        <v>198</v>
      </c>
      <c r="I2548" s="1275"/>
    </row>
    <row r="2549" spans="1:17" ht="22.5" x14ac:dyDescent="0.2">
      <c r="A2549" s="265" t="str">
        <f>VLOOKUP(B2549,mat.!$A:$D,2,FALSE)</f>
        <v>Tubo de concreto armado D=0,80m CA-1 PB</v>
      </c>
      <c r="B2549" s="238">
        <v>10225</v>
      </c>
      <c r="C2549" s="266" t="str">
        <f>VLOOKUP(B2549,mat.!$A:$D,3,FALSE)</f>
        <v>M</v>
      </c>
      <c r="D2549" s="267">
        <f>VLOOKUP(B2549,mat.!$A:$D,4,FALSE)</f>
        <v>138.59</v>
      </c>
      <c r="E2549" s="260"/>
      <c r="F2549" s="258"/>
      <c r="G2549" s="300">
        <v>1</v>
      </c>
      <c r="H2549" s="260"/>
      <c r="I2549" s="268">
        <f>TRUNC(D2549*G2549,2)</f>
        <v>138.59</v>
      </c>
    </row>
    <row r="2550" spans="1:17" x14ac:dyDescent="0.2">
      <c r="A2550" s="199"/>
      <c r="B2550" s="233"/>
      <c r="C2550" s="199"/>
      <c r="D2550" s="199"/>
      <c r="E2550" s="199"/>
      <c r="F2550" s="234" t="s">
        <v>212</v>
      </c>
      <c r="G2550" s="244"/>
      <c r="H2550" s="245"/>
      <c r="I2550" s="434">
        <f>SUM(I2549:I2549)</f>
        <v>138.59</v>
      </c>
    </row>
    <row r="2551" spans="1:17" x14ac:dyDescent="0.2">
      <c r="A2551" s="199"/>
      <c r="B2551" s="233"/>
      <c r="C2551" s="199"/>
      <c r="D2551" s="199"/>
      <c r="E2551" s="199"/>
      <c r="F2551" s="199"/>
      <c r="G2551" s="269"/>
      <c r="H2551" s="199"/>
      <c r="I2551" s="200"/>
    </row>
    <row r="2552" spans="1:17" x14ac:dyDescent="0.2">
      <c r="A2552" s="467" t="s">
        <v>213</v>
      </c>
      <c r="B2552" s="468" t="s">
        <v>60</v>
      </c>
      <c r="C2552" s="468" t="s">
        <v>211</v>
      </c>
      <c r="D2552" s="869" t="s">
        <v>233</v>
      </c>
      <c r="E2552" s="1281" t="s">
        <v>91</v>
      </c>
      <c r="F2552" s="1282"/>
      <c r="G2552" s="1283"/>
      <c r="H2552" s="1284" t="s">
        <v>198</v>
      </c>
      <c r="I2552" s="1285"/>
      <c r="J2552" s="451"/>
      <c r="K2552" s="451"/>
      <c r="L2552" s="198"/>
      <c r="M2552" s="198"/>
      <c r="N2552" s="198"/>
      <c r="O2552" s="198"/>
      <c r="P2552" s="198"/>
      <c r="Q2552" s="198"/>
    </row>
    <row r="2553" spans="1:17" ht="22.5" x14ac:dyDescent="0.2">
      <c r="A2553" s="452" t="str">
        <f>VLOOKUP(B2553,'DER 10-18'!$A:$E,2,FALSE)</f>
        <v>Argamassa cimento e areia traço 1:4, tudo incluído</v>
      </c>
      <c r="B2553" s="453">
        <v>40348</v>
      </c>
      <c r="C2553" s="453" t="str">
        <f>VLOOKUP(B2553,'DER 10-18'!$A:$E,3,FALSE)</f>
        <v>M3</v>
      </c>
      <c r="D2553" s="454">
        <f>TRUNC(VLOOKUP(B2553,'DER 10-18'!$A:$F,6,FALSE)/(1+$I$4),2)</f>
        <v>405.1</v>
      </c>
      <c r="E2553" s="455"/>
      <c r="F2553" s="456"/>
      <c r="G2553" s="457">
        <v>2.5000000000000001E-2</v>
      </c>
      <c r="H2553" s="458"/>
      <c r="I2553" s="459">
        <f>TRUNC(D2553*G2553,2)</f>
        <v>10.119999999999999</v>
      </c>
      <c r="J2553" s="451"/>
      <c r="K2553" s="451"/>
      <c r="L2553" s="198"/>
      <c r="M2553" s="198"/>
      <c r="N2553" s="198"/>
      <c r="O2553" s="198"/>
      <c r="P2553" s="198"/>
      <c r="Q2553" s="198"/>
    </row>
    <row r="2554" spans="1:17" ht="22.5" x14ac:dyDescent="0.2">
      <c r="A2554" s="452" t="str">
        <f>VLOOKUP(B2554,'DER 10-18'!$A:$E,2,FALSE)</f>
        <v>Escavação manual em mat. 1ª cat. H= 0,00 a 1,50 m</v>
      </c>
      <c r="B2554" s="453">
        <v>40258</v>
      </c>
      <c r="C2554" s="453" t="str">
        <f>VLOOKUP(B2554,'DER 10-18'!$A:$E,3,FALSE)</f>
        <v>M3</v>
      </c>
      <c r="D2554" s="454">
        <f>TRUNC(VLOOKUP(B2554,'DER 10-18'!$A:$F,6,FALSE)/(1+$I$4),2)</f>
        <v>52.61</v>
      </c>
      <c r="E2554" s="455"/>
      <c r="F2554" s="456"/>
      <c r="G2554" s="457">
        <v>0.16</v>
      </c>
      <c r="H2554" s="458"/>
      <c r="I2554" s="459">
        <f t="shared" ref="I2554:I2556" si="23">TRUNC(D2554*G2554,2)</f>
        <v>8.41</v>
      </c>
      <c r="J2554" s="451"/>
      <c r="K2554" s="451"/>
      <c r="L2554" s="198"/>
      <c r="M2554" s="198"/>
      <c r="N2554" s="198"/>
      <c r="O2554" s="198"/>
      <c r="P2554" s="198"/>
      <c r="Q2554" s="198"/>
    </row>
    <row r="2555" spans="1:17" ht="22.5" x14ac:dyDescent="0.2">
      <c r="A2555" s="452" t="str">
        <f>VLOOKUP(B2555,'DER 10-18'!$A:$E,2,FALSE)</f>
        <v>Escavação mecânica em material de 1ª cat. H= 0,00 a 1,50 m</v>
      </c>
      <c r="B2555" s="453">
        <v>40282</v>
      </c>
      <c r="C2555" s="453" t="str">
        <f>VLOOKUP(B2555,'DER 10-18'!$A:$E,3,FALSE)</f>
        <v>M3</v>
      </c>
      <c r="D2555" s="454">
        <f>TRUNC(VLOOKUP(B2555,'DER 10-18'!$A:$F,6,FALSE)/(1+$I$4),2)</f>
        <v>9.91</v>
      </c>
      <c r="E2555" s="455"/>
      <c r="F2555" s="456"/>
      <c r="G2555" s="457">
        <v>3</v>
      </c>
      <c r="H2555" s="458"/>
      <c r="I2555" s="459">
        <f t="shared" si="23"/>
        <v>29.73</v>
      </c>
      <c r="J2555" s="451"/>
      <c r="K2555" s="451"/>
      <c r="L2555" s="198"/>
      <c r="M2555" s="198"/>
      <c r="N2555" s="198"/>
      <c r="O2555" s="198"/>
      <c r="P2555" s="198"/>
      <c r="Q2555" s="198"/>
    </row>
    <row r="2556" spans="1:17" ht="22.5" x14ac:dyDescent="0.2">
      <c r="A2556" s="452" t="str">
        <f>VLOOKUP(B2556,'DER 10-18'!$A:$E,2,FALSE)</f>
        <v>Reaterro de cavas c/ compactação mecânica (compactador manual)</v>
      </c>
      <c r="B2556" s="453">
        <v>40303</v>
      </c>
      <c r="C2556" s="453" t="str">
        <f>VLOOKUP(B2556,'DER 10-18'!$A:$E,3,FALSE)</f>
        <v>M3</v>
      </c>
      <c r="D2556" s="454">
        <f>TRUNC(VLOOKUP(B2556,'DER 10-18'!$A:$F,6,FALSE)/(1+$I$4),2)</f>
        <v>34.86</v>
      </c>
      <c r="E2556" s="455"/>
      <c r="F2556" s="456"/>
      <c r="G2556" s="457">
        <v>2.5</v>
      </c>
      <c r="H2556" s="458"/>
      <c r="I2556" s="459">
        <f t="shared" si="23"/>
        <v>87.15</v>
      </c>
      <c r="J2556" s="451"/>
      <c r="K2556" s="451"/>
      <c r="L2556" s="198"/>
      <c r="M2556" s="198"/>
      <c r="N2556" s="198"/>
      <c r="O2556" s="198"/>
      <c r="P2556" s="198"/>
      <c r="Q2556" s="198"/>
    </row>
    <row r="2557" spans="1:17" x14ac:dyDescent="0.2">
      <c r="A2557" s="201"/>
      <c r="B2557" s="271"/>
      <c r="C2557" s="201"/>
      <c r="D2557" s="201"/>
      <c r="E2557" s="201"/>
      <c r="F2557" s="272" t="s">
        <v>214</v>
      </c>
      <c r="G2557" s="260"/>
      <c r="H2557" s="273"/>
      <c r="I2557" s="436">
        <f>SUM(I2553:I2556)</f>
        <v>135.41</v>
      </c>
    </row>
    <row r="2558" spans="1:17" x14ac:dyDescent="0.2">
      <c r="A2558" s="201"/>
      <c r="B2558" s="271"/>
      <c r="C2558" s="201"/>
      <c r="D2558" s="201"/>
      <c r="E2558" s="201"/>
      <c r="F2558" s="201"/>
      <c r="G2558" s="201"/>
      <c r="H2558" s="201"/>
      <c r="I2558" s="201"/>
    </row>
    <row r="2559" spans="1:17" ht="24.75" customHeight="1" x14ac:dyDescent="0.2">
      <c r="A2559" s="274" t="s">
        <v>215</v>
      </c>
      <c r="B2559" s="275" t="s">
        <v>60</v>
      </c>
      <c r="C2559" s="275" t="s">
        <v>211</v>
      </c>
      <c r="D2559" s="275" t="s">
        <v>216</v>
      </c>
      <c r="E2559" s="275" t="s">
        <v>217</v>
      </c>
      <c r="F2559" s="275" t="s">
        <v>218</v>
      </c>
      <c r="G2559" s="275" t="s">
        <v>96</v>
      </c>
      <c r="H2559" s="275" t="s">
        <v>91</v>
      </c>
      <c r="I2559" s="275" t="s">
        <v>219</v>
      </c>
    </row>
    <row r="2560" spans="1:17" ht="22.5" x14ac:dyDescent="0.2">
      <c r="A2560" s="248" t="str">
        <f>VLOOKUP(B2560,tranp.!$A:$J,2,FALSE)</f>
        <v xml:space="preserve"> Transp. de Tubo de concreto armado D=0,80m CA-1 PB</v>
      </c>
      <c r="B2560" s="238">
        <v>1006</v>
      </c>
      <c r="C2560" s="238" t="str">
        <f>VLOOKUP(B2560,tranp.!$A:$J,3,FALSE)</f>
        <v xml:space="preserve"> t  </v>
      </c>
      <c r="D2560" s="804" t="str">
        <f>VLOOKUP(B2560,tranp.!$A:$J,4,FALSE)</f>
        <v>0,676XP + 0,703XR</v>
      </c>
      <c r="E2560" s="277">
        <f>VLOOKUP(J2560,Ocor.!$B:$F,4,FALSE)</f>
        <v>37.200000000000003</v>
      </c>
      <c r="F2560" s="277">
        <f>VLOOKUP(J2560,Ocor.!$B:$F,5,FALSE)</f>
        <v>5.6</v>
      </c>
      <c r="G2560" s="243">
        <f>TRUNC(VLOOKUP(B2560,tranp.!$A:$J,5,FALSE)*E2560+VLOOKUP(B2560,tranp.!$A:$J,6,FALSE)*F2560+VLOOKUP(B2560,tranp.!$A:$J,7,FALSE),2)</f>
        <v>29.08</v>
      </c>
      <c r="H2560" s="278">
        <v>0.65</v>
      </c>
      <c r="I2560" s="243">
        <f>TRUNC(G2560*H2560,2)</f>
        <v>18.899999999999999</v>
      </c>
      <c r="J2560" s="433" t="s">
        <v>118</v>
      </c>
    </row>
    <row r="2561" spans="1:13" x14ac:dyDescent="0.2">
      <c r="A2561" s="201"/>
      <c r="B2561" s="271"/>
      <c r="C2561" s="201"/>
      <c r="D2561" s="201"/>
      <c r="E2561" s="201"/>
      <c r="F2561" s="272" t="s">
        <v>220</v>
      </c>
      <c r="G2561" s="244"/>
      <c r="H2561" s="279"/>
      <c r="I2561" s="438">
        <f>SUM(I2560:I2560)</f>
        <v>18.899999999999999</v>
      </c>
    </row>
    <row r="2562" spans="1:13" x14ac:dyDescent="0.2">
      <c r="A2562" s="201"/>
      <c r="B2562" s="271"/>
      <c r="C2562" s="201"/>
      <c r="D2562" s="201"/>
      <c r="E2562" s="201"/>
      <c r="F2562" s="201"/>
      <c r="G2562" s="201"/>
      <c r="H2562" s="201"/>
      <c r="I2562" s="202"/>
    </row>
    <row r="2563" spans="1:13" x14ac:dyDescent="0.2">
      <c r="A2563" s="280"/>
      <c r="B2563" s="281"/>
      <c r="C2563" s="282"/>
      <c r="D2563" s="282"/>
      <c r="E2563" s="282"/>
      <c r="F2563" s="283" t="s">
        <v>221</v>
      </c>
      <c r="G2563" s="280"/>
      <c r="H2563" s="254"/>
      <c r="I2563" s="634">
        <f>+I2546+I2550+I2557+I2561</f>
        <v>450.92</v>
      </c>
    </row>
    <row r="2564" spans="1:13" x14ac:dyDescent="0.2">
      <c r="A2564" s="260"/>
      <c r="B2564" s="284"/>
      <c r="C2564" s="273"/>
      <c r="D2564" s="273"/>
      <c r="E2564" s="273"/>
      <c r="F2564" s="285" t="str">
        <f>CONCATENATE($H$3," ",$I$3)</f>
        <v>BDI: 23,32</v>
      </c>
      <c r="G2564" s="439"/>
      <c r="H2564" s="258"/>
      <c r="I2564" s="635">
        <f>+ROUND(I2563*$I$4,2)</f>
        <v>105.15</v>
      </c>
    </row>
    <row r="2565" spans="1:13" x14ac:dyDescent="0.2">
      <c r="A2565" s="244"/>
      <c r="B2565" s="286"/>
      <c r="C2565" s="279"/>
      <c r="D2565" s="279"/>
      <c r="E2565" s="279"/>
      <c r="F2565" s="287" t="s">
        <v>222</v>
      </c>
      <c r="G2565" s="440"/>
      <c r="H2565" s="245"/>
      <c r="I2565" s="1017">
        <f>+I2563+I2564</f>
        <v>556.07000000000005</v>
      </c>
    </row>
    <row r="2566" spans="1:13" x14ac:dyDescent="0.2">
      <c r="A2566" s="1277" t="str">
        <f>$A$1</f>
        <v>COMPOSIÇÃO DE CUSTOS UNITÁRIOS</v>
      </c>
      <c r="B2566" s="1277"/>
      <c r="C2566" s="1277"/>
      <c r="D2566" s="1277"/>
      <c r="E2566" s="1277"/>
      <c r="F2566" s="1277"/>
      <c r="G2566" s="1277"/>
      <c r="H2566" s="1277"/>
      <c r="I2566" s="1277"/>
    </row>
    <row r="2567" spans="1:13" x14ac:dyDescent="0.2">
      <c r="A2567" s="232" t="str">
        <f>$A$2</f>
        <v>Tabela Referencial de Preços - DER-ES</v>
      </c>
      <c r="B2567" s="233"/>
      <c r="C2567" s="199"/>
      <c r="D2567" s="199"/>
      <c r="E2567" s="199"/>
      <c r="F2567" s="199"/>
      <c r="G2567" s="199"/>
      <c r="H2567" s="199"/>
      <c r="I2567" s="234" t="str">
        <f>$I$2</f>
        <v>Data Base: Outubro/2018</v>
      </c>
    </row>
    <row r="2568" spans="1:13" x14ac:dyDescent="0.2">
      <c r="A2568" s="1278" t="str">
        <f>+CONCATENATE("Serviço: ",J2568," ",VLOOKUP(J2568,'DER 10-18'!$A:$D,2,FALSE))</f>
        <v>Serviço: 40453 Corpo BSTC (grota) diâmetro 1,00 m CA-1 PB exclusive escavação e reaterro, inclusive transporte do tubo</v>
      </c>
      <c r="B2568" s="1278"/>
      <c r="C2568" s="1278"/>
      <c r="D2568" s="1278"/>
      <c r="E2568" s="1278"/>
      <c r="F2568" s="1278"/>
      <c r="G2568" s="1278"/>
      <c r="H2568" s="1278"/>
      <c r="I2568" s="1278" t="str">
        <f>CONCATENATE("Unidade: ", VLOOKUP(J2568,'DER 10-18'!$A:$E,3,FALSE))</f>
        <v>Unidade: M</v>
      </c>
      <c r="J2568" s="433">
        <v>40453</v>
      </c>
      <c r="K2568" s="433">
        <f>VLOOKUP("Preço Unitário Total",F2569:I2793,4,FALSE)</f>
        <v>528.5</v>
      </c>
      <c r="L2568" s="302" t="str">
        <f>VLOOKUP(J2568,'DER 10-18'!A:E,5,FALSE)</f>
        <v>A incluir</v>
      </c>
      <c r="M2568" s="302" t="str">
        <f>VLOOKUP(J2568,'DER 10-18'!$A:$D,2,FALSE)</f>
        <v>Corpo BSTC (grota) diâmetro 1,00 m CA-1 PB exclusive escavação e reaterro, inclusive transporte do tubo</v>
      </c>
    </row>
    <row r="2569" spans="1:13" x14ac:dyDescent="0.2">
      <c r="A2569" s="1279"/>
      <c r="B2569" s="1279"/>
      <c r="C2569" s="1279"/>
      <c r="D2569" s="1279"/>
      <c r="E2569" s="1279"/>
      <c r="F2569" s="1279"/>
      <c r="G2569" s="1279"/>
      <c r="H2569" s="1279"/>
      <c r="I2569" s="1279"/>
    </row>
    <row r="2570" spans="1:13" ht="22.5" x14ac:dyDescent="0.2">
      <c r="A2570" s="235" t="s">
        <v>192</v>
      </c>
      <c r="B2570" s="236" t="s">
        <v>60</v>
      </c>
      <c r="C2570" s="236" t="s">
        <v>193</v>
      </c>
      <c r="D2570" s="236" t="s">
        <v>194</v>
      </c>
      <c r="E2570" s="236" t="s">
        <v>195</v>
      </c>
      <c r="F2570" s="236" t="s">
        <v>196</v>
      </c>
      <c r="G2570" s="236" t="s">
        <v>197</v>
      </c>
      <c r="H2570" s="236" t="s">
        <v>91</v>
      </c>
      <c r="I2570" s="236" t="s">
        <v>198</v>
      </c>
    </row>
    <row r="2571" spans="1:13" ht="33.75" x14ac:dyDescent="0.2">
      <c r="A2571" s="237" t="str">
        <f>VLOOKUP(B2571,equip.!$A:$G,2,FALSE)</f>
        <v>Carregadeira de rodas ref. Caterpillar modelo 924H (1,9 m3) ( cab + ar ) ou equivalente</v>
      </c>
      <c r="B2571" s="238">
        <v>30023</v>
      </c>
      <c r="C2571" s="239" t="str">
        <f>VLOOKUP(B2571,equip.!$A$1:$G$240,3,FALSE)</f>
        <v>M</v>
      </c>
      <c r="D2571" s="240">
        <v>0.1</v>
      </c>
      <c r="E2571" s="205">
        <v>0.9</v>
      </c>
      <c r="F2571" s="241">
        <f>VLOOKUP(B2571,equip.!$A:$G,6,FALSE)</f>
        <v>204.45</v>
      </c>
      <c r="G2571" s="241">
        <f>VLOOKUP(B2571,equip.!$A:$G,7,FALSE)</f>
        <v>66.489999999999995</v>
      </c>
      <c r="H2571" s="242">
        <v>1</v>
      </c>
      <c r="I2571" s="243">
        <f>TRUNC(D2571*F2571*H2571+E2571*G2571*H2571,2)</f>
        <v>80.28</v>
      </c>
    </row>
    <row r="2572" spans="1:13" x14ac:dyDescent="0.2">
      <c r="A2572" s="199"/>
      <c r="B2572" s="233"/>
      <c r="C2572" s="233"/>
      <c r="D2572" s="199"/>
      <c r="E2572" s="199"/>
      <c r="F2572" s="234" t="s">
        <v>199</v>
      </c>
      <c r="G2572" s="244"/>
      <c r="H2572" s="245"/>
      <c r="I2572" s="434">
        <f>SUM(I2571:I2571)</f>
        <v>80.28</v>
      </c>
    </row>
    <row r="2573" spans="1:13" x14ac:dyDescent="0.2">
      <c r="A2573" s="199"/>
      <c r="B2573" s="233"/>
      <c r="C2573" s="233"/>
      <c r="D2573" s="199"/>
      <c r="E2573" s="199"/>
      <c r="F2573" s="199"/>
      <c r="G2573" s="199"/>
      <c r="H2573" s="199"/>
      <c r="I2573" s="200"/>
    </row>
    <row r="2574" spans="1:13" x14ac:dyDescent="0.2">
      <c r="A2574" s="246" t="s">
        <v>200</v>
      </c>
      <c r="B2574" s="247" t="s">
        <v>60</v>
      </c>
      <c r="C2574" s="236" t="s">
        <v>1242</v>
      </c>
      <c r="D2574" s="247" t="s">
        <v>202</v>
      </c>
      <c r="E2574" s="1271" t="s">
        <v>91</v>
      </c>
      <c r="F2574" s="1272"/>
      <c r="G2574" s="1273"/>
      <c r="H2574" s="1276" t="s">
        <v>198</v>
      </c>
      <c r="I2574" s="1275"/>
    </row>
    <row r="2575" spans="1:13" x14ac:dyDescent="0.2">
      <c r="A2575" s="248" t="str">
        <f>VLOOKUP(B2575,m.o.!$A:$H,2,FALSE)</f>
        <v>Encarregado de O.A.C.</v>
      </c>
      <c r="B2575" s="238">
        <v>20060</v>
      </c>
      <c r="C2575" s="243">
        <f>VLOOKUP(B2575,m.o.!$A:$F,4,FALSE)</f>
        <v>2.2599999999999998</v>
      </c>
      <c r="D2575" s="243">
        <f>VLOOKUP(B2575,m.o.!$A:$G,7,FALSE)</f>
        <v>26.3</v>
      </c>
      <c r="E2575" s="260"/>
      <c r="F2575" s="258"/>
      <c r="G2575" s="300">
        <v>0.5</v>
      </c>
      <c r="H2575" s="244"/>
      <c r="I2575" s="249">
        <f t="shared" ref="I2575:I2577" si="24">TRUNC(D2575*G2575,2)</f>
        <v>13.15</v>
      </c>
    </row>
    <row r="2576" spans="1:13" x14ac:dyDescent="0.2">
      <c r="A2576" s="248" t="str">
        <f>VLOOKUP(B2576,m.o.!$A:$H,2,FALSE)</f>
        <v>Pedreiro de O.A.C.</v>
      </c>
      <c r="B2576" s="238">
        <v>20109</v>
      </c>
      <c r="C2576" s="243">
        <f>VLOOKUP(B2576,m.o.!$A:$F,4,FALSE)</f>
        <v>1.24</v>
      </c>
      <c r="D2576" s="243">
        <f>VLOOKUP(B2576,m.o.!$A:$G,7,FALSE)</f>
        <v>14.43</v>
      </c>
      <c r="E2576" s="260"/>
      <c r="F2576" s="258"/>
      <c r="G2576" s="300">
        <v>2</v>
      </c>
      <c r="H2576" s="244"/>
      <c r="I2576" s="249">
        <f t="shared" si="24"/>
        <v>28.86</v>
      </c>
    </row>
    <row r="2577" spans="1:9" x14ac:dyDescent="0.2">
      <c r="A2577" s="248" t="str">
        <f>VLOOKUP(B2577,m.o.!$A:$H,2,FALSE)</f>
        <v>Servente</v>
      </c>
      <c r="B2577" s="238">
        <v>20002</v>
      </c>
      <c r="C2577" s="243">
        <f>VLOOKUP(B2577,m.o.!$A:$F,4,FALSE)</f>
        <v>1</v>
      </c>
      <c r="D2577" s="243">
        <f>VLOOKUP(B2577,m.o.!$A:$G,7,FALSE)</f>
        <v>11.64</v>
      </c>
      <c r="E2577" s="260"/>
      <c r="F2577" s="258"/>
      <c r="G2577" s="300">
        <v>4</v>
      </c>
      <c r="H2577" s="244"/>
      <c r="I2577" s="249">
        <f t="shared" si="24"/>
        <v>46.56</v>
      </c>
    </row>
    <row r="2578" spans="1:9" x14ac:dyDescent="0.2">
      <c r="A2578" s="199"/>
      <c r="B2578" s="233"/>
      <c r="C2578" s="233"/>
      <c r="D2578" s="199"/>
      <c r="E2578" s="199"/>
      <c r="F2578" s="234" t="s">
        <v>203</v>
      </c>
      <c r="G2578" s="244"/>
      <c r="H2578" s="245"/>
      <c r="I2578" s="434">
        <f>SUM(I2575:I2577)</f>
        <v>88.57</v>
      </c>
    </row>
    <row r="2579" spans="1:9" x14ac:dyDescent="0.2">
      <c r="A2579" s="199"/>
      <c r="B2579" s="233"/>
      <c r="C2579" s="233"/>
      <c r="D2579" s="199"/>
      <c r="E2579" s="199"/>
      <c r="F2579" s="199"/>
      <c r="G2579" s="199"/>
      <c r="H2579" s="199"/>
      <c r="I2579" s="200"/>
    </row>
    <row r="2580" spans="1:9" x14ac:dyDescent="0.2">
      <c r="A2580" s="250" t="s">
        <v>204</v>
      </c>
      <c r="B2580" s="247" t="s">
        <v>60</v>
      </c>
      <c r="C2580" s="866" t="s">
        <v>17</v>
      </c>
      <c r="D2580" s="247" t="s">
        <v>205</v>
      </c>
      <c r="E2580" s="247" t="s">
        <v>206</v>
      </c>
      <c r="F2580" s="247" t="s">
        <v>207</v>
      </c>
      <c r="G2580" s="1276" t="s">
        <v>96</v>
      </c>
      <c r="H2580" s="1274"/>
      <c r="I2580" s="1275"/>
    </row>
    <row r="2581" spans="1:9" x14ac:dyDescent="0.2">
      <c r="A2581" s="248" t="s">
        <v>142</v>
      </c>
      <c r="B2581" s="238">
        <v>2000</v>
      </c>
      <c r="C2581" s="243">
        <v>5</v>
      </c>
      <c r="D2581" s="239" t="s">
        <v>223</v>
      </c>
      <c r="E2581" s="251"/>
      <c r="F2581" s="251"/>
      <c r="G2581" s="244"/>
      <c r="H2581" s="245"/>
      <c r="I2581" s="249">
        <f>TRUNC(C2581/100*I2578,2)</f>
        <v>4.42</v>
      </c>
    </row>
    <row r="2582" spans="1:9" x14ac:dyDescent="0.2">
      <c r="A2582" s="199"/>
      <c r="B2582" s="233"/>
      <c r="C2582" s="199"/>
      <c r="D2582" s="199"/>
      <c r="E2582" s="199"/>
      <c r="F2582" s="234" t="s">
        <v>1170</v>
      </c>
      <c r="G2582" s="244"/>
      <c r="H2582" s="245"/>
      <c r="I2582" s="434">
        <f>SUM(I2581)</f>
        <v>4.42</v>
      </c>
    </row>
    <row r="2583" spans="1:9" x14ac:dyDescent="0.2">
      <c r="A2583" s="199"/>
      <c r="B2583" s="233"/>
      <c r="C2583" s="199"/>
      <c r="D2583" s="199"/>
      <c r="E2583" s="199"/>
      <c r="F2583" s="199"/>
      <c r="G2583" s="199"/>
      <c r="H2583" s="199"/>
      <c r="I2583" s="200"/>
    </row>
    <row r="2584" spans="1:9" x14ac:dyDescent="0.2">
      <c r="A2584" s="252"/>
      <c r="B2584" s="253"/>
      <c r="C2584" s="254"/>
      <c r="D2584" s="254"/>
      <c r="E2584" s="254"/>
      <c r="F2584" s="255" t="s">
        <v>208</v>
      </c>
      <c r="G2584" s="435"/>
      <c r="H2584" s="254"/>
      <c r="I2584" s="634">
        <f>+I2572+I2578+I2582</f>
        <v>173.27</v>
      </c>
    </row>
    <row r="2585" spans="1:9" x14ac:dyDescent="0.2">
      <c r="A2585" s="256"/>
      <c r="B2585" s="257"/>
      <c r="C2585" s="258"/>
      <c r="D2585" s="258"/>
      <c r="E2585" s="258"/>
      <c r="F2585" s="259" t="s">
        <v>209</v>
      </c>
      <c r="G2585" s="260"/>
      <c r="H2585" s="258"/>
      <c r="I2585" s="635">
        <v>1</v>
      </c>
    </row>
    <row r="2586" spans="1:9" x14ac:dyDescent="0.2">
      <c r="A2586" s="237"/>
      <c r="B2586" s="261"/>
      <c r="C2586" s="245"/>
      <c r="D2586" s="245"/>
      <c r="E2586" s="245"/>
      <c r="F2586" s="262" t="s">
        <v>232</v>
      </c>
      <c r="G2586" s="244"/>
      <c r="H2586" s="245"/>
      <c r="I2586" s="633">
        <f>TRUNC(I2584/I2585,2)</f>
        <v>173.27</v>
      </c>
    </row>
    <row r="2587" spans="1:9" x14ac:dyDescent="0.2">
      <c r="A2587" s="867"/>
      <c r="B2587" s="233"/>
      <c r="C2587" s="199"/>
      <c r="D2587" s="199"/>
      <c r="E2587" s="199"/>
      <c r="F2587" s="263"/>
      <c r="G2587" s="199"/>
      <c r="H2587" s="199"/>
      <c r="I2587" s="264"/>
    </row>
    <row r="2588" spans="1:9" x14ac:dyDescent="0.2">
      <c r="A2588" s="246" t="s">
        <v>210</v>
      </c>
      <c r="B2588" s="247" t="s">
        <v>60</v>
      </c>
      <c r="C2588" s="247" t="s">
        <v>211</v>
      </c>
      <c r="D2588" s="247" t="s">
        <v>233</v>
      </c>
      <c r="E2588" s="1276" t="s">
        <v>91</v>
      </c>
      <c r="F2588" s="1274"/>
      <c r="G2588" s="1275"/>
      <c r="H2588" s="1276" t="s">
        <v>198</v>
      </c>
      <c r="I2588" s="1275"/>
    </row>
    <row r="2589" spans="1:9" ht="22.5" x14ac:dyDescent="0.2">
      <c r="A2589" s="265" t="str">
        <f>VLOOKUP(B2589,mat.!$A:$D,2,FALSE)</f>
        <v>Tubo de concreto armado D=1,00m CA-1 PB</v>
      </c>
      <c r="B2589" s="238">
        <v>10226</v>
      </c>
      <c r="C2589" s="266" t="str">
        <f>VLOOKUP(B2589,mat.!$A:$D,3,FALSE)</f>
        <v>M</v>
      </c>
      <c r="D2589" s="267">
        <f>VLOOKUP(B2589,mat.!$A:$D,4,FALSE)</f>
        <v>215.58</v>
      </c>
      <c r="E2589" s="260"/>
      <c r="F2589" s="258"/>
      <c r="G2589" s="300">
        <v>1</v>
      </c>
      <c r="H2589" s="260"/>
      <c r="I2589" s="268">
        <f>TRUNC(D2589*G2589,2)</f>
        <v>215.58</v>
      </c>
    </row>
    <row r="2590" spans="1:9" x14ac:dyDescent="0.2">
      <c r="A2590" s="199"/>
      <c r="B2590" s="233"/>
      <c r="C2590" s="199"/>
      <c r="D2590" s="199"/>
      <c r="E2590" s="199"/>
      <c r="F2590" s="234" t="s">
        <v>212</v>
      </c>
      <c r="G2590" s="244"/>
      <c r="H2590" s="245"/>
      <c r="I2590" s="434">
        <f>SUM(I2589:I2589)</f>
        <v>215.58</v>
      </c>
    </row>
    <row r="2591" spans="1:9" x14ac:dyDescent="0.2">
      <c r="A2591" s="199"/>
      <c r="B2591" s="233"/>
      <c r="C2591" s="199"/>
      <c r="D2591" s="199"/>
      <c r="E2591" s="199"/>
      <c r="F2591" s="199"/>
      <c r="G2591" s="269"/>
      <c r="H2591" s="199"/>
      <c r="I2591" s="200"/>
    </row>
    <row r="2592" spans="1:9" x14ac:dyDescent="0.2">
      <c r="A2592" s="270" t="s">
        <v>213</v>
      </c>
      <c r="B2592" s="247" t="s">
        <v>60</v>
      </c>
      <c r="C2592" s="247" t="s">
        <v>211</v>
      </c>
      <c r="D2592" s="866" t="s">
        <v>233</v>
      </c>
      <c r="E2592" s="1271" t="s">
        <v>91</v>
      </c>
      <c r="F2592" s="1272"/>
      <c r="G2592" s="1273"/>
      <c r="H2592" s="1274" t="s">
        <v>198</v>
      </c>
      <c r="I2592" s="1275"/>
    </row>
    <row r="2593" spans="1:17" ht="22.5" x14ac:dyDescent="0.2">
      <c r="A2593" s="452" t="str">
        <f>VLOOKUP(B2593,'DER 10-18'!$A:$E,2,FALSE)</f>
        <v>Argamassa cimento e areia traço 1:4, tudo incluído</v>
      </c>
      <c r="B2593" s="453">
        <v>40348</v>
      </c>
      <c r="C2593" s="453" t="str">
        <f>VLOOKUP(B2593,'DER 10-18'!$A:$E,3,FALSE)</f>
        <v>M3</v>
      </c>
      <c r="D2593" s="454">
        <f>TRUNC(VLOOKUP(B2593,'DER 10-18'!$A:$F,6,FALSE)/(1+$I$4),2)</f>
        <v>405.1</v>
      </c>
      <c r="E2593" s="455"/>
      <c r="F2593" s="456"/>
      <c r="G2593" s="457">
        <v>3.2000000000000001E-2</v>
      </c>
      <c r="H2593" s="458"/>
      <c r="I2593" s="459">
        <f>TRUNC(D2593*G2593,2)</f>
        <v>12.96</v>
      </c>
      <c r="J2593" s="451"/>
      <c r="K2593" s="451"/>
      <c r="L2593" s="198"/>
      <c r="M2593" s="198"/>
      <c r="N2593" s="198"/>
      <c r="O2593" s="198"/>
      <c r="P2593" s="198"/>
      <c r="Q2593" s="198"/>
    </row>
    <row r="2594" spans="1:17" ht="23.25" customHeight="1" x14ac:dyDescent="0.2">
      <c r="A2594" s="201"/>
      <c r="B2594" s="271"/>
      <c r="C2594" s="201"/>
      <c r="D2594" s="201"/>
      <c r="E2594" s="201"/>
      <c r="F2594" s="272" t="s">
        <v>214</v>
      </c>
      <c r="G2594" s="260"/>
      <c r="H2594" s="273"/>
      <c r="I2594" s="436">
        <f>SUM(I2593:I2593)</f>
        <v>12.96</v>
      </c>
    </row>
    <row r="2595" spans="1:17" x14ac:dyDescent="0.2">
      <c r="A2595" s="201"/>
      <c r="B2595" s="271"/>
      <c r="C2595" s="201"/>
      <c r="D2595" s="201"/>
      <c r="E2595" s="201"/>
      <c r="F2595" s="201"/>
      <c r="G2595" s="201"/>
      <c r="H2595" s="201"/>
      <c r="I2595" s="201"/>
    </row>
    <row r="2596" spans="1:17" x14ac:dyDescent="0.2">
      <c r="A2596" s="274" t="s">
        <v>215</v>
      </c>
      <c r="B2596" s="275" t="s">
        <v>60</v>
      </c>
      <c r="C2596" s="275" t="s">
        <v>211</v>
      </c>
      <c r="D2596" s="275" t="s">
        <v>216</v>
      </c>
      <c r="E2596" s="275" t="s">
        <v>217</v>
      </c>
      <c r="F2596" s="275" t="s">
        <v>218</v>
      </c>
      <c r="G2596" s="275" t="s">
        <v>96</v>
      </c>
      <c r="H2596" s="275" t="s">
        <v>91</v>
      </c>
      <c r="I2596" s="275" t="s">
        <v>219</v>
      </c>
    </row>
    <row r="2597" spans="1:17" ht="22.5" x14ac:dyDescent="0.2">
      <c r="A2597" s="248" t="str">
        <f>VLOOKUP(B2597,tranp.!$A:$J,2,FALSE)</f>
        <v>Transp. de Tubo de concreto armado D=1,00m CA-1 PB</v>
      </c>
      <c r="B2597" s="238">
        <v>1269</v>
      </c>
      <c r="C2597" s="238" t="str">
        <f>VLOOKUP(B2597,tranp.!$A:$J,3,FALSE)</f>
        <v xml:space="preserve"> t  </v>
      </c>
      <c r="D2597" s="437" t="str">
        <f>VLOOKUP(B2597,tranp.!$A:$J,4,FALSE)</f>
        <v>0,676XP + 0,703XR</v>
      </c>
      <c r="E2597" s="277">
        <f>VLOOKUP(J2597,Ocor.!$B:$F,4,FALSE)</f>
        <v>37.200000000000003</v>
      </c>
      <c r="F2597" s="277">
        <f>VLOOKUP(J2597,Ocor.!$B:$F,5,FALSE)</f>
        <v>5.6</v>
      </c>
      <c r="G2597" s="243">
        <f>TRUNC(VLOOKUP(B2597,tranp.!$A:$J,5,FALSE)*E2597+VLOOKUP(B2597,tranp.!$A:$J,6,FALSE)*F2597+VLOOKUP(B2597,tranp.!$A:$J,7,FALSE),2)</f>
        <v>29.08</v>
      </c>
      <c r="H2597" s="278">
        <v>0.92</v>
      </c>
      <c r="I2597" s="243">
        <f>TRUNC(G2597*H2597,2)</f>
        <v>26.75</v>
      </c>
      <c r="J2597" s="433" t="s">
        <v>118</v>
      </c>
    </row>
    <row r="2598" spans="1:17" x14ac:dyDescent="0.2">
      <c r="A2598" s="201"/>
      <c r="B2598" s="271"/>
      <c r="C2598" s="201"/>
      <c r="D2598" s="201"/>
      <c r="E2598" s="201"/>
      <c r="F2598" s="272" t="s">
        <v>220</v>
      </c>
      <c r="G2598" s="244"/>
      <c r="H2598" s="279"/>
      <c r="I2598" s="438">
        <f>SUM(I2597:I2597)</f>
        <v>26.75</v>
      </c>
    </row>
    <row r="2599" spans="1:17" x14ac:dyDescent="0.2">
      <c r="A2599" s="201"/>
      <c r="B2599" s="271"/>
      <c r="C2599" s="201"/>
      <c r="D2599" s="201"/>
      <c r="E2599" s="201"/>
      <c r="F2599" s="201"/>
      <c r="G2599" s="201"/>
      <c r="H2599" s="201"/>
      <c r="I2599" s="202"/>
    </row>
    <row r="2600" spans="1:17" x14ac:dyDescent="0.2">
      <c r="A2600" s="280"/>
      <c r="B2600" s="281"/>
      <c r="C2600" s="282"/>
      <c r="D2600" s="282"/>
      <c r="E2600" s="282"/>
      <c r="F2600" s="283" t="s">
        <v>221</v>
      </c>
      <c r="G2600" s="280"/>
      <c r="H2600" s="254"/>
      <c r="I2600" s="634">
        <f>+I2586+I2590+I2594+I2598</f>
        <v>428.56</v>
      </c>
      <c r="J2600" s="446"/>
    </row>
    <row r="2601" spans="1:17" x14ac:dyDescent="0.2">
      <c r="A2601" s="260"/>
      <c r="B2601" s="284"/>
      <c r="C2601" s="273"/>
      <c r="D2601" s="273"/>
      <c r="E2601" s="273"/>
      <c r="F2601" s="285" t="str">
        <f>CONCATENATE($H$3," ",$I$3)</f>
        <v>BDI: 23,32</v>
      </c>
      <c r="G2601" s="439"/>
      <c r="H2601" s="258"/>
      <c r="I2601" s="635">
        <f>+ROUND(I2600*$I$4,2)</f>
        <v>99.94</v>
      </c>
    </row>
    <row r="2602" spans="1:17" x14ac:dyDescent="0.2">
      <c r="A2602" s="244"/>
      <c r="B2602" s="286"/>
      <c r="C2602" s="279"/>
      <c r="D2602" s="279"/>
      <c r="E2602" s="279"/>
      <c r="F2602" s="287" t="s">
        <v>222</v>
      </c>
      <c r="G2602" s="440"/>
      <c r="H2602" s="245"/>
      <c r="I2602" s="1017">
        <f>+I2600+I2601</f>
        <v>528.5</v>
      </c>
      <c r="J2602" s="446"/>
    </row>
    <row r="2603" spans="1:17" x14ac:dyDescent="0.2">
      <c r="A2603" s="1277" t="str">
        <f>$A$1</f>
        <v>COMPOSIÇÃO DE CUSTOS UNITÁRIOS</v>
      </c>
      <c r="B2603" s="1277"/>
      <c r="C2603" s="1277"/>
      <c r="D2603" s="1277"/>
      <c r="E2603" s="1277"/>
      <c r="F2603" s="1277"/>
      <c r="G2603" s="1277"/>
      <c r="H2603" s="1277"/>
      <c r="I2603" s="1277"/>
    </row>
    <row r="2604" spans="1:17" x14ac:dyDescent="0.2">
      <c r="A2604" s="232" t="str">
        <f>$A$2</f>
        <v>Tabela Referencial de Preços - DER-ES</v>
      </c>
      <c r="B2604" s="233"/>
      <c r="C2604" s="199"/>
      <c r="D2604" s="199"/>
      <c r="E2604" s="199"/>
      <c r="F2604" s="199"/>
      <c r="G2604" s="199"/>
      <c r="H2604" s="199"/>
      <c r="I2604" s="234" t="str">
        <f>$I$2</f>
        <v>Data Base: Outubro/2018</v>
      </c>
    </row>
    <row r="2605" spans="1:17" x14ac:dyDescent="0.2">
      <c r="A2605" s="1278" t="str">
        <f>+CONCATENATE("Serviço: ",J2605," ",VLOOKUP(J2605,'DER 10-18'!$A:$D,2,FALSE))</f>
        <v>Serviço: 40591 Corpo de BDCC 3,00 x 3,00 m projeto DNIT para H &lt; = 2,50 m</v>
      </c>
      <c r="B2605" s="1278"/>
      <c r="C2605" s="1278"/>
      <c r="D2605" s="1278"/>
      <c r="E2605" s="1278"/>
      <c r="F2605" s="1278"/>
      <c r="G2605" s="1278"/>
      <c r="H2605" s="1278"/>
      <c r="I2605" s="1278" t="str">
        <f>CONCATENATE("Unidade: ", VLOOKUP(J2605,'DER 10-18'!$A:$E,3,FALSE))</f>
        <v>Unidade: M</v>
      </c>
      <c r="J2605" s="433">
        <v>40591</v>
      </c>
      <c r="K2605" s="433">
        <f>VLOOKUP("Preço Unitário Total",F2606:I2829,4,FALSE)</f>
        <v>11230.68</v>
      </c>
      <c r="L2605" s="302">
        <f>VLOOKUP(J2605,'DER 10-18'!A:E,5,FALSE)</f>
        <v>0</v>
      </c>
      <c r="M2605" s="302" t="str">
        <f>VLOOKUP(J2605,'DER 10-18'!$A:$D,2,FALSE)</f>
        <v>Corpo de BDCC 3,00 x 3,00 m projeto DNIT para H &lt; = 2,50 m</v>
      </c>
    </row>
    <row r="2606" spans="1:17" x14ac:dyDescent="0.2">
      <c r="A2606" s="1279"/>
      <c r="B2606" s="1279"/>
      <c r="C2606" s="1279"/>
      <c r="D2606" s="1279"/>
      <c r="E2606" s="1279"/>
      <c r="F2606" s="1279"/>
      <c r="G2606" s="1279"/>
      <c r="H2606" s="1279"/>
      <c r="I2606" s="1279"/>
    </row>
    <row r="2607" spans="1:17" ht="22.5" x14ac:dyDescent="0.2">
      <c r="A2607" s="235" t="s">
        <v>192</v>
      </c>
      <c r="B2607" s="236" t="s">
        <v>60</v>
      </c>
      <c r="C2607" s="236" t="s">
        <v>193</v>
      </c>
      <c r="D2607" s="236" t="s">
        <v>194</v>
      </c>
      <c r="E2607" s="236" t="s">
        <v>195</v>
      </c>
      <c r="F2607" s="236" t="s">
        <v>196</v>
      </c>
      <c r="G2607" s="236" t="s">
        <v>197</v>
      </c>
      <c r="H2607" s="236" t="s">
        <v>91</v>
      </c>
      <c r="I2607" s="236" t="s">
        <v>198</v>
      </c>
    </row>
    <row r="2608" spans="1:17" ht="22.5" x14ac:dyDescent="0.2">
      <c r="A2608" s="237" t="str">
        <f>VLOOKUP(B2608,equip.!$A:$G,2,FALSE)</f>
        <v>Caminhão carroceria 815/37 PBT=8,3t (TOCO 4,0t)</v>
      </c>
      <c r="B2608" s="238">
        <v>30004</v>
      </c>
      <c r="C2608" s="239" t="str">
        <f>VLOOKUP(B2608,equip.!$A$1:$G$240,3,FALSE)</f>
        <v>M</v>
      </c>
      <c r="D2608" s="240">
        <v>1</v>
      </c>
      <c r="E2608" s="205">
        <v>0</v>
      </c>
      <c r="F2608" s="241">
        <f>VLOOKUP(B2608,equip.!$A:$G,6,FALSE)</f>
        <v>140.51</v>
      </c>
      <c r="G2608" s="241">
        <f>VLOOKUP(B2608,equip.!$A:$G,7,FALSE)</f>
        <v>37.26</v>
      </c>
      <c r="H2608" s="242">
        <v>2</v>
      </c>
      <c r="I2608" s="243">
        <f>TRUNC(D2608*F2608*H2608+E2608*G2608*H2608,2)</f>
        <v>281.02</v>
      </c>
    </row>
    <row r="2609" spans="1:9" x14ac:dyDescent="0.2">
      <c r="A2609" s="199"/>
      <c r="B2609" s="233"/>
      <c r="C2609" s="233"/>
      <c r="D2609" s="199"/>
      <c r="E2609" s="199"/>
      <c r="F2609" s="234" t="s">
        <v>199</v>
      </c>
      <c r="G2609" s="244"/>
      <c r="H2609" s="245"/>
      <c r="I2609" s="434">
        <f>SUM(I2608:I2608)</f>
        <v>281.02</v>
      </c>
    </row>
    <row r="2610" spans="1:9" x14ac:dyDescent="0.2">
      <c r="A2610" s="199"/>
      <c r="B2610" s="233"/>
      <c r="C2610" s="233"/>
      <c r="D2610" s="199"/>
      <c r="E2610" s="199"/>
      <c r="F2610" s="199"/>
      <c r="G2610" s="199"/>
      <c r="H2610" s="199"/>
      <c r="I2610" s="200"/>
    </row>
    <row r="2611" spans="1:9" x14ac:dyDescent="0.2">
      <c r="A2611" s="246" t="s">
        <v>200</v>
      </c>
      <c r="B2611" s="247" t="s">
        <v>60</v>
      </c>
      <c r="C2611" s="236" t="s">
        <v>1242</v>
      </c>
      <c r="D2611" s="247" t="s">
        <v>202</v>
      </c>
      <c r="E2611" s="1271" t="s">
        <v>91</v>
      </c>
      <c r="F2611" s="1272"/>
      <c r="G2611" s="1273"/>
      <c r="H2611" s="1276" t="s">
        <v>198</v>
      </c>
      <c r="I2611" s="1275"/>
    </row>
    <row r="2612" spans="1:9" x14ac:dyDescent="0.2">
      <c r="A2612" s="199"/>
      <c r="B2612" s="233"/>
      <c r="C2612" s="233"/>
      <c r="D2612" s="199"/>
      <c r="E2612" s="199"/>
      <c r="F2612" s="234" t="s">
        <v>203</v>
      </c>
      <c r="G2612" s="244"/>
      <c r="H2612" s="245"/>
      <c r="I2612" s="434"/>
    </row>
    <row r="2613" spans="1:9" x14ac:dyDescent="0.2">
      <c r="A2613" s="199"/>
      <c r="B2613" s="233"/>
      <c r="C2613" s="233"/>
      <c r="D2613" s="199"/>
      <c r="E2613" s="199"/>
      <c r="F2613" s="199"/>
      <c r="G2613" s="199"/>
      <c r="H2613" s="199"/>
      <c r="I2613" s="200"/>
    </row>
    <row r="2614" spans="1:9" x14ac:dyDescent="0.2">
      <c r="A2614" s="250" t="s">
        <v>204</v>
      </c>
      <c r="B2614" s="247" t="s">
        <v>60</v>
      </c>
      <c r="C2614" s="866" t="s">
        <v>17</v>
      </c>
      <c r="D2614" s="247" t="s">
        <v>205</v>
      </c>
      <c r="E2614" s="247" t="s">
        <v>206</v>
      </c>
      <c r="F2614" s="247" t="s">
        <v>207</v>
      </c>
      <c r="G2614" s="1276" t="s">
        <v>96</v>
      </c>
      <c r="H2614" s="1274"/>
      <c r="I2614" s="1275"/>
    </row>
    <row r="2615" spans="1:9" x14ac:dyDescent="0.2">
      <c r="A2615" s="199"/>
      <c r="B2615" s="233"/>
      <c r="C2615" s="199"/>
      <c r="D2615" s="199"/>
      <c r="E2615" s="199"/>
      <c r="F2615" s="234" t="s">
        <v>1170</v>
      </c>
      <c r="G2615" s="244"/>
      <c r="H2615" s="245"/>
      <c r="I2615" s="434"/>
    </row>
    <row r="2616" spans="1:9" x14ac:dyDescent="0.2">
      <c r="A2616" s="199"/>
      <c r="B2616" s="233"/>
      <c r="C2616" s="199"/>
      <c r="D2616" s="199"/>
      <c r="E2616" s="199"/>
      <c r="F2616" s="199"/>
      <c r="G2616" s="199"/>
      <c r="H2616" s="199"/>
      <c r="I2616" s="200"/>
    </row>
    <row r="2617" spans="1:9" x14ac:dyDescent="0.2">
      <c r="A2617" s="252"/>
      <c r="B2617" s="253"/>
      <c r="C2617" s="254"/>
      <c r="D2617" s="254"/>
      <c r="E2617" s="254"/>
      <c r="F2617" s="255" t="s">
        <v>208</v>
      </c>
      <c r="G2617" s="435"/>
      <c r="H2617" s="254"/>
      <c r="I2617" s="634">
        <f>+I2609+I2612+I2615</f>
        <v>281.02</v>
      </c>
    </row>
    <row r="2618" spans="1:9" x14ac:dyDescent="0.2">
      <c r="A2618" s="256"/>
      <c r="B2618" s="257"/>
      <c r="C2618" s="258"/>
      <c r="D2618" s="258"/>
      <c r="E2618" s="258"/>
      <c r="F2618" s="259" t="s">
        <v>209</v>
      </c>
      <c r="G2618" s="260"/>
      <c r="H2618" s="258"/>
      <c r="I2618" s="635">
        <v>1</v>
      </c>
    </row>
    <row r="2619" spans="1:9" x14ac:dyDescent="0.2">
      <c r="A2619" s="237"/>
      <c r="B2619" s="261"/>
      <c r="C2619" s="245"/>
      <c r="D2619" s="245"/>
      <c r="E2619" s="245"/>
      <c r="F2619" s="262" t="s">
        <v>232</v>
      </c>
      <c r="G2619" s="244"/>
      <c r="H2619" s="245"/>
      <c r="I2619" s="633">
        <f>TRUNC(I2617/I2618,2)</f>
        <v>281.02</v>
      </c>
    </row>
    <row r="2620" spans="1:9" x14ac:dyDescent="0.2">
      <c r="A2620" s="867"/>
      <c r="B2620" s="233"/>
      <c r="C2620" s="199"/>
      <c r="D2620" s="199"/>
      <c r="E2620" s="199"/>
      <c r="F2620" s="263"/>
      <c r="G2620" s="199"/>
      <c r="H2620" s="199"/>
      <c r="I2620" s="264"/>
    </row>
    <row r="2621" spans="1:9" x14ac:dyDescent="0.2">
      <c r="A2621" s="246" t="s">
        <v>210</v>
      </c>
      <c r="B2621" s="247" t="s">
        <v>60</v>
      </c>
      <c r="C2621" s="247" t="s">
        <v>211</v>
      </c>
      <c r="D2621" s="247" t="s">
        <v>233</v>
      </c>
      <c r="E2621" s="1276" t="s">
        <v>91</v>
      </c>
      <c r="F2621" s="1274"/>
      <c r="G2621" s="1275"/>
      <c r="H2621" s="1276" t="s">
        <v>198</v>
      </c>
      <c r="I2621" s="1275"/>
    </row>
    <row r="2622" spans="1:9" x14ac:dyDescent="0.2">
      <c r="A2622" s="199"/>
      <c r="B2622" s="233"/>
      <c r="C2622" s="199"/>
      <c r="D2622" s="199"/>
      <c r="E2622" s="199"/>
      <c r="F2622" s="234" t="s">
        <v>212</v>
      </c>
      <c r="G2622" s="244"/>
      <c r="H2622" s="245"/>
      <c r="I2622" s="434"/>
    </row>
    <row r="2623" spans="1:9" x14ac:dyDescent="0.2">
      <c r="A2623" s="199"/>
      <c r="B2623" s="233"/>
      <c r="C2623" s="199"/>
      <c r="D2623" s="199"/>
      <c r="E2623" s="199"/>
      <c r="F2623" s="199"/>
      <c r="G2623" s="269"/>
      <c r="H2623" s="199"/>
      <c r="I2623" s="200"/>
    </row>
    <row r="2624" spans="1:9" x14ac:dyDescent="0.2">
      <c r="A2624" s="270" t="s">
        <v>213</v>
      </c>
      <c r="B2624" s="247" t="s">
        <v>60</v>
      </c>
      <c r="C2624" s="247" t="s">
        <v>211</v>
      </c>
      <c r="D2624" s="866" t="s">
        <v>233</v>
      </c>
      <c r="E2624" s="1271" t="s">
        <v>91</v>
      </c>
      <c r="F2624" s="1272"/>
      <c r="G2624" s="1273"/>
      <c r="H2624" s="1274" t="s">
        <v>198</v>
      </c>
      <c r="I2624" s="1275"/>
    </row>
    <row r="2625" spans="1:17" ht="33.75" x14ac:dyDescent="0.2">
      <c r="A2625" s="452" t="str">
        <f>VLOOKUP(B2625,'DER 10-18'!$A:$E,2,FALSE)</f>
        <v>Aço CA-50, fornecimento, dobragem e colocação nas formas (preço médio das bitolas)</v>
      </c>
      <c r="B2625" s="453">
        <v>40376</v>
      </c>
      <c r="C2625" s="453" t="str">
        <f>VLOOKUP(B2625,'DER 10-18'!$A:$E,3,FALSE)</f>
        <v>kg</v>
      </c>
      <c r="D2625" s="454">
        <f>TRUNC(VLOOKUP(B2625,'DER 10-18'!$A:$F,6,FALSE)/(1+$I$4),2)</f>
        <v>7.89</v>
      </c>
      <c r="E2625" s="455"/>
      <c r="F2625" s="456"/>
      <c r="G2625" s="457">
        <v>276</v>
      </c>
      <c r="H2625" s="458"/>
      <c r="I2625" s="459">
        <f>TRUNC(D2625*G2625,2)</f>
        <v>2177.64</v>
      </c>
    </row>
    <row r="2626" spans="1:17" ht="22.5" x14ac:dyDescent="0.2">
      <c r="A2626" s="452" t="str">
        <f>VLOOKUP(B2626,'DER 10-18'!$A:$E,2,FALSE)</f>
        <v>Concreto de regularização, tudo incluído</v>
      </c>
      <c r="B2626" s="453">
        <v>40349</v>
      </c>
      <c r="C2626" s="453" t="str">
        <f>VLOOKUP(B2626,'DER 10-18'!$A:$E,3,FALSE)</f>
        <v>M3</v>
      </c>
      <c r="D2626" s="454">
        <f>TRUNC(VLOOKUP(B2626,'DER 10-18'!$A:$F,6,FALSE)/(1+$I$4),2)</f>
        <v>423.65</v>
      </c>
      <c r="E2626" s="455"/>
      <c r="F2626" s="456"/>
      <c r="G2626" s="457">
        <v>0.69</v>
      </c>
      <c r="H2626" s="458"/>
      <c r="I2626" s="459">
        <f>TRUNC(D2626*G2626,2)</f>
        <v>292.31</v>
      </c>
    </row>
    <row r="2627" spans="1:17" ht="22.5" x14ac:dyDescent="0.2">
      <c r="A2627" s="452" t="str">
        <f>VLOOKUP(B2627,'DER 10-18'!$A:$E,2,FALSE)</f>
        <v>Concreto estrutural fck = 15,0 MPa, tudo incluído</v>
      </c>
      <c r="B2627" s="453">
        <v>40358</v>
      </c>
      <c r="C2627" s="453" t="str">
        <f>VLOOKUP(B2627,'DER 10-18'!$A:$E,3,FALSE)</f>
        <v>M3</v>
      </c>
      <c r="D2627" s="454">
        <f>TRUNC(VLOOKUP(B2627,'DER 10-18'!$A:$F,6,FALSE)/(1+$I$4),2)</f>
        <v>523.20000000000005</v>
      </c>
      <c r="E2627" s="455"/>
      <c r="F2627" s="456"/>
      <c r="G2627" s="457">
        <v>4.62</v>
      </c>
      <c r="H2627" s="458"/>
      <c r="I2627" s="459">
        <f t="shared" ref="I2627" si="25">TRUNC(D2627*G2627,2)</f>
        <v>2417.1799999999998</v>
      </c>
    </row>
    <row r="2628" spans="1:17" ht="33.75" x14ac:dyDescent="0.2">
      <c r="A2628" s="452" t="str">
        <f>VLOOKUP(B2628,'DER 10-18'!$A:$E,2,FALSE)</f>
        <v>Escoramento e cimbramento (bueiro celular), inclusive fornecimento e transportes das madeiras</v>
      </c>
      <c r="B2628" s="453">
        <v>40328</v>
      </c>
      <c r="C2628" s="453" t="str">
        <f>VLOOKUP(B2628,'DER 10-18'!$A:$E,3,FALSE)</f>
        <v>M3</v>
      </c>
      <c r="D2628" s="454">
        <f>TRUNC(VLOOKUP(B2628,'DER 10-18'!$A:$F,6,FALSE)/(1+$I$4),2)</f>
        <v>97.58</v>
      </c>
      <c r="E2628" s="455"/>
      <c r="F2628" s="456"/>
      <c r="G2628" s="457">
        <v>18</v>
      </c>
      <c r="H2628" s="458"/>
      <c r="I2628" s="459">
        <f>TRUNC(D2628*G2628,2)</f>
        <v>1756.44</v>
      </c>
    </row>
    <row r="2629" spans="1:17" ht="45" x14ac:dyDescent="0.2">
      <c r="A2629" s="452" t="str">
        <f>VLOOKUP(B2629,'DER 10-18'!$A:$E,2,FALSE)</f>
        <v>Formas planas de madeira com 01 (um) reaproveitamento, inclusive fornecimento e transporte das madeiras</v>
      </c>
      <c r="B2629" s="453">
        <v>40311</v>
      </c>
      <c r="C2629" s="453" t="str">
        <f>VLOOKUP(B2629,'DER 10-18'!$A:$E,3,FALSE)</f>
        <v>M2</v>
      </c>
      <c r="D2629" s="454">
        <f>TRUNC(VLOOKUP(B2629,'DER 10-18'!$A:$F,6,FALSE)/(1+$I$4),2)</f>
        <v>90.18</v>
      </c>
      <c r="E2629" s="455"/>
      <c r="F2629" s="456"/>
      <c r="G2629" s="457">
        <v>24.2</v>
      </c>
      <c r="H2629" s="458"/>
      <c r="I2629" s="459">
        <f>TRUNC(D2629*G2629,2)</f>
        <v>2182.35</v>
      </c>
    </row>
    <row r="2630" spans="1:17" x14ac:dyDescent="0.2">
      <c r="A2630" s="201"/>
      <c r="B2630" s="271"/>
      <c r="C2630" s="201"/>
      <c r="D2630" s="201"/>
      <c r="E2630" s="201"/>
      <c r="F2630" s="272" t="s">
        <v>214</v>
      </c>
      <c r="G2630" s="260"/>
      <c r="H2630" s="273"/>
      <c r="I2630" s="436">
        <f>SUM(I2625:I2629)</f>
        <v>8825.92</v>
      </c>
    </row>
    <row r="2631" spans="1:17" x14ac:dyDescent="0.2">
      <c r="A2631" s="201"/>
      <c r="B2631" s="271"/>
      <c r="C2631" s="201"/>
      <c r="D2631" s="201"/>
      <c r="E2631" s="201"/>
      <c r="F2631" s="201"/>
      <c r="G2631" s="201"/>
      <c r="H2631" s="201"/>
      <c r="I2631" s="201"/>
    </row>
    <row r="2632" spans="1:17" x14ac:dyDescent="0.2">
      <c r="A2632" s="274" t="s">
        <v>215</v>
      </c>
      <c r="B2632" s="275" t="s">
        <v>60</v>
      </c>
      <c r="C2632" s="275" t="s">
        <v>211</v>
      </c>
      <c r="D2632" s="275" t="s">
        <v>216</v>
      </c>
      <c r="E2632" s="275" t="s">
        <v>217</v>
      </c>
      <c r="F2632" s="275" t="s">
        <v>218</v>
      </c>
      <c r="G2632" s="275" t="s">
        <v>96</v>
      </c>
      <c r="H2632" s="275" t="s">
        <v>91</v>
      </c>
      <c r="I2632" s="275" t="s">
        <v>219</v>
      </c>
    </row>
    <row r="2633" spans="1:17" x14ac:dyDescent="0.2">
      <c r="A2633" s="201"/>
      <c r="B2633" s="271"/>
      <c r="C2633" s="201"/>
      <c r="D2633" s="201"/>
      <c r="E2633" s="201"/>
      <c r="F2633" s="272" t="s">
        <v>220</v>
      </c>
      <c r="G2633" s="244"/>
      <c r="H2633" s="279"/>
      <c r="I2633" s="438"/>
    </row>
    <row r="2634" spans="1:17" x14ac:dyDescent="0.2">
      <c r="A2634" s="201"/>
      <c r="B2634" s="271"/>
      <c r="C2634" s="201"/>
      <c r="D2634" s="201"/>
      <c r="E2634" s="201"/>
      <c r="F2634" s="201"/>
      <c r="G2634" s="201"/>
      <c r="H2634" s="201"/>
      <c r="I2634" s="202"/>
    </row>
    <row r="2635" spans="1:17" x14ac:dyDescent="0.2">
      <c r="A2635" s="280"/>
      <c r="B2635" s="281"/>
      <c r="C2635" s="282"/>
      <c r="D2635" s="282"/>
      <c r="E2635" s="282"/>
      <c r="F2635" s="283" t="s">
        <v>221</v>
      </c>
      <c r="G2635" s="280"/>
      <c r="H2635" s="254"/>
      <c r="I2635" s="634">
        <f>+I2619+I2622+I2630+I2633</f>
        <v>9106.94</v>
      </c>
      <c r="J2635" s="446"/>
    </row>
    <row r="2636" spans="1:17" x14ac:dyDescent="0.2">
      <c r="A2636" s="260"/>
      <c r="B2636" s="284"/>
      <c r="C2636" s="273"/>
      <c r="D2636" s="273"/>
      <c r="E2636" s="273"/>
      <c r="F2636" s="285" t="str">
        <f>CONCATENATE($H$3," ",$I$3)</f>
        <v>BDI: 23,32</v>
      </c>
      <c r="G2636" s="439"/>
      <c r="H2636" s="258"/>
      <c r="I2636" s="635">
        <f>+ROUND(I2635*$I$4,2)</f>
        <v>2123.7399999999998</v>
      </c>
    </row>
    <row r="2637" spans="1:17" x14ac:dyDescent="0.2">
      <c r="A2637" s="244"/>
      <c r="B2637" s="286"/>
      <c r="C2637" s="279"/>
      <c r="D2637" s="279"/>
      <c r="E2637" s="279"/>
      <c r="F2637" s="287" t="s">
        <v>222</v>
      </c>
      <c r="G2637" s="440"/>
      <c r="H2637" s="245"/>
      <c r="I2637" s="1017">
        <f>+I2635+I2636</f>
        <v>11230.68</v>
      </c>
      <c r="J2637" s="446"/>
    </row>
    <row r="2638" spans="1:17" x14ac:dyDescent="0.2">
      <c r="A2638" s="1286" t="str">
        <f>$A$1</f>
        <v>COMPOSIÇÃO DE CUSTOS UNITÁRIOS</v>
      </c>
      <c r="B2638" s="1286"/>
      <c r="C2638" s="1286"/>
      <c r="D2638" s="1286"/>
      <c r="E2638" s="1286"/>
      <c r="F2638" s="1286"/>
      <c r="G2638" s="1286"/>
      <c r="H2638" s="1286"/>
      <c r="I2638" s="1286"/>
      <c r="J2638" s="451"/>
      <c r="K2638" s="451"/>
      <c r="L2638" s="198"/>
      <c r="M2638" s="198"/>
      <c r="N2638" s="198"/>
      <c r="O2638" s="198"/>
      <c r="P2638" s="198"/>
      <c r="Q2638" s="198"/>
    </row>
    <row r="2639" spans="1:17" x14ac:dyDescent="0.2">
      <c r="A2639" s="447" t="str">
        <f>$A$2</f>
        <v>Tabela Referencial de Preços - DER-ES</v>
      </c>
      <c r="B2639" s="448"/>
      <c r="C2639" s="449"/>
      <c r="D2639" s="449"/>
      <c r="E2639" s="449"/>
      <c r="F2639" s="449"/>
      <c r="G2639" s="449"/>
      <c r="H2639" s="449"/>
      <c r="I2639" s="450" t="str">
        <f>$I$2</f>
        <v>Data Base: Outubro/2018</v>
      </c>
      <c r="J2639" s="451"/>
      <c r="K2639" s="451"/>
      <c r="L2639" s="198"/>
      <c r="M2639" s="198"/>
      <c r="N2639" s="198"/>
      <c r="O2639" s="198"/>
      <c r="P2639" s="198"/>
      <c r="Q2639" s="198"/>
    </row>
    <row r="2640" spans="1:17" x14ac:dyDescent="0.2">
      <c r="A2640" s="1287" t="str">
        <f>+CONCATENATE("Serviço: ",J2640," ",VLOOKUP(J2640,'DER 10-18'!$A:$D,2,FALSE))</f>
        <v>Serviço: 40478 Corpo BDTC (grota) diâmetro 1,00 m CA-2 PB exclusive escavação e reaterro, inclusive transporte do tubo</v>
      </c>
      <c r="B2640" s="1287"/>
      <c r="C2640" s="1287"/>
      <c r="D2640" s="1287"/>
      <c r="E2640" s="1287"/>
      <c r="F2640" s="1287"/>
      <c r="G2640" s="1287"/>
      <c r="H2640" s="1287"/>
      <c r="I2640" s="1287" t="str">
        <f>CONCATENATE("Unidade: ", VLOOKUP(J2640,'DER 10-18'!$A:$E,3,FALSE))</f>
        <v>Unidade: M</v>
      </c>
      <c r="J2640" s="451">
        <v>40478</v>
      </c>
      <c r="K2640" s="451">
        <f>VLOOKUP("Preço Unitário Total",F2641:I6509,4,FALSE)</f>
        <v>1100.58</v>
      </c>
      <c r="L2640" s="198" t="str">
        <f>VLOOKUP(J2640,'DER 10-18'!A:E,5,FALSE)</f>
        <v>A incluir</v>
      </c>
      <c r="M2640" s="198" t="str">
        <f>VLOOKUP(J2640,'DER 10-18'!$A:$D,2,FALSE)</f>
        <v>Corpo BDTC (grota) diâmetro 1,00 m CA-2 PB exclusive escavação e reaterro, inclusive transporte do tubo</v>
      </c>
      <c r="N2640" s="198"/>
      <c r="O2640" s="198"/>
      <c r="P2640" s="198"/>
      <c r="Q2640" s="198"/>
    </row>
    <row r="2641" spans="1:17" x14ac:dyDescent="0.2">
      <c r="A2641" s="1288"/>
      <c r="B2641" s="1288"/>
      <c r="C2641" s="1288"/>
      <c r="D2641" s="1288"/>
      <c r="E2641" s="1288"/>
      <c r="F2641" s="1288"/>
      <c r="G2641" s="1288"/>
      <c r="H2641" s="1288"/>
      <c r="I2641" s="1288"/>
      <c r="J2641" s="451"/>
      <c r="K2641" s="451"/>
      <c r="L2641" s="198"/>
      <c r="M2641" s="198"/>
      <c r="N2641" s="198"/>
      <c r="O2641" s="198"/>
      <c r="P2641" s="198"/>
      <c r="Q2641" s="198"/>
    </row>
    <row r="2642" spans="1:17" ht="22.5" x14ac:dyDescent="0.2">
      <c r="A2642" s="469" t="s">
        <v>192</v>
      </c>
      <c r="B2642" s="470" t="s">
        <v>60</v>
      </c>
      <c r="C2642" s="470" t="s">
        <v>193</v>
      </c>
      <c r="D2642" s="470" t="s">
        <v>194</v>
      </c>
      <c r="E2642" s="470" t="s">
        <v>195</v>
      </c>
      <c r="F2642" s="470" t="s">
        <v>196</v>
      </c>
      <c r="G2642" s="470" t="s">
        <v>197</v>
      </c>
      <c r="H2642" s="470" t="s">
        <v>91</v>
      </c>
      <c r="I2642" s="470" t="s">
        <v>198</v>
      </c>
      <c r="J2642" s="451"/>
      <c r="K2642" s="451"/>
      <c r="L2642" s="198"/>
      <c r="M2642" s="198"/>
      <c r="N2642" s="198"/>
      <c r="O2642" s="198"/>
      <c r="P2642" s="198"/>
      <c r="Q2642" s="198"/>
    </row>
    <row r="2643" spans="1:17" ht="33.75" x14ac:dyDescent="0.2">
      <c r="A2643" s="509" t="str">
        <f>VLOOKUP(B2643,equip.!$A:$G,2,FALSE)</f>
        <v>Carregadeira de rodas ref. Caterpillar modelo 924H (1,9 m3) ( cab + ar ) ou equivalente</v>
      </c>
      <c r="B2643" s="453">
        <v>30023</v>
      </c>
      <c r="C2643" s="460" t="str">
        <f>VLOOKUP(B2643,equip.!$A$1:$G$240,3,FALSE)</f>
        <v>M</v>
      </c>
      <c r="D2643" s="514">
        <v>0.2</v>
      </c>
      <c r="E2643" s="515">
        <v>0.8</v>
      </c>
      <c r="F2643" s="516">
        <f>VLOOKUP(B2643,equip.!$A:$G,6,FALSE)</f>
        <v>204.45</v>
      </c>
      <c r="G2643" s="516">
        <f>VLOOKUP(B2643,equip.!$A:$G,7,FALSE)</f>
        <v>66.489999999999995</v>
      </c>
      <c r="H2643" s="517">
        <v>1</v>
      </c>
      <c r="I2643" s="454">
        <f>TRUNC(D2643*F2643*H2643+E2643*G2643*H2643,2)</f>
        <v>94.08</v>
      </c>
      <c r="J2643" s="198"/>
      <c r="K2643" s="198"/>
      <c r="L2643" s="198"/>
      <c r="M2643" s="198"/>
      <c r="N2643" s="198"/>
      <c r="O2643" s="198"/>
      <c r="P2643" s="198"/>
      <c r="Q2643" s="198"/>
    </row>
    <row r="2644" spans="1:17" x14ac:dyDescent="0.2">
      <c r="A2644" s="449"/>
      <c r="B2644" s="448"/>
      <c r="C2644" s="448"/>
      <c r="D2644" s="449"/>
      <c r="E2644" s="449"/>
      <c r="F2644" s="450" t="s">
        <v>199</v>
      </c>
      <c r="G2644" s="458"/>
      <c r="H2644" s="462"/>
      <c r="I2644" s="475">
        <f>I2643</f>
        <v>94.08</v>
      </c>
      <c r="J2644" s="451"/>
      <c r="K2644" s="451"/>
      <c r="L2644" s="198"/>
      <c r="M2644" s="198"/>
      <c r="N2644" s="198"/>
      <c r="O2644" s="198"/>
      <c r="P2644" s="198"/>
      <c r="Q2644" s="198"/>
    </row>
    <row r="2645" spans="1:17" x14ac:dyDescent="0.2">
      <c r="A2645" s="449"/>
      <c r="B2645" s="448"/>
      <c r="C2645" s="448"/>
      <c r="D2645" s="449"/>
      <c r="E2645" s="449"/>
      <c r="F2645" s="449"/>
      <c r="G2645" s="449"/>
      <c r="H2645" s="449"/>
      <c r="I2645" s="477"/>
      <c r="J2645" s="451"/>
      <c r="K2645" s="451"/>
      <c r="L2645" s="198"/>
      <c r="M2645" s="198"/>
      <c r="N2645" s="198"/>
      <c r="O2645" s="198"/>
      <c r="P2645" s="198"/>
      <c r="Q2645" s="198"/>
    </row>
    <row r="2646" spans="1:17" x14ac:dyDescent="0.2">
      <c r="A2646" s="500" t="s">
        <v>200</v>
      </c>
      <c r="B2646" s="468" t="s">
        <v>60</v>
      </c>
      <c r="C2646" s="470" t="s">
        <v>1242</v>
      </c>
      <c r="D2646" s="468" t="s">
        <v>202</v>
      </c>
      <c r="E2646" s="1281" t="s">
        <v>91</v>
      </c>
      <c r="F2646" s="1282"/>
      <c r="G2646" s="1283"/>
      <c r="H2646" s="1289" t="s">
        <v>198</v>
      </c>
      <c r="I2646" s="1285"/>
      <c r="J2646" s="451"/>
      <c r="K2646" s="451"/>
      <c r="L2646" s="198"/>
      <c r="M2646" s="198"/>
      <c r="N2646" s="198"/>
      <c r="O2646" s="198"/>
      <c r="P2646" s="198"/>
      <c r="Q2646" s="198"/>
    </row>
    <row r="2647" spans="1:17" x14ac:dyDescent="0.2">
      <c r="A2647" s="452" t="str">
        <f>VLOOKUP(B2647,m.o.!$A:$H,2,FALSE)</f>
        <v>Encarregado de O.A.C.</v>
      </c>
      <c r="B2647" s="453">
        <v>20060</v>
      </c>
      <c r="C2647" s="454">
        <f>VLOOKUP(B2647,m.o.!$A:$F,4,FALSE)</f>
        <v>2.2599999999999998</v>
      </c>
      <c r="D2647" s="454">
        <f>VLOOKUP(B2647,m.o.!$A:$G,7,FALSE)</f>
        <v>26.3</v>
      </c>
      <c r="E2647" s="455"/>
      <c r="F2647" s="456"/>
      <c r="G2647" s="457">
        <v>1</v>
      </c>
      <c r="H2647" s="458"/>
      <c r="I2647" s="463">
        <f t="shared" ref="I2647:I2649" si="26">TRUNC(D2647*G2647,2)</f>
        <v>26.3</v>
      </c>
      <c r="J2647" s="198"/>
      <c r="K2647" s="198"/>
      <c r="L2647" s="198"/>
      <c r="M2647" s="198"/>
      <c r="N2647" s="198"/>
      <c r="O2647" s="198"/>
      <c r="P2647" s="198"/>
      <c r="Q2647" s="198"/>
    </row>
    <row r="2648" spans="1:17" x14ac:dyDescent="0.2">
      <c r="A2648" s="452" t="str">
        <f>VLOOKUP(B2648,m.o.!$A:$H,2,FALSE)</f>
        <v>Pedreiro de O.A.C.</v>
      </c>
      <c r="B2648" s="453">
        <v>20109</v>
      </c>
      <c r="C2648" s="454">
        <f>VLOOKUP(B2648,m.o.!$A:$F,4,FALSE)</f>
        <v>1.24</v>
      </c>
      <c r="D2648" s="454">
        <f>VLOOKUP(B2648,m.o.!$A:$G,7,FALSE)</f>
        <v>14.43</v>
      </c>
      <c r="E2648" s="455"/>
      <c r="F2648" s="456"/>
      <c r="G2648" s="457">
        <v>4</v>
      </c>
      <c r="H2648" s="458"/>
      <c r="I2648" s="463">
        <f t="shared" si="26"/>
        <v>57.72</v>
      </c>
      <c r="J2648" s="198"/>
      <c r="K2648" s="198"/>
      <c r="L2648" s="198"/>
      <c r="M2648" s="198"/>
      <c r="N2648" s="198"/>
      <c r="O2648" s="198"/>
      <c r="P2648" s="198"/>
      <c r="Q2648" s="198"/>
    </row>
    <row r="2649" spans="1:17" x14ac:dyDescent="0.2">
      <c r="A2649" s="452" t="str">
        <f>VLOOKUP(B2649,m.o.!$A:$H,2,FALSE)</f>
        <v>Servente</v>
      </c>
      <c r="B2649" s="453">
        <v>20002</v>
      </c>
      <c r="C2649" s="454">
        <f>VLOOKUP(B2649,m.o.!$A:$F,4,FALSE)</f>
        <v>1</v>
      </c>
      <c r="D2649" s="454">
        <f>VLOOKUP(B2649,m.o.!$A:$G,7,FALSE)</f>
        <v>11.64</v>
      </c>
      <c r="E2649" s="455"/>
      <c r="F2649" s="456"/>
      <c r="G2649" s="457">
        <v>8</v>
      </c>
      <c r="H2649" s="458"/>
      <c r="I2649" s="463">
        <f t="shared" si="26"/>
        <v>93.12</v>
      </c>
      <c r="J2649" s="198"/>
      <c r="K2649" s="198"/>
      <c r="L2649" s="198"/>
      <c r="M2649" s="198"/>
      <c r="N2649" s="198"/>
      <c r="O2649" s="198"/>
      <c r="P2649" s="198"/>
      <c r="Q2649" s="198"/>
    </row>
    <row r="2650" spans="1:17" x14ac:dyDescent="0.2">
      <c r="A2650" s="449"/>
      <c r="B2650" s="448"/>
      <c r="C2650" s="448"/>
      <c r="D2650" s="449"/>
      <c r="E2650" s="449"/>
      <c r="F2650" s="450" t="s">
        <v>203</v>
      </c>
      <c r="G2650" s="458"/>
      <c r="H2650" s="462"/>
      <c r="I2650" s="475">
        <f>SUM(I2647:I2649)</f>
        <v>177.14</v>
      </c>
      <c r="J2650" s="451"/>
      <c r="K2650" s="451"/>
      <c r="L2650" s="198"/>
      <c r="M2650" s="198"/>
      <c r="N2650" s="198"/>
      <c r="O2650" s="198"/>
      <c r="P2650" s="198"/>
      <c r="Q2650" s="198"/>
    </row>
    <row r="2651" spans="1:17" x14ac:dyDescent="0.2">
      <c r="A2651" s="449"/>
      <c r="B2651" s="448"/>
      <c r="C2651" s="448"/>
      <c r="D2651" s="449"/>
      <c r="E2651" s="449"/>
      <c r="F2651" s="449"/>
      <c r="G2651" s="449"/>
      <c r="H2651" s="449"/>
      <c r="I2651" s="477"/>
      <c r="J2651" s="451"/>
      <c r="K2651" s="451"/>
      <c r="L2651" s="198"/>
      <c r="M2651" s="198"/>
      <c r="N2651" s="198"/>
      <c r="O2651" s="198"/>
      <c r="P2651" s="198"/>
      <c r="Q2651" s="198"/>
    </row>
    <row r="2652" spans="1:17" x14ac:dyDescent="0.2">
      <c r="A2652" s="501" t="s">
        <v>204</v>
      </c>
      <c r="B2652" s="468" t="s">
        <v>60</v>
      </c>
      <c r="C2652" s="869" t="s">
        <v>17</v>
      </c>
      <c r="D2652" s="468" t="s">
        <v>205</v>
      </c>
      <c r="E2652" s="468" t="s">
        <v>206</v>
      </c>
      <c r="F2652" s="468" t="s">
        <v>207</v>
      </c>
      <c r="G2652" s="1289" t="s">
        <v>96</v>
      </c>
      <c r="H2652" s="1284"/>
      <c r="I2652" s="1285"/>
      <c r="J2652" s="451"/>
      <c r="K2652" s="451"/>
      <c r="L2652" s="198"/>
      <c r="M2652" s="198"/>
      <c r="N2652" s="198"/>
      <c r="O2652" s="198"/>
      <c r="P2652" s="198"/>
      <c r="Q2652" s="198"/>
    </row>
    <row r="2653" spans="1:17" x14ac:dyDescent="0.2">
      <c r="A2653" s="452" t="s">
        <v>142</v>
      </c>
      <c r="B2653" s="453">
        <v>2000</v>
      </c>
      <c r="C2653" s="454">
        <v>5</v>
      </c>
      <c r="D2653" s="460" t="s">
        <v>223</v>
      </c>
      <c r="E2653" s="461"/>
      <c r="F2653" s="461"/>
      <c r="G2653" s="458"/>
      <c r="H2653" s="462"/>
      <c r="I2653" s="463">
        <f>TRUNC(C2653/100*I2650,2)</f>
        <v>8.85</v>
      </c>
      <c r="J2653" s="198"/>
      <c r="K2653" s="198"/>
      <c r="L2653" s="198"/>
      <c r="M2653" s="198"/>
      <c r="N2653" s="198"/>
      <c r="O2653" s="198"/>
      <c r="P2653" s="198"/>
      <c r="Q2653" s="198"/>
    </row>
    <row r="2654" spans="1:17" x14ac:dyDescent="0.2">
      <c r="A2654" s="449"/>
      <c r="B2654" s="448"/>
      <c r="C2654" s="449"/>
      <c r="D2654" s="449"/>
      <c r="E2654" s="449"/>
      <c r="F2654" s="450" t="s">
        <v>1170</v>
      </c>
      <c r="G2654" s="458"/>
      <c r="H2654" s="462"/>
      <c r="I2654" s="475">
        <f>SUM(I2653)</f>
        <v>8.85</v>
      </c>
      <c r="J2654" s="451"/>
      <c r="K2654" s="451"/>
      <c r="L2654" s="198"/>
      <c r="M2654" s="198"/>
      <c r="N2654" s="198"/>
      <c r="O2654" s="198"/>
      <c r="P2654" s="198"/>
      <c r="Q2654" s="198"/>
    </row>
    <row r="2655" spans="1:17" x14ac:dyDescent="0.2">
      <c r="A2655" s="449"/>
      <c r="B2655" s="448"/>
      <c r="C2655" s="449"/>
      <c r="D2655" s="449"/>
      <c r="E2655" s="449"/>
      <c r="F2655" s="449"/>
      <c r="G2655" s="449"/>
      <c r="H2655" s="449"/>
      <c r="I2655" s="477"/>
      <c r="J2655" s="451"/>
      <c r="K2655" s="451"/>
      <c r="L2655" s="198"/>
      <c r="M2655" s="198"/>
      <c r="N2655" s="198"/>
      <c r="O2655" s="198"/>
      <c r="P2655" s="198"/>
      <c r="Q2655" s="198"/>
    </row>
    <row r="2656" spans="1:17" x14ac:dyDescent="0.2">
      <c r="A2656" s="502"/>
      <c r="B2656" s="503"/>
      <c r="C2656" s="492"/>
      <c r="D2656" s="492"/>
      <c r="E2656" s="492"/>
      <c r="F2656" s="504" t="s">
        <v>208</v>
      </c>
      <c r="G2656" s="505"/>
      <c r="H2656" s="492"/>
      <c r="I2656" s="493">
        <f>+I2644+I2650+I2654</f>
        <v>280.07</v>
      </c>
      <c r="J2656" s="451"/>
      <c r="K2656" s="451"/>
      <c r="L2656" s="198"/>
      <c r="M2656" s="198"/>
      <c r="N2656" s="198"/>
      <c r="O2656" s="198"/>
      <c r="P2656" s="198"/>
      <c r="Q2656" s="198"/>
    </row>
    <row r="2657" spans="1:17" x14ac:dyDescent="0.2">
      <c r="A2657" s="506"/>
      <c r="B2657" s="507"/>
      <c r="C2657" s="456"/>
      <c r="D2657" s="456"/>
      <c r="E2657" s="456"/>
      <c r="F2657" s="508" t="s">
        <v>209</v>
      </c>
      <c r="G2657" s="455"/>
      <c r="H2657" s="456"/>
      <c r="I2657" s="495">
        <v>1</v>
      </c>
      <c r="J2657" s="451"/>
      <c r="K2657" s="451"/>
      <c r="L2657" s="198"/>
      <c r="M2657" s="198"/>
      <c r="N2657" s="198"/>
      <c r="O2657" s="198"/>
      <c r="P2657" s="198"/>
      <c r="Q2657" s="198"/>
    </row>
    <row r="2658" spans="1:17" x14ac:dyDescent="0.2">
      <c r="A2658" s="509"/>
      <c r="B2658" s="510"/>
      <c r="C2658" s="462"/>
      <c r="D2658" s="462"/>
      <c r="E2658" s="462"/>
      <c r="F2658" s="511" t="s">
        <v>232</v>
      </c>
      <c r="G2658" s="458"/>
      <c r="H2658" s="462"/>
      <c r="I2658" s="499">
        <f>TRUNC(I2656/I2657,2)</f>
        <v>280.07</v>
      </c>
      <c r="J2658" s="451"/>
      <c r="K2658" s="451"/>
      <c r="L2658" s="198"/>
      <c r="M2658" s="198"/>
      <c r="N2658" s="198"/>
      <c r="O2658" s="198"/>
      <c r="P2658" s="198"/>
      <c r="Q2658" s="198"/>
    </row>
    <row r="2659" spans="1:17" x14ac:dyDescent="0.2">
      <c r="A2659" s="868"/>
      <c r="B2659" s="448"/>
      <c r="C2659" s="449"/>
      <c r="D2659" s="449"/>
      <c r="E2659" s="449"/>
      <c r="F2659" s="512"/>
      <c r="G2659" s="449"/>
      <c r="H2659" s="449"/>
      <c r="I2659" s="513"/>
      <c r="J2659" s="451"/>
      <c r="K2659" s="451"/>
      <c r="L2659" s="198"/>
      <c r="M2659" s="198"/>
      <c r="N2659" s="198"/>
      <c r="O2659" s="198"/>
      <c r="P2659" s="198"/>
      <c r="Q2659" s="198"/>
    </row>
    <row r="2660" spans="1:17" x14ac:dyDescent="0.2">
      <c r="A2660" s="500" t="s">
        <v>210</v>
      </c>
      <c r="B2660" s="468" t="s">
        <v>60</v>
      </c>
      <c r="C2660" s="468" t="s">
        <v>211</v>
      </c>
      <c r="D2660" s="468" t="s">
        <v>233</v>
      </c>
      <c r="E2660" s="1289" t="s">
        <v>91</v>
      </c>
      <c r="F2660" s="1284"/>
      <c r="G2660" s="1285"/>
      <c r="H2660" s="1289" t="s">
        <v>198</v>
      </c>
      <c r="I2660" s="1285"/>
      <c r="J2660" s="451"/>
      <c r="K2660" s="451"/>
      <c r="L2660" s="198"/>
      <c r="M2660" s="198"/>
      <c r="N2660" s="198"/>
      <c r="O2660" s="198"/>
      <c r="P2660" s="198"/>
      <c r="Q2660" s="198"/>
    </row>
    <row r="2661" spans="1:17" s="198" customFormat="1" ht="22.5" x14ac:dyDescent="0.2">
      <c r="A2661" s="464" t="str">
        <f>VLOOKUP(B2661,mat.!$A:$D,2,FALSE)</f>
        <v>Tubo de concreto armado D=1,00m CA-2 PB</v>
      </c>
      <c r="B2661" s="453">
        <v>10237</v>
      </c>
      <c r="C2661" s="465" t="str">
        <f>VLOOKUP(B2661,mat.!$A:$D,3,FALSE)</f>
        <v>M</v>
      </c>
      <c r="D2661" s="466">
        <f>VLOOKUP(B2661,mat.!$A:$D,4,FALSE)</f>
        <v>265.89999999999998</v>
      </c>
      <c r="E2661" s="455"/>
      <c r="F2661" s="456"/>
      <c r="G2661" s="457">
        <v>2</v>
      </c>
      <c r="H2661" s="455"/>
      <c r="I2661" s="459">
        <f>TRUNC(D2661*G2661,2)</f>
        <v>531.79999999999995</v>
      </c>
      <c r="J2661" s="451"/>
      <c r="K2661" s="451"/>
    </row>
    <row r="2662" spans="1:17" x14ac:dyDescent="0.2">
      <c r="A2662" s="449"/>
      <c r="B2662" s="448"/>
      <c r="C2662" s="449"/>
      <c r="D2662" s="449"/>
      <c r="E2662" s="449"/>
      <c r="F2662" s="450" t="s">
        <v>212</v>
      </c>
      <c r="G2662" s="458"/>
      <c r="H2662" s="462"/>
      <c r="I2662" s="475">
        <f>SUM(I2661)</f>
        <v>531.79999999999995</v>
      </c>
      <c r="J2662" s="451"/>
      <c r="K2662" s="451"/>
      <c r="L2662" s="198"/>
      <c r="M2662" s="198"/>
      <c r="N2662" s="198"/>
      <c r="O2662" s="198"/>
      <c r="P2662" s="198"/>
      <c r="Q2662" s="198"/>
    </row>
    <row r="2663" spans="1:17" x14ac:dyDescent="0.2">
      <c r="A2663" s="449"/>
      <c r="B2663" s="448"/>
      <c r="C2663" s="449"/>
      <c r="D2663" s="449"/>
      <c r="E2663" s="449"/>
      <c r="F2663" s="449"/>
      <c r="G2663" s="476"/>
      <c r="H2663" s="449"/>
      <c r="I2663" s="477"/>
      <c r="J2663" s="451"/>
      <c r="K2663" s="451"/>
      <c r="L2663" s="198"/>
      <c r="M2663" s="198"/>
      <c r="N2663" s="198"/>
      <c r="O2663" s="198"/>
      <c r="P2663" s="198"/>
      <c r="Q2663" s="198"/>
    </row>
    <row r="2664" spans="1:17" x14ac:dyDescent="0.2">
      <c r="A2664" s="467" t="s">
        <v>213</v>
      </c>
      <c r="B2664" s="468" t="s">
        <v>60</v>
      </c>
      <c r="C2664" s="468" t="s">
        <v>211</v>
      </c>
      <c r="D2664" s="869" t="s">
        <v>233</v>
      </c>
      <c r="E2664" s="1281" t="s">
        <v>91</v>
      </c>
      <c r="F2664" s="1282"/>
      <c r="G2664" s="1283"/>
      <c r="H2664" s="1284" t="s">
        <v>198</v>
      </c>
      <c r="I2664" s="1285"/>
      <c r="J2664" s="451"/>
      <c r="K2664" s="451"/>
      <c r="L2664" s="198"/>
      <c r="M2664" s="198"/>
      <c r="N2664" s="198"/>
      <c r="O2664" s="198"/>
      <c r="P2664" s="198"/>
      <c r="Q2664" s="198"/>
    </row>
    <row r="2665" spans="1:17" ht="22.5" x14ac:dyDescent="0.2">
      <c r="A2665" s="452" t="str">
        <f>VLOOKUP(B2665,'DER 10-18'!$A:$E,2,FALSE)</f>
        <v>Argamassa cimento e areia traço 1:4, tudo incluído</v>
      </c>
      <c r="B2665" s="453">
        <v>40348</v>
      </c>
      <c r="C2665" s="453" t="str">
        <f>VLOOKUP(B2665,'DER 10-18'!$A:$E,3,FALSE)</f>
        <v>M3</v>
      </c>
      <c r="D2665" s="454">
        <f>TRUNC(VLOOKUP(B2665,'DER 10-18'!$A:$F,6,FALSE)/(1+$I$4),2)</f>
        <v>405.1</v>
      </c>
      <c r="E2665" s="455"/>
      <c r="F2665" s="456"/>
      <c r="G2665" s="457">
        <v>6.4000000000000001E-2</v>
      </c>
      <c r="H2665" s="458"/>
      <c r="I2665" s="459">
        <f t="shared" ref="I2665" si="27">TRUNC(D2665*G2665,2)</f>
        <v>25.92</v>
      </c>
      <c r="J2665" s="451"/>
      <c r="K2665" s="451"/>
      <c r="L2665" s="198"/>
      <c r="M2665" s="198"/>
      <c r="N2665" s="198"/>
      <c r="O2665" s="198"/>
      <c r="P2665" s="198"/>
      <c r="Q2665" s="198"/>
    </row>
    <row r="2666" spans="1:17" x14ac:dyDescent="0.2">
      <c r="A2666" s="478"/>
      <c r="B2666" s="479"/>
      <c r="C2666" s="478"/>
      <c r="D2666" s="478"/>
      <c r="E2666" s="478"/>
      <c r="F2666" s="480" t="s">
        <v>214</v>
      </c>
      <c r="G2666" s="455"/>
      <c r="H2666" s="481"/>
      <c r="I2666" s="482">
        <f>SUM(I2665:I2665)</f>
        <v>25.92</v>
      </c>
      <c r="J2666" s="451"/>
      <c r="K2666" s="451"/>
      <c r="L2666" s="198"/>
      <c r="M2666" s="198"/>
      <c r="N2666" s="198"/>
      <c r="O2666" s="198"/>
      <c r="P2666" s="198"/>
      <c r="Q2666" s="198"/>
    </row>
    <row r="2667" spans="1:17" x14ac:dyDescent="0.2">
      <c r="A2667" s="478"/>
      <c r="B2667" s="479"/>
      <c r="C2667" s="478"/>
      <c r="D2667" s="478"/>
      <c r="E2667" s="478"/>
      <c r="F2667" s="478"/>
      <c r="G2667" s="478"/>
      <c r="H2667" s="478"/>
      <c r="I2667" s="478"/>
      <c r="J2667" s="451"/>
      <c r="K2667" s="451"/>
      <c r="L2667" s="198"/>
      <c r="M2667" s="198"/>
      <c r="N2667" s="198"/>
      <c r="O2667" s="198"/>
      <c r="P2667" s="198"/>
      <c r="Q2667" s="198"/>
    </row>
    <row r="2668" spans="1:17" ht="21.75" customHeight="1" x14ac:dyDescent="0.2">
      <c r="A2668" s="483" t="s">
        <v>215</v>
      </c>
      <c r="B2668" s="484" t="s">
        <v>60</v>
      </c>
      <c r="C2668" s="484" t="s">
        <v>211</v>
      </c>
      <c r="D2668" s="484" t="s">
        <v>216</v>
      </c>
      <c r="E2668" s="484" t="s">
        <v>217</v>
      </c>
      <c r="F2668" s="484" t="s">
        <v>218</v>
      </c>
      <c r="G2668" s="484" t="s">
        <v>96</v>
      </c>
      <c r="H2668" s="484" t="s">
        <v>91</v>
      </c>
      <c r="I2668" s="484" t="s">
        <v>219</v>
      </c>
      <c r="J2668" s="451"/>
      <c r="K2668" s="451"/>
      <c r="L2668" s="198"/>
      <c r="M2668" s="198"/>
      <c r="N2668" s="198"/>
      <c r="O2668" s="198"/>
      <c r="P2668" s="198"/>
      <c r="Q2668" s="198"/>
    </row>
    <row r="2669" spans="1:17" ht="22.5" x14ac:dyDescent="0.2">
      <c r="A2669" s="265" t="str">
        <f>VLOOKUP(B2669,tranp.!A:D,2,FALSE)</f>
        <v>Transp. De Tubo de concreto armado D=1,00m CA-2PB</v>
      </c>
      <c r="B2669" s="453">
        <v>1271</v>
      </c>
      <c r="C2669" s="453" t="str">
        <f>VLOOKUP(B2669,tranp.!$A:$J,3,FALSE)</f>
        <v>t</v>
      </c>
      <c r="D2669" s="518" t="str">
        <f>VLOOKUP(B2669,tranp.!$A:$J,4,FALSE)</f>
        <v>0,676XP + 0,703XR</v>
      </c>
      <c r="E2669" s="519">
        <f>VLOOKUP(J2669,Ocor.!$B:$F,4,FALSE)</f>
        <v>37.200000000000003</v>
      </c>
      <c r="F2669" s="519">
        <f>VLOOKUP(J2669,Ocor.!$B:$F,5,FALSE)</f>
        <v>5.6</v>
      </c>
      <c r="G2669" s="454">
        <f>TRUNC(VLOOKUP(B2669,tranp.!$A:$J,5,FALSE)*E2669+VLOOKUP(B2669,tranp.!$A:$J,6,FALSE)*F2669+VLOOKUP(B2669,tranp.!$A:$J,7,FALSE),2)</f>
        <v>29.08</v>
      </c>
      <c r="H2669" s="520">
        <v>1.88</v>
      </c>
      <c r="I2669" s="454">
        <f>TRUNC(G2669*H2669,2)</f>
        <v>54.67</v>
      </c>
      <c r="J2669" s="433" t="s">
        <v>118</v>
      </c>
      <c r="K2669" s="451"/>
      <c r="L2669" s="198"/>
      <c r="M2669" s="198"/>
      <c r="N2669" s="198"/>
      <c r="O2669" s="198"/>
      <c r="P2669" s="198"/>
      <c r="Q2669" s="198"/>
    </row>
    <row r="2670" spans="1:17" x14ac:dyDescent="0.2">
      <c r="A2670" s="478"/>
      <c r="B2670" s="479"/>
      <c r="C2670" s="478"/>
      <c r="D2670" s="478"/>
      <c r="E2670" s="478"/>
      <c r="F2670" s="480" t="s">
        <v>220</v>
      </c>
      <c r="G2670" s="458"/>
      <c r="H2670" s="485"/>
      <c r="I2670" s="486">
        <f>SUM(I2669)</f>
        <v>54.67</v>
      </c>
      <c r="J2670" s="451"/>
      <c r="K2670" s="451"/>
      <c r="L2670" s="198"/>
      <c r="M2670" s="198"/>
      <c r="N2670" s="198"/>
      <c r="O2670" s="198"/>
      <c r="P2670" s="198"/>
      <c r="Q2670" s="198"/>
    </row>
    <row r="2671" spans="1:17" x14ac:dyDescent="0.2">
      <c r="A2671" s="478"/>
      <c r="B2671" s="479"/>
      <c r="C2671" s="478"/>
      <c r="D2671" s="478"/>
      <c r="E2671" s="478"/>
      <c r="F2671" s="478"/>
      <c r="G2671" s="478"/>
      <c r="H2671" s="478"/>
      <c r="I2671" s="487"/>
      <c r="J2671" s="451"/>
      <c r="K2671" s="451"/>
      <c r="L2671" s="198"/>
      <c r="M2671" s="198"/>
      <c r="N2671" s="198"/>
      <c r="O2671" s="198"/>
      <c r="P2671" s="198"/>
      <c r="Q2671" s="198"/>
    </row>
    <row r="2672" spans="1:17" x14ac:dyDescent="0.2">
      <c r="A2672" s="488"/>
      <c r="B2672" s="489"/>
      <c r="C2672" s="490"/>
      <c r="D2672" s="490"/>
      <c r="E2672" s="490"/>
      <c r="F2672" s="491" t="s">
        <v>221</v>
      </c>
      <c r="G2672" s="488"/>
      <c r="H2672" s="492"/>
      <c r="I2672" s="493">
        <f>+I2658+I2662+I2666+I2670</f>
        <v>892.46</v>
      </c>
      <c r="J2672" s="534"/>
      <c r="K2672" s="451"/>
      <c r="L2672" s="198"/>
      <c r="M2672" s="198"/>
      <c r="N2672" s="198"/>
      <c r="O2672" s="198"/>
      <c r="P2672" s="198"/>
      <c r="Q2672" s="198"/>
    </row>
    <row r="2673" spans="1:17" x14ac:dyDescent="0.2">
      <c r="A2673" s="455"/>
      <c r="B2673" s="494"/>
      <c r="C2673" s="481"/>
      <c r="D2673" s="481"/>
      <c r="E2673" s="481"/>
      <c r="F2673" s="285" t="str">
        <f>CONCATENATE($H$3," ",$I$3)</f>
        <v>BDI: 23,32</v>
      </c>
      <c r="G2673" s="439"/>
      <c r="H2673" s="258"/>
      <c r="I2673" s="635">
        <f>+ROUND(I2672*$I$4,2)</f>
        <v>208.12</v>
      </c>
      <c r="J2673" s="451"/>
      <c r="K2673" s="451"/>
      <c r="L2673" s="198"/>
      <c r="M2673" s="198"/>
      <c r="N2673" s="198"/>
      <c r="O2673" s="198"/>
      <c r="P2673" s="198"/>
      <c r="Q2673" s="198"/>
    </row>
    <row r="2674" spans="1:17" x14ac:dyDescent="0.2">
      <c r="A2674" s="458"/>
      <c r="B2674" s="496"/>
      <c r="C2674" s="485"/>
      <c r="D2674" s="485"/>
      <c r="E2674" s="485"/>
      <c r="F2674" s="497" t="s">
        <v>222</v>
      </c>
      <c r="G2674" s="498"/>
      <c r="H2674" s="462"/>
      <c r="I2674" s="1017">
        <f>+I2672+I2673</f>
        <v>1100.58</v>
      </c>
      <c r="J2674" s="534"/>
      <c r="K2674" s="198"/>
      <c r="L2674" s="198"/>
      <c r="M2674" s="198"/>
      <c r="N2674" s="198"/>
      <c r="O2674" s="198"/>
      <c r="P2674" s="198"/>
      <c r="Q2674" s="198"/>
    </row>
    <row r="2675" spans="1:17" x14ac:dyDescent="0.2">
      <c r="A2675" s="1286" t="str">
        <f>$A$1</f>
        <v>COMPOSIÇÃO DE CUSTOS UNITÁRIOS</v>
      </c>
      <c r="B2675" s="1286"/>
      <c r="C2675" s="1286"/>
      <c r="D2675" s="1286"/>
      <c r="E2675" s="1286"/>
      <c r="F2675" s="1286"/>
      <c r="G2675" s="1286"/>
      <c r="H2675" s="1286"/>
      <c r="I2675" s="1286"/>
      <c r="J2675" s="451"/>
      <c r="K2675" s="451"/>
      <c r="L2675" s="198"/>
      <c r="M2675" s="198"/>
      <c r="N2675" s="198"/>
      <c r="O2675" s="198"/>
      <c r="P2675" s="198"/>
      <c r="Q2675" s="198"/>
    </row>
    <row r="2676" spans="1:17" x14ac:dyDescent="0.2">
      <c r="A2676" s="447" t="str">
        <f>$A$2</f>
        <v>Tabela Referencial de Preços - DER-ES</v>
      </c>
      <c r="B2676" s="448"/>
      <c r="C2676" s="449"/>
      <c r="D2676" s="449"/>
      <c r="E2676" s="449"/>
      <c r="F2676" s="449"/>
      <c r="G2676" s="449"/>
      <c r="H2676" s="449"/>
      <c r="I2676" s="450" t="str">
        <f>$I$2</f>
        <v>Data Base: Outubro/2018</v>
      </c>
      <c r="J2676" s="451"/>
      <c r="K2676" s="451"/>
      <c r="L2676" s="198"/>
      <c r="M2676" s="198"/>
      <c r="N2676" s="198"/>
      <c r="O2676" s="198"/>
      <c r="P2676" s="198"/>
      <c r="Q2676" s="198"/>
    </row>
    <row r="2677" spans="1:17" x14ac:dyDescent="0.2">
      <c r="A2677" s="1287" t="str">
        <f>+CONCATENATE("Serviço: ",J2677," ",VLOOKUP(J2677,'DER 10-18'!$A:$D,2,FALSE))</f>
        <v>Serviço: 40483 Corpo BDTC (grota) diâmetro 1,20 m CA-2 PB exclusive escavação e reaterro, inclusive transporte do tubo</v>
      </c>
      <c r="B2677" s="1287"/>
      <c r="C2677" s="1287"/>
      <c r="D2677" s="1287"/>
      <c r="E2677" s="1287"/>
      <c r="F2677" s="1287"/>
      <c r="G2677" s="1287"/>
      <c r="H2677" s="1287"/>
      <c r="I2677" s="1287" t="str">
        <f>CONCATENATE("Unidade: ", VLOOKUP(J2677,'DER 10-18'!$A:$E,3,FALSE))</f>
        <v>Unidade: M</v>
      </c>
      <c r="J2677" s="451">
        <v>40483</v>
      </c>
      <c r="K2677" s="451">
        <f>VLOOKUP("Preço Unitário Total",F2678:I6546,4,FALSE)</f>
        <v>1465.79</v>
      </c>
      <c r="L2677" s="198" t="str">
        <f>VLOOKUP(J2677,'DER 10-18'!A:E,5,FALSE)</f>
        <v>A incluir</v>
      </c>
      <c r="M2677" s="198" t="str">
        <f>VLOOKUP(J2677,'DER 10-18'!$A:$D,2,FALSE)</f>
        <v>Corpo BDTC (grota) diâmetro 1,20 m CA-2 PB exclusive escavação e reaterro, inclusive transporte do tubo</v>
      </c>
      <c r="N2677" s="198"/>
      <c r="O2677" s="198"/>
      <c r="P2677" s="198"/>
      <c r="Q2677" s="198"/>
    </row>
    <row r="2678" spans="1:17" x14ac:dyDescent="0.2">
      <c r="A2678" s="1288"/>
      <c r="B2678" s="1288"/>
      <c r="C2678" s="1288"/>
      <c r="D2678" s="1288"/>
      <c r="E2678" s="1288"/>
      <c r="F2678" s="1288"/>
      <c r="G2678" s="1288"/>
      <c r="H2678" s="1288"/>
      <c r="I2678" s="1288"/>
      <c r="J2678" s="451"/>
      <c r="K2678" s="451"/>
      <c r="L2678" s="198"/>
      <c r="M2678" s="198"/>
      <c r="N2678" s="198"/>
      <c r="O2678" s="198"/>
      <c r="P2678" s="198"/>
      <c r="Q2678" s="198"/>
    </row>
    <row r="2679" spans="1:17" ht="22.5" x14ac:dyDescent="0.2">
      <c r="A2679" s="469" t="s">
        <v>192</v>
      </c>
      <c r="B2679" s="470" t="s">
        <v>60</v>
      </c>
      <c r="C2679" s="470" t="s">
        <v>193</v>
      </c>
      <c r="D2679" s="470" t="s">
        <v>194</v>
      </c>
      <c r="E2679" s="470" t="s">
        <v>195</v>
      </c>
      <c r="F2679" s="470" t="s">
        <v>196</v>
      </c>
      <c r="G2679" s="470" t="s">
        <v>197</v>
      </c>
      <c r="H2679" s="470" t="s">
        <v>91</v>
      </c>
      <c r="I2679" s="470" t="s">
        <v>198</v>
      </c>
      <c r="J2679" s="451"/>
      <c r="K2679" s="451"/>
      <c r="L2679" s="198"/>
      <c r="M2679" s="198"/>
      <c r="N2679" s="198"/>
      <c r="O2679" s="198"/>
      <c r="P2679" s="198"/>
      <c r="Q2679" s="198"/>
    </row>
    <row r="2680" spans="1:17" ht="33.75" x14ac:dyDescent="0.2">
      <c r="A2680" s="509" t="str">
        <f>VLOOKUP(B2680,equip.!$A:$G,2,FALSE)</f>
        <v>Carregadeira de rodas ref. Caterpillar modelo 924H (1,9 m3) ( cab + ar ) ou equivalente</v>
      </c>
      <c r="B2680" s="453">
        <v>30023</v>
      </c>
      <c r="C2680" s="460" t="str">
        <f>VLOOKUP(B2680,equip.!$A$1:$G$240,3,FALSE)</f>
        <v>M</v>
      </c>
      <c r="D2680" s="514">
        <v>0.3</v>
      </c>
      <c r="E2680" s="515">
        <v>0.7</v>
      </c>
      <c r="F2680" s="516">
        <f>VLOOKUP(B2680,equip.!$A:$G,6,FALSE)</f>
        <v>204.45</v>
      </c>
      <c r="G2680" s="516">
        <f>VLOOKUP(B2680,equip.!$A:$G,7,FALSE)</f>
        <v>66.489999999999995</v>
      </c>
      <c r="H2680" s="517">
        <v>1</v>
      </c>
      <c r="I2680" s="454">
        <f>TRUNC(D2680*F2680*H2680+E2680*G2680*H2680,2)</f>
        <v>107.87</v>
      </c>
      <c r="J2680" s="198"/>
      <c r="K2680" s="198"/>
      <c r="L2680" s="198"/>
      <c r="M2680" s="198"/>
      <c r="N2680" s="198"/>
      <c r="O2680" s="198"/>
      <c r="P2680" s="198"/>
      <c r="Q2680" s="198"/>
    </row>
    <row r="2681" spans="1:17" x14ac:dyDescent="0.2">
      <c r="A2681" s="449"/>
      <c r="B2681" s="448"/>
      <c r="C2681" s="448"/>
      <c r="D2681" s="449"/>
      <c r="E2681" s="449"/>
      <c r="F2681" s="450" t="s">
        <v>199</v>
      </c>
      <c r="G2681" s="458"/>
      <c r="H2681" s="462"/>
      <c r="I2681" s="475">
        <f>I2680</f>
        <v>107.87</v>
      </c>
      <c r="J2681" s="451"/>
      <c r="K2681" s="451"/>
      <c r="L2681" s="198"/>
      <c r="M2681" s="198"/>
      <c r="N2681" s="198"/>
      <c r="O2681" s="198"/>
      <c r="P2681" s="198"/>
      <c r="Q2681" s="198"/>
    </row>
    <row r="2682" spans="1:17" x14ac:dyDescent="0.2">
      <c r="A2682" s="449"/>
      <c r="B2682" s="448"/>
      <c r="C2682" s="448"/>
      <c r="D2682" s="449"/>
      <c r="E2682" s="449"/>
      <c r="F2682" s="449"/>
      <c r="G2682" s="449"/>
      <c r="H2682" s="449"/>
      <c r="I2682" s="477"/>
      <c r="J2682" s="451"/>
      <c r="K2682" s="451"/>
      <c r="L2682" s="198"/>
      <c r="M2682" s="198"/>
      <c r="N2682" s="198"/>
      <c r="O2682" s="198"/>
      <c r="P2682" s="198"/>
      <c r="Q2682" s="198"/>
    </row>
    <row r="2683" spans="1:17" x14ac:dyDescent="0.2">
      <c r="A2683" s="500" t="s">
        <v>200</v>
      </c>
      <c r="B2683" s="468" t="s">
        <v>60</v>
      </c>
      <c r="C2683" s="470" t="s">
        <v>1242</v>
      </c>
      <c r="D2683" s="468" t="s">
        <v>202</v>
      </c>
      <c r="E2683" s="1281" t="s">
        <v>91</v>
      </c>
      <c r="F2683" s="1282"/>
      <c r="G2683" s="1283"/>
      <c r="H2683" s="1289" t="s">
        <v>198</v>
      </c>
      <c r="I2683" s="1285"/>
      <c r="J2683" s="451"/>
      <c r="K2683" s="451"/>
      <c r="L2683" s="198"/>
      <c r="M2683" s="198"/>
      <c r="N2683" s="198"/>
      <c r="O2683" s="198"/>
      <c r="P2683" s="198"/>
      <c r="Q2683" s="198"/>
    </row>
    <row r="2684" spans="1:17" x14ac:dyDescent="0.2">
      <c r="A2684" s="452" t="str">
        <f>VLOOKUP(B2684,m.o.!$A:$H,2,FALSE)</f>
        <v>Encarregado de O.A.C.</v>
      </c>
      <c r="B2684" s="453">
        <v>20060</v>
      </c>
      <c r="C2684" s="454">
        <f>VLOOKUP(B2684,m.o.!$A:$F,4,FALSE)</f>
        <v>2.2599999999999998</v>
      </c>
      <c r="D2684" s="454">
        <f>VLOOKUP(B2684,m.o.!$A:$G,7,FALSE)</f>
        <v>26.3</v>
      </c>
      <c r="E2684" s="455"/>
      <c r="F2684" s="456"/>
      <c r="G2684" s="457">
        <v>1</v>
      </c>
      <c r="H2684" s="458"/>
      <c r="I2684" s="463">
        <f t="shared" ref="I2684:I2686" si="28">TRUNC(D2684*G2684,2)</f>
        <v>26.3</v>
      </c>
      <c r="J2684" s="198"/>
      <c r="K2684" s="198"/>
      <c r="L2684" s="198"/>
      <c r="M2684" s="198"/>
      <c r="N2684" s="198"/>
      <c r="O2684" s="198"/>
      <c r="P2684" s="198"/>
      <c r="Q2684" s="198"/>
    </row>
    <row r="2685" spans="1:17" x14ac:dyDescent="0.2">
      <c r="A2685" s="452" t="str">
        <f>VLOOKUP(B2685,m.o.!$A:$H,2,FALSE)</f>
        <v>Pedreiro de O.A.C.</v>
      </c>
      <c r="B2685" s="453">
        <v>20109</v>
      </c>
      <c r="C2685" s="454">
        <f>VLOOKUP(B2685,m.o.!$A:$F,4,FALSE)</f>
        <v>1.24</v>
      </c>
      <c r="D2685" s="454">
        <f>VLOOKUP(B2685,m.o.!$A:$G,7,FALSE)</f>
        <v>14.43</v>
      </c>
      <c r="E2685" s="455"/>
      <c r="F2685" s="456"/>
      <c r="G2685" s="457">
        <v>6</v>
      </c>
      <c r="H2685" s="458"/>
      <c r="I2685" s="463">
        <f t="shared" si="28"/>
        <v>86.58</v>
      </c>
      <c r="J2685" s="198"/>
      <c r="K2685" s="198"/>
      <c r="L2685" s="198"/>
      <c r="M2685" s="198"/>
      <c r="N2685" s="198"/>
      <c r="O2685" s="198"/>
      <c r="P2685" s="198"/>
      <c r="Q2685" s="198"/>
    </row>
    <row r="2686" spans="1:17" x14ac:dyDescent="0.2">
      <c r="A2686" s="452" t="str">
        <f>VLOOKUP(B2686,m.o.!$A:$H,2,FALSE)</f>
        <v>Servente</v>
      </c>
      <c r="B2686" s="453">
        <v>20002</v>
      </c>
      <c r="C2686" s="454">
        <f>VLOOKUP(B2686,m.o.!$A:$F,4,FALSE)</f>
        <v>1</v>
      </c>
      <c r="D2686" s="454">
        <f>VLOOKUP(B2686,m.o.!$A:$G,7,FALSE)</f>
        <v>11.64</v>
      </c>
      <c r="E2686" s="455"/>
      <c r="F2686" s="456"/>
      <c r="G2686" s="457">
        <v>10</v>
      </c>
      <c r="H2686" s="458"/>
      <c r="I2686" s="463">
        <f t="shared" si="28"/>
        <v>116.4</v>
      </c>
      <c r="J2686" s="198"/>
      <c r="K2686" s="198"/>
      <c r="L2686" s="198"/>
      <c r="M2686" s="198"/>
      <c r="N2686" s="198"/>
      <c r="O2686" s="198"/>
      <c r="P2686" s="198"/>
      <c r="Q2686" s="198"/>
    </row>
    <row r="2687" spans="1:17" x14ac:dyDescent="0.2">
      <c r="A2687" s="449"/>
      <c r="B2687" s="448"/>
      <c r="C2687" s="448"/>
      <c r="D2687" s="449"/>
      <c r="E2687" s="449"/>
      <c r="F2687" s="450" t="s">
        <v>203</v>
      </c>
      <c r="G2687" s="458"/>
      <c r="H2687" s="462"/>
      <c r="I2687" s="475">
        <f>SUM(I2684:I2686)</f>
        <v>229.28</v>
      </c>
      <c r="J2687" s="451"/>
      <c r="K2687" s="451"/>
      <c r="L2687" s="198"/>
      <c r="M2687" s="198"/>
      <c r="N2687" s="198"/>
      <c r="O2687" s="198"/>
      <c r="P2687" s="198"/>
      <c r="Q2687" s="198"/>
    </row>
    <row r="2688" spans="1:17" x14ac:dyDescent="0.2">
      <c r="A2688" s="449"/>
      <c r="B2688" s="448"/>
      <c r="C2688" s="448"/>
      <c r="D2688" s="449"/>
      <c r="E2688" s="449"/>
      <c r="F2688" s="449"/>
      <c r="G2688" s="449"/>
      <c r="H2688" s="449"/>
      <c r="I2688" s="477"/>
      <c r="J2688" s="451"/>
      <c r="K2688" s="451"/>
      <c r="L2688" s="198"/>
      <c r="M2688" s="198"/>
      <c r="N2688" s="198"/>
      <c r="O2688" s="198"/>
      <c r="P2688" s="198"/>
      <c r="Q2688" s="198"/>
    </row>
    <row r="2689" spans="1:17" x14ac:dyDescent="0.2">
      <c r="A2689" s="501" t="s">
        <v>204</v>
      </c>
      <c r="B2689" s="468" t="s">
        <v>60</v>
      </c>
      <c r="C2689" s="869" t="s">
        <v>17</v>
      </c>
      <c r="D2689" s="468" t="s">
        <v>205</v>
      </c>
      <c r="E2689" s="468" t="s">
        <v>206</v>
      </c>
      <c r="F2689" s="468" t="s">
        <v>207</v>
      </c>
      <c r="G2689" s="1289" t="s">
        <v>96</v>
      </c>
      <c r="H2689" s="1284"/>
      <c r="I2689" s="1285"/>
      <c r="J2689" s="451"/>
      <c r="K2689" s="451"/>
      <c r="L2689" s="198"/>
      <c r="M2689" s="198"/>
      <c r="N2689" s="198"/>
      <c r="O2689" s="198"/>
      <c r="P2689" s="198"/>
      <c r="Q2689" s="198"/>
    </row>
    <row r="2690" spans="1:17" x14ac:dyDescent="0.2">
      <c r="A2690" s="452" t="s">
        <v>142</v>
      </c>
      <c r="B2690" s="453">
        <v>2000</v>
      </c>
      <c r="C2690" s="454">
        <v>5</v>
      </c>
      <c r="D2690" s="460" t="s">
        <v>223</v>
      </c>
      <c r="E2690" s="461"/>
      <c r="F2690" s="461"/>
      <c r="G2690" s="458"/>
      <c r="H2690" s="462"/>
      <c r="I2690" s="463">
        <f>TRUNC(C2690/100*I2687,2)</f>
        <v>11.46</v>
      </c>
      <c r="J2690" s="198"/>
      <c r="K2690" s="198"/>
      <c r="L2690" s="198"/>
      <c r="M2690" s="198"/>
      <c r="N2690" s="198"/>
      <c r="O2690" s="198"/>
      <c r="P2690" s="198"/>
      <c r="Q2690" s="198"/>
    </row>
    <row r="2691" spans="1:17" x14ac:dyDescent="0.2">
      <c r="A2691" s="449"/>
      <c r="B2691" s="448"/>
      <c r="C2691" s="449"/>
      <c r="D2691" s="449"/>
      <c r="E2691" s="449"/>
      <c r="F2691" s="450" t="s">
        <v>1170</v>
      </c>
      <c r="G2691" s="458"/>
      <c r="H2691" s="462"/>
      <c r="I2691" s="475">
        <f>SUM(I2690)</f>
        <v>11.46</v>
      </c>
      <c r="J2691" s="451"/>
      <c r="K2691" s="451"/>
      <c r="L2691" s="198"/>
      <c r="M2691" s="198"/>
      <c r="N2691" s="198"/>
      <c r="O2691" s="198"/>
      <c r="P2691" s="198"/>
      <c r="Q2691" s="198"/>
    </row>
    <row r="2692" spans="1:17" x14ac:dyDescent="0.2">
      <c r="A2692" s="449"/>
      <c r="B2692" s="448"/>
      <c r="C2692" s="449"/>
      <c r="D2692" s="449"/>
      <c r="E2692" s="449"/>
      <c r="F2692" s="449"/>
      <c r="G2692" s="449"/>
      <c r="H2692" s="449"/>
      <c r="I2692" s="477"/>
      <c r="J2692" s="451"/>
      <c r="K2692" s="451"/>
      <c r="L2692" s="198"/>
      <c r="M2692" s="198"/>
      <c r="N2692" s="198"/>
      <c r="O2692" s="198"/>
      <c r="P2692" s="198"/>
      <c r="Q2692" s="198"/>
    </row>
    <row r="2693" spans="1:17" x14ac:dyDescent="0.2">
      <c r="A2693" s="502"/>
      <c r="B2693" s="503"/>
      <c r="C2693" s="492"/>
      <c r="D2693" s="492"/>
      <c r="E2693" s="492"/>
      <c r="F2693" s="504" t="s">
        <v>208</v>
      </c>
      <c r="G2693" s="505"/>
      <c r="H2693" s="492"/>
      <c r="I2693" s="493">
        <f>+I2681+I2687+I2691</f>
        <v>348.61</v>
      </c>
      <c r="J2693" s="451"/>
      <c r="K2693" s="451"/>
      <c r="L2693" s="198"/>
      <c r="M2693" s="198"/>
      <c r="N2693" s="198"/>
      <c r="O2693" s="198"/>
      <c r="P2693" s="198"/>
      <c r="Q2693" s="198"/>
    </row>
    <row r="2694" spans="1:17" x14ac:dyDescent="0.2">
      <c r="A2694" s="506"/>
      <c r="B2694" s="507"/>
      <c r="C2694" s="456"/>
      <c r="D2694" s="456"/>
      <c r="E2694" s="456"/>
      <c r="F2694" s="508" t="s">
        <v>209</v>
      </c>
      <c r="G2694" s="455"/>
      <c r="H2694" s="456"/>
      <c r="I2694" s="495">
        <v>1</v>
      </c>
      <c r="J2694" s="451"/>
      <c r="K2694" s="451"/>
      <c r="L2694" s="198"/>
      <c r="M2694" s="198"/>
      <c r="N2694" s="198"/>
      <c r="O2694" s="198"/>
      <c r="P2694" s="198"/>
      <c r="Q2694" s="198"/>
    </row>
    <row r="2695" spans="1:17" x14ac:dyDescent="0.2">
      <c r="A2695" s="509"/>
      <c r="B2695" s="510"/>
      <c r="C2695" s="462"/>
      <c r="D2695" s="462"/>
      <c r="E2695" s="462"/>
      <c r="F2695" s="511" t="s">
        <v>232</v>
      </c>
      <c r="G2695" s="458"/>
      <c r="H2695" s="462"/>
      <c r="I2695" s="499">
        <f>TRUNC(I2693/I2694,2)</f>
        <v>348.61</v>
      </c>
      <c r="J2695" s="451"/>
      <c r="K2695" s="451"/>
      <c r="L2695" s="198"/>
      <c r="M2695" s="198"/>
      <c r="N2695" s="198"/>
      <c r="O2695" s="198"/>
      <c r="P2695" s="198"/>
      <c r="Q2695" s="198"/>
    </row>
    <row r="2696" spans="1:17" x14ac:dyDescent="0.2">
      <c r="A2696" s="868"/>
      <c r="B2696" s="448"/>
      <c r="C2696" s="449"/>
      <c r="D2696" s="449"/>
      <c r="E2696" s="449"/>
      <c r="F2696" s="512"/>
      <c r="G2696" s="449"/>
      <c r="H2696" s="449"/>
      <c r="I2696" s="513"/>
      <c r="J2696" s="451"/>
      <c r="K2696" s="451"/>
      <c r="L2696" s="198"/>
      <c r="M2696" s="198"/>
      <c r="N2696" s="198"/>
      <c r="O2696" s="198"/>
      <c r="P2696" s="198"/>
      <c r="Q2696" s="198"/>
    </row>
    <row r="2697" spans="1:17" x14ac:dyDescent="0.2">
      <c r="A2697" s="500" t="s">
        <v>210</v>
      </c>
      <c r="B2697" s="468" t="s">
        <v>60</v>
      </c>
      <c r="C2697" s="468" t="s">
        <v>211</v>
      </c>
      <c r="D2697" s="468" t="s">
        <v>233</v>
      </c>
      <c r="E2697" s="1289" t="s">
        <v>91</v>
      </c>
      <c r="F2697" s="1284"/>
      <c r="G2697" s="1285"/>
      <c r="H2697" s="1289" t="s">
        <v>198</v>
      </c>
      <c r="I2697" s="1285"/>
      <c r="J2697" s="451"/>
      <c r="K2697" s="451"/>
      <c r="L2697" s="198"/>
      <c r="M2697" s="198"/>
      <c r="N2697" s="198"/>
      <c r="O2697" s="198"/>
      <c r="P2697" s="198"/>
      <c r="Q2697" s="198"/>
    </row>
    <row r="2698" spans="1:17" ht="22.5" x14ac:dyDescent="0.2">
      <c r="A2698" s="464" t="str">
        <f>VLOOKUP(B2698,mat.!$A:$D,2,FALSE)</f>
        <v>Tubo de concreto armado D=1,20m CA-2 PB</v>
      </c>
      <c r="B2698" s="453">
        <v>10238</v>
      </c>
      <c r="C2698" s="465" t="str">
        <f>VLOOKUP(B2698,mat.!$A:$D,3,FALSE)</f>
        <v>M</v>
      </c>
      <c r="D2698" s="466">
        <f>VLOOKUP(B2698,mat.!$A:$D,4,FALSE)</f>
        <v>359.9</v>
      </c>
      <c r="E2698" s="455"/>
      <c r="F2698" s="456"/>
      <c r="G2698" s="457">
        <v>2</v>
      </c>
      <c r="H2698" s="455"/>
      <c r="I2698" s="459">
        <f>TRUNC(D2698*G2698,2)</f>
        <v>719.8</v>
      </c>
      <c r="J2698" s="451"/>
      <c r="K2698" s="451"/>
      <c r="L2698" s="198"/>
      <c r="M2698" s="198"/>
      <c r="N2698" s="198"/>
      <c r="O2698" s="198"/>
      <c r="P2698" s="198"/>
      <c r="Q2698" s="198"/>
    </row>
    <row r="2699" spans="1:17" x14ac:dyDescent="0.2">
      <c r="A2699" s="449"/>
      <c r="B2699" s="448"/>
      <c r="C2699" s="449"/>
      <c r="D2699" s="449"/>
      <c r="E2699" s="449"/>
      <c r="F2699" s="450" t="s">
        <v>212</v>
      </c>
      <c r="G2699" s="458"/>
      <c r="H2699" s="462"/>
      <c r="I2699" s="475">
        <f>SUM(I2698)</f>
        <v>719.8</v>
      </c>
      <c r="J2699" s="451"/>
      <c r="K2699" s="451"/>
      <c r="L2699" s="198"/>
      <c r="M2699" s="198"/>
      <c r="N2699" s="198"/>
      <c r="O2699" s="198"/>
      <c r="P2699" s="198"/>
      <c r="Q2699" s="198"/>
    </row>
    <row r="2700" spans="1:17" x14ac:dyDescent="0.2">
      <c r="A2700" s="449"/>
      <c r="B2700" s="448"/>
      <c r="C2700" s="449"/>
      <c r="D2700" s="449"/>
      <c r="E2700" s="449"/>
      <c r="F2700" s="449"/>
      <c r="G2700" s="476"/>
      <c r="H2700" s="449"/>
      <c r="I2700" s="477"/>
      <c r="J2700" s="451"/>
      <c r="K2700" s="451"/>
      <c r="L2700" s="198"/>
      <c r="M2700" s="198"/>
      <c r="N2700" s="198"/>
      <c r="O2700" s="198"/>
      <c r="P2700" s="198"/>
      <c r="Q2700" s="198"/>
    </row>
    <row r="2701" spans="1:17" x14ac:dyDescent="0.2">
      <c r="A2701" s="467" t="s">
        <v>213</v>
      </c>
      <c r="B2701" s="468" t="s">
        <v>60</v>
      </c>
      <c r="C2701" s="468" t="s">
        <v>211</v>
      </c>
      <c r="D2701" s="869" t="s">
        <v>233</v>
      </c>
      <c r="E2701" s="1281" t="s">
        <v>91</v>
      </c>
      <c r="F2701" s="1282"/>
      <c r="G2701" s="1283"/>
      <c r="H2701" s="1284" t="s">
        <v>198</v>
      </c>
      <c r="I2701" s="1285"/>
      <c r="J2701" s="451"/>
      <c r="K2701" s="451"/>
      <c r="L2701" s="198"/>
      <c r="M2701" s="198"/>
      <c r="N2701" s="198"/>
      <c r="O2701" s="198"/>
      <c r="P2701" s="198"/>
      <c r="Q2701" s="198"/>
    </row>
    <row r="2702" spans="1:17" ht="22.5" x14ac:dyDescent="0.2">
      <c r="A2702" s="452" t="str">
        <f>VLOOKUP(B2702,'DER 10-18'!$A:$E,2,FALSE)</f>
        <v>Argamassa cimento e areia traço 1:4, tudo incluído</v>
      </c>
      <c r="B2702" s="453">
        <v>40348</v>
      </c>
      <c r="C2702" s="453" t="str">
        <f>VLOOKUP(B2702,'DER 10-18'!$A:$E,3,FALSE)</f>
        <v>M3</v>
      </c>
      <c r="D2702" s="454">
        <f>TRUNC(VLOOKUP(B2702,'DER 10-18'!$A:$F,6,FALSE)/(1+$I$4),2)</f>
        <v>405.1</v>
      </c>
      <c r="E2702" s="455"/>
      <c r="F2702" s="456"/>
      <c r="G2702" s="457">
        <v>0.09</v>
      </c>
      <c r="H2702" s="458"/>
      <c r="I2702" s="459">
        <f t="shared" ref="I2702" si="29">TRUNC(D2702*G2702,2)</f>
        <v>36.450000000000003</v>
      </c>
      <c r="J2702" s="451"/>
      <c r="K2702" s="451"/>
      <c r="L2702" s="198"/>
      <c r="M2702" s="198"/>
      <c r="N2702" s="198"/>
      <c r="O2702" s="198"/>
      <c r="P2702" s="198"/>
      <c r="Q2702" s="198"/>
    </row>
    <row r="2703" spans="1:17" x14ac:dyDescent="0.2">
      <c r="A2703" s="478"/>
      <c r="B2703" s="479"/>
      <c r="C2703" s="478"/>
      <c r="D2703" s="478"/>
      <c r="E2703" s="478"/>
      <c r="F2703" s="480" t="s">
        <v>214</v>
      </c>
      <c r="G2703" s="455"/>
      <c r="H2703" s="481"/>
      <c r="I2703" s="482">
        <f>SUM(I2702:I2702)</f>
        <v>36.450000000000003</v>
      </c>
      <c r="J2703" s="451"/>
      <c r="K2703" s="451"/>
      <c r="L2703" s="198"/>
      <c r="M2703" s="198"/>
      <c r="N2703" s="198"/>
      <c r="O2703" s="198"/>
      <c r="P2703" s="198"/>
      <c r="Q2703" s="198"/>
    </row>
    <row r="2704" spans="1:17" x14ac:dyDescent="0.2">
      <c r="A2704" s="478"/>
      <c r="B2704" s="479"/>
      <c r="C2704" s="478"/>
      <c r="D2704" s="478"/>
      <c r="E2704" s="478"/>
      <c r="F2704" s="478"/>
      <c r="G2704" s="478"/>
      <c r="H2704" s="478"/>
      <c r="I2704" s="478"/>
      <c r="J2704" s="451"/>
      <c r="K2704" s="451"/>
      <c r="L2704" s="198"/>
      <c r="M2704" s="198"/>
      <c r="N2704" s="198"/>
      <c r="O2704" s="198"/>
      <c r="P2704" s="198"/>
      <c r="Q2704" s="198"/>
    </row>
    <row r="2705" spans="1:17" x14ac:dyDescent="0.2">
      <c r="A2705" s="483" t="s">
        <v>215</v>
      </c>
      <c r="B2705" s="484" t="s">
        <v>60</v>
      </c>
      <c r="C2705" s="484" t="s">
        <v>211</v>
      </c>
      <c r="D2705" s="484" t="s">
        <v>216</v>
      </c>
      <c r="E2705" s="484" t="s">
        <v>217</v>
      </c>
      <c r="F2705" s="484" t="s">
        <v>218</v>
      </c>
      <c r="G2705" s="484" t="s">
        <v>96</v>
      </c>
      <c r="H2705" s="484" t="s">
        <v>91</v>
      </c>
      <c r="I2705" s="484" t="s">
        <v>219</v>
      </c>
      <c r="J2705" s="451"/>
      <c r="K2705" s="451"/>
      <c r="L2705" s="198"/>
      <c r="M2705" s="198"/>
      <c r="N2705" s="198"/>
      <c r="O2705" s="198"/>
      <c r="P2705" s="198"/>
      <c r="Q2705" s="198"/>
    </row>
    <row r="2706" spans="1:17" ht="22.5" x14ac:dyDescent="0.2">
      <c r="A2706" s="265" t="str">
        <f>VLOOKUP(B2706,tranp.!A:D,2,FALSE)</f>
        <v>Transp. de Tubo de concreto armado D=1,20m CA-2 PB</v>
      </c>
      <c r="B2706" s="453">
        <v>1275</v>
      </c>
      <c r="C2706" s="453" t="str">
        <f>VLOOKUP(B2706,tranp.!$A:$J,3,FALSE)</f>
        <v xml:space="preserve"> t  </v>
      </c>
      <c r="D2706" s="518" t="str">
        <f>VLOOKUP(B2706,tranp.!$A:$J,4,FALSE)</f>
        <v>0,676XP + 0,703XR</v>
      </c>
      <c r="E2706" s="519">
        <f>VLOOKUP(J2706,Ocor.!$B:$F,4,FALSE)</f>
        <v>37.200000000000003</v>
      </c>
      <c r="F2706" s="519">
        <f>VLOOKUP(J2706,Ocor.!$B:$F,5,FALSE)</f>
        <v>5.6</v>
      </c>
      <c r="G2706" s="454">
        <f>TRUNC(VLOOKUP(B2706,tranp.!$A:$J,5,FALSE)*E2706+VLOOKUP(B2706,tranp.!$A:$J,6,FALSE)*F2706+VLOOKUP(B2706,tranp.!$A:$J,7,FALSE),2)</f>
        <v>29.08</v>
      </c>
      <c r="H2706" s="520">
        <v>2.88</v>
      </c>
      <c r="I2706" s="454">
        <f>TRUNC(G2706*H2706,2)</f>
        <v>83.75</v>
      </c>
      <c r="J2706" s="433" t="s">
        <v>118</v>
      </c>
      <c r="K2706" s="451"/>
      <c r="L2706" s="198"/>
      <c r="M2706" s="198"/>
      <c r="N2706" s="198"/>
      <c r="O2706" s="198"/>
      <c r="P2706" s="198"/>
      <c r="Q2706" s="198"/>
    </row>
    <row r="2707" spans="1:17" x14ac:dyDescent="0.2">
      <c r="A2707" s="478"/>
      <c r="B2707" s="479"/>
      <c r="C2707" s="478"/>
      <c r="D2707" s="478"/>
      <c r="E2707" s="478"/>
      <c r="F2707" s="480" t="s">
        <v>220</v>
      </c>
      <c r="G2707" s="458"/>
      <c r="H2707" s="485"/>
      <c r="I2707" s="486">
        <f>SUM(I2706)</f>
        <v>83.75</v>
      </c>
      <c r="J2707" s="451"/>
      <c r="K2707" s="451"/>
      <c r="L2707" s="198"/>
      <c r="M2707" s="198"/>
      <c r="N2707" s="198"/>
      <c r="O2707" s="198"/>
      <c r="P2707" s="198"/>
      <c r="Q2707" s="198"/>
    </row>
    <row r="2708" spans="1:17" x14ac:dyDescent="0.2">
      <c r="A2708" s="478"/>
      <c r="B2708" s="479"/>
      <c r="C2708" s="478"/>
      <c r="D2708" s="478"/>
      <c r="E2708" s="478"/>
      <c r="F2708" s="478"/>
      <c r="G2708" s="478"/>
      <c r="H2708" s="478"/>
      <c r="I2708" s="487"/>
      <c r="J2708" s="451"/>
      <c r="K2708" s="451"/>
      <c r="L2708" s="198"/>
      <c r="M2708" s="198"/>
      <c r="N2708" s="198"/>
      <c r="O2708" s="198"/>
      <c r="P2708" s="198"/>
      <c r="Q2708" s="198"/>
    </row>
    <row r="2709" spans="1:17" x14ac:dyDescent="0.2">
      <c r="A2709" s="488"/>
      <c r="B2709" s="489"/>
      <c r="C2709" s="490"/>
      <c r="D2709" s="490"/>
      <c r="E2709" s="490"/>
      <c r="F2709" s="491" t="s">
        <v>221</v>
      </c>
      <c r="G2709" s="488"/>
      <c r="H2709" s="492"/>
      <c r="I2709" s="493">
        <f>+I2695+I2699+I2703+I2707</f>
        <v>1188.6099999999999</v>
      </c>
      <c r="J2709" s="534"/>
      <c r="K2709" s="451"/>
      <c r="L2709" s="198"/>
      <c r="M2709" s="198"/>
      <c r="N2709" s="198"/>
      <c r="O2709" s="198"/>
      <c r="P2709" s="198"/>
      <c r="Q2709" s="198"/>
    </row>
    <row r="2710" spans="1:17" x14ac:dyDescent="0.2">
      <c r="A2710" s="455"/>
      <c r="B2710" s="494"/>
      <c r="C2710" s="481"/>
      <c r="D2710" s="481"/>
      <c r="E2710" s="481"/>
      <c r="F2710" s="285" t="str">
        <f>CONCATENATE($H$3," ",$I$3)</f>
        <v>BDI: 23,32</v>
      </c>
      <c r="G2710" s="439"/>
      <c r="H2710" s="258"/>
      <c r="I2710" s="635">
        <f>+ROUND(I2709*$I$4,2)</f>
        <v>277.18</v>
      </c>
      <c r="J2710" s="451"/>
      <c r="K2710" s="451"/>
      <c r="L2710" s="198"/>
      <c r="M2710" s="198"/>
      <c r="N2710" s="198"/>
      <c r="O2710" s="198"/>
      <c r="P2710" s="198"/>
      <c r="Q2710" s="198"/>
    </row>
    <row r="2711" spans="1:17" x14ac:dyDescent="0.2">
      <c r="A2711" s="458"/>
      <c r="B2711" s="496"/>
      <c r="C2711" s="485"/>
      <c r="D2711" s="485"/>
      <c r="E2711" s="485"/>
      <c r="F2711" s="497" t="s">
        <v>222</v>
      </c>
      <c r="G2711" s="498"/>
      <c r="H2711" s="462"/>
      <c r="I2711" s="1017">
        <f>+I2709+I2710</f>
        <v>1465.79</v>
      </c>
      <c r="J2711" s="534"/>
      <c r="K2711" s="198"/>
      <c r="L2711" s="198"/>
      <c r="M2711" s="198"/>
      <c r="N2711" s="198"/>
      <c r="O2711" s="198"/>
      <c r="P2711" s="198"/>
      <c r="Q2711" s="198"/>
    </row>
    <row r="2712" spans="1:17" x14ac:dyDescent="0.2">
      <c r="A2712" s="1286" t="str">
        <f>$A$1</f>
        <v>COMPOSIÇÃO DE CUSTOS UNITÁRIOS</v>
      </c>
      <c r="B2712" s="1286"/>
      <c r="C2712" s="1286"/>
      <c r="D2712" s="1286"/>
      <c r="E2712" s="1286"/>
      <c r="F2712" s="1286"/>
      <c r="G2712" s="1286"/>
      <c r="H2712" s="1286"/>
      <c r="I2712" s="1286"/>
      <c r="J2712" s="451"/>
      <c r="K2712" s="451"/>
      <c r="L2712" s="198"/>
      <c r="M2712" s="198"/>
      <c r="N2712" s="198"/>
      <c r="O2712" s="198"/>
      <c r="P2712" s="198"/>
      <c r="Q2712" s="198"/>
    </row>
    <row r="2713" spans="1:17" x14ac:dyDescent="0.2">
      <c r="A2713" s="447" t="str">
        <f>$A$2</f>
        <v>Tabela Referencial de Preços - DER-ES</v>
      </c>
      <c r="B2713" s="448"/>
      <c r="C2713" s="449"/>
      <c r="D2713" s="449"/>
      <c r="E2713" s="449"/>
      <c r="F2713" s="449"/>
      <c r="G2713" s="449"/>
      <c r="H2713" s="449"/>
      <c r="I2713" s="450" t="str">
        <f>$I$2</f>
        <v>Data Base: Outubro/2018</v>
      </c>
      <c r="J2713" s="451"/>
      <c r="K2713" s="451"/>
      <c r="L2713" s="198"/>
      <c r="M2713" s="198"/>
      <c r="N2713" s="198"/>
      <c r="O2713" s="198"/>
      <c r="P2713" s="198"/>
      <c r="Q2713" s="198"/>
    </row>
    <row r="2714" spans="1:17" x14ac:dyDescent="0.2">
      <c r="A2714" s="1287" t="str">
        <f>+CONCATENATE("Serviço: ",J2714," ",VLOOKUP(J2714,'DER 10-18'!$A:$D,2,FALSE))</f>
        <v>Serviço: 41102 BSCC (pré-moldado) 1,50 x 1,50 x 1,00m CL 45t, inclusive transporte do Anel de Bueiro Celular Pré-moldado</v>
      </c>
      <c r="B2714" s="1287"/>
      <c r="C2714" s="1287"/>
      <c r="D2714" s="1287"/>
      <c r="E2714" s="1287"/>
      <c r="F2714" s="1287"/>
      <c r="G2714" s="1287"/>
      <c r="H2714" s="1287"/>
      <c r="I2714" s="1287" t="str">
        <f>CONCATENATE("Unidade: ", VLOOKUP(J2714,'DER 10-18'!$A:$E,3,FALSE))</f>
        <v>Unidade: M</v>
      </c>
      <c r="J2714" s="451">
        <v>41102</v>
      </c>
      <c r="K2714" s="451">
        <f>VLOOKUP("Preço Unitário Total",F2715:I6583,4,FALSE)</f>
        <v>2056.9</v>
      </c>
      <c r="L2714" s="198" t="str">
        <f>VLOOKUP(J2714,'DER 10-18'!A:E,5,FALSE)</f>
        <v>A incluir</v>
      </c>
      <c r="M2714" s="198" t="str">
        <f>VLOOKUP(J2714,'DER 10-18'!$A:$D,2,FALSE)</f>
        <v>BSCC (pré-moldado) 1,50 x 1,50 x 1,00m CL 45t, inclusive transporte do Anel de Bueiro Celular Pré-moldado</v>
      </c>
      <c r="N2714" s="198"/>
      <c r="O2714" s="198"/>
      <c r="P2714" s="198"/>
      <c r="Q2714" s="198"/>
    </row>
    <row r="2715" spans="1:17" x14ac:dyDescent="0.2">
      <c r="A2715" s="1288"/>
      <c r="B2715" s="1288"/>
      <c r="C2715" s="1288"/>
      <c r="D2715" s="1288"/>
      <c r="E2715" s="1288"/>
      <c r="F2715" s="1288"/>
      <c r="G2715" s="1288"/>
      <c r="H2715" s="1288"/>
      <c r="I2715" s="1288"/>
      <c r="J2715" s="451"/>
      <c r="K2715" s="451"/>
      <c r="L2715" s="198"/>
      <c r="M2715" s="198"/>
      <c r="N2715" s="198"/>
      <c r="O2715" s="198"/>
      <c r="P2715" s="198"/>
      <c r="Q2715" s="198"/>
    </row>
    <row r="2716" spans="1:17" ht="22.5" x14ac:dyDescent="0.2">
      <c r="A2716" s="469" t="s">
        <v>192</v>
      </c>
      <c r="B2716" s="470" t="s">
        <v>60</v>
      </c>
      <c r="C2716" s="470" t="s">
        <v>193</v>
      </c>
      <c r="D2716" s="470" t="s">
        <v>194</v>
      </c>
      <c r="E2716" s="470" t="s">
        <v>195</v>
      </c>
      <c r="F2716" s="470" t="s">
        <v>196</v>
      </c>
      <c r="G2716" s="470" t="s">
        <v>197</v>
      </c>
      <c r="H2716" s="470" t="s">
        <v>91</v>
      </c>
      <c r="I2716" s="470" t="s">
        <v>198</v>
      </c>
      <c r="J2716" s="451"/>
      <c r="K2716" s="451"/>
      <c r="L2716" s="198"/>
      <c r="M2716" s="198"/>
      <c r="N2716" s="198"/>
      <c r="O2716" s="198"/>
      <c r="P2716" s="198"/>
      <c r="Q2716" s="198"/>
    </row>
    <row r="2717" spans="1:17" ht="33.75" x14ac:dyDescent="0.2">
      <c r="A2717" s="509" t="str">
        <f>VLOOKUP(B2717,equip.!$A:$G,2,FALSE)</f>
        <v>Guindaste de esteira para 40.0t (KOEHRING BANTAM) ou equivalente</v>
      </c>
      <c r="B2717" s="453">
        <v>30028</v>
      </c>
      <c r="C2717" s="460" t="str">
        <f>VLOOKUP(B2717,equip.!$A$1:$G$240,3,FALSE)</f>
        <v>M</v>
      </c>
      <c r="D2717" s="514">
        <v>0.9</v>
      </c>
      <c r="E2717" s="515">
        <v>0.1</v>
      </c>
      <c r="F2717" s="516">
        <f>VLOOKUP(B2717,equip.!$A:$G,6,FALSE)</f>
        <v>328.56</v>
      </c>
      <c r="G2717" s="516">
        <f>VLOOKUP(B2717,equip.!$A:$G,7,FALSE)</f>
        <v>149.4</v>
      </c>
      <c r="H2717" s="517">
        <v>1</v>
      </c>
      <c r="I2717" s="454">
        <f>TRUNC(D2717*F2717*H2717+E2717*G2717*H2717,2)</f>
        <v>310.64</v>
      </c>
      <c r="J2717" s="198"/>
      <c r="K2717" s="198"/>
      <c r="L2717" s="198"/>
      <c r="M2717" s="198"/>
      <c r="N2717" s="198"/>
      <c r="O2717" s="198"/>
      <c r="P2717" s="198"/>
      <c r="Q2717" s="198"/>
    </row>
    <row r="2718" spans="1:17" x14ac:dyDescent="0.2">
      <c r="A2718" s="449"/>
      <c r="B2718" s="448"/>
      <c r="C2718" s="448"/>
      <c r="D2718" s="449"/>
      <c r="E2718" s="449"/>
      <c r="F2718" s="450" t="s">
        <v>199</v>
      </c>
      <c r="G2718" s="458"/>
      <c r="H2718" s="462"/>
      <c r="I2718" s="475">
        <f>I2717</f>
        <v>310.64</v>
      </c>
      <c r="J2718" s="451"/>
      <c r="K2718" s="451"/>
      <c r="L2718" s="198"/>
      <c r="M2718" s="198"/>
      <c r="N2718" s="198"/>
      <c r="O2718" s="198"/>
      <c r="P2718" s="198"/>
      <c r="Q2718" s="198"/>
    </row>
    <row r="2719" spans="1:17" x14ac:dyDescent="0.2">
      <c r="A2719" s="449"/>
      <c r="B2719" s="448"/>
      <c r="C2719" s="448"/>
      <c r="D2719" s="449"/>
      <c r="E2719" s="449"/>
      <c r="F2719" s="449"/>
      <c r="G2719" s="449"/>
      <c r="H2719" s="449"/>
      <c r="I2719" s="477"/>
      <c r="J2719" s="451"/>
      <c r="K2719" s="451"/>
      <c r="L2719" s="198"/>
      <c r="M2719" s="198"/>
      <c r="N2719" s="198"/>
      <c r="O2719" s="198"/>
      <c r="P2719" s="198"/>
      <c r="Q2719" s="198"/>
    </row>
    <row r="2720" spans="1:17" x14ac:dyDescent="0.2">
      <c r="A2720" s="500" t="s">
        <v>200</v>
      </c>
      <c r="B2720" s="468" t="s">
        <v>60</v>
      </c>
      <c r="C2720" s="470" t="s">
        <v>1242</v>
      </c>
      <c r="D2720" s="468" t="s">
        <v>202</v>
      </c>
      <c r="E2720" s="1281" t="s">
        <v>91</v>
      </c>
      <c r="F2720" s="1282"/>
      <c r="G2720" s="1283"/>
      <c r="H2720" s="1289" t="s">
        <v>198</v>
      </c>
      <c r="I2720" s="1285"/>
      <c r="J2720" s="451"/>
      <c r="K2720" s="451"/>
      <c r="L2720" s="198"/>
      <c r="M2720" s="198"/>
      <c r="N2720" s="198"/>
      <c r="O2720" s="198"/>
      <c r="P2720" s="198"/>
      <c r="Q2720" s="198"/>
    </row>
    <row r="2721" spans="1:17" x14ac:dyDescent="0.2">
      <c r="A2721" s="452" t="str">
        <f>VLOOKUP(B2721,m.o.!$A:$H,2,FALSE)</f>
        <v>Encarregado O.A.E.</v>
      </c>
      <c r="B2721" s="453">
        <v>20062</v>
      </c>
      <c r="C2721" s="454">
        <f>VLOOKUP(B2721,m.o.!$A:$F,4,FALSE)</f>
        <v>2.2599999999999998</v>
      </c>
      <c r="D2721" s="454">
        <f>VLOOKUP(B2721,m.o.!$A:$G,7,FALSE)</f>
        <v>26.3</v>
      </c>
      <c r="E2721" s="455"/>
      <c r="F2721" s="456"/>
      <c r="G2721" s="457">
        <v>0.5</v>
      </c>
      <c r="H2721" s="458"/>
      <c r="I2721" s="463">
        <f t="shared" ref="I2721:I2722" si="30">TRUNC(D2721*G2721,2)</f>
        <v>13.15</v>
      </c>
      <c r="J2721" s="198"/>
      <c r="K2721" s="198"/>
      <c r="L2721" s="198"/>
      <c r="M2721" s="198"/>
      <c r="N2721" s="198"/>
      <c r="O2721" s="198"/>
      <c r="P2721" s="198"/>
      <c r="Q2721" s="198"/>
    </row>
    <row r="2722" spans="1:17" x14ac:dyDescent="0.2">
      <c r="A2722" s="452" t="str">
        <f>VLOOKUP(B2722,m.o.!$A:$H,2,FALSE)</f>
        <v>Servente</v>
      </c>
      <c r="B2722" s="453">
        <v>20002</v>
      </c>
      <c r="C2722" s="454">
        <f>VLOOKUP(B2722,m.o.!$A:$F,4,FALSE)</f>
        <v>1</v>
      </c>
      <c r="D2722" s="454">
        <f>VLOOKUP(B2722,m.o.!$A:$G,7,FALSE)</f>
        <v>11.64</v>
      </c>
      <c r="E2722" s="455"/>
      <c r="F2722" s="456"/>
      <c r="G2722" s="457">
        <v>4.7</v>
      </c>
      <c r="H2722" s="458"/>
      <c r="I2722" s="463">
        <f t="shared" si="30"/>
        <v>54.7</v>
      </c>
      <c r="J2722" s="198"/>
      <c r="K2722" s="198"/>
      <c r="L2722" s="198"/>
      <c r="M2722" s="198"/>
      <c r="N2722" s="198"/>
      <c r="O2722" s="198"/>
      <c r="P2722" s="198"/>
      <c r="Q2722" s="198"/>
    </row>
    <row r="2723" spans="1:17" x14ac:dyDescent="0.2">
      <c r="A2723" s="449"/>
      <c r="B2723" s="448"/>
      <c r="C2723" s="448"/>
      <c r="D2723" s="449"/>
      <c r="E2723" s="449"/>
      <c r="F2723" s="450" t="s">
        <v>203</v>
      </c>
      <c r="G2723" s="458"/>
      <c r="H2723" s="462"/>
      <c r="I2723" s="475">
        <f>SUM(I2721:I2722)</f>
        <v>67.849999999999994</v>
      </c>
      <c r="J2723" s="451"/>
      <c r="K2723" s="451"/>
      <c r="L2723" s="198"/>
      <c r="M2723" s="198"/>
      <c r="N2723" s="198"/>
      <c r="O2723" s="198"/>
      <c r="P2723" s="198"/>
      <c r="Q2723" s="198"/>
    </row>
    <row r="2724" spans="1:17" x14ac:dyDescent="0.2">
      <c r="A2724" s="449"/>
      <c r="B2724" s="448"/>
      <c r="C2724" s="448"/>
      <c r="D2724" s="449"/>
      <c r="E2724" s="449"/>
      <c r="F2724" s="449"/>
      <c r="G2724" s="449"/>
      <c r="H2724" s="449"/>
      <c r="I2724" s="477"/>
      <c r="J2724" s="451"/>
      <c r="K2724" s="451"/>
      <c r="L2724" s="198"/>
      <c r="M2724" s="198"/>
      <c r="N2724" s="198"/>
      <c r="O2724" s="198"/>
      <c r="P2724" s="198"/>
      <c r="Q2724" s="198"/>
    </row>
    <row r="2725" spans="1:17" x14ac:dyDescent="0.2">
      <c r="A2725" s="501" t="s">
        <v>204</v>
      </c>
      <c r="B2725" s="468" t="s">
        <v>60</v>
      </c>
      <c r="C2725" s="869" t="s">
        <v>17</v>
      </c>
      <c r="D2725" s="468" t="s">
        <v>205</v>
      </c>
      <c r="E2725" s="468" t="s">
        <v>206</v>
      </c>
      <c r="F2725" s="468" t="s">
        <v>207</v>
      </c>
      <c r="G2725" s="1289" t="s">
        <v>96</v>
      </c>
      <c r="H2725" s="1284"/>
      <c r="I2725" s="1285"/>
      <c r="J2725" s="451"/>
      <c r="K2725" s="451"/>
      <c r="L2725" s="198"/>
      <c r="M2725" s="198"/>
      <c r="N2725" s="198"/>
      <c r="O2725" s="198"/>
      <c r="P2725" s="198"/>
      <c r="Q2725" s="198"/>
    </row>
    <row r="2726" spans="1:17" x14ac:dyDescent="0.2">
      <c r="A2726" s="452"/>
      <c r="B2726" s="453"/>
      <c r="C2726" s="454"/>
      <c r="D2726" s="460"/>
      <c r="E2726" s="461"/>
      <c r="F2726" s="461"/>
      <c r="G2726" s="458"/>
      <c r="H2726" s="462"/>
      <c r="I2726" s="463"/>
      <c r="J2726" s="198"/>
      <c r="K2726" s="198"/>
      <c r="L2726" s="198"/>
      <c r="M2726" s="198"/>
      <c r="N2726" s="198"/>
      <c r="O2726" s="198"/>
      <c r="P2726" s="198"/>
      <c r="Q2726" s="198"/>
    </row>
    <row r="2727" spans="1:17" x14ac:dyDescent="0.2">
      <c r="A2727" s="449"/>
      <c r="B2727" s="448"/>
      <c r="C2727" s="449"/>
      <c r="D2727" s="449"/>
      <c r="E2727" s="449"/>
      <c r="F2727" s="450" t="s">
        <v>1170</v>
      </c>
      <c r="G2727" s="458"/>
      <c r="H2727" s="462"/>
      <c r="I2727" s="475">
        <f>SUM(I2726)</f>
        <v>0</v>
      </c>
      <c r="J2727" s="451"/>
      <c r="K2727" s="451"/>
      <c r="L2727" s="198"/>
      <c r="M2727" s="198"/>
      <c r="N2727" s="198"/>
      <c r="O2727" s="198"/>
      <c r="P2727" s="198"/>
      <c r="Q2727" s="198"/>
    </row>
    <row r="2728" spans="1:17" x14ac:dyDescent="0.2">
      <c r="A2728" s="449"/>
      <c r="B2728" s="448"/>
      <c r="C2728" s="449"/>
      <c r="D2728" s="449"/>
      <c r="E2728" s="449"/>
      <c r="F2728" s="449"/>
      <c r="G2728" s="449"/>
      <c r="H2728" s="449"/>
      <c r="I2728" s="477"/>
      <c r="J2728" s="451"/>
      <c r="K2728" s="451"/>
      <c r="L2728" s="198"/>
      <c r="M2728" s="198"/>
      <c r="N2728" s="198"/>
      <c r="O2728" s="198"/>
      <c r="P2728" s="198"/>
      <c r="Q2728" s="198"/>
    </row>
    <row r="2729" spans="1:17" x14ac:dyDescent="0.2">
      <c r="A2729" s="502"/>
      <c r="B2729" s="503"/>
      <c r="C2729" s="492"/>
      <c r="D2729" s="492"/>
      <c r="E2729" s="492"/>
      <c r="F2729" s="504" t="s">
        <v>208</v>
      </c>
      <c r="G2729" s="505"/>
      <c r="H2729" s="492"/>
      <c r="I2729" s="493">
        <f>+I2718+I2723+I2727</f>
        <v>378.49</v>
      </c>
      <c r="J2729" s="451"/>
      <c r="K2729" s="451"/>
      <c r="L2729" s="198"/>
      <c r="M2729" s="198"/>
      <c r="N2729" s="198"/>
      <c r="O2729" s="198"/>
      <c r="P2729" s="198"/>
      <c r="Q2729" s="198"/>
    </row>
    <row r="2730" spans="1:17" x14ac:dyDescent="0.2">
      <c r="A2730" s="506"/>
      <c r="B2730" s="507"/>
      <c r="C2730" s="456"/>
      <c r="D2730" s="456"/>
      <c r="E2730" s="456"/>
      <c r="F2730" s="508" t="s">
        <v>209</v>
      </c>
      <c r="G2730" s="455"/>
      <c r="H2730" s="456"/>
      <c r="I2730" s="495">
        <v>1</v>
      </c>
      <c r="J2730" s="451"/>
      <c r="K2730" s="451"/>
      <c r="L2730" s="198"/>
      <c r="M2730" s="198"/>
      <c r="N2730" s="198"/>
      <c r="O2730" s="198"/>
      <c r="P2730" s="198"/>
      <c r="Q2730" s="198"/>
    </row>
    <row r="2731" spans="1:17" x14ac:dyDescent="0.2">
      <c r="A2731" s="509"/>
      <c r="B2731" s="510"/>
      <c r="C2731" s="462"/>
      <c r="D2731" s="462"/>
      <c r="E2731" s="462"/>
      <c r="F2731" s="511" t="s">
        <v>232</v>
      </c>
      <c r="G2731" s="458"/>
      <c r="H2731" s="462"/>
      <c r="I2731" s="499">
        <f>TRUNC(I2729/I2730,2)</f>
        <v>378.49</v>
      </c>
      <c r="J2731" s="451"/>
      <c r="K2731" s="451"/>
      <c r="L2731" s="198"/>
      <c r="M2731" s="198"/>
      <c r="N2731" s="198"/>
      <c r="O2731" s="198"/>
      <c r="P2731" s="198"/>
      <c r="Q2731" s="198"/>
    </row>
    <row r="2732" spans="1:17" x14ac:dyDescent="0.2">
      <c r="A2732" s="868"/>
      <c r="B2732" s="448"/>
      <c r="C2732" s="449"/>
      <c r="D2732" s="449"/>
      <c r="E2732" s="449"/>
      <c r="F2732" s="512"/>
      <c r="G2732" s="449"/>
      <c r="H2732" s="449"/>
      <c r="I2732" s="513"/>
      <c r="J2732" s="451"/>
      <c r="K2732" s="451"/>
      <c r="L2732" s="198"/>
      <c r="M2732" s="198"/>
      <c r="N2732" s="198"/>
      <c r="O2732" s="198"/>
      <c r="P2732" s="198"/>
      <c r="Q2732" s="198"/>
    </row>
    <row r="2733" spans="1:17" x14ac:dyDescent="0.2">
      <c r="A2733" s="500" t="s">
        <v>210</v>
      </c>
      <c r="B2733" s="468" t="s">
        <v>60</v>
      </c>
      <c r="C2733" s="468" t="s">
        <v>211</v>
      </c>
      <c r="D2733" s="468" t="s">
        <v>233</v>
      </c>
      <c r="E2733" s="1289" t="s">
        <v>91</v>
      </c>
      <c r="F2733" s="1284"/>
      <c r="G2733" s="1285"/>
      <c r="H2733" s="1289" t="s">
        <v>198</v>
      </c>
      <c r="I2733" s="1285"/>
      <c r="J2733" s="451"/>
      <c r="K2733" s="451"/>
      <c r="L2733" s="198"/>
      <c r="M2733" s="198"/>
      <c r="N2733" s="198"/>
      <c r="O2733" s="198"/>
      <c r="P2733" s="198"/>
      <c r="Q2733" s="198"/>
    </row>
    <row r="2734" spans="1:17" ht="22.5" x14ac:dyDescent="0.2">
      <c r="A2734" s="464" t="str">
        <f>VLOOKUP(B2734,mat.!$A:$D,2,FALSE)</f>
        <v>Anel pré moldado para bueiro celular 1,50 x 1,50 x 1,00m CL45</v>
      </c>
      <c r="B2734" s="453">
        <v>10675</v>
      </c>
      <c r="C2734" s="465" t="str">
        <f>VLOOKUP(B2734,mat.!$A:$D,3,FALSE)</f>
        <v>Ud</v>
      </c>
      <c r="D2734" s="466">
        <f>VLOOKUP(B2734,mat.!$A:$D,4,FALSE)</f>
        <v>1150.77</v>
      </c>
      <c r="E2734" s="455"/>
      <c r="F2734" s="456"/>
      <c r="G2734" s="457">
        <v>1</v>
      </c>
      <c r="H2734" s="455"/>
      <c r="I2734" s="459">
        <f>TRUNC(D2734*G2734,2)</f>
        <v>1150.77</v>
      </c>
      <c r="J2734" s="451"/>
      <c r="K2734" s="451"/>
      <c r="L2734" s="198"/>
      <c r="M2734" s="198"/>
      <c r="N2734" s="198"/>
      <c r="O2734" s="198"/>
      <c r="P2734" s="198"/>
      <c r="Q2734" s="198"/>
    </row>
    <row r="2735" spans="1:17" x14ac:dyDescent="0.2">
      <c r="A2735" s="449"/>
      <c r="B2735" s="448"/>
      <c r="C2735" s="449"/>
      <c r="D2735" s="449"/>
      <c r="E2735" s="449"/>
      <c r="F2735" s="450" t="s">
        <v>212</v>
      </c>
      <c r="G2735" s="458"/>
      <c r="H2735" s="462"/>
      <c r="I2735" s="475">
        <f>SUM(I2734)</f>
        <v>1150.77</v>
      </c>
      <c r="J2735" s="451"/>
      <c r="K2735" s="451"/>
      <c r="L2735" s="198"/>
      <c r="M2735" s="198"/>
      <c r="N2735" s="198"/>
      <c r="O2735" s="198"/>
      <c r="P2735" s="198"/>
      <c r="Q2735" s="198"/>
    </row>
    <row r="2736" spans="1:17" x14ac:dyDescent="0.2">
      <c r="A2736" s="449"/>
      <c r="B2736" s="448"/>
      <c r="C2736" s="449"/>
      <c r="D2736" s="449"/>
      <c r="E2736" s="449"/>
      <c r="F2736" s="449"/>
      <c r="G2736" s="476"/>
      <c r="H2736" s="449"/>
      <c r="I2736" s="477"/>
      <c r="J2736" s="451"/>
      <c r="K2736" s="451"/>
      <c r="L2736" s="198"/>
      <c r="M2736" s="198"/>
      <c r="N2736" s="198"/>
      <c r="O2736" s="198"/>
      <c r="P2736" s="198"/>
      <c r="Q2736" s="198"/>
    </row>
    <row r="2737" spans="1:17" x14ac:dyDescent="0.2">
      <c r="A2737" s="467" t="s">
        <v>213</v>
      </c>
      <c r="B2737" s="468" t="s">
        <v>60</v>
      </c>
      <c r="C2737" s="468" t="s">
        <v>211</v>
      </c>
      <c r="D2737" s="869" t="s">
        <v>233</v>
      </c>
      <c r="E2737" s="1281" t="s">
        <v>91</v>
      </c>
      <c r="F2737" s="1282"/>
      <c r="G2737" s="1283"/>
      <c r="H2737" s="1284" t="s">
        <v>198</v>
      </c>
      <c r="I2737" s="1285"/>
      <c r="J2737" s="451"/>
      <c r="K2737" s="451"/>
      <c r="L2737" s="198"/>
      <c r="M2737" s="198"/>
      <c r="N2737" s="198"/>
      <c r="O2737" s="198"/>
      <c r="P2737" s="198"/>
      <c r="Q2737" s="198"/>
    </row>
    <row r="2738" spans="1:17" s="372" customFormat="1" ht="22.5" x14ac:dyDescent="0.2">
      <c r="A2738" s="452" t="str">
        <f>VLOOKUP(B2738,'DER 10-18'!$A:$E,2,FALSE)</f>
        <v>Concreto de regularização, tudo incluído</v>
      </c>
      <c r="B2738" s="453">
        <v>40349</v>
      </c>
      <c r="C2738" s="453" t="str">
        <f>VLOOKUP(B2738,'DER 10-18'!$A:$E,3,FALSE)</f>
        <v>M3</v>
      </c>
      <c r="D2738" s="454">
        <f>TRUNC(VLOOKUP(B2738,'DER 10-18'!$A:$F,6,FALSE)/(1+$I$4),2)</f>
        <v>423.65</v>
      </c>
      <c r="E2738" s="455"/>
      <c r="F2738" s="456"/>
      <c r="G2738" s="457">
        <v>0.15</v>
      </c>
      <c r="H2738" s="458"/>
      <c r="I2738" s="459">
        <f t="shared" ref="I2738" si="31">TRUNC(D2738*G2738,2)</f>
        <v>63.54</v>
      </c>
      <c r="J2738" s="451"/>
      <c r="K2738" s="451"/>
      <c r="L2738" s="198"/>
      <c r="M2738" s="198"/>
      <c r="N2738" s="198"/>
      <c r="O2738" s="198"/>
      <c r="P2738" s="198"/>
      <c r="Q2738" s="198"/>
    </row>
    <row r="2739" spans="1:17" s="372" customFormat="1" x14ac:dyDescent="0.2">
      <c r="A2739" s="478"/>
      <c r="B2739" s="479"/>
      <c r="C2739" s="478"/>
      <c r="D2739" s="478"/>
      <c r="E2739" s="478"/>
      <c r="F2739" s="480" t="s">
        <v>214</v>
      </c>
      <c r="G2739" s="455"/>
      <c r="H2739" s="481"/>
      <c r="I2739" s="482">
        <f>SUM(I2738:I2738)</f>
        <v>63.54</v>
      </c>
      <c r="J2739" s="451"/>
      <c r="K2739" s="451"/>
      <c r="L2739" s="198"/>
      <c r="M2739" s="198"/>
      <c r="N2739" s="198"/>
      <c r="O2739" s="198"/>
      <c r="P2739" s="198"/>
      <c r="Q2739" s="198"/>
    </row>
    <row r="2740" spans="1:17" s="372" customFormat="1" x14ac:dyDescent="0.2">
      <c r="A2740" s="478"/>
      <c r="B2740" s="479"/>
      <c r="C2740" s="478"/>
      <c r="D2740" s="478"/>
      <c r="E2740" s="478"/>
      <c r="F2740" s="478"/>
      <c r="G2740" s="478"/>
      <c r="H2740" s="478"/>
      <c r="I2740" s="478"/>
      <c r="J2740" s="451"/>
      <c r="K2740" s="451"/>
      <c r="L2740" s="198"/>
      <c r="M2740" s="198"/>
      <c r="N2740" s="198"/>
      <c r="O2740" s="198"/>
      <c r="P2740" s="198"/>
      <c r="Q2740" s="198"/>
    </row>
    <row r="2741" spans="1:17" s="372" customFormat="1" x14ac:dyDescent="0.2">
      <c r="A2741" s="483" t="s">
        <v>215</v>
      </c>
      <c r="B2741" s="484" t="s">
        <v>60</v>
      </c>
      <c r="C2741" s="484" t="s">
        <v>211</v>
      </c>
      <c r="D2741" s="484" t="s">
        <v>216</v>
      </c>
      <c r="E2741" s="484" t="s">
        <v>217</v>
      </c>
      <c r="F2741" s="484" t="s">
        <v>218</v>
      </c>
      <c r="G2741" s="484" t="s">
        <v>96</v>
      </c>
      <c r="H2741" s="484" t="s">
        <v>91</v>
      </c>
      <c r="I2741" s="484" t="s">
        <v>219</v>
      </c>
      <c r="J2741" s="451"/>
      <c r="K2741" s="451"/>
      <c r="L2741" s="198"/>
      <c r="M2741" s="198"/>
      <c r="N2741" s="198"/>
      <c r="O2741" s="198"/>
      <c r="P2741" s="198"/>
      <c r="Q2741" s="198"/>
    </row>
    <row r="2742" spans="1:17" s="372" customFormat="1" ht="22.5" x14ac:dyDescent="0.2">
      <c r="A2742" s="265" t="str">
        <f>VLOOKUP(B2742,tranp.!A:D,2,FALSE)</f>
        <v>TR-203-00 (Comercial - Caminhão carroceria)</v>
      </c>
      <c r="B2742" s="453">
        <v>60004</v>
      </c>
      <c r="C2742" s="453" t="str">
        <f>VLOOKUP(B2742,tranp.!$A:$J,3,FALSE)</f>
        <v>T</v>
      </c>
      <c r="D2742" s="518" t="str">
        <f>VLOOKUP(B2742,tranp.!$A:$J,4,FALSE)</f>
        <v>0,676XP + 0,703XR</v>
      </c>
      <c r="E2742" s="519">
        <f>VLOOKUP(J2742,Ocor.!$B:$F,4,FALSE)</f>
        <v>37.200000000000003</v>
      </c>
      <c r="F2742" s="519">
        <f>VLOOKUP(J2742,Ocor.!$B:$F,5,FALSE)</f>
        <v>5.6</v>
      </c>
      <c r="G2742" s="454">
        <f>TRUNC(VLOOKUP(B2742,tranp.!$A:$J,5,FALSE)*E2742+VLOOKUP(B2742,tranp.!$A:$J,6,FALSE)*F2742+VLOOKUP(B2742,tranp.!$A:$J,7,FALSE),2)</f>
        <v>29.08</v>
      </c>
      <c r="H2742" s="520">
        <v>2.5840000000000001</v>
      </c>
      <c r="I2742" s="454">
        <f>TRUNC(G2742*H2742,2)</f>
        <v>75.14</v>
      </c>
      <c r="J2742" s="433" t="s">
        <v>118</v>
      </c>
      <c r="K2742" s="451"/>
      <c r="L2742" s="198"/>
      <c r="M2742" s="198"/>
      <c r="N2742" s="198"/>
      <c r="O2742" s="198"/>
      <c r="P2742" s="198"/>
      <c r="Q2742" s="198"/>
    </row>
    <row r="2743" spans="1:17" x14ac:dyDescent="0.2">
      <c r="A2743" s="478"/>
      <c r="B2743" s="479"/>
      <c r="C2743" s="478"/>
      <c r="D2743" s="478"/>
      <c r="E2743" s="478"/>
      <c r="F2743" s="480" t="s">
        <v>220</v>
      </c>
      <c r="G2743" s="458"/>
      <c r="H2743" s="485"/>
      <c r="I2743" s="486">
        <f>SUM(I2742)</f>
        <v>75.14</v>
      </c>
      <c r="J2743" s="451"/>
      <c r="K2743" s="451"/>
      <c r="L2743" s="198"/>
      <c r="M2743" s="198"/>
      <c r="N2743" s="198"/>
      <c r="O2743" s="198"/>
      <c r="P2743" s="198"/>
      <c r="Q2743" s="198"/>
    </row>
    <row r="2744" spans="1:17" x14ac:dyDescent="0.2">
      <c r="A2744" s="478"/>
      <c r="B2744" s="479"/>
      <c r="C2744" s="478"/>
      <c r="D2744" s="478"/>
      <c r="E2744" s="478"/>
      <c r="F2744" s="478"/>
      <c r="G2744" s="478"/>
      <c r="H2744" s="478"/>
      <c r="I2744" s="487"/>
      <c r="J2744" s="451"/>
      <c r="K2744" s="451"/>
      <c r="L2744" s="198"/>
      <c r="M2744" s="198"/>
      <c r="N2744" s="198"/>
      <c r="O2744" s="198"/>
      <c r="P2744" s="198"/>
      <c r="Q2744" s="198"/>
    </row>
    <row r="2745" spans="1:17" x14ac:dyDescent="0.2">
      <c r="A2745" s="488"/>
      <c r="B2745" s="489"/>
      <c r="C2745" s="490"/>
      <c r="D2745" s="490"/>
      <c r="E2745" s="490"/>
      <c r="F2745" s="491" t="s">
        <v>221</v>
      </c>
      <c r="G2745" s="488"/>
      <c r="H2745" s="492"/>
      <c r="I2745" s="493">
        <f>+I2731+I2735+I2739+I2743</f>
        <v>1667.94</v>
      </c>
      <c r="J2745" s="534"/>
      <c r="K2745" s="451"/>
      <c r="L2745" s="198"/>
      <c r="M2745" s="198"/>
      <c r="N2745" s="198"/>
      <c r="O2745" s="198"/>
      <c r="P2745" s="198"/>
      <c r="Q2745" s="198"/>
    </row>
    <row r="2746" spans="1:17" x14ac:dyDescent="0.2">
      <c r="A2746" s="455"/>
      <c r="B2746" s="494"/>
      <c r="C2746" s="481"/>
      <c r="D2746" s="481"/>
      <c r="E2746" s="481"/>
      <c r="F2746" s="285" t="str">
        <f>CONCATENATE($H$3," ",$I$3)</f>
        <v>BDI: 23,32</v>
      </c>
      <c r="G2746" s="439"/>
      <c r="H2746" s="258"/>
      <c r="I2746" s="635">
        <f>+ROUND(I2745*$I$4,2)</f>
        <v>388.96</v>
      </c>
      <c r="J2746" s="451"/>
      <c r="K2746" s="451"/>
      <c r="L2746" s="198"/>
      <c r="M2746" s="198"/>
      <c r="N2746" s="198"/>
      <c r="O2746" s="198"/>
      <c r="P2746" s="198"/>
      <c r="Q2746" s="198"/>
    </row>
    <row r="2747" spans="1:17" x14ac:dyDescent="0.2">
      <c r="A2747" s="458"/>
      <c r="B2747" s="496"/>
      <c r="C2747" s="485"/>
      <c r="D2747" s="485"/>
      <c r="E2747" s="485"/>
      <c r="F2747" s="497" t="s">
        <v>222</v>
      </c>
      <c r="G2747" s="498"/>
      <c r="H2747" s="462"/>
      <c r="I2747" s="1017">
        <f>+I2745+I2746</f>
        <v>2056.9</v>
      </c>
      <c r="J2747" s="534"/>
      <c r="K2747" s="198"/>
      <c r="L2747" s="198"/>
      <c r="M2747" s="198"/>
      <c r="N2747" s="198"/>
      <c r="O2747" s="198"/>
      <c r="P2747" s="198"/>
      <c r="Q2747" s="198"/>
    </row>
    <row r="2748" spans="1:17" x14ac:dyDescent="0.2">
      <c r="A2748" s="1286" t="str">
        <f>$A$1</f>
        <v>COMPOSIÇÃO DE CUSTOS UNITÁRIOS</v>
      </c>
      <c r="B2748" s="1286"/>
      <c r="C2748" s="1286"/>
      <c r="D2748" s="1286"/>
      <c r="E2748" s="1286"/>
      <c r="F2748" s="1286"/>
      <c r="G2748" s="1286"/>
      <c r="H2748" s="1286"/>
      <c r="I2748" s="1286"/>
      <c r="J2748" s="451"/>
      <c r="K2748" s="451"/>
      <c r="L2748" s="198"/>
      <c r="M2748" s="198"/>
      <c r="N2748" s="198"/>
      <c r="O2748" s="198"/>
      <c r="P2748" s="198"/>
      <c r="Q2748" s="198"/>
    </row>
    <row r="2749" spans="1:17" x14ac:dyDescent="0.2">
      <c r="A2749" s="447" t="str">
        <f>$A$2</f>
        <v>Tabela Referencial de Preços - DER-ES</v>
      </c>
      <c r="B2749" s="448"/>
      <c r="C2749" s="449"/>
      <c r="D2749" s="449"/>
      <c r="E2749" s="449"/>
      <c r="F2749" s="449"/>
      <c r="G2749" s="449"/>
      <c r="H2749" s="449"/>
      <c r="I2749" s="450" t="str">
        <f>$I$2</f>
        <v>Data Base: Outubro/2018</v>
      </c>
      <c r="J2749" s="451"/>
      <c r="K2749" s="451"/>
      <c r="L2749" s="198"/>
      <c r="M2749" s="198"/>
      <c r="N2749" s="198"/>
      <c r="O2749" s="198"/>
      <c r="P2749" s="198"/>
      <c r="Q2749" s="198"/>
    </row>
    <row r="2750" spans="1:17" ht="20.25" customHeight="1" x14ac:dyDescent="0.2">
      <c r="A2750" s="1287" t="str">
        <f>+CONCATENATE("Serviço: ",J2750," ",VLOOKUP(J2750,'DER 10-18'!$A:$D,2,FALSE))</f>
        <v>Serviço: 41103 BSCC (pré-moldado) 2,00 x 2,00 x 1,00m CL 45t, inclusive transporte de Anel de Bueiro Celular Pré-moldado</v>
      </c>
      <c r="B2750" s="1287"/>
      <c r="C2750" s="1287"/>
      <c r="D2750" s="1287"/>
      <c r="E2750" s="1287"/>
      <c r="F2750" s="1287"/>
      <c r="G2750" s="1287"/>
      <c r="H2750" s="1287"/>
      <c r="I2750" s="1287" t="str">
        <f>CONCATENATE("Unidade: ", VLOOKUP(J2750,'DER 10-18'!$A:$E,3,FALSE))</f>
        <v>Unidade: M</v>
      </c>
      <c r="J2750" s="451">
        <v>41103</v>
      </c>
      <c r="K2750" s="451">
        <f>VLOOKUP("Preço Unitário Total",F2751:I6619,4,FALSE)</f>
        <v>2856.97</v>
      </c>
      <c r="L2750" s="198" t="str">
        <f>VLOOKUP(J2750,'DER 10-18'!A:E,5,FALSE)</f>
        <v>A incluir</v>
      </c>
      <c r="M2750" s="198" t="str">
        <f>VLOOKUP(J2750,'DER 10-18'!$A:$D,2,FALSE)</f>
        <v>BSCC (pré-moldado) 2,00 x 2,00 x 1,00m CL 45t, inclusive transporte de Anel de Bueiro Celular Pré-moldado</v>
      </c>
      <c r="N2750" s="198"/>
      <c r="O2750" s="198"/>
      <c r="P2750" s="198"/>
      <c r="Q2750" s="198"/>
    </row>
    <row r="2751" spans="1:17" x14ac:dyDescent="0.2">
      <c r="A2751" s="1288"/>
      <c r="B2751" s="1288"/>
      <c r="C2751" s="1288"/>
      <c r="D2751" s="1288"/>
      <c r="E2751" s="1288"/>
      <c r="F2751" s="1288"/>
      <c r="G2751" s="1288"/>
      <c r="H2751" s="1288"/>
      <c r="I2751" s="1288"/>
      <c r="J2751" s="451"/>
      <c r="K2751" s="451"/>
      <c r="L2751" s="198"/>
      <c r="M2751" s="198"/>
      <c r="N2751" s="198"/>
      <c r="O2751" s="198"/>
      <c r="P2751" s="198"/>
      <c r="Q2751" s="198"/>
    </row>
    <row r="2752" spans="1:17" ht="22.5" x14ac:dyDescent="0.2">
      <c r="A2752" s="469" t="s">
        <v>192</v>
      </c>
      <c r="B2752" s="470" t="s">
        <v>60</v>
      </c>
      <c r="C2752" s="470" t="s">
        <v>193</v>
      </c>
      <c r="D2752" s="470" t="s">
        <v>194</v>
      </c>
      <c r="E2752" s="470" t="s">
        <v>195</v>
      </c>
      <c r="F2752" s="470" t="s">
        <v>196</v>
      </c>
      <c r="G2752" s="470" t="s">
        <v>197</v>
      </c>
      <c r="H2752" s="470" t="s">
        <v>91</v>
      </c>
      <c r="I2752" s="470" t="s">
        <v>198</v>
      </c>
      <c r="J2752" s="451"/>
      <c r="K2752" s="451"/>
      <c r="L2752" s="198"/>
      <c r="M2752" s="198"/>
      <c r="N2752" s="198"/>
      <c r="O2752" s="198"/>
      <c r="P2752" s="198"/>
      <c r="Q2752" s="198"/>
    </row>
    <row r="2753" spans="1:17" ht="33.75" x14ac:dyDescent="0.2">
      <c r="A2753" s="509" t="str">
        <f>VLOOKUP(B2753,equip.!$A:$G,2,FALSE)</f>
        <v>Guindaste de esteira para 40.0t (KOEHRING BANTAM) ou equivalente</v>
      </c>
      <c r="B2753" s="453">
        <v>30028</v>
      </c>
      <c r="C2753" s="460" t="str">
        <f>VLOOKUP(B2753,equip.!$A$1:$G$240,3,FALSE)</f>
        <v>M</v>
      </c>
      <c r="D2753" s="514">
        <v>0.9</v>
      </c>
      <c r="E2753" s="515">
        <v>0.1</v>
      </c>
      <c r="F2753" s="516">
        <f>VLOOKUP(B2753,equip.!$A:$G,6,FALSE)</f>
        <v>328.56</v>
      </c>
      <c r="G2753" s="516">
        <f>VLOOKUP(B2753,equip.!$A:$G,7,FALSE)</f>
        <v>149.4</v>
      </c>
      <c r="H2753" s="517">
        <v>1</v>
      </c>
      <c r="I2753" s="454">
        <f>TRUNC(D2753*F2753*H2753+E2753*G2753*H2753,2)</f>
        <v>310.64</v>
      </c>
      <c r="J2753" s="198"/>
      <c r="K2753" s="198"/>
      <c r="L2753" s="198"/>
      <c r="M2753" s="198"/>
      <c r="N2753" s="198"/>
      <c r="O2753" s="198"/>
      <c r="P2753" s="198"/>
      <c r="Q2753" s="198"/>
    </row>
    <row r="2754" spans="1:17" x14ac:dyDescent="0.2">
      <c r="A2754" s="449"/>
      <c r="B2754" s="448"/>
      <c r="C2754" s="448"/>
      <c r="D2754" s="449"/>
      <c r="E2754" s="449"/>
      <c r="F2754" s="450" t="s">
        <v>199</v>
      </c>
      <c r="G2754" s="458"/>
      <c r="H2754" s="462"/>
      <c r="I2754" s="475">
        <f>I2753</f>
        <v>310.64</v>
      </c>
      <c r="J2754" s="451"/>
      <c r="K2754" s="451"/>
      <c r="L2754" s="198"/>
      <c r="M2754" s="198"/>
      <c r="N2754" s="198"/>
      <c r="O2754" s="198"/>
      <c r="P2754" s="198"/>
      <c r="Q2754" s="198"/>
    </row>
    <row r="2755" spans="1:17" x14ac:dyDescent="0.2">
      <c r="A2755" s="449"/>
      <c r="B2755" s="448"/>
      <c r="C2755" s="448"/>
      <c r="D2755" s="449"/>
      <c r="E2755" s="449"/>
      <c r="F2755" s="449"/>
      <c r="G2755" s="449"/>
      <c r="H2755" s="449"/>
      <c r="I2755" s="477"/>
      <c r="J2755" s="451"/>
      <c r="K2755" s="451"/>
      <c r="L2755" s="198"/>
      <c r="M2755" s="198"/>
      <c r="N2755" s="198"/>
      <c r="O2755" s="198"/>
      <c r="P2755" s="198"/>
      <c r="Q2755" s="198"/>
    </row>
    <row r="2756" spans="1:17" x14ac:dyDescent="0.2">
      <c r="A2756" s="500" t="s">
        <v>200</v>
      </c>
      <c r="B2756" s="468" t="s">
        <v>60</v>
      </c>
      <c r="C2756" s="470" t="s">
        <v>1242</v>
      </c>
      <c r="D2756" s="468" t="s">
        <v>202</v>
      </c>
      <c r="E2756" s="1281" t="s">
        <v>91</v>
      </c>
      <c r="F2756" s="1282"/>
      <c r="G2756" s="1283"/>
      <c r="H2756" s="1289" t="s">
        <v>198</v>
      </c>
      <c r="I2756" s="1285"/>
      <c r="J2756" s="451"/>
      <c r="K2756" s="451"/>
      <c r="L2756" s="198"/>
      <c r="M2756" s="198"/>
      <c r="N2756" s="198"/>
      <c r="O2756" s="198"/>
      <c r="P2756" s="198"/>
      <c r="Q2756" s="198"/>
    </row>
    <row r="2757" spans="1:17" x14ac:dyDescent="0.2">
      <c r="A2757" s="452" t="str">
        <f>VLOOKUP(B2757,m.o.!$A:$H,2,FALSE)</f>
        <v>Encarregado O.A.E.</v>
      </c>
      <c r="B2757" s="453">
        <v>20062</v>
      </c>
      <c r="C2757" s="454">
        <f>VLOOKUP(B2757,m.o.!$A:$F,4,FALSE)</f>
        <v>2.2599999999999998</v>
      </c>
      <c r="D2757" s="454">
        <f>VLOOKUP(B2757,m.o.!$A:$G,7,FALSE)</f>
        <v>26.3</v>
      </c>
      <c r="E2757" s="455"/>
      <c r="F2757" s="456"/>
      <c r="G2757" s="457">
        <v>0.5</v>
      </c>
      <c r="H2757" s="458"/>
      <c r="I2757" s="463">
        <f t="shared" ref="I2757:I2758" si="32">TRUNC(D2757*G2757,2)</f>
        <v>13.15</v>
      </c>
      <c r="J2757" s="198"/>
      <c r="K2757" s="198"/>
      <c r="L2757" s="198"/>
      <c r="M2757" s="198"/>
      <c r="N2757" s="198"/>
      <c r="O2757" s="198"/>
      <c r="P2757" s="198"/>
      <c r="Q2757" s="198"/>
    </row>
    <row r="2758" spans="1:17" x14ac:dyDescent="0.2">
      <c r="A2758" s="452" t="str">
        <f>VLOOKUP(B2758,m.o.!$A:$H,2,FALSE)</f>
        <v>Servente</v>
      </c>
      <c r="B2758" s="453">
        <v>20002</v>
      </c>
      <c r="C2758" s="454">
        <f>VLOOKUP(B2758,m.o.!$A:$F,4,FALSE)</f>
        <v>1</v>
      </c>
      <c r="D2758" s="454">
        <f>VLOOKUP(B2758,m.o.!$A:$G,7,FALSE)</f>
        <v>11.64</v>
      </c>
      <c r="E2758" s="455"/>
      <c r="F2758" s="456"/>
      <c r="G2758" s="457">
        <v>4.7</v>
      </c>
      <c r="H2758" s="458"/>
      <c r="I2758" s="463">
        <f t="shared" si="32"/>
        <v>54.7</v>
      </c>
      <c r="J2758" s="198"/>
      <c r="K2758" s="198"/>
      <c r="L2758" s="198"/>
      <c r="M2758" s="198"/>
      <c r="N2758" s="198"/>
      <c r="O2758" s="198"/>
      <c r="P2758" s="198"/>
      <c r="Q2758" s="198"/>
    </row>
    <row r="2759" spans="1:17" x14ac:dyDescent="0.2">
      <c r="A2759" s="449"/>
      <c r="B2759" s="448"/>
      <c r="C2759" s="448"/>
      <c r="D2759" s="449"/>
      <c r="E2759" s="449"/>
      <c r="F2759" s="450" t="s">
        <v>203</v>
      </c>
      <c r="G2759" s="458"/>
      <c r="H2759" s="462"/>
      <c r="I2759" s="475">
        <f>SUM(I2757:I2758)</f>
        <v>67.849999999999994</v>
      </c>
      <c r="J2759" s="451"/>
      <c r="K2759" s="451"/>
      <c r="L2759" s="198"/>
      <c r="M2759" s="198"/>
      <c r="N2759" s="198"/>
      <c r="O2759" s="198"/>
      <c r="P2759" s="198"/>
      <c r="Q2759" s="198"/>
    </row>
    <row r="2760" spans="1:17" x14ac:dyDescent="0.2">
      <c r="A2760" s="449"/>
      <c r="B2760" s="448"/>
      <c r="C2760" s="448"/>
      <c r="D2760" s="449"/>
      <c r="E2760" s="449"/>
      <c r="F2760" s="449"/>
      <c r="G2760" s="449"/>
      <c r="H2760" s="449"/>
      <c r="I2760" s="477"/>
      <c r="J2760" s="451"/>
      <c r="K2760" s="451"/>
      <c r="L2760" s="198"/>
      <c r="M2760" s="198"/>
      <c r="N2760" s="198"/>
      <c r="O2760" s="198"/>
      <c r="P2760" s="198"/>
      <c r="Q2760" s="198"/>
    </row>
    <row r="2761" spans="1:17" x14ac:dyDescent="0.2">
      <c r="A2761" s="501" t="s">
        <v>204</v>
      </c>
      <c r="B2761" s="468" t="s">
        <v>60</v>
      </c>
      <c r="C2761" s="869" t="s">
        <v>17</v>
      </c>
      <c r="D2761" s="468" t="s">
        <v>205</v>
      </c>
      <c r="E2761" s="468" t="s">
        <v>206</v>
      </c>
      <c r="F2761" s="468" t="s">
        <v>207</v>
      </c>
      <c r="G2761" s="1289" t="s">
        <v>96</v>
      </c>
      <c r="H2761" s="1284"/>
      <c r="I2761" s="1285"/>
      <c r="J2761" s="451"/>
      <c r="K2761" s="451"/>
      <c r="L2761" s="198"/>
      <c r="M2761" s="198"/>
      <c r="N2761" s="198"/>
      <c r="O2761" s="198"/>
      <c r="P2761" s="198"/>
      <c r="Q2761" s="198"/>
    </row>
    <row r="2762" spans="1:17" x14ac:dyDescent="0.2">
      <c r="A2762" s="452"/>
      <c r="B2762" s="453"/>
      <c r="C2762" s="454"/>
      <c r="D2762" s="460"/>
      <c r="E2762" s="461"/>
      <c r="F2762" s="461"/>
      <c r="G2762" s="458"/>
      <c r="H2762" s="462"/>
      <c r="I2762" s="463"/>
      <c r="J2762" s="198"/>
      <c r="K2762" s="198"/>
      <c r="L2762" s="198"/>
      <c r="M2762" s="198"/>
      <c r="N2762" s="198"/>
      <c r="O2762" s="198"/>
      <c r="P2762" s="198"/>
      <c r="Q2762" s="198"/>
    </row>
    <row r="2763" spans="1:17" x14ac:dyDescent="0.2">
      <c r="A2763" s="449"/>
      <c r="B2763" s="448"/>
      <c r="C2763" s="449"/>
      <c r="D2763" s="449"/>
      <c r="E2763" s="449"/>
      <c r="F2763" s="450" t="s">
        <v>1170</v>
      </c>
      <c r="G2763" s="458"/>
      <c r="H2763" s="462"/>
      <c r="I2763" s="475">
        <f>SUM(I2762)</f>
        <v>0</v>
      </c>
      <c r="J2763" s="451"/>
      <c r="K2763" s="451"/>
      <c r="L2763" s="198"/>
      <c r="M2763" s="198"/>
      <c r="N2763" s="198"/>
      <c r="O2763" s="198"/>
      <c r="P2763" s="198"/>
      <c r="Q2763" s="198"/>
    </row>
    <row r="2764" spans="1:17" x14ac:dyDescent="0.2">
      <c r="A2764" s="449"/>
      <c r="B2764" s="448"/>
      <c r="C2764" s="449"/>
      <c r="D2764" s="449"/>
      <c r="E2764" s="449"/>
      <c r="F2764" s="449"/>
      <c r="G2764" s="449"/>
      <c r="H2764" s="449"/>
      <c r="I2764" s="477"/>
      <c r="J2764" s="451"/>
      <c r="K2764" s="451"/>
      <c r="L2764" s="198"/>
      <c r="M2764" s="198"/>
      <c r="N2764" s="198"/>
      <c r="O2764" s="198"/>
      <c r="P2764" s="198"/>
      <c r="Q2764" s="198"/>
    </row>
    <row r="2765" spans="1:17" x14ac:dyDescent="0.2">
      <c r="A2765" s="502"/>
      <c r="B2765" s="503"/>
      <c r="C2765" s="492"/>
      <c r="D2765" s="492"/>
      <c r="E2765" s="492"/>
      <c r="F2765" s="504" t="s">
        <v>208</v>
      </c>
      <c r="G2765" s="505"/>
      <c r="H2765" s="492"/>
      <c r="I2765" s="493">
        <f>+I2754+I2759+I2763</f>
        <v>378.49</v>
      </c>
      <c r="J2765" s="451"/>
      <c r="K2765" s="451"/>
      <c r="L2765" s="198"/>
      <c r="M2765" s="198"/>
      <c r="N2765" s="198"/>
      <c r="O2765" s="198"/>
      <c r="P2765" s="198"/>
      <c r="Q2765" s="198"/>
    </row>
    <row r="2766" spans="1:17" x14ac:dyDescent="0.2">
      <c r="A2766" s="506"/>
      <c r="B2766" s="507"/>
      <c r="C2766" s="456"/>
      <c r="D2766" s="456"/>
      <c r="E2766" s="456"/>
      <c r="F2766" s="508" t="s">
        <v>209</v>
      </c>
      <c r="G2766" s="455"/>
      <c r="H2766" s="456"/>
      <c r="I2766" s="495">
        <v>1</v>
      </c>
      <c r="J2766" s="451"/>
      <c r="K2766" s="451"/>
      <c r="L2766" s="198"/>
      <c r="M2766" s="198"/>
      <c r="N2766" s="198"/>
      <c r="O2766" s="198"/>
      <c r="P2766" s="198"/>
      <c r="Q2766" s="198"/>
    </row>
    <row r="2767" spans="1:17" x14ac:dyDescent="0.2">
      <c r="A2767" s="509"/>
      <c r="B2767" s="510"/>
      <c r="C2767" s="462"/>
      <c r="D2767" s="462"/>
      <c r="E2767" s="462"/>
      <c r="F2767" s="511" t="s">
        <v>232</v>
      </c>
      <c r="G2767" s="458"/>
      <c r="H2767" s="462"/>
      <c r="I2767" s="499">
        <f>TRUNC(I2765/I2766,2)</f>
        <v>378.49</v>
      </c>
      <c r="J2767" s="451"/>
      <c r="K2767" s="451"/>
      <c r="L2767" s="198"/>
      <c r="M2767" s="198"/>
      <c r="N2767" s="198"/>
      <c r="O2767" s="198"/>
      <c r="P2767" s="198"/>
      <c r="Q2767" s="198"/>
    </row>
    <row r="2768" spans="1:17" x14ac:dyDescent="0.2">
      <c r="A2768" s="868"/>
      <c r="B2768" s="448"/>
      <c r="C2768" s="449"/>
      <c r="D2768" s="449"/>
      <c r="E2768" s="449"/>
      <c r="F2768" s="512"/>
      <c r="G2768" s="449"/>
      <c r="H2768" s="449"/>
      <c r="I2768" s="513"/>
      <c r="J2768" s="451"/>
      <c r="K2768" s="451"/>
      <c r="L2768" s="198"/>
      <c r="M2768" s="198"/>
      <c r="N2768" s="198"/>
      <c r="O2768" s="198"/>
      <c r="P2768" s="198"/>
      <c r="Q2768" s="198"/>
    </row>
    <row r="2769" spans="1:17" x14ac:dyDescent="0.2">
      <c r="A2769" s="500" t="s">
        <v>210</v>
      </c>
      <c r="B2769" s="468" t="s">
        <v>60</v>
      </c>
      <c r="C2769" s="468" t="s">
        <v>211</v>
      </c>
      <c r="D2769" s="468" t="s">
        <v>233</v>
      </c>
      <c r="E2769" s="1289" t="s">
        <v>91</v>
      </c>
      <c r="F2769" s="1284"/>
      <c r="G2769" s="1285"/>
      <c r="H2769" s="1289" t="s">
        <v>198</v>
      </c>
      <c r="I2769" s="1285"/>
      <c r="J2769" s="451"/>
      <c r="K2769" s="451"/>
      <c r="L2769" s="198"/>
      <c r="M2769" s="198"/>
      <c r="N2769" s="198"/>
      <c r="O2769" s="198"/>
      <c r="P2769" s="198"/>
      <c r="Q2769" s="198"/>
    </row>
    <row r="2770" spans="1:17" ht="22.5" x14ac:dyDescent="0.2">
      <c r="A2770" s="464" t="str">
        <f>VLOOKUP(B2770,mat.!$A:$D,2,FALSE)</f>
        <v>Anel pré moldado para bueiro celular 2,00 x 2,00 x 1,00m CL 45</v>
      </c>
      <c r="B2770" s="453">
        <v>10676</v>
      </c>
      <c r="C2770" s="465" t="str">
        <f>VLOOKUP(B2770,mat.!$A:$D,3,FALSE)</f>
        <v>Ud</v>
      </c>
      <c r="D2770" s="466">
        <f>VLOOKUP(B2770,mat.!$A:$D,4,FALSE)</f>
        <v>1711.25</v>
      </c>
      <c r="E2770" s="455"/>
      <c r="F2770" s="456"/>
      <c r="G2770" s="457">
        <v>1</v>
      </c>
      <c r="H2770" s="455"/>
      <c r="I2770" s="459">
        <f>TRUNC(D2770*G2770,2)</f>
        <v>1711.25</v>
      </c>
      <c r="J2770" s="451"/>
      <c r="K2770" s="451"/>
      <c r="L2770" s="198"/>
      <c r="M2770" s="198"/>
      <c r="N2770" s="198"/>
      <c r="O2770" s="198"/>
      <c r="P2770" s="198"/>
      <c r="Q2770" s="198"/>
    </row>
    <row r="2771" spans="1:17" x14ac:dyDescent="0.2">
      <c r="A2771" s="449"/>
      <c r="B2771" s="448"/>
      <c r="C2771" s="449"/>
      <c r="D2771" s="449"/>
      <c r="E2771" s="449"/>
      <c r="F2771" s="450" t="s">
        <v>212</v>
      </c>
      <c r="G2771" s="458"/>
      <c r="H2771" s="462"/>
      <c r="I2771" s="475">
        <f>SUM(I2770)</f>
        <v>1711.25</v>
      </c>
      <c r="J2771" s="451"/>
      <c r="K2771" s="451"/>
      <c r="L2771" s="198"/>
      <c r="M2771" s="198"/>
      <c r="N2771" s="198"/>
      <c r="O2771" s="198"/>
      <c r="P2771" s="198"/>
      <c r="Q2771" s="198"/>
    </row>
    <row r="2772" spans="1:17" x14ac:dyDescent="0.2">
      <c r="A2772" s="449"/>
      <c r="B2772" s="448"/>
      <c r="C2772" s="449"/>
      <c r="D2772" s="449"/>
      <c r="E2772" s="449"/>
      <c r="F2772" s="449"/>
      <c r="G2772" s="476"/>
      <c r="H2772" s="449"/>
      <c r="I2772" s="477"/>
      <c r="J2772" s="451"/>
      <c r="K2772" s="451"/>
      <c r="L2772" s="198"/>
      <c r="M2772" s="198"/>
      <c r="N2772" s="198"/>
      <c r="O2772" s="198"/>
      <c r="P2772" s="198"/>
      <c r="Q2772" s="198"/>
    </row>
    <row r="2773" spans="1:17" x14ac:dyDescent="0.2">
      <c r="A2773" s="467" t="s">
        <v>213</v>
      </c>
      <c r="B2773" s="468" t="s">
        <v>60</v>
      </c>
      <c r="C2773" s="468" t="s">
        <v>211</v>
      </c>
      <c r="D2773" s="869" t="s">
        <v>233</v>
      </c>
      <c r="E2773" s="1281" t="s">
        <v>91</v>
      </c>
      <c r="F2773" s="1282"/>
      <c r="G2773" s="1283"/>
      <c r="H2773" s="1284" t="s">
        <v>198</v>
      </c>
      <c r="I2773" s="1285"/>
      <c r="J2773" s="451"/>
      <c r="K2773" s="451"/>
      <c r="L2773" s="198"/>
      <c r="M2773" s="198"/>
      <c r="N2773" s="198"/>
      <c r="O2773" s="198"/>
      <c r="P2773" s="198"/>
      <c r="Q2773" s="198"/>
    </row>
    <row r="2774" spans="1:17" ht="22.5" x14ac:dyDescent="0.2">
      <c r="A2774" s="452" t="str">
        <f>VLOOKUP(B2774,'DER 10-18'!$A:$E,2,FALSE)</f>
        <v>Concreto de regularização, tudo incluído</v>
      </c>
      <c r="B2774" s="453">
        <v>40349</v>
      </c>
      <c r="C2774" s="453" t="str">
        <f>VLOOKUP(B2774,'DER 10-18'!$A:$E,3,FALSE)</f>
        <v>M3</v>
      </c>
      <c r="D2774" s="454">
        <f>TRUNC(VLOOKUP(B2774,'DER 10-18'!$A:$F,6,FALSE)/(1+$I$4),2)</f>
        <v>423.65</v>
      </c>
      <c r="E2774" s="455"/>
      <c r="F2774" s="456"/>
      <c r="G2774" s="457">
        <v>0.27</v>
      </c>
      <c r="H2774" s="458"/>
      <c r="I2774" s="459">
        <f t="shared" ref="I2774" si="33">TRUNC(D2774*G2774,2)</f>
        <v>114.38</v>
      </c>
      <c r="J2774" s="451"/>
      <c r="K2774" s="451"/>
      <c r="L2774" s="198"/>
      <c r="M2774" s="198"/>
      <c r="N2774" s="198"/>
      <c r="O2774" s="198"/>
      <c r="P2774" s="198"/>
      <c r="Q2774" s="198"/>
    </row>
    <row r="2775" spans="1:17" x14ac:dyDescent="0.2">
      <c r="A2775" s="478"/>
      <c r="B2775" s="479"/>
      <c r="C2775" s="478"/>
      <c r="D2775" s="478"/>
      <c r="E2775" s="478"/>
      <c r="F2775" s="480" t="s">
        <v>214</v>
      </c>
      <c r="G2775" s="455"/>
      <c r="H2775" s="481"/>
      <c r="I2775" s="482">
        <f>SUM(I2774:I2774)</f>
        <v>114.38</v>
      </c>
      <c r="J2775" s="451"/>
      <c r="K2775" s="451"/>
      <c r="L2775" s="198"/>
      <c r="M2775" s="198"/>
      <c r="N2775" s="198"/>
      <c r="O2775" s="198"/>
      <c r="P2775" s="198"/>
      <c r="Q2775" s="198"/>
    </row>
    <row r="2776" spans="1:17" x14ac:dyDescent="0.2">
      <c r="A2776" s="478"/>
      <c r="B2776" s="479"/>
      <c r="C2776" s="478"/>
      <c r="D2776" s="478"/>
      <c r="E2776" s="478"/>
      <c r="F2776" s="478"/>
      <c r="G2776" s="478"/>
      <c r="H2776" s="478"/>
      <c r="I2776" s="478"/>
      <c r="J2776" s="451"/>
      <c r="K2776" s="451"/>
      <c r="L2776" s="198"/>
      <c r="M2776" s="198"/>
      <c r="N2776" s="198"/>
      <c r="O2776" s="198"/>
      <c r="P2776" s="198"/>
      <c r="Q2776" s="198"/>
    </row>
    <row r="2777" spans="1:17" x14ac:dyDescent="0.2">
      <c r="A2777" s="483" t="s">
        <v>215</v>
      </c>
      <c r="B2777" s="484" t="s">
        <v>60</v>
      </c>
      <c r="C2777" s="484" t="s">
        <v>211</v>
      </c>
      <c r="D2777" s="484" t="s">
        <v>216</v>
      </c>
      <c r="E2777" s="484" t="s">
        <v>217</v>
      </c>
      <c r="F2777" s="484" t="s">
        <v>218</v>
      </c>
      <c r="G2777" s="484" t="s">
        <v>96</v>
      </c>
      <c r="H2777" s="484" t="s">
        <v>91</v>
      </c>
      <c r="I2777" s="484" t="s">
        <v>219</v>
      </c>
      <c r="J2777" s="451"/>
      <c r="K2777" s="451"/>
      <c r="L2777" s="198"/>
      <c r="M2777" s="198"/>
      <c r="N2777" s="198"/>
      <c r="O2777" s="198"/>
      <c r="P2777" s="198"/>
      <c r="Q2777" s="198"/>
    </row>
    <row r="2778" spans="1:17" ht="22.5" x14ac:dyDescent="0.2">
      <c r="A2778" s="265" t="str">
        <f>VLOOKUP(B2778,tranp.!A:D,2,FALSE)</f>
        <v>TR-203-00 (Comercial - Caminhão carroceria)</v>
      </c>
      <c r="B2778" s="453">
        <v>60004</v>
      </c>
      <c r="C2778" s="453" t="str">
        <f>VLOOKUP(B2778,tranp.!$A:$J,3,FALSE)</f>
        <v>T</v>
      </c>
      <c r="D2778" s="518" t="str">
        <f>VLOOKUP(B2778,tranp.!$A:$J,4,FALSE)</f>
        <v>0,676XP + 0,703XR</v>
      </c>
      <c r="E2778" s="519">
        <f>VLOOKUP(J2778,Ocor.!$B:$F,4,FALSE)</f>
        <v>37.200000000000003</v>
      </c>
      <c r="F2778" s="519">
        <f>VLOOKUP(J2778,Ocor.!$B:$F,5,FALSE)</f>
        <v>5.6</v>
      </c>
      <c r="G2778" s="454">
        <f>TRUNC(VLOOKUP(B2778,tranp.!$A:$J,5,FALSE)*E2778+VLOOKUP(B2778,tranp.!$A:$J,6,FALSE)*F2778+VLOOKUP(B2778,tranp.!$A:$J,7,FALSE),2)</f>
        <v>29.08</v>
      </c>
      <c r="H2778" s="520">
        <v>3.8719999999999999</v>
      </c>
      <c r="I2778" s="454">
        <f>TRUNC(G2778*H2778,2)</f>
        <v>112.59</v>
      </c>
      <c r="J2778" s="433" t="s">
        <v>118</v>
      </c>
      <c r="K2778" s="451"/>
      <c r="L2778" s="198"/>
      <c r="M2778" s="198"/>
      <c r="N2778" s="198"/>
      <c r="O2778" s="198"/>
      <c r="P2778" s="198"/>
      <c r="Q2778" s="198"/>
    </row>
    <row r="2779" spans="1:17" x14ac:dyDescent="0.2">
      <c r="A2779" s="478"/>
      <c r="B2779" s="479"/>
      <c r="C2779" s="478"/>
      <c r="D2779" s="478"/>
      <c r="E2779" s="478"/>
      <c r="F2779" s="480" t="s">
        <v>220</v>
      </c>
      <c r="G2779" s="458"/>
      <c r="H2779" s="485"/>
      <c r="I2779" s="486">
        <f>SUM(I2778)</f>
        <v>112.59</v>
      </c>
      <c r="J2779" s="451"/>
      <c r="K2779" s="451"/>
      <c r="L2779" s="198"/>
      <c r="M2779" s="198"/>
      <c r="N2779" s="198"/>
      <c r="O2779" s="198"/>
      <c r="P2779" s="198"/>
      <c r="Q2779" s="198"/>
    </row>
    <row r="2780" spans="1:17" x14ac:dyDescent="0.2">
      <c r="A2780" s="478"/>
      <c r="B2780" s="479"/>
      <c r="C2780" s="478"/>
      <c r="D2780" s="478"/>
      <c r="E2780" s="478"/>
      <c r="F2780" s="478"/>
      <c r="G2780" s="478"/>
      <c r="H2780" s="478"/>
      <c r="I2780" s="487"/>
      <c r="J2780" s="451"/>
      <c r="K2780" s="451"/>
      <c r="L2780" s="198"/>
      <c r="M2780" s="198"/>
      <c r="N2780" s="198"/>
      <c r="O2780" s="198"/>
      <c r="P2780" s="198"/>
      <c r="Q2780" s="198"/>
    </row>
    <row r="2781" spans="1:17" x14ac:dyDescent="0.2">
      <c r="A2781" s="488"/>
      <c r="B2781" s="489"/>
      <c r="C2781" s="490"/>
      <c r="D2781" s="490"/>
      <c r="E2781" s="490"/>
      <c r="F2781" s="491" t="s">
        <v>221</v>
      </c>
      <c r="G2781" s="488"/>
      <c r="H2781" s="492"/>
      <c r="I2781" s="493">
        <f>+I2767+I2771+I2775+I2779</f>
        <v>2316.71</v>
      </c>
      <c r="J2781" s="534"/>
      <c r="K2781" s="451"/>
      <c r="L2781" s="198"/>
      <c r="M2781" s="198"/>
      <c r="N2781" s="198"/>
      <c r="O2781" s="198"/>
      <c r="P2781" s="198"/>
      <c r="Q2781" s="198"/>
    </row>
    <row r="2782" spans="1:17" x14ac:dyDescent="0.2">
      <c r="A2782" s="455"/>
      <c r="B2782" s="494"/>
      <c r="C2782" s="481"/>
      <c r="D2782" s="481"/>
      <c r="E2782" s="481"/>
      <c r="F2782" s="285" t="str">
        <f>CONCATENATE($H$3," ",$I$3)</f>
        <v>BDI: 23,32</v>
      </c>
      <c r="G2782" s="439"/>
      <c r="H2782" s="258"/>
      <c r="I2782" s="635">
        <f>+ROUND(I2781*$I$4,2)</f>
        <v>540.26</v>
      </c>
      <c r="J2782" s="451"/>
      <c r="K2782" s="451"/>
      <c r="L2782" s="198"/>
      <c r="M2782" s="198"/>
      <c r="N2782" s="198"/>
      <c r="O2782" s="198"/>
      <c r="P2782" s="198"/>
      <c r="Q2782" s="198"/>
    </row>
    <row r="2783" spans="1:17" x14ac:dyDescent="0.2">
      <c r="A2783" s="458"/>
      <c r="B2783" s="496"/>
      <c r="C2783" s="485"/>
      <c r="D2783" s="485"/>
      <c r="E2783" s="485"/>
      <c r="F2783" s="497" t="s">
        <v>222</v>
      </c>
      <c r="G2783" s="498"/>
      <c r="H2783" s="462"/>
      <c r="I2783" s="1017">
        <f>+I2781+I2782</f>
        <v>2856.97</v>
      </c>
      <c r="J2783" s="534"/>
      <c r="K2783" s="198"/>
      <c r="L2783" s="198"/>
      <c r="M2783" s="198"/>
      <c r="N2783" s="198"/>
      <c r="O2783" s="198"/>
      <c r="P2783" s="198"/>
      <c r="Q2783" s="198"/>
    </row>
    <row r="2784" spans="1:17" x14ac:dyDescent="0.2">
      <c r="A2784" s="1277" t="str">
        <f>$A$1</f>
        <v>COMPOSIÇÃO DE CUSTOS UNITÁRIOS</v>
      </c>
      <c r="B2784" s="1277"/>
      <c r="C2784" s="1277"/>
      <c r="D2784" s="1277"/>
      <c r="E2784" s="1277"/>
      <c r="F2784" s="1277"/>
      <c r="G2784" s="1277"/>
      <c r="H2784" s="1277"/>
      <c r="I2784" s="1277"/>
    </row>
    <row r="2785" spans="1:13" x14ac:dyDescent="0.2">
      <c r="A2785" s="232" t="str">
        <f>$A$2</f>
        <v>Tabela Referencial de Preços - DER-ES</v>
      </c>
      <c r="B2785" s="233"/>
      <c r="C2785" s="199"/>
      <c r="D2785" s="199"/>
      <c r="E2785" s="199"/>
      <c r="F2785" s="199"/>
      <c r="G2785" s="199"/>
      <c r="H2785" s="199"/>
      <c r="I2785" s="234" t="str">
        <f>$I$2</f>
        <v>Data Base: Outubro/2018</v>
      </c>
      <c r="J2785" s="433">
        <v>40221</v>
      </c>
      <c r="K2785" s="433">
        <f>VLOOKUP("Preço Unitário Total",F2787:I4251,4,FALSE)</f>
        <v>8.07</v>
      </c>
      <c r="L2785" s="302">
        <f>VLOOKUP(J2785,'DER 10-18'!A:E,5,FALSE)</f>
        <v>0</v>
      </c>
      <c r="M2785" s="302" t="str">
        <f>VLOOKUP(J2785,'DER 10-18'!$A:$D,2,FALSE)</f>
        <v>Escavação e carga de material de 1ª categoria, com trator de esteira e pá carregadeira</v>
      </c>
    </row>
    <row r="2786" spans="1:13" ht="22.5" customHeight="1" x14ac:dyDescent="0.2">
      <c r="A2786" s="1278" t="str">
        <f>+CONCATENATE("Serviço: ",J2785," ",VLOOKUP(J2785,'DER 10-18'!$A:$D,2,FALSE))</f>
        <v>Serviço: 40221 Escavação e carga de material de 1ª categoria, com trator de esteira e pá carregadeira</v>
      </c>
      <c r="B2786" s="1278"/>
      <c r="C2786" s="1278"/>
      <c r="D2786" s="1278"/>
      <c r="E2786" s="1278"/>
      <c r="F2786" s="1278"/>
      <c r="G2786" s="1278"/>
      <c r="H2786" s="1278"/>
      <c r="I2786" s="1278" t="str">
        <f>CONCATENATE("Unidade: ", VLOOKUP(J2785,'DER 10-18'!$A:$E,3,FALSE))</f>
        <v>Unidade: M3</v>
      </c>
      <c r="J2786" s="302"/>
      <c r="K2786" s="302"/>
    </row>
    <row r="2787" spans="1:13" x14ac:dyDescent="0.2">
      <c r="A2787" s="1279"/>
      <c r="B2787" s="1279"/>
      <c r="C2787" s="1279"/>
      <c r="D2787" s="1279"/>
      <c r="E2787" s="1279"/>
      <c r="F2787" s="1279"/>
      <c r="G2787" s="1279"/>
      <c r="H2787" s="1279"/>
      <c r="I2787" s="1279"/>
      <c r="J2787" s="302"/>
      <c r="K2787" s="302"/>
    </row>
    <row r="2788" spans="1:13" ht="22.5" x14ac:dyDescent="0.2">
      <c r="A2788" s="235" t="s">
        <v>192</v>
      </c>
      <c r="B2788" s="236" t="s">
        <v>60</v>
      </c>
      <c r="C2788" s="236" t="s">
        <v>193</v>
      </c>
      <c r="D2788" s="236" t="s">
        <v>194</v>
      </c>
      <c r="E2788" s="236" t="s">
        <v>195</v>
      </c>
      <c r="F2788" s="236" t="s">
        <v>196</v>
      </c>
      <c r="G2788" s="236" t="s">
        <v>197</v>
      </c>
      <c r="H2788" s="236" t="s">
        <v>91</v>
      </c>
      <c r="I2788" s="236" t="s">
        <v>198</v>
      </c>
      <c r="J2788" s="302"/>
      <c r="K2788" s="302"/>
    </row>
    <row r="2789" spans="1:13" ht="33.75" x14ac:dyDescent="0.2">
      <c r="A2789" s="237" t="str">
        <f>VLOOKUP(B2789,equip.!$A:$G,2,FALSE)</f>
        <v>Carregadeira de rodas ref. Caterpillar modelo 950H (3,10 m3) ( cab + ar ) ou equivalente</v>
      </c>
      <c r="B2789" s="238">
        <v>30024</v>
      </c>
      <c r="C2789" s="239" t="str">
        <f>VLOOKUP(B2789,equip.!$A$1:$G$239,3,FALSE)</f>
        <v>M</v>
      </c>
      <c r="D2789" s="240">
        <v>1</v>
      </c>
      <c r="E2789" s="205">
        <v>0</v>
      </c>
      <c r="F2789" s="241">
        <f>VLOOKUP(B2789,equip.!$A:$G,6,FALSE)</f>
        <v>333.85</v>
      </c>
      <c r="G2789" s="241">
        <f>VLOOKUP(B2789,equip.!$A:$G,7,FALSE)</f>
        <v>132.1</v>
      </c>
      <c r="H2789" s="242">
        <v>1</v>
      </c>
      <c r="I2789" s="243">
        <f>TRUNC(D2789*F2789*H2789+E2789*G2789*H2789,2)</f>
        <v>333.85</v>
      </c>
      <c r="J2789" s="302"/>
      <c r="K2789" s="302"/>
    </row>
    <row r="2790" spans="1:13" ht="33.75" x14ac:dyDescent="0.2">
      <c r="A2790" s="237" t="str">
        <f>VLOOKUP(B2790,equip.!$A:$G,2,FALSE)</f>
        <v>Trator de esteiras ref. Caterpillar com lâmina  modelo D8T, sem ríper ou equivalente</v>
      </c>
      <c r="B2790" s="238">
        <v>30018</v>
      </c>
      <c r="C2790" s="239">
        <f>VLOOKUP(B2790,equip.!$A$1:$G$239,3,FALSE)</f>
        <v>0</v>
      </c>
      <c r="D2790" s="240">
        <v>1</v>
      </c>
      <c r="E2790" s="205">
        <v>0</v>
      </c>
      <c r="F2790" s="241">
        <f>VLOOKUP(B2790,equip.!$A:$G,6,FALSE)</f>
        <v>628.07000000000005</v>
      </c>
      <c r="G2790" s="241">
        <f>VLOOKUP(B2790,equip.!$A:$G,7,FALSE)</f>
        <v>212.49</v>
      </c>
      <c r="H2790" s="242">
        <v>1</v>
      </c>
      <c r="I2790" s="243">
        <f>TRUNC(D2790*F2790*H2790+E2790*G2790*H2790,2)</f>
        <v>628.07000000000005</v>
      </c>
      <c r="J2790" s="302"/>
      <c r="K2790" s="302"/>
    </row>
    <row r="2791" spans="1:13" x14ac:dyDescent="0.2">
      <c r="A2791" s="199"/>
      <c r="B2791" s="233"/>
      <c r="C2791" s="233"/>
      <c r="D2791" s="199"/>
      <c r="E2791" s="199"/>
      <c r="F2791" s="234" t="s">
        <v>199</v>
      </c>
      <c r="G2791" s="244"/>
      <c r="H2791" s="245"/>
      <c r="I2791" s="434">
        <f>SUM(I2789:I2790)</f>
        <v>961.92</v>
      </c>
      <c r="J2791" s="302"/>
      <c r="K2791" s="302"/>
    </row>
    <row r="2792" spans="1:13" x14ac:dyDescent="0.2">
      <c r="A2792" s="199"/>
      <c r="B2792" s="233"/>
      <c r="C2792" s="233"/>
      <c r="D2792" s="199"/>
      <c r="E2792" s="199"/>
      <c r="F2792" s="199"/>
      <c r="G2792" s="199"/>
      <c r="H2792" s="199"/>
      <c r="I2792" s="200"/>
      <c r="J2792" s="302"/>
      <c r="K2792" s="302"/>
    </row>
    <row r="2793" spans="1:13" x14ac:dyDescent="0.2">
      <c r="A2793" s="246" t="s">
        <v>200</v>
      </c>
      <c r="B2793" s="247" t="s">
        <v>60</v>
      </c>
      <c r="C2793" s="236" t="s">
        <v>1242</v>
      </c>
      <c r="D2793" s="247" t="s">
        <v>202</v>
      </c>
      <c r="E2793" s="1271" t="s">
        <v>91</v>
      </c>
      <c r="F2793" s="1272"/>
      <c r="G2793" s="1273"/>
      <c r="H2793" s="1276" t="s">
        <v>198</v>
      </c>
      <c r="I2793" s="1275"/>
      <c r="J2793" s="302"/>
      <c r="K2793" s="302"/>
    </row>
    <row r="2794" spans="1:13" x14ac:dyDescent="0.2">
      <c r="A2794" s="248" t="str">
        <f>VLOOKUP(B2794,m.o.!$A:$H,2,FALSE)</f>
        <v>Encarregado de terraplenagem</v>
      </c>
      <c r="B2794" s="238">
        <v>20067</v>
      </c>
      <c r="C2794" s="243">
        <f>VLOOKUP(B2794,m.o.!$A:$F,4,FALSE)</f>
        <v>2.35</v>
      </c>
      <c r="D2794" s="243">
        <f>VLOOKUP(B2794,m.o.!$A:$G,7,FALSE)</f>
        <v>27.35</v>
      </c>
      <c r="E2794" s="260"/>
      <c r="F2794" s="258"/>
      <c r="G2794" s="300">
        <v>0.3</v>
      </c>
      <c r="H2794" s="244"/>
      <c r="I2794" s="249">
        <f>TRUNC(D2794*G2794,2)</f>
        <v>8.1999999999999993</v>
      </c>
      <c r="J2794" s="302"/>
      <c r="K2794" s="302"/>
    </row>
    <row r="2795" spans="1:13" x14ac:dyDescent="0.2">
      <c r="A2795" s="248" t="str">
        <f>VLOOKUP(B2795,m.o.!$A:$H,2,FALSE)</f>
        <v>Servente</v>
      </c>
      <c r="B2795" s="238">
        <v>20002</v>
      </c>
      <c r="C2795" s="243">
        <f>VLOOKUP(B2795,m.o.!$A:$F,4,FALSE)</f>
        <v>1</v>
      </c>
      <c r="D2795" s="243">
        <f>VLOOKUP(B2795,m.o.!$A:$G,7,FALSE)</f>
        <v>11.64</v>
      </c>
      <c r="E2795" s="244"/>
      <c r="F2795" s="245"/>
      <c r="G2795" s="441">
        <v>1</v>
      </c>
      <c r="H2795" s="244"/>
      <c r="I2795" s="249">
        <f>TRUNC(D2795*G2795,2)</f>
        <v>11.64</v>
      </c>
      <c r="J2795" s="302"/>
      <c r="K2795" s="302"/>
    </row>
    <row r="2796" spans="1:13" x14ac:dyDescent="0.2">
      <c r="A2796" s="199"/>
      <c r="B2796" s="233"/>
      <c r="C2796" s="233"/>
      <c r="D2796" s="199"/>
      <c r="E2796" s="199"/>
      <c r="F2796" s="234" t="s">
        <v>203</v>
      </c>
      <c r="G2796" s="244"/>
      <c r="H2796" s="245"/>
      <c r="I2796" s="434">
        <f>SUM(I2794:I2795)</f>
        <v>19.84</v>
      </c>
      <c r="J2796" s="302"/>
      <c r="K2796" s="302"/>
    </row>
    <row r="2797" spans="1:13" x14ac:dyDescent="0.2">
      <c r="A2797" s="199"/>
      <c r="B2797" s="233"/>
      <c r="C2797" s="233"/>
      <c r="D2797" s="199"/>
      <c r="E2797" s="199"/>
      <c r="F2797" s="199"/>
      <c r="G2797" s="199"/>
      <c r="H2797" s="199"/>
      <c r="I2797" s="200"/>
      <c r="J2797" s="302"/>
      <c r="K2797" s="302"/>
    </row>
    <row r="2798" spans="1:13" x14ac:dyDescent="0.2">
      <c r="A2798" s="270" t="s">
        <v>204</v>
      </c>
      <c r="B2798" s="247" t="s">
        <v>60</v>
      </c>
      <c r="C2798" s="866" t="s">
        <v>17</v>
      </c>
      <c r="D2798" s="247" t="s">
        <v>205</v>
      </c>
      <c r="E2798" s="247" t="s">
        <v>206</v>
      </c>
      <c r="F2798" s="247" t="s">
        <v>207</v>
      </c>
      <c r="G2798" s="1276" t="s">
        <v>96</v>
      </c>
      <c r="H2798" s="1274"/>
      <c r="I2798" s="1275"/>
      <c r="J2798" s="302"/>
      <c r="K2798" s="302"/>
    </row>
    <row r="2799" spans="1:13" x14ac:dyDescent="0.2">
      <c r="A2799" s="248"/>
      <c r="B2799" s="238"/>
      <c r="C2799" s="243"/>
      <c r="D2799" s="239"/>
      <c r="E2799" s="251"/>
      <c r="F2799" s="251"/>
      <c r="G2799" s="244"/>
      <c r="H2799" s="245"/>
      <c r="I2799" s="249"/>
      <c r="J2799" s="302"/>
      <c r="K2799" s="302"/>
    </row>
    <row r="2800" spans="1:13" x14ac:dyDescent="0.2">
      <c r="A2800" s="199"/>
      <c r="B2800" s="233"/>
      <c r="C2800" s="199"/>
      <c r="D2800" s="199"/>
      <c r="E2800" s="199"/>
      <c r="F2800" s="234" t="s">
        <v>1170</v>
      </c>
      <c r="G2800" s="244"/>
      <c r="H2800" s="245"/>
      <c r="I2800" s="434">
        <f>SUM(I2799)</f>
        <v>0</v>
      </c>
      <c r="J2800" s="302"/>
      <c r="K2800" s="302"/>
    </row>
    <row r="2801" spans="1:17" x14ac:dyDescent="0.2">
      <c r="A2801" s="199"/>
      <c r="B2801" s="233"/>
      <c r="C2801" s="199"/>
      <c r="D2801" s="199"/>
      <c r="E2801" s="199"/>
      <c r="F2801" s="199"/>
      <c r="G2801" s="199"/>
      <c r="H2801" s="199"/>
      <c r="I2801" s="200"/>
      <c r="J2801" s="302"/>
      <c r="K2801" s="302"/>
    </row>
    <row r="2802" spans="1:17" x14ac:dyDescent="0.2">
      <c r="A2802" s="252"/>
      <c r="B2802" s="253"/>
      <c r="C2802" s="254"/>
      <c r="D2802" s="254"/>
      <c r="E2802" s="254"/>
      <c r="F2802" s="255" t="s">
        <v>208</v>
      </c>
      <c r="G2802" s="435"/>
      <c r="H2802" s="254"/>
      <c r="I2802" s="634">
        <f>+I2791+I2796+I2800</f>
        <v>981.76</v>
      </c>
      <c r="K2802" s="302"/>
    </row>
    <row r="2803" spans="1:17" x14ac:dyDescent="0.2">
      <c r="A2803" s="256"/>
      <c r="B2803" s="257"/>
      <c r="C2803" s="258"/>
      <c r="D2803" s="258"/>
      <c r="E2803" s="258"/>
      <c r="F2803" s="259" t="s">
        <v>209</v>
      </c>
      <c r="G2803" s="260"/>
      <c r="H2803" s="258"/>
      <c r="I2803" s="635">
        <v>150</v>
      </c>
      <c r="K2803" s="302"/>
    </row>
    <row r="2804" spans="1:17" s="198" customFormat="1" x14ac:dyDescent="0.2">
      <c r="A2804" s="237"/>
      <c r="B2804" s="261"/>
      <c r="C2804" s="245"/>
      <c r="D2804" s="245"/>
      <c r="E2804" s="245"/>
      <c r="F2804" s="262" t="s">
        <v>232</v>
      </c>
      <c r="G2804" s="244"/>
      <c r="H2804" s="245"/>
      <c r="I2804" s="633">
        <f>TRUNC(I2802/I2803,2)</f>
        <v>6.54</v>
      </c>
      <c r="J2804" s="433"/>
      <c r="K2804" s="302"/>
      <c r="L2804" s="302"/>
      <c r="M2804" s="302"/>
      <c r="N2804" s="302"/>
      <c r="O2804" s="302"/>
      <c r="P2804" s="302"/>
      <c r="Q2804" s="302"/>
    </row>
    <row r="2805" spans="1:17" s="198" customFormat="1" x14ac:dyDescent="0.2">
      <c r="A2805" s="867"/>
      <c r="B2805" s="233"/>
      <c r="C2805" s="199"/>
      <c r="D2805" s="199"/>
      <c r="E2805" s="199"/>
      <c r="F2805" s="263"/>
      <c r="G2805" s="199"/>
      <c r="H2805" s="199"/>
      <c r="I2805" s="264"/>
      <c r="J2805" s="433"/>
      <c r="K2805" s="302"/>
      <c r="L2805" s="302"/>
      <c r="M2805" s="302"/>
      <c r="N2805" s="302"/>
      <c r="O2805" s="302"/>
      <c r="P2805" s="302"/>
      <c r="Q2805" s="302"/>
    </row>
    <row r="2806" spans="1:17" x14ac:dyDescent="0.2">
      <c r="A2806" s="246" t="s">
        <v>210</v>
      </c>
      <c r="B2806" s="247" t="s">
        <v>60</v>
      </c>
      <c r="C2806" s="247" t="s">
        <v>211</v>
      </c>
      <c r="D2806" s="247" t="s">
        <v>233</v>
      </c>
      <c r="E2806" s="1276" t="s">
        <v>91</v>
      </c>
      <c r="F2806" s="1274"/>
      <c r="G2806" s="1275"/>
      <c r="H2806" s="1276" t="s">
        <v>198</v>
      </c>
      <c r="I2806" s="1275"/>
      <c r="K2806" s="302"/>
    </row>
    <row r="2807" spans="1:17" x14ac:dyDescent="0.2">
      <c r="A2807" s="443"/>
      <c r="B2807" s="266"/>
      <c r="C2807" s="266"/>
      <c r="D2807" s="267"/>
      <c r="E2807" s="260"/>
      <c r="F2807" s="258"/>
      <c r="G2807" s="444"/>
      <c r="H2807" s="260"/>
      <c r="I2807" s="268"/>
      <c r="K2807" s="302"/>
    </row>
    <row r="2808" spans="1:17" x14ac:dyDescent="0.2">
      <c r="A2808" s="199"/>
      <c r="B2808" s="233"/>
      <c r="C2808" s="199"/>
      <c r="D2808" s="199"/>
      <c r="E2808" s="199"/>
      <c r="F2808" s="234" t="s">
        <v>212</v>
      </c>
      <c r="G2808" s="244"/>
      <c r="H2808" s="245"/>
      <c r="I2808" s="434">
        <f>SUM(I2807:I2807)</f>
        <v>0</v>
      </c>
      <c r="K2808" s="302"/>
    </row>
    <row r="2809" spans="1:17" x14ac:dyDescent="0.2">
      <c r="A2809" s="199"/>
      <c r="B2809" s="233"/>
      <c r="C2809" s="199"/>
      <c r="D2809" s="199"/>
      <c r="E2809" s="199"/>
      <c r="F2809" s="199"/>
      <c r="G2809" s="269"/>
      <c r="H2809" s="199"/>
      <c r="I2809" s="200"/>
      <c r="K2809" s="302"/>
    </row>
    <row r="2810" spans="1:17" x14ac:dyDescent="0.2">
      <c r="A2810" s="270" t="s">
        <v>213</v>
      </c>
      <c r="B2810" s="247" t="s">
        <v>60</v>
      </c>
      <c r="C2810" s="247" t="s">
        <v>211</v>
      </c>
      <c r="D2810" s="866" t="s">
        <v>233</v>
      </c>
      <c r="E2810" s="1271" t="s">
        <v>91</v>
      </c>
      <c r="F2810" s="1272"/>
      <c r="G2810" s="1273"/>
      <c r="H2810" s="1274" t="s">
        <v>198</v>
      </c>
      <c r="I2810" s="1275"/>
      <c r="K2810" s="302"/>
    </row>
    <row r="2811" spans="1:17" x14ac:dyDescent="0.2">
      <c r="A2811" s="248"/>
      <c r="B2811" s="238"/>
      <c r="C2811" s="238"/>
      <c r="D2811" s="243"/>
      <c r="E2811" s="260"/>
      <c r="F2811" s="258"/>
      <c r="G2811" s="300"/>
      <c r="H2811" s="244"/>
      <c r="I2811" s="268"/>
      <c r="K2811" s="302"/>
    </row>
    <row r="2812" spans="1:17" x14ac:dyDescent="0.2">
      <c r="A2812" s="201"/>
      <c r="B2812" s="271"/>
      <c r="C2812" s="201"/>
      <c r="D2812" s="201"/>
      <c r="E2812" s="201"/>
      <c r="F2812" s="272" t="s">
        <v>214</v>
      </c>
      <c r="G2812" s="260"/>
      <c r="H2812" s="273"/>
      <c r="I2812" s="436">
        <f>SUM(I2809:I2811)</f>
        <v>0</v>
      </c>
      <c r="K2812" s="302"/>
    </row>
    <row r="2813" spans="1:17" x14ac:dyDescent="0.2">
      <c r="A2813" s="201"/>
      <c r="B2813" s="271"/>
      <c r="C2813" s="201"/>
      <c r="D2813" s="201"/>
      <c r="E2813" s="201"/>
      <c r="F2813" s="201"/>
      <c r="G2813" s="201"/>
      <c r="H2813" s="201"/>
      <c r="I2813" s="201"/>
      <c r="K2813" s="302"/>
    </row>
    <row r="2814" spans="1:17" x14ac:dyDescent="0.2">
      <c r="A2814" s="442" t="s">
        <v>215</v>
      </c>
      <c r="B2814" s="275" t="s">
        <v>60</v>
      </c>
      <c r="C2814" s="275" t="s">
        <v>211</v>
      </c>
      <c r="D2814" s="275" t="s">
        <v>216</v>
      </c>
      <c r="E2814" s="275" t="s">
        <v>217</v>
      </c>
      <c r="F2814" s="275" t="s">
        <v>218</v>
      </c>
      <c r="G2814" s="275" t="s">
        <v>96</v>
      </c>
      <c r="H2814" s="275" t="s">
        <v>91</v>
      </c>
      <c r="I2814" s="275" t="s">
        <v>219</v>
      </c>
      <c r="J2814" s="433" t="s">
        <v>118</v>
      </c>
      <c r="K2814" s="302"/>
    </row>
    <row r="2815" spans="1:17" x14ac:dyDescent="0.2">
      <c r="A2815" s="248"/>
      <c r="B2815" s="238"/>
      <c r="C2815" s="238"/>
      <c r="D2815" s="276"/>
      <c r="E2815" s="277"/>
      <c r="F2815" s="277"/>
      <c r="G2815" s="243"/>
      <c r="H2815" s="278"/>
      <c r="I2815" s="243">
        <f>TRUNC(G2815*H2815,2)</f>
        <v>0</v>
      </c>
      <c r="K2815" s="302"/>
    </row>
    <row r="2816" spans="1:17" x14ac:dyDescent="0.2">
      <c r="A2816" s="201"/>
      <c r="B2816" s="271"/>
      <c r="C2816" s="201"/>
      <c r="D2816" s="201"/>
      <c r="E2816" s="201"/>
      <c r="F2816" s="272" t="s">
        <v>220</v>
      </c>
      <c r="G2816" s="244"/>
      <c r="H2816" s="279"/>
      <c r="I2816" s="438">
        <f>SUM(I2815:I2815)</f>
        <v>0</v>
      </c>
      <c r="K2816" s="302"/>
    </row>
    <row r="2817" spans="1:15" x14ac:dyDescent="0.2">
      <c r="A2817" s="201"/>
      <c r="B2817" s="271"/>
      <c r="C2817" s="201"/>
      <c r="D2817" s="201"/>
      <c r="E2817" s="201"/>
      <c r="F2817" s="201"/>
      <c r="G2817" s="201"/>
      <c r="H2817" s="201"/>
      <c r="I2817" s="202"/>
      <c r="K2817" s="302"/>
    </row>
    <row r="2818" spans="1:15" x14ac:dyDescent="0.2">
      <c r="A2818" s="280"/>
      <c r="B2818" s="281"/>
      <c r="C2818" s="282"/>
      <c r="D2818" s="282"/>
      <c r="E2818" s="282"/>
      <c r="F2818" s="283" t="s">
        <v>221</v>
      </c>
      <c r="G2818" s="280"/>
      <c r="H2818" s="254"/>
      <c r="I2818" s="634">
        <f>+I2804+I2808+I2812+I2816</f>
        <v>6.54</v>
      </c>
      <c r="O2818" s="372"/>
    </row>
    <row r="2819" spans="1:15" x14ac:dyDescent="0.2">
      <c r="A2819" s="260"/>
      <c r="B2819" s="284"/>
      <c r="C2819" s="273"/>
      <c r="D2819" s="273"/>
      <c r="E2819" s="273"/>
      <c r="F2819" s="285" t="str">
        <f>CONCATENATE($H$3," ",$I$3)</f>
        <v>BDI: 23,32</v>
      </c>
      <c r="G2819" s="439"/>
      <c r="H2819" s="258"/>
      <c r="I2819" s="635">
        <f>+ROUND(I2818*$I$4,2)</f>
        <v>1.53</v>
      </c>
      <c r="O2819" s="372"/>
    </row>
    <row r="2820" spans="1:15" x14ac:dyDescent="0.2">
      <c r="A2820" s="260"/>
      <c r="B2820" s="284"/>
      <c r="C2820" s="273"/>
      <c r="D2820" s="273"/>
      <c r="E2820" s="273"/>
      <c r="F2820" s="285" t="s">
        <v>222</v>
      </c>
      <c r="G2820" s="439"/>
      <c r="H2820" s="258"/>
      <c r="I2820" s="1020">
        <f>+I2818+I2819</f>
        <v>8.07</v>
      </c>
      <c r="O2820" s="372"/>
    </row>
    <row r="2821" spans="1:15" ht="21" customHeight="1" x14ac:dyDescent="0.2">
      <c r="A2821" s="1277" t="str">
        <f>$A$1</f>
        <v>COMPOSIÇÃO DE CUSTOS UNITÁRIOS</v>
      </c>
      <c r="B2821" s="1277"/>
      <c r="C2821" s="1277"/>
      <c r="D2821" s="1277"/>
      <c r="E2821" s="1277"/>
      <c r="F2821" s="1277"/>
      <c r="G2821" s="1277"/>
      <c r="H2821" s="1277"/>
      <c r="I2821" s="1277"/>
    </row>
    <row r="2822" spans="1:15" x14ac:dyDescent="0.2">
      <c r="A2822" s="232" t="str">
        <f>$A$2</f>
        <v>Tabela Referencial de Preços - DER-ES</v>
      </c>
      <c r="B2822" s="233"/>
      <c r="C2822" s="199"/>
      <c r="D2822" s="199"/>
      <c r="E2822" s="199"/>
      <c r="F2822" s="199"/>
      <c r="G2822" s="199"/>
      <c r="H2822" s="199"/>
      <c r="I2822" s="234" t="str">
        <f>$I$2</f>
        <v>Data Base: Outubro/2018</v>
      </c>
      <c r="J2822" s="433">
        <v>40177</v>
      </c>
      <c r="K2822" s="433">
        <f>VLOOKUP("Preço Unitário Total",F2824:I4251,4,FALSE)</f>
        <v>4.2699999999999996</v>
      </c>
      <c r="L2822" s="302">
        <f>VLOOKUP(J2822,'DER 10-18'!A:E,5,FALSE)</f>
        <v>0</v>
      </c>
      <c r="M2822" s="302" t="str">
        <f>VLOOKUP(J2822,'DER 10-18'!$A:$D,2,FALSE)</f>
        <v>Espalhamento de material de 1ª categoria com trator de esteiras</v>
      </c>
    </row>
    <row r="2823" spans="1:15" x14ac:dyDescent="0.2">
      <c r="A2823" s="1278" t="str">
        <f>+CONCATENATE("Serviço: ",J2822," ",VLOOKUP(J2822,'DER 10-18'!$A:$D,2,FALSE))</f>
        <v>Serviço: 40177 Espalhamento de material de 1ª categoria com trator de esteiras</v>
      </c>
      <c r="B2823" s="1278"/>
      <c r="C2823" s="1278"/>
      <c r="D2823" s="1278"/>
      <c r="E2823" s="1278"/>
      <c r="F2823" s="1278"/>
      <c r="G2823" s="1278"/>
      <c r="H2823" s="1278"/>
      <c r="I2823" s="1278" t="str">
        <f>CONCATENATE("Unidade: ", VLOOKUP(J2822,'DER 10-18'!$A:$E,3,FALSE))</f>
        <v>Unidade: M3</v>
      </c>
    </row>
    <row r="2824" spans="1:15" x14ac:dyDescent="0.2">
      <c r="A2824" s="1279"/>
      <c r="B2824" s="1279"/>
      <c r="C2824" s="1279"/>
      <c r="D2824" s="1279"/>
      <c r="E2824" s="1279"/>
      <c r="F2824" s="1279"/>
      <c r="G2824" s="1279"/>
      <c r="H2824" s="1279"/>
      <c r="I2824" s="1279"/>
    </row>
    <row r="2825" spans="1:15" ht="22.5" x14ac:dyDescent="0.2">
      <c r="A2825" s="235" t="s">
        <v>192</v>
      </c>
      <c r="B2825" s="236" t="s">
        <v>60</v>
      </c>
      <c r="C2825" s="236" t="s">
        <v>193</v>
      </c>
      <c r="D2825" s="236" t="s">
        <v>194</v>
      </c>
      <c r="E2825" s="236" t="s">
        <v>195</v>
      </c>
      <c r="F2825" s="236" t="s">
        <v>196</v>
      </c>
      <c r="G2825" s="236" t="s">
        <v>197</v>
      </c>
      <c r="H2825" s="236" t="s">
        <v>91</v>
      </c>
      <c r="I2825" s="236" t="s">
        <v>198</v>
      </c>
    </row>
    <row r="2826" spans="1:15" ht="22.5" x14ac:dyDescent="0.2">
      <c r="A2826" s="237" t="str">
        <f>VLOOKUP(B2826,equip.!$A:$G,2,FALSE)</f>
        <v>Trator de esteiras ref. Caterpillar cm lâmina modelo D6N ou equivalente</v>
      </c>
      <c r="B2826" s="238">
        <v>30016</v>
      </c>
      <c r="C2826" s="239" t="str">
        <f>VLOOKUP(B2826,equip.!$A$1:$G$239,3,FALSE)</f>
        <v>M</v>
      </c>
      <c r="D2826" s="240">
        <v>1</v>
      </c>
      <c r="E2826" s="205">
        <v>0</v>
      </c>
      <c r="F2826" s="241">
        <f>VLOOKUP(B2826,equip.!$A:$G,6,FALSE)</f>
        <v>317.38</v>
      </c>
      <c r="G2826" s="241">
        <f>VLOOKUP(B2826,equip.!$A:$G,7,FALSE)</f>
        <v>115.44</v>
      </c>
      <c r="H2826" s="242">
        <v>1</v>
      </c>
      <c r="I2826" s="243">
        <f>TRUNC(D2826*F2826*H2826+E2826*G2826*H2826,2)</f>
        <v>317.38</v>
      </c>
    </row>
    <row r="2827" spans="1:15" x14ac:dyDescent="0.2">
      <c r="A2827" s="199"/>
      <c r="B2827" s="233"/>
      <c r="C2827" s="233"/>
      <c r="D2827" s="199"/>
      <c r="E2827" s="199"/>
      <c r="F2827" s="234" t="s">
        <v>199</v>
      </c>
      <c r="G2827" s="244"/>
      <c r="H2827" s="245"/>
      <c r="I2827" s="434">
        <f>SUM(I2826:I2826)</f>
        <v>317.38</v>
      </c>
    </row>
    <row r="2828" spans="1:15" x14ac:dyDescent="0.2">
      <c r="A2828" s="199"/>
      <c r="B2828" s="233"/>
      <c r="C2828" s="233"/>
      <c r="D2828" s="199"/>
      <c r="E2828" s="199"/>
      <c r="F2828" s="199"/>
      <c r="G2828" s="199"/>
      <c r="H2828" s="199"/>
      <c r="I2828" s="200"/>
    </row>
    <row r="2829" spans="1:15" x14ac:dyDescent="0.2">
      <c r="A2829" s="246" t="s">
        <v>200</v>
      </c>
      <c r="B2829" s="247" t="s">
        <v>60</v>
      </c>
      <c r="C2829" s="236" t="s">
        <v>1242</v>
      </c>
      <c r="D2829" s="247" t="s">
        <v>202</v>
      </c>
      <c r="E2829" s="1276" t="s">
        <v>91</v>
      </c>
      <c r="F2829" s="1274"/>
      <c r="G2829" s="1275"/>
      <c r="H2829" s="1276" t="s">
        <v>198</v>
      </c>
      <c r="I2829" s="1275"/>
    </row>
    <row r="2830" spans="1:15" x14ac:dyDescent="0.2">
      <c r="A2830" s="248" t="str">
        <f>VLOOKUP(B2830,m.o.!$A:$H,2,FALSE)</f>
        <v>Encarregado de terraplenagem</v>
      </c>
      <c r="B2830" s="238">
        <v>20067</v>
      </c>
      <c r="C2830" s="243">
        <f>VLOOKUP(B2830,m.o.!$A:$F,4,FALSE)</f>
        <v>2.35</v>
      </c>
      <c r="D2830" s="243">
        <f>VLOOKUP(B2830,m.o.!$A:$G,7,FALSE)</f>
        <v>27.35</v>
      </c>
      <c r="E2830" s="260"/>
      <c r="F2830" s="258"/>
      <c r="G2830" s="300">
        <v>0.5</v>
      </c>
      <c r="H2830" s="244"/>
      <c r="I2830" s="249">
        <f>TRUNC(D2830*G2830,2)</f>
        <v>13.67</v>
      </c>
    </row>
    <row r="2831" spans="1:15" x14ac:dyDescent="0.2">
      <c r="A2831" s="248" t="str">
        <f>VLOOKUP(B2831,m.o.!$A:$H,2,FALSE)</f>
        <v>Servente</v>
      </c>
      <c r="B2831" s="238">
        <v>20002</v>
      </c>
      <c r="C2831" s="243">
        <f>VLOOKUP(B2831,m.o.!$A:$F,4,FALSE)</f>
        <v>1</v>
      </c>
      <c r="D2831" s="243">
        <f>VLOOKUP(B2831,m.o.!$A:$G,7,FALSE)</f>
        <v>11.64</v>
      </c>
      <c r="E2831" s="244"/>
      <c r="F2831" s="245"/>
      <c r="G2831" s="441">
        <v>1</v>
      </c>
      <c r="H2831" s="244"/>
      <c r="I2831" s="249">
        <f>TRUNC(D2831*G2831,2)</f>
        <v>11.64</v>
      </c>
    </row>
    <row r="2832" spans="1:15" x14ac:dyDescent="0.2">
      <c r="A2832" s="199"/>
      <c r="B2832" s="233"/>
      <c r="C2832" s="233"/>
      <c r="D2832" s="199"/>
      <c r="E2832" s="199"/>
      <c r="F2832" s="234" t="s">
        <v>203</v>
      </c>
      <c r="G2832" s="244"/>
      <c r="H2832" s="245"/>
      <c r="I2832" s="434">
        <f>SUM(I2830:I2831)</f>
        <v>25.31</v>
      </c>
    </row>
    <row r="2833" spans="1:17" x14ac:dyDescent="0.2">
      <c r="A2833" s="199"/>
      <c r="B2833" s="233"/>
      <c r="C2833" s="233"/>
      <c r="D2833" s="199"/>
      <c r="E2833" s="199"/>
      <c r="F2833" s="199"/>
      <c r="G2833" s="199"/>
      <c r="H2833" s="199"/>
      <c r="I2833" s="200"/>
    </row>
    <row r="2834" spans="1:17" x14ac:dyDescent="0.2">
      <c r="A2834" s="270" t="s">
        <v>204</v>
      </c>
      <c r="B2834" s="247" t="s">
        <v>60</v>
      </c>
      <c r="C2834" s="866" t="s">
        <v>17</v>
      </c>
      <c r="D2834" s="247" t="s">
        <v>205</v>
      </c>
      <c r="E2834" s="247" t="s">
        <v>206</v>
      </c>
      <c r="F2834" s="247" t="s">
        <v>207</v>
      </c>
      <c r="G2834" s="1276" t="s">
        <v>96</v>
      </c>
      <c r="H2834" s="1274"/>
      <c r="I2834" s="1275"/>
      <c r="J2834" s="302"/>
      <c r="K2834" s="302"/>
    </row>
    <row r="2835" spans="1:17" x14ac:dyDescent="0.2">
      <c r="A2835" s="248"/>
      <c r="B2835" s="238"/>
      <c r="C2835" s="243"/>
      <c r="D2835" s="239"/>
      <c r="E2835" s="251"/>
      <c r="F2835" s="251"/>
      <c r="G2835" s="244"/>
      <c r="H2835" s="245"/>
      <c r="I2835" s="249"/>
      <c r="J2835" s="302"/>
      <c r="K2835" s="302"/>
    </row>
    <row r="2836" spans="1:17" x14ac:dyDescent="0.2">
      <c r="A2836" s="199"/>
      <c r="B2836" s="233"/>
      <c r="C2836" s="199"/>
      <c r="D2836" s="199"/>
      <c r="E2836" s="199"/>
      <c r="F2836" s="234" t="s">
        <v>1170</v>
      </c>
      <c r="G2836" s="244"/>
      <c r="H2836" s="245"/>
      <c r="I2836" s="434">
        <f>SUM(I2835)</f>
        <v>0</v>
      </c>
      <c r="J2836" s="302"/>
      <c r="K2836" s="302"/>
    </row>
    <row r="2837" spans="1:17" x14ac:dyDescent="0.2">
      <c r="A2837" s="199"/>
      <c r="B2837" s="233"/>
      <c r="C2837" s="199"/>
      <c r="D2837" s="199"/>
      <c r="E2837" s="199"/>
      <c r="F2837" s="199"/>
      <c r="G2837" s="199"/>
      <c r="H2837" s="199"/>
      <c r="I2837" s="200"/>
      <c r="J2837" s="302"/>
      <c r="K2837" s="302"/>
    </row>
    <row r="2838" spans="1:17" x14ac:dyDescent="0.2">
      <c r="A2838" s="252"/>
      <c r="B2838" s="253"/>
      <c r="C2838" s="254"/>
      <c r="D2838" s="254"/>
      <c r="E2838" s="254"/>
      <c r="F2838" s="255" t="s">
        <v>208</v>
      </c>
      <c r="G2838" s="435"/>
      <c r="H2838" s="254"/>
      <c r="I2838" s="634">
        <f>+I2827+I2832+I2836</f>
        <v>342.69</v>
      </c>
      <c r="J2838" s="302"/>
      <c r="K2838" s="302"/>
    </row>
    <row r="2839" spans="1:17" s="198" customFormat="1" x14ac:dyDescent="0.2">
      <c r="A2839" s="256"/>
      <c r="B2839" s="257"/>
      <c r="C2839" s="258"/>
      <c r="D2839" s="258"/>
      <c r="E2839" s="258"/>
      <c r="F2839" s="259" t="s">
        <v>209</v>
      </c>
      <c r="G2839" s="260"/>
      <c r="H2839" s="258"/>
      <c r="I2839" s="635">
        <v>99</v>
      </c>
      <c r="J2839" s="302"/>
      <c r="K2839" s="302"/>
      <c r="L2839" s="302"/>
      <c r="M2839" s="302"/>
      <c r="N2839" s="302"/>
      <c r="O2839" s="302"/>
      <c r="P2839" s="302"/>
      <c r="Q2839" s="302"/>
    </row>
    <row r="2840" spans="1:17" s="198" customFormat="1" x14ac:dyDescent="0.2">
      <c r="A2840" s="237"/>
      <c r="B2840" s="261"/>
      <c r="C2840" s="245"/>
      <c r="D2840" s="245"/>
      <c r="E2840" s="245"/>
      <c r="F2840" s="262" t="s">
        <v>232</v>
      </c>
      <c r="G2840" s="244"/>
      <c r="H2840" s="245"/>
      <c r="I2840" s="633">
        <f>TRUNC(I2838/I2839,2)</f>
        <v>3.46</v>
      </c>
      <c r="J2840" s="302"/>
      <c r="K2840" s="302"/>
      <c r="L2840" s="302"/>
      <c r="M2840" s="302"/>
      <c r="N2840" s="302"/>
      <c r="O2840" s="372"/>
      <c r="P2840" s="302"/>
      <c r="Q2840" s="302"/>
    </row>
    <row r="2841" spans="1:17" x14ac:dyDescent="0.2">
      <c r="A2841" s="867"/>
      <c r="B2841" s="233"/>
      <c r="C2841" s="199"/>
      <c r="D2841" s="199"/>
      <c r="E2841" s="199"/>
      <c r="F2841" s="263"/>
      <c r="G2841" s="199"/>
      <c r="H2841" s="199"/>
      <c r="I2841" s="264"/>
      <c r="J2841" s="302"/>
      <c r="K2841" s="302"/>
      <c r="O2841" s="472"/>
    </row>
    <row r="2842" spans="1:17" x14ac:dyDescent="0.2">
      <c r="A2842" s="246" t="s">
        <v>210</v>
      </c>
      <c r="B2842" s="247" t="s">
        <v>60</v>
      </c>
      <c r="C2842" s="247" t="s">
        <v>211</v>
      </c>
      <c r="D2842" s="247" t="s">
        <v>233</v>
      </c>
      <c r="E2842" s="1276" t="s">
        <v>91</v>
      </c>
      <c r="F2842" s="1274"/>
      <c r="G2842" s="1275"/>
      <c r="H2842" s="1276" t="s">
        <v>198</v>
      </c>
      <c r="I2842" s="1275"/>
      <c r="J2842" s="302"/>
      <c r="K2842" s="302"/>
    </row>
    <row r="2843" spans="1:17" x14ac:dyDescent="0.2">
      <c r="A2843" s="265"/>
      <c r="B2843" s="238"/>
      <c r="C2843" s="266"/>
      <c r="D2843" s="267"/>
      <c r="E2843" s="260"/>
      <c r="F2843" s="258"/>
      <c r="G2843" s="300"/>
      <c r="H2843" s="260"/>
      <c r="I2843" s="268">
        <f>TRUNC(D2843*G2843,2)</f>
        <v>0</v>
      </c>
      <c r="J2843" s="302"/>
      <c r="K2843" s="302"/>
    </row>
    <row r="2844" spans="1:17" x14ac:dyDescent="0.2">
      <c r="A2844" s="199"/>
      <c r="B2844" s="233"/>
      <c r="C2844" s="199"/>
      <c r="D2844" s="199"/>
      <c r="E2844" s="199"/>
      <c r="F2844" s="234" t="s">
        <v>212</v>
      </c>
      <c r="G2844" s="244"/>
      <c r="H2844" s="245"/>
      <c r="I2844" s="434">
        <f>SUM(I2843:I2843)</f>
        <v>0</v>
      </c>
      <c r="J2844" s="302"/>
      <c r="K2844" s="302"/>
    </row>
    <row r="2845" spans="1:17" x14ac:dyDescent="0.2">
      <c r="A2845" s="199"/>
      <c r="B2845" s="233"/>
      <c r="C2845" s="199"/>
      <c r="D2845" s="199"/>
      <c r="E2845" s="199"/>
      <c r="F2845" s="199"/>
      <c r="G2845" s="269"/>
      <c r="H2845" s="199"/>
      <c r="I2845" s="200"/>
      <c r="J2845" s="302"/>
      <c r="K2845" s="302"/>
    </row>
    <row r="2846" spans="1:17" x14ac:dyDescent="0.2">
      <c r="A2846" s="270" t="s">
        <v>213</v>
      </c>
      <c r="B2846" s="247" t="s">
        <v>60</v>
      </c>
      <c r="C2846" s="247" t="s">
        <v>211</v>
      </c>
      <c r="D2846" s="866" t="s">
        <v>233</v>
      </c>
      <c r="E2846" s="1276" t="s">
        <v>91</v>
      </c>
      <c r="F2846" s="1274"/>
      <c r="G2846" s="1275"/>
      <c r="H2846" s="1276" t="s">
        <v>198</v>
      </c>
      <c r="I2846" s="1275"/>
      <c r="J2846" s="302"/>
      <c r="K2846" s="302"/>
    </row>
    <row r="2847" spans="1:17" x14ac:dyDescent="0.2">
      <c r="A2847" s="248"/>
      <c r="B2847" s="238"/>
      <c r="C2847" s="238"/>
      <c r="D2847" s="243"/>
      <c r="E2847" s="260"/>
      <c r="F2847" s="258"/>
      <c r="G2847" s="300"/>
      <c r="H2847" s="244"/>
      <c r="I2847" s="268">
        <f>TRUNC(D2847*G2847,2)</f>
        <v>0</v>
      </c>
      <c r="J2847" s="302"/>
      <c r="K2847" s="302"/>
    </row>
    <row r="2848" spans="1:17" x14ac:dyDescent="0.2">
      <c r="A2848" s="201"/>
      <c r="B2848" s="271"/>
      <c r="C2848" s="201"/>
      <c r="D2848" s="201"/>
      <c r="E2848" s="201"/>
      <c r="F2848" s="272" t="s">
        <v>214</v>
      </c>
      <c r="G2848" s="260"/>
      <c r="H2848" s="273"/>
      <c r="I2848" s="436">
        <f>SUM(I2845:I2847)</f>
        <v>0</v>
      </c>
      <c r="J2848" s="302"/>
      <c r="K2848" s="302"/>
    </row>
    <row r="2849" spans="1:14" x14ac:dyDescent="0.2">
      <c r="A2849" s="201"/>
      <c r="B2849" s="271"/>
      <c r="C2849" s="201"/>
      <c r="D2849" s="201"/>
      <c r="E2849" s="201"/>
      <c r="F2849" s="201"/>
      <c r="G2849" s="201"/>
      <c r="H2849" s="201"/>
      <c r="I2849" s="201"/>
      <c r="J2849" s="302"/>
      <c r="K2849" s="302"/>
    </row>
    <row r="2850" spans="1:14" x14ac:dyDescent="0.2">
      <c r="A2850" s="442" t="s">
        <v>215</v>
      </c>
      <c r="B2850" s="275" t="s">
        <v>60</v>
      </c>
      <c r="C2850" s="275" t="s">
        <v>211</v>
      </c>
      <c r="D2850" s="275" t="s">
        <v>216</v>
      </c>
      <c r="E2850" s="275" t="s">
        <v>217</v>
      </c>
      <c r="F2850" s="275" t="s">
        <v>218</v>
      </c>
      <c r="G2850" s="275" t="s">
        <v>96</v>
      </c>
      <c r="H2850" s="275" t="s">
        <v>91</v>
      </c>
      <c r="I2850" s="275" t="s">
        <v>219</v>
      </c>
      <c r="J2850" s="433" t="s">
        <v>118</v>
      </c>
    </row>
    <row r="2851" spans="1:14" x14ac:dyDescent="0.2">
      <c r="A2851" s="248"/>
      <c r="B2851" s="238"/>
      <c r="C2851" s="238"/>
      <c r="D2851" s="276"/>
      <c r="E2851" s="277"/>
      <c r="F2851" s="277"/>
      <c r="G2851" s="243"/>
      <c r="H2851" s="278"/>
      <c r="I2851" s="243">
        <f>TRUNC(G2851*H2851,2)</f>
        <v>0</v>
      </c>
    </row>
    <row r="2852" spans="1:14" x14ac:dyDescent="0.2">
      <c r="A2852" s="201"/>
      <c r="B2852" s="271"/>
      <c r="C2852" s="201"/>
      <c r="D2852" s="201"/>
      <c r="E2852" s="201"/>
      <c r="F2852" s="272" t="s">
        <v>220</v>
      </c>
      <c r="G2852" s="244"/>
      <c r="H2852" s="279"/>
      <c r="I2852" s="438">
        <f>SUM(I2851:I2851)</f>
        <v>0</v>
      </c>
    </row>
    <row r="2853" spans="1:14" x14ac:dyDescent="0.2">
      <c r="A2853" s="201"/>
      <c r="B2853" s="271"/>
      <c r="C2853" s="201"/>
      <c r="D2853" s="201"/>
      <c r="E2853" s="201"/>
      <c r="F2853" s="201"/>
      <c r="G2853" s="201"/>
      <c r="H2853" s="201"/>
      <c r="I2853" s="202"/>
    </row>
    <row r="2854" spans="1:14" x14ac:dyDescent="0.2">
      <c r="A2854" s="280"/>
      <c r="B2854" s="281"/>
      <c r="C2854" s="282"/>
      <c r="D2854" s="282"/>
      <c r="E2854" s="282"/>
      <c r="F2854" s="283" t="s">
        <v>221</v>
      </c>
      <c r="G2854" s="280"/>
      <c r="H2854" s="254"/>
      <c r="I2854" s="634">
        <f>+I2840+I2844+I2848+I2852</f>
        <v>3.46</v>
      </c>
    </row>
    <row r="2855" spans="1:14" x14ac:dyDescent="0.2">
      <c r="A2855" s="260"/>
      <c r="B2855" s="284"/>
      <c r="C2855" s="273"/>
      <c r="D2855" s="273"/>
      <c r="E2855" s="273"/>
      <c r="F2855" s="285" t="str">
        <f>CONCATENATE($H$3," ",$I$3)</f>
        <v>BDI: 23,32</v>
      </c>
      <c r="G2855" s="439"/>
      <c r="H2855" s="258"/>
      <c r="I2855" s="635">
        <f>+ROUND(I2854*$I$4,2)</f>
        <v>0.81</v>
      </c>
    </row>
    <row r="2856" spans="1:14" x14ac:dyDescent="0.2">
      <c r="A2856" s="244"/>
      <c r="B2856" s="286"/>
      <c r="C2856" s="279"/>
      <c r="D2856" s="279"/>
      <c r="E2856" s="279"/>
      <c r="F2856" s="287" t="s">
        <v>222</v>
      </c>
      <c r="G2856" s="440"/>
      <c r="H2856" s="245"/>
      <c r="I2856" s="1017">
        <f>+I2854+I2855</f>
        <v>4.2699999999999996</v>
      </c>
    </row>
    <row r="2857" spans="1:14" ht="22.5" customHeight="1" x14ac:dyDescent="0.2">
      <c r="A2857" s="1277" t="str">
        <f>$A$1</f>
        <v>COMPOSIÇÃO DE CUSTOS UNITÁRIOS</v>
      </c>
      <c r="B2857" s="1277"/>
      <c r="C2857" s="1277"/>
      <c r="D2857" s="1277"/>
      <c r="E2857" s="1277"/>
      <c r="F2857" s="1277"/>
      <c r="G2857" s="1277"/>
      <c r="H2857" s="1277"/>
      <c r="I2857" s="1277"/>
    </row>
    <row r="2858" spans="1:14" x14ac:dyDescent="0.2">
      <c r="A2858" s="232" t="str">
        <f>$A$2</f>
        <v>Tabela Referencial de Preços - DER-ES</v>
      </c>
      <c r="B2858" s="233"/>
      <c r="C2858" s="199"/>
      <c r="D2858" s="199"/>
      <c r="E2858" s="199"/>
      <c r="F2858" s="199"/>
      <c r="G2858" s="199"/>
      <c r="H2858" s="199"/>
      <c r="I2858" s="234" t="str">
        <f>$I$2</f>
        <v>Data Base: Outubro/2018</v>
      </c>
      <c r="J2858" s="22">
        <v>42201</v>
      </c>
      <c r="K2858" s="433">
        <f>VLOOKUP("Preço Unitário Total",F2860:I4251,4,FALSE)</f>
        <v>4.03</v>
      </c>
      <c r="L2858" s="302">
        <f>VLOOKUP(J2858,'DER 10-18'!A:E,5,FALSE)</f>
        <v>0</v>
      </c>
      <c r="M2858" s="302" t="str">
        <f>VLOOKUP(J2858,'DER 10-18'!$A:$D,2,FALSE)</f>
        <v>Hidrossemeadura simples em terrenos planos</v>
      </c>
      <c r="N2858" s="372"/>
    </row>
    <row r="2859" spans="1:14" x14ac:dyDescent="0.2">
      <c r="A2859" s="1278" t="str">
        <f>+CONCATENATE("Serviço: ",J2858," ",VLOOKUP(J2858,'DER 10-18'!$A:$D,2,FALSE))</f>
        <v>Serviço: 42201 Hidrossemeadura simples em terrenos planos</v>
      </c>
      <c r="B2859" s="1278"/>
      <c r="C2859" s="1278"/>
      <c r="D2859" s="1278"/>
      <c r="E2859" s="1278"/>
      <c r="F2859" s="1278"/>
      <c r="G2859" s="1278"/>
      <c r="H2859" s="1278"/>
      <c r="I2859" s="1278" t="str">
        <f>CONCATENATE("Unidade: ", VLOOKUP(J2858,'DER 10-18'!$A:$E,3,FALSE))</f>
        <v>Unidade: M2</v>
      </c>
      <c r="J2859" s="22"/>
      <c r="L2859" s="372"/>
      <c r="M2859" s="372"/>
      <c r="N2859" s="372"/>
    </row>
    <row r="2860" spans="1:14" x14ac:dyDescent="0.2">
      <c r="A2860" s="1279"/>
      <c r="B2860" s="1279"/>
      <c r="C2860" s="1279"/>
      <c r="D2860" s="1279"/>
      <c r="E2860" s="1279"/>
      <c r="F2860" s="1279"/>
      <c r="G2860" s="1279"/>
      <c r="H2860" s="1279"/>
      <c r="I2860" s="1279"/>
      <c r="J2860" s="22"/>
      <c r="K2860" s="22"/>
      <c r="L2860" s="372"/>
      <c r="M2860" s="372"/>
      <c r="N2860" s="372"/>
    </row>
    <row r="2861" spans="1:14" ht="22.5" x14ac:dyDescent="0.2">
      <c r="A2861" s="235" t="s">
        <v>192</v>
      </c>
      <c r="B2861" s="236" t="s">
        <v>60</v>
      </c>
      <c r="C2861" s="236" t="s">
        <v>193</v>
      </c>
      <c r="D2861" s="236" t="s">
        <v>194</v>
      </c>
      <c r="E2861" s="236" t="s">
        <v>195</v>
      </c>
      <c r="F2861" s="236" t="s">
        <v>196</v>
      </c>
      <c r="G2861" s="236" t="s">
        <v>197</v>
      </c>
      <c r="H2861" s="236" t="s">
        <v>91</v>
      </c>
      <c r="I2861" s="236" t="s">
        <v>198</v>
      </c>
    </row>
    <row r="2862" spans="1:14" ht="22.5" x14ac:dyDescent="0.2">
      <c r="A2862" s="237" t="str">
        <f>VLOOKUP(B2862,equip.!$A:$G,2,FALSE)</f>
        <v>Caminhão tanque L 1319/48 PBT=12,9t (6.000L)</v>
      </c>
      <c r="B2862" s="238">
        <v>30007</v>
      </c>
      <c r="C2862" s="239" t="str">
        <f>VLOOKUP(B2862,equip.!$A$1:$G$239,3,FALSE)</f>
        <v>M</v>
      </c>
      <c r="D2862" s="240">
        <v>1</v>
      </c>
      <c r="E2862" s="205">
        <v>0</v>
      </c>
      <c r="F2862" s="241">
        <f>VLOOKUP(B2862,equip.!$A:$G,6,FALSE)</f>
        <v>155.91</v>
      </c>
      <c r="G2862" s="241">
        <f>VLOOKUP(B2862,equip.!$A:$G,7,FALSE)</f>
        <v>43.38</v>
      </c>
      <c r="H2862" s="242">
        <v>1</v>
      </c>
      <c r="I2862" s="243">
        <f>TRUNC(D2862*F2862*H2862+E2862*G2862*H2862,2)</f>
        <v>155.91</v>
      </c>
    </row>
    <row r="2863" spans="1:14" x14ac:dyDescent="0.2">
      <c r="A2863" s="199"/>
      <c r="B2863" s="233"/>
      <c r="C2863" s="233"/>
      <c r="D2863" s="199"/>
      <c r="E2863" s="199"/>
      <c r="F2863" s="234" t="s">
        <v>199</v>
      </c>
      <c r="G2863" s="244"/>
      <c r="H2863" s="245"/>
      <c r="I2863" s="434">
        <f>SUM(I2862:I2862)</f>
        <v>155.91</v>
      </c>
      <c r="J2863" s="302"/>
      <c r="K2863" s="302"/>
    </row>
    <row r="2864" spans="1:14" x14ac:dyDescent="0.2">
      <c r="A2864" s="199"/>
      <c r="B2864" s="233"/>
      <c r="C2864" s="233"/>
      <c r="D2864" s="199"/>
      <c r="E2864" s="199"/>
      <c r="F2864" s="199"/>
      <c r="G2864" s="199"/>
      <c r="H2864" s="199"/>
      <c r="I2864" s="200"/>
      <c r="J2864" s="302"/>
      <c r="K2864" s="302"/>
    </row>
    <row r="2865" spans="1:17" x14ac:dyDescent="0.2">
      <c r="A2865" s="246" t="s">
        <v>200</v>
      </c>
      <c r="B2865" s="247" t="s">
        <v>60</v>
      </c>
      <c r="C2865" s="236" t="s">
        <v>1242</v>
      </c>
      <c r="D2865" s="247" t="s">
        <v>202</v>
      </c>
      <c r="E2865" s="1276" t="s">
        <v>91</v>
      </c>
      <c r="F2865" s="1274"/>
      <c r="G2865" s="1275"/>
      <c r="H2865" s="1276" t="s">
        <v>198</v>
      </c>
      <c r="I2865" s="1275"/>
      <c r="J2865" s="302"/>
      <c r="K2865" s="302"/>
    </row>
    <row r="2866" spans="1:17" x14ac:dyDescent="0.2">
      <c r="A2866" s="248" t="str">
        <f>VLOOKUP(B2866,m.o.!$A:$H,2,FALSE)</f>
        <v>Servente</v>
      </c>
      <c r="B2866" s="238">
        <v>20002</v>
      </c>
      <c r="C2866" s="243">
        <f>VLOOKUP(B2866,m.o.!$A:$F,4,FALSE)</f>
        <v>1</v>
      </c>
      <c r="D2866" s="243">
        <f>VLOOKUP(B2866,m.o.!$A:$G,7,FALSE)</f>
        <v>11.64</v>
      </c>
      <c r="E2866" s="244"/>
      <c r="F2866" s="258"/>
      <c r="G2866" s="300">
        <v>2</v>
      </c>
      <c r="H2866" s="244"/>
      <c r="I2866" s="249">
        <f>TRUNC(D2866*G2866,2)</f>
        <v>23.28</v>
      </c>
      <c r="J2866" s="302"/>
      <c r="K2866" s="302"/>
    </row>
    <row r="2867" spans="1:17" x14ac:dyDescent="0.2">
      <c r="A2867" s="199"/>
      <c r="B2867" s="233"/>
      <c r="C2867" s="233"/>
      <c r="D2867" s="199"/>
      <c r="E2867" s="199"/>
      <c r="F2867" s="234" t="s">
        <v>203</v>
      </c>
      <c r="G2867" s="244"/>
      <c r="H2867" s="245"/>
      <c r="I2867" s="434">
        <f>SUM(I2866:I2866)</f>
        <v>23.28</v>
      </c>
      <c r="J2867" s="302"/>
      <c r="K2867" s="302"/>
    </row>
    <row r="2868" spans="1:17" x14ac:dyDescent="0.2">
      <c r="A2868" s="199"/>
      <c r="B2868" s="233"/>
      <c r="C2868" s="233"/>
      <c r="D2868" s="199"/>
      <c r="E2868" s="199"/>
      <c r="F2868" s="199"/>
      <c r="G2868" s="199"/>
      <c r="H2868" s="199"/>
      <c r="I2868" s="200"/>
      <c r="J2868" s="302"/>
      <c r="K2868" s="302"/>
    </row>
    <row r="2869" spans="1:17" x14ac:dyDescent="0.2">
      <c r="A2869" s="250" t="s">
        <v>204</v>
      </c>
      <c r="B2869" s="247" t="s">
        <v>60</v>
      </c>
      <c r="C2869" s="866" t="s">
        <v>17</v>
      </c>
      <c r="D2869" s="247" t="s">
        <v>205</v>
      </c>
      <c r="E2869" s="247" t="s">
        <v>206</v>
      </c>
      <c r="F2869" s="247" t="s">
        <v>207</v>
      </c>
      <c r="G2869" s="1276" t="s">
        <v>96</v>
      </c>
      <c r="H2869" s="1274"/>
      <c r="I2869" s="1275"/>
      <c r="J2869" s="302"/>
      <c r="K2869" s="302"/>
    </row>
    <row r="2870" spans="1:17" x14ac:dyDescent="0.2">
      <c r="A2870" s="248" t="s">
        <v>142</v>
      </c>
      <c r="B2870" s="238">
        <v>2000</v>
      </c>
      <c r="C2870" s="243">
        <v>5</v>
      </c>
      <c r="D2870" s="239" t="s">
        <v>223</v>
      </c>
      <c r="E2870" s="251"/>
      <c r="F2870" s="251"/>
      <c r="G2870" s="244"/>
      <c r="H2870" s="245"/>
      <c r="I2870" s="249">
        <f>C2870*I2867/100</f>
        <v>1.1599999999999999</v>
      </c>
      <c r="J2870" s="302"/>
      <c r="K2870" s="302"/>
    </row>
    <row r="2871" spans="1:17" x14ac:dyDescent="0.2">
      <c r="A2871" s="199"/>
      <c r="B2871" s="233"/>
      <c r="C2871" s="199"/>
      <c r="D2871" s="199"/>
      <c r="E2871" s="199"/>
      <c r="F2871" s="234" t="s">
        <v>1170</v>
      </c>
      <c r="G2871" s="244"/>
      <c r="H2871" s="245"/>
      <c r="I2871" s="434">
        <f>SUM(I2870)</f>
        <v>1.1599999999999999</v>
      </c>
      <c r="J2871" s="302"/>
      <c r="K2871" s="302"/>
    </row>
    <row r="2872" spans="1:17" x14ac:dyDescent="0.2">
      <c r="A2872" s="199"/>
      <c r="B2872" s="233"/>
      <c r="C2872" s="199"/>
      <c r="D2872" s="199"/>
      <c r="E2872" s="199"/>
      <c r="F2872" s="199"/>
      <c r="G2872" s="199"/>
      <c r="H2872" s="199"/>
      <c r="I2872" s="200"/>
      <c r="J2872" s="302"/>
      <c r="K2872" s="302"/>
    </row>
    <row r="2873" spans="1:17" x14ac:dyDescent="0.2">
      <c r="A2873" s="252"/>
      <c r="B2873" s="253"/>
      <c r="C2873" s="254"/>
      <c r="D2873" s="254"/>
      <c r="E2873" s="254"/>
      <c r="F2873" s="255" t="s">
        <v>208</v>
      </c>
      <c r="G2873" s="435"/>
      <c r="H2873" s="254"/>
      <c r="I2873" s="634">
        <f>+I2863+I2867+I2871</f>
        <v>180.35</v>
      </c>
      <c r="J2873" s="302"/>
      <c r="K2873" s="302"/>
    </row>
    <row r="2874" spans="1:17" x14ac:dyDescent="0.2">
      <c r="A2874" s="256"/>
      <c r="B2874" s="257"/>
      <c r="C2874" s="258"/>
      <c r="D2874" s="258"/>
      <c r="E2874" s="258"/>
      <c r="F2874" s="259" t="s">
        <v>209</v>
      </c>
      <c r="G2874" s="260"/>
      <c r="H2874" s="258"/>
      <c r="I2874" s="635">
        <v>400</v>
      </c>
      <c r="J2874" s="302"/>
      <c r="K2874" s="302"/>
    </row>
    <row r="2875" spans="1:17" s="198" customFormat="1" x14ac:dyDescent="0.2">
      <c r="A2875" s="237"/>
      <c r="B2875" s="261"/>
      <c r="C2875" s="245"/>
      <c r="D2875" s="245"/>
      <c r="E2875" s="245"/>
      <c r="F2875" s="262" t="s">
        <v>232</v>
      </c>
      <c r="G2875" s="244"/>
      <c r="H2875" s="245"/>
      <c r="I2875" s="633">
        <f>TRUNC(I2873/I2874,2)</f>
        <v>0.45</v>
      </c>
      <c r="J2875" s="302"/>
      <c r="K2875" s="302"/>
      <c r="L2875" s="302"/>
      <c r="M2875" s="302"/>
      <c r="N2875" s="302"/>
      <c r="O2875" s="302"/>
      <c r="P2875" s="302"/>
      <c r="Q2875" s="302"/>
    </row>
    <row r="2876" spans="1:17" s="198" customFormat="1" x14ac:dyDescent="0.2">
      <c r="A2876" s="867"/>
      <c r="B2876" s="233"/>
      <c r="C2876" s="199"/>
      <c r="D2876" s="199"/>
      <c r="E2876" s="199"/>
      <c r="F2876" s="263"/>
      <c r="G2876" s="199"/>
      <c r="H2876" s="199"/>
      <c r="I2876" s="264"/>
      <c r="J2876" s="302"/>
      <c r="K2876" s="302"/>
      <c r="L2876" s="302"/>
      <c r="M2876" s="302"/>
      <c r="N2876" s="302"/>
      <c r="O2876" s="302"/>
      <c r="P2876" s="302"/>
      <c r="Q2876" s="302"/>
    </row>
    <row r="2877" spans="1:17" x14ac:dyDescent="0.2">
      <c r="A2877" s="246" t="s">
        <v>210</v>
      </c>
      <c r="B2877" s="247" t="s">
        <v>60</v>
      </c>
      <c r="C2877" s="247" t="s">
        <v>211</v>
      </c>
      <c r="D2877" s="247" t="s">
        <v>233</v>
      </c>
      <c r="E2877" s="1276" t="s">
        <v>91</v>
      </c>
      <c r="F2877" s="1274"/>
      <c r="G2877" s="1275"/>
      <c r="H2877" s="1276" t="s">
        <v>198</v>
      </c>
      <c r="I2877" s="1275"/>
      <c r="J2877" s="302"/>
      <c r="K2877" s="302"/>
    </row>
    <row r="2878" spans="1:17" x14ac:dyDescent="0.2">
      <c r="A2878" s="265"/>
      <c r="B2878" s="238"/>
      <c r="C2878" s="266"/>
      <c r="D2878" s="267"/>
      <c r="E2878" s="260"/>
      <c r="F2878" s="258"/>
      <c r="G2878" s="300"/>
      <c r="H2878" s="260"/>
      <c r="I2878" s="268"/>
      <c r="J2878" s="302"/>
      <c r="K2878" s="302"/>
    </row>
    <row r="2879" spans="1:17" x14ac:dyDescent="0.2">
      <c r="A2879" s="199"/>
      <c r="B2879" s="233"/>
      <c r="C2879" s="199"/>
      <c r="D2879" s="199"/>
      <c r="E2879" s="199"/>
      <c r="F2879" s="234" t="s">
        <v>212</v>
      </c>
      <c r="G2879" s="244"/>
      <c r="H2879" s="245"/>
      <c r="I2879" s="434">
        <f>SUM(I2878:I2878)</f>
        <v>0</v>
      </c>
    </row>
    <row r="2880" spans="1:17" x14ac:dyDescent="0.2">
      <c r="A2880" s="199"/>
      <c r="B2880" s="233"/>
      <c r="C2880" s="199"/>
      <c r="D2880" s="199"/>
      <c r="E2880" s="199"/>
      <c r="F2880" s="199"/>
      <c r="G2880" s="269"/>
      <c r="H2880" s="199"/>
      <c r="I2880" s="200"/>
      <c r="J2880" s="22"/>
      <c r="K2880" s="22"/>
      <c r="L2880" s="372"/>
      <c r="M2880" s="372"/>
      <c r="N2880" s="372"/>
    </row>
    <row r="2881" spans="1:17" x14ac:dyDescent="0.2">
      <c r="A2881" s="270" t="s">
        <v>213</v>
      </c>
      <c r="B2881" s="247" t="s">
        <v>60</v>
      </c>
      <c r="C2881" s="247" t="s">
        <v>211</v>
      </c>
      <c r="D2881" s="866" t="s">
        <v>233</v>
      </c>
      <c r="E2881" s="1276" t="s">
        <v>91</v>
      </c>
      <c r="F2881" s="1274"/>
      <c r="G2881" s="1275"/>
      <c r="H2881" s="1276" t="s">
        <v>198</v>
      </c>
      <c r="I2881" s="1275"/>
      <c r="J2881" s="471"/>
      <c r="K2881" s="471"/>
      <c r="L2881" s="472"/>
      <c r="M2881" s="472"/>
      <c r="N2881" s="472"/>
    </row>
    <row r="2882" spans="1:17" x14ac:dyDescent="0.2">
      <c r="A2882" s="248" t="s">
        <v>1093</v>
      </c>
      <c r="B2882" s="238">
        <v>42237</v>
      </c>
      <c r="C2882" s="238" t="s">
        <v>1094</v>
      </c>
      <c r="D2882" s="243">
        <v>2.82</v>
      </c>
      <c r="E2882" s="260"/>
      <c r="F2882" s="258"/>
      <c r="G2882" s="300">
        <v>1</v>
      </c>
      <c r="H2882" s="244"/>
      <c r="I2882" s="268">
        <f>TRUNC(D2882*G2882,2)</f>
        <v>2.82</v>
      </c>
    </row>
    <row r="2883" spans="1:17" x14ac:dyDescent="0.2">
      <c r="A2883" s="201"/>
      <c r="B2883" s="271"/>
      <c r="C2883" s="201"/>
      <c r="D2883" s="201"/>
      <c r="E2883" s="201"/>
      <c r="F2883" s="272" t="s">
        <v>214</v>
      </c>
      <c r="G2883" s="260"/>
      <c r="H2883" s="273"/>
      <c r="I2883" s="436">
        <f>SUM(I2882:I2882)</f>
        <v>2.82</v>
      </c>
    </row>
    <row r="2884" spans="1:17" x14ac:dyDescent="0.2">
      <c r="A2884" s="201"/>
      <c r="B2884" s="271"/>
      <c r="C2884" s="201"/>
      <c r="D2884" s="201"/>
      <c r="E2884" s="201"/>
      <c r="F2884" s="201"/>
      <c r="G2884" s="201"/>
      <c r="H2884" s="201"/>
      <c r="I2884" s="201"/>
    </row>
    <row r="2885" spans="1:17" x14ac:dyDescent="0.2">
      <c r="A2885" s="274" t="s">
        <v>215</v>
      </c>
      <c r="B2885" s="275" t="s">
        <v>60</v>
      </c>
      <c r="C2885" s="275" t="s">
        <v>211</v>
      </c>
      <c r="D2885" s="275" t="s">
        <v>216</v>
      </c>
      <c r="E2885" s="275" t="s">
        <v>217</v>
      </c>
      <c r="F2885" s="275" t="s">
        <v>218</v>
      </c>
      <c r="G2885" s="275" t="s">
        <v>96</v>
      </c>
      <c r="H2885" s="275" t="s">
        <v>91</v>
      </c>
      <c r="I2885" s="275" t="s">
        <v>219</v>
      </c>
    </row>
    <row r="2886" spans="1:17" x14ac:dyDescent="0.2">
      <c r="A2886" s="248"/>
      <c r="B2886" s="238"/>
      <c r="C2886" s="238"/>
      <c r="D2886" s="276"/>
      <c r="E2886" s="277"/>
      <c r="F2886" s="277"/>
      <c r="G2886" s="243"/>
      <c r="H2886" s="278"/>
      <c r="I2886" s="243"/>
    </row>
    <row r="2887" spans="1:17" x14ac:dyDescent="0.2">
      <c r="A2887" s="201"/>
      <c r="B2887" s="271"/>
      <c r="C2887" s="201"/>
      <c r="D2887" s="201"/>
      <c r="E2887" s="201"/>
      <c r="F2887" s="272" t="s">
        <v>220</v>
      </c>
      <c r="G2887" s="244"/>
      <c r="H2887" s="279"/>
      <c r="I2887" s="438">
        <f>SUM(I2886:I2886)</f>
        <v>0</v>
      </c>
    </row>
    <row r="2888" spans="1:17" x14ac:dyDescent="0.2">
      <c r="A2888" s="201"/>
      <c r="B2888" s="271"/>
      <c r="C2888" s="201"/>
      <c r="D2888" s="201"/>
      <c r="E2888" s="201"/>
      <c r="F2888" s="201"/>
      <c r="G2888" s="201"/>
      <c r="H2888" s="201"/>
      <c r="I2888" s="202"/>
    </row>
    <row r="2889" spans="1:17" x14ac:dyDescent="0.2">
      <c r="A2889" s="280"/>
      <c r="B2889" s="281"/>
      <c r="C2889" s="282"/>
      <c r="D2889" s="282"/>
      <c r="E2889" s="282"/>
      <c r="F2889" s="283" t="s">
        <v>221</v>
      </c>
      <c r="G2889" s="280"/>
      <c r="H2889" s="254"/>
      <c r="I2889" s="634">
        <f>+I2875+I2879+I2883+I2887</f>
        <v>3.27</v>
      </c>
    </row>
    <row r="2890" spans="1:17" x14ac:dyDescent="0.2">
      <c r="A2890" s="260"/>
      <c r="B2890" s="284"/>
      <c r="C2890" s="273"/>
      <c r="D2890" s="273"/>
      <c r="E2890" s="273"/>
      <c r="F2890" s="285" t="str">
        <f>CONCATENATE($H$3," ",$I$3)</f>
        <v>BDI: 23,32</v>
      </c>
      <c r="G2890" s="439"/>
      <c r="H2890" s="258"/>
      <c r="I2890" s="635">
        <f>+ROUND(I2889*$I$4,2)</f>
        <v>0.76</v>
      </c>
    </row>
    <row r="2891" spans="1:17" x14ac:dyDescent="0.2">
      <c r="A2891" s="244"/>
      <c r="B2891" s="286"/>
      <c r="C2891" s="279"/>
      <c r="D2891" s="279"/>
      <c r="E2891" s="279"/>
      <c r="F2891" s="287" t="s">
        <v>222</v>
      </c>
      <c r="G2891" s="440"/>
      <c r="H2891" s="245"/>
      <c r="I2891" s="1017">
        <f>+I2889+I2890</f>
        <v>4.03</v>
      </c>
    </row>
    <row r="2892" spans="1:17" x14ac:dyDescent="0.2">
      <c r="A2892" s="1277" t="str">
        <f>$A$1</f>
        <v>COMPOSIÇÃO DE CUSTOS UNITÁRIOS</v>
      </c>
      <c r="B2892" s="1277"/>
      <c r="C2892" s="1277"/>
      <c r="D2892" s="1277"/>
      <c r="E2892" s="1277"/>
      <c r="F2892" s="1277"/>
      <c r="G2892" s="1277"/>
      <c r="H2892" s="1277"/>
      <c r="I2892" s="1277"/>
    </row>
    <row r="2893" spans="1:17" x14ac:dyDescent="0.2">
      <c r="A2893" s="232" t="str">
        <f>$A$2</f>
        <v>Tabela Referencial de Preços - DER-ES</v>
      </c>
      <c r="B2893" s="233"/>
      <c r="C2893" s="199"/>
      <c r="D2893" s="199"/>
      <c r="E2893" s="199"/>
      <c r="F2893" s="199"/>
      <c r="G2893" s="199"/>
      <c r="H2893" s="199"/>
      <c r="I2893" s="234" t="str">
        <f>$I$2</f>
        <v>Data Base: Outubro/2018</v>
      </c>
      <c r="J2893" s="433">
        <v>41500</v>
      </c>
      <c r="K2893" s="433">
        <f>VLOOKUP("Preço Unitário Total",F2895:I4251,4,FALSE)</f>
        <v>261.39</v>
      </c>
      <c r="L2893" s="302">
        <f>VLOOKUP(J2893,'DER 10-18'!A:E,5,FALSE)</f>
        <v>0</v>
      </c>
      <c r="M2893" s="302" t="str">
        <f>VLOOKUP(J2893,'DER 10-18'!$A:$D,2,FALSE)</f>
        <v>Placa de obra nas dimensões de 3,0 x 6,0 m, padrão DER-ES</v>
      </c>
    </row>
    <row r="2894" spans="1:17" ht="22.5" customHeight="1" x14ac:dyDescent="0.2">
      <c r="A2894" s="1278" t="str">
        <f>+CONCATENATE("Serviço: ",J2893," ",VLOOKUP(J2893,'DER 10-18'!$A:$D,2,FALSE))</f>
        <v>Serviço: 41500 Placa de obra nas dimensões de 3,0 x 6,0 m, padrão DER-ES</v>
      </c>
      <c r="B2894" s="1278"/>
      <c r="C2894" s="1278"/>
      <c r="D2894" s="1278"/>
      <c r="E2894" s="1278"/>
      <c r="F2894" s="1278"/>
      <c r="G2894" s="1278"/>
      <c r="H2894" s="1278"/>
      <c r="I2894" s="1278" t="str">
        <f>CONCATENATE("Unidade: ", VLOOKUP(J2893,'DER 10-18'!$A:$E,3,FALSE))</f>
        <v>Unidade: M2</v>
      </c>
    </row>
    <row r="2895" spans="1:17" x14ac:dyDescent="0.2">
      <c r="A2895" s="1279"/>
      <c r="B2895" s="1279"/>
      <c r="C2895" s="1279"/>
      <c r="D2895" s="1279"/>
      <c r="E2895" s="1279"/>
      <c r="F2895" s="1279"/>
      <c r="G2895" s="1279"/>
      <c r="H2895" s="1279"/>
      <c r="I2895" s="1279"/>
      <c r="P2895" s="372"/>
      <c r="Q2895" s="372"/>
    </row>
    <row r="2896" spans="1:17" ht="22.5" x14ac:dyDescent="0.2">
      <c r="A2896" s="235" t="s">
        <v>192</v>
      </c>
      <c r="B2896" s="236" t="s">
        <v>60</v>
      </c>
      <c r="C2896" s="236" t="s">
        <v>193</v>
      </c>
      <c r="D2896" s="236" t="s">
        <v>194</v>
      </c>
      <c r="E2896" s="236" t="s">
        <v>195</v>
      </c>
      <c r="F2896" s="236" t="s">
        <v>196</v>
      </c>
      <c r="G2896" s="236" t="s">
        <v>197</v>
      </c>
      <c r="H2896" s="236" t="s">
        <v>91</v>
      </c>
      <c r="I2896" s="236" t="s">
        <v>198</v>
      </c>
      <c r="P2896" s="372"/>
      <c r="Q2896" s="372"/>
    </row>
    <row r="2897" spans="1:17" x14ac:dyDescent="0.2">
      <c r="A2897" s="237"/>
      <c r="B2897" s="238"/>
      <c r="C2897" s="239"/>
      <c r="D2897" s="240"/>
      <c r="E2897" s="205"/>
      <c r="F2897" s="241"/>
      <c r="G2897" s="241"/>
      <c r="H2897" s="242"/>
      <c r="I2897" s="243"/>
      <c r="P2897" s="372"/>
      <c r="Q2897" s="372"/>
    </row>
    <row r="2898" spans="1:17" x14ac:dyDescent="0.2">
      <c r="A2898" s="199"/>
      <c r="B2898" s="233"/>
      <c r="C2898" s="233"/>
      <c r="D2898" s="199"/>
      <c r="E2898" s="199"/>
      <c r="F2898" s="234" t="s">
        <v>199</v>
      </c>
      <c r="G2898" s="244"/>
      <c r="H2898" s="245"/>
      <c r="I2898" s="434">
        <f>SUM(I2897:I2897)</f>
        <v>0</v>
      </c>
    </row>
    <row r="2899" spans="1:17" x14ac:dyDescent="0.2">
      <c r="A2899" s="199"/>
      <c r="B2899" s="233"/>
      <c r="C2899" s="233"/>
      <c r="D2899" s="199"/>
      <c r="E2899" s="199"/>
      <c r="F2899" s="199"/>
      <c r="G2899" s="199"/>
      <c r="H2899" s="199"/>
      <c r="I2899" s="200"/>
    </row>
    <row r="2900" spans="1:17" x14ac:dyDescent="0.2">
      <c r="A2900" s="246" t="s">
        <v>200</v>
      </c>
      <c r="B2900" s="247" t="s">
        <v>60</v>
      </c>
      <c r="C2900" s="236" t="s">
        <v>1242</v>
      </c>
      <c r="D2900" s="247" t="s">
        <v>202</v>
      </c>
      <c r="E2900" s="1276" t="s">
        <v>91</v>
      </c>
      <c r="F2900" s="1274"/>
      <c r="G2900" s="1275"/>
      <c r="H2900" s="1276" t="s">
        <v>198</v>
      </c>
      <c r="I2900" s="1275"/>
    </row>
    <row r="2901" spans="1:17" x14ac:dyDescent="0.2">
      <c r="A2901" s="248"/>
      <c r="B2901" s="238"/>
      <c r="C2901" s="243"/>
      <c r="D2901" s="243"/>
      <c r="E2901" s="244"/>
      <c r="F2901" s="245"/>
      <c r="G2901" s="441"/>
      <c r="H2901" s="244"/>
      <c r="I2901" s="249"/>
    </row>
    <row r="2902" spans="1:17" x14ac:dyDescent="0.2">
      <c r="A2902" s="199"/>
      <c r="B2902" s="233"/>
      <c r="C2902" s="233"/>
      <c r="D2902" s="199"/>
      <c r="E2902" s="199"/>
      <c r="F2902" s="234" t="s">
        <v>203</v>
      </c>
      <c r="G2902" s="244"/>
      <c r="H2902" s="245"/>
      <c r="I2902" s="434">
        <f>SUM(I2901:I2901)</f>
        <v>0</v>
      </c>
    </row>
    <row r="2903" spans="1:17" x14ac:dyDescent="0.2">
      <c r="A2903" s="199"/>
      <c r="B2903" s="233"/>
      <c r="C2903" s="233"/>
      <c r="D2903" s="199"/>
      <c r="E2903" s="199"/>
      <c r="F2903" s="199"/>
      <c r="G2903" s="199"/>
      <c r="H2903" s="199"/>
      <c r="I2903" s="200"/>
    </row>
    <row r="2904" spans="1:17" x14ac:dyDescent="0.2">
      <c r="A2904" s="250" t="s">
        <v>204</v>
      </c>
      <c r="B2904" s="247" t="s">
        <v>60</v>
      </c>
      <c r="C2904" s="866" t="s">
        <v>17</v>
      </c>
      <c r="D2904" s="247" t="s">
        <v>205</v>
      </c>
      <c r="E2904" s="247" t="s">
        <v>206</v>
      </c>
      <c r="F2904" s="247" t="s">
        <v>207</v>
      </c>
      <c r="G2904" s="1276" t="s">
        <v>96</v>
      </c>
      <c r="H2904" s="1274"/>
      <c r="I2904" s="1275"/>
      <c r="J2904" s="302"/>
      <c r="K2904" s="302"/>
    </row>
    <row r="2905" spans="1:17" x14ac:dyDescent="0.2">
      <c r="A2905" s="248"/>
      <c r="B2905" s="238"/>
      <c r="C2905" s="243"/>
      <c r="D2905" s="239"/>
      <c r="E2905" s="251"/>
      <c r="F2905" s="251"/>
      <c r="G2905" s="244"/>
      <c r="H2905" s="245"/>
      <c r="I2905" s="249"/>
      <c r="J2905" s="302"/>
      <c r="K2905" s="302"/>
    </row>
    <row r="2906" spans="1:17" x14ac:dyDescent="0.2">
      <c r="A2906" s="199"/>
      <c r="B2906" s="233"/>
      <c r="C2906" s="199"/>
      <c r="D2906" s="199"/>
      <c r="E2906" s="199"/>
      <c r="F2906" s="234" t="s">
        <v>1170</v>
      </c>
      <c r="G2906" s="244"/>
      <c r="H2906" s="245"/>
      <c r="I2906" s="434">
        <f>SUM(I2905)</f>
        <v>0</v>
      </c>
      <c r="J2906" s="302"/>
      <c r="K2906" s="302"/>
    </row>
    <row r="2907" spans="1:17" x14ac:dyDescent="0.2">
      <c r="A2907" s="199"/>
      <c r="B2907" s="233"/>
      <c r="C2907" s="199"/>
      <c r="D2907" s="199"/>
      <c r="E2907" s="199"/>
      <c r="F2907" s="199"/>
      <c r="G2907" s="199"/>
      <c r="H2907" s="199"/>
      <c r="I2907" s="200"/>
      <c r="J2907" s="302"/>
      <c r="K2907" s="302"/>
    </row>
    <row r="2908" spans="1:17" x14ac:dyDescent="0.2">
      <c r="A2908" s="252"/>
      <c r="B2908" s="253"/>
      <c r="C2908" s="254"/>
      <c r="D2908" s="254"/>
      <c r="E2908" s="254"/>
      <c r="F2908" s="255" t="s">
        <v>208</v>
      </c>
      <c r="G2908" s="435"/>
      <c r="H2908" s="254"/>
      <c r="I2908" s="634">
        <f>+I2898+I2902+I2906</f>
        <v>0</v>
      </c>
      <c r="J2908" s="302"/>
      <c r="K2908" s="302"/>
    </row>
    <row r="2909" spans="1:17" x14ac:dyDescent="0.2">
      <c r="A2909" s="256"/>
      <c r="B2909" s="257"/>
      <c r="C2909" s="258"/>
      <c r="D2909" s="258"/>
      <c r="E2909" s="258"/>
      <c r="F2909" s="259" t="s">
        <v>209</v>
      </c>
      <c r="G2909" s="260"/>
      <c r="H2909" s="258"/>
      <c r="I2909" s="635">
        <v>1</v>
      </c>
      <c r="J2909" s="302"/>
      <c r="K2909" s="302"/>
    </row>
    <row r="2910" spans="1:17" x14ac:dyDescent="0.2">
      <c r="A2910" s="237"/>
      <c r="B2910" s="261"/>
      <c r="C2910" s="245"/>
      <c r="D2910" s="245"/>
      <c r="E2910" s="245"/>
      <c r="F2910" s="262" t="s">
        <v>232</v>
      </c>
      <c r="G2910" s="244"/>
      <c r="H2910" s="245"/>
      <c r="I2910" s="633">
        <f>TRUNC(I2908/I2909,2)</f>
        <v>0</v>
      </c>
      <c r="J2910" s="302"/>
      <c r="K2910" s="302"/>
    </row>
    <row r="2911" spans="1:17" s="198" customFormat="1" x14ac:dyDescent="0.2">
      <c r="A2911" s="867"/>
      <c r="B2911" s="233"/>
      <c r="C2911" s="199"/>
      <c r="D2911" s="199"/>
      <c r="E2911" s="199"/>
      <c r="F2911" s="263"/>
      <c r="G2911" s="199"/>
      <c r="H2911" s="199"/>
      <c r="I2911" s="264"/>
      <c r="J2911" s="302"/>
      <c r="K2911" s="302"/>
      <c r="L2911" s="302"/>
      <c r="M2911" s="302"/>
      <c r="N2911" s="302"/>
      <c r="O2911" s="302"/>
      <c r="P2911" s="302"/>
      <c r="Q2911" s="302"/>
    </row>
    <row r="2912" spans="1:17" s="198" customFormat="1" x14ac:dyDescent="0.2">
      <c r="A2912" s="246" t="s">
        <v>210</v>
      </c>
      <c r="B2912" s="247" t="s">
        <v>60</v>
      </c>
      <c r="C2912" s="247" t="s">
        <v>211</v>
      </c>
      <c r="D2912" s="247" t="s">
        <v>233</v>
      </c>
      <c r="E2912" s="1276" t="s">
        <v>91</v>
      </c>
      <c r="F2912" s="1274"/>
      <c r="G2912" s="1275"/>
      <c r="H2912" s="1276" t="s">
        <v>198</v>
      </c>
      <c r="I2912" s="1275"/>
      <c r="J2912" s="302"/>
      <c r="K2912" s="302"/>
      <c r="L2912" s="302"/>
      <c r="M2912" s="302"/>
      <c r="N2912" s="302"/>
      <c r="O2912" s="302"/>
      <c r="P2912" s="302"/>
      <c r="Q2912" s="302"/>
    </row>
    <row r="2913" spans="1:17" x14ac:dyDescent="0.2">
      <c r="A2913" s="265"/>
      <c r="B2913" s="238"/>
      <c r="C2913" s="266"/>
      <c r="D2913" s="267"/>
      <c r="E2913" s="260"/>
      <c r="F2913" s="258"/>
      <c r="G2913" s="441"/>
      <c r="H2913" s="260"/>
      <c r="I2913" s="268"/>
      <c r="J2913" s="302"/>
      <c r="K2913" s="302"/>
    </row>
    <row r="2914" spans="1:17" x14ac:dyDescent="0.2">
      <c r="A2914" s="199"/>
      <c r="B2914" s="233"/>
      <c r="C2914" s="199"/>
      <c r="D2914" s="199"/>
      <c r="E2914" s="199"/>
      <c r="F2914" s="234" t="s">
        <v>212</v>
      </c>
      <c r="G2914" s="244"/>
      <c r="H2914" s="245"/>
      <c r="I2914" s="434">
        <f>SUM(I2913:I2913)</f>
        <v>0</v>
      </c>
      <c r="J2914" s="302"/>
      <c r="K2914" s="302"/>
    </row>
    <row r="2915" spans="1:17" x14ac:dyDescent="0.2">
      <c r="A2915" s="199"/>
      <c r="B2915" s="233"/>
      <c r="C2915" s="199"/>
      <c r="D2915" s="199"/>
      <c r="E2915" s="199"/>
      <c r="F2915" s="199"/>
      <c r="G2915" s="269"/>
      <c r="H2915" s="199"/>
      <c r="I2915" s="200"/>
      <c r="J2915" s="302"/>
      <c r="K2915" s="302"/>
    </row>
    <row r="2916" spans="1:17" x14ac:dyDescent="0.2">
      <c r="A2916" s="270" t="s">
        <v>213</v>
      </c>
      <c r="B2916" s="247" t="s">
        <v>60</v>
      </c>
      <c r="C2916" s="247" t="s">
        <v>211</v>
      </c>
      <c r="D2916" s="866" t="s">
        <v>233</v>
      </c>
      <c r="E2916" s="1276" t="s">
        <v>91</v>
      </c>
      <c r="F2916" s="1274"/>
      <c r="G2916" s="1275"/>
      <c r="H2916" s="1276" t="s">
        <v>198</v>
      </c>
      <c r="I2916" s="1275"/>
      <c r="J2916" s="302"/>
      <c r="K2916" s="302"/>
    </row>
    <row r="2917" spans="1:17" x14ac:dyDescent="0.2">
      <c r="A2917" s="248"/>
      <c r="B2917" s="238"/>
      <c r="C2917" s="238"/>
      <c r="D2917" s="243"/>
      <c r="E2917" s="244"/>
      <c r="F2917" s="258"/>
      <c r="G2917" s="300"/>
      <c r="H2917" s="244"/>
      <c r="I2917" s="268"/>
      <c r="J2917" s="302"/>
      <c r="K2917" s="302"/>
      <c r="P2917" s="372"/>
      <c r="Q2917" s="372"/>
    </row>
    <row r="2918" spans="1:17" x14ac:dyDescent="0.2">
      <c r="A2918" s="201"/>
      <c r="B2918" s="271"/>
      <c r="C2918" s="201"/>
      <c r="D2918" s="201"/>
      <c r="E2918" s="201"/>
      <c r="F2918" s="272" t="s">
        <v>214</v>
      </c>
      <c r="G2918" s="260"/>
      <c r="H2918" s="273"/>
      <c r="I2918" s="436">
        <f>SUM(I2917:I2917)</f>
        <v>0</v>
      </c>
      <c r="J2918" s="302"/>
      <c r="K2918" s="302"/>
      <c r="P2918" s="472"/>
      <c r="Q2918" s="472"/>
    </row>
    <row r="2919" spans="1:17" x14ac:dyDescent="0.2">
      <c r="A2919" s="201"/>
      <c r="B2919" s="271"/>
      <c r="C2919" s="201"/>
      <c r="D2919" s="201"/>
      <c r="E2919" s="201"/>
      <c r="F2919" s="201"/>
      <c r="G2919" s="201"/>
      <c r="H2919" s="201"/>
      <c r="I2919" s="201"/>
      <c r="J2919" s="302"/>
      <c r="K2919" s="302"/>
    </row>
    <row r="2920" spans="1:17" x14ac:dyDescent="0.2">
      <c r="A2920" s="274" t="s">
        <v>215</v>
      </c>
      <c r="B2920" s="275" t="s">
        <v>60</v>
      </c>
      <c r="C2920" s="275" t="s">
        <v>211</v>
      </c>
      <c r="D2920" s="275" t="s">
        <v>216</v>
      </c>
      <c r="E2920" s="275" t="s">
        <v>217</v>
      </c>
      <c r="F2920" s="275" t="s">
        <v>218</v>
      </c>
      <c r="G2920" s="275" t="s">
        <v>96</v>
      </c>
      <c r="H2920" s="275" t="s">
        <v>91</v>
      </c>
      <c r="I2920" s="275" t="s">
        <v>219</v>
      </c>
    </row>
    <row r="2921" spans="1:17" x14ac:dyDescent="0.2">
      <c r="A2921" s="248"/>
      <c r="B2921" s="238"/>
      <c r="C2921" s="238"/>
      <c r="D2921" s="276"/>
      <c r="E2921" s="277"/>
      <c r="F2921" s="277"/>
      <c r="G2921" s="243"/>
      <c r="H2921" s="278"/>
      <c r="I2921" s="243"/>
    </row>
    <row r="2922" spans="1:17" x14ac:dyDescent="0.2">
      <c r="A2922" s="201"/>
      <c r="B2922" s="271"/>
      <c r="C2922" s="201"/>
      <c r="D2922" s="201"/>
      <c r="E2922" s="201"/>
      <c r="F2922" s="272" t="s">
        <v>220</v>
      </c>
      <c r="G2922" s="244"/>
      <c r="H2922" s="279"/>
      <c r="I2922" s="438">
        <f>SUM(I2921:I2921)</f>
        <v>0</v>
      </c>
    </row>
    <row r="2923" spans="1:17" x14ac:dyDescent="0.2">
      <c r="A2923" s="201"/>
      <c r="B2923" s="271"/>
      <c r="C2923" s="201"/>
      <c r="D2923" s="201"/>
      <c r="E2923" s="201"/>
      <c r="F2923" s="201"/>
      <c r="G2923" s="201"/>
      <c r="H2923" s="201"/>
      <c r="I2923" s="202"/>
    </row>
    <row r="2924" spans="1:17" x14ac:dyDescent="0.2">
      <c r="A2924" s="280"/>
      <c r="B2924" s="281"/>
      <c r="C2924" s="282"/>
      <c r="D2924" s="282"/>
      <c r="E2924" s="282"/>
      <c r="F2924" s="283" t="s">
        <v>1095</v>
      </c>
      <c r="G2924" s="280"/>
      <c r="H2924" s="254"/>
      <c r="I2924" s="634">
        <v>211.96</v>
      </c>
    </row>
    <row r="2925" spans="1:17" x14ac:dyDescent="0.2">
      <c r="A2925" s="260"/>
      <c r="B2925" s="284"/>
      <c r="C2925" s="273"/>
      <c r="D2925" s="273"/>
      <c r="E2925" s="273"/>
      <c r="F2925" s="285" t="str">
        <f>CONCATENATE($H$3," ",$I$3)</f>
        <v>BDI: 23,32</v>
      </c>
      <c r="G2925" s="439"/>
      <c r="H2925" s="258"/>
      <c r="I2925" s="635">
        <f>+ROUND(I2924*$I$4,2)</f>
        <v>49.43</v>
      </c>
    </row>
    <row r="2926" spans="1:17" x14ac:dyDescent="0.2">
      <c r="A2926" s="244"/>
      <c r="B2926" s="286"/>
      <c r="C2926" s="279"/>
      <c r="D2926" s="279"/>
      <c r="E2926" s="279"/>
      <c r="F2926" s="287" t="s">
        <v>222</v>
      </c>
      <c r="G2926" s="440"/>
      <c r="H2926" s="245"/>
      <c r="I2926" s="1017">
        <f>+I2924+I2925</f>
        <v>261.39</v>
      </c>
    </row>
    <row r="2927" spans="1:17" x14ac:dyDescent="0.2">
      <c r="A2927" s="1277" t="str">
        <f>$A$1</f>
        <v>COMPOSIÇÃO DE CUSTOS UNITÁRIOS</v>
      </c>
      <c r="B2927" s="1277"/>
      <c r="C2927" s="1277"/>
      <c r="D2927" s="1277"/>
      <c r="E2927" s="1277"/>
      <c r="F2927" s="1277"/>
      <c r="G2927" s="1277"/>
      <c r="H2927" s="1277"/>
      <c r="I2927" s="1277"/>
    </row>
    <row r="2928" spans="1:17" x14ac:dyDescent="0.2">
      <c r="A2928" s="232" t="str">
        <f>$A$2</f>
        <v>Tabela Referencial de Preços - DER-ES</v>
      </c>
      <c r="B2928" s="233"/>
      <c r="C2928" s="199"/>
      <c r="D2928" s="199"/>
      <c r="E2928" s="199"/>
      <c r="F2928" s="199"/>
      <c r="G2928" s="199"/>
      <c r="H2928" s="199"/>
      <c r="I2928" s="234" t="str">
        <f>$I$2</f>
        <v>Data Base: Outubro/2018</v>
      </c>
      <c r="J2928" s="433">
        <v>41501</v>
      </c>
      <c r="K2928" s="433">
        <f>VLOOKUP("Preço Unitário Total",F2930:I4251,4,FALSE)</f>
        <v>34.909999999999997</v>
      </c>
      <c r="L2928" s="302">
        <f>VLOOKUP(J2928,'DER 10-18'!A:E,5,FALSE)</f>
        <v>0</v>
      </c>
      <c r="M2928" s="302" t="str">
        <f>VLOOKUP(J2928,'DER 10-18'!$A:$D,2,FALSE)</f>
        <v>Rede de água c/ padrão de entrada d'água diâm. 3/4" conf. CESAN, incl. tubos e conexões p/ aliment., distrib., extravas. e limp., cons. o padrão a 25m</v>
      </c>
    </row>
    <row r="2929" spans="1:11" x14ac:dyDescent="0.2">
      <c r="A2929" s="1278" t="str">
        <f>+CONCATENATE("Serviço: ",J2928," ",VLOOKUP(J2928,'DER 10-18'!$A:$D,2,FALSE))</f>
        <v>Serviço: 41501 Rede de água c/ padrão de entrada d'água diâm. 3/4" conf. CESAN, incl. tubos e conexões p/ aliment., distrib., extravas. e limp., cons. o padrão a 25m</v>
      </c>
      <c r="B2929" s="1278"/>
      <c r="C2929" s="1278"/>
      <c r="D2929" s="1278"/>
      <c r="E2929" s="1278"/>
      <c r="F2929" s="1278"/>
      <c r="G2929" s="1278"/>
      <c r="H2929" s="1278"/>
      <c r="I2929" s="1278" t="str">
        <f>CONCATENATE("Unidade: ", VLOOKUP(J2928,'DER 10-18'!$A:$E,3,FALSE))</f>
        <v>Unidade: M</v>
      </c>
    </row>
    <row r="2930" spans="1:11" ht="22.5" customHeight="1" x14ac:dyDescent="0.2">
      <c r="A2930" s="1279"/>
      <c r="B2930" s="1279"/>
      <c r="C2930" s="1279"/>
      <c r="D2930" s="1279"/>
      <c r="E2930" s="1279"/>
      <c r="F2930" s="1279"/>
      <c r="G2930" s="1279"/>
      <c r="H2930" s="1279"/>
      <c r="I2930" s="1279"/>
    </row>
    <row r="2931" spans="1:11" ht="22.5" x14ac:dyDescent="0.2">
      <c r="A2931" s="235" t="s">
        <v>192</v>
      </c>
      <c r="B2931" s="236" t="s">
        <v>60</v>
      </c>
      <c r="C2931" s="236" t="s">
        <v>193</v>
      </c>
      <c r="D2931" s="236" t="s">
        <v>194</v>
      </c>
      <c r="E2931" s="236" t="s">
        <v>195</v>
      </c>
      <c r="F2931" s="236" t="s">
        <v>196</v>
      </c>
      <c r="G2931" s="236" t="s">
        <v>197</v>
      </c>
      <c r="H2931" s="236" t="s">
        <v>91</v>
      </c>
      <c r="I2931" s="236" t="s">
        <v>198</v>
      </c>
    </row>
    <row r="2932" spans="1:11" x14ac:dyDescent="0.2">
      <c r="A2932" s="237"/>
      <c r="B2932" s="238"/>
      <c r="C2932" s="239"/>
      <c r="D2932" s="240"/>
      <c r="E2932" s="205"/>
      <c r="F2932" s="241"/>
      <c r="G2932" s="241"/>
      <c r="H2932" s="242"/>
      <c r="I2932" s="243"/>
    </row>
    <row r="2933" spans="1:11" x14ac:dyDescent="0.2">
      <c r="A2933" s="199"/>
      <c r="B2933" s="233"/>
      <c r="C2933" s="233"/>
      <c r="D2933" s="199"/>
      <c r="E2933" s="199"/>
      <c r="F2933" s="234" t="s">
        <v>199</v>
      </c>
      <c r="G2933" s="244"/>
      <c r="H2933" s="245"/>
      <c r="I2933" s="434">
        <f>SUM(I2932:I2932)</f>
        <v>0</v>
      </c>
    </row>
    <row r="2934" spans="1:11" x14ac:dyDescent="0.2">
      <c r="A2934" s="199"/>
      <c r="B2934" s="233"/>
      <c r="C2934" s="233"/>
      <c r="D2934" s="199"/>
      <c r="E2934" s="199"/>
      <c r="F2934" s="199"/>
      <c r="G2934" s="199"/>
      <c r="H2934" s="199"/>
      <c r="I2934" s="200"/>
    </row>
    <row r="2935" spans="1:11" x14ac:dyDescent="0.2">
      <c r="A2935" s="246" t="s">
        <v>200</v>
      </c>
      <c r="B2935" s="247" t="s">
        <v>60</v>
      </c>
      <c r="C2935" s="236" t="s">
        <v>1242</v>
      </c>
      <c r="D2935" s="247" t="s">
        <v>202</v>
      </c>
      <c r="E2935" s="1276" t="s">
        <v>91</v>
      </c>
      <c r="F2935" s="1274"/>
      <c r="G2935" s="1275"/>
      <c r="H2935" s="1276" t="s">
        <v>198</v>
      </c>
      <c r="I2935" s="1275"/>
    </row>
    <row r="2936" spans="1:11" x14ac:dyDescent="0.2">
      <c r="A2936" s="248"/>
      <c r="B2936" s="238"/>
      <c r="C2936" s="243"/>
      <c r="D2936" s="243"/>
      <c r="E2936" s="244"/>
      <c r="F2936" s="245"/>
      <c r="G2936" s="441"/>
      <c r="H2936" s="244"/>
      <c r="I2936" s="249"/>
      <c r="J2936" s="302"/>
      <c r="K2936" s="302"/>
    </row>
    <row r="2937" spans="1:11" x14ac:dyDescent="0.2">
      <c r="A2937" s="199"/>
      <c r="B2937" s="233"/>
      <c r="C2937" s="233"/>
      <c r="D2937" s="199"/>
      <c r="E2937" s="199"/>
      <c r="F2937" s="234" t="s">
        <v>203</v>
      </c>
      <c r="G2937" s="244"/>
      <c r="H2937" s="245"/>
      <c r="I2937" s="434">
        <f>SUM(I2936:I2936)</f>
        <v>0</v>
      </c>
      <c r="J2937" s="302"/>
      <c r="K2937" s="302"/>
    </row>
    <row r="2938" spans="1:11" x14ac:dyDescent="0.2">
      <c r="A2938" s="199"/>
      <c r="B2938" s="233"/>
      <c r="C2938" s="233"/>
      <c r="D2938" s="199"/>
      <c r="E2938" s="199"/>
      <c r="F2938" s="199"/>
      <c r="G2938" s="199"/>
      <c r="H2938" s="199"/>
      <c r="I2938" s="200"/>
      <c r="J2938" s="302"/>
      <c r="K2938" s="302"/>
    </row>
    <row r="2939" spans="1:11" x14ac:dyDescent="0.2">
      <c r="A2939" s="250" t="s">
        <v>204</v>
      </c>
      <c r="B2939" s="247" t="s">
        <v>60</v>
      </c>
      <c r="C2939" s="866" t="s">
        <v>17</v>
      </c>
      <c r="D2939" s="247" t="s">
        <v>205</v>
      </c>
      <c r="E2939" s="247" t="s">
        <v>206</v>
      </c>
      <c r="F2939" s="247" t="s">
        <v>207</v>
      </c>
      <c r="G2939" s="1276" t="s">
        <v>96</v>
      </c>
      <c r="H2939" s="1274"/>
      <c r="I2939" s="1275"/>
      <c r="J2939" s="302"/>
      <c r="K2939" s="302"/>
    </row>
    <row r="2940" spans="1:11" x14ac:dyDescent="0.2">
      <c r="A2940" s="248"/>
      <c r="B2940" s="238"/>
      <c r="C2940" s="243"/>
      <c r="D2940" s="239"/>
      <c r="E2940" s="251"/>
      <c r="F2940" s="251"/>
      <c r="G2940" s="244"/>
      <c r="H2940" s="245"/>
      <c r="I2940" s="249"/>
      <c r="J2940" s="302"/>
      <c r="K2940" s="302"/>
    </row>
    <row r="2941" spans="1:11" x14ac:dyDescent="0.2">
      <c r="A2941" s="199"/>
      <c r="B2941" s="233"/>
      <c r="C2941" s="199"/>
      <c r="D2941" s="199"/>
      <c r="E2941" s="199"/>
      <c r="F2941" s="234" t="s">
        <v>1170</v>
      </c>
      <c r="G2941" s="244"/>
      <c r="H2941" s="245"/>
      <c r="I2941" s="434">
        <f>SUM(I2940)</f>
        <v>0</v>
      </c>
      <c r="J2941" s="302"/>
      <c r="K2941" s="302"/>
    </row>
    <row r="2942" spans="1:11" x14ac:dyDescent="0.2">
      <c r="A2942" s="199"/>
      <c r="B2942" s="233"/>
      <c r="C2942" s="199"/>
      <c r="D2942" s="199"/>
      <c r="E2942" s="199"/>
      <c r="F2942" s="199"/>
      <c r="G2942" s="199"/>
      <c r="H2942" s="199"/>
      <c r="I2942" s="200"/>
      <c r="J2942" s="302"/>
      <c r="K2942" s="302"/>
    </row>
    <row r="2943" spans="1:11" x14ac:dyDescent="0.2">
      <c r="A2943" s="252"/>
      <c r="B2943" s="253"/>
      <c r="C2943" s="254"/>
      <c r="D2943" s="254"/>
      <c r="E2943" s="254"/>
      <c r="F2943" s="255" t="s">
        <v>208</v>
      </c>
      <c r="G2943" s="435"/>
      <c r="H2943" s="254"/>
      <c r="I2943" s="634">
        <f>+I2933+I2937+I2941</f>
        <v>0</v>
      </c>
      <c r="J2943" s="302"/>
      <c r="K2943" s="302"/>
    </row>
    <row r="2944" spans="1:11" x14ac:dyDescent="0.2">
      <c r="A2944" s="256"/>
      <c r="B2944" s="257"/>
      <c r="C2944" s="258"/>
      <c r="D2944" s="258"/>
      <c r="E2944" s="258"/>
      <c r="F2944" s="259" t="s">
        <v>209</v>
      </c>
      <c r="G2944" s="260"/>
      <c r="H2944" s="258"/>
      <c r="I2944" s="635">
        <v>1</v>
      </c>
      <c r="J2944" s="302"/>
      <c r="K2944" s="302"/>
    </row>
    <row r="2945" spans="1:17" x14ac:dyDescent="0.2">
      <c r="A2945" s="237"/>
      <c r="B2945" s="261"/>
      <c r="C2945" s="245"/>
      <c r="D2945" s="245"/>
      <c r="E2945" s="245"/>
      <c r="F2945" s="262" t="s">
        <v>232</v>
      </c>
      <c r="G2945" s="244"/>
      <c r="H2945" s="245"/>
      <c r="I2945" s="633">
        <f>TRUNC(I2943/I2944,2)</f>
        <v>0</v>
      </c>
      <c r="J2945" s="302"/>
      <c r="K2945" s="302"/>
    </row>
    <row r="2946" spans="1:17" x14ac:dyDescent="0.2">
      <c r="A2946" s="867"/>
      <c r="B2946" s="233"/>
      <c r="C2946" s="199"/>
      <c r="D2946" s="199"/>
      <c r="E2946" s="199"/>
      <c r="F2946" s="263"/>
      <c r="G2946" s="199"/>
      <c r="H2946" s="199"/>
      <c r="I2946" s="264"/>
      <c r="J2946" s="302"/>
      <c r="K2946" s="302"/>
    </row>
    <row r="2947" spans="1:17" x14ac:dyDescent="0.2">
      <c r="A2947" s="246" t="s">
        <v>210</v>
      </c>
      <c r="B2947" s="247" t="s">
        <v>60</v>
      </c>
      <c r="C2947" s="247" t="s">
        <v>211</v>
      </c>
      <c r="D2947" s="247" t="s">
        <v>233</v>
      </c>
      <c r="E2947" s="1276" t="s">
        <v>91</v>
      </c>
      <c r="F2947" s="1274"/>
      <c r="G2947" s="1275"/>
      <c r="H2947" s="1276" t="s">
        <v>198</v>
      </c>
      <c r="I2947" s="1275"/>
      <c r="J2947" s="302"/>
      <c r="K2947" s="302"/>
    </row>
    <row r="2948" spans="1:17" s="198" customFormat="1" x14ac:dyDescent="0.2">
      <c r="A2948" s="265"/>
      <c r="B2948" s="238"/>
      <c r="C2948" s="266"/>
      <c r="D2948" s="267"/>
      <c r="E2948" s="260"/>
      <c r="F2948" s="258"/>
      <c r="G2948" s="300"/>
      <c r="H2948" s="260"/>
      <c r="I2948" s="268"/>
      <c r="J2948" s="302"/>
      <c r="K2948" s="302"/>
      <c r="L2948" s="302"/>
      <c r="M2948" s="302"/>
      <c r="N2948" s="302"/>
      <c r="O2948" s="302"/>
      <c r="P2948" s="302"/>
      <c r="Q2948" s="302"/>
    </row>
    <row r="2949" spans="1:17" s="198" customFormat="1" x14ac:dyDescent="0.2">
      <c r="A2949" s="199"/>
      <c r="B2949" s="233"/>
      <c r="C2949" s="199"/>
      <c r="D2949" s="199"/>
      <c r="E2949" s="199"/>
      <c r="F2949" s="234" t="s">
        <v>212</v>
      </c>
      <c r="G2949" s="244"/>
      <c r="H2949" s="245"/>
      <c r="I2949" s="434">
        <f>SUM(I2948:I2948)</f>
        <v>0</v>
      </c>
      <c r="J2949" s="302"/>
      <c r="K2949" s="302"/>
      <c r="L2949" s="302"/>
      <c r="M2949" s="302"/>
      <c r="N2949" s="302"/>
      <c r="O2949" s="302"/>
      <c r="P2949" s="302"/>
      <c r="Q2949" s="302"/>
    </row>
    <row r="2950" spans="1:17" x14ac:dyDescent="0.2">
      <c r="A2950" s="199"/>
      <c r="B2950" s="233"/>
      <c r="C2950" s="199"/>
      <c r="D2950" s="199"/>
      <c r="E2950" s="199"/>
      <c r="F2950" s="199"/>
      <c r="G2950" s="269"/>
      <c r="H2950" s="199"/>
      <c r="I2950" s="200"/>
      <c r="J2950" s="302"/>
      <c r="K2950" s="302"/>
    </row>
    <row r="2951" spans="1:17" x14ac:dyDescent="0.2">
      <c r="A2951" s="270" t="s">
        <v>213</v>
      </c>
      <c r="B2951" s="247" t="s">
        <v>60</v>
      </c>
      <c r="C2951" s="247" t="s">
        <v>211</v>
      </c>
      <c r="D2951" s="866" t="s">
        <v>233</v>
      </c>
      <c r="E2951" s="1276" t="s">
        <v>91</v>
      </c>
      <c r="F2951" s="1274"/>
      <c r="G2951" s="1275"/>
      <c r="H2951" s="1276" t="s">
        <v>198</v>
      </c>
      <c r="I2951" s="1275"/>
      <c r="J2951" s="302"/>
      <c r="K2951" s="302"/>
    </row>
    <row r="2952" spans="1:17" x14ac:dyDescent="0.2">
      <c r="A2952" s="248"/>
      <c r="B2952" s="238"/>
      <c r="C2952" s="238"/>
      <c r="D2952" s="243"/>
      <c r="E2952" s="244"/>
      <c r="F2952" s="258"/>
      <c r="G2952" s="300"/>
      <c r="H2952" s="244"/>
      <c r="I2952" s="268"/>
    </row>
    <row r="2953" spans="1:17" x14ac:dyDescent="0.2">
      <c r="A2953" s="201"/>
      <c r="B2953" s="271"/>
      <c r="C2953" s="201"/>
      <c r="D2953" s="201"/>
      <c r="E2953" s="201"/>
      <c r="F2953" s="272" t="s">
        <v>214</v>
      </c>
      <c r="G2953" s="260"/>
      <c r="H2953" s="273"/>
      <c r="I2953" s="436">
        <f>SUM(I2952:I2952)</f>
        <v>0</v>
      </c>
    </row>
    <row r="2954" spans="1:17" x14ac:dyDescent="0.2">
      <c r="A2954" s="201"/>
      <c r="B2954" s="271"/>
      <c r="C2954" s="201"/>
      <c r="D2954" s="201"/>
      <c r="E2954" s="201"/>
      <c r="F2954" s="201"/>
      <c r="G2954" s="201"/>
      <c r="H2954" s="201"/>
      <c r="I2954" s="201"/>
    </row>
    <row r="2955" spans="1:17" x14ac:dyDescent="0.2">
      <c r="A2955" s="274" t="s">
        <v>215</v>
      </c>
      <c r="B2955" s="275" t="s">
        <v>60</v>
      </c>
      <c r="C2955" s="275" t="s">
        <v>211</v>
      </c>
      <c r="D2955" s="275" t="s">
        <v>216</v>
      </c>
      <c r="E2955" s="275" t="s">
        <v>217</v>
      </c>
      <c r="F2955" s="275" t="s">
        <v>218</v>
      </c>
      <c r="G2955" s="275" t="s">
        <v>96</v>
      </c>
      <c r="H2955" s="275" t="s">
        <v>91</v>
      </c>
      <c r="I2955" s="275" t="s">
        <v>219</v>
      </c>
    </row>
    <row r="2956" spans="1:17" x14ac:dyDescent="0.2">
      <c r="A2956" s="248"/>
      <c r="B2956" s="238"/>
      <c r="C2956" s="238"/>
      <c r="D2956" s="276"/>
      <c r="E2956" s="277"/>
      <c r="F2956" s="277"/>
      <c r="G2956" s="243"/>
      <c r="H2956" s="278"/>
      <c r="I2956" s="243"/>
    </row>
    <row r="2957" spans="1:17" x14ac:dyDescent="0.2">
      <c r="A2957" s="201"/>
      <c r="B2957" s="271"/>
      <c r="C2957" s="201"/>
      <c r="D2957" s="201"/>
      <c r="E2957" s="201"/>
      <c r="F2957" s="272" t="s">
        <v>220</v>
      </c>
      <c r="G2957" s="244"/>
      <c r="H2957" s="279"/>
      <c r="I2957" s="438">
        <f>SUM(I2956:I2956)</f>
        <v>0</v>
      </c>
    </row>
    <row r="2958" spans="1:17" x14ac:dyDescent="0.2">
      <c r="A2958" s="201"/>
      <c r="B2958" s="271"/>
      <c r="C2958" s="201"/>
      <c r="D2958" s="201"/>
      <c r="E2958" s="201"/>
      <c r="F2958" s="201"/>
      <c r="G2958" s="201"/>
      <c r="H2958" s="201"/>
      <c r="I2958" s="202"/>
    </row>
    <row r="2959" spans="1:17" x14ac:dyDescent="0.2">
      <c r="A2959" s="280"/>
      <c r="B2959" s="281"/>
      <c r="C2959" s="282"/>
      <c r="D2959" s="282"/>
      <c r="E2959" s="282"/>
      <c r="F2959" s="283" t="s">
        <v>1095</v>
      </c>
      <c r="G2959" s="280"/>
      <c r="H2959" s="254"/>
      <c r="I2959" s="634">
        <v>28.31</v>
      </c>
    </row>
    <row r="2960" spans="1:17" x14ac:dyDescent="0.2">
      <c r="A2960" s="260"/>
      <c r="B2960" s="284"/>
      <c r="C2960" s="273"/>
      <c r="D2960" s="273"/>
      <c r="E2960" s="273"/>
      <c r="F2960" s="285" t="str">
        <f>CONCATENATE($H$3," ",$I$3)</f>
        <v>BDI: 23,32</v>
      </c>
      <c r="G2960" s="439"/>
      <c r="H2960" s="258"/>
      <c r="I2960" s="635">
        <f>+ROUND(I2959*$I$4,2)</f>
        <v>6.6</v>
      </c>
    </row>
    <row r="2961" spans="1:13" x14ac:dyDescent="0.2">
      <c r="A2961" s="244"/>
      <c r="B2961" s="286"/>
      <c r="C2961" s="279"/>
      <c r="D2961" s="279"/>
      <c r="E2961" s="279"/>
      <c r="F2961" s="287" t="s">
        <v>222</v>
      </c>
      <c r="G2961" s="440"/>
      <c r="H2961" s="245"/>
      <c r="I2961" s="1017">
        <f>+I2959+I2960</f>
        <v>34.909999999999997</v>
      </c>
    </row>
    <row r="2962" spans="1:13" x14ac:dyDescent="0.2">
      <c r="A2962" s="1277" t="str">
        <f>$A$1</f>
        <v>COMPOSIÇÃO DE CUSTOS UNITÁRIOS</v>
      </c>
      <c r="B2962" s="1277"/>
      <c r="C2962" s="1277"/>
      <c r="D2962" s="1277"/>
      <c r="E2962" s="1277"/>
      <c r="F2962" s="1277"/>
      <c r="G2962" s="1277"/>
      <c r="H2962" s="1277"/>
      <c r="I2962" s="1277"/>
    </row>
    <row r="2963" spans="1:13" x14ac:dyDescent="0.2">
      <c r="A2963" s="232" t="str">
        <f>$A$2</f>
        <v>Tabela Referencial de Preços - DER-ES</v>
      </c>
      <c r="B2963" s="233"/>
      <c r="C2963" s="199"/>
      <c r="D2963" s="199"/>
      <c r="E2963" s="199"/>
      <c r="F2963" s="199"/>
      <c r="G2963" s="199"/>
      <c r="H2963" s="199"/>
      <c r="I2963" s="234" t="str">
        <f>$I$2</f>
        <v>Data Base: Outubro/2018</v>
      </c>
      <c r="J2963" s="433">
        <v>41499</v>
      </c>
      <c r="K2963" s="433">
        <f>VLOOKUP("Preço Unitário Total",F2965:I4251,4,FALSE)</f>
        <v>291.2</v>
      </c>
      <c r="L2963" s="302">
        <f>VLOOKUP(J2963,'DER 10-18'!A:E,5,FALSE)</f>
        <v>0</v>
      </c>
      <c r="M2963" s="302" t="str">
        <f>VLOOKUP(J2963,'DER 10-18'!$A:$D,2,FALSE)</f>
        <v>Rede de esgoto, contendo fossa e filtro, incl. tubos e conexões de ligação entre caixas, considerando distância de 25m</v>
      </c>
    </row>
    <row r="2964" spans="1:13" x14ac:dyDescent="0.2">
      <c r="A2964" s="1278" t="str">
        <f>+CONCATENATE("Serviço: ",J2963," ",VLOOKUP(J2963,'DER 10-18'!$A:$D,2,FALSE))</f>
        <v>Serviço: 41499 Rede de esgoto, contendo fossa e filtro, incl. tubos e conexões de ligação entre caixas, considerando distância de 25m</v>
      </c>
      <c r="B2964" s="1278"/>
      <c r="C2964" s="1278"/>
      <c r="D2964" s="1278"/>
      <c r="E2964" s="1278"/>
      <c r="F2964" s="1278"/>
      <c r="G2964" s="1278"/>
      <c r="H2964" s="1278"/>
      <c r="I2964" s="1278" t="str">
        <f>CONCATENATE("Unidade: ", VLOOKUP(J2963,'DER 10-18'!$A:$E,3,FALSE))</f>
        <v>Unidade: M</v>
      </c>
    </row>
    <row r="2965" spans="1:13" x14ac:dyDescent="0.2">
      <c r="A2965" s="1279"/>
      <c r="B2965" s="1279"/>
      <c r="C2965" s="1279"/>
      <c r="D2965" s="1279"/>
      <c r="E2965" s="1279"/>
      <c r="F2965" s="1279"/>
      <c r="G2965" s="1279"/>
      <c r="H2965" s="1279"/>
      <c r="I2965" s="1279"/>
    </row>
    <row r="2966" spans="1:13" ht="22.5" x14ac:dyDescent="0.2">
      <c r="A2966" s="235" t="s">
        <v>192</v>
      </c>
      <c r="B2966" s="236" t="s">
        <v>60</v>
      </c>
      <c r="C2966" s="236" t="s">
        <v>193</v>
      </c>
      <c r="D2966" s="236" t="s">
        <v>194</v>
      </c>
      <c r="E2966" s="236" t="s">
        <v>195</v>
      </c>
      <c r="F2966" s="236" t="s">
        <v>196</v>
      </c>
      <c r="G2966" s="236" t="s">
        <v>197</v>
      </c>
      <c r="H2966" s="236" t="s">
        <v>91</v>
      </c>
      <c r="I2966" s="236" t="s">
        <v>198</v>
      </c>
    </row>
    <row r="2967" spans="1:13" x14ac:dyDescent="0.2">
      <c r="A2967" s="237"/>
      <c r="B2967" s="238"/>
      <c r="C2967" s="239"/>
      <c r="D2967" s="240"/>
      <c r="E2967" s="205"/>
      <c r="F2967" s="241"/>
      <c r="G2967" s="241"/>
      <c r="H2967" s="242"/>
      <c r="I2967" s="243"/>
    </row>
    <row r="2968" spans="1:13" x14ac:dyDescent="0.2">
      <c r="A2968" s="199"/>
      <c r="B2968" s="233"/>
      <c r="C2968" s="233"/>
      <c r="D2968" s="199"/>
      <c r="E2968" s="199"/>
      <c r="F2968" s="234" t="s">
        <v>199</v>
      </c>
      <c r="G2968" s="244"/>
      <c r="H2968" s="245"/>
      <c r="I2968" s="434">
        <f>SUM(I2967:I2967)</f>
        <v>0</v>
      </c>
    </row>
    <row r="2969" spans="1:13" ht="22.5" customHeight="1" x14ac:dyDescent="0.2">
      <c r="A2969" s="199"/>
      <c r="B2969" s="233"/>
      <c r="C2969" s="233"/>
      <c r="D2969" s="199"/>
      <c r="E2969" s="199"/>
      <c r="F2969" s="199"/>
      <c r="G2969" s="199"/>
      <c r="H2969" s="199"/>
      <c r="I2969" s="200"/>
    </row>
    <row r="2970" spans="1:13" x14ac:dyDescent="0.2">
      <c r="A2970" s="246" t="s">
        <v>200</v>
      </c>
      <c r="B2970" s="247" t="s">
        <v>60</v>
      </c>
      <c r="C2970" s="236" t="s">
        <v>1242</v>
      </c>
      <c r="D2970" s="247" t="s">
        <v>202</v>
      </c>
      <c r="E2970" s="1276" t="s">
        <v>91</v>
      </c>
      <c r="F2970" s="1274"/>
      <c r="G2970" s="1275"/>
      <c r="H2970" s="1276" t="s">
        <v>198</v>
      </c>
      <c r="I2970" s="1275"/>
    </row>
    <row r="2971" spans="1:13" x14ac:dyDescent="0.2">
      <c r="A2971" s="248"/>
      <c r="B2971" s="238"/>
      <c r="C2971" s="243"/>
      <c r="D2971" s="243"/>
      <c r="E2971" s="244"/>
      <c r="F2971" s="245"/>
      <c r="G2971" s="441"/>
      <c r="H2971" s="244"/>
      <c r="I2971" s="249"/>
      <c r="J2971" s="302"/>
      <c r="K2971" s="302"/>
    </row>
    <row r="2972" spans="1:13" x14ac:dyDescent="0.2">
      <c r="A2972" s="199"/>
      <c r="B2972" s="233"/>
      <c r="C2972" s="233"/>
      <c r="D2972" s="199"/>
      <c r="E2972" s="199"/>
      <c r="F2972" s="234" t="s">
        <v>203</v>
      </c>
      <c r="G2972" s="244"/>
      <c r="H2972" s="245"/>
      <c r="I2972" s="434">
        <f>SUM(I2971:I2971)</f>
        <v>0</v>
      </c>
      <c r="J2972" s="302"/>
      <c r="K2972" s="302"/>
    </row>
    <row r="2973" spans="1:13" x14ac:dyDescent="0.2">
      <c r="A2973" s="199"/>
      <c r="B2973" s="233"/>
      <c r="C2973" s="233"/>
      <c r="D2973" s="199"/>
      <c r="E2973" s="199"/>
      <c r="F2973" s="199"/>
      <c r="G2973" s="199"/>
      <c r="H2973" s="199"/>
      <c r="I2973" s="200"/>
      <c r="J2973" s="302"/>
      <c r="K2973" s="302"/>
    </row>
    <row r="2974" spans="1:13" x14ac:dyDescent="0.2">
      <c r="A2974" s="250" t="s">
        <v>204</v>
      </c>
      <c r="B2974" s="247" t="s">
        <v>60</v>
      </c>
      <c r="C2974" s="866" t="s">
        <v>17</v>
      </c>
      <c r="D2974" s="247" t="s">
        <v>205</v>
      </c>
      <c r="E2974" s="247" t="s">
        <v>206</v>
      </c>
      <c r="F2974" s="247" t="s">
        <v>207</v>
      </c>
      <c r="G2974" s="1276" t="s">
        <v>96</v>
      </c>
      <c r="H2974" s="1274"/>
      <c r="I2974" s="1275"/>
      <c r="J2974" s="302"/>
      <c r="K2974" s="302"/>
    </row>
    <row r="2975" spans="1:13" x14ac:dyDescent="0.2">
      <c r="A2975" s="248"/>
      <c r="B2975" s="238"/>
      <c r="C2975" s="243"/>
      <c r="D2975" s="239"/>
      <c r="E2975" s="251"/>
      <c r="F2975" s="251"/>
      <c r="G2975" s="244"/>
      <c r="H2975" s="245"/>
      <c r="I2975" s="249"/>
      <c r="J2975" s="302"/>
      <c r="K2975" s="302"/>
    </row>
    <row r="2976" spans="1:13" x14ac:dyDescent="0.2">
      <c r="A2976" s="199"/>
      <c r="B2976" s="233"/>
      <c r="C2976" s="199"/>
      <c r="D2976" s="199"/>
      <c r="E2976" s="199"/>
      <c r="F2976" s="234" t="s">
        <v>1170</v>
      </c>
      <c r="G2976" s="244"/>
      <c r="H2976" s="245"/>
      <c r="I2976" s="434">
        <f>SUM(I2975)</f>
        <v>0</v>
      </c>
      <c r="J2976" s="302"/>
      <c r="K2976" s="302"/>
    </row>
    <row r="2977" spans="1:17" x14ac:dyDescent="0.2">
      <c r="A2977" s="199"/>
      <c r="B2977" s="233"/>
      <c r="C2977" s="199"/>
      <c r="D2977" s="199"/>
      <c r="E2977" s="199"/>
      <c r="F2977" s="199"/>
      <c r="G2977" s="199"/>
      <c r="H2977" s="199"/>
      <c r="I2977" s="200"/>
      <c r="J2977" s="302"/>
      <c r="K2977" s="302"/>
    </row>
    <row r="2978" spans="1:17" x14ac:dyDescent="0.2">
      <c r="A2978" s="252"/>
      <c r="B2978" s="253"/>
      <c r="C2978" s="254"/>
      <c r="D2978" s="254"/>
      <c r="E2978" s="254"/>
      <c r="F2978" s="255" t="s">
        <v>208</v>
      </c>
      <c r="G2978" s="435"/>
      <c r="H2978" s="254"/>
      <c r="I2978" s="634">
        <f>+I2968+I2972+I2976</f>
        <v>0</v>
      </c>
      <c r="J2978" s="302"/>
      <c r="K2978" s="302"/>
    </row>
    <row r="2979" spans="1:17" x14ac:dyDescent="0.2">
      <c r="A2979" s="256"/>
      <c r="B2979" s="257"/>
      <c r="C2979" s="258"/>
      <c r="D2979" s="258"/>
      <c r="E2979" s="258"/>
      <c r="F2979" s="259" t="s">
        <v>209</v>
      </c>
      <c r="G2979" s="260"/>
      <c r="H2979" s="258"/>
      <c r="I2979" s="635">
        <v>1</v>
      </c>
      <c r="J2979" s="302"/>
      <c r="K2979" s="302"/>
    </row>
    <row r="2980" spans="1:17" x14ac:dyDescent="0.2">
      <c r="A2980" s="237"/>
      <c r="B2980" s="261"/>
      <c r="C2980" s="245"/>
      <c r="D2980" s="245"/>
      <c r="E2980" s="245"/>
      <c r="F2980" s="262" t="s">
        <v>232</v>
      </c>
      <c r="G2980" s="244"/>
      <c r="H2980" s="245"/>
      <c r="I2980" s="633">
        <f>TRUNC(I2978/I2979,2)</f>
        <v>0</v>
      </c>
      <c r="J2980" s="302"/>
      <c r="K2980" s="302"/>
    </row>
    <row r="2981" spans="1:17" x14ac:dyDescent="0.2">
      <c r="A2981" s="867"/>
      <c r="B2981" s="233"/>
      <c r="C2981" s="199"/>
      <c r="D2981" s="199"/>
      <c r="E2981" s="199"/>
      <c r="F2981" s="263"/>
      <c r="G2981" s="199"/>
      <c r="H2981" s="199"/>
      <c r="I2981" s="264"/>
      <c r="J2981" s="302"/>
      <c r="K2981" s="302"/>
    </row>
    <row r="2982" spans="1:17" x14ac:dyDescent="0.2">
      <c r="A2982" s="246" t="s">
        <v>210</v>
      </c>
      <c r="B2982" s="247" t="s">
        <v>60</v>
      </c>
      <c r="C2982" s="247" t="s">
        <v>211</v>
      </c>
      <c r="D2982" s="247" t="s">
        <v>233</v>
      </c>
      <c r="E2982" s="1276" t="s">
        <v>91</v>
      </c>
      <c r="F2982" s="1274"/>
      <c r="G2982" s="1275"/>
      <c r="H2982" s="1276" t="s">
        <v>198</v>
      </c>
      <c r="I2982" s="1275"/>
      <c r="J2982" s="302"/>
      <c r="K2982" s="302"/>
    </row>
    <row r="2983" spans="1:17" x14ac:dyDescent="0.2">
      <c r="A2983" s="265"/>
      <c r="B2983" s="238"/>
      <c r="C2983" s="266"/>
      <c r="D2983" s="267"/>
      <c r="E2983" s="260"/>
      <c r="F2983" s="258"/>
      <c r="G2983" s="300"/>
      <c r="H2983" s="260"/>
      <c r="I2983" s="268"/>
      <c r="J2983" s="302"/>
      <c r="K2983" s="302"/>
    </row>
    <row r="2984" spans="1:17" x14ac:dyDescent="0.2">
      <c r="A2984" s="199"/>
      <c r="B2984" s="233"/>
      <c r="C2984" s="199"/>
      <c r="D2984" s="199"/>
      <c r="E2984" s="199"/>
      <c r="F2984" s="234" t="s">
        <v>212</v>
      </c>
      <c r="G2984" s="244"/>
      <c r="H2984" s="245"/>
      <c r="I2984" s="434">
        <f>SUM(I2983:I2983)</f>
        <v>0</v>
      </c>
      <c r="J2984" s="302"/>
      <c r="K2984" s="302"/>
    </row>
    <row r="2985" spans="1:17" x14ac:dyDescent="0.2">
      <c r="A2985" s="199"/>
      <c r="B2985" s="233"/>
      <c r="C2985" s="199"/>
      <c r="D2985" s="199"/>
      <c r="E2985" s="199"/>
      <c r="F2985" s="199"/>
      <c r="G2985" s="269"/>
      <c r="H2985" s="199"/>
      <c r="I2985" s="200"/>
      <c r="J2985" s="302"/>
      <c r="K2985" s="302"/>
    </row>
    <row r="2986" spans="1:17" x14ac:dyDescent="0.2">
      <c r="A2986" s="270" t="s">
        <v>213</v>
      </c>
      <c r="B2986" s="247" t="s">
        <v>60</v>
      </c>
      <c r="C2986" s="247" t="s">
        <v>211</v>
      </c>
      <c r="D2986" s="866" t="s">
        <v>233</v>
      </c>
      <c r="E2986" s="1276" t="s">
        <v>91</v>
      </c>
      <c r="F2986" s="1274"/>
      <c r="G2986" s="1275"/>
      <c r="H2986" s="1276" t="s">
        <v>198</v>
      </c>
      <c r="I2986" s="1275"/>
      <c r="J2986" s="302"/>
      <c r="K2986" s="302"/>
    </row>
    <row r="2987" spans="1:17" ht="27.75" customHeight="1" x14ac:dyDescent="0.2">
      <c r="A2987" s="248"/>
      <c r="B2987" s="238"/>
      <c r="C2987" s="238"/>
      <c r="D2987" s="243"/>
      <c r="E2987" s="244"/>
      <c r="F2987" s="258"/>
      <c r="G2987" s="300"/>
      <c r="H2987" s="244"/>
      <c r="I2987" s="268"/>
    </row>
    <row r="2988" spans="1:17" x14ac:dyDescent="0.2">
      <c r="A2988" s="201"/>
      <c r="B2988" s="271"/>
      <c r="C2988" s="201"/>
      <c r="D2988" s="201"/>
      <c r="E2988" s="201"/>
      <c r="F2988" s="272" t="s">
        <v>214</v>
      </c>
      <c r="G2988" s="260"/>
      <c r="H2988" s="273"/>
      <c r="I2988" s="436">
        <f>SUM(I2987:I2987)</f>
        <v>0</v>
      </c>
    </row>
    <row r="2989" spans="1:17" x14ac:dyDescent="0.2">
      <c r="A2989" s="201"/>
      <c r="B2989" s="271"/>
      <c r="C2989" s="201"/>
      <c r="D2989" s="201"/>
      <c r="E2989" s="201"/>
      <c r="F2989" s="201"/>
      <c r="G2989" s="201"/>
      <c r="H2989" s="201"/>
      <c r="I2989" s="201"/>
    </row>
    <row r="2990" spans="1:17" x14ac:dyDescent="0.2">
      <c r="A2990" s="274" t="s">
        <v>215</v>
      </c>
      <c r="B2990" s="275" t="s">
        <v>60</v>
      </c>
      <c r="C2990" s="275" t="s">
        <v>211</v>
      </c>
      <c r="D2990" s="275" t="s">
        <v>216</v>
      </c>
      <c r="E2990" s="275" t="s">
        <v>217</v>
      </c>
      <c r="F2990" s="275" t="s">
        <v>218</v>
      </c>
      <c r="G2990" s="275" t="s">
        <v>96</v>
      </c>
      <c r="H2990" s="275" t="s">
        <v>91</v>
      </c>
      <c r="I2990" s="275" t="s">
        <v>219</v>
      </c>
    </row>
    <row r="2991" spans="1:17" s="198" customFormat="1" x14ac:dyDescent="0.2">
      <c r="A2991" s="248"/>
      <c r="B2991" s="238"/>
      <c r="C2991" s="238"/>
      <c r="D2991" s="276"/>
      <c r="E2991" s="277"/>
      <c r="F2991" s="277"/>
      <c r="G2991" s="243"/>
      <c r="H2991" s="278"/>
      <c r="I2991" s="243"/>
      <c r="J2991" s="433"/>
      <c r="K2991" s="433"/>
      <c r="L2991" s="302"/>
      <c r="M2991" s="302"/>
      <c r="N2991" s="302"/>
      <c r="O2991" s="302"/>
      <c r="P2991" s="302"/>
      <c r="Q2991" s="302"/>
    </row>
    <row r="2992" spans="1:17" s="198" customFormat="1" x14ac:dyDescent="0.2">
      <c r="A2992" s="201"/>
      <c r="B2992" s="271"/>
      <c r="C2992" s="201"/>
      <c r="D2992" s="201"/>
      <c r="E2992" s="201"/>
      <c r="F2992" s="272" t="s">
        <v>220</v>
      </c>
      <c r="G2992" s="244"/>
      <c r="H2992" s="279"/>
      <c r="I2992" s="438">
        <f>SUM(I2991:I2991)</f>
        <v>0</v>
      </c>
      <c r="J2992" s="433"/>
      <c r="K2992" s="433"/>
      <c r="L2992" s="302"/>
      <c r="M2992" s="302"/>
      <c r="N2992" s="302"/>
      <c r="O2992" s="302"/>
      <c r="P2992" s="302"/>
      <c r="Q2992" s="302"/>
    </row>
    <row r="2993" spans="1:13" x14ac:dyDescent="0.2">
      <c r="A2993" s="201"/>
      <c r="B2993" s="271"/>
      <c r="C2993" s="201"/>
      <c r="D2993" s="201"/>
      <c r="E2993" s="201"/>
      <c r="F2993" s="201"/>
      <c r="G2993" s="201"/>
      <c r="H2993" s="201"/>
      <c r="I2993" s="202"/>
    </row>
    <row r="2994" spans="1:13" x14ac:dyDescent="0.2">
      <c r="A2994" s="280"/>
      <c r="B2994" s="281"/>
      <c r="C2994" s="282"/>
      <c r="D2994" s="282"/>
      <c r="E2994" s="282"/>
      <c r="F2994" s="283" t="s">
        <v>1095</v>
      </c>
      <c r="G2994" s="280"/>
      <c r="H2994" s="254"/>
      <c r="I2994" s="634">
        <v>236.13</v>
      </c>
    </row>
    <row r="2995" spans="1:13" x14ac:dyDescent="0.2">
      <c r="A2995" s="260"/>
      <c r="B2995" s="284"/>
      <c r="C2995" s="273"/>
      <c r="D2995" s="273"/>
      <c r="E2995" s="273"/>
      <c r="F2995" s="285" t="str">
        <f>CONCATENATE($H$3," ",$I$3)</f>
        <v>BDI: 23,32</v>
      </c>
      <c r="G2995" s="439"/>
      <c r="H2995" s="258"/>
      <c r="I2995" s="635">
        <f>+ROUND(I2994*$I$4,2)</f>
        <v>55.07</v>
      </c>
    </row>
    <row r="2996" spans="1:13" x14ac:dyDescent="0.2">
      <c r="A2996" s="244"/>
      <c r="B2996" s="286"/>
      <c r="C2996" s="279"/>
      <c r="D2996" s="279"/>
      <c r="E2996" s="279"/>
      <c r="F2996" s="287" t="s">
        <v>222</v>
      </c>
      <c r="G2996" s="440"/>
      <c r="H2996" s="245"/>
      <c r="I2996" s="1017">
        <f>+I2994+I2995</f>
        <v>291.2</v>
      </c>
    </row>
    <row r="2997" spans="1:13" x14ac:dyDescent="0.2">
      <c r="A2997" s="1277" t="str">
        <f>$A$1</f>
        <v>COMPOSIÇÃO DE CUSTOS UNITÁRIOS</v>
      </c>
      <c r="B2997" s="1277"/>
      <c r="C2997" s="1277"/>
      <c r="D2997" s="1277"/>
      <c r="E2997" s="1277"/>
      <c r="F2997" s="1277"/>
      <c r="G2997" s="1277"/>
      <c r="H2997" s="1277"/>
      <c r="I2997" s="1277"/>
    </row>
    <row r="2998" spans="1:13" x14ac:dyDescent="0.2">
      <c r="A2998" s="232" t="str">
        <f>$A$2</f>
        <v>Tabela Referencial de Preços - DER-ES</v>
      </c>
      <c r="B2998" s="233"/>
      <c r="C2998" s="199"/>
      <c r="D2998" s="199"/>
      <c r="E2998" s="199"/>
      <c r="F2998" s="199"/>
      <c r="G2998" s="199"/>
      <c r="H2998" s="199"/>
      <c r="I2998" s="234" t="str">
        <f>$I$2</f>
        <v>Data Base: Outubro/2018</v>
      </c>
      <c r="J2998" s="433">
        <v>41503</v>
      </c>
      <c r="K2998" s="433">
        <f>VLOOKUP("Preço Unitário Total",F3000:I4251,4,FALSE)</f>
        <v>421.98</v>
      </c>
      <c r="L2998" s="302">
        <f>VLOOKUP(J2998,'DER 10-18'!A:E,5,FALSE)</f>
        <v>0</v>
      </c>
      <c r="M2998" s="302" t="str">
        <f>VLOOKUP(J2998,'DER 10-18'!$A:$D,2,FALSE)</f>
        <v>Rede de luz, incl. padrão entr. energia trifás. cabo ligação até barracões, quadro distrib., disj. e chave de força, cons. 20m entre padrão entr.e QDG</v>
      </c>
    </row>
    <row r="2999" spans="1:13" x14ac:dyDescent="0.2">
      <c r="A2999" s="1278" t="str">
        <f>+CONCATENATE("Serviço: ",J2998," ",VLOOKUP(J2998,'DER 10-18'!$A:$D,2,FALSE))</f>
        <v>Serviço: 41503 Rede de luz, incl. padrão entr. energia trifás. cabo ligação até barracões, quadro distrib., disj. e chave de força, cons. 20m entre padrão entr.e QDG</v>
      </c>
      <c r="B2999" s="1278"/>
      <c r="C2999" s="1278"/>
      <c r="D2999" s="1278"/>
      <c r="E2999" s="1278"/>
      <c r="F2999" s="1278"/>
      <c r="G2999" s="1278"/>
      <c r="H2999" s="1278"/>
      <c r="I2999" s="1278" t="str">
        <f>CONCATENATE("Unidade: ", VLOOKUP(J2998,'DER 10-18'!$A:$E,3,FALSE))</f>
        <v>Unidade: M</v>
      </c>
    </row>
    <row r="3000" spans="1:13" x14ac:dyDescent="0.2">
      <c r="A3000" s="1279"/>
      <c r="B3000" s="1279"/>
      <c r="C3000" s="1279"/>
      <c r="D3000" s="1279"/>
      <c r="E3000" s="1279"/>
      <c r="F3000" s="1279"/>
      <c r="G3000" s="1279"/>
      <c r="H3000" s="1279"/>
      <c r="I3000" s="1279"/>
    </row>
    <row r="3001" spans="1:13" ht="22.5" x14ac:dyDescent="0.2">
      <c r="A3001" s="235" t="s">
        <v>192</v>
      </c>
      <c r="B3001" s="236" t="s">
        <v>60</v>
      </c>
      <c r="C3001" s="236" t="s">
        <v>193</v>
      </c>
      <c r="D3001" s="236" t="s">
        <v>194</v>
      </c>
      <c r="E3001" s="236" t="s">
        <v>195</v>
      </c>
      <c r="F3001" s="236" t="s">
        <v>196</v>
      </c>
      <c r="G3001" s="236" t="s">
        <v>197</v>
      </c>
      <c r="H3001" s="236" t="s">
        <v>91</v>
      </c>
      <c r="I3001" s="236" t="s">
        <v>198</v>
      </c>
    </row>
    <row r="3002" spans="1:13" x14ac:dyDescent="0.2">
      <c r="A3002" s="237"/>
      <c r="B3002" s="238"/>
      <c r="C3002" s="239"/>
      <c r="D3002" s="240"/>
      <c r="E3002" s="205"/>
      <c r="F3002" s="241"/>
      <c r="G3002" s="241"/>
      <c r="H3002" s="242"/>
      <c r="I3002" s="243"/>
    </row>
    <row r="3003" spans="1:13" x14ac:dyDescent="0.2">
      <c r="A3003" s="199"/>
      <c r="B3003" s="233"/>
      <c r="C3003" s="233"/>
      <c r="D3003" s="199"/>
      <c r="E3003" s="199"/>
      <c r="F3003" s="234" t="s">
        <v>199</v>
      </c>
      <c r="G3003" s="244"/>
      <c r="H3003" s="245"/>
      <c r="I3003" s="434">
        <f>SUM(I3002:I3002)</f>
        <v>0</v>
      </c>
      <c r="J3003" s="302"/>
      <c r="K3003" s="302"/>
    </row>
    <row r="3004" spans="1:13" x14ac:dyDescent="0.2">
      <c r="A3004" s="199"/>
      <c r="B3004" s="233"/>
      <c r="C3004" s="233"/>
      <c r="D3004" s="199"/>
      <c r="E3004" s="199"/>
      <c r="F3004" s="199"/>
      <c r="G3004" s="199"/>
      <c r="H3004" s="199"/>
      <c r="I3004" s="200"/>
      <c r="J3004" s="302"/>
      <c r="K3004" s="302"/>
    </row>
    <row r="3005" spans="1:13" x14ac:dyDescent="0.2">
      <c r="A3005" s="246" t="s">
        <v>200</v>
      </c>
      <c r="B3005" s="247" t="s">
        <v>60</v>
      </c>
      <c r="C3005" s="236" t="s">
        <v>1242</v>
      </c>
      <c r="D3005" s="247" t="s">
        <v>202</v>
      </c>
      <c r="E3005" s="1276" t="s">
        <v>91</v>
      </c>
      <c r="F3005" s="1274"/>
      <c r="G3005" s="1275"/>
      <c r="H3005" s="1276" t="s">
        <v>198</v>
      </c>
      <c r="I3005" s="1275"/>
      <c r="J3005" s="302"/>
      <c r="K3005" s="302"/>
    </row>
    <row r="3006" spans="1:13" x14ac:dyDescent="0.2">
      <c r="A3006" s="248"/>
      <c r="B3006" s="238"/>
      <c r="C3006" s="243"/>
      <c r="D3006" s="243"/>
      <c r="E3006" s="244"/>
      <c r="F3006" s="245"/>
      <c r="G3006" s="441"/>
      <c r="H3006" s="244"/>
      <c r="I3006" s="249"/>
      <c r="J3006" s="302"/>
      <c r="K3006" s="302"/>
    </row>
    <row r="3007" spans="1:13" x14ac:dyDescent="0.2">
      <c r="A3007" s="199"/>
      <c r="B3007" s="233"/>
      <c r="C3007" s="233"/>
      <c r="D3007" s="199"/>
      <c r="E3007" s="199"/>
      <c r="F3007" s="234" t="s">
        <v>203</v>
      </c>
      <c r="G3007" s="244"/>
      <c r="H3007" s="245"/>
      <c r="I3007" s="434">
        <f>SUM(I3006:I3006)</f>
        <v>0</v>
      </c>
      <c r="J3007" s="302"/>
      <c r="K3007" s="302"/>
    </row>
    <row r="3008" spans="1:13" x14ac:dyDescent="0.2">
      <c r="A3008" s="199"/>
      <c r="B3008" s="233"/>
      <c r="C3008" s="233"/>
      <c r="D3008" s="199"/>
      <c r="E3008" s="199"/>
      <c r="F3008" s="199"/>
      <c r="G3008" s="199"/>
      <c r="H3008" s="199"/>
      <c r="I3008" s="200"/>
      <c r="J3008" s="302"/>
      <c r="K3008" s="302"/>
    </row>
    <row r="3009" spans="1:11" x14ac:dyDescent="0.2">
      <c r="A3009" s="250" t="s">
        <v>204</v>
      </c>
      <c r="B3009" s="247" t="s">
        <v>60</v>
      </c>
      <c r="C3009" s="866" t="s">
        <v>17</v>
      </c>
      <c r="D3009" s="247" t="s">
        <v>205</v>
      </c>
      <c r="E3009" s="247" t="s">
        <v>206</v>
      </c>
      <c r="F3009" s="247" t="s">
        <v>207</v>
      </c>
      <c r="G3009" s="1276" t="s">
        <v>96</v>
      </c>
      <c r="H3009" s="1274"/>
      <c r="I3009" s="1275"/>
      <c r="J3009" s="302"/>
      <c r="K3009" s="302"/>
    </row>
    <row r="3010" spans="1:11" x14ac:dyDescent="0.2">
      <c r="A3010" s="248"/>
      <c r="B3010" s="238"/>
      <c r="C3010" s="243"/>
      <c r="D3010" s="239"/>
      <c r="E3010" s="251"/>
      <c r="F3010" s="251"/>
      <c r="G3010" s="244"/>
      <c r="H3010" s="245"/>
      <c r="I3010" s="249"/>
      <c r="J3010" s="302"/>
      <c r="K3010" s="302"/>
    </row>
    <row r="3011" spans="1:11" x14ac:dyDescent="0.2">
      <c r="A3011" s="199"/>
      <c r="B3011" s="233"/>
      <c r="C3011" s="199"/>
      <c r="D3011" s="199"/>
      <c r="E3011" s="199"/>
      <c r="F3011" s="234" t="s">
        <v>1170</v>
      </c>
      <c r="G3011" s="244"/>
      <c r="H3011" s="245"/>
      <c r="I3011" s="434">
        <f>SUM(I3010)</f>
        <v>0</v>
      </c>
      <c r="J3011" s="302"/>
      <c r="K3011" s="302"/>
    </row>
    <row r="3012" spans="1:11" x14ac:dyDescent="0.2">
      <c r="A3012" s="199"/>
      <c r="B3012" s="233"/>
      <c r="C3012" s="199"/>
      <c r="D3012" s="199"/>
      <c r="E3012" s="199"/>
      <c r="F3012" s="199"/>
      <c r="G3012" s="199"/>
      <c r="H3012" s="199"/>
      <c r="I3012" s="200"/>
      <c r="J3012" s="302"/>
      <c r="K3012" s="302"/>
    </row>
    <row r="3013" spans="1:11" ht="24" customHeight="1" x14ac:dyDescent="0.2">
      <c r="A3013" s="252"/>
      <c r="B3013" s="253"/>
      <c r="C3013" s="254"/>
      <c r="D3013" s="254"/>
      <c r="E3013" s="254"/>
      <c r="F3013" s="255" t="s">
        <v>208</v>
      </c>
      <c r="G3013" s="435"/>
      <c r="H3013" s="254"/>
      <c r="I3013" s="634">
        <f>+I3003+I3007+I3011</f>
        <v>0</v>
      </c>
      <c r="J3013" s="302"/>
      <c r="K3013" s="302"/>
    </row>
    <row r="3014" spans="1:11" x14ac:dyDescent="0.2">
      <c r="A3014" s="256"/>
      <c r="B3014" s="257"/>
      <c r="C3014" s="258"/>
      <c r="D3014" s="258"/>
      <c r="E3014" s="258"/>
      <c r="F3014" s="259" t="s">
        <v>209</v>
      </c>
      <c r="G3014" s="260"/>
      <c r="H3014" s="258"/>
      <c r="I3014" s="635">
        <v>1</v>
      </c>
      <c r="J3014" s="302"/>
      <c r="K3014" s="302"/>
    </row>
    <row r="3015" spans="1:11" x14ac:dyDescent="0.2">
      <c r="A3015" s="237"/>
      <c r="B3015" s="261"/>
      <c r="C3015" s="245"/>
      <c r="D3015" s="245"/>
      <c r="E3015" s="245"/>
      <c r="F3015" s="262" t="s">
        <v>232</v>
      </c>
      <c r="G3015" s="244"/>
      <c r="H3015" s="245"/>
      <c r="I3015" s="633">
        <f>TRUNC(I3013/I3014,2)</f>
        <v>0</v>
      </c>
      <c r="J3015" s="302"/>
      <c r="K3015" s="302"/>
    </row>
    <row r="3016" spans="1:11" x14ac:dyDescent="0.2">
      <c r="A3016" s="867"/>
      <c r="B3016" s="233"/>
      <c r="C3016" s="199"/>
      <c r="D3016" s="199"/>
      <c r="E3016" s="199"/>
      <c r="F3016" s="263"/>
      <c r="G3016" s="199"/>
      <c r="H3016" s="199"/>
      <c r="I3016" s="264"/>
      <c r="J3016" s="302"/>
      <c r="K3016" s="302"/>
    </row>
    <row r="3017" spans="1:11" x14ac:dyDescent="0.2">
      <c r="A3017" s="246" t="s">
        <v>210</v>
      </c>
      <c r="B3017" s="247" t="s">
        <v>60</v>
      </c>
      <c r="C3017" s="247" t="s">
        <v>211</v>
      </c>
      <c r="D3017" s="247" t="s">
        <v>233</v>
      </c>
      <c r="E3017" s="1276" t="s">
        <v>91</v>
      </c>
      <c r="F3017" s="1274"/>
      <c r="G3017" s="1275"/>
      <c r="H3017" s="1276" t="s">
        <v>198</v>
      </c>
      <c r="I3017" s="1275"/>
      <c r="J3017" s="302"/>
      <c r="K3017" s="302"/>
    </row>
    <row r="3018" spans="1:11" x14ac:dyDescent="0.2">
      <c r="A3018" s="265"/>
      <c r="B3018" s="238"/>
      <c r="C3018" s="266"/>
      <c r="D3018" s="267"/>
      <c r="E3018" s="260"/>
      <c r="F3018" s="258"/>
      <c r="G3018" s="441"/>
      <c r="H3018" s="260"/>
      <c r="I3018" s="268"/>
      <c r="J3018" s="302"/>
      <c r="K3018" s="302"/>
    </row>
    <row r="3019" spans="1:11" x14ac:dyDescent="0.2">
      <c r="A3019" s="199"/>
      <c r="B3019" s="233"/>
      <c r="C3019" s="199"/>
      <c r="D3019" s="199"/>
      <c r="E3019" s="199"/>
      <c r="F3019" s="234" t="s">
        <v>212</v>
      </c>
      <c r="G3019" s="244"/>
      <c r="H3019" s="245"/>
      <c r="I3019" s="434">
        <f>SUM(I3018:I3018)</f>
        <v>0</v>
      </c>
    </row>
    <row r="3020" spans="1:11" x14ac:dyDescent="0.2">
      <c r="A3020" s="199"/>
      <c r="B3020" s="233"/>
      <c r="C3020" s="199"/>
      <c r="D3020" s="199"/>
      <c r="E3020" s="199"/>
      <c r="F3020" s="199"/>
      <c r="G3020" s="269"/>
      <c r="H3020" s="199"/>
      <c r="I3020" s="200"/>
    </row>
    <row r="3021" spans="1:11" x14ac:dyDescent="0.2">
      <c r="A3021" s="270" t="s">
        <v>213</v>
      </c>
      <c r="B3021" s="247" t="s">
        <v>60</v>
      </c>
      <c r="C3021" s="247" t="s">
        <v>211</v>
      </c>
      <c r="D3021" s="866" t="s">
        <v>233</v>
      </c>
      <c r="E3021" s="1276" t="s">
        <v>91</v>
      </c>
      <c r="F3021" s="1274"/>
      <c r="G3021" s="1275"/>
      <c r="H3021" s="1276" t="s">
        <v>198</v>
      </c>
      <c r="I3021" s="1275"/>
    </row>
    <row r="3022" spans="1:11" x14ac:dyDescent="0.2">
      <c r="A3022" s="248"/>
      <c r="B3022" s="238"/>
      <c r="C3022" s="238"/>
      <c r="D3022" s="243"/>
      <c r="E3022" s="244"/>
      <c r="F3022" s="258"/>
      <c r="G3022" s="300"/>
      <c r="H3022" s="244"/>
      <c r="I3022" s="268"/>
    </row>
    <row r="3023" spans="1:11" x14ac:dyDescent="0.2">
      <c r="A3023" s="201"/>
      <c r="B3023" s="271"/>
      <c r="C3023" s="201"/>
      <c r="D3023" s="201"/>
      <c r="E3023" s="201"/>
      <c r="F3023" s="272" t="s">
        <v>214</v>
      </c>
      <c r="G3023" s="260"/>
      <c r="H3023" s="273"/>
      <c r="I3023" s="436">
        <f>SUM(I3022:I3022)</f>
        <v>0</v>
      </c>
    </row>
    <row r="3024" spans="1:11" x14ac:dyDescent="0.2">
      <c r="A3024" s="201"/>
      <c r="B3024" s="271"/>
      <c r="C3024" s="201"/>
      <c r="D3024" s="201"/>
      <c r="E3024" s="201"/>
      <c r="F3024" s="201"/>
      <c r="G3024" s="201"/>
      <c r="H3024" s="201"/>
      <c r="I3024" s="201"/>
    </row>
    <row r="3025" spans="1:17" x14ac:dyDescent="0.2">
      <c r="A3025" s="274" t="s">
        <v>215</v>
      </c>
      <c r="B3025" s="275" t="s">
        <v>60</v>
      </c>
      <c r="C3025" s="275" t="s">
        <v>211</v>
      </c>
      <c r="D3025" s="275" t="s">
        <v>216</v>
      </c>
      <c r="E3025" s="275" t="s">
        <v>217</v>
      </c>
      <c r="F3025" s="275" t="s">
        <v>218</v>
      </c>
      <c r="G3025" s="275" t="s">
        <v>96</v>
      </c>
      <c r="H3025" s="275" t="s">
        <v>91</v>
      </c>
      <c r="I3025" s="275" t="s">
        <v>219</v>
      </c>
    </row>
    <row r="3026" spans="1:17" x14ac:dyDescent="0.2">
      <c r="A3026" s="248"/>
      <c r="B3026" s="238"/>
      <c r="C3026" s="238"/>
      <c r="D3026" s="276"/>
      <c r="E3026" s="277"/>
      <c r="F3026" s="277"/>
      <c r="G3026" s="243"/>
      <c r="H3026" s="278"/>
      <c r="I3026" s="243"/>
    </row>
    <row r="3027" spans="1:17" x14ac:dyDescent="0.2">
      <c r="A3027" s="201"/>
      <c r="B3027" s="271"/>
      <c r="C3027" s="201"/>
      <c r="D3027" s="201"/>
      <c r="E3027" s="201"/>
      <c r="F3027" s="272" t="s">
        <v>220</v>
      </c>
      <c r="G3027" s="244"/>
      <c r="H3027" s="279"/>
      <c r="I3027" s="438">
        <f>SUM(I3026:I3026)</f>
        <v>0</v>
      </c>
    </row>
    <row r="3028" spans="1:17" x14ac:dyDescent="0.2">
      <c r="A3028" s="201"/>
      <c r="B3028" s="271"/>
      <c r="C3028" s="201"/>
      <c r="D3028" s="201"/>
      <c r="E3028" s="201"/>
      <c r="F3028" s="201"/>
      <c r="G3028" s="201"/>
      <c r="H3028" s="201"/>
      <c r="I3028" s="202"/>
    </row>
    <row r="3029" spans="1:17" x14ac:dyDescent="0.2">
      <c r="A3029" s="280"/>
      <c r="B3029" s="281"/>
      <c r="C3029" s="282"/>
      <c r="D3029" s="282"/>
      <c r="E3029" s="282"/>
      <c r="F3029" s="283" t="s">
        <v>1095</v>
      </c>
      <c r="G3029" s="280"/>
      <c r="H3029" s="254"/>
      <c r="I3029" s="634">
        <v>342.18</v>
      </c>
    </row>
    <row r="3030" spans="1:17" x14ac:dyDescent="0.2">
      <c r="A3030" s="260"/>
      <c r="B3030" s="284"/>
      <c r="C3030" s="273"/>
      <c r="D3030" s="273"/>
      <c r="E3030" s="273"/>
      <c r="F3030" s="285" t="str">
        <f>CONCATENATE($H$3," ",$I$3)</f>
        <v>BDI: 23,32</v>
      </c>
      <c r="G3030" s="439"/>
      <c r="H3030" s="258"/>
      <c r="I3030" s="635">
        <f>+ROUND(I3029*$I$4,2)</f>
        <v>79.8</v>
      </c>
    </row>
    <row r="3031" spans="1:17" s="198" customFormat="1" x14ac:dyDescent="0.2">
      <c r="A3031" s="244"/>
      <c r="B3031" s="286"/>
      <c r="C3031" s="279"/>
      <c r="D3031" s="279"/>
      <c r="E3031" s="279"/>
      <c r="F3031" s="287" t="s">
        <v>222</v>
      </c>
      <c r="G3031" s="440"/>
      <c r="H3031" s="245"/>
      <c r="I3031" s="1017">
        <f>+I3029+I3030</f>
        <v>421.98</v>
      </c>
      <c r="J3031" s="433"/>
      <c r="K3031" s="433"/>
      <c r="L3031" s="302"/>
      <c r="M3031" s="302"/>
      <c r="N3031" s="302"/>
      <c r="O3031" s="302"/>
      <c r="P3031" s="302"/>
      <c r="Q3031" s="302"/>
    </row>
    <row r="3032" spans="1:17" s="198" customFormat="1" x14ac:dyDescent="0.2">
      <c r="A3032" s="1277" t="str">
        <f>$A$1</f>
        <v>COMPOSIÇÃO DE CUSTOS UNITÁRIOS</v>
      </c>
      <c r="B3032" s="1277"/>
      <c r="C3032" s="1277"/>
      <c r="D3032" s="1277"/>
      <c r="E3032" s="1277"/>
      <c r="F3032" s="1277"/>
      <c r="G3032" s="1277"/>
      <c r="H3032" s="1277"/>
      <c r="I3032" s="1277"/>
      <c r="J3032" s="433"/>
      <c r="K3032" s="433"/>
      <c r="L3032" s="302"/>
      <c r="M3032" s="302"/>
      <c r="N3032" s="302"/>
      <c r="O3032" s="302"/>
      <c r="P3032" s="302"/>
      <c r="Q3032" s="302"/>
    </row>
    <row r="3033" spans="1:17" x14ac:dyDescent="0.2">
      <c r="A3033" s="232" t="str">
        <f>$A$2</f>
        <v>Tabela Referencial de Preços - DER-ES</v>
      </c>
      <c r="B3033" s="233"/>
      <c r="C3033" s="199"/>
      <c r="D3033" s="199"/>
      <c r="E3033" s="199"/>
      <c r="F3033" s="199"/>
      <c r="G3033" s="199"/>
      <c r="H3033" s="199"/>
      <c r="I3033" s="234" t="str">
        <f>$I$2</f>
        <v>Data Base: Outubro/2018</v>
      </c>
      <c r="J3033" s="433">
        <v>41527</v>
      </c>
      <c r="K3033" s="433">
        <f>VLOOKUP("Preço Unitário Total",F3035:I4251,4,FALSE)</f>
        <v>1764.88</v>
      </c>
      <c r="L3033" s="302">
        <f>VLOOKUP(J3033,'DER 10-18'!A:E,5,FALSE)</f>
        <v>0</v>
      </c>
      <c r="M3033" s="302" t="str">
        <f>VLOOKUP(J3033,'DER 10-18'!$A:$D,2,FALSE)</f>
        <v>Reservatório de fibra de vidro de 1000 L, incl. suporte em madeira de 7x12cm, elevado de 4m</v>
      </c>
    </row>
    <row r="3034" spans="1:17" x14ac:dyDescent="0.2">
      <c r="A3034" s="1278" t="str">
        <f>+CONCATENATE("Serviço: ",J3033," ",VLOOKUP(J3033,'DER 10-18'!$A:$D,2,FALSE))</f>
        <v>Serviço: 41527 Reservatório de fibra de vidro de 1000 L, incl. suporte em madeira de 7x12cm, elevado de 4m</v>
      </c>
      <c r="B3034" s="1278"/>
      <c r="C3034" s="1278"/>
      <c r="D3034" s="1278"/>
      <c r="E3034" s="1278"/>
      <c r="F3034" s="1278"/>
      <c r="G3034" s="1278"/>
      <c r="H3034" s="1278"/>
      <c r="I3034" s="1278" t="str">
        <f>CONCATENATE("Unidade: ", VLOOKUP(J3033,'DER 10-18'!$A:$E,3,FALSE))</f>
        <v>Unidade: Ud</v>
      </c>
    </row>
    <row r="3035" spans="1:17" x14ac:dyDescent="0.2">
      <c r="A3035" s="1279"/>
      <c r="B3035" s="1279"/>
      <c r="C3035" s="1279"/>
      <c r="D3035" s="1279"/>
      <c r="E3035" s="1279"/>
      <c r="F3035" s="1279"/>
      <c r="G3035" s="1279"/>
      <c r="H3035" s="1279"/>
      <c r="I3035" s="1279"/>
      <c r="J3035" s="302"/>
      <c r="K3035" s="302"/>
    </row>
    <row r="3036" spans="1:17" ht="22.5" x14ac:dyDescent="0.2">
      <c r="A3036" s="235" t="s">
        <v>192</v>
      </c>
      <c r="B3036" s="236" t="s">
        <v>60</v>
      </c>
      <c r="C3036" s="236" t="s">
        <v>193</v>
      </c>
      <c r="D3036" s="236" t="s">
        <v>194</v>
      </c>
      <c r="E3036" s="236" t="s">
        <v>195</v>
      </c>
      <c r="F3036" s="236" t="s">
        <v>196</v>
      </c>
      <c r="G3036" s="236" t="s">
        <v>197</v>
      </c>
      <c r="H3036" s="236" t="s">
        <v>91</v>
      </c>
      <c r="I3036" s="236" t="s">
        <v>198</v>
      </c>
      <c r="J3036" s="302"/>
      <c r="K3036" s="302"/>
    </row>
    <row r="3037" spans="1:17" x14ac:dyDescent="0.2">
      <c r="A3037" s="237"/>
      <c r="B3037" s="238"/>
      <c r="C3037" s="239"/>
      <c r="D3037" s="240"/>
      <c r="E3037" s="205"/>
      <c r="F3037" s="241"/>
      <c r="G3037" s="241"/>
      <c r="H3037" s="242"/>
      <c r="I3037" s="243"/>
      <c r="J3037" s="302"/>
      <c r="K3037" s="302"/>
    </row>
    <row r="3038" spans="1:17" x14ac:dyDescent="0.2">
      <c r="A3038" s="199"/>
      <c r="B3038" s="233"/>
      <c r="C3038" s="233"/>
      <c r="D3038" s="199"/>
      <c r="E3038" s="199"/>
      <c r="F3038" s="234" t="s">
        <v>199</v>
      </c>
      <c r="G3038" s="244"/>
      <c r="H3038" s="245"/>
      <c r="I3038" s="434">
        <f>SUM(I3037:I3037)</f>
        <v>0</v>
      </c>
      <c r="J3038" s="302"/>
      <c r="K3038" s="302"/>
    </row>
    <row r="3039" spans="1:17" x14ac:dyDescent="0.2">
      <c r="A3039" s="199"/>
      <c r="B3039" s="233"/>
      <c r="C3039" s="233"/>
      <c r="D3039" s="199"/>
      <c r="E3039" s="199"/>
      <c r="F3039" s="199"/>
      <c r="G3039" s="199"/>
      <c r="H3039" s="199"/>
      <c r="I3039" s="200"/>
      <c r="J3039" s="302"/>
      <c r="K3039" s="302"/>
    </row>
    <row r="3040" spans="1:17" x14ac:dyDescent="0.2">
      <c r="A3040" s="246" t="s">
        <v>200</v>
      </c>
      <c r="B3040" s="247" t="s">
        <v>60</v>
      </c>
      <c r="C3040" s="236" t="s">
        <v>1242</v>
      </c>
      <c r="D3040" s="247" t="s">
        <v>202</v>
      </c>
      <c r="E3040" s="1276" t="s">
        <v>91</v>
      </c>
      <c r="F3040" s="1274"/>
      <c r="G3040" s="1275"/>
      <c r="H3040" s="1276" t="s">
        <v>198</v>
      </c>
      <c r="I3040" s="1275"/>
      <c r="J3040" s="302"/>
      <c r="K3040" s="302"/>
    </row>
    <row r="3041" spans="1:11" x14ac:dyDescent="0.2">
      <c r="A3041" s="248"/>
      <c r="B3041" s="238"/>
      <c r="C3041" s="243"/>
      <c r="D3041" s="243"/>
      <c r="E3041" s="244"/>
      <c r="F3041" s="245"/>
      <c r="G3041" s="441"/>
      <c r="H3041" s="244"/>
      <c r="I3041" s="249"/>
      <c r="J3041" s="302"/>
      <c r="K3041" s="302"/>
    </row>
    <row r="3042" spans="1:11" x14ac:dyDescent="0.2">
      <c r="A3042" s="199"/>
      <c r="B3042" s="233"/>
      <c r="C3042" s="233"/>
      <c r="D3042" s="199"/>
      <c r="E3042" s="199"/>
      <c r="F3042" s="234" t="s">
        <v>203</v>
      </c>
      <c r="G3042" s="244"/>
      <c r="H3042" s="245"/>
      <c r="I3042" s="434">
        <f>SUM(I3041:I3041)</f>
        <v>0</v>
      </c>
      <c r="J3042" s="302"/>
      <c r="K3042" s="302"/>
    </row>
    <row r="3043" spans="1:11" x14ac:dyDescent="0.2">
      <c r="A3043" s="199"/>
      <c r="B3043" s="233"/>
      <c r="C3043" s="233"/>
      <c r="D3043" s="199"/>
      <c r="E3043" s="199"/>
      <c r="F3043" s="199"/>
      <c r="G3043" s="199"/>
      <c r="H3043" s="199"/>
      <c r="I3043" s="200"/>
      <c r="J3043" s="302"/>
      <c r="K3043" s="302"/>
    </row>
    <row r="3044" spans="1:11" x14ac:dyDescent="0.2">
      <c r="A3044" s="250" t="s">
        <v>204</v>
      </c>
      <c r="B3044" s="247" t="s">
        <v>60</v>
      </c>
      <c r="C3044" s="866" t="s">
        <v>17</v>
      </c>
      <c r="D3044" s="247" t="s">
        <v>205</v>
      </c>
      <c r="E3044" s="247" t="s">
        <v>206</v>
      </c>
      <c r="F3044" s="247" t="s">
        <v>207</v>
      </c>
      <c r="G3044" s="1276" t="s">
        <v>96</v>
      </c>
      <c r="H3044" s="1274"/>
      <c r="I3044" s="1275"/>
      <c r="J3044" s="302"/>
      <c r="K3044" s="302"/>
    </row>
    <row r="3045" spans="1:11" x14ac:dyDescent="0.2">
      <c r="A3045" s="248"/>
      <c r="B3045" s="238"/>
      <c r="C3045" s="243"/>
      <c r="D3045" s="239"/>
      <c r="E3045" s="251"/>
      <c r="F3045" s="251"/>
      <c r="G3045" s="244"/>
      <c r="H3045" s="245"/>
      <c r="I3045" s="249"/>
      <c r="J3045" s="302"/>
      <c r="K3045" s="302"/>
    </row>
    <row r="3046" spans="1:11" x14ac:dyDescent="0.2">
      <c r="A3046" s="199"/>
      <c r="B3046" s="233"/>
      <c r="C3046" s="199"/>
      <c r="D3046" s="199"/>
      <c r="E3046" s="199"/>
      <c r="F3046" s="234" t="s">
        <v>1170</v>
      </c>
      <c r="G3046" s="244"/>
      <c r="H3046" s="245"/>
      <c r="I3046" s="434">
        <f>SUM(I3045)</f>
        <v>0</v>
      </c>
      <c r="J3046" s="302"/>
      <c r="K3046" s="302"/>
    </row>
    <row r="3047" spans="1:11" x14ac:dyDescent="0.2">
      <c r="A3047" s="199"/>
      <c r="B3047" s="233"/>
      <c r="C3047" s="199"/>
      <c r="D3047" s="199"/>
      <c r="E3047" s="199"/>
      <c r="F3047" s="199"/>
      <c r="G3047" s="199"/>
      <c r="H3047" s="199"/>
      <c r="I3047" s="200"/>
      <c r="J3047" s="302"/>
      <c r="K3047" s="302"/>
    </row>
    <row r="3048" spans="1:11" x14ac:dyDescent="0.2">
      <c r="A3048" s="252"/>
      <c r="B3048" s="253"/>
      <c r="C3048" s="254"/>
      <c r="D3048" s="254"/>
      <c r="E3048" s="254"/>
      <c r="F3048" s="255" t="s">
        <v>208</v>
      </c>
      <c r="G3048" s="435"/>
      <c r="H3048" s="254"/>
      <c r="I3048" s="634">
        <f>+I3038+I3042+I3046</f>
        <v>0</v>
      </c>
      <c r="J3048" s="302"/>
      <c r="K3048" s="302"/>
    </row>
    <row r="3049" spans="1:11" x14ac:dyDescent="0.2">
      <c r="A3049" s="256"/>
      <c r="B3049" s="257"/>
      <c r="C3049" s="258"/>
      <c r="D3049" s="258"/>
      <c r="E3049" s="258"/>
      <c r="F3049" s="259" t="s">
        <v>209</v>
      </c>
      <c r="G3049" s="260"/>
      <c r="H3049" s="258"/>
      <c r="I3049" s="635">
        <v>1</v>
      </c>
      <c r="J3049" s="302"/>
      <c r="K3049" s="302"/>
    </row>
    <row r="3050" spans="1:11" x14ac:dyDescent="0.2">
      <c r="A3050" s="237"/>
      <c r="B3050" s="261"/>
      <c r="C3050" s="245"/>
      <c r="D3050" s="245"/>
      <c r="E3050" s="245"/>
      <c r="F3050" s="262" t="s">
        <v>232</v>
      </c>
      <c r="G3050" s="244"/>
      <c r="H3050" s="245"/>
      <c r="I3050" s="633">
        <f>TRUNC(I3048/I3049,2)</f>
        <v>0</v>
      </c>
      <c r="J3050" s="302"/>
      <c r="K3050" s="302"/>
    </row>
    <row r="3051" spans="1:11" x14ac:dyDescent="0.2">
      <c r="A3051" s="867"/>
      <c r="B3051" s="233"/>
      <c r="C3051" s="199"/>
      <c r="D3051" s="199"/>
      <c r="E3051" s="199"/>
      <c r="F3051" s="263"/>
      <c r="G3051" s="199"/>
      <c r="H3051" s="199"/>
      <c r="I3051" s="264"/>
    </row>
    <row r="3052" spans="1:11" x14ac:dyDescent="0.2">
      <c r="A3052" s="246" t="s">
        <v>210</v>
      </c>
      <c r="B3052" s="247" t="s">
        <v>60</v>
      </c>
      <c r="C3052" s="247" t="s">
        <v>211</v>
      </c>
      <c r="D3052" s="247" t="s">
        <v>233</v>
      </c>
      <c r="E3052" s="1276" t="s">
        <v>91</v>
      </c>
      <c r="F3052" s="1274"/>
      <c r="G3052" s="1275"/>
      <c r="H3052" s="1276" t="s">
        <v>198</v>
      </c>
      <c r="I3052" s="1275"/>
    </row>
    <row r="3053" spans="1:11" x14ac:dyDescent="0.2">
      <c r="A3053" s="265"/>
      <c r="B3053" s="238"/>
      <c r="C3053" s="266"/>
      <c r="D3053" s="267"/>
      <c r="E3053" s="260"/>
      <c r="F3053" s="258"/>
      <c r="G3053" s="441"/>
      <c r="H3053" s="260"/>
      <c r="I3053" s="268"/>
    </row>
    <row r="3054" spans="1:11" x14ac:dyDescent="0.2">
      <c r="A3054" s="199"/>
      <c r="B3054" s="233"/>
      <c r="C3054" s="199"/>
      <c r="D3054" s="199"/>
      <c r="E3054" s="199"/>
      <c r="F3054" s="234" t="s">
        <v>212</v>
      </c>
      <c r="G3054" s="244"/>
      <c r="H3054" s="245"/>
      <c r="I3054" s="434">
        <f>SUM(I3053:I3053)</f>
        <v>0</v>
      </c>
    </row>
    <row r="3055" spans="1:11" x14ac:dyDescent="0.2">
      <c r="A3055" s="199"/>
      <c r="B3055" s="233"/>
      <c r="C3055" s="199"/>
      <c r="D3055" s="199"/>
      <c r="E3055" s="199"/>
      <c r="F3055" s="199"/>
      <c r="G3055" s="269"/>
      <c r="H3055" s="199"/>
      <c r="I3055" s="200"/>
    </row>
    <row r="3056" spans="1:11" x14ac:dyDescent="0.2">
      <c r="A3056" s="270" t="s">
        <v>213</v>
      </c>
      <c r="B3056" s="247" t="s">
        <v>60</v>
      </c>
      <c r="C3056" s="247" t="s">
        <v>211</v>
      </c>
      <c r="D3056" s="866" t="s">
        <v>233</v>
      </c>
      <c r="E3056" s="1276" t="s">
        <v>91</v>
      </c>
      <c r="F3056" s="1274"/>
      <c r="G3056" s="1275"/>
      <c r="H3056" s="1276" t="s">
        <v>198</v>
      </c>
      <c r="I3056" s="1275"/>
    </row>
    <row r="3057" spans="1:13" ht="23.25" customHeight="1" x14ac:dyDescent="0.2">
      <c r="A3057" s="248"/>
      <c r="B3057" s="238"/>
      <c r="C3057" s="238"/>
      <c r="D3057" s="243"/>
      <c r="E3057" s="244"/>
      <c r="F3057" s="258"/>
      <c r="G3057" s="300"/>
      <c r="H3057" s="244"/>
      <c r="I3057" s="268"/>
    </row>
    <row r="3058" spans="1:13" x14ac:dyDescent="0.2">
      <c r="A3058" s="201"/>
      <c r="B3058" s="271"/>
      <c r="C3058" s="201"/>
      <c r="D3058" s="201"/>
      <c r="E3058" s="201"/>
      <c r="F3058" s="272" t="s">
        <v>214</v>
      </c>
      <c r="G3058" s="260"/>
      <c r="H3058" s="273"/>
      <c r="I3058" s="436">
        <f>SUM(I3057:I3057)</f>
        <v>0</v>
      </c>
    </row>
    <row r="3059" spans="1:13" x14ac:dyDescent="0.2">
      <c r="A3059" s="201"/>
      <c r="B3059" s="271"/>
      <c r="C3059" s="201"/>
      <c r="D3059" s="201"/>
      <c r="E3059" s="201"/>
      <c r="F3059" s="201"/>
      <c r="G3059" s="201"/>
      <c r="H3059" s="201"/>
      <c r="I3059" s="201"/>
    </row>
    <row r="3060" spans="1:13" x14ac:dyDescent="0.2">
      <c r="A3060" s="274" t="s">
        <v>215</v>
      </c>
      <c r="B3060" s="275" t="s">
        <v>60</v>
      </c>
      <c r="C3060" s="275" t="s">
        <v>211</v>
      </c>
      <c r="D3060" s="275" t="s">
        <v>216</v>
      </c>
      <c r="E3060" s="275" t="s">
        <v>217</v>
      </c>
      <c r="F3060" s="275" t="s">
        <v>218</v>
      </c>
      <c r="G3060" s="275" t="s">
        <v>96</v>
      </c>
      <c r="H3060" s="275" t="s">
        <v>91</v>
      </c>
      <c r="I3060" s="275" t="s">
        <v>219</v>
      </c>
    </row>
    <row r="3061" spans="1:13" x14ac:dyDescent="0.2">
      <c r="A3061" s="248"/>
      <c r="B3061" s="238"/>
      <c r="C3061" s="238"/>
      <c r="D3061" s="276"/>
      <c r="E3061" s="277"/>
      <c r="F3061" s="277"/>
      <c r="G3061" s="243"/>
      <c r="H3061" s="278"/>
      <c r="I3061" s="243"/>
    </row>
    <row r="3062" spans="1:13" x14ac:dyDescent="0.2">
      <c r="A3062" s="201"/>
      <c r="B3062" s="271"/>
      <c r="C3062" s="201"/>
      <c r="D3062" s="201"/>
      <c r="E3062" s="201"/>
      <c r="F3062" s="272" t="s">
        <v>220</v>
      </c>
      <c r="G3062" s="244"/>
      <c r="H3062" s="279"/>
      <c r="I3062" s="438">
        <f>SUM(I3061:I3061)</f>
        <v>0</v>
      </c>
    </row>
    <row r="3063" spans="1:13" x14ac:dyDescent="0.2">
      <c r="A3063" s="201"/>
      <c r="B3063" s="271"/>
      <c r="C3063" s="201"/>
      <c r="D3063" s="201"/>
      <c r="E3063" s="201"/>
      <c r="F3063" s="201"/>
      <c r="G3063" s="201"/>
      <c r="H3063" s="201"/>
      <c r="I3063" s="202"/>
    </row>
    <row r="3064" spans="1:13" x14ac:dyDescent="0.2">
      <c r="A3064" s="280"/>
      <c r="B3064" s="281"/>
      <c r="C3064" s="282"/>
      <c r="D3064" s="282"/>
      <c r="E3064" s="282"/>
      <c r="F3064" s="283" t="s">
        <v>1095</v>
      </c>
      <c r="G3064" s="280"/>
      <c r="H3064" s="254"/>
      <c r="I3064" s="634">
        <v>1431.14</v>
      </c>
    </row>
    <row r="3065" spans="1:13" x14ac:dyDescent="0.2">
      <c r="A3065" s="260"/>
      <c r="B3065" s="284"/>
      <c r="C3065" s="273"/>
      <c r="D3065" s="273"/>
      <c r="E3065" s="273"/>
      <c r="F3065" s="285" t="str">
        <f>CONCATENATE($H$3," ",$I$3)</f>
        <v>BDI: 23,32</v>
      </c>
      <c r="G3065" s="439"/>
      <c r="H3065" s="258"/>
      <c r="I3065" s="635">
        <f>+ROUND(I3064*$I$4,2)</f>
        <v>333.74</v>
      </c>
    </row>
    <row r="3066" spans="1:13" x14ac:dyDescent="0.2">
      <c r="A3066" s="244"/>
      <c r="B3066" s="286"/>
      <c r="C3066" s="279"/>
      <c r="D3066" s="279"/>
      <c r="E3066" s="279"/>
      <c r="F3066" s="287" t="s">
        <v>222</v>
      </c>
      <c r="G3066" s="440"/>
      <c r="H3066" s="245"/>
      <c r="I3066" s="1017">
        <f>+I3064+I3065</f>
        <v>1764.88</v>
      </c>
    </row>
    <row r="3067" spans="1:13" x14ac:dyDescent="0.2">
      <c r="A3067" s="1277" t="str">
        <f>$A$1</f>
        <v>COMPOSIÇÃO DE CUSTOS UNITÁRIOS</v>
      </c>
      <c r="B3067" s="1277"/>
      <c r="C3067" s="1277"/>
      <c r="D3067" s="1277"/>
      <c r="E3067" s="1277"/>
      <c r="F3067" s="1277"/>
      <c r="G3067" s="1277"/>
      <c r="H3067" s="1277"/>
      <c r="I3067" s="1277"/>
    </row>
    <row r="3068" spans="1:13" x14ac:dyDescent="0.2">
      <c r="A3068" s="232" t="str">
        <f>$A$2</f>
        <v>Tabela Referencial de Preços - DER-ES</v>
      </c>
      <c r="B3068" s="233"/>
      <c r="C3068" s="199"/>
      <c r="D3068" s="199"/>
      <c r="E3068" s="199"/>
      <c r="F3068" s="199"/>
      <c r="G3068" s="199"/>
      <c r="H3068" s="199"/>
      <c r="I3068" s="234" t="str">
        <f>$I$2</f>
        <v>Data Base: Outubro/2018</v>
      </c>
      <c r="J3068" s="433">
        <v>41556</v>
      </c>
      <c r="K3068" s="433">
        <f>VLOOKUP("Preço Unitário Total",F3070:I4063,4,FALSE)</f>
        <v>101.47</v>
      </c>
      <c r="L3068" s="302" t="str">
        <f>VLOOKUP(J3068,'DER 10-18'!A:E,5,FALSE)</f>
        <v>A incluir</v>
      </c>
      <c r="M3068" s="302" t="str">
        <f>VLOOKUP(J3068,'DER 10-18'!$A:$D,2,FALSE)</f>
        <v>Pó de pedra inclusive fornecimento, espalhamento e transporte</v>
      </c>
    </row>
    <row r="3069" spans="1:13" x14ac:dyDescent="0.2">
      <c r="A3069" s="1278" t="str">
        <f>+CONCATENATE("Serviço: ",J3068," ",VLOOKUP(J3068,'DER 10-18'!$A:$D,2,FALSE))</f>
        <v>Serviço: 41556 Pó de pedra inclusive fornecimento, espalhamento e transporte</v>
      </c>
      <c r="B3069" s="1278"/>
      <c r="C3069" s="1278"/>
      <c r="D3069" s="1278"/>
      <c r="E3069" s="1278"/>
      <c r="F3069" s="1278"/>
      <c r="G3069" s="1278"/>
      <c r="H3069" s="1278"/>
      <c r="I3069" s="1278" t="str">
        <f>CONCATENATE("Unidade: ", VLOOKUP(J3068,'DER 10-18'!$A:$E,3,FALSE))</f>
        <v>Unidade: M3</v>
      </c>
    </row>
    <row r="3070" spans="1:13" x14ac:dyDescent="0.2">
      <c r="A3070" s="1279"/>
      <c r="B3070" s="1279"/>
      <c r="C3070" s="1279"/>
      <c r="D3070" s="1279"/>
      <c r="E3070" s="1279"/>
      <c r="F3070" s="1279"/>
      <c r="G3070" s="1279"/>
      <c r="H3070" s="1279"/>
      <c r="I3070" s="1279"/>
    </row>
    <row r="3071" spans="1:13" ht="22.5" x14ac:dyDescent="0.2">
      <c r="A3071" s="235" t="s">
        <v>192</v>
      </c>
      <c r="B3071" s="236" t="s">
        <v>60</v>
      </c>
      <c r="C3071" s="236" t="s">
        <v>193</v>
      </c>
      <c r="D3071" s="236" t="s">
        <v>194</v>
      </c>
      <c r="E3071" s="236" t="s">
        <v>195</v>
      </c>
      <c r="F3071" s="236" t="s">
        <v>196</v>
      </c>
      <c r="G3071" s="236" t="s">
        <v>197</v>
      </c>
      <c r="H3071" s="236" t="s">
        <v>91</v>
      </c>
      <c r="I3071" s="236" t="s">
        <v>198</v>
      </c>
    </row>
    <row r="3072" spans="1:13" ht="22.5" x14ac:dyDescent="0.2">
      <c r="A3072" s="237" t="str">
        <f>VLOOKUP(B3072,equip.!$A:$G,2,FALSE)</f>
        <v>Trator de esteiras ref. Caterpillar cm lâmina modelo D6N ou equivalente</v>
      </c>
      <c r="B3072" s="238">
        <v>30016</v>
      </c>
      <c r="C3072" s="239" t="str">
        <f>VLOOKUP(B3072,equip.!$A$1:$G$239,3,FALSE)</f>
        <v>M</v>
      </c>
      <c r="D3072" s="240">
        <v>1</v>
      </c>
      <c r="E3072" s="205">
        <v>0</v>
      </c>
      <c r="F3072" s="241">
        <f>VLOOKUP(B3072,equip.!$A:$G,6,FALSE)</f>
        <v>317.38</v>
      </c>
      <c r="G3072" s="241">
        <f>VLOOKUP(B3072,equip.!$A:$G,7,FALSE)</f>
        <v>115.44</v>
      </c>
      <c r="H3072" s="242">
        <v>1</v>
      </c>
      <c r="I3072" s="243">
        <f>TRUNC(D3072*F3072*H3072+E3072*G3072*H3072,2)</f>
        <v>317.38</v>
      </c>
    </row>
    <row r="3073" spans="1:11" x14ac:dyDescent="0.2">
      <c r="A3073" s="199"/>
      <c r="B3073" s="233"/>
      <c r="C3073" s="233"/>
      <c r="D3073" s="199"/>
      <c r="E3073" s="199"/>
      <c r="F3073" s="234" t="s">
        <v>199</v>
      </c>
      <c r="G3073" s="244"/>
      <c r="H3073" s="245"/>
      <c r="I3073" s="434">
        <f>SUM(I3072:I3072)</f>
        <v>317.38</v>
      </c>
    </row>
    <row r="3074" spans="1:11" ht="24" customHeight="1" x14ac:dyDescent="0.2">
      <c r="A3074" s="199"/>
      <c r="B3074" s="233"/>
      <c r="C3074" s="233"/>
      <c r="D3074" s="199"/>
      <c r="E3074" s="199"/>
      <c r="F3074" s="199"/>
      <c r="G3074" s="199"/>
      <c r="H3074" s="199"/>
      <c r="I3074" s="200"/>
    </row>
    <row r="3075" spans="1:11" ht="25.5" customHeight="1" x14ac:dyDescent="0.2">
      <c r="A3075" s="246" t="s">
        <v>200</v>
      </c>
      <c r="B3075" s="247" t="s">
        <v>60</v>
      </c>
      <c r="C3075" s="236" t="s">
        <v>1242</v>
      </c>
      <c r="D3075" s="247" t="s">
        <v>202</v>
      </c>
      <c r="E3075" s="1276" t="s">
        <v>91</v>
      </c>
      <c r="F3075" s="1274"/>
      <c r="G3075" s="1275"/>
      <c r="H3075" s="1276" t="s">
        <v>198</v>
      </c>
      <c r="I3075" s="1275"/>
    </row>
    <row r="3076" spans="1:11" x14ac:dyDescent="0.2">
      <c r="A3076" s="248" t="str">
        <f>VLOOKUP(B3076,m.o.!$A:$H,2,FALSE)</f>
        <v>Encarregado de terraplenagem</v>
      </c>
      <c r="B3076" s="238">
        <v>20067</v>
      </c>
      <c r="C3076" s="243">
        <f>VLOOKUP(B3076,m.o.!$A:$F,4,FALSE)</f>
        <v>2.35</v>
      </c>
      <c r="D3076" s="243">
        <f>VLOOKUP(B3076,m.o.!$A:$G,7,FALSE)</f>
        <v>27.35</v>
      </c>
      <c r="E3076" s="260"/>
      <c r="F3076" s="258"/>
      <c r="G3076" s="300">
        <v>0.5</v>
      </c>
      <c r="H3076" s="244"/>
      <c r="I3076" s="249">
        <f>TRUNC(D3076*G3076,2)</f>
        <v>13.67</v>
      </c>
      <c r="J3076" s="302"/>
      <c r="K3076" s="302"/>
    </row>
    <row r="3077" spans="1:11" x14ac:dyDescent="0.2">
      <c r="A3077" s="265" t="str">
        <f>VLOOKUP(B3077,m.o.!$A:$H,2,FALSE)</f>
        <v>Servente</v>
      </c>
      <c r="B3077" s="238">
        <v>20002</v>
      </c>
      <c r="C3077" s="267">
        <f>VLOOKUP(B3077,m.o.!$A:$F,4,FALSE)</f>
        <v>1</v>
      </c>
      <c r="D3077" s="267">
        <f>VLOOKUP(B3077,m.o.!$A:$G,7,FALSE)</f>
        <v>11.64</v>
      </c>
      <c r="E3077" s="260"/>
      <c r="F3077" s="258"/>
      <c r="G3077" s="441">
        <v>1</v>
      </c>
      <c r="H3077" s="260"/>
      <c r="I3077" s="268">
        <f>TRUNC(D3077*G3077,2)</f>
        <v>11.64</v>
      </c>
      <c r="J3077" s="302"/>
      <c r="K3077" s="302"/>
    </row>
    <row r="3078" spans="1:11" x14ac:dyDescent="0.2">
      <c r="A3078" s="199"/>
      <c r="B3078" s="233"/>
      <c r="C3078" s="233"/>
      <c r="D3078" s="199"/>
      <c r="E3078" s="199"/>
      <c r="F3078" s="234" t="s">
        <v>203</v>
      </c>
      <c r="G3078" s="244"/>
      <c r="H3078" s="245"/>
      <c r="I3078" s="434">
        <f>SUM(I3076:I3077)</f>
        <v>25.31</v>
      </c>
      <c r="J3078" s="302"/>
      <c r="K3078" s="302"/>
    </row>
    <row r="3079" spans="1:11" x14ac:dyDescent="0.2">
      <c r="A3079" s="199"/>
      <c r="B3079" s="233"/>
      <c r="C3079" s="233"/>
      <c r="D3079" s="199"/>
      <c r="E3079" s="199"/>
      <c r="F3079" s="199"/>
      <c r="G3079" s="199"/>
      <c r="H3079" s="199"/>
      <c r="I3079" s="200"/>
      <c r="J3079" s="302"/>
      <c r="K3079" s="302"/>
    </row>
    <row r="3080" spans="1:11" x14ac:dyDescent="0.2">
      <c r="A3080" s="250" t="s">
        <v>204</v>
      </c>
      <c r="B3080" s="247" t="s">
        <v>60</v>
      </c>
      <c r="C3080" s="866" t="s">
        <v>17</v>
      </c>
      <c r="D3080" s="247" t="s">
        <v>205</v>
      </c>
      <c r="E3080" s="247" t="s">
        <v>206</v>
      </c>
      <c r="F3080" s="247" t="s">
        <v>207</v>
      </c>
      <c r="G3080" s="1276" t="s">
        <v>96</v>
      </c>
      <c r="H3080" s="1274"/>
      <c r="I3080" s="1275"/>
      <c r="J3080" s="302"/>
      <c r="K3080" s="302"/>
    </row>
    <row r="3081" spans="1:11" x14ac:dyDescent="0.2">
      <c r="A3081" s="248"/>
      <c r="B3081" s="238"/>
      <c r="C3081" s="243"/>
      <c r="D3081" s="239"/>
      <c r="E3081" s="251"/>
      <c r="F3081" s="251"/>
      <c r="G3081" s="244"/>
      <c r="H3081" s="245"/>
      <c r="I3081" s="249"/>
      <c r="J3081" s="302"/>
      <c r="K3081" s="302"/>
    </row>
    <row r="3082" spans="1:11" x14ac:dyDescent="0.2">
      <c r="A3082" s="199"/>
      <c r="B3082" s="233"/>
      <c r="C3082" s="199"/>
      <c r="D3082" s="199"/>
      <c r="E3082" s="199"/>
      <c r="F3082" s="234" t="s">
        <v>1170</v>
      </c>
      <c r="G3082" s="244"/>
      <c r="H3082" s="245"/>
      <c r="I3082" s="434">
        <f>SUM(I3081)</f>
        <v>0</v>
      </c>
      <c r="J3082" s="302"/>
      <c r="K3082" s="302"/>
    </row>
    <row r="3083" spans="1:11" x14ac:dyDescent="0.2">
      <c r="A3083" s="199"/>
      <c r="B3083" s="233"/>
      <c r="C3083" s="199"/>
      <c r="D3083" s="199"/>
      <c r="E3083" s="199"/>
      <c r="F3083" s="199"/>
      <c r="G3083" s="199"/>
      <c r="H3083" s="199"/>
      <c r="I3083" s="200"/>
      <c r="J3083" s="302"/>
      <c r="K3083" s="302"/>
    </row>
    <row r="3084" spans="1:11" x14ac:dyDescent="0.2">
      <c r="A3084" s="252"/>
      <c r="B3084" s="253"/>
      <c r="C3084" s="254"/>
      <c r="D3084" s="254"/>
      <c r="E3084" s="254"/>
      <c r="F3084" s="255" t="s">
        <v>208</v>
      </c>
      <c r="G3084" s="435"/>
      <c r="H3084" s="254"/>
      <c r="I3084" s="634">
        <f>+I3073+I3078+I3082</f>
        <v>342.69</v>
      </c>
      <c r="J3084" s="302"/>
      <c r="K3084" s="302"/>
    </row>
    <row r="3085" spans="1:11" x14ac:dyDescent="0.2">
      <c r="A3085" s="256"/>
      <c r="B3085" s="257"/>
      <c r="C3085" s="258"/>
      <c r="D3085" s="258"/>
      <c r="E3085" s="258"/>
      <c r="F3085" s="259" t="s">
        <v>209</v>
      </c>
      <c r="G3085" s="260"/>
      <c r="H3085" s="258"/>
      <c r="I3085" s="635">
        <v>99</v>
      </c>
      <c r="J3085" s="302"/>
      <c r="K3085" s="302"/>
    </row>
    <row r="3086" spans="1:11" x14ac:dyDescent="0.2">
      <c r="A3086" s="237"/>
      <c r="B3086" s="261"/>
      <c r="C3086" s="245"/>
      <c r="D3086" s="245"/>
      <c r="E3086" s="245"/>
      <c r="F3086" s="262" t="s">
        <v>232</v>
      </c>
      <c r="G3086" s="244"/>
      <c r="H3086" s="245"/>
      <c r="I3086" s="633">
        <f>TRUNC(I3084/I3085,2)</f>
        <v>3.46</v>
      </c>
      <c r="J3086" s="302"/>
      <c r="K3086" s="302"/>
    </row>
    <row r="3087" spans="1:11" x14ac:dyDescent="0.2">
      <c r="A3087" s="867"/>
      <c r="B3087" s="233"/>
      <c r="C3087" s="199"/>
      <c r="D3087" s="199"/>
      <c r="E3087" s="199"/>
      <c r="F3087" s="263"/>
      <c r="G3087" s="199"/>
      <c r="H3087" s="199"/>
      <c r="I3087" s="264"/>
      <c r="J3087" s="302"/>
      <c r="K3087" s="302"/>
    </row>
    <row r="3088" spans="1:11" x14ac:dyDescent="0.2">
      <c r="A3088" s="246" t="s">
        <v>210</v>
      </c>
      <c r="B3088" s="247" t="s">
        <v>60</v>
      </c>
      <c r="C3088" s="247" t="s">
        <v>211</v>
      </c>
      <c r="D3088" s="247" t="s">
        <v>233</v>
      </c>
      <c r="E3088" s="1276" t="s">
        <v>91</v>
      </c>
      <c r="F3088" s="1274"/>
      <c r="G3088" s="1275"/>
      <c r="H3088" s="1276" t="s">
        <v>198</v>
      </c>
      <c r="I3088" s="1275"/>
      <c r="J3088" s="302"/>
      <c r="K3088" s="302"/>
    </row>
    <row r="3089" spans="1:15" x14ac:dyDescent="0.2">
      <c r="A3089" s="265" t="str">
        <f>VLOOKUP(B3089,mat.!$A:$D,2,FALSE)</f>
        <v>Pó de pedra (incl. 0% IUM) s/ frete</v>
      </c>
      <c r="B3089" s="238">
        <v>10120</v>
      </c>
      <c r="C3089" s="266" t="str">
        <f>VLOOKUP(B3089,mat.!$A:$D,3,FALSE)</f>
        <v>m3</v>
      </c>
      <c r="D3089" s="267">
        <f>VLOOKUP(B3089,mat.!$A:$D,4,FALSE)</f>
        <v>30.6</v>
      </c>
      <c r="E3089" s="260"/>
      <c r="F3089" s="258"/>
      <c r="G3089" s="300">
        <v>1</v>
      </c>
      <c r="H3089" s="260"/>
      <c r="I3089" s="268">
        <f>TRUNC(D3089*G3089,2)</f>
        <v>30.6</v>
      </c>
      <c r="J3089" s="302"/>
      <c r="K3089" s="302"/>
    </row>
    <row r="3090" spans="1:15" x14ac:dyDescent="0.2">
      <c r="A3090" s="199"/>
      <c r="B3090" s="233"/>
      <c r="C3090" s="199"/>
      <c r="D3090" s="199"/>
      <c r="E3090" s="199"/>
      <c r="F3090" s="234" t="s">
        <v>212</v>
      </c>
      <c r="G3090" s="244"/>
      <c r="H3090" s="245"/>
      <c r="I3090" s="434">
        <f>SUM(I3089:I3089)</f>
        <v>30.6</v>
      </c>
      <c r="J3090" s="302"/>
      <c r="K3090" s="302"/>
    </row>
    <row r="3091" spans="1:15" x14ac:dyDescent="0.2">
      <c r="A3091" s="199"/>
      <c r="B3091" s="233"/>
      <c r="C3091" s="199"/>
      <c r="D3091" s="199"/>
      <c r="E3091" s="199"/>
      <c r="F3091" s="199"/>
      <c r="G3091" s="269"/>
      <c r="H3091" s="199"/>
      <c r="I3091" s="200"/>
      <c r="J3091" s="302"/>
      <c r="K3091" s="302"/>
    </row>
    <row r="3092" spans="1:15" x14ac:dyDescent="0.2">
      <c r="A3092" s="270" t="s">
        <v>213</v>
      </c>
      <c r="B3092" s="247" t="s">
        <v>60</v>
      </c>
      <c r="C3092" s="247" t="s">
        <v>211</v>
      </c>
      <c r="D3092" s="866" t="s">
        <v>233</v>
      </c>
      <c r="E3092" s="1276" t="s">
        <v>91</v>
      </c>
      <c r="F3092" s="1274"/>
      <c r="G3092" s="1275"/>
      <c r="H3092" s="1276" t="s">
        <v>198</v>
      </c>
      <c r="I3092" s="1275"/>
    </row>
    <row r="3093" spans="1:15" x14ac:dyDescent="0.2">
      <c r="A3093" s="248"/>
      <c r="B3093" s="238"/>
      <c r="C3093" s="238"/>
      <c r="D3093" s="243"/>
      <c r="E3093" s="260"/>
      <c r="F3093" s="258"/>
      <c r="G3093" s="300"/>
      <c r="H3093" s="244"/>
      <c r="I3093" s="268"/>
    </row>
    <row r="3094" spans="1:15" x14ac:dyDescent="0.2">
      <c r="A3094" s="201"/>
      <c r="B3094" s="271"/>
      <c r="C3094" s="201"/>
      <c r="D3094" s="201"/>
      <c r="E3094" s="201"/>
      <c r="F3094" s="272" t="s">
        <v>214</v>
      </c>
      <c r="G3094" s="260"/>
      <c r="H3094" s="273"/>
      <c r="I3094" s="436">
        <f>SUM(I3093:I3093)</f>
        <v>0</v>
      </c>
    </row>
    <row r="3095" spans="1:15" x14ac:dyDescent="0.2">
      <c r="A3095" s="201"/>
      <c r="B3095" s="271"/>
      <c r="C3095" s="201"/>
      <c r="D3095" s="201"/>
      <c r="E3095" s="201"/>
      <c r="F3095" s="201"/>
      <c r="G3095" s="201"/>
      <c r="H3095" s="201"/>
      <c r="I3095" s="201"/>
    </row>
    <row r="3096" spans="1:15" x14ac:dyDescent="0.2">
      <c r="A3096" s="274" t="s">
        <v>215</v>
      </c>
      <c r="B3096" s="275" t="s">
        <v>60</v>
      </c>
      <c r="C3096" s="275" t="s">
        <v>211</v>
      </c>
      <c r="D3096" s="275" t="s">
        <v>216</v>
      </c>
      <c r="E3096" s="275" t="s">
        <v>217</v>
      </c>
      <c r="F3096" s="275" t="s">
        <v>218</v>
      </c>
      <c r="G3096" s="275" t="s">
        <v>96</v>
      </c>
      <c r="H3096" s="275" t="s">
        <v>91</v>
      </c>
      <c r="I3096" s="275" t="s">
        <v>219</v>
      </c>
      <c r="J3096" s="433" t="s">
        <v>113</v>
      </c>
    </row>
    <row r="3097" spans="1:15" ht="22.5" x14ac:dyDescent="0.2">
      <c r="A3097" s="265" t="str">
        <f>VLOOKUP(B3097,tranp.!A:D,2,FALSE)</f>
        <v>Transporte de pó de pedra (Incl. 0% IUM) s/ frete</v>
      </c>
      <c r="B3097" s="238">
        <v>1029</v>
      </c>
      <c r="C3097" s="238" t="str">
        <f>VLOOKUP(B3097,tranp.!$A:$J,3,FALSE)</f>
        <v xml:space="preserve"> t  </v>
      </c>
      <c r="D3097" s="276" t="str">
        <f>VLOOKUP(B3097,tranp.!$A:$J,4,FALSE)</f>
        <v>0,681XP + 0,710XR + 2,841</v>
      </c>
      <c r="E3097" s="277">
        <f>VLOOKUP(J3096,Ocor.!$B:$F,4,FALSE)</f>
        <v>37.200000000000003</v>
      </c>
      <c r="F3097" s="277">
        <f>VLOOKUP(J3096,Ocor.!$B:$F,5,FALSE)</f>
        <v>5.6</v>
      </c>
      <c r="G3097" s="243">
        <f>TRUNC(VLOOKUP(B3097,tranp.!$A:$J,5,FALSE)*E3097+VLOOKUP(B3097,tranp.!$A:$J,6,FALSE)*F3097+VLOOKUP(B3097,tranp.!$A:$J,7,FALSE),2)</f>
        <v>32.15</v>
      </c>
      <c r="H3097" s="278">
        <v>1.5</v>
      </c>
      <c r="I3097" s="243">
        <f>TRUNC(G3097*H3097,2)</f>
        <v>48.22</v>
      </c>
    </row>
    <row r="3098" spans="1:15" x14ac:dyDescent="0.2">
      <c r="A3098" s="201"/>
      <c r="B3098" s="271"/>
      <c r="C3098" s="201"/>
      <c r="D3098" s="201"/>
      <c r="E3098" s="201"/>
      <c r="F3098" s="272" t="s">
        <v>220</v>
      </c>
      <c r="G3098" s="244"/>
      <c r="H3098" s="279"/>
      <c r="I3098" s="438">
        <f>SUM(I3097:I3097)</f>
        <v>48.22</v>
      </c>
    </row>
    <row r="3099" spans="1:15" ht="22.5" customHeight="1" x14ac:dyDescent="0.2">
      <c r="A3099" s="201"/>
      <c r="B3099" s="271"/>
      <c r="C3099" s="201"/>
      <c r="D3099" s="201"/>
      <c r="E3099" s="201"/>
      <c r="F3099" s="201"/>
      <c r="G3099" s="201"/>
      <c r="H3099" s="201"/>
      <c r="I3099" s="202"/>
      <c r="K3099" s="446"/>
    </row>
    <row r="3100" spans="1:15" x14ac:dyDescent="0.2">
      <c r="A3100" s="280"/>
      <c r="B3100" s="281"/>
      <c r="C3100" s="282"/>
      <c r="D3100" s="282"/>
      <c r="E3100" s="282"/>
      <c r="F3100" s="283" t="s">
        <v>221</v>
      </c>
      <c r="G3100" s="280"/>
      <c r="H3100" s="254"/>
      <c r="I3100" s="634">
        <f>+I3086+I3090+I3094+I3098</f>
        <v>82.28</v>
      </c>
    </row>
    <row r="3101" spans="1:15" x14ac:dyDescent="0.2">
      <c r="A3101" s="260"/>
      <c r="B3101" s="284"/>
      <c r="C3101" s="273"/>
      <c r="D3101" s="273"/>
      <c r="E3101" s="273"/>
      <c r="F3101" s="285" t="str">
        <f>CONCATENATE($H$3," ",$I$3)</f>
        <v>BDI: 23,32</v>
      </c>
      <c r="G3101" s="439"/>
      <c r="H3101" s="258"/>
      <c r="I3101" s="635">
        <f>+ROUND(I3100*$I$4,2)</f>
        <v>19.190000000000001</v>
      </c>
    </row>
    <row r="3102" spans="1:15" x14ac:dyDescent="0.2">
      <c r="A3102" s="244"/>
      <c r="B3102" s="286"/>
      <c r="C3102" s="279"/>
      <c r="D3102" s="279"/>
      <c r="E3102" s="279"/>
      <c r="F3102" s="287" t="s">
        <v>222</v>
      </c>
      <c r="G3102" s="440"/>
      <c r="H3102" s="245"/>
      <c r="I3102" s="1017">
        <f>+I3100+I3101</f>
        <v>101.47</v>
      </c>
      <c r="O3102" s="372"/>
    </row>
    <row r="3103" spans="1:15" x14ac:dyDescent="0.2">
      <c r="A3103" s="1280" t="str">
        <f>$A$1</f>
        <v>COMPOSIÇÃO DE CUSTOS UNITÁRIOS</v>
      </c>
      <c r="B3103" s="1280"/>
      <c r="C3103" s="1280"/>
      <c r="D3103" s="1280"/>
      <c r="E3103" s="1280"/>
      <c r="F3103" s="1280"/>
      <c r="G3103" s="1280"/>
      <c r="H3103" s="1280"/>
      <c r="I3103" s="1280"/>
    </row>
    <row r="3104" spans="1:15" x14ac:dyDescent="0.2">
      <c r="A3104" s="232" t="str">
        <f>$A$2</f>
        <v>Tabela Referencial de Preços - DER-ES</v>
      </c>
      <c r="B3104" s="233"/>
      <c r="C3104" s="199"/>
      <c r="D3104" s="199"/>
      <c r="E3104" s="199"/>
      <c r="F3104" s="199"/>
      <c r="G3104" s="199"/>
      <c r="H3104" s="199"/>
      <c r="I3104" s="234" t="str">
        <f>$I$2</f>
        <v>Data Base: Outubro/2018</v>
      </c>
    </row>
    <row r="3105" spans="1:13" x14ac:dyDescent="0.2">
      <c r="A3105" s="1278" t="str">
        <f>+CONCATENATE("Serviço: ",J3105," ",VLOOKUP(J3105,'DER 10-18'!$A:$D,2,FALSE))</f>
        <v>Serviço: 40915 Calçada de concreto fck=15 MP, camurçado c/ argam. cimento e areia 1:4, lastro de brita e 8 cm de concreto, incl. preparo da caixa e transp. da brita</v>
      </c>
      <c r="B3105" s="1278"/>
      <c r="C3105" s="1278"/>
      <c r="D3105" s="1278"/>
      <c r="E3105" s="1278"/>
      <c r="F3105" s="1278"/>
      <c r="G3105" s="1278"/>
      <c r="H3105" s="1278"/>
      <c r="I3105" s="1278" t="str">
        <f>CONCATENATE("Unidade: ", VLOOKUP(J3105,'DER 10-18'!$A:$E,3,FALSE))</f>
        <v>Unidade: M2</v>
      </c>
      <c r="J3105" s="433">
        <v>40915</v>
      </c>
      <c r="K3105" s="433">
        <f>VLOOKUP("Preço Unitário Total",F3106:I5811,4,FALSE)</f>
        <v>106.38</v>
      </c>
      <c r="L3105" s="302" t="str">
        <f>VLOOKUP(J3105,'DER 10-18'!$A:$E,5,FALSE)</f>
        <v>A incluir</v>
      </c>
      <c r="M3105" s="302" t="str">
        <f>VLOOKUP(J3105,'DER 10-18'!$A:$D,2,FALSE)</f>
        <v>Calçada de concreto fck=15 MP, camurçado c/ argam. cimento e areia 1:4, lastro de brita e 8 cm de concreto, incl. preparo da caixa e transp. da brita</v>
      </c>
    </row>
    <row r="3106" spans="1:13" x14ac:dyDescent="0.2">
      <c r="A3106" s="1279"/>
      <c r="B3106" s="1279"/>
      <c r="C3106" s="1279"/>
      <c r="D3106" s="1279"/>
      <c r="E3106" s="1279"/>
      <c r="F3106" s="1279"/>
      <c r="G3106" s="1279"/>
      <c r="H3106" s="1279"/>
      <c r="I3106" s="1279"/>
    </row>
    <row r="3107" spans="1:13" ht="22.5" x14ac:dyDescent="0.2">
      <c r="A3107" s="235" t="s">
        <v>192</v>
      </c>
      <c r="B3107" s="236" t="s">
        <v>60</v>
      </c>
      <c r="C3107" s="236" t="s">
        <v>193</v>
      </c>
      <c r="D3107" s="236" t="s">
        <v>194</v>
      </c>
      <c r="E3107" s="236" t="s">
        <v>195</v>
      </c>
      <c r="F3107" s="236" t="s">
        <v>196</v>
      </c>
      <c r="G3107" s="236" t="s">
        <v>197</v>
      </c>
      <c r="H3107" s="236" t="s">
        <v>91</v>
      </c>
      <c r="I3107" s="236" t="s">
        <v>198</v>
      </c>
    </row>
    <row r="3108" spans="1:13" x14ac:dyDescent="0.2">
      <c r="A3108" s="237"/>
      <c r="B3108" s="238"/>
      <c r="C3108" s="239"/>
      <c r="D3108" s="240"/>
      <c r="E3108" s="205"/>
      <c r="F3108" s="241"/>
      <c r="G3108" s="241"/>
      <c r="H3108" s="242"/>
      <c r="I3108" s="243"/>
    </row>
    <row r="3109" spans="1:13" x14ac:dyDescent="0.2">
      <c r="A3109" s="199"/>
      <c r="B3109" s="233"/>
      <c r="C3109" s="233"/>
      <c r="D3109" s="199"/>
      <c r="E3109" s="199"/>
      <c r="F3109" s="234" t="s">
        <v>199</v>
      </c>
      <c r="G3109" s="244"/>
      <c r="H3109" s="245"/>
      <c r="I3109" s="434">
        <f>SUM(I3108:I3108)</f>
        <v>0</v>
      </c>
    </row>
    <row r="3110" spans="1:13" x14ac:dyDescent="0.2">
      <c r="A3110" s="199"/>
      <c r="B3110" s="233"/>
      <c r="C3110" s="233"/>
      <c r="D3110" s="199"/>
      <c r="E3110" s="199"/>
      <c r="F3110" s="199"/>
      <c r="G3110" s="199"/>
      <c r="H3110" s="199"/>
      <c r="I3110" s="200"/>
    </row>
    <row r="3111" spans="1:13" x14ac:dyDescent="0.2">
      <c r="A3111" s="246" t="s">
        <v>200</v>
      </c>
      <c r="B3111" s="247" t="s">
        <v>60</v>
      </c>
      <c r="C3111" s="236" t="s">
        <v>1242</v>
      </c>
      <c r="D3111" s="247" t="s">
        <v>202</v>
      </c>
      <c r="E3111" s="1276" t="s">
        <v>91</v>
      </c>
      <c r="F3111" s="1274"/>
      <c r="G3111" s="1275"/>
      <c r="H3111" s="1276" t="s">
        <v>198</v>
      </c>
      <c r="I3111" s="1275"/>
    </row>
    <row r="3112" spans="1:13" x14ac:dyDescent="0.2">
      <c r="A3112" s="248" t="str">
        <f>VLOOKUP(B3112,m.o.!$A:$H,2,FALSE)</f>
        <v>Pedreiro de O.A.C.</v>
      </c>
      <c r="B3112" s="238">
        <v>20109</v>
      </c>
      <c r="C3112" s="243">
        <f>VLOOKUP(B3112,m.o.!$A:$F,4,FALSE)</f>
        <v>1.24</v>
      </c>
      <c r="D3112" s="243">
        <f>VLOOKUP(B3112,m.o.!$A:$G,7,FALSE)</f>
        <v>14.43</v>
      </c>
      <c r="E3112" s="260"/>
      <c r="F3112" s="258"/>
      <c r="G3112" s="300">
        <v>1</v>
      </c>
      <c r="H3112" s="244"/>
      <c r="I3112" s="249">
        <f>TRUNC(D3112*G3112,2)</f>
        <v>14.43</v>
      </c>
      <c r="J3112" s="302"/>
      <c r="K3112" s="302"/>
    </row>
    <row r="3113" spans="1:13" x14ac:dyDescent="0.2">
      <c r="A3113" s="265" t="str">
        <f>VLOOKUP(B3113,m.o.!$A:$H,2,FALSE)</f>
        <v>Servente</v>
      </c>
      <c r="B3113" s="238">
        <v>20002</v>
      </c>
      <c r="C3113" s="267">
        <f>VLOOKUP(B3113,m.o.!$A:$F,4,FALSE)</f>
        <v>1</v>
      </c>
      <c r="D3113" s="267">
        <f>VLOOKUP(B3113,m.o.!$A:$G,7,FALSE)</f>
        <v>11.64</v>
      </c>
      <c r="E3113" s="260"/>
      <c r="F3113" s="258"/>
      <c r="G3113" s="441">
        <v>1</v>
      </c>
      <c r="H3113" s="260"/>
      <c r="I3113" s="268">
        <f>TRUNC(D3113*G3113,2)</f>
        <v>11.64</v>
      </c>
      <c r="J3113" s="302"/>
      <c r="K3113" s="302"/>
    </row>
    <row r="3114" spans="1:13" x14ac:dyDescent="0.2">
      <c r="A3114" s="199"/>
      <c r="B3114" s="233"/>
      <c r="C3114" s="233"/>
      <c r="D3114" s="199"/>
      <c r="E3114" s="199"/>
      <c r="F3114" s="234" t="s">
        <v>203</v>
      </c>
      <c r="G3114" s="244"/>
      <c r="H3114" s="245"/>
      <c r="I3114" s="434">
        <f>SUM(I3112:I3113)</f>
        <v>26.07</v>
      </c>
      <c r="J3114" s="302"/>
      <c r="K3114" s="302"/>
    </row>
    <row r="3115" spans="1:13" x14ac:dyDescent="0.2">
      <c r="A3115" s="199"/>
      <c r="B3115" s="233"/>
      <c r="C3115" s="233"/>
      <c r="D3115" s="199"/>
      <c r="E3115" s="199"/>
      <c r="F3115" s="199"/>
      <c r="G3115" s="199"/>
      <c r="H3115" s="199"/>
      <c r="I3115" s="200"/>
      <c r="J3115" s="302"/>
      <c r="K3115" s="302"/>
    </row>
    <row r="3116" spans="1:13" x14ac:dyDescent="0.2">
      <c r="A3116" s="250" t="s">
        <v>204</v>
      </c>
      <c r="B3116" s="247" t="s">
        <v>60</v>
      </c>
      <c r="C3116" s="866" t="s">
        <v>17</v>
      </c>
      <c r="D3116" s="247" t="s">
        <v>205</v>
      </c>
      <c r="E3116" s="247" t="s">
        <v>206</v>
      </c>
      <c r="F3116" s="247" t="s">
        <v>207</v>
      </c>
      <c r="G3116" s="1276" t="s">
        <v>96</v>
      </c>
      <c r="H3116" s="1274"/>
      <c r="I3116" s="1275"/>
      <c r="J3116" s="302"/>
      <c r="K3116" s="302"/>
    </row>
    <row r="3117" spans="1:13" x14ac:dyDescent="0.2">
      <c r="A3117" s="248" t="s">
        <v>142</v>
      </c>
      <c r="B3117" s="238">
        <v>2000</v>
      </c>
      <c r="C3117" s="243">
        <v>5</v>
      </c>
      <c r="D3117" s="239" t="s">
        <v>223</v>
      </c>
      <c r="E3117" s="251"/>
      <c r="F3117" s="251"/>
      <c r="G3117" s="244"/>
      <c r="H3117" s="245"/>
      <c r="I3117" s="249">
        <f>TRUNC(C3117/100*I3114,2)</f>
        <v>1.3</v>
      </c>
      <c r="J3117" s="302"/>
      <c r="K3117" s="302"/>
    </row>
    <row r="3118" spans="1:13" x14ac:dyDescent="0.2">
      <c r="A3118" s="199"/>
      <c r="B3118" s="233"/>
      <c r="C3118" s="199"/>
      <c r="D3118" s="199"/>
      <c r="E3118" s="199"/>
      <c r="F3118" s="234" t="s">
        <v>1170</v>
      </c>
      <c r="G3118" s="244"/>
      <c r="H3118" s="245"/>
      <c r="I3118" s="434">
        <f>SUM(I3117)</f>
        <v>1.3</v>
      </c>
      <c r="J3118" s="302"/>
      <c r="K3118" s="302"/>
    </row>
    <row r="3119" spans="1:13" x14ac:dyDescent="0.2">
      <c r="A3119" s="199"/>
      <c r="B3119" s="233"/>
      <c r="C3119" s="199"/>
      <c r="D3119" s="199"/>
      <c r="E3119" s="199"/>
      <c r="F3119" s="199"/>
      <c r="G3119" s="199"/>
      <c r="H3119" s="199"/>
      <c r="I3119" s="200"/>
      <c r="J3119" s="302"/>
      <c r="K3119" s="302"/>
    </row>
    <row r="3120" spans="1:13" x14ac:dyDescent="0.2">
      <c r="A3120" s="252"/>
      <c r="B3120" s="253"/>
      <c r="C3120" s="254"/>
      <c r="D3120" s="254"/>
      <c r="E3120" s="254"/>
      <c r="F3120" s="255" t="s">
        <v>208</v>
      </c>
      <c r="G3120" s="435"/>
      <c r="H3120" s="254"/>
      <c r="I3120" s="634">
        <f>+I3109+I3114+I3118</f>
        <v>27.37</v>
      </c>
      <c r="J3120" s="302"/>
      <c r="K3120" s="302"/>
    </row>
    <row r="3121" spans="1:11" x14ac:dyDescent="0.2">
      <c r="A3121" s="256"/>
      <c r="B3121" s="257"/>
      <c r="C3121" s="258"/>
      <c r="D3121" s="258"/>
      <c r="E3121" s="258"/>
      <c r="F3121" s="259" t="s">
        <v>209</v>
      </c>
      <c r="G3121" s="260"/>
      <c r="H3121" s="258"/>
      <c r="I3121" s="635">
        <v>1</v>
      </c>
      <c r="J3121" s="302"/>
      <c r="K3121" s="302"/>
    </row>
    <row r="3122" spans="1:11" x14ac:dyDescent="0.2">
      <c r="A3122" s="237"/>
      <c r="B3122" s="261"/>
      <c r="C3122" s="245"/>
      <c r="D3122" s="245"/>
      <c r="E3122" s="245"/>
      <c r="F3122" s="262" t="s">
        <v>232</v>
      </c>
      <c r="G3122" s="244"/>
      <c r="H3122" s="245"/>
      <c r="I3122" s="633">
        <f>TRUNC(I3120/I3121,2)</f>
        <v>27.37</v>
      </c>
      <c r="J3122" s="302"/>
      <c r="K3122" s="302"/>
    </row>
    <row r="3123" spans="1:11" x14ac:dyDescent="0.2">
      <c r="A3123" s="867"/>
      <c r="B3123" s="233"/>
      <c r="C3123" s="199"/>
      <c r="D3123" s="199"/>
      <c r="E3123" s="199"/>
      <c r="F3123" s="263"/>
      <c r="G3123" s="199"/>
      <c r="H3123" s="199"/>
      <c r="I3123" s="264"/>
      <c r="J3123" s="302"/>
      <c r="K3123" s="302"/>
    </row>
    <row r="3124" spans="1:11" x14ac:dyDescent="0.2">
      <c r="A3124" s="246" t="s">
        <v>210</v>
      </c>
      <c r="B3124" s="247" t="s">
        <v>60</v>
      </c>
      <c r="C3124" s="247" t="s">
        <v>211</v>
      </c>
      <c r="D3124" s="247" t="s">
        <v>233</v>
      </c>
      <c r="E3124" s="1276" t="s">
        <v>91</v>
      </c>
      <c r="F3124" s="1274"/>
      <c r="G3124" s="1275"/>
      <c r="H3124" s="1276" t="s">
        <v>198</v>
      </c>
      <c r="I3124" s="1275"/>
      <c r="J3124" s="302"/>
      <c r="K3124" s="302"/>
    </row>
    <row r="3125" spans="1:11" ht="22.5" x14ac:dyDescent="0.2">
      <c r="A3125" s="265" t="str">
        <f>VLOOKUP(B3125,mat.!$A:$D,2,FALSE)</f>
        <v>Brita graduada, especificada sem pó, sem frete</v>
      </c>
      <c r="B3125" s="238">
        <v>10119</v>
      </c>
      <c r="C3125" s="266" t="str">
        <f>VLOOKUP(B3125,mat.!$A:$D,3,FALSE)</f>
        <v>m3</v>
      </c>
      <c r="D3125" s="267">
        <f>VLOOKUP(B3125,mat.!$A:$D,4,FALSE)</f>
        <v>49.19</v>
      </c>
      <c r="E3125" s="260"/>
      <c r="F3125" s="258"/>
      <c r="G3125" s="300">
        <v>0.04</v>
      </c>
      <c r="H3125" s="260"/>
      <c r="I3125" s="268">
        <f>TRUNC(D3125*G3125,2)</f>
        <v>1.96</v>
      </c>
      <c r="J3125" s="302"/>
      <c r="K3125" s="302"/>
    </row>
    <row r="3126" spans="1:11" x14ac:dyDescent="0.2">
      <c r="A3126" s="265" t="str">
        <f>VLOOKUP(B3126,mat.!$A:$D,2,FALSE)</f>
        <v>Sarrafo 10 X 2,5 cm</v>
      </c>
      <c r="B3126" s="238">
        <v>10067</v>
      </c>
      <c r="C3126" s="266" t="str">
        <f>VLOOKUP(B3126,mat.!$A:$D,3,FALSE)</f>
        <v>M3</v>
      </c>
      <c r="D3126" s="267">
        <f>VLOOKUP(B3126,mat.!$A:$D,4,FALSE)</f>
        <v>1012</v>
      </c>
      <c r="E3126" s="260"/>
      <c r="F3126" s="258"/>
      <c r="G3126" s="441">
        <v>5.0000000000000001E-3</v>
      </c>
      <c r="H3126" s="260"/>
      <c r="I3126" s="268">
        <f>TRUNC(D3126*G3126,2)</f>
        <v>5.0599999999999996</v>
      </c>
      <c r="J3126" s="302"/>
      <c r="K3126" s="302"/>
    </row>
    <row r="3127" spans="1:11" x14ac:dyDescent="0.2">
      <c r="A3127" s="199"/>
      <c r="B3127" s="233"/>
      <c r="C3127" s="199"/>
      <c r="D3127" s="199"/>
      <c r="E3127" s="199"/>
      <c r="F3127" s="234" t="s">
        <v>212</v>
      </c>
      <c r="G3127" s="244"/>
      <c r="H3127" s="245"/>
      <c r="I3127" s="434">
        <f>SUM(I3125:I3126)</f>
        <v>7.02</v>
      </c>
      <c r="J3127" s="302"/>
      <c r="K3127" s="302"/>
    </row>
    <row r="3128" spans="1:11" x14ac:dyDescent="0.2">
      <c r="A3128" s="199"/>
      <c r="B3128" s="233"/>
      <c r="C3128" s="199"/>
      <c r="D3128" s="199"/>
      <c r="E3128" s="199"/>
      <c r="F3128" s="199"/>
      <c r="G3128" s="269"/>
      <c r="H3128" s="199"/>
      <c r="I3128" s="200"/>
    </row>
    <row r="3129" spans="1:11" x14ac:dyDescent="0.2">
      <c r="A3129" s="270" t="s">
        <v>213</v>
      </c>
      <c r="B3129" s="247" t="s">
        <v>60</v>
      </c>
      <c r="C3129" s="247" t="s">
        <v>211</v>
      </c>
      <c r="D3129" s="866" t="s">
        <v>233</v>
      </c>
      <c r="E3129" s="1276" t="s">
        <v>91</v>
      </c>
      <c r="F3129" s="1274"/>
      <c r="G3129" s="1275"/>
      <c r="H3129" s="1276" t="s">
        <v>198</v>
      </c>
      <c r="I3129" s="1275"/>
    </row>
    <row r="3130" spans="1:11" ht="22.5" x14ac:dyDescent="0.2">
      <c r="A3130" s="248" t="str">
        <f>VLOOKUP(B3130,'DER 10-18'!$A:$E,2,FALSE)</f>
        <v>Argamassa cimento e areia traço 1:4, tudo incluído</v>
      </c>
      <c r="B3130" s="238">
        <v>40348</v>
      </c>
      <c r="C3130" s="238" t="str">
        <f>VLOOKUP(B3130,'DER 10-18'!$A:$E,3,FALSE)</f>
        <v>M3</v>
      </c>
      <c r="D3130" s="454">
        <f>TRUNC(VLOOKUP(B3130,'DER 10-18'!$A:$F,6,FALSE)/(1+$I$4),2)</f>
        <v>405.1</v>
      </c>
      <c r="E3130" s="260"/>
      <c r="F3130" s="258"/>
      <c r="G3130" s="300">
        <v>0.02</v>
      </c>
      <c r="H3130" s="244"/>
      <c r="I3130" s="268">
        <f>TRUNC(D3130*G3130,2)</f>
        <v>8.1</v>
      </c>
      <c r="J3130" s="302"/>
    </row>
    <row r="3131" spans="1:11" ht="22.5" x14ac:dyDescent="0.2">
      <c r="A3131" s="248" t="str">
        <f>VLOOKUP(B3131,'DER 10-18'!$A:$E,2,FALSE)</f>
        <v>Concreto estrutural fck = 15,0 MPa, tudo incluído</v>
      </c>
      <c r="B3131" s="238">
        <v>40358</v>
      </c>
      <c r="C3131" s="238" t="str">
        <f>VLOOKUP(B3131,'DER 10-18'!$A:$E,3,FALSE)</f>
        <v>M3</v>
      </c>
      <c r="D3131" s="454">
        <f>TRUNC(VLOOKUP(B3131,'DER 10-18'!$A:$F,6,FALSE)/(1+$I$4),2)</f>
        <v>523.20000000000005</v>
      </c>
      <c r="E3131" s="244"/>
      <c r="F3131" s="245"/>
      <c r="G3131" s="441">
        <v>0.08</v>
      </c>
      <c r="H3131" s="244"/>
      <c r="I3131" s="268">
        <f>TRUNC(D3131*G3131,2)</f>
        <v>41.85</v>
      </c>
      <c r="J3131" s="302"/>
    </row>
    <row r="3132" spans="1:11" x14ac:dyDescent="0.2">
      <c r="A3132" s="201"/>
      <c r="B3132" s="271"/>
      <c r="C3132" s="201"/>
      <c r="D3132" s="201"/>
      <c r="E3132" s="201"/>
      <c r="F3132" s="272" t="s">
        <v>214</v>
      </c>
      <c r="G3132" s="260"/>
      <c r="H3132" s="273"/>
      <c r="I3132" s="436">
        <f>SUM(I3130:I3131)</f>
        <v>49.95</v>
      </c>
    </row>
    <row r="3133" spans="1:11" x14ac:dyDescent="0.2">
      <c r="A3133" s="201"/>
      <c r="B3133" s="271"/>
      <c r="C3133" s="201"/>
      <c r="D3133" s="201"/>
      <c r="E3133" s="201"/>
      <c r="F3133" s="201"/>
      <c r="G3133" s="201"/>
      <c r="H3133" s="201"/>
      <c r="I3133" s="201"/>
    </row>
    <row r="3134" spans="1:11" x14ac:dyDescent="0.2">
      <c r="A3134" s="274" t="s">
        <v>215</v>
      </c>
      <c r="B3134" s="275" t="s">
        <v>60</v>
      </c>
      <c r="C3134" s="275" t="s">
        <v>211</v>
      </c>
      <c r="D3134" s="275" t="s">
        <v>216</v>
      </c>
      <c r="E3134" s="275" t="s">
        <v>217</v>
      </c>
      <c r="F3134" s="275" t="s">
        <v>218</v>
      </c>
      <c r="G3134" s="275" t="s">
        <v>96</v>
      </c>
      <c r="H3134" s="275" t="s">
        <v>91</v>
      </c>
      <c r="I3134" s="275" t="s">
        <v>219</v>
      </c>
    </row>
    <row r="3135" spans="1:11" ht="26.25" customHeight="1" x14ac:dyDescent="0.2">
      <c r="A3135" s="248" t="str">
        <f>VLOOKUP(B3135,tranp.!$A:$J,2,FALSE)</f>
        <v>Transporte de Brita Gadruada</v>
      </c>
      <c r="B3135" s="238">
        <v>1028</v>
      </c>
      <c r="C3135" s="238" t="str">
        <f>VLOOKUP(B3135,tranp.!$A:$J,3,FALSE)</f>
        <v xml:space="preserve"> t  </v>
      </c>
      <c r="D3135" s="276" t="str">
        <f>VLOOKUP(B3135,tranp.!$A:$J,4,FALSE)</f>
        <v>0,681XP + 0,710XR + 2,841</v>
      </c>
      <c r="E3135" s="277">
        <f>VLOOKUP(J3135,Ocor.!$B:$F,4,FALSE)</f>
        <v>37.200000000000003</v>
      </c>
      <c r="F3135" s="277">
        <f>VLOOKUP(J3135,Ocor.!$B:$F,5,FALSE)</f>
        <v>5.6</v>
      </c>
      <c r="G3135" s="243">
        <f>TRUNC(VLOOKUP(B3135,tranp.!$A:$J,5,FALSE)*E3135+VLOOKUP(B3135,tranp.!$A:$J,6,FALSE)*F3135+VLOOKUP(B3135,tranp.!$A:$J,7,FALSE),2)</f>
        <v>32.15</v>
      </c>
      <c r="H3135" s="278">
        <v>0.06</v>
      </c>
      <c r="I3135" s="243">
        <f>TRUNC(G3135*H3135,2)</f>
        <v>1.92</v>
      </c>
      <c r="J3135" s="433" t="s">
        <v>113</v>
      </c>
    </row>
    <row r="3136" spans="1:11" x14ac:dyDescent="0.2">
      <c r="A3136" s="201"/>
      <c r="B3136" s="271"/>
      <c r="C3136" s="201"/>
      <c r="D3136" s="201"/>
      <c r="E3136" s="201"/>
      <c r="F3136" s="272" t="s">
        <v>220</v>
      </c>
      <c r="G3136" s="244"/>
      <c r="H3136" s="279"/>
      <c r="I3136" s="438">
        <f>SUM(I3135:I3135)</f>
        <v>1.92</v>
      </c>
    </row>
    <row r="3137" spans="1:17" x14ac:dyDescent="0.2">
      <c r="A3137" s="201"/>
      <c r="B3137" s="271"/>
      <c r="C3137" s="201"/>
      <c r="D3137" s="201"/>
      <c r="E3137" s="201"/>
      <c r="F3137" s="201"/>
      <c r="G3137" s="201"/>
      <c r="H3137" s="201"/>
      <c r="I3137" s="202"/>
    </row>
    <row r="3138" spans="1:17" x14ac:dyDescent="0.2">
      <c r="A3138" s="280"/>
      <c r="B3138" s="281"/>
      <c r="C3138" s="282"/>
      <c r="D3138" s="282"/>
      <c r="E3138" s="282"/>
      <c r="F3138" s="283" t="s">
        <v>221</v>
      </c>
      <c r="G3138" s="280"/>
      <c r="H3138" s="254"/>
      <c r="I3138" s="634">
        <f>+I3122+I3127+I3132+I3136</f>
        <v>86.26</v>
      </c>
    </row>
    <row r="3139" spans="1:17" x14ac:dyDescent="0.2">
      <c r="A3139" s="260"/>
      <c r="B3139" s="284"/>
      <c r="C3139" s="273"/>
      <c r="D3139" s="273"/>
      <c r="E3139" s="273"/>
      <c r="F3139" s="285" t="str">
        <f>CONCATENATE($H$3," ",$I$3)</f>
        <v>BDI: 23,32</v>
      </c>
      <c r="G3139" s="439"/>
      <c r="H3139" s="258"/>
      <c r="I3139" s="635">
        <f>+ROUND(I3138*$I$4,2)</f>
        <v>20.12</v>
      </c>
    </row>
    <row r="3140" spans="1:17" x14ac:dyDescent="0.2">
      <c r="A3140" s="244"/>
      <c r="B3140" s="286"/>
      <c r="C3140" s="279"/>
      <c r="D3140" s="279"/>
      <c r="E3140" s="279"/>
      <c r="F3140" s="287" t="s">
        <v>222</v>
      </c>
      <c r="G3140" s="440"/>
      <c r="H3140" s="245"/>
      <c r="I3140" s="1017">
        <f>+I3138+I3139</f>
        <v>106.38</v>
      </c>
    </row>
    <row r="3141" spans="1:17" x14ac:dyDescent="0.2">
      <c r="A3141" s="1286" t="str">
        <f>$A$1</f>
        <v>COMPOSIÇÃO DE CUSTOS UNITÁRIOS</v>
      </c>
      <c r="B3141" s="1286"/>
      <c r="C3141" s="1286"/>
      <c r="D3141" s="1286"/>
      <c r="E3141" s="1286"/>
      <c r="F3141" s="1286"/>
      <c r="G3141" s="1286"/>
      <c r="H3141" s="1286"/>
      <c r="I3141" s="1286"/>
      <c r="J3141" s="451"/>
      <c r="K3141" s="451"/>
      <c r="L3141" s="198"/>
      <c r="M3141" s="198"/>
      <c r="N3141" s="198"/>
      <c r="O3141" s="549"/>
      <c r="P3141" s="198"/>
      <c r="Q3141" s="198"/>
    </row>
    <row r="3142" spans="1:17" x14ac:dyDescent="0.2">
      <c r="A3142" s="232" t="str">
        <f>$A$2</f>
        <v>Tabela Referencial de Preços - DER-ES</v>
      </c>
      <c r="B3142" s="233"/>
      <c r="C3142" s="199"/>
      <c r="D3142" s="199"/>
      <c r="E3142" s="199"/>
      <c r="F3142" s="199"/>
      <c r="G3142" s="199"/>
      <c r="H3142" s="199"/>
      <c r="I3142" s="234" t="str">
        <f>$I$2</f>
        <v>Data Base: Outubro/2018</v>
      </c>
      <c r="J3142" s="433">
        <v>40901</v>
      </c>
      <c r="K3142" s="433">
        <f>VLOOKUP("Preço Unitário Total",F3144:I4251,4,FALSE)</f>
        <v>17.8</v>
      </c>
      <c r="L3142" s="302" t="str">
        <f>VLOOKUP(J3142,'DER 10-18'!A:E,5,FALSE)</f>
        <v>A incluir</v>
      </c>
      <c r="M3142" s="302" t="str">
        <f>VLOOKUP(J3142,'DER 10-18'!$A:$D,2,FALSE)</f>
        <v>Cerca de arame liso 4 fios com mourões cada 2,0 m, esticadores de madeira, a cada 20,0 m, inclusive transporte de mourão e arame liso</v>
      </c>
      <c r="O3142" s="372"/>
    </row>
    <row r="3143" spans="1:17" x14ac:dyDescent="0.2">
      <c r="A3143" s="1278" t="str">
        <f>+CONCATENATE("Serviço: ",J3142," ",VLOOKUP(J3142,'DER 10-18'!$A:$D,2,FALSE))</f>
        <v>Serviço: 40901 Cerca de arame liso 4 fios com mourões cada 2,0 m, esticadores de madeira, a cada 20,0 m, inclusive transporte de mourão e arame liso</v>
      </c>
      <c r="B3143" s="1278"/>
      <c r="C3143" s="1278"/>
      <c r="D3143" s="1278"/>
      <c r="E3143" s="1278"/>
      <c r="F3143" s="1278"/>
      <c r="G3143" s="1278"/>
      <c r="H3143" s="1278"/>
      <c r="I3143" s="1278" t="str">
        <f>CONCATENATE("Unidade: ", VLOOKUP(J3142,'DER 10-18'!$A:$E,3,FALSE))</f>
        <v>Unidade: M</v>
      </c>
      <c r="O3143" s="372"/>
    </row>
    <row r="3144" spans="1:17" x14ac:dyDescent="0.2">
      <c r="A3144" s="1279"/>
      <c r="B3144" s="1279"/>
      <c r="C3144" s="1279"/>
      <c r="D3144" s="1279"/>
      <c r="E3144" s="1279"/>
      <c r="F3144" s="1279"/>
      <c r="G3144" s="1279"/>
      <c r="H3144" s="1279"/>
      <c r="I3144" s="1279"/>
    </row>
    <row r="3145" spans="1:17" ht="22.5" x14ac:dyDescent="0.2">
      <c r="A3145" s="235" t="s">
        <v>192</v>
      </c>
      <c r="B3145" s="236" t="s">
        <v>60</v>
      </c>
      <c r="C3145" s="236" t="s">
        <v>193</v>
      </c>
      <c r="D3145" s="236" t="s">
        <v>194</v>
      </c>
      <c r="E3145" s="236" t="s">
        <v>195</v>
      </c>
      <c r="F3145" s="236" t="s">
        <v>196</v>
      </c>
      <c r="G3145" s="236" t="s">
        <v>197</v>
      </c>
      <c r="H3145" s="236" t="s">
        <v>91</v>
      </c>
      <c r="I3145" s="236" t="s">
        <v>198</v>
      </c>
    </row>
    <row r="3146" spans="1:17" x14ac:dyDescent="0.2">
      <c r="A3146" s="237"/>
      <c r="B3146" s="238"/>
      <c r="C3146" s="239"/>
      <c r="D3146" s="240"/>
      <c r="E3146" s="205"/>
      <c r="F3146" s="241"/>
      <c r="G3146" s="241"/>
      <c r="H3146" s="242"/>
      <c r="I3146" s="243">
        <f>TRUNC(D3146*F3146*H3146+E3146*G3146*H3146,2)</f>
        <v>0</v>
      </c>
      <c r="J3146" s="302"/>
      <c r="K3146" s="302"/>
    </row>
    <row r="3147" spans="1:17" x14ac:dyDescent="0.2">
      <c r="A3147" s="199"/>
      <c r="B3147" s="233"/>
      <c r="C3147" s="233"/>
      <c r="D3147" s="199"/>
      <c r="E3147" s="199"/>
      <c r="F3147" s="234" t="s">
        <v>199</v>
      </c>
      <c r="G3147" s="244"/>
      <c r="H3147" s="245"/>
      <c r="I3147" s="434">
        <f>SUM(I3146:I3146)</f>
        <v>0</v>
      </c>
      <c r="J3147" s="302"/>
      <c r="K3147" s="302"/>
    </row>
    <row r="3148" spans="1:17" x14ac:dyDescent="0.2">
      <c r="A3148" s="199"/>
      <c r="B3148" s="233"/>
      <c r="C3148" s="233"/>
      <c r="D3148" s="199"/>
      <c r="E3148" s="199"/>
      <c r="F3148" s="199"/>
      <c r="G3148" s="199"/>
      <c r="H3148" s="199"/>
      <c r="I3148" s="200"/>
      <c r="J3148" s="302"/>
      <c r="K3148" s="302"/>
    </row>
    <row r="3149" spans="1:17" x14ac:dyDescent="0.2">
      <c r="A3149" s="246" t="s">
        <v>200</v>
      </c>
      <c r="B3149" s="247" t="s">
        <v>60</v>
      </c>
      <c r="C3149" s="236" t="s">
        <v>1242</v>
      </c>
      <c r="D3149" s="247" t="s">
        <v>202</v>
      </c>
      <c r="E3149" s="1271" t="s">
        <v>91</v>
      </c>
      <c r="F3149" s="1272"/>
      <c r="G3149" s="1273"/>
      <c r="H3149" s="1276" t="s">
        <v>198</v>
      </c>
      <c r="I3149" s="1275"/>
      <c r="J3149" s="302"/>
      <c r="K3149" s="302"/>
    </row>
    <row r="3150" spans="1:17" x14ac:dyDescent="0.2">
      <c r="A3150" s="248" t="str">
        <f>VLOOKUP(B3150,m.o.!$A:$H,2,FALSE)</f>
        <v>Encarregado de O.A.C.</v>
      </c>
      <c r="B3150" s="238">
        <v>20060</v>
      </c>
      <c r="C3150" s="243">
        <f>VLOOKUP(B3150,m.o.!$A:$F,4,FALSE)</f>
        <v>2.2599999999999998</v>
      </c>
      <c r="D3150" s="243">
        <f>VLOOKUP(B3150,m.o.!$A:$G,7,FALSE)</f>
        <v>26.3</v>
      </c>
      <c r="E3150" s="260"/>
      <c r="F3150" s="258"/>
      <c r="G3150" s="300">
        <v>1</v>
      </c>
      <c r="H3150" s="244"/>
      <c r="I3150" s="249">
        <f>TRUNC(D3150*G3150,2)</f>
        <v>26.3</v>
      </c>
      <c r="J3150" s="302"/>
      <c r="K3150" s="302"/>
    </row>
    <row r="3151" spans="1:17" x14ac:dyDescent="0.2">
      <c r="A3151" s="248" t="str">
        <f>VLOOKUP(B3151,m.o.!$A:$H,2,FALSE)</f>
        <v>Servente</v>
      </c>
      <c r="B3151" s="238">
        <v>20002</v>
      </c>
      <c r="C3151" s="243">
        <f>VLOOKUP(B3151,m.o.!$A:$F,4,FALSE)</f>
        <v>1</v>
      </c>
      <c r="D3151" s="243">
        <f>VLOOKUP(B3151,m.o.!$A:$G,7,FALSE)</f>
        <v>11.64</v>
      </c>
      <c r="E3151" s="260"/>
      <c r="F3151" s="258"/>
      <c r="G3151" s="300">
        <v>5</v>
      </c>
      <c r="H3151" s="244"/>
      <c r="I3151" s="249">
        <f>TRUNC(D3151*G3151,2)</f>
        <v>58.2</v>
      </c>
      <c r="J3151" s="302"/>
      <c r="K3151" s="302"/>
    </row>
    <row r="3152" spans="1:17" x14ac:dyDescent="0.2">
      <c r="A3152" s="199"/>
      <c r="B3152" s="233"/>
      <c r="C3152" s="233"/>
      <c r="D3152" s="199"/>
      <c r="E3152" s="199"/>
      <c r="F3152" s="234" t="s">
        <v>203</v>
      </c>
      <c r="G3152" s="244"/>
      <c r="H3152" s="245"/>
      <c r="I3152" s="434">
        <f>SUM(I3150:I3151)</f>
        <v>84.5</v>
      </c>
      <c r="J3152" s="302"/>
      <c r="K3152" s="302"/>
    </row>
    <row r="3153" spans="1:15" x14ac:dyDescent="0.2">
      <c r="A3153" s="199"/>
      <c r="B3153" s="233"/>
      <c r="C3153" s="233"/>
      <c r="D3153" s="199"/>
      <c r="E3153" s="199"/>
      <c r="F3153" s="199"/>
      <c r="G3153" s="199"/>
      <c r="H3153" s="199"/>
      <c r="I3153" s="200"/>
      <c r="J3153" s="302"/>
      <c r="K3153" s="302"/>
    </row>
    <row r="3154" spans="1:15" x14ac:dyDescent="0.2">
      <c r="A3154" s="250" t="s">
        <v>204</v>
      </c>
      <c r="B3154" s="247" t="s">
        <v>60</v>
      </c>
      <c r="C3154" s="866" t="s">
        <v>17</v>
      </c>
      <c r="D3154" s="247" t="s">
        <v>205</v>
      </c>
      <c r="E3154" s="247" t="s">
        <v>206</v>
      </c>
      <c r="F3154" s="247" t="s">
        <v>207</v>
      </c>
      <c r="G3154" s="1276" t="s">
        <v>96</v>
      </c>
      <c r="H3154" s="1274"/>
      <c r="I3154" s="1275"/>
      <c r="J3154" s="302"/>
      <c r="K3154" s="302"/>
    </row>
    <row r="3155" spans="1:15" x14ac:dyDescent="0.2">
      <c r="A3155" s="248" t="s">
        <v>142</v>
      </c>
      <c r="B3155" s="238">
        <v>2000</v>
      </c>
      <c r="C3155" s="243">
        <v>5</v>
      </c>
      <c r="D3155" s="239" t="s">
        <v>223</v>
      </c>
      <c r="E3155" s="251"/>
      <c r="F3155" s="251"/>
      <c r="G3155" s="244"/>
      <c r="H3155" s="245"/>
      <c r="I3155" s="249">
        <f>TRUNC(C3155/100*I3152,2)</f>
        <v>4.22</v>
      </c>
      <c r="J3155" s="302"/>
      <c r="K3155" s="302"/>
    </row>
    <row r="3156" spans="1:15" x14ac:dyDescent="0.2">
      <c r="A3156" s="199"/>
      <c r="B3156" s="233"/>
      <c r="C3156" s="199"/>
      <c r="D3156" s="199"/>
      <c r="E3156" s="199"/>
      <c r="F3156" s="234" t="s">
        <v>1170</v>
      </c>
      <c r="G3156" s="244"/>
      <c r="H3156" s="245"/>
      <c r="I3156" s="434">
        <f>SUM(I3155)</f>
        <v>4.22</v>
      </c>
      <c r="J3156" s="302"/>
      <c r="K3156" s="302"/>
    </row>
    <row r="3157" spans="1:15" x14ac:dyDescent="0.2">
      <c r="A3157" s="199"/>
      <c r="B3157" s="233"/>
      <c r="C3157" s="199"/>
      <c r="D3157" s="199"/>
      <c r="E3157" s="199"/>
      <c r="F3157" s="199"/>
      <c r="G3157" s="199"/>
      <c r="H3157" s="199"/>
      <c r="I3157" s="200"/>
      <c r="J3157" s="302"/>
      <c r="K3157" s="302"/>
    </row>
    <row r="3158" spans="1:15" x14ac:dyDescent="0.2">
      <c r="A3158" s="252"/>
      <c r="B3158" s="253"/>
      <c r="C3158" s="254"/>
      <c r="D3158" s="254"/>
      <c r="E3158" s="254"/>
      <c r="F3158" s="255" t="s">
        <v>208</v>
      </c>
      <c r="G3158" s="435"/>
      <c r="H3158" s="254"/>
      <c r="I3158" s="634">
        <f>+I3147+I3152+I3156</f>
        <v>88.72</v>
      </c>
      <c r="J3158" s="302"/>
      <c r="K3158" s="302"/>
    </row>
    <row r="3159" spans="1:15" x14ac:dyDescent="0.2">
      <c r="A3159" s="256"/>
      <c r="B3159" s="257"/>
      <c r="C3159" s="258"/>
      <c r="D3159" s="258"/>
      <c r="E3159" s="258"/>
      <c r="F3159" s="259" t="s">
        <v>209</v>
      </c>
      <c r="G3159" s="260"/>
      <c r="H3159" s="258"/>
      <c r="I3159" s="635">
        <v>60</v>
      </c>
      <c r="J3159" s="302"/>
      <c r="K3159" s="302"/>
    </row>
    <row r="3160" spans="1:15" x14ac:dyDescent="0.2">
      <c r="A3160" s="237"/>
      <c r="B3160" s="261"/>
      <c r="C3160" s="245"/>
      <c r="D3160" s="245"/>
      <c r="E3160" s="245"/>
      <c r="F3160" s="262" t="s">
        <v>232</v>
      </c>
      <c r="G3160" s="244"/>
      <c r="H3160" s="245"/>
      <c r="I3160" s="633">
        <f>TRUNC(I3158/I3159,2)</f>
        <v>1.47</v>
      </c>
      <c r="J3160" s="302"/>
      <c r="K3160" s="302"/>
    </row>
    <row r="3161" spans="1:15" x14ac:dyDescent="0.2">
      <c r="A3161" s="867"/>
      <c r="B3161" s="233"/>
      <c r="C3161" s="199"/>
      <c r="D3161" s="199"/>
      <c r="E3161" s="199"/>
      <c r="F3161" s="263"/>
      <c r="G3161" s="199"/>
      <c r="H3161" s="199"/>
      <c r="I3161" s="264"/>
      <c r="J3161" s="302"/>
      <c r="K3161" s="302"/>
    </row>
    <row r="3162" spans="1:15" x14ac:dyDescent="0.2">
      <c r="A3162" s="246" t="s">
        <v>210</v>
      </c>
      <c r="B3162" s="247" t="s">
        <v>60</v>
      </c>
      <c r="C3162" s="247" t="s">
        <v>211</v>
      </c>
      <c r="D3162" s="247" t="s">
        <v>233</v>
      </c>
      <c r="E3162" s="1276" t="s">
        <v>91</v>
      </c>
      <c r="F3162" s="1274"/>
      <c r="G3162" s="1275"/>
      <c r="H3162" s="1276" t="s">
        <v>198</v>
      </c>
      <c r="I3162" s="1275"/>
      <c r="K3162" s="302"/>
    </row>
    <row r="3163" spans="1:15" ht="22.5" x14ac:dyDescent="0.2">
      <c r="A3163" s="265" t="str">
        <f>VLOOKUP(B3163,mat.!$A:$D,2,FALSE)</f>
        <v>Arame ovalado liso (cerca) 45 kg - 1.000m</v>
      </c>
      <c r="B3163" s="238">
        <v>10138</v>
      </c>
      <c r="C3163" s="266" t="str">
        <f>VLOOKUP(B3163,mat.!$A:$D,3,FALSE)</f>
        <v>rl</v>
      </c>
      <c r="D3163" s="267">
        <f>VLOOKUP(B3163,mat.!$A:$D,4,FALSE)</f>
        <v>519.75</v>
      </c>
      <c r="E3163" s="260"/>
      <c r="F3163" s="258"/>
      <c r="G3163" s="300">
        <v>4.0000000000000001E-3</v>
      </c>
      <c r="H3163" s="260"/>
      <c r="I3163" s="268">
        <f>TRUNC(D3163*G3163,2)</f>
        <v>2.0699999999999998</v>
      </c>
      <c r="K3163" s="302"/>
    </row>
    <row r="3164" spans="1:15" ht="22.5" x14ac:dyDescent="0.2">
      <c r="A3164" s="265" t="str">
        <f>VLOOKUP(B3164,mat.!$A:$D,2,FALSE)</f>
        <v>Mourao p/ cerca (2,20m - D=0,10m) m. branca</v>
      </c>
      <c r="B3164" s="238">
        <v>10074</v>
      </c>
      <c r="C3164" s="266" t="str">
        <f>VLOOKUP(B3164,mat.!$A:$D,3,FALSE)</f>
        <v>DZ</v>
      </c>
      <c r="D3164" s="267">
        <f>VLOOKUP(B3164,mat.!$A:$D,4,FALSE)</f>
        <v>143.88</v>
      </c>
      <c r="E3164" s="260"/>
      <c r="F3164" s="258"/>
      <c r="G3164" s="300">
        <v>4.1700000000000001E-2</v>
      </c>
      <c r="H3164" s="260"/>
      <c r="I3164" s="268">
        <f>TRUNC(D3164*G3164,2)</f>
        <v>5.99</v>
      </c>
      <c r="K3164" s="302"/>
    </row>
    <row r="3165" spans="1:15" ht="22.5" x14ac:dyDescent="0.2">
      <c r="A3165" s="265" t="str">
        <f>VLOOKUP(B3165,mat.!$A:$D,2,FALSE)</f>
        <v>Mourão p/ cerca (2,50m - D=0,20m) madeira branca (estic.)</v>
      </c>
      <c r="B3165" s="238">
        <v>10075</v>
      </c>
      <c r="C3165" s="266" t="str">
        <f>VLOOKUP(B3165,mat.!$A:$D,3,FALSE)</f>
        <v>DZ</v>
      </c>
      <c r="D3165" s="267">
        <f>VLOOKUP(B3165,mat.!$A:$D,4,FALSE)</f>
        <v>641.14</v>
      </c>
      <c r="E3165" s="260"/>
      <c r="F3165" s="258"/>
      <c r="G3165" s="300">
        <v>4.1999999999999997E-3</v>
      </c>
      <c r="H3165" s="260"/>
      <c r="I3165" s="268">
        <f>TRUNC(D3165*G3165,2)</f>
        <v>2.69</v>
      </c>
      <c r="K3165" s="302"/>
    </row>
    <row r="3166" spans="1:15" x14ac:dyDescent="0.2">
      <c r="A3166" s="199"/>
      <c r="B3166" s="233"/>
      <c r="C3166" s="199"/>
      <c r="D3166" s="199"/>
      <c r="E3166" s="199"/>
      <c r="F3166" s="234" t="s">
        <v>212</v>
      </c>
      <c r="G3166" s="244"/>
      <c r="H3166" s="245"/>
      <c r="I3166" s="434">
        <f>SUM(I3163:I3165)</f>
        <v>10.75</v>
      </c>
      <c r="K3166" s="302"/>
      <c r="O3166" s="198"/>
    </row>
    <row r="3167" spans="1:15" x14ac:dyDescent="0.2">
      <c r="A3167" s="199"/>
      <c r="B3167" s="233"/>
      <c r="C3167" s="199"/>
      <c r="D3167" s="199"/>
      <c r="E3167" s="199"/>
      <c r="F3167" s="199"/>
      <c r="G3167" s="269"/>
      <c r="H3167" s="199"/>
      <c r="I3167" s="200"/>
      <c r="K3167" s="302"/>
    </row>
    <row r="3168" spans="1:15" x14ac:dyDescent="0.2">
      <c r="A3168" s="270" t="s">
        <v>213</v>
      </c>
      <c r="B3168" s="247" t="s">
        <v>60</v>
      </c>
      <c r="C3168" s="247" t="s">
        <v>211</v>
      </c>
      <c r="D3168" s="866" t="s">
        <v>233</v>
      </c>
      <c r="E3168" s="1271" t="s">
        <v>91</v>
      </c>
      <c r="F3168" s="1272"/>
      <c r="G3168" s="1273"/>
      <c r="H3168" s="1274" t="s">
        <v>198</v>
      </c>
      <c r="I3168" s="1275"/>
      <c r="K3168" s="302"/>
    </row>
    <row r="3169" spans="1:14" ht="33.75" x14ac:dyDescent="0.2">
      <c r="A3169" s="248" t="str">
        <f>VLOOKUP(B3169,'DER 10-18'!$A:$E,2,FALSE)</f>
        <v>Escavação manual furos, valetas mat. 1ª cat. H= 0,00 a 1,50 m (dim. reduz.)</v>
      </c>
      <c r="B3169" s="238">
        <v>40256</v>
      </c>
      <c r="C3169" s="238" t="str">
        <f>VLOOKUP(B3169,'DER 10-18'!$A:$E,3,FALSE)</f>
        <v>M3</v>
      </c>
      <c r="D3169" s="243">
        <f>TRUNC(VLOOKUP(B3169,'DER 10-18'!$A:$F,6,FALSE)/(1+$I$4),2)</f>
        <v>77.53</v>
      </c>
      <c r="E3169" s="260"/>
      <c r="F3169" s="258"/>
      <c r="G3169" s="300">
        <v>2.2499999999999999E-2</v>
      </c>
      <c r="H3169" s="244"/>
      <c r="I3169" s="268">
        <f>TRUNC(D3169*G3169,2)</f>
        <v>1.74</v>
      </c>
      <c r="K3169" s="302"/>
    </row>
    <row r="3170" spans="1:14" x14ac:dyDescent="0.2">
      <c r="A3170" s="201"/>
      <c r="B3170" s="271"/>
      <c r="C3170" s="201"/>
      <c r="D3170" s="201"/>
      <c r="E3170" s="201"/>
      <c r="F3170" s="272" t="s">
        <v>214</v>
      </c>
      <c r="G3170" s="260"/>
      <c r="H3170" s="273"/>
      <c r="I3170" s="436">
        <f>SUM(I3169:I3169)</f>
        <v>1.74</v>
      </c>
      <c r="K3170" s="302"/>
    </row>
    <row r="3171" spans="1:14" ht="24.75" customHeight="1" x14ac:dyDescent="0.2">
      <c r="A3171" s="201"/>
      <c r="B3171" s="271"/>
      <c r="C3171" s="201"/>
      <c r="D3171" s="201"/>
      <c r="E3171" s="201"/>
      <c r="F3171" s="201"/>
      <c r="G3171" s="201"/>
      <c r="H3171" s="201"/>
      <c r="I3171" s="201"/>
      <c r="K3171" s="302"/>
    </row>
    <row r="3172" spans="1:14" x14ac:dyDescent="0.2">
      <c r="A3172" s="274" t="s">
        <v>215</v>
      </c>
      <c r="B3172" s="275" t="s">
        <v>60</v>
      </c>
      <c r="C3172" s="275" t="s">
        <v>211</v>
      </c>
      <c r="D3172" s="275" t="s">
        <v>216</v>
      </c>
      <c r="E3172" s="275" t="s">
        <v>217</v>
      </c>
      <c r="F3172" s="275" t="s">
        <v>218</v>
      </c>
      <c r="G3172" s="275" t="s">
        <v>96</v>
      </c>
      <c r="H3172" s="275" t="s">
        <v>91</v>
      </c>
      <c r="I3172" s="275" t="s">
        <v>219</v>
      </c>
      <c r="J3172" s="433" t="s">
        <v>1059</v>
      </c>
      <c r="K3172" s="302"/>
    </row>
    <row r="3173" spans="1:14" ht="22.5" x14ac:dyDescent="0.2">
      <c r="A3173" s="265" t="str">
        <f>VLOOKUP(B3173,tranp.!A:D,2,FALSE)</f>
        <v>Transp. de Arame ovalado liso (cerca) 45 kg - 1000 m</v>
      </c>
      <c r="B3173" s="238">
        <v>1628</v>
      </c>
      <c r="C3173" s="238" t="str">
        <f>VLOOKUP(B3173,tranp.!$A:$J,3,FALSE)</f>
        <v xml:space="preserve"> t  </v>
      </c>
      <c r="D3173" s="437" t="str">
        <f>VLOOKUP(B3173,tranp.!$A:$J,4,FALSE)</f>
        <v>0,676XP + 0,703XR</v>
      </c>
      <c r="E3173" s="277">
        <f>VLOOKUP(J3172,Ocor.!$B:$F,4,FALSE)</f>
        <v>37.200000000000003</v>
      </c>
      <c r="F3173" s="277">
        <f>VLOOKUP(J3172,Ocor.!$B:$F,5,FALSE)</f>
        <v>5.6</v>
      </c>
      <c r="G3173" s="243">
        <f>TRUNC(VLOOKUP(B3173,tranp.!$A:$J,5,FALSE)*E3173+VLOOKUP(B3173,tranp.!$A:$J,6,FALSE)*F3173+VLOOKUP(B3173,tranp.!$A:$J,7,FALSE),2)</f>
        <v>29.08</v>
      </c>
      <c r="H3173" s="278">
        <v>2.0000000000000001E-4</v>
      </c>
      <c r="I3173" s="243">
        <f>TRUNC(G3173*H3173,2)</f>
        <v>0</v>
      </c>
      <c r="J3173" s="433" t="s">
        <v>1058</v>
      </c>
      <c r="K3173" s="302"/>
    </row>
    <row r="3174" spans="1:14" ht="22.5" x14ac:dyDescent="0.2">
      <c r="A3174" s="248" t="s">
        <v>1078</v>
      </c>
      <c r="B3174" s="238">
        <v>1015</v>
      </c>
      <c r="C3174" s="238" t="str">
        <f>VLOOKUP(B3174,tranp.!$A:$J,3,FALSE)</f>
        <v xml:space="preserve"> t  </v>
      </c>
      <c r="D3174" s="437" t="str">
        <f>VLOOKUP(B3174,tranp.!$A:$J,4,FALSE)</f>
        <v>0,676XP + 0,703XR</v>
      </c>
      <c r="E3174" s="277">
        <f>VLOOKUP(J3173,Ocor.!$B:$F,4,FALSE)</f>
        <v>37.200000000000003</v>
      </c>
      <c r="F3174" s="277">
        <f>VLOOKUP(J3173,Ocor.!$B:$F,5,FALSE)</f>
        <v>5.6</v>
      </c>
      <c r="G3174" s="243">
        <f>TRUNC(VLOOKUP(B3174,tranp.!$A:$J,5,FALSE)*E3174+VLOOKUP(B3174,tranp.!$A:$J,6,FALSE)*F3174+VLOOKUP(B3174,tranp.!$A:$J,7,FALSE),2)</f>
        <v>29.08</v>
      </c>
      <c r="H3174" s="278">
        <v>1.32E-2</v>
      </c>
      <c r="I3174" s="243">
        <f>TRUNC(G3174*H3174,2)</f>
        <v>0.38</v>
      </c>
      <c r="J3174" s="433" t="s">
        <v>1058</v>
      </c>
      <c r="K3174" s="302"/>
    </row>
    <row r="3175" spans="1:14" ht="22.5" x14ac:dyDescent="0.2">
      <c r="A3175" s="248" t="s">
        <v>1079</v>
      </c>
      <c r="B3175" s="238">
        <v>1000</v>
      </c>
      <c r="C3175" s="238" t="str">
        <f>VLOOKUP(B3175,tranp.!$A:$J,3,FALSE)</f>
        <v xml:space="preserve"> t  </v>
      </c>
      <c r="D3175" s="437" t="str">
        <f>VLOOKUP(B3175,tranp.!$A:$J,4,FALSE)</f>
        <v>0,676XP + 0,703XR</v>
      </c>
      <c r="E3175" s="277">
        <f>VLOOKUP(J3174,Ocor.!$B:$F,4,FALSE)</f>
        <v>37.200000000000003</v>
      </c>
      <c r="F3175" s="277">
        <f>VLOOKUP(J3174,Ocor.!$B:$F,5,FALSE)</f>
        <v>5.6</v>
      </c>
      <c r="G3175" s="243">
        <f>TRUNC(VLOOKUP(B3175,tranp.!$A:$J,5,FALSE)*E3175+VLOOKUP(B3175,tranp.!$A:$J,6,FALSE)*F3175+VLOOKUP(B3175,tranp.!$A:$J,7,FALSE),2)</f>
        <v>29.08</v>
      </c>
      <c r="H3175" s="278">
        <v>3.3999999999999998E-3</v>
      </c>
      <c r="I3175" s="243">
        <f>TRUNC(G3175*H3175,2)</f>
        <v>0.09</v>
      </c>
      <c r="K3175" s="302"/>
    </row>
    <row r="3176" spans="1:14" x14ac:dyDescent="0.2">
      <c r="A3176" s="201"/>
      <c r="B3176" s="271"/>
      <c r="C3176" s="201"/>
      <c r="D3176" s="201"/>
      <c r="E3176" s="201"/>
      <c r="F3176" s="272" t="s">
        <v>220</v>
      </c>
      <c r="G3176" s="244"/>
      <c r="H3176" s="279"/>
      <c r="I3176" s="438">
        <f>SUM(I3173:I3175)</f>
        <v>0.47</v>
      </c>
      <c r="K3176" s="302"/>
    </row>
    <row r="3177" spans="1:14" x14ac:dyDescent="0.2">
      <c r="A3177" s="201"/>
      <c r="B3177" s="271"/>
      <c r="C3177" s="201"/>
      <c r="D3177" s="201"/>
      <c r="E3177" s="201"/>
      <c r="F3177" s="201"/>
      <c r="G3177" s="201"/>
      <c r="H3177" s="201"/>
      <c r="I3177" s="202"/>
      <c r="J3177" s="446"/>
      <c r="K3177" s="302"/>
    </row>
    <row r="3178" spans="1:14" x14ac:dyDescent="0.2">
      <c r="A3178" s="280"/>
      <c r="B3178" s="281"/>
      <c r="C3178" s="282"/>
      <c r="D3178" s="282"/>
      <c r="E3178" s="282"/>
      <c r="F3178" s="283" t="s">
        <v>221</v>
      </c>
      <c r="G3178" s="280"/>
      <c r="H3178" s="254"/>
      <c r="I3178" s="634">
        <f>+I3160+I3166+I3170+I3176</f>
        <v>14.43</v>
      </c>
    </row>
    <row r="3179" spans="1:14" x14ac:dyDescent="0.2">
      <c r="A3179" s="260"/>
      <c r="B3179" s="284"/>
      <c r="C3179" s="273"/>
      <c r="D3179" s="273"/>
      <c r="E3179" s="273"/>
      <c r="F3179" s="285" t="str">
        <f>CONCATENATE($H$3," ",$I$3)</f>
        <v>BDI: 23,32</v>
      </c>
      <c r="G3179" s="439"/>
      <c r="H3179" s="258"/>
      <c r="I3179" s="635">
        <f>+ROUND(I3178*$I$4,2)</f>
        <v>3.37</v>
      </c>
    </row>
    <row r="3180" spans="1:14" x14ac:dyDescent="0.2">
      <c r="A3180" s="244"/>
      <c r="B3180" s="286"/>
      <c r="C3180" s="279"/>
      <c r="D3180" s="279"/>
      <c r="E3180" s="279"/>
      <c r="F3180" s="287" t="s">
        <v>222</v>
      </c>
      <c r="G3180" s="440"/>
      <c r="H3180" s="245"/>
      <c r="I3180" s="1017">
        <f>+I3178+I3179</f>
        <v>17.8</v>
      </c>
    </row>
    <row r="3181" spans="1:14" x14ac:dyDescent="0.2">
      <c r="A3181" s="199"/>
      <c r="B3181" s="617"/>
      <c r="C3181" s="201"/>
      <c r="D3181" s="201"/>
      <c r="E3181" s="201"/>
      <c r="F3181" s="272"/>
      <c r="G3181" s="201"/>
      <c r="H3181" s="199"/>
      <c r="I3181" s="620"/>
      <c r="J3181" s="22" t="s">
        <v>60</v>
      </c>
      <c r="K3181" s="22"/>
      <c r="L3181" s="372"/>
      <c r="M3181" s="372"/>
      <c r="N3181" s="372"/>
    </row>
    <row r="3182" spans="1:14" x14ac:dyDescent="0.2">
      <c r="A3182" s="1277" t="str">
        <f>$A$1</f>
        <v>COMPOSIÇÃO DE CUSTOS UNITÁRIOS</v>
      </c>
      <c r="B3182" s="1277"/>
      <c r="C3182" s="1277"/>
      <c r="D3182" s="1277"/>
      <c r="E3182" s="1277"/>
      <c r="F3182" s="1277"/>
      <c r="G3182" s="1277"/>
      <c r="H3182" s="1277"/>
      <c r="I3182" s="1277"/>
      <c r="J3182" s="22"/>
      <c r="K3182" s="22"/>
      <c r="L3182" s="372"/>
      <c r="M3182" s="372"/>
      <c r="N3182" s="372"/>
    </row>
    <row r="3183" spans="1:14" x14ac:dyDescent="0.2">
      <c r="A3183" s="232" t="str">
        <f>$A$2</f>
        <v>Tabela Referencial de Preços - DER-ES</v>
      </c>
      <c r="B3183" s="233"/>
      <c r="C3183" s="199"/>
      <c r="D3183" s="199"/>
      <c r="E3183" s="199"/>
      <c r="F3183" s="199"/>
      <c r="G3183" s="199"/>
      <c r="H3183" s="199"/>
      <c r="I3183" s="234" t="str">
        <f>$I$2</f>
        <v>Data Base: Outubro/2018</v>
      </c>
      <c r="J3183" s="22">
        <v>41555</v>
      </c>
      <c r="K3183" s="433">
        <f>VLOOKUP("Preço Unitário Total",F3185:I4251,4,FALSE)</f>
        <v>6246.53</v>
      </c>
      <c r="L3183" s="302">
        <f>VLOOKUP(J3183,'DER 10-18'!A:E,5,FALSE)</f>
        <v>0</v>
      </c>
      <c r="M3183" s="302" t="str">
        <f>VLOOKUP(J3183,'DER 10-18'!$A:$D,2,FALSE)</f>
        <v>Sistema separador de água e óleo</v>
      </c>
      <c r="N3183" s="372"/>
    </row>
    <row r="3184" spans="1:14" x14ac:dyDescent="0.2">
      <c r="A3184" s="1278" t="str">
        <f>+CONCATENATE("Serviço: ",J3183," ",VLOOKUP(J3183,'DER 10-18'!$A:$D,2,FALSE))</f>
        <v>Serviço: 41555 Sistema separador de água e óleo</v>
      </c>
      <c r="B3184" s="1278"/>
      <c r="C3184" s="1278"/>
      <c r="D3184" s="1278"/>
      <c r="E3184" s="1278"/>
      <c r="F3184" s="1278"/>
      <c r="G3184" s="1278"/>
      <c r="H3184" s="1278"/>
      <c r="I3184" s="1278" t="str">
        <f>CONCATENATE("Unidade: ", VLOOKUP(J3183,'DER 10-18'!$A:$E,3,FALSE))</f>
        <v>Unidade: Ud</v>
      </c>
      <c r="J3184" s="22"/>
      <c r="K3184" s="22"/>
      <c r="L3184" s="372"/>
      <c r="M3184" s="372"/>
      <c r="N3184" s="372"/>
    </row>
    <row r="3185" spans="1:11" x14ac:dyDescent="0.2">
      <c r="A3185" s="1279"/>
      <c r="B3185" s="1279"/>
      <c r="C3185" s="1279"/>
      <c r="D3185" s="1279"/>
      <c r="E3185" s="1279"/>
      <c r="F3185" s="1279"/>
      <c r="G3185" s="1279"/>
      <c r="H3185" s="1279"/>
      <c r="I3185" s="1279"/>
    </row>
    <row r="3186" spans="1:11" ht="22.5" x14ac:dyDescent="0.2">
      <c r="A3186" s="235" t="s">
        <v>192</v>
      </c>
      <c r="B3186" s="236" t="s">
        <v>60</v>
      </c>
      <c r="C3186" s="236" t="s">
        <v>193</v>
      </c>
      <c r="D3186" s="236" t="s">
        <v>194</v>
      </c>
      <c r="E3186" s="236" t="s">
        <v>195</v>
      </c>
      <c r="F3186" s="236" t="s">
        <v>196</v>
      </c>
      <c r="G3186" s="236" t="s">
        <v>197</v>
      </c>
      <c r="H3186" s="236" t="s">
        <v>91</v>
      </c>
      <c r="I3186" s="236" t="s">
        <v>198</v>
      </c>
    </row>
    <row r="3187" spans="1:11" x14ac:dyDescent="0.2">
      <c r="A3187" s="237"/>
      <c r="B3187" s="238"/>
      <c r="C3187" s="239"/>
      <c r="D3187" s="240"/>
      <c r="E3187" s="205"/>
      <c r="F3187" s="241"/>
      <c r="G3187" s="241"/>
      <c r="H3187" s="242"/>
      <c r="I3187" s="243"/>
    </row>
    <row r="3188" spans="1:11" x14ac:dyDescent="0.2">
      <c r="A3188" s="199"/>
      <c r="B3188" s="233"/>
      <c r="C3188" s="233"/>
      <c r="D3188" s="199"/>
      <c r="E3188" s="199"/>
      <c r="F3188" s="234" t="s">
        <v>199</v>
      </c>
      <c r="G3188" s="244"/>
      <c r="H3188" s="245"/>
      <c r="I3188" s="434">
        <f>SUM(I3187:I3187)</f>
        <v>0</v>
      </c>
    </row>
    <row r="3189" spans="1:11" x14ac:dyDescent="0.2">
      <c r="A3189" s="199"/>
      <c r="B3189" s="233"/>
      <c r="C3189" s="233"/>
      <c r="D3189" s="199"/>
      <c r="E3189" s="199"/>
      <c r="F3189" s="199"/>
      <c r="G3189" s="199"/>
      <c r="H3189" s="199"/>
      <c r="I3189" s="200"/>
    </row>
    <row r="3190" spans="1:11" x14ac:dyDescent="0.2">
      <c r="A3190" s="246" t="s">
        <v>200</v>
      </c>
      <c r="B3190" s="247" t="s">
        <v>60</v>
      </c>
      <c r="C3190" s="236" t="s">
        <v>1242</v>
      </c>
      <c r="D3190" s="247" t="s">
        <v>202</v>
      </c>
      <c r="E3190" s="1276" t="s">
        <v>91</v>
      </c>
      <c r="F3190" s="1274"/>
      <c r="G3190" s="1275"/>
      <c r="H3190" s="1276" t="s">
        <v>198</v>
      </c>
      <c r="I3190" s="1275"/>
      <c r="J3190" s="302"/>
      <c r="K3190" s="302"/>
    </row>
    <row r="3191" spans="1:11" x14ac:dyDescent="0.2">
      <c r="A3191" s="248"/>
      <c r="B3191" s="238"/>
      <c r="C3191" s="243"/>
      <c r="D3191" s="243"/>
      <c r="E3191" s="244"/>
      <c r="F3191" s="258"/>
      <c r="G3191" s="300"/>
      <c r="H3191" s="244"/>
      <c r="I3191" s="249"/>
      <c r="J3191" s="302"/>
      <c r="K3191" s="302"/>
    </row>
    <row r="3192" spans="1:11" x14ac:dyDescent="0.2">
      <c r="A3192" s="199"/>
      <c r="B3192" s="233"/>
      <c r="C3192" s="233"/>
      <c r="D3192" s="199"/>
      <c r="E3192" s="199"/>
      <c r="F3192" s="234" t="s">
        <v>203</v>
      </c>
      <c r="G3192" s="244"/>
      <c r="H3192" s="245"/>
      <c r="I3192" s="434">
        <f>SUM(I3191:I3191)</f>
        <v>0</v>
      </c>
      <c r="J3192" s="302"/>
      <c r="K3192" s="302"/>
    </row>
    <row r="3193" spans="1:11" x14ac:dyDescent="0.2">
      <c r="A3193" s="199"/>
      <c r="B3193" s="233"/>
      <c r="C3193" s="233"/>
      <c r="D3193" s="199"/>
      <c r="E3193" s="199"/>
      <c r="F3193" s="199"/>
      <c r="G3193" s="199"/>
      <c r="H3193" s="199"/>
      <c r="I3193" s="200"/>
      <c r="J3193" s="302"/>
      <c r="K3193" s="302"/>
    </row>
    <row r="3194" spans="1:11" x14ac:dyDescent="0.2">
      <c r="A3194" s="250" t="s">
        <v>204</v>
      </c>
      <c r="B3194" s="247" t="s">
        <v>60</v>
      </c>
      <c r="C3194" s="866" t="s">
        <v>17</v>
      </c>
      <c r="D3194" s="247" t="s">
        <v>205</v>
      </c>
      <c r="E3194" s="247" t="s">
        <v>206</v>
      </c>
      <c r="F3194" s="247" t="s">
        <v>207</v>
      </c>
      <c r="G3194" s="1276" t="s">
        <v>96</v>
      </c>
      <c r="H3194" s="1274"/>
      <c r="I3194" s="1275"/>
      <c r="J3194" s="302"/>
      <c r="K3194" s="302"/>
    </row>
    <row r="3195" spans="1:11" x14ac:dyDescent="0.2">
      <c r="A3195" s="248"/>
      <c r="B3195" s="238"/>
      <c r="C3195" s="243"/>
      <c r="D3195" s="239"/>
      <c r="E3195" s="251"/>
      <c r="F3195" s="251"/>
      <c r="G3195" s="244"/>
      <c r="H3195" s="245"/>
      <c r="I3195" s="249"/>
      <c r="J3195" s="302"/>
      <c r="K3195" s="302"/>
    </row>
    <row r="3196" spans="1:11" x14ac:dyDescent="0.2">
      <c r="A3196" s="199"/>
      <c r="B3196" s="233"/>
      <c r="C3196" s="199"/>
      <c r="D3196" s="199"/>
      <c r="E3196" s="199"/>
      <c r="F3196" s="234" t="s">
        <v>1170</v>
      </c>
      <c r="G3196" s="244"/>
      <c r="H3196" s="245"/>
      <c r="I3196" s="434">
        <f>SUM(I3195)</f>
        <v>0</v>
      </c>
      <c r="J3196" s="302"/>
      <c r="K3196" s="302"/>
    </row>
    <row r="3197" spans="1:11" x14ac:dyDescent="0.2">
      <c r="A3197" s="199"/>
      <c r="B3197" s="233"/>
      <c r="C3197" s="199"/>
      <c r="D3197" s="199"/>
      <c r="E3197" s="199"/>
      <c r="F3197" s="199"/>
      <c r="G3197" s="199"/>
      <c r="H3197" s="199"/>
      <c r="I3197" s="200"/>
      <c r="J3197" s="302"/>
      <c r="K3197" s="302"/>
    </row>
    <row r="3198" spans="1:11" x14ac:dyDescent="0.2">
      <c r="A3198" s="252"/>
      <c r="B3198" s="253"/>
      <c r="C3198" s="254"/>
      <c r="D3198" s="254"/>
      <c r="E3198" s="254"/>
      <c r="F3198" s="255" t="s">
        <v>208</v>
      </c>
      <c r="G3198" s="435"/>
      <c r="H3198" s="254"/>
      <c r="I3198" s="634">
        <f>+I3188+I3192+I3196</f>
        <v>0</v>
      </c>
      <c r="J3198" s="302"/>
      <c r="K3198" s="302"/>
    </row>
    <row r="3199" spans="1:11" x14ac:dyDescent="0.2">
      <c r="A3199" s="256"/>
      <c r="B3199" s="257"/>
      <c r="C3199" s="258"/>
      <c r="D3199" s="258"/>
      <c r="E3199" s="258"/>
      <c r="F3199" s="259" t="s">
        <v>209</v>
      </c>
      <c r="G3199" s="260"/>
      <c r="H3199" s="258"/>
      <c r="I3199" s="635">
        <v>1</v>
      </c>
      <c r="J3199" s="302"/>
      <c r="K3199" s="302"/>
    </row>
    <row r="3200" spans="1:11" x14ac:dyDescent="0.2">
      <c r="A3200" s="237"/>
      <c r="B3200" s="261"/>
      <c r="C3200" s="245"/>
      <c r="D3200" s="245"/>
      <c r="E3200" s="245"/>
      <c r="F3200" s="262" t="s">
        <v>232</v>
      </c>
      <c r="G3200" s="244"/>
      <c r="H3200" s="245"/>
      <c r="I3200" s="633">
        <f>TRUNC(I3198/I3199,2)</f>
        <v>0</v>
      </c>
      <c r="J3200" s="302"/>
      <c r="K3200" s="302"/>
    </row>
    <row r="3201" spans="1:14" x14ac:dyDescent="0.2">
      <c r="A3201" s="867"/>
      <c r="B3201" s="233"/>
      <c r="C3201" s="199"/>
      <c r="D3201" s="199"/>
      <c r="E3201" s="199"/>
      <c r="F3201" s="263"/>
      <c r="G3201" s="199"/>
      <c r="H3201" s="199"/>
      <c r="I3201" s="264"/>
      <c r="J3201" s="302"/>
      <c r="K3201" s="302"/>
    </row>
    <row r="3202" spans="1:14" x14ac:dyDescent="0.2">
      <c r="A3202" s="246" t="s">
        <v>210</v>
      </c>
      <c r="B3202" s="247" t="s">
        <v>60</v>
      </c>
      <c r="C3202" s="247" t="s">
        <v>211</v>
      </c>
      <c r="D3202" s="247" t="s">
        <v>233</v>
      </c>
      <c r="E3202" s="1276" t="s">
        <v>91</v>
      </c>
      <c r="F3202" s="1274"/>
      <c r="G3202" s="1275"/>
      <c r="H3202" s="1276" t="s">
        <v>198</v>
      </c>
      <c r="I3202" s="1275"/>
      <c r="J3202" s="302"/>
      <c r="K3202" s="302"/>
    </row>
    <row r="3203" spans="1:14" ht="22.5" x14ac:dyDescent="0.2">
      <c r="A3203" s="265" t="str">
        <f>VLOOKUP(B3203,mat.!$A:$D,2,FALSE)</f>
        <v>Tubo de PVC rígido D= 100mm (dreno) - vara 6m</v>
      </c>
      <c r="B3203" s="238">
        <v>10308</v>
      </c>
      <c r="C3203" s="266" t="str">
        <f>VLOOKUP(B3203,mat.!$A:$D,3,FALSE)</f>
        <v>vr</v>
      </c>
      <c r="D3203" s="267">
        <f>VLOOKUP(B3203,mat.!$A:$D,4,FALSE)</f>
        <v>70.930000000000007</v>
      </c>
      <c r="E3203" s="260"/>
      <c r="F3203" s="258"/>
      <c r="G3203" s="300">
        <v>0.5</v>
      </c>
      <c r="H3203" s="260"/>
      <c r="I3203" s="268">
        <f>TRUNC(D3203*G3203,2)</f>
        <v>35.46</v>
      </c>
      <c r="J3203" s="302"/>
      <c r="K3203" s="302"/>
    </row>
    <row r="3204" spans="1:14" x14ac:dyDescent="0.2">
      <c r="A3204" s="199"/>
      <c r="B3204" s="233"/>
      <c r="C3204" s="199"/>
      <c r="D3204" s="199"/>
      <c r="E3204" s="199"/>
      <c r="F3204" s="234" t="s">
        <v>212</v>
      </c>
      <c r="G3204" s="244"/>
      <c r="H3204" s="245"/>
      <c r="I3204" s="434">
        <f>SUM(I3203:I3203)</f>
        <v>35.46</v>
      </c>
      <c r="J3204" s="302"/>
      <c r="K3204" s="302"/>
    </row>
    <row r="3205" spans="1:14" x14ac:dyDescent="0.2">
      <c r="A3205" s="199"/>
      <c r="B3205" s="233"/>
      <c r="C3205" s="199"/>
      <c r="D3205" s="199"/>
      <c r="E3205" s="199"/>
      <c r="F3205" s="199"/>
      <c r="G3205" s="269"/>
      <c r="H3205" s="199"/>
      <c r="I3205" s="200"/>
      <c r="J3205" s="302"/>
      <c r="K3205" s="302"/>
    </row>
    <row r="3206" spans="1:14" x14ac:dyDescent="0.2">
      <c r="A3206" s="270" t="s">
        <v>213</v>
      </c>
      <c r="B3206" s="247" t="s">
        <v>60</v>
      </c>
      <c r="C3206" s="247" t="s">
        <v>211</v>
      </c>
      <c r="D3206" s="866" t="s">
        <v>233</v>
      </c>
      <c r="E3206" s="1276" t="s">
        <v>91</v>
      </c>
      <c r="F3206" s="1274"/>
      <c r="G3206" s="1275"/>
      <c r="H3206" s="1276" t="s">
        <v>198</v>
      </c>
      <c r="I3206" s="1275"/>
    </row>
    <row r="3207" spans="1:14" ht="33.75" x14ac:dyDescent="0.2">
      <c r="A3207" s="452" t="str">
        <f>VLOOKUP(B3207,'DER 10-18'!$A:$E,2,FALSE)</f>
        <v>Aço CA-50, fornecimento, dobragem e colocação nas formas (preço médio das bitolas)</v>
      </c>
      <c r="B3207" s="453">
        <v>40376</v>
      </c>
      <c r="C3207" s="453" t="str">
        <f>VLOOKUP(B3207,'DER 10-18'!$A:$E,3,FALSE)</f>
        <v>kg</v>
      </c>
      <c r="D3207" s="243">
        <f>TRUNC(VLOOKUP(B3207,'DER 10-18'!$A:$F,6,FALSE)/(1+$I$4),2)</f>
        <v>7.89</v>
      </c>
      <c r="E3207" s="455"/>
      <c r="F3207" s="456"/>
      <c r="G3207" s="457">
        <v>127</v>
      </c>
      <c r="H3207" s="458"/>
      <c r="I3207" s="459">
        <f t="shared" ref="I3207:I3212" si="34">TRUNC(D3207*G3207,2)</f>
        <v>1002.03</v>
      </c>
      <c r="J3207" s="451"/>
      <c r="K3207" s="451"/>
      <c r="L3207" s="198"/>
      <c r="M3207" s="198"/>
      <c r="N3207" s="198"/>
    </row>
    <row r="3208" spans="1:14" ht="22.5" x14ac:dyDescent="0.2">
      <c r="A3208" s="452" t="str">
        <f>VLOOKUP(B3208,'DER 10-18'!$A:$E,2,FALSE)</f>
        <v>Concreto de regularização, tudo incluído</v>
      </c>
      <c r="B3208" s="453">
        <v>40349</v>
      </c>
      <c r="C3208" s="453" t="str">
        <f>VLOOKUP(B3208,'DER 10-18'!$A:$E,3,FALSE)</f>
        <v>M3</v>
      </c>
      <c r="D3208" s="243">
        <f>TRUNC(VLOOKUP(B3208,'DER 10-18'!$A:$F,6,FALSE)/(1+$I$4),2)</f>
        <v>423.65</v>
      </c>
      <c r="E3208" s="455"/>
      <c r="F3208" s="456"/>
      <c r="G3208" s="457">
        <v>0.14000000000000001</v>
      </c>
      <c r="H3208" s="458"/>
      <c r="I3208" s="459">
        <f t="shared" si="34"/>
        <v>59.31</v>
      </c>
    </row>
    <row r="3209" spans="1:14" ht="22.5" x14ac:dyDescent="0.2">
      <c r="A3209" s="452" t="str">
        <f>VLOOKUP(B3209,'DER 10-18'!$A:$E,2,FALSE)</f>
        <v>Concreto estrutural fck = 20,0 MPa, tudo incluído</v>
      </c>
      <c r="B3209" s="453">
        <v>40360</v>
      </c>
      <c r="C3209" s="453" t="str">
        <f>VLOOKUP(B3209,'DER 10-18'!$A:$E,3,FALSE)</f>
        <v>M3</v>
      </c>
      <c r="D3209" s="243">
        <f>TRUNC(VLOOKUP(B3209,'DER 10-18'!$A:$F,6,FALSE)/(1+$I$4),2)</f>
        <v>540.1</v>
      </c>
      <c r="E3209" s="455"/>
      <c r="F3209" s="456"/>
      <c r="G3209" s="457">
        <v>2.11</v>
      </c>
      <c r="H3209" s="458"/>
      <c r="I3209" s="459">
        <f t="shared" si="34"/>
        <v>1139.6099999999999</v>
      </c>
    </row>
    <row r="3210" spans="1:14" ht="22.5" x14ac:dyDescent="0.2">
      <c r="A3210" s="452" t="str">
        <f>VLOOKUP(B3210,'DER 10-18'!$A:$E,2,FALSE)</f>
        <v>Escavação manual em mat. 1ª cat. H= 0,00 a 1,50 m</v>
      </c>
      <c r="B3210" s="453">
        <v>40258</v>
      </c>
      <c r="C3210" s="453" t="str">
        <f>VLOOKUP(B3210,'DER 10-18'!$A:$E,3,FALSE)</f>
        <v>M3</v>
      </c>
      <c r="D3210" s="243">
        <f>TRUNC(VLOOKUP(B3210,'DER 10-18'!$A:$F,6,FALSE)/(1+$I$4),2)</f>
        <v>52.61</v>
      </c>
      <c r="E3210" s="455"/>
      <c r="F3210" s="456"/>
      <c r="G3210" s="457">
        <v>10.87</v>
      </c>
      <c r="H3210" s="458"/>
      <c r="I3210" s="459">
        <f t="shared" si="34"/>
        <v>571.87</v>
      </c>
    </row>
    <row r="3211" spans="1:14" ht="45" x14ac:dyDescent="0.2">
      <c r="A3211" s="452" t="str">
        <f>VLOOKUP(B3211,'DER 10-18'!$A:$E,2,FALSE)</f>
        <v>Formas planas de madeira com 02 (dois) reaproveitamentos, inclusive fornecimento e transporte das madeiras</v>
      </c>
      <c r="B3211" s="453">
        <v>40312</v>
      </c>
      <c r="C3211" s="453" t="str">
        <f>VLOOKUP(B3211,'DER 10-18'!$A:$E,3,FALSE)</f>
        <v>M2</v>
      </c>
      <c r="D3211" s="243">
        <f>TRUNC(VLOOKUP(B3211,'DER 10-18'!$A:$F,6,FALSE)/(1+$I$4),2)</f>
        <v>75.55</v>
      </c>
      <c r="E3211" s="455"/>
      <c r="F3211" s="456"/>
      <c r="G3211" s="457">
        <v>24.76</v>
      </c>
      <c r="H3211" s="458"/>
      <c r="I3211" s="459">
        <f t="shared" si="34"/>
        <v>1870.61</v>
      </c>
    </row>
    <row r="3212" spans="1:14" ht="22.5" x14ac:dyDescent="0.2">
      <c r="A3212" s="452" t="str">
        <f>VLOOKUP(B3212,'DER 10-18'!$A:$E,2,FALSE)</f>
        <v>Reaterro de cavas c/ compactação manual (apiloamento)</v>
      </c>
      <c r="B3212" s="453">
        <v>40302</v>
      </c>
      <c r="C3212" s="453" t="str">
        <f>VLOOKUP(B3212,'DER 10-18'!$A:$E,3,FALSE)</f>
        <v>M3</v>
      </c>
      <c r="D3212" s="243">
        <f>TRUNC(VLOOKUP(B3212,'DER 10-18'!$A:$F,6,FALSE)/(1+$I$4),2)</f>
        <v>55.36</v>
      </c>
      <c r="E3212" s="455"/>
      <c r="F3212" s="456"/>
      <c r="G3212" s="457">
        <v>6.98</v>
      </c>
      <c r="H3212" s="458"/>
      <c r="I3212" s="459">
        <f t="shared" si="34"/>
        <v>386.41</v>
      </c>
    </row>
    <row r="3213" spans="1:14" x14ac:dyDescent="0.2">
      <c r="A3213" s="201"/>
      <c r="B3213" s="271"/>
      <c r="C3213" s="201"/>
      <c r="D3213" s="201"/>
      <c r="E3213" s="201"/>
      <c r="F3213" s="272" t="s">
        <v>214</v>
      </c>
      <c r="G3213" s="260"/>
      <c r="H3213" s="273"/>
      <c r="I3213" s="436">
        <f>SUM(I3207:I3212)</f>
        <v>5029.84</v>
      </c>
    </row>
    <row r="3214" spans="1:14" x14ac:dyDescent="0.2">
      <c r="A3214" s="201"/>
      <c r="B3214" s="271"/>
      <c r="C3214" s="201"/>
      <c r="D3214" s="201"/>
      <c r="E3214" s="201"/>
      <c r="F3214" s="201"/>
      <c r="G3214" s="201"/>
      <c r="H3214" s="201"/>
      <c r="I3214" s="201"/>
    </row>
    <row r="3215" spans="1:14" x14ac:dyDescent="0.2">
      <c r="A3215" s="274" t="s">
        <v>215</v>
      </c>
      <c r="B3215" s="275" t="s">
        <v>60</v>
      </c>
      <c r="C3215" s="275" t="s">
        <v>211</v>
      </c>
      <c r="D3215" s="275" t="s">
        <v>216</v>
      </c>
      <c r="E3215" s="275" t="s">
        <v>217</v>
      </c>
      <c r="F3215" s="275" t="s">
        <v>218</v>
      </c>
      <c r="G3215" s="275" t="s">
        <v>96</v>
      </c>
      <c r="H3215" s="275" t="s">
        <v>91</v>
      </c>
      <c r="I3215" s="275" t="s">
        <v>219</v>
      </c>
    </row>
    <row r="3216" spans="1:14" x14ac:dyDescent="0.2">
      <c r="A3216" s="248"/>
      <c r="B3216" s="238"/>
      <c r="C3216" s="238"/>
      <c r="D3216" s="276"/>
      <c r="E3216" s="277"/>
      <c r="F3216" s="277"/>
      <c r="G3216" s="243"/>
      <c r="H3216" s="278"/>
      <c r="I3216" s="243"/>
    </row>
    <row r="3217" spans="1:17" x14ac:dyDescent="0.2">
      <c r="A3217" s="201"/>
      <c r="B3217" s="271"/>
      <c r="C3217" s="201"/>
      <c r="D3217" s="201"/>
      <c r="E3217" s="201"/>
      <c r="F3217" s="272" t="s">
        <v>220</v>
      </c>
      <c r="G3217" s="244"/>
      <c r="H3217" s="279"/>
      <c r="I3217" s="438">
        <f>SUM(I3216:I3216)</f>
        <v>0</v>
      </c>
      <c r="K3217" s="302"/>
    </row>
    <row r="3218" spans="1:17" x14ac:dyDescent="0.2">
      <c r="A3218" s="201"/>
      <c r="B3218" s="271"/>
      <c r="C3218" s="201"/>
      <c r="D3218" s="201"/>
      <c r="E3218" s="201"/>
      <c r="F3218" s="201"/>
      <c r="G3218" s="201"/>
      <c r="H3218" s="201"/>
      <c r="I3218" s="202"/>
      <c r="K3218" s="302"/>
      <c r="P3218" s="372"/>
      <c r="Q3218" s="372"/>
    </row>
    <row r="3219" spans="1:17" x14ac:dyDescent="0.2">
      <c r="A3219" s="280"/>
      <c r="B3219" s="281"/>
      <c r="C3219" s="282"/>
      <c r="D3219" s="282"/>
      <c r="E3219" s="282"/>
      <c r="F3219" s="283" t="s">
        <v>221</v>
      </c>
      <c r="G3219" s="280"/>
      <c r="H3219" s="254"/>
      <c r="I3219" s="634">
        <f>+I3200+I3204+I3213+I3217</f>
        <v>5065.3</v>
      </c>
      <c r="K3219" s="302"/>
      <c r="P3219" s="372"/>
      <c r="Q3219" s="372"/>
    </row>
    <row r="3220" spans="1:17" x14ac:dyDescent="0.2">
      <c r="A3220" s="260"/>
      <c r="B3220" s="284"/>
      <c r="C3220" s="273"/>
      <c r="D3220" s="273"/>
      <c r="E3220" s="273"/>
      <c r="F3220" s="285" t="str">
        <f>CONCATENATE($H$3," ",$I$3)</f>
        <v>BDI: 23,32</v>
      </c>
      <c r="G3220" s="439"/>
      <c r="H3220" s="258"/>
      <c r="I3220" s="635">
        <f>+ROUND(I3219*$I$4,2)</f>
        <v>1181.23</v>
      </c>
      <c r="K3220" s="302"/>
      <c r="P3220" s="372"/>
      <c r="Q3220" s="372"/>
    </row>
    <row r="3221" spans="1:17" x14ac:dyDescent="0.2">
      <c r="A3221" s="244"/>
      <c r="B3221" s="286"/>
      <c r="C3221" s="279"/>
      <c r="D3221" s="279"/>
      <c r="E3221" s="279"/>
      <c r="F3221" s="287" t="s">
        <v>222</v>
      </c>
      <c r="G3221" s="440"/>
      <c r="H3221" s="245"/>
      <c r="I3221" s="1017">
        <f>+I3219+I3220</f>
        <v>6246.53</v>
      </c>
      <c r="K3221" s="302"/>
      <c r="P3221" s="372"/>
      <c r="Q3221" s="372"/>
    </row>
    <row r="3222" spans="1:17" x14ac:dyDescent="0.2">
      <c r="A3222" s="199"/>
      <c r="B3222" s="617"/>
      <c r="C3222" s="201"/>
      <c r="D3222" s="201"/>
      <c r="E3222" s="201"/>
      <c r="F3222" s="272"/>
      <c r="G3222" s="201"/>
      <c r="H3222" s="199"/>
      <c r="I3222" s="620"/>
      <c r="J3222" s="433" t="s">
        <v>60</v>
      </c>
      <c r="K3222" s="302"/>
      <c r="P3222" s="372"/>
      <c r="Q3222" s="372"/>
    </row>
    <row r="3223" spans="1:17" x14ac:dyDescent="0.2">
      <c r="A3223" s="1277" t="str">
        <f>$A$1</f>
        <v>COMPOSIÇÃO DE CUSTOS UNITÁRIOS</v>
      </c>
      <c r="B3223" s="1277"/>
      <c r="C3223" s="1277"/>
      <c r="D3223" s="1277"/>
      <c r="E3223" s="1277"/>
      <c r="F3223" s="1277"/>
      <c r="G3223" s="1277"/>
      <c r="H3223" s="1277"/>
      <c r="I3223" s="1277"/>
    </row>
    <row r="3224" spans="1:17" x14ac:dyDescent="0.2">
      <c r="A3224" s="232" t="str">
        <f>$A$2</f>
        <v>Tabela Referencial de Preços - DER-ES</v>
      </c>
      <c r="B3224" s="233"/>
      <c r="C3224" s="199"/>
      <c r="D3224" s="199"/>
      <c r="E3224" s="199"/>
      <c r="F3224" s="199"/>
      <c r="G3224" s="199"/>
      <c r="H3224" s="199"/>
      <c r="I3224" s="234" t="str">
        <f>$I$2</f>
        <v>Data Base: Outubro/2018</v>
      </c>
      <c r="J3224" s="433">
        <v>41528</v>
      </c>
      <c r="K3224" s="433">
        <f>VLOOKUP("Preço Unitário Total",F3226:I4251,4,FALSE)</f>
        <v>156.69</v>
      </c>
      <c r="L3224" s="302">
        <f>VLOOKUP(J3224,'DER 10-18'!A:E,5,FALSE)</f>
        <v>0</v>
      </c>
      <c r="M3224" s="302" t="str">
        <f>VLOOKUP(J3224,'DER 10-18'!$A:$D,2,FALSE)</f>
        <v>Galpão em peças de madeira 8x8cm e contravent. de 5x7cm, cobertura de telhas de fibroc. de 6mm, incl. ponto e cabo de alimentação da máquina</v>
      </c>
    </row>
    <row r="3225" spans="1:17" x14ac:dyDescent="0.2">
      <c r="A3225" s="1278" t="str">
        <f>+CONCATENATE("Serviço: ",J3224," ",VLOOKUP(J3224,'DER 10-18'!$A:$D,2,FALSE))</f>
        <v>Serviço: 41528 Galpão em peças de madeira 8x8cm e contravent. de 5x7cm, cobertura de telhas de fibroc. de 6mm, incl. ponto e cabo de alimentação da máquina</v>
      </c>
      <c r="B3225" s="1278"/>
      <c r="C3225" s="1278"/>
      <c r="D3225" s="1278"/>
      <c r="E3225" s="1278"/>
      <c r="F3225" s="1278"/>
      <c r="G3225" s="1278"/>
      <c r="H3225" s="1278"/>
      <c r="I3225" s="1278" t="str">
        <f>CONCATENATE("Unidade: ", VLOOKUP(J3224,'DER 10-18'!$A:$E,3,FALSE))</f>
        <v>Unidade: M2</v>
      </c>
    </row>
    <row r="3226" spans="1:17" x14ac:dyDescent="0.2">
      <c r="A3226" s="1279"/>
      <c r="B3226" s="1279"/>
      <c r="C3226" s="1279"/>
      <c r="D3226" s="1279"/>
      <c r="E3226" s="1279"/>
      <c r="F3226" s="1279"/>
      <c r="G3226" s="1279"/>
      <c r="H3226" s="1279"/>
      <c r="I3226" s="1279"/>
    </row>
    <row r="3227" spans="1:17" ht="22.5" x14ac:dyDescent="0.2">
      <c r="A3227" s="235" t="s">
        <v>192</v>
      </c>
      <c r="B3227" s="236" t="s">
        <v>60</v>
      </c>
      <c r="C3227" s="236" t="s">
        <v>193</v>
      </c>
      <c r="D3227" s="236" t="s">
        <v>194</v>
      </c>
      <c r="E3227" s="236" t="s">
        <v>195</v>
      </c>
      <c r="F3227" s="236" t="s">
        <v>196</v>
      </c>
      <c r="G3227" s="236" t="s">
        <v>197</v>
      </c>
      <c r="H3227" s="236" t="s">
        <v>91</v>
      </c>
      <c r="I3227" s="236" t="s">
        <v>198</v>
      </c>
    </row>
    <row r="3228" spans="1:17" x14ac:dyDescent="0.2">
      <c r="A3228" s="237"/>
      <c r="B3228" s="238"/>
      <c r="C3228" s="239"/>
      <c r="D3228" s="240"/>
      <c r="E3228" s="205"/>
      <c r="F3228" s="241"/>
      <c r="G3228" s="241"/>
      <c r="H3228" s="242"/>
      <c r="I3228" s="243"/>
    </row>
    <row r="3229" spans="1:17" x14ac:dyDescent="0.2">
      <c r="A3229" s="199"/>
      <c r="B3229" s="233"/>
      <c r="C3229" s="233"/>
      <c r="D3229" s="199"/>
      <c r="E3229" s="199"/>
      <c r="F3229" s="234" t="s">
        <v>199</v>
      </c>
      <c r="G3229" s="244"/>
      <c r="H3229" s="245"/>
      <c r="I3229" s="434">
        <f>SUM(I3228:I3228)</f>
        <v>0</v>
      </c>
    </row>
    <row r="3230" spans="1:17" x14ac:dyDescent="0.2">
      <c r="A3230" s="199"/>
      <c r="B3230" s="233"/>
      <c r="C3230" s="233"/>
      <c r="D3230" s="199"/>
      <c r="E3230" s="199"/>
      <c r="F3230" s="199"/>
      <c r="G3230" s="199"/>
      <c r="H3230" s="199"/>
      <c r="I3230" s="200"/>
    </row>
    <row r="3231" spans="1:17" x14ac:dyDescent="0.2">
      <c r="A3231" s="246" t="s">
        <v>200</v>
      </c>
      <c r="B3231" s="247" t="s">
        <v>60</v>
      </c>
      <c r="C3231" s="236" t="s">
        <v>1242</v>
      </c>
      <c r="D3231" s="247" t="s">
        <v>202</v>
      </c>
      <c r="E3231" s="1271" t="s">
        <v>91</v>
      </c>
      <c r="F3231" s="1272"/>
      <c r="G3231" s="1273"/>
      <c r="H3231" s="1276" t="s">
        <v>198</v>
      </c>
      <c r="I3231" s="1275"/>
    </row>
    <row r="3232" spans="1:17" x14ac:dyDescent="0.2">
      <c r="A3232" s="248"/>
      <c r="B3232" s="238"/>
      <c r="C3232" s="243"/>
      <c r="D3232" s="243"/>
      <c r="E3232" s="260"/>
      <c r="F3232" s="258"/>
      <c r="G3232" s="300"/>
      <c r="H3232" s="244"/>
      <c r="I3232" s="249"/>
    </row>
    <row r="3233" spans="1:17" x14ac:dyDescent="0.2">
      <c r="A3233" s="199"/>
      <c r="B3233" s="233"/>
      <c r="C3233" s="233"/>
      <c r="D3233" s="199"/>
      <c r="E3233" s="199"/>
      <c r="F3233" s="234" t="s">
        <v>203</v>
      </c>
      <c r="G3233" s="244"/>
      <c r="H3233" s="245"/>
      <c r="I3233" s="434">
        <f>SUM(I3232:I3232)</f>
        <v>0</v>
      </c>
    </row>
    <row r="3234" spans="1:17" x14ac:dyDescent="0.2">
      <c r="A3234" s="199"/>
      <c r="B3234" s="233"/>
      <c r="C3234" s="233"/>
      <c r="D3234" s="199"/>
      <c r="E3234" s="199"/>
      <c r="F3234" s="199"/>
      <c r="G3234" s="199"/>
      <c r="H3234" s="199"/>
      <c r="I3234" s="200"/>
    </row>
    <row r="3235" spans="1:17" s="198" customFormat="1" x14ac:dyDescent="0.2">
      <c r="A3235" s="250" t="s">
        <v>204</v>
      </c>
      <c r="B3235" s="247" t="s">
        <v>60</v>
      </c>
      <c r="C3235" s="866" t="s">
        <v>17</v>
      </c>
      <c r="D3235" s="247" t="s">
        <v>205</v>
      </c>
      <c r="E3235" s="247" t="s">
        <v>206</v>
      </c>
      <c r="F3235" s="247" t="s">
        <v>207</v>
      </c>
      <c r="G3235" s="1276" t="s">
        <v>96</v>
      </c>
      <c r="H3235" s="1274"/>
      <c r="I3235" s="1275"/>
      <c r="J3235" s="433"/>
      <c r="K3235" s="433"/>
      <c r="L3235" s="302"/>
      <c r="M3235" s="302"/>
      <c r="N3235" s="302"/>
      <c r="O3235" s="302"/>
      <c r="P3235" s="302"/>
      <c r="Q3235" s="302"/>
    </row>
    <row r="3236" spans="1:17" x14ac:dyDescent="0.2">
      <c r="A3236" s="248"/>
      <c r="B3236" s="238"/>
      <c r="C3236" s="243"/>
      <c r="D3236" s="239"/>
      <c r="E3236" s="251"/>
      <c r="F3236" s="251"/>
      <c r="G3236" s="244"/>
      <c r="H3236" s="245"/>
      <c r="I3236" s="249"/>
    </row>
    <row r="3237" spans="1:17" x14ac:dyDescent="0.2">
      <c r="A3237" s="199"/>
      <c r="B3237" s="233"/>
      <c r="C3237" s="199"/>
      <c r="D3237" s="199"/>
      <c r="E3237" s="199"/>
      <c r="F3237" s="234" t="s">
        <v>1170</v>
      </c>
      <c r="G3237" s="244"/>
      <c r="H3237" s="245"/>
      <c r="I3237" s="434">
        <f>SUM(I3236)</f>
        <v>0</v>
      </c>
    </row>
    <row r="3238" spans="1:17" x14ac:dyDescent="0.2">
      <c r="A3238" s="199"/>
      <c r="B3238" s="233"/>
      <c r="C3238" s="199"/>
      <c r="D3238" s="199"/>
      <c r="E3238" s="199"/>
      <c r="F3238" s="199"/>
      <c r="G3238" s="199"/>
      <c r="H3238" s="199"/>
      <c r="I3238" s="200"/>
    </row>
    <row r="3239" spans="1:17" x14ac:dyDescent="0.2">
      <c r="A3239" s="252"/>
      <c r="B3239" s="253"/>
      <c r="C3239" s="254"/>
      <c r="D3239" s="254"/>
      <c r="E3239" s="254"/>
      <c r="F3239" s="255" t="s">
        <v>208</v>
      </c>
      <c r="G3239" s="435"/>
      <c r="H3239" s="254"/>
      <c r="I3239" s="634">
        <f>+I3229+I3233+I3237</f>
        <v>0</v>
      </c>
    </row>
    <row r="3240" spans="1:17" x14ac:dyDescent="0.2">
      <c r="A3240" s="256"/>
      <c r="B3240" s="257"/>
      <c r="C3240" s="258"/>
      <c r="D3240" s="258"/>
      <c r="E3240" s="258"/>
      <c r="F3240" s="259" t="s">
        <v>209</v>
      </c>
      <c r="G3240" s="260"/>
      <c r="H3240" s="258"/>
      <c r="I3240" s="635">
        <v>1</v>
      </c>
    </row>
    <row r="3241" spans="1:17" x14ac:dyDescent="0.2">
      <c r="A3241" s="237"/>
      <c r="B3241" s="261"/>
      <c r="C3241" s="245"/>
      <c r="D3241" s="245"/>
      <c r="E3241" s="245"/>
      <c r="F3241" s="262" t="s">
        <v>232</v>
      </c>
      <c r="G3241" s="244"/>
      <c r="H3241" s="245"/>
      <c r="I3241" s="633">
        <f>TRUNC(I3239/I3240,2)</f>
        <v>0</v>
      </c>
      <c r="O3241" s="198"/>
    </row>
    <row r="3242" spans="1:17" x14ac:dyDescent="0.2">
      <c r="A3242" s="867"/>
      <c r="B3242" s="233"/>
      <c r="C3242" s="199"/>
      <c r="D3242" s="199"/>
      <c r="E3242" s="199"/>
      <c r="F3242" s="263"/>
      <c r="G3242" s="199"/>
      <c r="H3242" s="199"/>
      <c r="I3242" s="264"/>
      <c r="O3242" s="198"/>
    </row>
    <row r="3243" spans="1:17" x14ac:dyDescent="0.2">
      <c r="A3243" s="246" t="s">
        <v>210</v>
      </c>
      <c r="B3243" s="247" t="s">
        <v>60</v>
      </c>
      <c r="C3243" s="247" t="s">
        <v>211</v>
      </c>
      <c r="D3243" s="247" t="s">
        <v>233</v>
      </c>
      <c r="E3243" s="1276" t="s">
        <v>91</v>
      </c>
      <c r="F3243" s="1274"/>
      <c r="G3243" s="1275"/>
      <c r="H3243" s="1276" t="s">
        <v>198</v>
      </c>
      <c r="I3243" s="1275"/>
    </row>
    <row r="3244" spans="1:17" x14ac:dyDescent="0.2">
      <c r="A3244" s="265"/>
      <c r="B3244" s="238"/>
      <c r="C3244" s="266"/>
      <c r="D3244" s="267"/>
      <c r="E3244" s="260"/>
      <c r="F3244" s="258"/>
      <c r="G3244" s="300"/>
      <c r="H3244" s="260"/>
      <c r="I3244" s="268"/>
    </row>
    <row r="3245" spans="1:17" x14ac:dyDescent="0.2">
      <c r="A3245" s="199"/>
      <c r="B3245" s="233"/>
      <c r="C3245" s="199"/>
      <c r="D3245" s="199"/>
      <c r="E3245" s="199"/>
      <c r="F3245" s="234" t="s">
        <v>212</v>
      </c>
      <c r="G3245" s="244"/>
      <c r="H3245" s="245"/>
      <c r="I3245" s="434">
        <f>SUM(I3244:I3244)</f>
        <v>0</v>
      </c>
    </row>
    <row r="3246" spans="1:17" x14ac:dyDescent="0.2">
      <c r="A3246" s="199"/>
      <c r="B3246" s="233"/>
      <c r="C3246" s="199"/>
      <c r="D3246" s="199"/>
      <c r="E3246" s="199"/>
      <c r="F3246" s="199"/>
      <c r="G3246" s="269"/>
      <c r="H3246" s="199"/>
      <c r="I3246" s="200"/>
      <c r="J3246" s="451"/>
      <c r="K3246" s="451"/>
      <c r="L3246" s="198"/>
      <c r="M3246" s="198"/>
      <c r="N3246" s="198"/>
    </row>
    <row r="3247" spans="1:17" x14ac:dyDescent="0.2">
      <c r="A3247" s="467" t="s">
        <v>213</v>
      </c>
      <c r="B3247" s="468" t="s">
        <v>60</v>
      </c>
      <c r="C3247" s="468" t="s">
        <v>211</v>
      </c>
      <c r="D3247" s="869" t="s">
        <v>233</v>
      </c>
      <c r="E3247" s="1281" t="s">
        <v>91</v>
      </c>
      <c r="F3247" s="1282"/>
      <c r="G3247" s="1283"/>
      <c r="H3247" s="1284" t="s">
        <v>198</v>
      </c>
      <c r="I3247" s="1285"/>
      <c r="J3247" s="451"/>
      <c r="K3247" s="451"/>
      <c r="L3247" s="198"/>
      <c r="M3247" s="198"/>
      <c r="N3247" s="198"/>
    </row>
    <row r="3248" spans="1:17" x14ac:dyDescent="0.2">
      <c r="A3248" s="452"/>
      <c r="B3248" s="453"/>
      <c r="C3248" s="453"/>
      <c r="D3248" s="454"/>
      <c r="E3248" s="455"/>
      <c r="F3248" s="456"/>
      <c r="G3248" s="457"/>
      <c r="H3248" s="458"/>
      <c r="I3248" s="459"/>
    </row>
    <row r="3249" spans="1:13" x14ac:dyDescent="0.2">
      <c r="A3249" s="201"/>
      <c r="B3249" s="271"/>
      <c r="C3249" s="201"/>
      <c r="D3249" s="201"/>
      <c r="E3249" s="201"/>
      <c r="F3249" s="272" t="s">
        <v>214</v>
      </c>
      <c r="G3249" s="260"/>
      <c r="H3249" s="273"/>
      <c r="I3249" s="436">
        <f>SUM(I3248:I3248)</f>
        <v>0</v>
      </c>
    </row>
    <row r="3250" spans="1:13" x14ac:dyDescent="0.2">
      <c r="A3250" s="201"/>
      <c r="B3250" s="271"/>
      <c r="C3250" s="201"/>
      <c r="D3250" s="201"/>
      <c r="E3250" s="201"/>
      <c r="F3250" s="201"/>
      <c r="G3250" s="201"/>
      <c r="H3250" s="201"/>
      <c r="I3250" s="201"/>
    </row>
    <row r="3251" spans="1:13" x14ac:dyDescent="0.2">
      <c r="A3251" s="274" t="s">
        <v>215</v>
      </c>
      <c r="B3251" s="275" t="s">
        <v>60</v>
      </c>
      <c r="C3251" s="275" t="s">
        <v>211</v>
      </c>
      <c r="D3251" s="275" t="s">
        <v>216</v>
      </c>
      <c r="E3251" s="275" t="s">
        <v>217</v>
      </c>
      <c r="F3251" s="275" t="s">
        <v>218</v>
      </c>
      <c r="G3251" s="275" t="s">
        <v>96</v>
      </c>
      <c r="H3251" s="275" t="s">
        <v>91</v>
      </c>
      <c r="I3251" s="275" t="s">
        <v>219</v>
      </c>
      <c r="J3251" s="433" t="s">
        <v>1058</v>
      </c>
    </row>
    <row r="3252" spans="1:13" x14ac:dyDescent="0.2">
      <c r="A3252" s="248"/>
      <c r="B3252" s="238"/>
      <c r="C3252" s="238"/>
      <c r="D3252" s="437"/>
      <c r="E3252" s="277"/>
      <c r="F3252" s="277"/>
      <c r="G3252" s="243"/>
      <c r="H3252" s="278"/>
      <c r="I3252" s="243"/>
    </row>
    <row r="3253" spans="1:13" x14ac:dyDescent="0.2">
      <c r="A3253" s="201"/>
      <c r="B3253" s="271"/>
      <c r="C3253" s="201"/>
      <c r="D3253" s="201"/>
      <c r="E3253" s="201"/>
      <c r="F3253" s="272" t="s">
        <v>220</v>
      </c>
      <c r="G3253" s="244"/>
      <c r="H3253" s="279"/>
      <c r="I3253" s="438">
        <f>SUM(I3252:I3252)</f>
        <v>0</v>
      </c>
    </row>
    <row r="3254" spans="1:13" x14ac:dyDescent="0.2">
      <c r="A3254" s="201"/>
      <c r="B3254" s="271"/>
      <c r="C3254" s="201"/>
      <c r="D3254" s="201"/>
      <c r="E3254" s="201"/>
      <c r="F3254" s="201"/>
      <c r="G3254" s="201"/>
      <c r="H3254" s="201"/>
      <c r="I3254" s="202"/>
    </row>
    <row r="3255" spans="1:13" x14ac:dyDescent="0.2">
      <c r="A3255" s="280"/>
      <c r="B3255" s="281"/>
      <c r="C3255" s="282"/>
      <c r="D3255" s="282"/>
      <c r="E3255" s="282"/>
      <c r="F3255" s="283" t="s">
        <v>1095</v>
      </c>
      <c r="G3255" s="280"/>
      <c r="H3255" s="254"/>
      <c r="I3255" s="634">
        <v>127.06</v>
      </c>
    </row>
    <row r="3256" spans="1:13" x14ac:dyDescent="0.2">
      <c r="A3256" s="260"/>
      <c r="B3256" s="284"/>
      <c r="C3256" s="273"/>
      <c r="D3256" s="273"/>
      <c r="E3256" s="273"/>
      <c r="F3256" s="285" t="str">
        <f>CONCATENATE($H$3," ",$I$3)</f>
        <v>BDI: 23,32</v>
      </c>
      <c r="G3256" s="439"/>
      <c r="H3256" s="258"/>
      <c r="I3256" s="635">
        <f>+ROUND(I3255*$I$4,2)</f>
        <v>29.63</v>
      </c>
    </row>
    <row r="3257" spans="1:13" x14ac:dyDescent="0.2">
      <c r="A3257" s="244"/>
      <c r="B3257" s="286"/>
      <c r="C3257" s="279"/>
      <c r="D3257" s="279"/>
      <c r="E3257" s="279"/>
      <c r="F3257" s="287" t="s">
        <v>222</v>
      </c>
      <c r="G3257" s="440"/>
      <c r="H3257" s="245"/>
      <c r="I3257" s="1017">
        <f>+I3255+I3256</f>
        <v>156.69</v>
      </c>
    </row>
    <row r="3258" spans="1:13" x14ac:dyDescent="0.2">
      <c r="A3258" s="1277" t="str">
        <f>$A$1</f>
        <v>COMPOSIÇÃO DE CUSTOS UNITÁRIOS</v>
      </c>
      <c r="B3258" s="1277"/>
      <c r="C3258" s="1277"/>
      <c r="D3258" s="1277"/>
      <c r="E3258" s="1277"/>
      <c r="F3258" s="1277"/>
      <c r="G3258" s="1277"/>
      <c r="H3258" s="1277"/>
      <c r="I3258" s="1277"/>
    </row>
    <row r="3259" spans="1:13" x14ac:dyDescent="0.2">
      <c r="A3259" s="232" t="str">
        <f>$A$2</f>
        <v>Tabela Referencial de Preços - DER-ES</v>
      </c>
      <c r="B3259" s="233"/>
      <c r="C3259" s="199"/>
      <c r="D3259" s="199"/>
      <c r="E3259" s="199"/>
      <c r="F3259" s="199"/>
      <c r="G3259" s="199"/>
      <c r="H3259" s="199"/>
      <c r="I3259" s="234" t="str">
        <f>$I$2</f>
        <v>Data Base: Outubro/2018</v>
      </c>
      <c r="J3259" s="433">
        <v>41529</v>
      </c>
      <c r="K3259" s="433">
        <f>VLOOKUP("Preço Unitário Total",F3261:I4251,4,FALSE)</f>
        <v>21733.09</v>
      </c>
      <c r="L3259" s="302">
        <f>VLOOKUP(J3259,'DER 10-18'!A:E,5,FALSE)</f>
        <v>0</v>
      </c>
      <c r="M3259" s="302" t="str">
        <f>VLOOKUP(J3259,'DER 10-18'!$A:$D,2,FALSE)</f>
        <v>Sanitário e vestiário de 40/60 func., c/ 33,90m², paredes chapa compens. 12mm e pont. 8x8cm
, piso ciment., cobert. telha fibroc., incl. luz e cx. insp</v>
      </c>
    </row>
    <row r="3260" spans="1:13" x14ac:dyDescent="0.2">
      <c r="A3260" s="1278" t="str">
        <f>+CONCATENATE("Serviço: ",J3259," ",VLOOKUP(J3259,'DER 10-18'!$A:$D,2,FALSE))</f>
        <v>Serviço: 41529 Sanitário e vestiário de 40/60 func., c/ 33,90m², paredes chapa compens. 12mm e pont. 8x8cm
, piso ciment., cobert. telha fibroc., incl. luz e cx. insp</v>
      </c>
      <c r="B3260" s="1278"/>
      <c r="C3260" s="1278"/>
      <c r="D3260" s="1278"/>
      <c r="E3260" s="1278"/>
      <c r="F3260" s="1278"/>
      <c r="G3260" s="1278"/>
      <c r="H3260" s="1278"/>
      <c r="I3260" s="1278" t="str">
        <f>CONCATENATE("Unidade: ", VLOOKUP(J3259,'DER 10-18'!$A:$E,3,FALSE))</f>
        <v>Unidade: Ud</v>
      </c>
    </row>
    <row r="3261" spans="1:13" x14ac:dyDescent="0.2">
      <c r="A3261" s="1279"/>
      <c r="B3261" s="1279"/>
      <c r="C3261" s="1279"/>
      <c r="D3261" s="1279"/>
      <c r="E3261" s="1279"/>
      <c r="F3261" s="1279"/>
      <c r="G3261" s="1279"/>
      <c r="H3261" s="1279"/>
      <c r="I3261" s="1279"/>
    </row>
    <row r="3262" spans="1:13" ht="22.5" x14ac:dyDescent="0.2">
      <c r="A3262" s="235" t="s">
        <v>192</v>
      </c>
      <c r="B3262" s="236" t="s">
        <v>60</v>
      </c>
      <c r="C3262" s="236" t="s">
        <v>193</v>
      </c>
      <c r="D3262" s="236" t="s">
        <v>194</v>
      </c>
      <c r="E3262" s="236" t="s">
        <v>195</v>
      </c>
      <c r="F3262" s="236" t="s">
        <v>196</v>
      </c>
      <c r="G3262" s="236" t="s">
        <v>197</v>
      </c>
      <c r="H3262" s="236" t="s">
        <v>91</v>
      </c>
      <c r="I3262" s="236" t="s">
        <v>198</v>
      </c>
    </row>
    <row r="3263" spans="1:13" x14ac:dyDescent="0.2">
      <c r="A3263" s="237"/>
      <c r="B3263" s="238"/>
      <c r="C3263" s="239"/>
      <c r="D3263" s="240"/>
      <c r="E3263" s="205"/>
      <c r="F3263" s="241"/>
      <c r="G3263" s="241"/>
      <c r="H3263" s="242"/>
      <c r="I3263" s="243"/>
      <c r="J3263" s="302"/>
      <c r="K3263" s="302"/>
    </row>
    <row r="3264" spans="1:13" x14ac:dyDescent="0.2">
      <c r="A3264" s="199"/>
      <c r="B3264" s="233"/>
      <c r="C3264" s="233"/>
      <c r="D3264" s="199"/>
      <c r="E3264" s="199"/>
      <c r="F3264" s="234" t="s">
        <v>199</v>
      </c>
      <c r="G3264" s="244"/>
      <c r="H3264" s="245"/>
      <c r="I3264" s="434">
        <f>SUM(I3263:I3263)</f>
        <v>0</v>
      </c>
      <c r="J3264" s="302"/>
      <c r="K3264" s="302"/>
    </row>
    <row r="3265" spans="1:15" x14ac:dyDescent="0.2">
      <c r="A3265" s="199"/>
      <c r="B3265" s="233"/>
      <c r="C3265" s="233"/>
      <c r="D3265" s="199"/>
      <c r="E3265" s="199"/>
      <c r="F3265" s="199"/>
      <c r="G3265" s="199"/>
      <c r="H3265" s="199"/>
      <c r="I3265" s="200"/>
      <c r="J3265" s="302"/>
      <c r="K3265" s="302"/>
    </row>
    <row r="3266" spans="1:15" x14ac:dyDescent="0.2">
      <c r="A3266" s="246" t="s">
        <v>200</v>
      </c>
      <c r="B3266" s="247" t="s">
        <v>60</v>
      </c>
      <c r="C3266" s="236" t="s">
        <v>1242</v>
      </c>
      <c r="D3266" s="247" t="s">
        <v>202</v>
      </c>
      <c r="E3266" s="1271" t="s">
        <v>91</v>
      </c>
      <c r="F3266" s="1272"/>
      <c r="G3266" s="1273"/>
      <c r="H3266" s="1276" t="s">
        <v>198</v>
      </c>
      <c r="I3266" s="1275"/>
      <c r="J3266" s="302"/>
      <c r="K3266" s="302"/>
    </row>
    <row r="3267" spans="1:15" x14ac:dyDescent="0.2">
      <c r="A3267" s="248"/>
      <c r="B3267" s="238"/>
      <c r="C3267" s="243"/>
      <c r="D3267" s="243"/>
      <c r="E3267" s="260"/>
      <c r="F3267" s="258"/>
      <c r="G3267" s="300"/>
      <c r="H3267" s="244"/>
      <c r="I3267" s="249"/>
      <c r="J3267" s="302"/>
      <c r="K3267" s="302"/>
    </row>
    <row r="3268" spans="1:15" x14ac:dyDescent="0.2">
      <c r="A3268" s="199"/>
      <c r="B3268" s="233"/>
      <c r="C3268" s="233"/>
      <c r="D3268" s="199"/>
      <c r="E3268" s="199"/>
      <c r="F3268" s="234" t="s">
        <v>203</v>
      </c>
      <c r="G3268" s="244"/>
      <c r="H3268" s="245"/>
      <c r="I3268" s="434">
        <f>SUM(I3267:I3267)</f>
        <v>0</v>
      </c>
      <c r="J3268" s="302"/>
      <c r="K3268" s="302"/>
    </row>
    <row r="3269" spans="1:15" x14ac:dyDescent="0.2">
      <c r="A3269" s="199"/>
      <c r="B3269" s="233"/>
      <c r="C3269" s="233"/>
      <c r="D3269" s="199"/>
      <c r="E3269" s="199"/>
      <c r="F3269" s="199"/>
      <c r="G3269" s="199"/>
      <c r="H3269" s="199"/>
      <c r="I3269" s="200"/>
      <c r="J3269" s="302"/>
      <c r="K3269" s="302"/>
    </row>
    <row r="3270" spans="1:15" x14ac:dyDescent="0.2">
      <c r="A3270" s="250" t="s">
        <v>204</v>
      </c>
      <c r="B3270" s="247" t="s">
        <v>60</v>
      </c>
      <c r="C3270" s="866" t="s">
        <v>17</v>
      </c>
      <c r="D3270" s="247" t="s">
        <v>205</v>
      </c>
      <c r="E3270" s="247" t="s">
        <v>206</v>
      </c>
      <c r="F3270" s="247" t="s">
        <v>207</v>
      </c>
      <c r="G3270" s="1276" t="s">
        <v>96</v>
      </c>
      <c r="H3270" s="1274"/>
      <c r="I3270" s="1275"/>
      <c r="J3270" s="302"/>
      <c r="K3270" s="302"/>
    </row>
    <row r="3271" spans="1:15" x14ac:dyDescent="0.2">
      <c r="A3271" s="248"/>
      <c r="B3271" s="238"/>
      <c r="C3271" s="243"/>
      <c r="D3271" s="239"/>
      <c r="E3271" s="251"/>
      <c r="F3271" s="251"/>
      <c r="G3271" s="244"/>
      <c r="H3271" s="245"/>
      <c r="I3271" s="249"/>
      <c r="J3271" s="302"/>
      <c r="K3271" s="302"/>
    </row>
    <row r="3272" spans="1:15" x14ac:dyDescent="0.2">
      <c r="A3272" s="199"/>
      <c r="B3272" s="233"/>
      <c r="C3272" s="199"/>
      <c r="D3272" s="199"/>
      <c r="E3272" s="199"/>
      <c r="F3272" s="234" t="s">
        <v>1170</v>
      </c>
      <c r="G3272" s="244"/>
      <c r="H3272" s="245"/>
      <c r="I3272" s="434">
        <f>SUM(I3271)</f>
        <v>0</v>
      </c>
      <c r="J3272" s="302"/>
      <c r="K3272" s="302"/>
    </row>
    <row r="3273" spans="1:15" x14ac:dyDescent="0.2">
      <c r="A3273" s="199"/>
      <c r="B3273" s="233"/>
      <c r="C3273" s="199"/>
      <c r="D3273" s="199"/>
      <c r="E3273" s="199"/>
      <c r="F3273" s="199"/>
      <c r="G3273" s="199"/>
      <c r="H3273" s="199"/>
      <c r="I3273" s="200"/>
      <c r="J3273" s="302"/>
      <c r="K3273" s="302"/>
    </row>
    <row r="3274" spans="1:15" x14ac:dyDescent="0.2">
      <c r="A3274" s="252"/>
      <c r="B3274" s="253"/>
      <c r="C3274" s="254"/>
      <c r="D3274" s="254"/>
      <c r="E3274" s="254"/>
      <c r="F3274" s="255" t="s">
        <v>208</v>
      </c>
      <c r="G3274" s="435"/>
      <c r="H3274" s="254"/>
      <c r="I3274" s="634">
        <f>+I3264+I3268+I3272</f>
        <v>0</v>
      </c>
      <c r="J3274" s="302"/>
      <c r="K3274" s="302"/>
    </row>
    <row r="3275" spans="1:15" x14ac:dyDescent="0.2">
      <c r="A3275" s="256"/>
      <c r="B3275" s="257"/>
      <c r="C3275" s="258"/>
      <c r="D3275" s="258"/>
      <c r="E3275" s="258"/>
      <c r="F3275" s="259" t="s">
        <v>209</v>
      </c>
      <c r="G3275" s="260"/>
      <c r="H3275" s="258"/>
      <c r="I3275" s="635">
        <v>1</v>
      </c>
      <c r="J3275" s="302"/>
      <c r="K3275" s="302"/>
    </row>
    <row r="3276" spans="1:15" x14ac:dyDescent="0.2">
      <c r="A3276" s="237"/>
      <c r="B3276" s="261"/>
      <c r="C3276" s="245"/>
      <c r="D3276" s="245"/>
      <c r="E3276" s="245"/>
      <c r="F3276" s="262" t="s">
        <v>232</v>
      </c>
      <c r="G3276" s="244"/>
      <c r="H3276" s="245"/>
      <c r="I3276" s="633">
        <f>TRUNC(I3274/I3275,2)</f>
        <v>0</v>
      </c>
      <c r="J3276" s="302"/>
      <c r="K3276" s="302"/>
      <c r="O3276" s="198"/>
    </row>
    <row r="3277" spans="1:15" x14ac:dyDescent="0.2">
      <c r="A3277" s="867"/>
      <c r="B3277" s="233"/>
      <c r="C3277" s="199"/>
      <c r="D3277" s="199"/>
      <c r="E3277" s="199"/>
      <c r="F3277" s="263"/>
      <c r="G3277" s="199"/>
      <c r="H3277" s="199"/>
      <c r="I3277" s="264"/>
      <c r="J3277" s="302"/>
      <c r="K3277" s="302"/>
      <c r="O3277" s="198"/>
    </row>
    <row r="3278" spans="1:15" x14ac:dyDescent="0.2">
      <c r="A3278" s="246" t="s">
        <v>210</v>
      </c>
      <c r="B3278" s="247" t="s">
        <v>60</v>
      </c>
      <c r="C3278" s="247" t="s">
        <v>211</v>
      </c>
      <c r="D3278" s="247" t="s">
        <v>233</v>
      </c>
      <c r="E3278" s="1276" t="s">
        <v>91</v>
      </c>
      <c r="F3278" s="1274"/>
      <c r="G3278" s="1275"/>
      <c r="H3278" s="1276" t="s">
        <v>198</v>
      </c>
      <c r="I3278" s="1275"/>
      <c r="J3278" s="302"/>
      <c r="K3278" s="302"/>
    </row>
    <row r="3279" spans="1:15" x14ac:dyDescent="0.2">
      <c r="A3279" s="265"/>
      <c r="B3279" s="238"/>
      <c r="C3279" s="266"/>
      <c r="D3279" s="267"/>
      <c r="E3279" s="260"/>
      <c r="F3279" s="258"/>
      <c r="G3279" s="300"/>
      <c r="H3279" s="260"/>
      <c r="I3279" s="268"/>
    </row>
    <row r="3280" spans="1:15" x14ac:dyDescent="0.2">
      <c r="A3280" s="199"/>
      <c r="B3280" s="233"/>
      <c r="C3280" s="199"/>
      <c r="D3280" s="199"/>
      <c r="E3280" s="199"/>
      <c r="F3280" s="234" t="s">
        <v>212</v>
      </c>
      <c r="G3280" s="244"/>
      <c r="H3280" s="245"/>
      <c r="I3280" s="434">
        <f>SUM(I3279:I3279)</f>
        <v>0</v>
      </c>
    </row>
    <row r="3281" spans="1:17" ht="29.25" customHeight="1" x14ac:dyDescent="0.2">
      <c r="A3281" s="199"/>
      <c r="B3281" s="233"/>
      <c r="C3281" s="199"/>
      <c r="D3281" s="199"/>
      <c r="E3281" s="199"/>
      <c r="F3281" s="199"/>
      <c r="G3281" s="269"/>
      <c r="H3281" s="199"/>
      <c r="I3281" s="200"/>
      <c r="J3281" s="451"/>
      <c r="K3281" s="451"/>
      <c r="L3281" s="198"/>
      <c r="M3281" s="198"/>
      <c r="N3281" s="198"/>
    </row>
    <row r="3282" spans="1:17" x14ac:dyDescent="0.2">
      <c r="A3282" s="467" t="s">
        <v>213</v>
      </c>
      <c r="B3282" s="468" t="s">
        <v>60</v>
      </c>
      <c r="C3282" s="468" t="s">
        <v>211</v>
      </c>
      <c r="D3282" s="869" t="s">
        <v>233</v>
      </c>
      <c r="E3282" s="1281" t="s">
        <v>91</v>
      </c>
      <c r="F3282" s="1282"/>
      <c r="G3282" s="1283"/>
      <c r="H3282" s="1284" t="s">
        <v>198</v>
      </c>
      <c r="I3282" s="1285"/>
      <c r="J3282" s="451"/>
      <c r="K3282" s="451"/>
      <c r="L3282" s="198"/>
      <c r="M3282" s="198"/>
      <c r="N3282" s="198"/>
    </row>
    <row r="3283" spans="1:17" x14ac:dyDescent="0.2">
      <c r="A3283" s="452"/>
      <c r="B3283" s="453"/>
      <c r="C3283" s="453"/>
      <c r="D3283" s="454"/>
      <c r="E3283" s="455"/>
      <c r="F3283" s="456"/>
      <c r="G3283" s="457"/>
      <c r="H3283" s="458"/>
      <c r="I3283" s="459"/>
      <c r="P3283" s="198"/>
      <c r="Q3283" s="198"/>
    </row>
    <row r="3284" spans="1:17" x14ac:dyDescent="0.2">
      <c r="A3284" s="201"/>
      <c r="B3284" s="271"/>
      <c r="C3284" s="201"/>
      <c r="D3284" s="201"/>
      <c r="E3284" s="201"/>
      <c r="F3284" s="272" t="s">
        <v>214</v>
      </c>
      <c r="G3284" s="260"/>
      <c r="H3284" s="273"/>
      <c r="I3284" s="436">
        <f>SUM(I3283:I3283)</f>
        <v>0</v>
      </c>
      <c r="P3284" s="198"/>
      <c r="Q3284" s="198"/>
    </row>
    <row r="3285" spans="1:17" x14ac:dyDescent="0.2">
      <c r="A3285" s="201"/>
      <c r="B3285" s="271"/>
      <c r="C3285" s="201"/>
      <c r="D3285" s="201"/>
      <c r="E3285" s="201"/>
      <c r="F3285" s="201"/>
      <c r="G3285" s="201"/>
      <c r="H3285" s="201"/>
      <c r="I3285" s="201"/>
    </row>
    <row r="3286" spans="1:17" x14ac:dyDescent="0.2">
      <c r="A3286" s="274" t="s">
        <v>215</v>
      </c>
      <c r="B3286" s="275" t="s">
        <v>60</v>
      </c>
      <c r="C3286" s="275" t="s">
        <v>211</v>
      </c>
      <c r="D3286" s="275" t="s">
        <v>216</v>
      </c>
      <c r="E3286" s="275" t="s">
        <v>217</v>
      </c>
      <c r="F3286" s="275" t="s">
        <v>218</v>
      </c>
      <c r="G3286" s="275" t="s">
        <v>96</v>
      </c>
      <c r="H3286" s="275" t="s">
        <v>91</v>
      </c>
      <c r="I3286" s="275" t="s">
        <v>219</v>
      </c>
      <c r="J3286" s="433" t="s">
        <v>1058</v>
      </c>
    </row>
    <row r="3287" spans="1:17" x14ac:dyDescent="0.2">
      <c r="A3287" s="248"/>
      <c r="B3287" s="238"/>
      <c r="C3287" s="238"/>
      <c r="D3287" s="437"/>
      <c r="E3287" s="277"/>
      <c r="F3287" s="277"/>
      <c r="G3287" s="243"/>
      <c r="H3287" s="278"/>
      <c r="I3287" s="243"/>
    </row>
    <row r="3288" spans="1:17" x14ac:dyDescent="0.2">
      <c r="A3288" s="201"/>
      <c r="B3288" s="271"/>
      <c r="C3288" s="201"/>
      <c r="D3288" s="201"/>
      <c r="E3288" s="201"/>
      <c r="F3288" s="272" t="s">
        <v>220</v>
      </c>
      <c r="G3288" s="244"/>
      <c r="H3288" s="279"/>
      <c r="I3288" s="438">
        <f>SUM(I3287:I3287)</f>
        <v>0</v>
      </c>
    </row>
    <row r="3289" spans="1:17" x14ac:dyDescent="0.2">
      <c r="A3289" s="201"/>
      <c r="B3289" s="271"/>
      <c r="C3289" s="201"/>
      <c r="D3289" s="201"/>
      <c r="E3289" s="201"/>
      <c r="F3289" s="201"/>
      <c r="G3289" s="201"/>
      <c r="H3289" s="201"/>
      <c r="I3289" s="202"/>
    </row>
    <row r="3290" spans="1:17" x14ac:dyDescent="0.2">
      <c r="A3290" s="280"/>
      <c r="B3290" s="281"/>
      <c r="C3290" s="282"/>
      <c r="D3290" s="282"/>
      <c r="E3290" s="282"/>
      <c r="F3290" s="283" t="s">
        <v>1095</v>
      </c>
      <c r="G3290" s="280"/>
      <c r="H3290" s="254"/>
      <c r="I3290" s="634">
        <v>17623.330000000002</v>
      </c>
    </row>
    <row r="3291" spans="1:17" x14ac:dyDescent="0.2">
      <c r="A3291" s="260"/>
      <c r="B3291" s="284"/>
      <c r="C3291" s="273"/>
      <c r="D3291" s="273"/>
      <c r="E3291" s="273"/>
      <c r="F3291" s="285" t="str">
        <f>CONCATENATE($H$3," ",$I$3)</f>
        <v>BDI: 23,32</v>
      </c>
      <c r="G3291" s="439"/>
      <c r="H3291" s="258"/>
      <c r="I3291" s="635">
        <f>+ROUND(I3290*$I$4,2)</f>
        <v>4109.76</v>
      </c>
    </row>
    <row r="3292" spans="1:17" x14ac:dyDescent="0.2">
      <c r="A3292" s="244"/>
      <c r="B3292" s="286"/>
      <c r="C3292" s="279"/>
      <c r="D3292" s="279"/>
      <c r="E3292" s="279"/>
      <c r="F3292" s="287" t="s">
        <v>222</v>
      </c>
      <c r="G3292" s="440"/>
      <c r="H3292" s="639"/>
      <c r="I3292" s="1023">
        <f>+I3290+I3291</f>
        <v>21733.09</v>
      </c>
    </row>
    <row r="3293" spans="1:17" x14ac:dyDescent="0.2">
      <c r="A3293" s="1277" t="str">
        <f>$A$1</f>
        <v>COMPOSIÇÃO DE CUSTOS UNITÁRIOS</v>
      </c>
      <c r="B3293" s="1277"/>
      <c r="C3293" s="1277"/>
      <c r="D3293" s="1277"/>
      <c r="E3293" s="1277"/>
      <c r="F3293" s="1277"/>
      <c r="G3293" s="1277"/>
      <c r="H3293" s="1277"/>
      <c r="I3293" s="1277"/>
    </row>
    <row r="3294" spans="1:17" x14ac:dyDescent="0.2">
      <c r="A3294" s="232" t="str">
        <f>$A$2</f>
        <v>Tabela Referencial de Preços - DER-ES</v>
      </c>
      <c r="B3294" s="233"/>
      <c r="C3294" s="199"/>
      <c r="D3294" s="199"/>
      <c r="E3294" s="199"/>
      <c r="F3294" s="199"/>
      <c r="G3294" s="199"/>
      <c r="H3294" s="199"/>
      <c r="I3294" s="234" t="str">
        <f>$I$2</f>
        <v>Data Base: Outubro/2018</v>
      </c>
      <c r="J3294" s="433">
        <v>41530</v>
      </c>
      <c r="K3294" s="433">
        <f>VLOOKUP("Preço Unitário Total",F3296:I4251,4,FALSE)</f>
        <v>376.31</v>
      </c>
      <c r="L3294" s="302">
        <f>VLOOKUP(J3294,'DER 10-18'!A:E,5,FALSE)</f>
        <v>0</v>
      </c>
      <c r="M3294" s="302" t="str">
        <f>VLOOKUP(J3294,'DER 10-18'!$A:$D,2,FALSE)</f>
        <v>Refeitório c/ paredes chapa de comp. 12mm e pont. 8x8cm, piso ciment. e cob. telhas fibroc. 6mm, incl. ponto de luz e cx. de insp. (1,21m²/func/turno)</v>
      </c>
    </row>
    <row r="3295" spans="1:17" x14ac:dyDescent="0.2">
      <c r="A3295" s="1278" t="str">
        <f>+CONCATENATE("Serviço: ",J3294," ",VLOOKUP(J3294,'DER 10-18'!$A:$D,2,FALSE))</f>
        <v>Serviço: 41530 Refeitório c/ paredes chapa de comp. 12mm e pont. 8x8cm, piso ciment. e cob. telhas fibroc. 6mm, incl. ponto de luz e cx. de insp. (1,21m²/func/turno)</v>
      </c>
      <c r="B3295" s="1278"/>
      <c r="C3295" s="1278"/>
      <c r="D3295" s="1278"/>
      <c r="E3295" s="1278"/>
      <c r="F3295" s="1278"/>
      <c r="G3295" s="1278"/>
      <c r="H3295" s="1278"/>
      <c r="I3295" s="1278" t="str">
        <f>CONCATENATE("Unidade: ", VLOOKUP(J3294,'DER 10-18'!$A:$E,3,FALSE))</f>
        <v>Unidade: M2</v>
      </c>
      <c r="J3295" s="302"/>
      <c r="K3295" s="302"/>
    </row>
    <row r="3296" spans="1:17" x14ac:dyDescent="0.2">
      <c r="A3296" s="1279"/>
      <c r="B3296" s="1279"/>
      <c r="C3296" s="1279"/>
      <c r="D3296" s="1279"/>
      <c r="E3296" s="1279"/>
      <c r="F3296" s="1279"/>
      <c r="G3296" s="1279"/>
      <c r="H3296" s="1279"/>
      <c r="I3296" s="1279"/>
      <c r="J3296" s="302"/>
      <c r="K3296" s="302"/>
    </row>
    <row r="3297" spans="1:11" ht="22.5" x14ac:dyDescent="0.2">
      <c r="A3297" s="235" t="s">
        <v>192</v>
      </c>
      <c r="B3297" s="236" t="s">
        <v>60</v>
      </c>
      <c r="C3297" s="236" t="s">
        <v>193</v>
      </c>
      <c r="D3297" s="236" t="s">
        <v>194</v>
      </c>
      <c r="E3297" s="236" t="s">
        <v>195</v>
      </c>
      <c r="F3297" s="236" t="s">
        <v>196</v>
      </c>
      <c r="G3297" s="236" t="s">
        <v>197</v>
      </c>
      <c r="H3297" s="236" t="s">
        <v>91</v>
      </c>
      <c r="I3297" s="236" t="s">
        <v>198</v>
      </c>
      <c r="J3297" s="302"/>
      <c r="K3297" s="302"/>
    </row>
    <row r="3298" spans="1:11" x14ac:dyDescent="0.2">
      <c r="A3298" s="237"/>
      <c r="B3298" s="238"/>
      <c r="C3298" s="239"/>
      <c r="D3298" s="240"/>
      <c r="E3298" s="205"/>
      <c r="F3298" s="241"/>
      <c r="G3298" s="241"/>
      <c r="H3298" s="242"/>
      <c r="I3298" s="243"/>
      <c r="J3298" s="302"/>
      <c r="K3298" s="302"/>
    </row>
    <row r="3299" spans="1:11" x14ac:dyDescent="0.2">
      <c r="A3299" s="199"/>
      <c r="B3299" s="233"/>
      <c r="C3299" s="233"/>
      <c r="D3299" s="199"/>
      <c r="E3299" s="199"/>
      <c r="F3299" s="234" t="s">
        <v>199</v>
      </c>
      <c r="G3299" s="244"/>
      <c r="H3299" s="245"/>
      <c r="I3299" s="434">
        <f>SUM(I3298:I3298)</f>
        <v>0</v>
      </c>
      <c r="J3299" s="302"/>
      <c r="K3299" s="302"/>
    </row>
    <row r="3300" spans="1:11" x14ac:dyDescent="0.2">
      <c r="A3300" s="199"/>
      <c r="B3300" s="233"/>
      <c r="C3300" s="233"/>
      <c r="D3300" s="199"/>
      <c r="E3300" s="199"/>
      <c r="F3300" s="199"/>
      <c r="G3300" s="199"/>
      <c r="H3300" s="199"/>
      <c r="I3300" s="200"/>
      <c r="J3300" s="302"/>
      <c r="K3300" s="302"/>
    </row>
    <row r="3301" spans="1:11" x14ac:dyDescent="0.2">
      <c r="A3301" s="246" t="s">
        <v>200</v>
      </c>
      <c r="B3301" s="247" t="s">
        <v>60</v>
      </c>
      <c r="C3301" s="236" t="s">
        <v>1242</v>
      </c>
      <c r="D3301" s="247" t="s">
        <v>202</v>
      </c>
      <c r="E3301" s="1271" t="s">
        <v>91</v>
      </c>
      <c r="F3301" s="1272"/>
      <c r="G3301" s="1273"/>
      <c r="H3301" s="1276" t="s">
        <v>198</v>
      </c>
      <c r="I3301" s="1275"/>
      <c r="J3301" s="302"/>
      <c r="K3301" s="302"/>
    </row>
    <row r="3302" spans="1:11" x14ac:dyDescent="0.2">
      <c r="A3302" s="248"/>
      <c r="B3302" s="238"/>
      <c r="C3302" s="243"/>
      <c r="D3302" s="243"/>
      <c r="E3302" s="260"/>
      <c r="F3302" s="258"/>
      <c r="G3302" s="300"/>
      <c r="H3302" s="244"/>
      <c r="I3302" s="249"/>
      <c r="J3302" s="302"/>
      <c r="K3302" s="302"/>
    </row>
    <row r="3303" spans="1:11" x14ac:dyDescent="0.2">
      <c r="A3303" s="199"/>
      <c r="B3303" s="233"/>
      <c r="C3303" s="233"/>
      <c r="D3303" s="199"/>
      <c r="E3303" s="199"/>
      <c r="F3303" s="234" t="s">
        <v>203</v>
      </c>
      <c r="G3303" s="244"/>
      <c r="H3303" s="245"/>
      <c r="I3303" s="434">
        <f>SUM(I3302:I3302)</f>
        <v>0</v>
      </c>
      <c r="J3303" s="302"/>
      <c r="K3303" s="302"/>
    </row>
    <row r="3304" spans="1:11" x14ac:dyDescent="0.2">
      <c r="A3304" s="199"/>
      <c r="B3304" s="233"/>
      <c r="C3304" s="233"/>
      <c r="D3304" s="199"/>
      <c r="E3304" s="199"/>
      <c r="F3304" s="199"/>
      <c r="G3304" s="199"/>
      <c r="H3304" s="199"/>
      <c r="I3304" s="200"/>
      <c r="J3304" s="302"/>
      <c r="K3304" s="302"/>
    </row>
    <row r="3305" spans="1:11" x14ac:dyDescent="0.2">
      <c r="A3305" s="250" t="s">
        <v>204</v>
      </c>
      <c r="B3305" s="247" t="s">
        <v>60</v>
      </c>
      <c r="C3305" s="866" t="s">
        <v>17</v>
      </c>
      <c r="D3305" s="247" t="s">
        <v>205</v>
      </c>
      <c r="E3305" s="247" t="s">
        <v>206</v>
      </c>
      <c r="F3305" s="247" t="s">
        <v>207</v>
      </c>
      <c r="G3305" s="1276" t="s">
        <v>96</v>
      </c>
      <c r="H3305" s="1274"/>
      <c r="I3305" s="1275"/>
      <c r="J3305" s="302"/>
      <c r="K3305" s="302"/>
    </row>
    <row r="3306" spans="1:11" x14ac:dyDescent="0.2">
      <c r="A3306" s="248"/>
      <c r="B3306" s="238"/>
      <c r="C3306" s="243"/>
      <c r="D3306" s="239"/>
      <c r="E3306" s="251"/>
      <c r="F3306" s="251"/>
      <c r="G3306" s="244"/>
      <c r="H3306" s="245"/>
      <c r="I3306" s="249">
        <f>TRUNC(C3306/100*I3303,2)</f>
        <v>0</v>
      </c>
      <c r="J3306" s="302"/>
      <c r="K3306" s="302"/>
    </row>
    <row r="3307" spans="1:11" x14ac:dyDescent="0.2">
      <c r="A3307" s="199"/>
      <c r="B3307" s="233"/>
      <c r="C3307" s="199"/>
      <c r="D3307" s="199"/>
      <c r="E3307" s="199"/>
      <c r="F3307" s="234" t="s">
        <v>1170</v>
      </c>
      <c r="G3307" s="244"/>
      <c r="H3307" s="245"/>
      <c r="I3307" s="434">
        <f>SUM(I3306)</f>
        <v>0</v>
      </c>
      <c r="J3307" s="302"/>
      <c r="K3307" s="302"/>
    </row>
    <row r="3308" spans="1:11" x14ac:dyDescent="0.2">
      <c r="A3308" s="199"/>
      <c r="B3308" s="233"/>
      <c r="C3308" s="199"/>
      <c r="D3308" s="199"/>
      <c r="E3308" s="199"/>
      <c r="F3308" s="199"/>
      <c r="G3308" s="199"/>
      <c r="H3308" s="199"/>
      <c r="I3308" s="200"/>
      <c r="J3308" s="302"/>
      <c r="K3308" s="302"/>
    </row>
    <row r="3309" spans="1:11" x14ac:dyDescent="0.2">
      <c r="A3309" s="252"/>
      <c r="B3309" s="253"/>
      <c r="C3309" s="254"/>
      <c r="D3309" s="254"/>
      <c r="E3309" s="254"/>
      <c r="F3309" s="255" t="s">
        <v>208</v>
      </c>
      <c r="G3309" s="435"/>
      <c r="H3309" s="254"/>
      <c r="I3309" s="634">
        <f>+I3299+I3303+I3307</f>
        <v>0</v>
      </c>
      <c r="J3309" s="302"/>
      <c r="K3309" s="302"/>
    </row>
    <row r="3310" spans="1:11" x14ac:dyDescent="0.2">
      <c r="A3310" s="256"/>
      <c r="B3310" s="257"/>
      <c r="C3310" s="258"/>
      <c r="D3310" s="258"/>
      <c r="E3310" s="258"/>
      <c r="F3310" s="259" t="s">
        <v>209</v>
      </c>
      <c r="G3310" s="260"/>
      <c r="H3310" s="258"/>
      <c r="I3310" s="635">
        <v>1</v>
      </c>
      <c r="J3310" s="302"/>
      <c r="K3310" s="302"/>
    </row>
    <row r="3311" spans="1:11" x14ac:dyDescent="0.2">
      <c r="A3311" s="237"/>
      <c r="B3311" s="261"/>
      <c r="C3311" s="245"/>
      <c r="D3311" s="245"/>
      <c r="E3311" s="245"/>
      <c r="F3311" s="262" t="s">
        <v>232</v>
      </c>
      <c r="G3311" s="244"/>
      <c r="H3311" s="245"/>
      <c r="I3311" s="633">
        <f>TRUNC(I3309/I3310,2)</f>
        <v>0</v>
      </c>
    </row>
    <row r="3312" spans="1:11" x14ac:dyDescent="0.2">
      <c r="A3312" s="867"/>
      <c r="B3312" s="233"/>
      <c r="C3312" s="199"/>
      <c r="D3312" s="199"/>
      <c r="E3312" s="199"/>
      <c r="F3312" s="263"/>
      <c r="G3312" s="199"/>
      <c r="H3312" s="199"/>
      <c r="I3312" s="264"/>
    </row>
    <row r="3313" spans="1:17" x14ac:dyDescent="0.2">
      <c r="A3313" s="246" t="s">
        <v>210</v>
      </c>
      <c r="B3313" s="247" t="s">
        <v>60</v>
      </c>
      <c r="C3313" s="247" t="s">
        <v>211</v>
      </c>
      <c r="D3313" s="247" t="s">
        <v>233</v>
      </c>
      <c r="E3313" s="1276" t="s">
        <v>91</v>
      </c>
      <c r="F3313" s="1274"/>
      <c r="G3313" s="1275"/>
      <c r="H3313" s="1276" t="s">
        <v>198</v>
      </c>
      <c r="I3313" s="1275"/>
      <c r="O3313" s="198"/>
    </row>
    <row r="3314" spans="1:17" x14ac:dyDescent="0.2">
      <c r="A3314" s="265"/>
      <c r="B3314" s="238"/>
      <c r="C3314" s="266"/>
      <c r="D3314" s="267"/>
      <c r="E3314" s="260"/>
      <c r="F3314" s="258"/>
      <c r="G3314" s="300"/>
      <c r="H3314" s="260"/>
      <c r="I3314" s="268"/>
      <c r="O3314" s="198"/>
    </row>
    <row r="3315" spans="1:17" ht="33.75" customHeight="1" x14ac:dyDescent="0.2">
      <c r="A3315" s="199"/>
      <c r="B3315" s="233"/>
      <c r="C3315" s="199"/>
      <c r="D3315" s="199"/>
      <c r="E3315" s="199"/>
      <c r="F3315" s="234" t="s">
        <v>212</v>
      </c>
      <c r="G3315" s="244"/>
      <c r="H3315" s="245"/>
      <c r="I3315" s="434">
        <f>SUM(I3314:I3314)</f>
        <v>0</v>
      </c>
    </row>
    <row r="3316" spans="1:17" x14ac:dyDescent="0.2">
      <c r="A3316" s="199"/>
      <c r="B3316" s="233"/>
      <c r="C3316" s="199"/>
      <c r="D3316" s="199"/>
      <c r="E3316" s="199"/>
      <c r="F3316" s="199"/>
      <c r="G3316" s="269"/>
      <c r="H3316" s="199"/>
      <c r="I3316" s="200"/>
      <c r="J3316" s="451"/>
      <c r="K3316" s="451"/>
      <c r="L3316" s="198"/>
      <c r="M3316" s="198"/>
      <c r="N3316" s="198"/>
    </row>
    <row r="3317" spans="1:17" x14ac:dyDescent="0.2">
      <c r="A3317" s="467" t="s">
        <v>213</v>
      </c>
      <c r="B3317" s="468" t="s">
        <v>60</v>
      </c>
      <c r="C3317" s="468" t="s">
        <v>211</v>
      </c>
      <c r="D3317" s="869" t="s">
        <v>233</v>
      </c>
      <c r="E3317" s="1281" t="s">
        <v>91</v>
      </c>
      <c r="F3317" s="1282"/>
      <c r="G3317" s="1283"/>
      <c r="H3317" s="1284" t="s">
        <v>198</v>
      </c>
      <c r="I3317" s="1285"/>
      <c r="J3317" s="451"/>
      <c r="K3317" s="451"/>
      <c r="L3317" s="198"/>
      <c r="M3317" s="198"/>
      <c r="N3317" s="198"/>
    </row>
    <row r="3318" spans="1:17" x14ac:dyDescent="0.2">
      <c r="A3318" s="452"/>
      <c r="B3318" s="453"/>
      <c r="C3318" s="453"/>
      <c r="D3318" s="454"/>
      <c r="E3318" s="455"/>
      <c r="F3318" s="456"/>
      <c r="G3318" s="457"/>
      <c r="H3318" s="458"/>
      <c r="I3318" s="459"/>
      <c r="P3318" s="198"/>
      <c r="Q3318" s="198"/>
    </row>
    <row r="3319" spans="1:17" x14ac:dyDescent="0.2">
      <c r="A3319" s="201"/>
      <c r="B3319" s="271"/>
      <c r="C3319" s="201"/>
      <c r="D3319" s="201"/>
      <c r="E3319" s="201"/>
      <c r="F3319" s="272" t="s">
        <v>214</v>
      </c>
      <c r="G3319" s="260"/>
      <c r="H3319" s="273"/>
      <c r="I3319" s="436">
        <f>SUM(I3318:I3318)</f>
        <v>0</v>
      </c>
      <c r="P3319" s="198"/>
      <c r="Q3319" s="198"/>
    </row>
    <row r="3320" spans="1:17" x14ac:dyDescent="0.2">
      <c r="A3320" s="201"/>
      <c r="B3320" s="271"/>
      <c r="C3320" s="201"/>
      <c r="D3320" s="201"/>
      <c r="E3320" s="201"/>
      <c r="F3320" s="201"/>
      <c r="G3320" s="201"/>
      <c r="H3320" s="201"/>
      <c r="I3320" s="201"/>
    </row>
    <row r="3321" spans="1:17" x14ac:dyDescent="0.2">
      <c r="A3321" s="274" t="s">
        <v>215</v>
      </c>
      <c r="B3321" s="275" t="s">
        <v>60</v>
      </c>
      <c r="C3321" s="275" t="s">
        <v>211</v>
      </c>
      <c r="D3321" s="275" t="s">
        <v>216</v>
      </c>
      <c r="E3321" s="275" t="s">
        <v>217</v>
      </c>
      <c r="F3321" s="275" t="s">
        <v>218</v>
      </c>
      <c r="G3321" s="275" t="s">
        <v>96</v>
      </c>
      <c r="H3321" s="275" t="s">
        <v>91</v>
      </c>
      <c r="I3321" s="275" t="s">
        <v>219</v>
      </c>
      <c r="J3321" s="433" t="s">
        <v>1058</v>
      </c>
    </row>
    <row r="3322" spans="1:17" x14ac:dyDescent="0.2">
      <c r="A3322" s="248"/>
      <c r="B3322" s="238"/>
      <c r="C3322" s="238"/>
      <c r="D3322" s="437"/>
      <c r="E3322" s="277"/>
      <c r="F3322" s="277"/>
      <c r="G3322" s="243"/>
      <c r="H3322" s="278"/>
      <c r="I3322" s="243"/>
    </row>
    <row r="3323" spans="1:17" x14ac:dyDescent="0.2">
      <c r="A3323" s="201"/>
      <c r="B3323" s="271"/>
      <c r="C3323" s="201"/>
      <c r="D3323" s="201"/>
      <c r="E3323" s="201"/>
      <c r="F3323" s="272" t="s">
        <v>220</v>
      </c>
      <c r="G3323" s="244"/>
      <c r="H3323" s="279"/>
      <c r="I3323" s="438">
        <f>SUM(I3322:I3322)</f>
        <v>0</v>
      </c>
    </row>
    <row r="3324" spans="1:17" x14ac:dyDescent="0.2">
      <c r="A3324" s="201"/>
      <c r="B3324" s="271"/>
      <c r="C3324" s="201"/>
      <c r="D3324" s="201"/>
      <c r="E3324" s="201"/>
      <c r="F3324" s="201"/>
      <c r="G3324" s="201"/>
      <c r="H3324" s="201"/>
      <c r="I3324" s="202"/>
    </row>
    <row r="3325" spans="1:17" x14ac:dyDescent="0.2">
      <c r="A3325" s="280"/>
      <c r="B3325" s="281"/>
      <c r="C3325" s="282"/>
      <c r="D3325" s="282"/>
      <c r="E3325" s="282"/>
      <c r="F3325" s="283" t="s">
        <v>1095</v>
      </c>
      <c r="G3325" s="280"/>
      <c r="H3325" s="254"/>
      <c r="I3325" s="634">
        <v>305.14999999999998</v>
      </c>
    </row>
    <row r="3326" spans="1:17" x14ac:dyDescent="0.2">
      <c r="A3326" s="260"/>
      <c r="B3326" s="284"/>
      <c r="C3326" s="273"/>
      <c r="D3326" s="273"/>
      <c r="E3326" s="273"/>
      <c r="F3326" s="285" t="str">
        <f>CONCATENATE($H$3," ",$I$3)</f>
        <v>BDI: 23,32</v>
      </c>
      <c r="G3326" s="439"/>
      <c r="H3326" s="258"/>
      <c r="I3326" s="635">
        <f>+ROUND(I3325*$I$4,2)</f>
        <v>71.16</v>
      </c>
    </row>
    <row r="3327" spans="1:17" x14ac:dyDescent="0.2">
      <c r="A3327" s="244"/>
      <c r="B3327" s="286"/>
      <c r="C3327" s="279"/>
      <c r="D3327" s="279"/>
      <c r="E3327" s="279"/>
      <c r="F3327" s="287" t="s">
        <v>222</v>
      </c>
      <c r="G3327" s="440"/>
      <c r="H3327" s="245"/>
      <c r="I3327" s="1017">
        <f>+I3325+I3326</f>
        <v>376.31</v>
      </c>
    </row>
    <row r="3328" spans="1:17" x14ac:dyDescent="0.2">
      <c r="A3328" s="199"/>
      <c r="B3328" s="617"/>
      <c r="C3328" s="201"/>
      <c r="D3328" s="201"/>
      <c r="E3328" s="201"/>
      <c r="F3328" s="272"/>
      <c r="G3328" s="201"/>
      <c r="H3328" s="199"/>
      <c r="I3328" s="620"/>
    </row>
    <row r="3329" spans="1:13" x14ac:dyDescent="0.2">
      <c r="A3329" s="1277" t="str">
        <f>$A$1</f>
        <v>COMPOSIÇÃO DE CUSTOS UNITÁRIOS</v>
      </c>
      <c r="B3329" s="1277"/>
      <c r="C3329" s="1277"/>
      <c r="D3329" s="1277"/>
      <c r="E3329" s="1277"/>
      <c r="F3329" s="1277"/>
      <c r="G3329" s="1277"/>
      <c r="H3329" s="1277"/>
      <c r="I3329" s="1277"/>
    </row>
    <row r="3330" spans="1:13" x14ac:dyDescent="0.2">
      <c r="A3330" s="232" t="str">
        <f>$A$2</f>
        <v>Tabela Referencial de Preços - DER-ES</v>
      </c>
      <c r="B3330" s="233"/>
      <c r="C3330" s="199"/>
      <c r="D3330" s="199"/>
      <c r="E3330" s="199"/>
      <c r="F3330" s="199"/>
      <c r="G3330" s="199"/>
      <c r="H3330" s="199"/>
      <c r="I3330" s="234" t="str">
        <f>$I$2</f>
        <v>Data Base: Outubro/2018</v>
      </c>
      <c r="J3330" s="433">
        <v>40376</v>
      </c>
      <c r="K3330" s="433">
        <f>VLOOKUP("Preço Unitário Total",F3332:I4251,4,FALSE)</f>
        <v>9.73</v>
      </c>
      <c r="L3330" s="302">
        <f>VLOOKUP(J3330,'DER 10-18'!A:E,5,FALSE)</f>
        <v>0</v>
      </c>
      <c r="M3330" s="302" t="str">
        <f>VLOOKUP(J3330,'DER 10-18'!$A:$D,2,FALSE)</f>
        <v>Aço CA-50, fornecimento, dobragem e colocação nas formas (preço médio das bitolas)</v>
      </c>
    </row>
    <row r="3331" spans="1:13" x14ac:dyDescent="0.2">
      <c r="A3331" s="1278" t="str">
        <f>+CONCATENATE("Serviço: ",J3330," ",VLOOKUP(J3330,'DER 10-18'!$A:$D,2,FALSE))</f>
        <v>Serviço: 40376 Aço CA-50, fornecimento, dobragem e colocação nas formas (preço médio das bitolas)</v>
      </c>
      <c r="B3331" s="1278"/>
      <c r="C3331" s="1278"/>
      <c r="D3331" s="1278"/>
      <c r="E3331" s="1278"/>
      <c r="F3331" s="1278"/>
      <c r="G3331" s="1278"/>
      <c r="H3331" s="1278"/>
      <c r="I3331" s="1278" t="str">
        <f>CONCATENATE("Unidade: ", VLOOKUP(J3330,'DER 10-18'!$A:$E,3,FALSE))</f>
        <v>Unidade: kg</v>
      </c>
    </row>
    <row r="3332" spans="1:13" x14ac:dyDescent="0.2">
      <c r="A3332" s="1279"/>
      <c r="B3332" s="1279"/>
      <c r="C3332" s="1279"/>
      <c r="D3332" s="1279"/>
      <c r="E3332" s="1279"/>
      <c r="F3332" s="1279"/>
      <c r="G3332" s="1279"/>
      <c r="H3332" s="1279"/>
      <c r="I3332" s="1279"/>
    </row>
    <row r="3333" spans="1:13" ht="22.5" x14ac:dyDescent="0.2">
      <c r="A3333" s="235" t="s">
        <v>192</v>
      </c>
      <c r="B3333" s="236" t="s">
        <v>60</v>
      </c>
      <c r="C3333" s="236" t="s">
        <v>193</v>
      </c>
      <c r="D3333" s="236" t="s">
        <v>194</v>
      </c>
      <c r="E3333" s="236" t="s">
        <v>195</v>
      </c>
      <c r="F3333" s="236" t="s">
        <v>196</v>
      </c>
      <c r="G3333" s="236" t="s">
        <v>197</v>
      </c>
      <c r="H3333" s="236" t="s">
        <v>91</v>
      </c>
      <c r="I3333" s="236" t="s">
        <v>198</v>
      </c>
      <c r="J3333" s="302"/>
      <c r="K3333" s="302"/>
    </row>
    <row r="3334" spans="1:13" x14ac:dyDescent="0.2">
      <c r="A3334" s="237"/>
      <c r="B3334" s="238"/>
      <c r="C3334" s="239"/>
      <c r="D3334" s="240"/>
      <c r="E3334" s="205"/>
      <c r="F3334" s="241"/>
      <c r="G3334" s="241"/>
      <c r="H3334" s="242"/>
      <c r="I3334" s="243"/>
      <c r="J3334" s="302"/>
      <c r="K3334" s="302"/>
    </row>
    <row r="3335" spans="1:13" x14ac:dyDescent="0.2">
      <c r="A3335" s="199"/>
      <c r="B3335" s="233"/>
      <c r="C3335" s="233"/>
      <c r="D3335" s="199"/>
      <c r="E3335" s="199"/>
      <c r="F3335" s="234" t="s">
        <v>199</v>
      </c>
      <c r="G3335" s="244"/>
      <c r="H3335" s="245"/>
      <c r="I3335" s="434">
        <f>SUM(I3334:I3334)</f>
        <v>0</v>
      </c>
      <c r="J3335" s="302"/>
      <c r="K3335" s="302"/>
    </row>
    <row r="3336" spans="1:13" x14ac:dyDescent="0.2">
      <c r="A3336" s="199"/>
      <c r="B3336" s="233"/>
      <c r="C3336" s="233"/>
      <c r="D3336" s="199"/>
      <c r="E3336" s="199"/>
      <c r="F3336" s="199"/>
      <c r="G3336" s="199"/>
      <c r="H3336" s="199"/>
      <c r="I3336" s="200"/>
      <c r="J3336" s="302"/>
      <c r="K3336" s="302"/>
    </row>
    <row r="3337" spans="1:13" x14ac:dyDescent="0.2">
      <c r="A3337" s="246" t="s">
        <v>200</v>
      </c>
      <c r="B3337" s="247" t="s">
        <v>60</v>
      </c>
      <c r="C3337" s="236" t="s">
        <v>1242</v>
      </c>
      <c r="D3337" s="247" t="s">
        <v>202</v>
      </c>
      <c r="E3337" s="1271" t="s">
        <v>91</v>
      </c>
      <c r="F3337" s="1272"/>
      <c r="G3337" s="1273"/>
      <c r="H3337" s="1276" t="s">
        <v>198</v>
      </c>
      <c r="I3337" s="1275"/>
      <c r="J3337" s="302"/>
      <c r="K3337" s="302"/>
    </row>
    <row r="3338" spans="1:13" x14ac:dyDescent="0.2">
      <c r="A3338" s="248" t="str">
        <f>VLOOKUP(B3338,m.o.!$A:$H,2,FALSE)</f>
        <v>Armador</v>
      </c>
      <c r="B3338" s="238">
        <v>20020</v>
      </c>
      <c r="C3338" s="243">
        <f>VLOOKUP(B3338,m.o.!$A:$F,4,FALSE)</f>
        <v>1.24</v>
      </c>
      <c r="D3338" s="243">
        <f>VLOOKUP(B3338,m.o.!$A:$G,7,FALSE)</f>
        <v>14.43</v>
      </c>
      <c r="E3338" s="260"/>
      <c r="F3338" s="258"/>
      <c r="G3338" s="300">
        <v>10</v>
      </c>
      <c r="H3338" s="244"/>
      <c r="I3338" s="249">
        <f>TRUNC(D3338*G3338,2)</f>
        <v>144.30000000000001</v>
      </c>
      <c r="J3338" s="302"/>
      <c r="K3338" s="302"/>
    </row>
    <row r="3339" spans="1:13" x14ac:dyDescent="0.2">
      <c r="A3339" s="248" t="str">
        <f>VLOOKUP(B3339,m.o.!$A:$H,2,FALSE)</f>
        <v>Operário braçal</v>
      </c>
      <c r="B3339" s="238">
        <v>20107</v>
      </c>
      <c r="C3339" s="243">
        <f>VLOOKUP(B3339,m.o.!$A:$F,4,FALSE)</f>
        <v>1.02</v>
      </c>
      <c r="D3339" s="243">
        <f>VLOOKUP(B3339,m.o.!$A:$G,7,FALSE)</f>
        <v>11.87</v>
      </c>
      <c r="E3339" s="260"/>
      <c r="F3339" s="258"/>
      <c r="G3339" s="300">
        <v>10</v>
      </c>
      <c r="H3339" s="244"/>
      <c r="I3339" s="249">
        <f>TRUNC(D3339*G3339,2)</f>
        <v>118.7</v>
      </c>
      <c r="J3339" s="302"/>
      <c r="K3339" s="302"/>
    </row>
    <row r="3340" spans="1:13" x14ac:dyDescent="0.2">
      <c r="A3340" s="199"/>
      <c r="B3340" s="233"/>
      <c r="C3340" s="233"/>
      <c r="D3340" s="199"/>
      <c r="E3340" s="199"/>
      <c r="F3340" s="234" t="s">
        <v>203</v>
      </c>
      <c r="G3340" s="244"/>
      <c r="H3340" s="245"/>
      <c r="I3340" s="434">
        <f>SUM(I3338:I3339)</f>
        <v>263</v>
      </c>
      <c r="J3340" s="302"/>
      <c r="K3340" s="302"/>
    </row>
    <row r="3341" spans="1:13" x14ac:dyDescent="0.2">
      <c r="A3341" s="199"/>
      <c r="B3341" s="233"/>
      <c r="C3341" s="233"/>
      <c r="D3341" s="199"/>
      <c r="E3341" s="199"/>
      <c r="F3341" s="199"/>
      <c r="G3341" s="199"/>
      <c r="H3341" s="199"/>
      <c r="I3341" s="200"/>
      <c r="J3341" s="302"/>
      <c r="K3341" s="302"/>
    </row>
    <row r="3342" spans="1:13" x14ac:dyDescent="0.2">
      <c r="A3342" s="250" t="s">
        <v>204</v>
      </c>
      <c r="B3342" s="247" t="s">
        <v>60</v>
      </c>
      <c r="C3342" s="866" t="s">
        <v>17</v>
      </c>
      <c r="D3342" s="247" t="s">
        <v>205</v>
      </c>
      <c r="E3342" s="247" t="s">
        <v>206</v>
      </c>
      <c r="F3342" s="247" t="s">
        <v>207</v>
      </c>
      <c r="G3342" s="1276" t="s">
        <v>96</v>
      </c>
      <c r="H3342" s="1274"/>
      <c r="I3342" s="1275"/>
      <c r="J3342" s="302"/>
      <c r="K3342" s="302"/>
    </row>
    <row r="3343" spans="1:13" x14ac:dyDescent="0.2">
      <c r="A3343" s="248" t="s">
        <v>142</v>
      </c>
      <c r="B3343" s="238">
        <v>2000</v>
      </c>
      <c r="C3343" s="243">
        <v>5</v>
      </c>
      <c r="D3343" s="239" t="s">
        <v>223</v>
      </c>
      <c r="E3343" s="251"/>
      <c r="F3343" s="251"/>
      <c r="G3343" s="244"/>
      <c r="H3343" s="245"/>
      <c r="I3343" s="249">
        <f>C3343/100*I3340</f>
        <v>13.15</v>
      </c>
      <c r="J3343" s="302"/>
      <c r="K3343" s="302"/>
    </row>
    <row r="3344" spans="1:13" x14ac:dyDescent="0.2">
      <c r="A3344" s="199"/>
      <c r="B3344" s="233"/>
      <c r="C3344" s="199"/>
      <c r="D3344" s="199"/>
      <c r="E3344" s="199"/>
      <c r="F3344" s="234" t="s">
        <v>1170</v>
      </c>
      <c r="G3344" s="244"/>
      <c r="H3344" s="245"/>
      <c r="I3344" s="434">
        <f>SUM(I3343)</f>
        <v>13.15</v>
      </c>
      <c r="J3344" s="302"/>
      <c r="K3344" s="302"/>
    </row>
    <row r="3345" spans="1:17" x14ac:dyDescent="0.2">
      <c r="A3345" s="199"/>
      <c r="B3345" s="233"/>
      <c r="C3345" s="199"/>
      <c r="D3345" s="199"/>
      <c r="E3345" s="199"/>
      <c r="F3345" s="199"/>
      <c r="G3345" s="199"/>
      <c r="H3345" s="199"/>
      <c r="I3345" s="200"/>
      <c r="J3345" s="302"/>
      <c r="K3345" s="302"/>
    </row>
    <row r="3346" spans="1:17" x14ac:dyDescent="0.2">
      <c r="A3346" s="252"/>
      <c r="B3346" s="253"/>
      <c r="C3346" s="254"/>
      <c r="D3346" s="254"/>
      <c r="E3346" s="254"/>
      <c r="F3346" s="255" t="s">
        <v>208</v>
      </c>
      <c r="G3346" s="435"/>
      <c r="H3346" s="254"/>
      <c r="I3346" s="634">
        <f>+I3335+I3340+I3344</f>
        <v>276.14999999999998</v>
      </c>
      <c r="J3346" s="302"/>
      <c r="K3346" s="302"/>
    </row>
    <row r="3347" spans="1:17" x14ac:dyDescent="0.2">
      <c r="A3347" s="256"/>
      <c r="B3347" s="257"/>
      <c r="C3347" s="258"/>
      <c r="D3347" s="258"/>
      <c r="E3347" s="258"/>
      <c r="F3347" s="259" t="s">
        <v>209</v>
      </c>
      <c r="G3347" s="260"/>
      <c r="H3347" s="258"/>
      <c r="I3347" s="635">
        <v>110</v>
      </c>
      <c r="J3347" s="302"/>
      <c r="K3347" s="302"/>
    </row>
    <row r="3348" spans="1:17" x14ac:dyDescent="0.2">
      <c r="A3348" s="237"/>
      <c r="B3348" s="261"/>
      <c r="C3348" s="245"/>
      <c r="D3348" s="245"/>
      <c r="E3348" s="245"/>
      <c r="F3348" s="262" t="s">
        <v>232</v>
      </c>
      <c r="G3348" s="244"/>
      <c r="H3348" s="245"/>
      <c r="I3348" s="633">
        <f>TRUNC(I3346/I3347,2)</f>
        <v>2.5099999999999998</v>
      </c>
      <c r="J3348" s="302"/>
      <c r="K3348" s="302"/>
    </row>
    <row r="3349" spans="1:17" x14ac:dyDescent="0.2">
      <c r="A3349" s="867"/>
      <c r="B3349" s="233"/>
      <c r="C3349" s="199"/>
      <c r="D3349" s="199"/>
      <c r="E3349" s="199"/>
      <c r="F3349" s="263"/>
      <c r="G3349" s="199"/>
      <c r="H3349" s="199"/>
      <c r="I3349" s="264"/>
    </row>
    <row r="3350" spans="1:17" x14ac:dyDescent="0.2">
      <c r="A3350" s="246" t="s">
        <v>210</v>
      </c>
      <c r="B3350" s="247" t="s">
        <v>60</v>
      </c>
      <c r="C3350" s="247" t="s">
        <v>211</v>
      </c>
      <c r="D3350" s="247" t="s">
        <v>233</v>
      </c>
      <c r="E3350" s="1276" t="s">
        <v>91</v>
      </c>
      <c r="F3350" s="1274"/>
      <c r="G3350" s="1275"/>
      <c r="H3350" s="1276" t="s">
        <v>198</v>
      </c>
      <c r="I3350" s="1275"/>
    </row>
    <row r="3351" spans="1:17" x14ac:dyDescent="0.2">
      <c r="A3351" s="265" t="str">
        <f>VLOOKUP(B3351,mat.!$A:$D,2,FALSE)</f>
        <v>Aço CA-50 (granel) - (preço médio)</v>
      </c>
      <c r="B3351" s="238">
        <v>10129</v>
      </c>
      <c r="C3351" s="266" t="str">
        <f>VLOOKUP(B3351,mat.!$A:$D,3,FALSE)</f>
        <v>kg</v>
      </c>
      <c r="D3351" s="267">
        <f>VLOOKUP(B3351,mat.!$A:$D,4,FALSE)</f>
        <v>4.6900000000000004</v>
      </c>
      <c r="E3351" s="260"/>
      <c r="F3351" s="258"/>
      <c r="G3351" s="300">
        <v>1.1000000000000001</v>
      </c>
      <c r="H3351" s="260"/>
      <c r="I3351" s="268">
        <f>TRUNC(D3351*G3351,2)</f>
        <v>5.15</v>
      </c>
    </row>
    <row r="3352" spans="1:17" x14ac:dyDescent="0.2">
      <c r="A3352" s="265" t="str">
        <f>VLOOKUP(B3352,mat.!$A:$D,2,FALSE)</f>
        <v>Arame recozido 18</v>
      </c>
      <c r="B3352" s="238">
        <v>10134</v>
      </c>
      <c r="C3352" s="266" t="str">
        <f>VLOOKUP(B3352,mat.!$A:$D,3,FALSE)</f>
        <v>kg</v>
      </c>
      <c r="D3352" s="267">
        <f>VLOOKUP(B3352,mat.!$A:$D,4,FALSE)</f>
        <v>11.99</v>
      </c>
      <c r="E3352" s="260"/>
      <c r="F3352" s="258"/>
      <c r="G3352" s="300">
        <v>0.02</v>
      </c>
      <c r="H3352" s="260"/>
      <c r="I3352" s="268">
        <f>TRUNC(D3352*G3352,2)</f>
        <v>0.23</v>
      </c>
    </row>
    <row r="3353" spans="1:17" x14ac:dyDescent="0.2">
      <c r="A3353" s="199"/>
      <c r="B3353" s="233"/>
      <c r="C3353" s="199"/>
      <c r="D3353" s="199"/>
      <c r="E3353" s="199"/>
      <c r="F3353" s="234" t="s">
        <v>212</v>
      </c>
      <c r="G3353" s="244"/>
      <c r="H3353" s="245"/>
      <c r="I3353" s="434">
        <f>SUM(I3351:I3352)</f>
        <v>5.38</v>
      </c>
    </row>
    <row r="3354" spans="1:17" x14ac:dyDescent="0.2">
      <c r="A3354" s="199"/>
      <c r="B3354" s="233"/>
      <c r="C3354" s="199"/>
      <c r="D3354" s="199"/>
      <c r="E3354" s="199"/>
      <c r="F3354" s="199"/>
      <c r="G3354" s="269"/>
      <c r="H3354" s="199"/>
      <c r="I3354" s="200"/>
      <c r="J3354" s="451"/>
      <c r="K3354" s="451"/>
      <c r="L3354" s="198"/>
      <c r="M3354" s="198"/>
      <c r="N3354" s="198"/>
      <c r="P3354" s="198"/>
      <c r="Q3354" s="198"/>
    </row>
    <row r="3355" spans="1:17" x14ac:dyDescent="0.2">
      <c r="A3355" s="467" t="s">
        <v>213</v>
      </c>
      <c r="B3355" s="468" t="s">
        <v>60</v>
      </c>
      <c r="C3355" s="468" t="s">
        <v>211</v>
      </c>
      <c r="D3355" s="869" t="s">
        <v>233</v>
      </c>
      <c r="E3355" s="1281" t="s">
        <v>91</v>
      </c>
      <c r="F3355" s="1282"/>
      <c r="G3355" s="1283"/>
      <c r="H3355" s="1284" t="s">
        <v>198</v>
      </c>
      <c r="I3355" s="1285"/>
      <c r="J3355" s="451"/>
      <c r="K3355" s="451"/>
      <c r="L3355" s="198"/>
      <c r="M3355" s="198"/>
      <c r="N3355" s="198"/>
      <c r="P3355" s="198"/>
      <c r="Q3355" s="198"/>
    </row>
    <row r="3356" spans="1:17" x14ac:dyDescent="0.2">
      <c r="A3356" s="452"/>
      <c r="B3356" s="453"/>
      <c r="C3356" s="453"/>
      <c r="D3356" s="454"/>
      <c r="E3356" s="455"/>
      <c r="F3356" s="456"/>
      <c r="G3356" s="457"/>
      <c r="H3356" s="458"/>
      <c r="I3356" s="459"/>
    </row>
    <row r="3357" spans="1:17" x14ac:dyDescent="0.2">
      <c r="A3357" s="201"/>
      <c r="B3357" s="271"/>
      <c r="C3357" s="201"/>
      <c r="D3357" s="201"/>
      <c r="E3357" s="201"/>
      <c r="F3357" s="272" t="s">
        <v>214</v>
      </c>
      <c r="G3357" s="260"/>
      <c r="H3357" s="273"/>
      <c r="I3357" s="436">
        <f>SUM(I3356:I3356)</f>
        <v>0</v>
      </c>
    </row>
    <row r="3358" spans="1:17" x14ac:dyDescent="0.2">
      <c r="A3358" s="201"/>
      <c r="B3358" s="271"/>
      <c r="C3358" s="201"/>
      <c r="D3358" s="201"/>
      <c r="E3358" s="201"/>
      <c r="F3358" s="201"/>
      <c r="G3358" s="201"/>
      <c r="H3358" s="201"/>
      <c r="I3358" s="201"/>
    </row>
    <row r="3359" spans="1:17" x14ac:dyDescent="0.2">
      <c r="A3359" s="274" t="s">
        <v>215</v>
      </c>
      <c r="B3359" s="275" t="s">
        <v>60</v>
      </c>
      <c r="C3359" s="275" t="s">
        <v>211</v>
      </c>
      <c r="D3359" s="275" t="s">
        <v>216</v>
      </c>
      <c r="E3359" s="275" t="s">
        <v>217</v>
      </c>
      <c r="F3359" s="275" t="s">
        <v>218</v>
      </c>
      <c r="G3359" s="275" t="s">
        <v>96</v>
      </c>
      <c r="H3359" s="275" t="s">
        <v>91</v>
      </c>
      <c r="I3359" s="275" t="s">
        <v>219</v>
      </c>
      <c r="J3359" s="433" t="s">
        <v>1058</v>
      </c>
    </row>
    <row r="3360" spans="1:17" x14ac:dyDescent="0.2">
      <c r="A3360" s="248"/>
      <c r="B3360" s="238"/>
      <c r="C3360" s="238"/>
      <c r="D3360" s="437"/>
      <c r="E3360" s="277"/>
      <c r="F3360" s="277"/>
      <c r="G3360" s="243"/>
      <c r="H3360" s="278"/>
      <c r="I3360" s="243"/>
    </row>
    <row r="3361" spans="1:13" x14ac:dyDescent="0.2">
      <c r="A3361" s="201"/>
      <c r="B3361" s="271"/>
      <c r="C3361" s="201"/>
      <c r="D3361" s="201"/>
      <c r="E3361" s="201"/>
      <c r="F3361" s="272" t="s">
        <v>220</v>
      </c>
      <c r="G3361" s="244"/>
      <c r="H3361" s="279"/>
      <c r="I3361" s="438">
        <f>SUM(I3360:I3360)</f>
        <v>0</v>
      </c>
    </row>
    <row r="3362" spans="1:13" x14ac:dyDescent="0.2">
      <c r="A3362" s="201"/>
      <c r="B3362" s="271"/>
      <c r="C3362" s="201"/>
      <c r="D3362" s="201"/>
      <c r="E3362" s="201"/>
      <c r="F3362" s="201"/>
      <c r="G3362" s="201"/>
      <c r="H3362" s="201"/>
      <c r="I3362" s="202"/>
    </row>
    <row r="3363" spans="1:13" x14ac:dyDescent="0.2">
      <c r="A3363" s="280"/>
      <c r="B3363" s="281"/>
      <c r="C3363" s="282"/>
      <c r="D3363" s="282"/>
      <c r="E3363" s="282"/>
      <c r="F3363" s="283" t="s">
        <v>221</v>
      </c>
      <c r="G3363" s="280"/>
      <c r="H3363" s="254"/>
      <c r="I3363" s="634">
        <f>+I3348+I3353+I3357+I3361</f>
        <v>7.89</v>
      </c>
    </row>
    <row r="3364" spans="1:13" x14ac:dyDescent="0.2">
      <c r="A3364" s="260"/>
      <c r="B3364" s="284"/>
      <c r="C3364" s="273"/>
      <c r="D3364" s="273"/>
      <c r="E3364" s="273"/>
      <c r="F3364" s="285" t="str">
        <f>CONCATENATE($H$3," ",$I$3)</f>
        <v>BDI: 23,32</v>
      </c>
      <c r="G3364" s="439"/>
      <c r="H3364" s="258"/>
      <c r="I3364" s="635">
        <f>+ROUND(I3363*$I$4,2)</f>
        <v>1.84</v>
      </c>
    </row>
    <row r="3365" spans="1:13" x14ac:dyDescent="0.2">
      <c r="A3365" s="618"/>
      <c r="B3365" s="617"/>
      <c r="C3365" s="201"/>
      <c r="D3365" s="201"/>
      <c r="E3365" s="201"/>
      <c r="F3365" s="272" t="s">
        <v>222</v>
      </c>
      <c r="G3365" s="619"/>
      <c r="H3365" s="199"/>
      <c r="I3365" s="1019">
        <f>+I3363+I3364</f>
        <v>9.73</v>
      </c>
    </row>
    <row r="3366" spans="1:13" x14ac:dyDescent="0.2">
      <c r="A3366" s="1277" t="str">
        <f>$A$1</f>
        <v>COMPOSIÇÃO DE CUSTOS UNITÁRIOS</v>
      </c>
      <c r="B3366" s="1277"/>
      <c r="C3366" s="1277"/>
      <c r="D3366" s="1277"/>
      <c r="E3366" s="1277"/>
      <c r="F3366" s="1277"/>
      <c r="G3366" s="1277"/>
      <c r="H3366" s="1277"/>
      <c r="I3366" s="1277"/>
    </row>
    <row r="3367" spans="1:13" x14ac:dyDescent="0.2">
      <c r="A3367" s="232" t="str">
        <f>$A$2</f>
        <v>Tabela Referencial de Preços - DER-ES</v>
      </c>
      <c r="B3367" s="233"/>
      <c r="C3367" s="199"/>
      <c r="D3367" s="199"/>
      <c r="E3367" s="199"/>
      <c r="F3367" s="199"/>
      <c r="G3367" s="199"/>
      <c r="H3367" s="199"/>
      <c r="I3367" s="234" t="str">
        <f>$I$2</f>
        <v>Data Base: Outubro/2018</v>
      </c>
      <c r="J3367" s="433">
        <v>40387</v>
      </c>
      <c r="K3367" s="433">
        <f>VLOOKUP("Preço Unitário Total",F3369:I4288,4,FALSE)</f>
        <v>108.25</v>
      </c>
      <c r="L3367" s="302" t="str">
        <f>VLOOKUP(J3367,'DER 10-18'!A:E,5,FALSE)</f>
        <v>A incluir</v>
      </c>
      <c r="M3367" s="302" t="str">
        <f>VLOOKUP(J3367,'DER 10-18'!$A:$D,2,FALSE)</f>
        <v>Aparelho de apoio de neoprene fretado, fornecimento e assentamento, inclusive grauteamento e transporte do neoprene</v>
      </c>
    </row>
    <row r="3368" spans="1:13" x14ac:dyDescent="0.2">
      <c r="A3368" s="1278" t="str">
        <f>+CONCATENATE("Serviço: ",J3367," ",VLOOKUP(J3367,'DER 10-18'!$A:$D,2,FALSE))</f>
        <v>Serviço: 40387 Aparelho de apoio de neoprene fretado, fornecimento e assentamento, inclusive grauteamento e transporte do neoprene</v>
      </c>
      <c r="B3368" s="1278"/>
      <c r="C3368" s="1278"/>
      <c r="D3368" s="1278"/>
      <c r="E3368" s="1278"/>
      <c r="F3368" s="1278"/>
      <c r="G3368" s="1278"/>
      <c r="H3368" s="1278"/>
      <c r="I3368" s="1278" t="str">
        <f>CONCATENATE("Unidade: ", VLOOKUP(J3367,'DER 10-18'!$A:$E,3,FALSE))</f>
        <v>Unidade: dm3</v>
      </c>
    </row>
    <row r="3369" spans="1:13" x14ac:dyDescent="0.2">
      <c r="A3369" s="1279"/>
      <c r="B3369" s="1279"/>
      <c r="C3369" s="1279"/>
      <c r="D3369" s="1279"/>
      <c r="E3369" s="1279"/>
      <c r="F3369" s="1279"/>
      <c r="G3369" s="1279"/>
      <c r="H3369" s="1279"/>
      <c r="I3369" s="1279"/>
    </row>
    <row r="3370" spans="1:13" ht="22.5" x14ac:dyDescent="0.2">
      <c r="A3370" s="235" t="s">
        <v>192</v>
      </c>
      <c r="B3370" s="236" t="s">
        <v>60</v>
      </c>
      <c r="C3370" s="236" t="s">
        <v>193</v>
      </c>
      <c r="D3370" s="236" t="s">
        <v>194</v>
      </c>
      <c r="E3370" s="236" t="s">
        <v>195</v>
      </c>
      <c r="F3370" s="236" t="s">
        <v>196</v>
      </c>
      <c r="G3370" s="236" t="s">
        <v>197</v>
      </c>
      <c r="H3370" s="236" t="s">
        <v>91</v>
      </c>
      <c r="I3370" s="236" t="s">
        <v>198</v>
      </c>
    </row>
    <row r="3371" spans="1:13" x14ac:dyDescent="0.2">
      <c r="A3371" s="237"/>
      <c r="B3371" s="238"/>
      <c r="C3371" s="239"/>
      <c r="D3371" s="240"/>
      <c r="E3371" s="205"/>
      <c r="F3371" s="241"/>
      <c r="G3371" s="241"/>
      <c r="H3371" s="242"/>
      <c r="I3371" s="243"/>
    </row>
    <row r="3372" spans="1:13" x14ac:dyDescent="0.2">
      <c r="A3372" s="199"/>
      <c r="B3372" s="233"/>
      <c r="C3372" s="233"/>
      <c r="D3372" s="199"/>
      <c r="E3372" s="199"/>
      <c r="F3372" s="234" t="s">
        <v>199</v>
      </c>
      <c r="G3372" s="244"/>
      <c r="H3372" s="245"/>
      <c r="I3372" s="434">
        <f>SUM(I3371:I3371)</f>
        <v>0</v>
      </c>
    </row>
    <row r="3373" spans="1:13" x14ac:dyDescent="0.2">
      <c r="A3373" s="199"/>
      <c r="B3373" s="233"/>
      <c r="C3373" s="233"/>
      <c r="D3373" s="199"/>
      <c r="E3373" s="199"/>
      <c r="F3373" s="199"/>
      <c r="G3373" s="199"/>
      <c r="H3373" s="199"/>
      <c r="I3373" s="200"/>
    </row>
    <row r="3374" spans="1:13" x14ac:dyDescent="0.2">
      <c r="A3374" s="246" t="s">
        <v>200</v>
      </c>
      <c r="B3374" s="247" t="s">
        <v>60</v>
      </c>
      <c r="C3374" s="236" t="s">
        <v>1242</v>
      </c>
      <c r="D3374" s="247" t="s">
        <v>202</v>
      </c>
      <c r="E3374" s="1271" t="s">
        <v>91</v>
      </c>
      <c r="F3374" s="1272"/>
      <c r="G3374" s="1273"/>
      <c r="H3374" s="1276" t="s">
        <v>198</v>
      </c>
      <c r="I3374" s="1275"/>
    </row>
    <row r="3375" spans="1:13" x14ac:dyDescent="0.2">
      <c r="A3375" s="248" t="str">
        <f>VLOOKUP(B3375,m.o.!$A:$H,2,FALSE)</f>
        <v>Pedreiro de O.A.E.</v>
      </c>
      <c r="B3375" s="238">
        <v>20110</v>
      </c>
      <c r="C3375" s="243">
        <f>VLOOKUP(B3375,m.o.!$A:$F,4,FALSE)</f>
        <v>1.65</v>
      </c>
      <c r="D3375" s="243">
        <f>VLOOKUP(B3375,m.o.!$A:$G,7,FALSE)</f>
        <v>19.2</v>
      </c>
      <c r="E3375" s="260"/>
      <c r="F3375" s="258"/>
      <c r="G3375" s="300">
        <v>0.11</v>
      </c>
      <c r="H3375" s="244"/>
      <c r="I3375" s="249">
        <f>TRUNC(D3375*G3375,2)</f>
        <v>2.11</v>
      </c>
    </row>
    <row r="3376" spans="1:13" x14ac:dyDescent="0.2">
      <c r="A3376" s="199"/>
      <c r="B3376" s="233"/>
      <c r="C3376" s="233"/>
      <c r="D3376" s="199"/>
      <c r="E3376" s="199"/>
      <c r="F3376" s="234" t="s">
        <v>203</v>
      </c>
      <c r="G3376" s="244"/>
      <c r="H3376" s="245"/>
      <c r="I3376" s="434">
        <f>SUM(I3375:I3375)</f>
        <v>2.11</v>
      </c>
    </row>
    <row r="3377" spans="1:17" x14ac:dyDescent="0.2">
      <c r="A3377" s="199"/>
      <c r="B3377" s="233"/>
      <c r="C3377" s="233"/>
      <c r="D3377" s="199"/>
      <c r="E3377" s="199"/>
      <c r="F3377" s="199"/>
      <c r="G3377" s="199"/>
      <c r="H3377" s="199"/>
      <c r="I3377" s="200"/>
    </row>
    <row r="3378" spans="1:17" x14ac:dyDescent="0.2">
      <c r="A3378" s="250" t="s">
        <v>204</v>
      </c>
      <c r="B3378" s="247" t="s">
        <v>60</v>
      </c>
      <c r="C3378" s="866" t="s">
        <v>17</v>
      </c>
      <c r="D3378" s="247" t="s">
        <v>205</v>
      </c>
      <c r="E3378" s="247" t="s">
        <v>206</v>
      </c>
      <c r="F3378" s="247" t="s">
        <v>207</v>
      </c>
      <c r="G3378" s="1276" t="s">
        <v>96</v>
      </c>
      <c r="H3378" s="1274"/>
      <c r="I3378" s="1275"/>
    </row>
    <row r="3379" spans="1:17" x14ac:dyDescent="0.2">
      <c r="A3379" s="248" t="s">
        <v>142</v>
      </c>
      <c r="B3379" s="238">
        <v>2000</v>
      </c>
      <c r="C3379" s="243">
        <v>5</v>
      </c>
      <c r="D3379" s="239" t="s">
        <v>223</v>
      </c>
      <c r="E3379" s="251"/>
      <c r="F3379" s="251"/>
      <c r="G3379" s="244"/>
      <c r="H3379" s="245"/>
      <c r="I3379" s="249">
        <f>C3379/100*I3376</f>
        <v>0.11</v>
      </c>
    </row>
    <row r="3380" spans="1:17" x14ac:dyDescent="0.2">
      <c r="A3380" s="199"/>
      <c r="B3380" s="233"/>
      <c r="C3380" s="199"/>
      <c r="D3380" s="199"/>
      <c r="E3380" s="199"/>
      <c r="F3380" s="234" t="s">
        <v>1170</v>
      </c>
      <c r="G3380" s="244"/>
      <c r="H3380" s="245"/>
      <c r="I3380" s="434">
        <f>SUM(I3379)</f>
        <v>0.11</v>
      </c>
    </row>
    <row r="3381" spans="1:17" x14ac:dyDescent="0.2">
      <c r="A3381" s="199"/>
      <c r="B3381" s="233"/>
      <c r="C3381" s="199"/>
      <c r="D3381" s="199"/>
      <c r="E3381" s="199"/>
      <c r="F3381" s="199"/>
      <c r="G3381" s="199"/>
      <c r="H3381" s="199"/>
      <c r="I3381" s="200"/>
    </row>
    <row r="3382" spans="1:17" x14ac:dyDescent="0.2">
      <c r="A3382" s="252"/>
      <c r="B3382" s="253"/>
      <c r="C3382" s="254"/>
      <c r="D3382" s="254"/>
      <c r="E3382" s="254"/>
      <c r="F3382" s="255" t="s">
        <v>208</v>
      </c>
      <c r="G3382" s="435"/>
      <c r="H3382" s="254"/>
      <c r="I3382" s="634">
        <f>+I3372+I3376+I3380</f>
        <v>2.2200000000000002</v>
      </c>
    </row>
    <row r="3383" spans="1:17" x14ac:dyDescent="0.2">
      <c r="A3383" s="256"/>
      <c r="B3383" s="257"/>
      <c r="C3383" s="258"/>
      <c r="D3383" s="258"/>
      <c r="E3383" s="258"/>
      <c r="F3383" s="259" t="s">
        <v>209</v>
      </c>
      <c r="G3383" s="260"/>
      <c r="H3383" s="258"/>
      <c r="I3383" s="635">
        <v>1</v>
      </c>
    </row>
    <row r="3384" spans="1:17" x14ac:dyDescent="0.2">
      <c r="A3384" s="237"/>
      <c r="B3384" s="261"/>
      <c r="C3384" s="245"/>
      <c r="D3384" s="245"/>
      <c r="E3384" s="245"/>
      <c r="F3384" s="262" t="s">
        <v>232</v>
      </c>
      <c r="G3384" s="244"/>
      <c r="H3384" s="245"/>
      <c r="I3384" s="633">
        <f>TRUNC(I3382/I3383,2)</f>
        <v>2.2200000000000002</v>
      </c>
    </row>
    <row r="3385" spans="1:17" x14ac:dyDescent="0.2">
      <c r="A3385" s="867"/>
      <c r="B3385" s="233"/>
      <c r="C3385" s="199"/>
      <c r="D3385" s="199"/>
      <c r="E3385" s="199"/>
      <c r="F3385" s="263"/>
      <c r="G3385" s="199"/>
      <c r="H3385" s="199"/>
      <c r="I3385" s="264"/>
    </row>
    <row r="3386" spans="1:17" x14ac:dyDescent="0.2">
      <c r="A3386" s="246" t="s">
        <v>210</v>
      </c>
      <c r="B3386" s="247" t="s">
        <v>60</v>
      </c>
      <c r="C3386" s="247" t="s">
        <v>211</v>
      </c>
      <c r="D3386" s="247" t="s">
        <v>233</v>
      </c>
      <c r="E3386" s="1276" t="s">
        <v>91</v>
      </c>
      <c r="F3386" s="1274"/>
      <c r="G3386" s="1275"/>
      <c r="H3386" s="1276" t="s">
        <v>198</v>
      </c>
      <c r="I3386" s="1275"/>
    </row>
    <row r="3387" spans="1:17" ht="22.5" x14ac:dyDescent="0.2">
      <c r="A3387" s="265" t="str">
        <f>VLOOKUP(B3387,mat.!$A:$D,2,FALSE)</f>
        <v>Placa de neoprene fretado esp = 5 cm (18% I.P.I. e embalagem)</v>
      </c>
      <c r="B3387" s="238">
        <v>10201</v>
      </c>
      <c r="C3387" s="266" t="str">
        <f>VLOOKUP(B3387,mat.!$A:$D,3,FALSE)</f>
        <v>dm3</v>
      </c>
      <c r="D3387" s="267">
        <f>VLOOKUP(B3387,mat.!$A:$D,4,FALSE)</f>
        <v>84.62</v>
      </c>
      <c r="E3387" s="260"/>
      <c r="F3387" s="258"/>
      <c r="G3387" s="300">
        <v>1</v>
      </c>
      <c r="H3387" s="260"/>
      <c r="I3387" s="268">
        <f>TRUNC(D3387*G3387,2)</f>
        <v>84.62</v>
      </c>
    </row>
    <row r="3388" spans="1:17" x14ac:dyDescent="0.2">
      <c r="A3388" s="265" t="str">
        <f>VLOOKUP(B3388,mat.!$A:$D,2,FALSE)</f>
        <v>Sikagrout</v>
      </c>
      <c r="B3388" s="238">
        <v>10195</v>
      </c>
      <c r="C3388" s="266" t="str">
        <f>VLOOKUP(B3388,mat.!$A:$D,3,FALSE)</f>
        <v>kg</v>
      </c>
      <c r="D3388" s="267">
        <f>VLOOKUP(B3388,mat.!$A:$D,4,FALSE)</f>
        <v>0.7</v>
      </c>
      <c r="E3388" s="260"/>
      <c r="F3388" s="258"/>
      <c r="G3388" s="300">
        <v>1.22</v>
      </c>
      <c r="H3388" s="260"/>
      <c r="I3388" s="268">
        <f>TRUNC(D3388*G3388,2)</f>
        <v>0.85</v>
      </c>
    </row>
    <row r="3389" spans="1:17" x14ac:dyDescent="0.2">
      <c r="A3389" s="199"/>
      <c r="B3389" s="233"/>
      <c r="C3389" s="199"/>
      <c r="D3389" s="199"/>
      <c r="E3389" s="199"/>
      <c r="F3389" s="234" t="s">
        <v>212</v>
      </c>
      <c r="G3389" s="244"/>
      <c r="H3389" s="245"/>
      <c r="I3389" s="434">
        <f>SUM(I3387:I3388)</f>
        <v>85.47</v>
      </c>
    </row>
    <row r="3390" spans="1:17" x14ac:dyDescent="0.2">
      <c r="A3390" s="199"/>
      <c r="B3390" s="233"/>
      <c r="C3390" s="199"/>
      <c r="D3390" s="199"/>
      <c r="E3390" s="199"/>
      <c r="F3390" s="199"/>
      <c r="G3390" s="269"/>
      <c r="H3390" s="199"/>
      <c r="I3390" s="200"/>
      <c r="J3390" s="451"/>
      <c r="K3390" s="451"/>
      <c r="L3390" s="198"/>
      <c r="M3390" s="198"/>
      <c r="N3390" s="198"/>
      <c r="P3390" s="198"/>
      <c r="Q3390" s="198"/>
    </row>
    <row r="3391" spans="1:17" x14ac:dyDescent="0.2">
      <c r="A3391" s="467" t="s">
        <v>213</v>
      </c>
      <c r="B3391" s="468" t="s">
        <v>60</v>
      </c>
      <c r="C3391" s="468" t="s">
        <v>211</v>
      </c>
      <c r="D3391" s="869" t="s">
        <v>233</v>
      </c>
      <c r="E3391" s="1281" t="s">
        <v>91</v>
      </c>
      <c r="F3391" s="1282"/>
      <c r="G3391" s="1283"/>
      <c r="H3391" s="1284" t="s">
        <v>198</v>
      </c>
      <c r="I3391" s="1285"/>
      <c r="J3391" s="451"/>
      <c r="K3391" s="451"/>
      <c r="L3391" s="198"/>
      <c r="M3391" s="198"/>
      <c r="N3391" s="198"/>
      <c r="P3391" s="198"/>
      <c r="Q3391" s="198"/>
    </row>
    <row r="3392" spans="1:17" x14ac:dyDescent="0.2">
      <c r="A3392" s="452"/>
      <c r="B3392" s="453"/>
      <c r="C3392" s="453"/>
      <c r="D3392" s="454"/>
      <c r="E3392" s="455"/>
      <c r="F3392" s="456"/>
      <c r="G3392" s="457"/>
      <c r="H3392" s="458"/>
      <c r="I3392" s="459"/>
    </row>
    <row r="3393" spans="1:13" x14ac:dyDescent="0.2">
      <c r="A3393" s="201"/>
      <c r="B3393" s="271"/>
      <c r="C3393" s="201"/>
      <c r="D3393" s="201"/>
      <c r="E3393" s="201"/>
      <c r="F3393" s="272" t="s">
        <v>214</v>
      </c>
      <c r="G3393" s="260"/>
      <c r="H3393" s="273"/>
      <c r="I3393" s="436">
        <f>SUM(I3392:I3392)</f>
        <v>0</v>
      </c>
    </row>
    <row r="3394" spans="1:13" x14ac:dyDescent="0.2">
      <c r="A3394" s="201"/>
      <c r="B3394" s="271"/>
      <c r="C3394" s="201"/>
      <c r="D3394" s="201"/>
      <c r="E3394" s="201"/>
      <c r="F3394" s="201"/>
      <c r="G3394" s="201"/>
      <c r="H3394" s="201"/>
      <c r="I3394" s="201"/>
    </row>
    <row r="3395" spans="1:13" x14ac:dyDescent="0.2">
      <c r="A3395" s="274" t="s">
        <v>215</v>
      </c>
      <c r="B3395" s="275" t="s">
        <v>60</v>
      </c>
      <c r="C3395" s="275" t="s">
        <v>211</v>
      </c>
      <c r="D3395" s="275" t="s">
        <v>216</v>
      </c>
      <c r="E3395" s="275" t="s">
        <v>217</v>
      </c>
      <c r="F3395" s="275" t="s">
        <v>218</v>
      </c>
      <c r="G3395" s="275" t="s">
        <v>96</v>
      </c>
      <c r="H3395" s="275" t="s">
        <v>91</v>
      </c>
      <c r="I3395" s="275" t="s">
        <v>219</v>
      </c>
    </row>
    <row r="3396" spans="1:13" ht="22.5" x14ac:dyDescent="0.2">
      <c r="A3396" s="265" t="str">
        <f>VLOOKUP(B3396,tranp.!A:D,2,FALSE)</f>
        <v>Transp. de Silica ativa (micro-silica) saco 15 kg</v>
      </c>
      <c r="B3396" s="238">
        <v>1227</v>
      </c>
      <c r="C3396" s="238" t="str">
        <f>VLOOKUP(B3396,tranp.!$A:$J,3,FALSE)</f>
        <v>t</v>
      </c>
      <c r="D3396" s="437" t="str">
        <f>VLOOKUP(B3396,tranp.!$A:$J,4,FALSE)</f>
        <v>0,676XP + 0,703XR</v>
      </c>
      <c r="E3396" s="277">
        <f>VLOOKUP(J3396,Ocor.!$B:$F,4,FALSE)</f>
        <v>37.200000000000003</v>
      </c>
      <c r="F3396" s="277">
        <f>VLOOKUP(J3396,Ocor.!$B:$F,5,FALSE)</f>
        <v>5.6</v>
      </c>
      <c r="G3396" s="243">
        <f>TRUNC(VLOOKUP(B3396,tranp.!$A:$J,5,FALSE)*E3396+VLOOKUP(B3396,tranp.!$A:$J,6,FALSE)*F3396+VLOOKUP(B3396,tranp.!$A:$J,7,FALSE),2)</f>
        <v>29.08</v>
      </c>
      <c r="H3396" s="278">
        <v>3.2000000000000002E-3</v>
      </c>
      <c r="I3396" s="243">
        <f t="shared" ref="I3396" si="35">TRUNC(G3396*H3396,2)</f>
        <v>0.09</v>
      </c>
      <c r="J3396" s="433" t="s">
        <v>118</v>
      </c>
    </row>
    <row r="3397" spans="1:13" x14ac:dyDescent="0.2">
      <c r="A3397" s="201"/>
      <c r="B3397" s="271"/>
      <c r="C3397" s="201"/>
      <c r="D3397" s="201"/>
      <c r="E3397" s="201"/>
      <c r="F3397" s="272" t="s">
        <v>220</v>
      </c>
      <c r="G3397" s="244"/>
      <c r="H3397" s="279"/>
      <c r="I3397" s="438">
        <f>SUM(I3396:I3396)</f>
        <v>0.09</v>
      </c>
    </row>
    <row r="3398" spans="1:13" x14ac:dyDescent="0.2">
      <c r="A3398" s="201"/>
      <c r="B3398" s="271"/>
      <c r="C3398" s="201"/>
      <c r="D3398" s="201"/>
      <c r="E3398" s="201"/>
      <c r="F3398" s="201"/>
      <c r="G3398" s="201"/>
      <c r="H3398" s="201"/>
      <c r="I3398" s="202"/>
    </row>
    <row r="3399" spans="1:13" x14ac:dyDescent="0.2">
      <c r="A3399" s="280"/>
      <c r="B3399" s="281"/>
      <c r="C3399" s="282"/>
      <c r="D3399" s="282"/>
      <c r="E3399" s="282"/>
      <c r="F3399" s="283" t="s">
        <v>221</v>
      </c>
      <c r="G3399" s="280"/>
      <c r="H3399" s="254"/>
      <c r="I3399" s="634">
        <f>+I3384+I3389+I3393+I3397</f>
        <v>87.78</v>
      </c>
    </row>
    <row r="3400" spans="1:13" x14ac:dyDescent="0.2">
      <c r="A3400" s="260"/>
      <c r="B3400" s="284"/>
      <c r="C3400" s="273"/>
      <c r="D3400" s="273"/>
      <c r="E3400" s="273"/>
      <c r="F3400" s="285" t="str">
        <f>CONCATENATE($H$3," ",$I$3)</f>
        <v>BDI: 23,32</v>
      </c>
      <c r="G3400" s="439"/>
      <c r="H3400" s="258"/>
      <c r="I3400" s="635">
        <f>+ROUND(I3399*$I$4,2)</f>
        <v>20.47</v>
      </c>
    </row>
    <row r="3401" spans="1:13" x14ac:dyDescent="0.2">
      <c r="A3401" s="618"/>
      <c r="B3401" s="617"/>
      <c r="C3401" s="201"/>
      <c r="D3401" s="201"/>
      <c r="E3401" s="201"/>
      <c r="F3401" s="272" t="s">
        <v>222</v>
      </c>
      <c r="G3401" s="619"/>
      <c r="H3401" s="199"/>
      <c r="I3401" s="1019">
        <f>+I3399+I3400</f>
        <v>108.25</v>
      </c>
    </row>
    <row r="3402" spans="1:13" x14ac:dyDescent="0.2">
      <c r="A3402" s="1277" t="str">
        <f>$A$1</f>
        <v>COMPOSIÇÃO DE CUSTOS UNITÁRIOS</v>
      </c>
      <c r="B3402" s="1277"/>
      <c r="C3402" s="1277"/>
      <c r="D3402" s="1277"/>
      <c r="E3402" s="1277"/>
      <c r="F3402" s="1277"/>
      <c r="G3402" s="1277"/>
      <c r="H3402" s="1277"/>
      <c r="I3402" s="1277"/>
    </row>
    <row r="3403" spans="1:13" x14ac:dyDescent="0.2">
      <c r="A3403" s="232" t="str">
        <f>$A$2</f>
        <v>Tabela Referencial de Preços - DER-ES</v>
      </c>
      <c r="B3403" s="233"/>
      <c r="C3403" s="199"/>
      <c r="D3403" s="199"/>
      <c r="E3403" s="199"/>
      <c r="F3403" s="199"/>
      <c r="G3403" s="199"/>
      <c r="H3403" s="199"/>
      <c r="I3403" s="234" t="str">
        <f>$I$2</f>
        <v>Data Base: Outubro/2018</v>
      </c>
      <c r="J3403" s="433">
        <v>40389</v>
      </c>
      <c r="K3403" s="433">
        <f>VLOOKUP("Preço Unitário Total",F3405:I4324,4,FALSE)</f>
        <v>71.14</v>
      </c>
      <c r="L3403" s="302">
        <f>VLOOKUP(J3403,'DER 10-18'!A:E,5,FALSE)</f>
        <v>0</v>
      </c>
      <c r="M3403" s="302" t="str">
        <f>VLOOKUP(J3403,'DER 10-18'!$A:$D,2,FALSE)</f>
        <v>Guarda corpo metálico</v>
      </c>
    </row>
    <row r="3404" spans="1:13" x14ac:dyDescent="0.2">
      <c r="A3404" s="1278" t="str">
        <f>+CONCATENATE("Serviço: ",J3403," ",VLOOKUP(J3403,'DER 10-18'!$A:$D,2,FALSE))</f>
        <v>Serviço: 40389 Guarda corpo metálico</v>
      </c>
      <c r="B3404" s="1278"/>
      <c r="C3404" s="1278"/>
      <c r="D3404" s="1278"/>
      <c r="E3404" s="1278"/>
      <c r="F3404" s="1278"/>
      <c r="G3404" s="1278"/>
      <c r="H3404" s="1278"/>
      <c r="I3404" s="1278" t="str">
        <f>CONCATENATE("Unidade: ", VLOOKUP(J3403,'DER 10-18'!$A:$E,3,FALSE))</f>
        <v>Unidade: M</v>
      </c>
    </row>
    <row r="3405" spans="1:13" x14ac:dyDescent="0.2">
      <c r="A3405" s="1279"/>
      <c r="B3405" s="1279"/>
      <c r="C3405" s="1279"/>
      <c r="D3405" s="1279"/>
      <c r="E3405" s="1279"/>
      <c r="F3405" s="1279"/>
      <c r="G3405" s="1279"/>
      <c r="H3405" s="1279"/>
      <c r="I3405" s="1279"/>
    </row>
    <row r="3406" spans="1:13" ht="22.5" x14ac:dyDescent="0.2">
      <c r="A3406" s="235" t="s">
        <v>192</v>
      </c>
      <c r="B3406" s="236" t="s">
        <v>60</v>
      </c>
      <c r="C3406" s="236" t="s">
        <v>193</v>
      </c>
      <c r="D3406" s="236" t="s">
        <v>194</v>
      </c>
      <c r="E3406" s="236" t="s">
        <v>195</v>
      </c>
      <c r="F3406" s="236" t="s">
        <v>196</v>
      </c>
      <c r="G3406" s="236" t="s">
        <v>197</v>
      </c>
      <c r="H3406" s="236" t="s">
        <v>91</v>
      </c>
      <c r="I3406" s="236" t="s">
        <v>198</v>
      </c>
    </row>
    <row r="3407" spans="1:13" x14ac:dyDescent="0.2">
      <c r="A3407" s="237"/>
      <c r="B3407" s="238"/>
      <c r="C3407" s="239"/>
      <c r="D3407" s="240"/>
      <c r="E3407" s="205"/>
      <c r="F3407" s="241"/>
      <c r="G3407" s="241"/>
      <c r="H3407" s="242"/>
      <c r="I3407" s="243"/>
    </row>
    <row r="3408" spans="1:13" x14ac:dyDescent="0.2">
      <c r="A3408" s="199"/>
      <c r="B3408" s="233"/>
      <c r="C3408" s="233"/>
      <c r="D3408" s="199"/>
      <c r="E3408" s="199"/>
      <c r="F3408" s="234" t="s">
        <v>199</v>
      </c>
      <c r="G3408" s="244"/>
      <c r="H3408" s="245"/>
      <c r="I3408" s="434">
        <f>SUM(I3407:I3407)</f>
        <v>0</v>
      </c>
    </row>
    <row r="3409" spans="1:9" x14ac:dyDescent="0.2">
      <c r="A3409" s="199"/>
      <c r="B3409" s="233"/>
      <c r="C3409" s="233"/>
      <c r="D3409" s="199"/>
      <c r="E3409" s="199"/>
      <c r="F3409" s="199"/>
      <c r="G3409" s="199"/>
      <c r="H3409" s="199"/>
      <c r="I3409" s="200"/>
    </row>
    <row r="3410" spans="1:9" x14ac:dyDescent="0.2">
      <c r="A3410" s="246" t="s">
        <v>200</v>
      </c>
      <c r="B3410" s="247" t="s">
        <v>60</v>
      </c>
      <c r="C3410" s="236" t="s">
        <v>1242</v>
      </c>
      <c r="D3410" s="247" t="s">
        <v>202</v>
      </c>
      <c r="E3410" s="1271" t="s">
        <v>91</v>
      </c>
      <c r="F3410" s="1272"/>
      <c r="G3410" s="1273"/>
      <c r="H3410" s="1276" t="s">
        <v>198</v>
      </c>
      <c r="I3410" s="1275"/>
    </row>
    <row r="3411" spans="1:9" x14ac:dyDescent="0.2">
      <c r="A3411" s="248" t="str">
        <f>VLOOKUP(B3411,m.o.!$A:$H,2,FALSE)</f>
        <v>Ajudante de pedreiro O.A.E.</v>
      </c>
      <c r="B3411" s="238">
        <v>20083</v>
      </c>
      <c r="C3411" s="243">
        <f>VLOOKUP(B3411,m.o.!$A:$F,4,FALSE)</f>
        <v>1.01</v>
      </c>
      <c r="D3411" s="243">
        <f>VLOOKUP(B3411,m.o.!$A:$G,7,FALSE)</f>
        <v>11.75</v>
      </c>
      <c r="E3411" s="260"/>
      <c r="F3411" s="258"/>
      <c r="G3411" s="300">
        <v>1</v>
      </c>
      <c r="H3411" s="244"/>
      <c r="I3411" s="249">
        <f>TRUNC(D3411*G3411,2)</f>
        <v>11.75</v>
      </c>
    </row>
    <row r="3412" spans="1:9" x14ac:dyDescent="0.2">
      <c r="A3412" s="248" t="str">
        <f>VLOOKUP(B3412,m.o.!$A:$H,2,FALSE)</f>
        <v>Pedreiro de O.A.E.</v>
      </c>
      <c r="B3412" s="238">
        <v>20110</v>
      </c>
      <c r="C3412" s="243">
        <f>VLOOKUP(B3412,m.o.!$A:$F,4,FALSE)</f>
        <v>1.65</v>
      </c>
      <c r="D3412" s="243">
        <f>VLOOKUP(B3412,m.o.!$A:$G,7,FALSE)</f>
        <v>19.2</v>
      </c>
      <c r="E3412" s="260"/>
      <c r="F3412" s="258"/>
      <c r="G3412" s="300">
        <v>0.5</v>
      </c>
      <c r="H3412" s="244"/>
      <c r="I3412" s="249">
        <f>TRUNC(D3412*G3412,2)</f>
        <v>9.6</v>
      </c>
    </row>
    <row r="3413" spans="1:9" x14ac:dyDescent="0.2">
      <c r="A3413" s="199"/>
      <c r="B3413" s="233"/>
      <c r="C3413" s="233"/>
      <c r="D3413" s="199"/>
      <c r="E3413" s="199"/>
      <c r="F3413" s="234" t="s">
        <v>203</v>
      </c>
      <c r="G3413" s="244"/>
      <c r="H3413" s="245"/>
      <c r="I3413" s="434">
        <f>SUM(I3411:I3412)</f>
        <v>21.35</v>
      </c>
    </row>
    <row r="3414" spans="1:9" x14ac:dyDescent="0.2">
      <c r="A3414" s="199"/>
      <c r="B3414" s="233"/>
      <c r="C3414" s="233"/>
      <c r="D3414" s="199"/>
      <c r="E3414" s="199"/>
      <c r="F3414" s="199"/>
      <c r="G3414" s="199"/>
      <c r="H3414" s="199"/>
      <c r="I3414" s="200"/>
    </row>
    <row r="3415" spans="1:9" x14ac:dyDescent="0.2">
      <c r="A3415" s="250" t="s">
        <v>204</v>
      </c>
      <c r="B3415" s="247" t="s">
        <v>60</v>
      </c>
      <c r="C3415" s="866" t="s">
        <v>17</v>
      </c>
      <c r="D3415" s="247" t="s">
        <v>205</v>
      </c>
      <c r="E3415" s="247" t="s">
        <v>206</v>
      </c>
      <c r="F3415" s="247" t="s">
        <v>207</v>
      </c>
      <c r="G3415" s="1276" t="s">
        <v>96</v>
      </c>
      <c r="H3415" s="1274"/>
      <c r="I3415" s="1275"/>
    </row>
    <row r="3416" spans="1:9" x14ac:dyDescent="0.2">
      <c r="A3416" s="248" t="s">
        <v>142</v>
      </c>
      <c r="B3416" s="238">
        <v>2000</v>
      </c>
      <c r="C3416" s="243">
        <v>5</v>
      </c>
      <c r="D3416" s="239" t="s">
        <v>223</v>
      </c>
      <c r="E3416" s="251"/>
      <c r="F3416" s="251"/>
      <c r="G3416" s="244"/>
      <c r="H3416" s="245"/>
      <c r="I3416" s="249">
        <f>C3416/100*I3413</f>
        <v>1.07</v>
      </c>
    </row>
    <row r="3417" spans="1:9" x14ac:dyDescent="0.2">
      <c r="A3417" s="199"/>
      <c r="B3417" s="233"/>
      <c r="C3417" s="199"/>
      <c r="D3417" s="199"/>
      <c r="E3417" s="199"/>
      <c r="F3417" s="234" t="s">
        <v>1170</v>
      </c>
      <c r="G3417" s="244"/>
      <c r="H3417" s="245"/>
      <c r="I3417" s="434">
        <f>SUM(I3416)</f>
        <v>1.07</v>
      </c>
    </row>
    <row r="3418" spans="1:9" x14ac:dyDescent="0.2">
      <c r="A3418" s="199"/>
      <c r="B3418" s="233"/>
      <c r="C3418" s="199"/>
      <c r="D3418" s="199"/>
      <c r="E3418" s="199"/>
      <c r="F3418" s="199"/>
      <c r="G3418" s="199"/>
      <c r="H3418" s="199"/>
      <c r="I3418" s="200"/>
    </row>
    <row r="3419" spans="1:9" x14ac:dyDescent="0.2">
      <c r="A3419" s="252"/>
      <c r="B3419" s="253"/>
      <c r="C3419" s="254"/>
      <c r="D3419" s="254"/>
      <c r="E3419" s="254"/>
      <c r="F3419" s="255" t="s">
        <v>208</v>
      </c>
      <c r="G3419" s="435"/>
      <c r="H3419" s="254"/>
      <c r="I3419" s="634">
        <f>+I3408+I3413+I3417</f>
        <v>22.42</v>
      </c>
    </row>
    <row r="3420" spans="1:9" x14ac:dyDescent="0.2">
      <c r="A3420" s="256"/>
      <c r="B3420" s="257"/>
      <c r="C3420" s="258"/>
      <c r="D3420" s="258"/>
      <c r="E3420" s="258"/>
      <c r="F3420" s="259" t="s">
        <v>209</v>
      </c>
      <c r="G3420" s="260"/>
      <c r="H3420" s="258"/>
      <c r="I3420" s="635">
        <v>2</v>
      </c>
    </row>
    <row r="3421" spans="1:9" x14ac:dyDescent="0.2">
      <c r="A3421" s="237"/>
      <c r="B3421" s="261"/>
      <c r="C3421" s="245"/>
      <c r="D3421" s="245"/>
      <c r="E3421" s="245"/>
      <c r="F3421" s="262" t="s">
        <v>232</v>
      </c>
      <c r="G3421" s="244"/>
      <c r="H3421" s="245"/>
      <c r="I3421" s="633">
        <f>TRUNC(I3419/I3420,2)</f>
        <v>11.21</v>
      </c>
    </row>
    <row r="3422" spans="1:9" x14ac:dyDescent="0.2">
      <c r="A3422" s="867"/>
      <c r="B3422" s="233"/>
      <c r="C3422" s="199"/>
      <c r="D3422" s="199"/>
      <c r="E3422" s="199"/>
      <c r="F3422" s="263"/>
      <c r="G3422" s="199"/>
      <c r="H3422" s="199"/>
      <c r="I3422" s="264"/>
    </row>
    <row r="3423" spans="1:9" x14ac:dyDescent="0.2">
      <c r="A3423" s="246" t="s">
        <v>210</v>
      </c>
      <c r="B3423" s="247" t="s">
        <v>60</v>
      </c>
      <c r="C3423" s="247" t="s">
        <v>211</v>
      </c>
      <c r="D3423" s="247" t="s">
        <v>233</v>
      </c>
      <c r="E3423" s="1276" t="s">
        <v>91</v>
      </c>
      <c r="F3423" s="1274"/>
      <c r="G3423" s="1275"/>
      <c r="H3423" s="1276" t="s">
        <v>198</v>
      </c>
      <c r="I3423" s="1275"/>
    </row>
    <row r="3424" spans="1:9" x14ac:dyDescent="0.2">
      <c r="A3424" s="265" t="str">
        <f>VLOOKUP(B3424,mat.!$A:$D,2,FALSE)</f>
        <v>Chapa de aço 1/8"</v>
      </c>
      <c r="B3424" s="238">
        <v>10148</v>
      </c>
      <c r="C3424" s="266" t="str">
        <f>VLOOKUP(B3424,mat.!$A:$D,3,FALSE)</f>
        <v>kg</v>
      </c>
      <c r="D3424" s="267">
        <f>VLOOKUP(B3424,mat.!$A:$D,4,FALSE)</f>
        <v>4.78</v>
      </c>
      <c r="E3424" s="260"/>
      <c r="F3424" s="258"/>
      <c r="G3424" s="300">
        <v>1.109</v>
      </c>
      <c r="H3424" s="260"/>
      <c r="I3424" s="268">
        <f>TRUNC(D3424*G3424,2)</f>
        <v>5.3</v>
      </c>
    </row>
    <row r="3425" spans="1:17" x14ac:dyDescent="0.2">
      <c r="A3425" s="265" t="str">
        <f>VLOOKUP(B3425,mat.!$A:$D,2,FALSE)</f>
        <v>Tubo de aço galvanizado D=1 1/2"</v>
      </c>
      <c r="B3425" s="238">
        <v>10159</v>
      </c>
      <c r="C3425" s="266" t="str">
        <f>VLOOKUP(B3425,mat.!$A:$D,3,FALSE)</f>
        <v>M</v>
      </c>
      <c r="D3425" s="267">
        <f>VLOOKUP(B3425,mat.!$A:$D,4,FALSE)</f>
        <v>27.42</v>
      </c>
      <c r="E3425" s="260"/>
      <c r="F3425" s="258"/>
      <c r="G3425" s="300">
        <v>1.502</v>
      </c>
      <c r="H3425" s="260"/>
      <c r="I3425" s="268">
        <f>TRUNC(D3425*G3425,2)</f>
        <v>41.18</v>
      </c>
    </row>
    <row r="3426" spans="1:17" x14ac:dyDescent="0.2">
      <c r="A3426" s="199"/>
      <c r="B3426" s="233"/>
      <c r="C3426" s="199"/>
      <c r="D3426" s="199"/>
      <c r="E3426" s="199"/>
      <c r="F3426" s="234" t="s">
        <v>212</v>
      </c>
      <c r="G3426" s="244"/>
      <c r="H3426" s="245"/>
      <c r="I3426" s="434">
        <f>SUM(I3424:I3425)</f>
        <v>46.48</v>
      </c>
    </row>
    <row r="3427" spans="1:17" x14ac:dyDescent="0.2">
      <c r="A3427" s="199"/>
      <c r="B3427" s="233"/>
      <c r="C3427" s="199"/>
      <c r="D3427" s="199"/>
      <c r="E3427" s="199"/>
      <c r="F3427" s="199"/>
      <c r="G3427" s="269"/>
      <c r="H3427" s="199"/>
      <c r="I3427" s="200"/>
      <c r="J3427" s="451"/>
      <c r="K3427" s="451"/>
      <c r="L3427" s="198"/>
      <c r="M3427" s="198"/>
      <c r="N3427" s="198"/>
      <c r="P3427" s="198"/>
      <c r="Q3427" s="198"/>
    </row>
    <row r="3428" spans="1:17" x14ac:dyDescent="0.2">
      <c r="A3428" s="467" t="s">
        <v>213</v>
      </c>
      <c r="B3428" s="468" t="s">
        <v>60</v>
      </c>
      <c r="C3428" s="468" t="s">
        <v>211</v>
      </c>
      <c r="D3428" s="869" t="s">
        <v>233</v>
      </c>
      <c r="E3428" s="1281" t="s">
        <v>91</v>
      </c>
      <c r="F3428" s="1282"/>
      <c r="G3428" s="1283"/>
      <c r="H3428" s="1284" t="s">
        <v>198</v>
      </c>
      <c r="I3428" s="1285"/>
      <c r="J3428" s="451"/>
      <c r="K3428" s="451"/>
      <c r="L3428" s="198"/>
      <c r="M3428" s="198"/>
      <c r="N3428" s="198"/>
      <c r="P3428" s="198"/>
      <c r="Q3428" s="198"/>
    </row>
    <row r="3429" spans="1:17" x14ac:dyDescent="0.2">
      <c r="A3429" s="452"/>
      <c r="B3429" s="453"/>
      <c r="C3429" s="453"/>
      <c r="D3429" s="454"/>
      <c r="E3429" s="455"/>
      <c r="F3429" s="456"/>
      <c r="G3429" s="457"/>
      <c r="H3429" s="458"/>
      <c r="I3429" s="459"/>
    </row>
    <row r="3430" spans="1:17" x14ac:dyDescent="0.2">
      <c r="A3430" s="201"/>
      <c r="B3430" s="271"/>
      <c r="C3430" s="201"/>
      <c r="D3430" s="201"/>
      <c r="E3430" s="201"/>
      <c r="F3430" s="272" t="s">
        <v>214</v>
      </c>
      <c r="G3430" s="260"/>
      <c r="H3430" s="273"/>
      <c r="I3430" s="436">
        <f>SUM(I3429:I3429)</f>
        <v>0</v>
      </c>
    </row>
    <row r="3431" spans="1:17" x14ac:dyDescent="0.2">
      <c r="A3431" s="201"/>
      <c r="B3431" s="271"/>
      <c r="C3431" s="201"/>
      <c r="D3431" s="201"/>
      <c r="E3431" s="201"/>
      <c r="F3431" s="201"/>
      <c r="G3431" s="201"/>
      <c r="H3431" s="201"/>
      <c r="I3431" s="201"/>
    </row>
    <row r="3432" spans="1:17" x14ac:dyDescent="0.2">
      <c r="A3432" s="274" t="s">
        <v>215</v>
      </c>
      <c r="B3432" s="275" t="s">
        <v>60</v>
      </c>
      <c r="C3432" s="275" t="s">
        <v>211</v>
      </c>
      <c r="D3432" s="275" t="s">
        <v>216</v>
      </c>
      <c r="E3432" s="275" t="s">
        <v>217</v>
      </c>
      <c r="F3432" s="275" t="s">
        <v>218</v>
      </c>
      <c r="G3432" s="275" t="s">
        <v>96</v>
      </c>
      <c r="H3432" s="275" t="s">
        <v>91</v>
      </c>
      <c r="I3432" s="275" t="s">
        <v>219</v>
      </c>
    </row>
    <row r="3433" spans="1:17" x14ac:dyDescent="0.2">
      <c r="A3433" s="265"/>
      <c r="B3433" s="238"/>
      <c r="C3433" s="238"/>
      <c r="D3433" s="437"/>
      <c r="E3433" s="277"/>
      <c r="F3433" s="277"/>
      <c r="G3433" s="243"/>
      <c r="H3433" s="278"/>
      <c r="I3433" s="243"/>
    </row>
    <row r="3434" spans="1:17" x14ac:dyDescent="0.2">
      <c r="A3434" s="201"/>
      <c r="B3434" s="271"/>
      <c r="C3434" s="201"/>
      <c r="D3434" s="201"/>
      <c r="E3434" s="201"/>
      <c r="F3434" s="272" t="s">
        <v>220</v>
      </c>
      <c r="G3434" s="244"/>
      <c r="H3434" s="279"/>
      <c r="I3434" s="438">
        <f>SUM(I3433:I3433)</f>
        <v>0</v>
      </c>
    </row>
    <row r="3435" spans="1:17" x14ac:dyDescent="0.2">
      <c r="A3435" s="201"/>
      <c r="B3435" s="271"/>
      <c r="C3435" s="201"/>
      <c r="D3435" s="201"/>
      <c r="E3435" s="201"/>
      <c r="F3435" s="201"/>
      <c r="G3435" s="201"/>
      <c r="H3435" s="201"/>
      <c r="I3435" s="202"/>
    </row>
    <row r="3436" spans="1:17" x14ac:dyDescent="0.2">
      <c r="A3436" s="280"/>
      <c r="B3436" s="281"/>
      <c r="C3436" s="282"/>
      <c r="D3436" s="282"/>
      <c r="E3436" s="282"/>
      <c r="F3436" s="283" t="s">
        <v>221</v>
      </c>
      <c r="G3436" s="280"/>
      <c r="H3436" s="254"/>
      <c r="I3436" s="634">
        <f>+I3421+I3426+I3430+I3434</f>
        <v>57.69</v>
      </c>
    </row>
    <row r="3437" spans="1:17" x14ac:dyDescent="0.2">
      <c r="A3437" s="260"/>
      <c r="B3437" s="284"/>
      <c r="C3437" s="273"/>
      <c r="D3437" s="273"/>
      <c r="E3437" s="273"/>
      <c r="F3437" s="285" t="str">
        <f>CONCATENATE($H$3," ",$I$3)</f>
        <v>BDI: 23,32</v>
      </c>
      <c r="G3437" s="439"/>
      <c r="H3437" s="258"/>
      <c r="I3437" s="635">
        <f>+ROUND(I3436*$I$4,2)</f>
        <v>13.45</v>
      </c>
    </row>
    <row r="3438" spans="1:17" x14ac:dyDescent="0.2">
      <c r="A3438" s="618"/>
      <c r="B3438" s="617"/>
      <c r="C3438" s="201"/>
      <c r="D3438" s="201"/>
      <c r="E3438" s="201"/>
      <c r="F3438" s="272" t="s">
        <v>222</v>
      </c>
      <c r="G3438" s="619"/>
      <c r="H3438" s="199"/>
      <c r="I3438" s="1019">
        <f>+I3436+I3437</f>
        <v>71.14</v>
      </c>
    </row>
    <row r="3439" spans="1:17" x14ac:dyDescent="0.2">
      <c r="A3439" s="1277" t="str">
        <f>$A$1</f>
        <v>COMPOSIÇÃO DE CUSTOS UNITÁRIOS</v>
      </c>
      <c r="B3439" s="1277"/>
      <c r="C3439" s="1277"/>
      <c r="D3439" s="1277"/>
      <c r="E3439" s="1277"/>
      <c r="F3439" s="1277"/>
      <c r="G3439" s="1277"/>
      <c r="H3439" s="1277"/>
      <c r="I3439" s="1277"/>
    </row>
    <row r="3440" spans="1:17" x14ac:dyDescent="0.2">
      <c r="A3440" s="232" t="str">
        <f>$A$2</f>
        <v>Tabela Referencial de Preços - DER-ES</v>
      </c>
      <c r="B3440" s="233"/>
      <c r="C3440" s="199"/>
      <c r="D3440" s="199"/>
      <c r="E3440" s="199"/>
      <c r="F3440" s="199"/>
      <c r="G3440" s="199"/>
      <c r="H3440" s="199"/>
      <c r="I3440" s="234" t="str">
        <f>$I$2</f>
        <v>Data Base: Outubro/2018</v>
      </c>
      <c r="J3440" s="433">
        <v>40369</v>
      </c>
      <c r="K3440" s="433">
        <f>VLOOKUP("Preço Unitário Total",F3442:I4327,4,FALSE)</f>
        <v>935.57</v>
      </c>
      <c r="L3440" s="302" t="str">
        <f>VLOOKUP(J3440,'DER 10-18'!A:E,5,FALSE)</f>
        <v>A incluir</v>
      </c>
      <c r="M3440" s="302" t="str">
        <f>VLOOKUP(J3440,'DER 10-18'!$A:$D,2,FALSE)</f>
        <v>Concreto estrutural fck = 35,0 MPa com micro-silica e Sikacrete BR ou equivalente</v>
      </c>
    </row>
    <row r="3441" spans="1:11" x14ac:dyDescent="0.2">
      <c r="A3441" s="1278" t="str">
        <f>+CONCATENATE("Serviço: ",J3440," ",VLOOKUP(J3440,'DER 10-18'!$A:$D,2,FALSE))</f>
        <v>Serviço: 40369 Concreto estrutural fck = 35,0 MPa com micro-silica e Sikacrete BR ou equivalente</v>
      </c>
      <c r="B3441" s="1278"/>
      <c r="C3441" s="1278"/>
      <c r="D3441" s="1278"/>
      <c r="E3441" s="1278"/>
      <c r="F3441" s="1278"/>
      <c r="G3441" s="1278"/>
      <c r="H3441" s="1278"/>
      <c r="I3441" s="1278" t="str">
        <f>CONCATENATE("Unidade: ", VLOOKUP(J3440,'DER 10-18'!$A:$E,3,FALSE))</f>
        <v>Unidade: M3</v>
      </c>
    </row>
    <row r="3442" spans="1:11" x14ac:dyDescent="0.2">
      <c r="A3442" s="1279"/>
      <c r="B3442" s="1279"/>
      <c r="C3442" s="1279"/>
      <c r="D3442" s="1279"/>
      <c r="E3442" s="1279"/>
      <c r="F3442" s="1279"/>
      <c r="G3442" s="1279"/>
      <c r="H3442" s="1279"/>
      <c r="I3442" s="1279"/>
    </row>
    <row r="3443" spans="1:11" ht="22.5" x14ac:dyDescent="0.2">
      <c r="A3443" s="235" t="s">
        <v>192</v>
      </c>
      <c r="B3443" s="236" t="s">
        <v>60</v>
      </c>
      <c r="C3443" s="236" t="s">
        <v>193</v>
      </c>
      <c r="D3443" s="236" t="s">
        <v>194</v>
      </c>
      <c r="E3443" s="236" t="s">
        <v>195</v>
      </c>
      <c r="F3443" s="236" t="s">
        <v>196</v>
      </c>
      <c r="G3443" s="236" t="s">
        <v>197</v>
      </c>
      <c r="H3443" s="236" t="s">
        <v>91</v>
      </c>
      <c r="I3443" s="236" t="s">
        <v>198</v>
      </c>
    </row>
    <row r="3444" spans="1:11" ht="22.5" x14ac:dyDescent="0.2">
      <c r="A3444" s="237" t="str">
        <f>VLOOKUP(B3444,equip.!$A:$G,2,FALSE)</f>
        <v>Betoneira 600 l com carregador (elétrica)</v>
      </c>
      <c r="B3444" s="238">
        <v>30070</v>
      </c>
      <c r="C3444" s="239">
        <f>VLOOKUP(B3444,equip.!$A$1:$G$239,3,FALSE)</f>
        <v>0</v>
      </c>
      <c r="D3444" s="240">
        <v>1</v>
      </c>
      <c r="E3444" s="205">
        <v>0</v>
      </c>
      <c r="F3444" s="241">
        <f>VLOOKUP(B3444,equip.!$A:$G,6,FALSE)</f>
        <v>24.55</v>
      </c>
      <c r="G3444" s="241">
        <f>VLOOKUP(B3444,equip.!$A:$G,7,FALSE)</f>
        <v>19.8</v>
      </c>
      <c r="H3444" s="242">
        <v>1</v>
      </c>
      <c r="I3444" s="243">
        <f t="shared" ref="I3444:I3445" si="36">TRUNC(D3444*F3444*H3444+E3444*G3444*H3444,2)</f>
        <v>24.55</v>
      </c>
    </row>
    <row r="3445" spans="1:11" x14ac:dyDescent="0.2">
      <c r="A3445" s="237" t="str">
        <f>VLOOKUP(B3445,equip.!$A:$G,2,FALSE)</f>
        <v>Carrinho de mão</v>
      </c>
      <c r="B3445" s="238">
        <v>30076</v>
      </c>
      <c r="C3445" s="239">
        <f>VLOOKUP(B3445,equip.!$A$1:$G$239,3,FALSE)</f>
        <v>0</v>
      </c>
      <c r="D3445" s="240">
        <v>1</v>
      </c>
      <c r="E3445" s="205">
        <v>0</v>
      </c>
      <c r="F3445" s="241">
        <f>VLOOKUP(B3445,equip.!$A:$G,6,FALSE)</f>
        <v>0.18</v>
      </c>
      <c r="G3445" s="241">
        <f>VLOOKUP(B3445,equip.!$A:$G,7,FALSE)</f>
        <v>0.12</v>
      </c>
      <c r="H3445" s="242">
        <v>3</v>
      </c>
      <c r="I3445" s="243">
        <f t="shared" si="36"/>
        <v>0.54</v>
      </c>
      <c r="J3445" s="302"/>
      <c r="K3445" s="302"/>
    </row>
    <row r="3446" spans="1:11" ht="33.75" x14ac:dyDescent="0.2">
      <c r="A3446" s="237" t="str">
        <f>VLOOKUP(B3446,equip.!$A:$G,2,FALSE)</f>
        <v>Vibrador de imersao AA67 c/ mangote, marca de referência ATLAS COPCO ou equivalente</v>
      </c>
      <c r="B3446" s="238">
        <v>30071</v>
      </c>
      <c r="C3446" s="239">
        <f>VLOOKUP(B3446,equip.!$A$1:$G$239,3,FALSE)</f>
        <v>0</v>
      </c>
      <c r="D3446" s="240">
        <v>1</v>
      </c>
      <c r="E3446" s="205">
        <v>0</v>
      </c>
      <c r="F3446" s="241">
        <f>VLOOKUP(B3446,equip.!$A:$G,6,FALSE)</f>
        <v>15.14</v>
      </c>
      <c r="G3446" s="241">
        <f>VLOOKUP(B3446,equip.!$A:$G,7,FALSE)</f>
        <v>12.3</v>
      </c>
      <c r="H3446" s="242">
        <v>2</v>
      </c>
      <c r="I3446" s="243">
        <f>TRUNC(D3446*F3446*H3446+E3446*G3446*H3446,2)</f>
        <v>30.28</v>
      </c>
      <c r="J3446" s="302"/>
      <c r="K3446" s="302"/>
    </row>
    <row r="3447" spans="1:11" x14ac:dyDescent="0.2">
      <c r="A3447" s="199"/>
      <c r="B3447" s="233"/>
      <c r="C3447" s="233"/>
      <c r="D3447" s="199"/>
      <c r="E3447" s="199"/>
      <c r="F3447" s="234" t="s">
        <v>199</v>
      </c>
      <c r="G3447" s="244"/>
      <c r="H3447" s="245"/>
      <c r="I3447" s="434">
        <f>SUM(I3444:I3446)</f>
        <v>55.37</v>
      </c>
      <c r="J3447" s="302"/>
      <c r="K3447" s="302"/>
    </row>
    <row r="3448" spans="1:11" x14ac:dyDescent="0.2">
      <c r="A3448" s="199"/>
      <c r="B3448" s="233"/>
      <c r="C3448" s="233"/>
      <c r="D3448" s="199"/>
      <c r="E3448" s="199"/>
      <c r="F3448" s="199"/>
      <c r="G3448" s="199"/>
      <c r="H3448" s="199"/>
      <c r="I3448" s="200"/>
      <c r="J3448" s="302"/>
      <c r="K3448" s="302"/>
    </row>
    <row r="3449" spans="1:11" x14ac:dyDescent="0.2">
      <c r="A3449" s="246" t="s">
        <v>200</v>
      </c>
      <c r="B3449" s="247" t="s">
        <v>60</v>
      </c>
      <c r="C3449" s="236" t="s">
        <v>1242</v>
      </c>
      <c r="D3449" s="247" t="s">
        <v>202</v>
      </c>
      <c r="E3449" s="1271" t="s">
        <v>91</v>
      </c>
      <c r="F3449" s="1272"/>
      <c r="G3449" s="1273"/>
      <c r="H3449" s="1276" t="s">
        <v>198</v>
      </c>
      <c r="I3449" s="1275"/>
      <c r="J3449" s="302"/>
      <c r="K3449" s="302"/>
    </row>
    <row r="3450" spans="1:11" x14ac:dyDescent="0.2">
      <c r="A3450" s="248" t="str">
        <f>VLOOKUP(B3450,m.o.!$A:$H,2,FALSE)</f>
        <v>Encarregado de O.A.C.</v>
      </c>
      <c r="B3450" s="238">
        <v>20060</v>
      </c>
      <c r="C3450" s="243">
        <f>VLOOKUP(B3450,m.o.!$A:$F,4,FALSE)</f>
        <v>2.2599999999999998</v>
      </c>
      <c r="D3450" s="243">
        <f>VLOOKUP(B3450,m.o.!$A:$G,7,FALSE)</f>
        <v>26.3</v>
      </c>
      <c r="E3450" s="260"/>
      <c r="F3450" s="258"/>
      <c r="G3450" s="300">
        <v>1</v>
      </c>
      <c r="H3450" s="244"/>
      <c r="I3450" s="249">
        <f>TRUNC(D3450*G3450,2)</f>
        <v>26.3</v>
      </c>
      <c r="J3450" s="302"/>
      <c r="K3450" s="302"/>
    </row>
    <row r="3451" spans="1:11" x14ac:dyDescent="0.2">
      <c r="A3451" s="248" t="str">
        <f>VLOOKUP(B3451,m.o.!$A:$H,2,FALSE)</f>
        <v>Operário braçal</v>
      </c>
      <c r="B3451" s="238">
        <v>20107</v>
      </c>
      <c r="C3451" s="243">
        <f>VLOOKUP(B3451,m.o.!$A:$F,4,FALSE)</f>
        <v>1.02</v>
      </c>
      <c r="D3451" s="243">
        <f>VLOOKUP(B3451,m.o.!$A:$G,7,FALSE)</f>
        <v>11.87</v>
      </c>
      <c r="E3451" s="260"/>
      <c r="F3451" s="258"/>
      <c r="G3451" s="300">
        <v>10</v>
      </c>
      <c r="H3451" s="244"/>
      <c r="I3451" s="249">
        <f>TRUNC(D3451*G3451,2)</f>
        <v>118.7</v>
      </c>
      <c r="J3451" s="302"/>
      <c r="K3451" s="302"/>
    </row>
    <row r="3452" spans="1:11" x14ac:dyDescent="0.2">
      <c r="A3452" s="248" t="str">
        <f>VLOOKUP(B3452,m.o.!$A:$H,2,FALSE)</f>
        <v>Pedreiro de O.A.C.</v>
      </c>
      <c r="B3452" s="238">
        <v>20109</v>
      </c>
      <c r="C3452" s="243">
        <f>VLOOKUP(B3452,m.o.!$A:$F,4,FALSE)</f>
        <v>1.24</v>
      </c>
      <c r="D3452" s="243">
        <f>VLOOKUP(B3452,m.o.!$A:$G,7,FALSE)</f>
        <v>14.43</v>
      </c>
      <c r="E3452" s="260"/>
      <c r="F3452" s="258"/>
      <c r="G3452" s="300">
        <v>2</v>
      </c>
      <c r="H3452" s="244"/>
      <c r="I3452" s="249">
        <f>TRUNC(D3452*G3452,2)</f>
        <v>28.86</v>
      </c>
      <c r="J3452" s="302"/>
      <c r="K3452" s="302"/>
    </row>
    <row r="3453" spans="1:11" x14ac:dyDescent="0.2">
      <c r="A3453" s="199"/>
      <c r="B3453" s="233"/>
      <c r="C3453" s="233"/>
      <c r="D3453" s="199"/>
      <c r="E3453" s="199"/>
      <c r="F3453" s="234" t="s">
        <v>203</v>
      </c>
      <c r="G3453" s="244"/>
      <c r="H3453" s="245"/>
      <c r="I3453" s="434">
        <f>SUM(I3450:I3452)</f>
        <v>173.86</v>
      </c>
      <c r="J3453" s="302"/>
      <c r="K3453" s="302"/>
    </row>
    <row r="3454" spans="1:11" x14ac:dyDescent="0.2">
      <c r="A3454" s="199"/>
      <c r="B3454" s="233"/>
      <c r="C3454" s="233"/>
      <c r="D3454" s="199"/>
      <c r="E3454" s="199"/>
      <c r="F3454" s="199"/>
      <c r="G3454" s="199"/>
      <c r="H3454" s="199"/>
      <c r="I3454" s="200"/>
      <c r="J3454" s="302"/>
      <c r="K3454" s="302"/>
    </row>
    <row r="3455" spans="1:11" x14ac:dyDescent="0.2">
      <c r="A3455" s="250" t="s">
        <v>204</v>
      </c>
      <c r="B3455" s="247" t="s">
        <v>60</v>
      </c>
      <c r="C3455" s="866" t="s">
        <v>17</v>
      </c>
      <c r="D3455" s="247" t="s">
        <v>205</v>
      </c>
      <c r="E3455" s="247" t="s">
        <v>206</v>
      </c>
      <c r="F3455" s="247" t="s">
        <v>207</v>
      </c>
      <c r="G3455" s="1276" t="s">
        <v>96</v>
      </c>
      <c r="H3455" s="1274"/>
      <c r="I3455" s="1275"/>
      <c r="J3455" s="302"/>
      <c r="K3455" s="302"/>
    </row>
    <row r="3456" spans="1:11" x14ac:dyDescent="0.2">
      <c r="A3456" s="248" t="s">
        <v>142</v>
      </c>
      <c r="B3456" s="238">
        <v>2000</v>
      </c>
      <c r="C3456" s="243">
        <v>5</v>
      </c>
      <c r="D3456" s="239" t="s">
        <v>223</v>
      </c>
      <c r="E3456" s="251"/>
      <c r="F3456" s="251"/>
      <c r="G3456" s="244"/>
      <c r="H3456" s="245"/>
      <c r="I3456" s="249">
        <f>C3456/100*I3453</f>
        <v>8.69</v>
      </c>
      <c r="J3456" s="302"/>
      <c r="K3456" s="302"/>
    </row>
    <row r="3457" spans="1:17" x14ac:dyDescent="0.2">
      <c r="A3457" s="199"/>
      <c r="B3457" s="233"/>
      <c r="C3457" s="199"/>
      <c r="D3457" s="199"/>
      <c r="E3457" s="199"/>
      <c r="F3457" s="234" t="s">
        <v>1170</v>
      </c>
      <c r="G3457" s="244"/>
      <c r="H3457" s="245"/>
      <c r="I3457" s="434">
        <f>SUM(I3456)</f>
        <v>8.69</v>
      </c>
      <c r="J3457" s="302"/>
      <c r="K3457" s="302"/>
    </row>
    <row r="3458" spans="1:17" x14ac:dyDescent="0.2">
      <c r="A3458" s="199"/>
      <c r="B3458" s="233"/>
      <c r="C3458" s="199"/>
      <c r="D3458" s="199"/>
      <c r="E3458" s="199"/>
      <c r="F3458" s="199"/>
      <c r="G3458" s="199"/>
      <c r="H3458" s="199"/>
      <c r="I3458" s="200"/>
      <c r="J3458" s="302"/>
      <c r="K3458" s="302"/>
    </row>
    <row r="3459" spans="1:17" x14ac:dyDescent="0.2">
      <c r="A3459" s="252"/>
      <c r="B3459" s="253"/>
      <c r="C3459" s="254"/>
      <c r="D3459" s="254"/>
      <c r="E3459" s="254"/>
      <c r="F3459" s="255" t="s">
        <v>208</v>
      </c>
      <c r="G3459" s="435"/>
      <c r="H3459" s="254"/>
      <c r="I3459" s="634">
        <f>+I3447+I3453+I3457</f>
        <v>237.92</v>
      </c>
      <c r="J3459" s="302"/>
      <c r="K3459" s="302"/>
    </row>
    <row r="3460" spans="1:17" x14ac:dyDescent="0.2">
      <c r="A3460" s="256"/>
      <c r="B3460" s="257"/>
      <c r="C3460" s="258"/>
      <c r="D3460" s="258"/>
      <c r="E3460" s="258"/>
      <c r="F3460" s="259" t="s">
        <v>209</v>
      </c>
      <c r="G3460" s="260"/>
      <c r="H3460" s="258"/>
      <c r="I3460" s="635">
        <v>1</v>
      </c>
      <c r="J3460" s="302"/>
      <c r="K3460" s="302"/>
    </row>
    <row r="3461" spans="1:17" x14ac:dyDescent="0.2">
      <c r="A3461" s="237"/>
      <c r="B3461" s="261"/>
      <c r="C3461" s="245"/>
      <c r="D3461" s="245"/>
      <c r="E3461" s="245"/>
      <c r="F3461" s="262" t="s">
        <v>232</v>
      </c>
      <c r="G3461" s="244"/>
      <c r="H3461" s="245"/>
      <c r="I3461" s="633">
        <f>TRUNC(I3459/I3460,2)</f>
        <v>237.92</v>
      </c>
    </row>
    <row r="3462" spans="1:17" x14ac:dyDescent="0.2">
      <c r="A3462" s="867"/>
      <c r="B3462" s="233"/>
      <c r="C3462" s="199"/>
      <c r="D3462" s="199"/>
      <c r="E3462" s="199"/>
      <c r="F3462" s="263"/>
      <c r="G3462" s="199"/>
      <c r="H3462" s="199"/>
      <c r="I3462" s="264"/>
    </row>
    <row r="3463" spans="1:17" x14ac:dyDescent="0.2">
      <c r="A3463" s="246" t="s">
        <v>210</v>
      </c>
      <c r="B3463" s="247" t="s">
        <v>60</v>
      </c>
      <c r="C3463" s="247" t="s">
        <v>211</v>
      </c>
      <c r="D3463" s="247" t="s">
        <v>233</v>
      </c>
      <c r="E3463" s="1276" t="s">
        <v>91</v>
      </c>
      <c r="F3463" s="1274"/>
      <c r="G3463" s="1275"/>
      <c r="H3463" s="1276" t="s">
        <v>198</v>
      </c>
      <c r="I3463" s="1275"/>
    </row>
    <row r="3464" spans="1:17" ht="22.5" x14ac:dyDescent="0.2">
      <c r="A3464" s="265" t="str">
        <f>VLOOKUP(B3464,mat.!$A:$D,2,FALSE)</f>
        <v>Areia grossa jazida com carregamento mecânico</v>
      </c>
      <c r="B3464" s="238">
        <v>10109</v>
      </c>
      <c r="C3464" s="266" t="str">
        <f>VLOOKUP(B3464,mat.!$A:$D,3,FALSE)</f>
        <v>m3</v>
      </c>
      <c r="D3464" s="267">
        <f>VLOOKUP(B3464,mat.!$A:$D,4,FALSE)</f>
        <v>64.22</v>
      </c>
      <c r="E3464" s="260"/>
      <c r="F3464" s="258"/>
      <c r="G3464" s="300">
        <v>0.53959999999999997</v>
      </c>
      <c r="H3464" s="260"/>
      <c r="I3464" s="268">
        <f t="shared" ref="I3464:I3466" si="37">TRUNC(D3464*G3464,2)</f>
        <v>34.65</v>
      </c>
    </row>
    <row r="3465" spans="1:17" x14ac:dyDescent="0.2">
      <c r="A3465" s="265" t="str">
        <f>VLOOKUP(B3465,mat.!$A:$D,2,FALSE)</f>
        <v>Cimento CP III</v>
      </c>
      <c r="B3465" s="238">
        <v>10092</v>
      </c>
      <c r="C3465" s="266" t="str">
        <f>VLOOKUP(B3465,mat.!$A:$D,3,FALSE)</f>
        <v>kg</v>
      </c>
      <c r="D3465" s="267">
        <f>VLOOKUP(B3465,mat.!$A:$D,4,FALSE)</f>
        <v>0.38</v>
      </c>
      <c r="E3465" s="260"/>
      <c r="F3465" s="258"/>
      <c r="G3465" s="300">
        <v>510</v>
      </c>
      <c r="H3465" s="260"/>
      <c r="I3465" s="268">
        <f t="shared" si="37"/>
        <v>193.8</v>
      </c>
    </row>
    <row r="3466" spans="1:17" x14ac:dyDescent="0.2">
      <c r="A3466" s="265" t="str">
        <f>VLOOKUP(B3466,mat.!$A:$D,2,FALSE)</f>
        <v>Pedra britada p/ concreto, sem frete</v>
      </c>
      <c r="B3466" s="238">
        <v>10125</v>
      </c>
      <c r="C3466" s="266" t="str">
        <f>VLOOKUP(B3466,mat.!$A:$D,3,FALSE)</f>
        <v>m3</v>
      </c>
      <c r="D3466" s="267">
        <f>VLOOKUP(B3466,mat.!$A:$D,4,FALSE)</f>
        <v>60.76</v>
      </c>
      <c r="E3466" s="260"/>
      <c r="F3466" s="258"/>
      <c r="G3466" s="300">
        <v>0.77700000000000002</v>
      </c>
      <c r="H3466" s="260"/>
      <c r="I3466" s="268">
        <f t="shared" si="37"/>
        <v>47.21</v>
      </c>
    </row>
    <row r="3467" spans="1:17" x14ac:dyDescent="0.2">
      <c r="A3467" s="265" t="str">
        <f>VLOOKUP(B3467,mat.!$A:$D,2,FALSE)</f>
        <v>Sikacrete BR</v>
      </c>
      <c r="B3467" s="238">
        <v>11558</v>
      </c>
      <c r="C3467" s="266" t="str">
        <f>VLOOKUP(B3467,mat.!$A:$D,3,FALSE)</f>
        <v>L</v>
      </c>
      <c r="D3467" s="267">
        <f>VLOOKUP(B3467,mat.!$A:$D,4,FALSE)</f>
        <v>9.42</v>
      </c>
      <c r="E3467" s="260"/>
      <c r="F3467" s="258"/>
      <c r="G3467" s="300">
        <v>7.65</v>
      </c>
      <c r="H3467" s="260"/>
      <c r="I3467" s="268">
        <f>TRUNC(D3467*G3467,2)</f>
        <v>72.06</v>
      </c>
    </row>
    <row r="3468" spans="1:17" x14ac:dyDescent="0.2">
      <c r="A3468" s="265" t="str">
        <f>VLOOKUP(B3468,mat.!$A:$D,2,FALSE)</f>
        <v>Silica ativa (micro-silica) saco 15 kg</v>
      </c>
      <c r="B3468" s="238">
        <v>10099</v>
      </c>
      <c r="C3468" s="266" t="str">
        <f>VLOOKUP(B3468,mat.!$A:$D,3,FALSE)</f>
        <v>SC</v>
      </c>
      <c r="D3468" s="267">
        <f>VLOOKUP(B3468,mat.!$A:$D,4,FALSE)</f>
        <v>39.6</v>
      </c>
      <c r="E3468" s="260"/>
      <c r="F3468" s="258"/>
      <c r="G3468" s="300">
        <v>2.74</v>
      </c>
      <c r="H3468" s="260"/>
      <c r="I3468" s="268">
        <f>TRUNC(D3468*G3468,2)</f>
        <v>108.5</v>
      </c>
    </row>
    <row r="3469" spans="1:17" x14ac:dyDescent="0.2">
      <c r="A3469" s="199"/>
      <c r="B3469" s="233"/>
      <c r="C3469" s="199"/>
      <c r="D3469" s="199"/>
      <c r="E3469" s="199"/>
      <c r="F3469" s="234" t="s">
        <v>212</v>
      </c>
      <c r="G3469" s="244"/>
      <c r="H3469" s="245"/>
      <c r="I3469" s="434">
        <f>SUM(I3464:I3468)</f>
        <v>456.22</v>
      </c>
    </row>
    <row r="3470" spans="1:17" x14ac:dyDescent="0.2">
      <c r="A3470" s="199"/>
      <c r="B3470" s="233"/>
      <c r="C3470" s="199"/>
      <c r="D3470" s="199"/>
      <c r="E3470" s="199"/>
      <c r="F3470" s="199"/>
      <c r="G3470" s="269"/>
      <c r="H3470" s="199"/>
      <c r="I3470" s="200"/>
      <c r="J3470" s="451"/>
      <c r="K3470" s="451"/>
      <c r="L3470" s="198"/>
      <c r="M3470" s="198"/>
      <c r="N3470" s="198"/>
      <c r="P3470" s="198"/>
      <c r="Q3470" s="198"/>
    </row>
    <row r="3471" spans="1:17" x14ac:dyDescent="0.2">
      <c r="A3471" s="467" t="s">
        <v>213</v>
      </c>
      <c r="B3471" s="468" t="s">
        <v>60</v>
      </c>
      <c r="C3471" s="468" t="s">
        <v>211</v>
      </c>
      <c r="D3471" s="869" t="s">
        <v>233</v>
      </c>
      <c r="E3471" s="1281" t="s">
        <v>91</v>
      </c>
      <c r="F3471" s="1282"/>
      <c r="G3471" s="1283"/>
      <c r="H3471" s="1284" t="s">
        <v>198</v>
      </c>
      <c r="I3471" s="1285"/>
      <c r="J3471" s="451"/>
      <c r="K3471" s="451"/>
      <c r="L3471" s="198"/>
      <c r="M3471" s="198"/>
      <c r="N3471" s="198"/>
      <c r="P3471" s="198"/>
      <c r="Q3471" s="198"/>
    </row>
    <row r="3472" spans="1:17" x14ac:dyDescent="0.2">
      <c r="A3472" s="452"/>
      <c r="B3472" s="453"/>
      <c r="C3472" s="453"/>
      <c r="D3472" s="454"/>
      <c r="E3472" s="455"/>
      <c r="F3472" s="456"/>
      <c r="G3472" s="457"/>
      <c r="H3472" s="458"/>
      <c r="I3472" s="459"/>
    </row>
    <row r="3473" spans="1:13" x14ac:dyDescent="0.2">
      <c r="A3473" s="201"/>
      <c r="B3473" s="271"/>
      <c r="C3473" s="201"/>
      <c r="D3473" s="201"/>
      <c r="E3473" s="201"/>
      <c r="F3473" s="272" t="s">
        <v>214</v>
      </c>
      <c r="G3473" s="260"/>
      <c r="H3473" s="273"/>
      <c r="I3473" s="436">
        <f>SUM(I3472:I3472)</f>
        <v>0</v>
      </c>
    </row>
    <row r="3474" spans="1:13" x14ac:dyDescent="0.2">
      <c r="A3474" s="201"/>
      <c r="B3474" s="271"/>
      <c r="C3474" s="201"/>
      <c r="D3474" s="201"/>
      <c r="E3474" s="201"/>
      <c r="F3474" s="201"/>
      <c r="G3474" s="201"/>
      <c r="H3474" s="201"/>
      <c r="I3474" s="201"/>
    </row>
    <row r="3475" spans="1:13" x14ac:dyDescent="0.2">
      <c r="A3475" s="274" t="s">
        <v>215</v>
      </c>
      <c r="B3475" s="275" t="s">
        <v>60</v>
      </c>
      <c r="C3475" s="275" t="s">
        <v>211</v>
      </c>
      <c r="D3475" s="275" t="s">
        <v>216</v>
      </c>
      <c r="E3475" s="275" t="s">
        <v>217</v>
      </c>
      <c r="F3475" s="275" t="s">
        <v>218</v>
      </c>
      <c r="G3475" s="275" t="s">
        <v>96</v>
      </c>
      <c r="H3475" s="275" t="s">
        <v>91</v>
      </c>
      <c r="I3475" s="275" t="s">
        <v>219</v>
      </c>
    </row>
    <row r="3476" spans="1:13" ht="22.5" x14ac:dyDescent="0.2">
      <c r="A3476" s="265" t="str">
        <f>VLOOKUP(B3476,tranp.!A:D,2,FALSE)</f>
        <v>Transp. de Areia grossa jazida c/ carreg.mecânico</v>
      </c>
      <c r="B3476" s="238">
        <v>1026</v>
      </c>
      <c r="C3476" s="238" t="str">
        <f>VLOOKUP(B3476,tranp.!$A:$J,3,FALSE)</f>
        <v xml:space="preserve"> t  </v>
      </c>
      <c r="D3476" s="437" t="str">
        <f>VLOOKUP(B3476,tranp.!$A:$J,4,FALSE)</f>
        <v>0,681XP + 0,710XR + 2,841</v>
      </c>
      <c r="E3476" s="277">
        <f>VLOOKUP(J3476,Ocor.!$B:$F,4,FALSE)</f>
        <v>10</v>
      </c>
      <c r="F3476" s="277">
        <f>VLOOKUP(J3476,Ocor.!$B:$F,5,FALSE)</f>
        <v>5.6</v>
      </c>
      <c r="G3476" s="243">
        <f>TRUNC(VLOOKUP(B3476,tranp.!$A:$J,5,FALSE)*E3476+VLOOKUP(B3476,tranp.!$A:$J,6,FALSE)*F3476+VLOOKUP(B3476,tranp.!$A:$J,7,FALSE),2)</f>
        <v>13.62</v>
      </c>
      <c r="H3476" s="278">
        <v>0.80940000000000001</v>
      </c>
      <c r="I3476" s="243">
        <f t="shared" ref="I3476:I3479" si="38">TRUNC(G3476*H3476,2)</f>
        <v>11.02</v>
      </c>
      <c r="J3476" s="433" t="s">
        <v>115</v>
      </c>
    </row>
    <row r="3477" spans="1:13" x14ac:dyDescent="0.2">
      <c r="A3477" s="265" t="str">
        <f>VLOOKUP(B3477,tranp.!A:D,2,FALSE)</f>
        <v>Transp. de Cimento</v>
      </c>
      <c r="B3477" s="238">
        <v>1153</v>
      </c>
      <c r="C3477" s="238" t="str">
        <f>VLOOKUP(B3477,tranp.!$A:$J,3,FALSE)</f>
        <v xml:space="preserve"> t  </v>
      </c>
      <c r="D3477" s="437" t="str">
        <f>VLOOKUP(B3477,tranp.!$A:$J,4,FALSE)</f>
        <v>0,676XP + 0,703XR</v>
      </c>
      <c r="E3477" s="277">
        <f>VLOOKUP(J3477,Ocor.!$B:$F,4,FALSE)</f>
        <v>37.200000000000003</v>
      </c>
      <c r="F3477" s="277">
        <f>VLOOKUP(J3477,Ocor.!$B:$F,5,FALSE)</f>
        <v>5.6</v>
      </c>
      <c r="G3477" s="243">
        <f>TRUNC(VLOOKUP(B3477,tranp.!$A:$J,5,FALSE)*E3477+VLOOKUP(B3477,tranp.!$A:$J,6,FALSE)*F3477+VLOOKUP(B3477,tranp.!$A:$J,7,FALSE),2)</f>
        <v>29.08</v>
      </c>
      <c r="H3477" s="278">
        <v>0.51</v>
      </c>
      <c r="I3477" s="243">
        <f t="shared" si="38"/>
        <v>14.83</v>
      </c>
      <c r="J3477" s="433" t="s">
        <v>174</v>
      </c>
    </row>
    <row r="3478" spans="1:13" ht="22.5" x14ac:dyDescent="0.2">
      <c r="A3478" s="265" t="str">
        <f>VLOOKUP(B3478,tranp.!A:D,2,FALSE)</f>
        <v>Transp. de Pedra britada p/ concreto</v>
      </c>
      <c r="B3478" s="238">
        <v>1162</v>
      </c>
      <c r="C3478" s="238" t="str">
        <f>VLOOKUP(B3478,tranp.!$A:$J,3,FALSE)</f>
        <v xml:space="preserve"> t  </v>
      </c>
      <c r="D3478" s="437" t="str">
        <f>VLOOKUP(B3478,tranp.!$A:$J,4,FALSE)</f>
        <v>0,681XP + 0,710XR + 2,841</v>
      </c>
      <c r="E3478" s="277">
        <f>VLOOKUP(J3478,Ocor.!$B:$F,4,FALSE)</f>
        <v>37.200000000000003</v>
      </c>
      <c r="F3478" s="277">
        <f>VLOOKUP(J3478,Ocor.!$B:$F,5,FALSE)</f>
        <v>5.6</v>
      </c>
      <c r="G3478" s="243">
        <f>TRUNC(VLOOKUP(B3478,tranp.!$A:$J,5,FALSE)*E3478+VLOOKUP(B3478,tranp.!$A:$J,6,FALSE)*F3478+VLOOKUP(B3478,tranp.!$A:$J,7,FALSE),2)</f>
        <v>32.15</v>
      </c>
      <c r="H3478" s="278">
        <v>1.1655</v>
      </c>
      <c r="I3478" s="243">
        <f t="shared" si="38"/>
        <v>37.47</v>
      </c>
      <c r="J3478" s="433" t="s">
        <v>1056</v>
      </c>
    </row>
    <row r="3479" spans="1:13" ht="22.5" x14ac:dyDescent="0.2">
      <c r="A3479" s="265" t="str">
        <f>VLOOKUP(B3479,tranp.!A:D,2,FALSE)</f>
        <v>Transp. de Placa neoprene (18% I.P.I. eembalagem)</v>
      </c>
      <c r="B3479" s="238">
        <v>1213</v>
      </c>
      <c r="C3479" s="238" t="str">
        <f>VLOOKUP(B3479,tranp.!$A:$J,3,FALSE)</f>
        <v>t</v>
      </c>
      <c r="D3479" s="437" t="str">
        <f>VLOOKUP(B3479,tranp.!$A:$J,4,FALSE)</f>
        <v>0,676XP + 0,703XR</v>
      </c>
      <c r="E3479" s="277">
        <f>VLOOKUP(J3479,Ocor.!$B:$F,4,FALSE)</f>
        <v>37.200000000000003</v>
      </c>
      <c r="F3479" s="277">
        <f>VLOOKUP(J3479,Ocor.!$B:$F,5,FALSE)</f>
        <v>5.6</v>
      </c>
      <c r="G3479" s="243">
        <f>TRUNC(VLOOKUP(B3479,tranp.!$A:$J,5,FALSE)*E3479+VLOOKUP(B3479,tranp.!$A:$J,6,FALSE)*F3479+VLOOKUP(B3479,tranp.!$A:$J,7,FALSE),2)</f>
        <v>29.08</v>
      </c>
      <c r="H3479" s="278">
        <v>4.1099999999999998E-2</v>
      </c>
      <c r="I3479" s="243">
        <f t="shared" si="38"/>
        <v>1.19</v>
      </c>
      <c r="J3479" s="433" t="s">
        <v>174</v>
      </c>
    </row>
    <row r="3480" spans="1:13" x14ac:dyDescent="0.2">
      <c r="A3480" s="201"/>
      <c r="B3480" s="271"/>
      <c r="C3480" s="201"/>
      <c r="D3480" s="201"/>
      <c r="E3480" s="201"/>
      <c r="F3480" s="272" t="s">
        <v>220</v>
      </c>
      <c r="G3480" s="244"/>
      <c r="H3480" s="279"/>
      <c r="I3480" s="438">
        <f>SUM(I3476:I3479)</f>
        <v>64.510000000000005</v>
      </c>
    </row>
    <row r="3481" spans="1:13" x14ac:dyDescent="0.2">
      <c r="A3481" s="201"/>
      <c r="B3481" s="271"/>
      <c r="C3481" s="201"/>
      <c r="D3481" s="201"/>
      <c r="E3481" s="201"/>
      <c r="F3481" s="201"/>
      <c r="G3481" s="201"/>
      <c r="H3481" s="201"/>
      <c r="I3481" s="202"/>
    </row>
    <row r="3482" spans="1:13" x14ac:dyDescent="0.2">
      <c r="A3482" s="280"/>
      <c r="B3482" s="281"/>
      <c r="C3482" s="282"/>
      <c r="D3482" s="282"/>
      <c r="E3482" s="282"/>
      <c r="F3482" s="283" t="s">
        <v>221</v>
      </c>
      <c r="G3482" s="280"/>
      <c r="H3482" s="254"/>
      <c r="I3482" s="634">
        <f>+I3461+I3469+I3473+I3480</f>
        <v>758.65</v>
      </c>
    </row>
    <row r="3483" spans="1:13" x14ac:dyDescent="0.2">
      <c r="A3483" s="260"/>
      <c r="B3483" s="284"/>
      <c r="C3483" s="273"/>
      <c r="D3483" s="273"/>
      <c r="E3483" s="273"/>
      <c r="F3483" s="285" t="str">
        <f>CONCATENATE($H$3," ",$I$3)</f>
        <v>BDI: 23,32</v>
      </c>
      <c r="G3483" s="439"/>
      <c r="H3483" s="258"/>
      <c r="I3483" s="635">
        <f>+ROUND(I3482*$I$4,2)</f>
        <v>176.92</v>
      </c>
    </row>
    <row r="3484" spans="1:13" x14ac:dyDescent="0.2">
      <c r="A3484" s="618"/>
      <c r="B3484" s="617"/>
      <c r="C3484" s="201"/>
      <c r="D3484" s="201"/>
      <c r="E3484" s="201"/>
      <c r="F3484" s="272" t="s">
        <v>222</v>
      </c>
      <c r="G3484" s="619"/>
      <c r="H3484" s="199"/>
      <c r="I3484" s="1019">
        <f>+I3482+I3483</f>
        <v>935.57</v>
      </c>
    </row>
    <row r="3485" spans="1:13" x14ac:dyDescent="0.2">
      <c r="A3485" s="1277" t="str">
        <f>$A$1</f>
        <v>COMPOSIÇÃO DE CUSTOS UNITÁRIOS</v>
      </c>
      <c r="B3485" s="1277"/>
      <c r="C3485" s="1277"/>
      <c r="D3485" s="1277"/>
      <c r="E3485" s="1277"/>
      <c r="F3485" s="1277"/>
      <c r="G3485" s="1277"/>
      <c r="H3485" s="1277"/>
      <c r="I3485" s="1277"/>
    </row>
    <row r="3486" spans="1:13" x14ac:dyDescent="0.2">
      <c r="A3486" s="232" t="str">
        <f>$A$2</f>
        <v>Tabela Referencial de Preços - DER-ES</v>
      </c>
      <c r="B3486" s="233"/>
      <c r="C3486" s="199"/>
      <c r="D3486" s="199"/>
      <c r="E3486" s="199"/>
      <c r="F3486" s="199"/>
      <c r="G3486" s="199"/>
      <c r="H3486" s="199"/>
      <c r="I3486" s="234" t="str">
        <f>$I$2</f>
        <v>Data Base: Outubro/2018</v>
      </c>
      <c r="J3486" s="433">
        <v>40313</v>
      </c>
      <c r="K3486" s="433">
        <f>VLOOKUP("Preço Unitário Total",F3488:I4251,4,FALSE)</f>
        <v>79.150000000000006</v>
      </c>
      <c r="L3486" s="302" t="str">
        <f>VLOOKUP(J3486,'DER 10-18'!$A:$E,5,FALSE)</f>
        <v>A incluir</v>
      </c>
      <c r="M3486" s="302" t="str">
        <f>VLOOKUP(J3486,'DER 10-18'!$A:$D,2,FALSE)</f>
        <v>Formas planas de madeira com 04 (quatro) reaproveitamentos, inclusive fornecimento e transporte das madeiras</v>
      </c>
    </row>
    <row r="3487" spans="1:13" x14ac:dyDescent="0.2">
      <c r="A3487" s="1278" t="str">
        <f>+CONCATENATE("Serviço: ",J3486," ",VLOOKUP(J3486,'DER 10-18'!$A:$D,2,FALSE))</f>
        <v>Serviço: 40313 Formas planas de madeira com 04 (quatro) reaproveitamentos, inclusive fornecimento e transporte das madeiras</v>
      </c>
      <c r="B3487" s="1278"/>
      <c r="C3487" s="1278"/>
      <c r="D3487" s="1278"/>
      <c r="E3487" s="1278"/>
      <c r="F3487" s="1278"/>
      <c r="G3487" s="1278"/>
      <c r="H3487" s="1278"/>
      <c r="I3487" s="1278" t="str">
        <f>CONCATENATE("Unidade: ", VLOOKUP(J3486,'DER 10-18'!$A:$E,3,FALSE))</f>
        <v>Unidade: M2</v>
      </c>
    </row>
    <row r="3488" spans="1:13" x14ac:dyDescent="0.2">
      <c r="A3488" s="1279"/>
      <c r="B3488" s="1279"/>
      <c r="C3488" s="1279"/>
      <c r="D3488" s="1279"/>
      <c r="E3488" s="1279"/>
      <c r="F3488" s="1279"/>
      <c r="G3488" s="1279"/>
      <c r="H3488" s="1279"/>
      <c r="I3488" s="1279"/>
    </row>
    <row r="3489" spans="1:11" ht="22.5" x14ac:dyDescent="0.2">
      <c r="A3489" s="235" t="s">
        <v>192</v>
      </c>
      <c r="B3489" s="236" t="s">
        <v>60</v>
      </c>
      <c r="C3489" s="236" t="s">
        <v>193</v>
      </c>
      <c r="D3489" s="236" t="s">
        <v>194</v>
      </c>
      <c r="E3489" s="236" t="s">
        <v>195</v>
      </c>
      <c r="F3489" s="236" t="s">
        <v>196</v>
      </c>
      <c r="G3489" s="236" t="s">
        <v>197</v>
      </c>
      <c r="H3489" s="236" t="s">
        <v>91</v>
      </c>
      <c r="I3489" s="236" t="s">
        <v>198</v>
      </c>
    </row>
    <row r="3490" spans="1:11" x14ac:dyDescent="0.2">
      <c r="A3490" s="237" t="str">
        <f>VLOOKUP(B3490,equip.!$A:$G,2,FALSE)</f>
        <v>Serra circular (WEG) ou equivalente</v>
      </c>
      <c r="B3490" s="238">
        <v>30073</v>
      </c>
      <c r="C3490" s="239" t="str">
        <f>VLOOKUP(B3490,equip.!$A$1:$G$239,3,FALSE)</f>
        <v>M</v>
      </c>
      <c r="D3490" s="240">
        <v>0.26</v>
      </c>
      <c r="E3490" s="205">
        <v>0.74</v>
      </c>
      <c r="F3490" s="241">
        <f>VLOOKUP(B3490,equip.!$A:$G,6,FALSE)</f>
        <v>18.22</v>
      </c>
      <c r="G3490" s="241">
        <f>VLOOKUP(B3490,equip.!$A:$G,7,FALSE)</f>
        <v>14.81</v>
      </c>
      <c r="H3490" s="242">
        <v>1</v>
      </c>
      <c r="I3490" s="243">
        <f>TRUNC(D3490*F3490*H3490+E3490*G3490*H3490,2)</f>
        <v>15.69</v>
      </c>
    </row>
    <row r="3491" spans="1:11" x14ac:dyDescent="0.2">
      <c r="A3491" s="199"/>
      <c r="B3491" s="233"/>
      <c r="C3491" s="233"/>
      <c r="D3491" s="199"/>
      <c r="E3491" s="199"/>
      <c r="F3491" s="234" t="s">
        <v>199</v>
      </c>
      <c r="G3491" s="244"/>
      <c r="H3491" s="245"/>
      <c r="I3491" s="434">
        <f>SUM(I3490:I3490)</f>
        <v>15.69</v>
      </c>
    </row>
    <row r="3492" spans="1:11" x14ac:dyDescent="0.2">
      <c r="A3492" s="199"/>
      <c r="B3492" s="233"/>
      <c r="C3492" s="233"/>
      <c r="D3492" s="199"/>
      <c r="E3492" s="199"/>
      <c r="F3492" s="199"/>
      <c r="G3492" s="199"/>
      <c r="H3492" s="199"/>
      <c r="I3492" s="200"/>
    </row>
    <row r="3493" spans="1:11" x14ac:dyDescent="0.2">
      <c r="A3493" s="246" t="s">
        <v>200</v>
      </c>
      <c r="B3493" s="247" t="s">
        <v>60</v>
      </c>
      <c r="C3493" s="236" t="s">
        <v>1242</v>
      </c>
      <c r="D3493" s="247" t="s">
        <v>202</v>
      </c>
      <c r="E3493" s="1271" t="s">
        <v>91</v>
      </c>
      <c r="F3493" s="1272"/>
      <c r="G3493" s="1273"/>
      <c r="H3493" s="1276" t="s">
        <v>198</v>
      </c>
      <c r="I3493" s="1275"/>
    </row>
    <row r="3494" spans="1:11" x14ac:dyDescent="0.2">
      <c r="A3494" s="248" t="str">
        <f>VLOOKUP(B3494,m.o.!$A:$H,2,FALSE)</f>
        <v>Carpinteiro de O.A.C.</v>
      </c>
      <c r="B3494" s="238">
        <v>20038</v>
      </c>
      <c r="C3494" s="243">
        <f>VLOOKUP(B3494,m.o.!$A:$F,4,FALSE)</f>
        <v>1.24</v>
      </c>
      <c r="D3494" s="243">
        <f>VLOOKUP(B3494,m.o.!$A:$G,7,FALSE)</f>
        <v>14.43</v>
      </c>
      <c r="E3494" s="260"/>
      <c r="F3494" s="258"/>
      <c r="G3494" s="300">
        <v>0.52</v>
      </c>
      <c r="H3494" s="244"/>
      <c r="I3494" s="249">
        <f>TRUNC(D3494*G3494,2)</f>
        <v>7.5</v>
      </c>
    </row>
    <row r="3495" spans="1:11" x14ac:dyDescent="0.2">
      <c r="A3495" s="248" t="str">
        <f>VLOOKUP(B3495,m.o.!$A:$H,2,FALSE)</f>
        <v>Operário braçal</v>
      </c>
      <c r="B3495" s="238">
        <v>20107</v>
      </c>
      <c r="C3495" s="243">
        <f>VLOOKUP(B3495,m.o.!$A:$F,4,FALSE)</f>
        <v>1.02</v>
      </c>
      <c r="D3495" s="243">
        <f>VLOOKUP(B3495,m.o.!$A:$G,7,FALSE)</f>
        <v>11.87</v>
      </c>
      <c r="E3495" s="244"/>
      <c r="F3495" s="245"/>
      <c r="G3495" s="441">
        <v>1.2</v>
      </c>
      <c r="H3495" s="244"/>
      <c r="I3495" s="249">
        <f>TRUNC(D3495*G3495,2)</f>
        <v>14.24</v>
      </c>
    </row>
    <row r="3496" spans="1:11" x14ac:dyDescent="0.2">
      <c r="A3496" s="199"/>
      <c r="B3496" s="233"/>
      <c r="C3496" s="233"/>
      <c r="D3496" s="199"/>
      <c r="E3496" s="199"/>
      <c r="F3496" s="234" t="s">
        <v>203</v>
      </c>
      <c r="G3496" s="244"/>
      <c r="H3496" s="245"/>
      <c r="I3496" s="434">
        <f>SUM(I3494:I3495)</f>
        <v>21.74</v>
      </c>
    </row>
    <row r="3497" spans="1:11" x14ac:dyDescent="0.2">
      <c r="A3497" s="199"/>
      <c r="B3497" s="233"/>
      <c r="C3497" s="233"/>
      <c r="D3497" s="199"/>
      <c r="E3497" s="199"/>
      <c r="F3497" s="199"/>
      <c r="G3497" s="199"/>
      <c r="H3497" s="199"/>
      <c r="I3497" s="200"/>
    </row>
    <row r="3498" spans="1:11" x14ac:dyDescent="0.2">
      <c r="A3498" s="250" t="s">
        <v>204</v>
      </c>
      <c r="B3498" s="247" t="s">
        <v>60</v>
      </c>
      <c r="C3498" s="866" t="s">
        <v>17</v>
      </c>
      <c r="D3498" s="247" t="s">
        <v>205</v>
      </c>
      <c r="E3498" s="247" t="s">
        <v>206</v>
      </c>
      <c r="F3498" s="247" t="s">
        <v>207</v>
      </c>
      <c r="G3498" s="1276" t="s">
        <v>96</v>
      </c>
      <c r="H3498" s="1274"/>
      <c r="I3498" s="1275"/>
      <c r="K3498" s="302"/>
    </row>
    <row r="3499" spans="1:11" x14ac:dyDescent="0.2">
      <c r="A3499" s="248" t="s">
        <v>142</v>
      </c>
      <c r="B3499" s="238">
        <v>2000</v>
      </c>
      <c r="C3499" s="243">
        <v>5</v>
      </c>
      <c r="D3499" s="239" t="s">
        <v>223</v>
      </c>
      <c r="E3499" s="251"/>
      <c r="F3499" s="251"/>
      <c r="G3499" s="244"/>
      <c r="H3499" s="245"/>
      <c r="I3499" s="249">
        <f>TRUNC(C3499/100*I3496,2)</f>
        <v>1.08</v>
      </c>
      <c r="K3499" s="302"/>
    </row>
    <row r="3500" spans="1:11" x14ac:dyDescent="0.2">
      <c r="A3500" s="199"/>
      <c r="B3500" s="233"/>
      <c r="C3500" s="199"/>
      <c r="D3500" s="199"/>
      <c r="E3500" s="199"/>
      <c r="F3500" s="234" t="s">
        <v>1170</v>
      </c>
      <c r="G3500" s="244"/>
      <c r="H3500" s="245"/>
      <c r="I3500" s="434">
        <f>SUM(I3499)</f>
        <v>1.08</v>
      </c>
      <c r="K3500" s="302"/>
    </row>
    <row r="3501" spans="1:11" x14ac:dyDescent="0.2">
      <c r="A3501" s="199"/>
      <c r="B3501" s="233"/>
      <c r="C3501" s="199"/>
      <c r="D3501" s="199"/>
      <c r="E3501" s="199"/>
      <c r="F3501" s="199"/>
      <c r="G3501" s="199"/>
      <c r="H3501" s="199"/>
      <c r="I3501" s="200"/>
      <c r="K3501" s="302"/>
    </row>
    <row r="3502" spans="1:11" x14ac:dyDescent="0.2">
      <c r="A3502" s="252"/>
      <c r="B3502" s="253"/>
      <c r="C3502" s="254"/>
      <c r="D3502" s="254"/>
      <c r="E3502" s="254"/>
      <c r="F3502" s="255" t="s">
        <v>208</v>
      </c>
      <c r="G3502" s="435"/>
      <c r="H3502" s="254"/>
      <c r="I3502" s="634">
        <f>+I3491+I3496+I3500</f>
        <v>38.51</v>
      </c>
      <c r="K3502" s="302"/>
    </row>
    <row r="3503" spans="1:11" x14ac:dyDescent="0.2">
      <c r="A3503" s="256"/>
      <c r="B3503" s="257"/>
      <c r="C3503" s="258"/>
      <c r="D3503" s="258"/>
      <c r="E3503" s="258"/>
      <c r="F3503" s="259" t="s">
        <v>209</v>
      </c>
      <c r="G3503" s="260"/>
      <c r="H3503" s="258"/>
      <c r="I3503" s="635">
        <v>1</v>
      </c>
      <c r="K3503" s="302"/>
    </row>
    <row r="3504" spans="1:11" x14ac:dyDescent="0.2">
      <c r="A3504" s="237"/>
      <c r="B3504" s="261"/>
      <c r="C3504" s="245"/>
      <c r="D3504" s="245"/>
      <c r="E3504" s="245"/>
      <c r="F3504" s="262" t="s">
        <v>232</v>
      </c>
      <c r="G3504" s="244"/>
      <c r="H3504" s="245"/>
      <c r="I3504" s="633">
        <f>TRUNC(I3502/I3503,2)</f>
        <v>38.51</v>
      </c>
      <c r="K3504" s="302"/>
    </row>
    <row r="3505" spans="1:17" x14ac:dyDescent="0.2">
      <c r="A3505" s="867"/>
      <c r="B3505" s="233"/>
      <c r="C3505" s="199"/>
      <c r="D3505" s="199"/>
      <c r="E3505" s="199"/>
      <c r="F3505" s="263"/>
      <c r="G3505" s="199"/>
      <c r="H3505" s="199"/>
      <c r="I3505" s="264"/>
      <c r="K3505" s="302"/>
    </row>
    <row r="3506" spans="1:17" x14ac:dyDescent="0.2">
      <c r="A3506" s="246" t="s">
        <v>210</v>
      </c>
      <c r="B3506" s="247" t="s">
        <v>60</v>
      </c>
      <c r="C3506" s="247" t="s">
        <v>211</v>
      </c>
      <c r="D3506" s="247" t="s">
        <v>233</v>
      </c>
      <c r="E3506" s="1276" t="s">
        <v>91</v>
      </c>
      <c r="F3506" s="1274"/>
      <c r="G3506" s="1275"/>
      <c r="H3506" s="1276" t="s">
        <v>198</v>
      </c>
      <c r="I3506" s="1275"/>
      <c r="J3506" s="302"/>
      <c r="K3506" s="302"/>
    </row>
    <row r="3507" spans="1:17" x14ac:dyDescent="0.2">
      <c r="A3507" s="265" t="str">
        <f>VLOOKUP(B3507,mat.!$A:$D,2,FALSE)</f>
        <v>Caibros 7 X 7 cm (pontalete)</v>
      </c>
      <c r="B3507" s="238">
        <v>10066</v>
      </c>
      <c r="C3507" s="266" t="str">
        <f>VLOOKUP(B3507,mat.!$A:$D,3,FALSE)</f>
        <v>M3</v>
      </c>
      <c r="D3507" s="267">
        <f>VLOOKUP(B3507,mat.!$A:$D,4,FALSE)</f>
        <v>1616</v>
      </c>
      <c r="E3507" s="260"/>
      <c r="F3507" s="258"/>
      <c r="G3507" s="300">
        <v>2.3999999999999998E-3</v>
      </c>
      <c r="H3507" s="260"/>
      <c r="I3507" s="268">
        <f>TRUNC(D3507*G3507,2)</f>
        <v>3.87</v>
      </c>
      <c r="K3507" s="302"/>
    </row>
    <row r="3508" spans="1:17" x14ac:dyDescent="0.2">
      <c r="A3508" s="265" t="str">
        <f>VLOOKUP(B3508,mat.!$A:$D,2,FALSE)</f>
        <v>Prego 18 X 24</v>
      </c>
      <c r="B3508" s="238">
        <v>10135</v>
      </c>
      <c r="C3508" s="266" t="str">
        <f>VLOOKUP(B3508,mat.!$A:$D,3,FALSE)</f>
        <v>kg</v>
      </c>
      <c r="D3508" s="267">
        <f>VLOOKUP(B3508,mat.!$A:$D,4,FALSE)</f>
        <v>10.54</v>
      </c>
      <c r="E3508" s="260"/>
      <c r="F3508" s="258"/>
      <c r="G3508" s="441">
        <v>0.2</v>
      </c>
      <c r="H3508" s="260"/>
      <c r="I3508" s="268">
        <f>TRUNC(D3508*G3508,2)</f>
        <v>2.1</v>
      </c>
      <c r="K3508" s="302"/>
    </row>
    <row r="3509" spans="1:17" x14ac:dyDescent="0.2">
      <c r="A3509" s="265" t="str">
        <f>VLOOKUP(B3509,mat.!$A:$D,2,FALSE)</f>
        <v>Sarrafo 10 X 2,5 cm</v>
      </c>
      <c r="B3509" s="238">
        <v>10067</v>
      </c>
      <c r="C3509" s="266" t="str">
        <f>VLOOKUP(B3509,mat.!$A:$D,3,FALSE)</f>
        <v>M3</v>
      </c>
      <c r="D3509" s="267">
        <f>VLOOKUP(B3509,mat.!$A:$D,4,FALSE)</f>
        <v>1012</v>
      </c>
      <c r="E3509" s="260"/>
      <c r="F3509" s="258"/>
      <c r="G3509" s="441">
        <v>1.5E-3</v>
      </c>
      <c r="H3509" s="260"/>
      <c r="I3509" s="268">
        <f>TRUNC(D3509*G3509,2)</f>
        <v>1.51</v>
      </c>
      <c r="K3509" s="302"/>
    </row>
    <row r="3510" spans="1:17" x14ac:dyDescent="0.2">
      <c r="A3510" s="265" t="str">
        <f>VLOOKUP(B3510,mat.!$A:$D,2,FALSE)</f>
        <v>Tábuas de 2,5 cm (Não Aparelhada)</v>
      </c>
      <c r="B3510" s="238">
        <v>10065</v>
      </c>
      <c r="C3510" s="266" t="str">
        <f>VLOOKUP(B3510,mat.!$A:$D,3,FALSE)</f>
        <v>M3</v>
      </c>
      <c r="D3510" s="267">
        <f>VLOOKUP(B3510,mat.!$A:$D,4,FALSE)</f>
        <v>1884</v>
      </c>
      <c r="E3510" s="260"/>
      <c r="F3510" s="258"/>
      <c r="G3510" s="441">
        <v>9.4999999999999998E-3</v>
      </c>
      <c r="H3510" s="260"/>
      <c r="I3510" s="268">
        <f>TRUNC(D3510*G3510,2)</f>
        <v>17.89</v>
      </c>
      <c r="K3510" s="302"/>
      <c r="P3510" s="198"/>
      <c r="Q3510" s="198"/>
    </row>
    <row r="3511" spans="1:17" x14ac:dyDescent="0.2">
      <c r="A3511" s="199"/>
      <c r="B3511" s="233"/>
      <c r="C3511" s="199"/>
      <c r="D3511" s="199"/>
      <c r="E3511" s="199"/>
      <c r="F3511" s="234" t="s">
        <v>212</v>
      </c>
      <c r="G3511" s="244"/>
      <c r="H3511" s="245"/>
      <c r="I3511" s="434">
        <f>SUM(I3507:I3510)</f>
        <v>25.37</v>
      </c>
      <c r="K3511" s="302"/>
      <c r="P3511" s="198"/>
      <c r="Q3511" s="198"/>
    </row>
    <row r="3512" spans="1:17" s="198" customFormat="1" x14ac:dyDescent="0.2">
      <c r="A3512" s="199"/>
      <c r="B3512" s="233"/>
      <c r="C3512" s="199"/>
      <c r="D3512" s="199"/>
      <c r="E3512" s="199"/>
      <c r="F3512" s="199"/>
      <c r="G3512" s="269"/>
      <c r="H3512" s="199"/>
      <c r="I3512" s="200"/>
      <c r="J3512" s="433"/>
      <c r="K3512" s="302"/>
      <c r="L3512" s="302"/>
      <c r="M3512" s="302"/>
      <c r="N3512" s="302"/>
      <c r="O3512" s="302"/>
      <c r="P3512" s="302"/>
      <c r="Q3512" s="302"/>
    </row>
    <row r="3513" spans="1:17" x14ac:dyDescent="0.2">
      <c r="A3513" s="270" t="s">
        <v>213</v>
      </c>
      <c r="B3513" s="247" t="s">
        <v>60</v>
      </c>
      <c r="C3513" s="247" t="s">
        <v>211</v>
      </c>
      <c r="D3513" s="866" t="s">
        <v>233</v>
      </c>
      <c r="E3513" s="1271" t="s">
        <v>91</v>
      </c>
      <c r="F3513" s="1272"/>
      <c r="G3513" s="1273"/>
      <c r="H3513" s="1274" t="s">
        <v>198</v>
      </c>
      <c r="I3513" s="1275"/>
      <c r="K3513" s="302"/>
    </row>
    <row r="3514" spans="1:17" x14ac:dyDescent="0.2">
      <c r="A3514" s="248"/>
      <c r="B3514" s="266"/>
      <c r="C3514" s="238"/>
      <c r="D3514" s="243"/>
      <c r="E3514" s="244"/>
      <c r="F3514" s="245"/>
      <c r="G3514" s="445"/>
      <c r="H3514" s="244"/>
      <c r="I3514" s="268"/>
    </row>
    <row r="3515" spans="1:17" x14ac:dyDescent="0.2">
      <c r="A3515" s="201"/>
      <c r="B3515" s="271"/>
      <c r="C3515" s="201"/>
      <c r="D3515" s="201"/>
      <c r="E3515" s="201"/>
      <c r="F3515" s="272" t="s">
        <v>214</v>
      </c>
      <c r="G3515" s="260"/>
      <c r="H3515" s="273"/>
      <c r="I3515" s="436">
        <f>SUM(I3512:I3514)</f>
        <v>0</v>
      </c>
    </row>
    <row r="3516" spans="1:17" x14ac:dyDescent="0.2">
      <c r="A3516" s="201"/>
      <c r="B3516" s="271"/>
      <c r="C3516" s="201"/>
      <c r="D3516" s="201"/>
      <c r="E3516" s="201"/>
      <c r="F3516" s="201"/>
      <c r="G3516" s="201"/>
      <c r="H3516" s="201"/>
      <c r="I3516" s="201"/>
    </row>
    <row r="3517" spans="1:17" x14ac:dyDescent="0.2">
      <c r="A3517" s="274" t="s">
        <v>215</v>
      </c>
      <c r="B3517" s="275" t="s">
        <v>60</v>
      </c>
      <c r="C3517" s="275" t="s">
        <v>211</v>
      </c>
      <c r="D3517" s="275" t="s">
        <v>216</v>
      </c>
      <c r="E3517" s="275" t="s">
        <v>217</v>
      </c>
      <c r="F3517" s="275" t="s">
        <v>218</v>
      </c>
      <c r="G3517" s="275" t="s">
        <v>96</v>
      </c>
      <c r="H3517" s="275" t="s">
        <v>91</v>
      </c>
      <c r="I3517" s="275" t="s">
        <v>219</v>
      </c>
      <c r="J3517" s="433" t="s">
        <v>121</v>
      </c>
    </row>
    <row r="3518" spans="1:17" ht="22.5" x14ac:dyDescent="0.2">
      <c r="A3518" s="265" t="str">
        <f>VLOOKUP(B3518,tranp.!A:D,2,FALSE)</f>
        <v>Transporte de Caibros 8 X 8 cm (pontalete)</v>
      </c>
      <c r="B3518" s="238">
        <v>1095</v>
      </c>
      <c r="C3518" s="238" t="str">
        <f>VLOOKUP(B3518,tranp.!$A:$J,3,FALSE)</f>
        <v xml:space="preserve"> t  </v>
      </c>
      <c r="D3518" s="437" t="str">
        <f>VLOOKUP(B3518,tranp.!$A:$J,4,FALSE)</f>
        <v>0,676XP + 0,703XR</v>
      </c>
      <c r="E3518" s="277">
        <f>VLOOKUP(J3517,Ocor.!$B:$F,4,FALSE)</f>
        <v>37.200000000000003</v>
      </c>
      <c r="F3518" s="277">
        <f>VLOOKUP(J3517,Ocor.!$B:$F,5,FALSE)</f>
        <v>5.6</v>
      </c>
      <c r="G3518" s="243">
        <f>TRUNC(VLOOKUP(B3518,tranp.!$A:$J,5,FALSE)*E3518+VLOOKUP(B3518,tranp.!$A:$J,6,FALSE)*F3518+VLOOKUP(B3518,tranp.!$A:$J,7,FALSE),2)</f>
        <v>29.08</v>
      </c>
      <c r="H3518" s="278">
        <v>1.9E-3</v>
      </c>
      <c r="I3518" s="243">
        <f>TRUNC(G3518*H3518,2)</f>
        <v>0.05</v>
      </c>
      <c r="J3518" s="433" t="s">
        <v>121</v>
      </c>
    </row>
    <row r="3519" spans="1:17" x14ac:dyDescent="0.2">
      <c r="A3519" s="265" t="str">
        <f>VLOOKUP(B3519,tranp.!A:D,2,FALSE)</f>
        <v>Transporte de Tábuas de 2,5 cm</v>
      </c>
      <c r="B3519" s="238">
        <v>1094</v>
      </c>
      <c r="C3519" s="238" t="str">
        <f>VLOOKUP(B3519,tranp.!$A:$J,3,FALSE)</f>
        <v xml:space="preserve"> t  </v>
      </c>
      <c r="D3519" s="437" t="str">
        <f>VLOOKUP(B3519,tranp.!$A:$J,4,FALSE)</f>
        <v>0,676XP + 0,703XR</v>
      </c>
      <c r="E3519" s="277">
        <f>VLOOKUP(J3518,Ocor.!$B:$F,4,FALSE)</f>
        <v>37.200000000000003</v>
      </c>
      <c r="F3519" s="277">
        <f>VLOOKUP(J3518,Ocor.!$B:$F,5,FALSE)</f>
        <v>5.6</v>
      </c>
      <c r="G3519" s="243">
        <f>TRUNC(VLOOKUP(B3519,tranp.!$A:$J,5,FALSE)*E3519+VLOOKUP(B3519,tranp.!$A:$J,6,FALSE)*F3519+VLOOKUP(B3519,tranp.!$A:$J,7,FALSE),2)</f>
        <v>29.08</v>
      </c>
      <c r="H3519" s="278">
        <v>1.1999999999999999E-3</v>
      </c>
      <c r="I3519" s="243">
        <f>TRUNC(G3519*H3519,2)</f>
        <v>0.03</v>
      </c>
      <c r="J3519" s="433" t="s">
        <v>121</v>
      </c>
    </row>
    <row r="3520" spans="1:17" x14ac:dyDescent="0.2">
      <c r="A3520" s="265" t="str">
        <f>VLOOKUP(B3520,tranp.!A:D,2,FALSE)</f>
        <v>Transporte de Sarrafo 10 X 2,5 cm</v>
      </c>
      <c r="B3520" s="238">
        <v>1096</v>
      </c>
      <c r="C3520" s="238" t="str">
        <f>VLOOKUP(B3520,tranp.!$A:$J,3,FALSE)</f>
        <v xml:space="preserve"> t  </v>
      </c>
      <c r="D3520" s="437" t="str">
        <f>VLOOKUP(B3520,tranp.!$A:$J,4,FALSE)</f>
        <v>0,676XP + 0,703XR</v>
      </c>
      <c r="E3520" s="277">
        <f>VLOOKUP(J3519,Ocor.!$B:$F,4,FALSE)</f>
        <v>37.200000000000003</v>
      </c>
      <c r="F3520" s="277">
        <f>VLOOKUP(J3519,Ocor.!$B:$F,5,FALSE)</f>
        <v>5.6</v>
      </c>
      <c r="G3520" s="243">
        <f>TRUNC(VLOOKUP(B3520,tranp.!$A:$J,5,FALSE)*E3520+VLOOKUP(B3520,tranp.!$A:$J,6,FALSE)*F3520+VLOOKUP(B3520,tranp.!$A:$J,7,FALSE),2)</f>
        <v>29.08</v>
      </c>
      <c r="H3520" s="278">
        <v>7.6E-3</v>
      </c>
      <c r="I3520" s="243">
        <f>TRUNC(G3520*H3520,2)</f>
        <v>0.22</v>
      </c>
    </row>
    <row r="3521" spans="1:13" x14ac:dyDescent="0.2">
      <c r="A3521" s="201"/>
      <c r="B3521" s="271"/>
      <c r="C3521" s="201"/>
      <c r="D3521" s="201"/>
      <c r="E3521" s="201"/>
      <c r="F3521" s="272" t="s">
        <v>220</v>
      </c>
      <c r="G3521" s="244"/>
      <c r="H3521" s="279"/>
      <c r="I3521" s="438">
        <f>SUM(I3518:I3520)</f>
        <v>0.3</v>
      </c>
    </row>
    <row r="3522" spans="1:13" x14ac:dyDescent="0.2">
      <c r="A3522" s="201"/>
      <c r="B3522" s="271"/>
      <c r="C3522" s="201"/>
      <c r="D3522" s="201"/>
      <c r="E3522" s="201"/>
      <c r="F3522" s="201"/>
      <c r="G3522" s="201"/>
      <c r="H3522" s="201"/>
      <c r="I3522" s="202"/>
      <c r="J3522" s="446"/>
    </row>
    <row r="3523" spans="1:13" x14ac:dyDescent="0.2">
      <c r="A3523" s="280"/>
      <c r="B3523" s="281"/>
      <c r="C3523" s="282"/>
      <c r="D3523" s="282"/>
      <c r="E3523" s="282"/>
      <c r="F3523" s="283" t="s">
        <v>221</v>
      </c>
      <c r="G3523" s="280"/>
      <c r="H3523" s="254"/>
      <c r="I3523" s="634">
        <f>+I3504+I3511+I3515+I3521</f>
        <v>64.180000000000007</v>
      </c>
    </row>
    <row r="3524" spans="1:13" x14ac:dyDescent="0.2">
      <c r="A3524" s="260"/>
      <c r="B3524" s="284"/>
      <c r="C3524" s="273"/>
      <c r="D3524" s="273"/>
      <c r="E3524" s="273"/>
      <c r="F3524" s="285" t="str">
        <f>CONCATENATE($H$3," ",$I$3)</f>
        <v>BDI: 23,32</v>
      </c>
      <c r="G3524" s="439"/>
      <c r="H3524" s="258"/>
      <c r="I3524" s="635">
        <f>+ROUND(I3523*$I$4,2)</f>
        <v>14.97</v>
      </c>
    </row>
    <row r="3525" spans="1:13" x14ac:dyDescent="0.2">
      <c r="A3525" s="244"/>
      <c r="B3525" s="286"/>
      <c r="C3525" s="279"/>
      <c r="D3525" s="279"/>
      <c r="E3525" s="279"/>
      <c r="F3525" s="287" t="s">
        <v>222</v>
      </c>
      <c r="G3525" s="440"/>
      <c r="H3525" s="245"/>
      <c r="I3525" s="1017">
        <f>+I3523+I3524</f>
        <v>79.150000000000006</v>
      </c>
    </row>
    <row r="3526" spans="1:13" x14ac:dyDescent="0.2">
      <c r="A3526" s="199"/>
      <c r="B3526" s="617"/>
      <c r="C3526" s="201"/>
      <c r="D3526" s="201"/>
      <c r="E3526" s="201"/>
      <c r="F3526" s="272"/>
      <c r="G3526" s="201"/>
      <c r="H3526" s="199"/>
      <c r="I3526" s="620"/>
    </row>
    <row r="3527" spans="1:13" x14ac:dyDescent="0.2">
      <c r="A3527" s="1277" t="str">
        <f>$A$1</f>
        <v>COMPOSIÇÃO DE CUSTOS UNITÁRIOS</v>
      </c>
      <c r="B3527" s="1277"/>
      <c r="C3527" s="1277"/>
      <c r="D3527" s="1277"/>
      <c r="E3527" s="1277"/>
      <c r="F3527" s="1277"/>
      <c r="G3527" s="1277"/>
      <c r="H3527" s="1277"/>
      <c r="I3527" s="1277"/>
    </row>
    <row r="3528" spans="1:13" x14ac:dyDescent="0.2">
      <c r="A3528" s="232" t="str">
        <f>$A$2</f>
        <v>Tabela Referencial de Preços - DER-ES</v>
      </c>
      <c r="B3528" s="233"/>
      <c r="C3528" s="199"/>
      <c r="D3528" s="199"/>
      <c r="E3528" s="199"/>
      <c r="F3528" s="199"/>
      <c r="G3528" s="199"/>
      <c r="H3528" s="199"/>
      <c r="I3528" s="234" t="str">
        <f>$I$2</f>
        <v>Data Base: Outubro/2018</v>
      </c>
      <c r="J3528" s="433">
        <v>40360</v>
      </c>
      <c r="K3528" s="433">
        <f>VLOOKUP("Preço Unitário Total",F3530:I4208,4,FALSE)</f>
        <v>666.06</v>
      </c>
      <c r="L3528" s="302" t="str">
        <f>VLOOKUP(J3528,'DER 10-18'!A:E,5,FALSE)</f>
        <v>A incluir</v>
      </c>
      <c r="M3528" s="302" t="str">
        <f>VLOOKUP(J3528,'DER 10-18'!$A:$D,2,FALSE)</f>
        <v>Concreto estrutural fck = 20,0 MPa, tudo incluído</v>
      </c>
    </row>
    <row r="3529" spans="1:13" x14ac:dyDescent="0.2">
      <c r="A3529" s="1278" t="str">
        <f>+CONCATENATE("Serviço: ",J3528," ",VLOOKUP(J3528,'DER 10-18'!$A:$D,2,FALSE))</f>
        <v>Serviço: 40360 Concreto estrutural fck = 20,0 MPa, tudo incluído</v>
      </c>
      <c r="B3529" s="1278"/>
      <c r="C3529" s="1278"/>
      <c r="D3529" s="1278"/>
      <c r="E3529" s="1278"/>
      <c r="F3529" s="1278"/>
      <c r="G3529" s="1278"/>
      <c r="H3529" s="1278"/>
      <c r="I3529" s="1278" t="str">
        <f>CONCATENATE("Unidade: ", VLOOKUP(J3528,'DER 10-18'!$A:$E,3,FALSE))</f>
        <v>Unidade: M3</v>
      </c>
    </row>
    <row r="3530" spans="1:13" x14ac:dyDescent="0.2">
      <c r="A3530" s="1279"/>
      <c r="B3530" s="1279"/>
      <c r="C3530" s="1279"/>
      <c r="D3530" s="1279"/>
      <c r="E3530" s="1279"/>
      <c r="F3530" s="1279"/>
      <c r="G3530" s="1279"/>
      <c r="H3530" s="1279"/>
      <c r="I3530" s="1279"/>
    </row>
    <row r="3531" spans="1:13" ht="22.5" x14ac:dyDescent="0.2">
      <c r="A3531" s="235" t="s">
        <v>192</v>
      </c>
      <c r="B3531" s="236" t="s">
        <v>60</v>
      </c>
      <c r="C3531" s="236" t="s">
        <v>193</v>
      </c>
      <c r="D3531" s="236" t="s">
        <v>194</v>
      </c>
      <c r="E3531" s="236" t="s">
        <v>195</v>
      </c>
      <c r="F3531" s="236" t="s">
        <v>196</v>
      </c>
      <c r="G3531" s="236" t="s">
        <v>197</v>
      </c>
      <c r="H3531" s="236" t="s">
        <v>91</v>
      </c>
      <c r="I3531" s="236" t="s">
        <v>198</v>
      </c>
      <c r="J3531" s="302"/>
      <c r="K3531" s="302"/>
    </row>
    <row r="3532" spans="1:13" ht="22.5" x14ac:dyDescent="0.2">
      <c r="A3532" s="237" t="str">
        <f>VLOOKUP(B3532,equip.!$A:$G,2,FALSE)</f>
        <v>Betoneira 600 l com carregador (elétrica)</v>
      </c>
      <c r="B3532" s="238">
        <v>30070</v>
      </c>
      <c r="C3532" s="239">
        <f>VLOOKUP(B3532,equip.!$A$1:$G$239,3,FALSE)</f>
        <v>0</v>
      </c>
      <c r="D3532" s="240">
        <v>1</v>
      </c>
      <c r="E3532" s="205">
        <v>0</v>
      </c>
      <c r="F3532" s="241">
        <f>VLOOKUP(B3532,equip.!$A:$G,6,FALSE)</f>
        <v>24.55</v>
      </c>
      <c r="G3532" s="241">
        <f>VLOOKUP(B3532,equip.!$A:$G,7,FALSE)</f>
        <v>19.8</v>
      </c>
      <c r="H3532" s="242">
        <v>1</v>
      </c>
      <c r="I3532" s="243">
        <f>TRUNC(D3532*F3532*H3532+E3532*G3532*H3532,2)</f>
        <v>24.55</v>
      </c>
      <c r="J3532" s="302"/>
      <c r="K3532" s="302"/>
    </row>
    <row r="3533" spans="1:13" x14ac:dyDescent="0.2">
      <c r="A3533" s="237" t="str">
        <f>VLOOKUP(B3533,equip.!$A:$G,2,FALSE)</f>
        <v>Carrinho de mão</v>
      </c>
      <c r="B3533" s="238">
        <v>30076</v>
      </c>
      <c r="C3533" s="239">
        <f>VLOOKUP(B3533,equip.!$A$1:$G$239,3,FALSE)</f>
        <v>0</v>
      </c>
      <c r="D3533" s="240">
        <v>1</v>
      </c>
      <c r="E3533" s="205">
        <v>0</v>
      </c>
      <c r="F3533" s="241">
        <f>VLOOKUP(B3533,equip.!$A:$G,6,FALSE)</f>
        <v>0.18</v>
      </c>
      <c r="G3533" s="241">
        <f>VLOOKUP(B3533,equip.!$A:$G,7,FALSE)</f>
        <v>0.12</v>
      </c>
      <c r="H3533" s="242">
        <v>3</v>
      </c>
      <c r="I3533" s="243">
        <f>TRUNC(D3533*F3533*H3533+E3533*G3533*H3533,2)</f>
        <v>0.54</v>
      </c>
      <c r="J3533" s="302"/>
      <c r="K3533" s="302"/>
    </row>
    <row r="3534" spans="1:13" ht="33.75" x14ac:dyDescent="0.2">
      <c r="A3534" s="237" t="str">
        <f>VLOOKUP(B3534,equip.!$A:$G,2,FALSE)</f>
        <v>Vibrador de imersao AA67 c/ mangote, marca de referência ATLAS COPCO ou equivalente</v>
      </c>
      <c r="B3534" s="238">
        <v>30071</v>
      </c>
      <c r="C3534" s="239">
        <f>VLOOKUP(B3534,equip.!$A$1:$G$239,3,FALSE)</f>
        <v>0</v>
      </c>
      <c r="D3534" s="240">
        <v>1</v>
      </c>
      <c r="E3534" s="205">
        <v>0</v>
      </c>
      <c r="F3534" s="241">
        <f>VLOOKUP(B3534,equip.!$A:$G,6,FALSE)</f>
        <v>15.14</v>
      </c>
      <c r="G3534" s="241">
        <f>VLOOKUP(B3534,equip.!$A:$G,7,FALSE)</f>
        <v>12.3</v>
      </c>
      <c r="H3534" s="242">
        <v>2</v>
      </c>
      <c r="I3534" s="243">
        <f>TRUNC(D3534*F3534*H3534+E3534*G3534*H3534,2)</f>
        <v>30.28</v>
      </c>
      <c r="J3534" s="302"/>
      <c r="K3534" s="302"/>
    </row>
    <row r="3535" spans="1:13" x14ac:dyDescent="0.2">
      <c r="A3535" s="199"/>
      <c r="B3535" s="233"/>
      <c r="C3535" s="233"/>
      <c r="D3535" s="199"/>
      <c r="E3535" s="199"/>
      <c r="F3535" s="234" t="s">
        <v>199</v>
      </c>
      <c r="G3535" s="244"/>
      <c r="H3535" s="245"/>
      <c r="I3535" s="434">
        <f>SUM(I3532:I3534)</f>
        <v>55.37</v>
      </c>
      <c r="J3535" s="302"/>
      <c r="K3535" s="302"/>
    </row>
    <row r="3536" spans="1:13" x14ac:dyDescent="0.2">
      <c r="A3536" s="199"/>
      <c r="B3536" s="233"/>
      <c r="C3536" s="233"/>
      <c r="D3536" s="199"/>
      <c r="E3536" s="199"/>
      <c r="F3536" s="199"/>
      <c r="G3536" s="199"/>
      <c r="H3536" s="199"/>
      <c r="I3536" s="200"/>
      <c r="J3536" s="302"/>
      <c r="K3536" s="302"/>
    </row>
    <row r="3537" spans="1:11" x14ac:dyDescent="0.2">
      <c r="A3537" s="246" t="s">
        <v>200</v>
      </c>
      <c r="B3537" s="247" t="s">
        <v>60</v>
      </c>
      <c r="C3537" s="236" t="s">
        <v>1242</v>
      </c>
      <c r="D3537" s="247" t="s">
        <v>202</v>
      </c>
      <c r="E3537" s="1276" t="s">
        <v>91</v>
      </c>
      <c r="F3537" s="1274"/>
      <c r="G3537" s="1275"/>
      <c r="H3537" s="1276" t="s">
        <v>198</v>
      </c>
      <c r="I3537" s="1275"/>
      <c r="J3537" s="302"/>
      <c r="K3537" s="302"/>
    </row>
    <row r="3538" spans="1:11" x14ac:dyDescent="0.2">
      <c r="A3538" s="248" t="str">
        <f>VLOOKUP(B3538,m.o.!$A:$H,2,FALSE)</f>
        <v>Encarregado de O.A.C.</v>
      </c>
      <c r="B3538" s="238">
        <v>20060</v>
      </c>
      <c r="C3538" s="243">
        <f>VLOOKUP(B3538,m.o.!$A:$F,4,FALSE)</f>
        <v>2.2599999999999998</v>
      </c>
      <c r="D3538" s="243">
        <f>VLOOKUP(B3538,m.o.!$A:$G,7,FALSE)</f>
        <v>26.3</v>
      </c>
      <c r="E3538" s="244"/>
      <c r="F3538" s="258"/>
      <c r="G3538" s="300">
        <v>1</v>
      </c>
      <c r="H3538" s="244"/>
      <c r="I3538" s="249">
        <f>TRUNC(D3538*G3538,2)</f>
        <v>26.3</v>
      </c>
      <c r="J3538" s="302"/>
      <c r="K3538" s="302"/>
    </row>
    <row r="3539" spans="1:11" x14ac:dyDescent="0.2">
      <c r="A3539" s="248" t="str">
        <f>VLOOKUP(B3539,m.o.!$A:$H,2,FALSE)</f>
        <v>Operário braçal</v>
      </c>
      <c r="B3539" s="238">
        <v>20107</v>
      </c>
      <c r="C3539" s="243">
        <f>VLOOKUP(B3539,m.o.!$A:$F,4,FALSE)</f>
        <v>1.02</v>
      </c>
      <c r="D3539" s="243">
        <f>VLOOKUP(B3539,m.o.!$A:$G,7,FALSE)</f>
        <v>11.87</v>
      </c>
      <c r="E3539" s="244"/>
      <c r="F3539" s="245"/>
      <c r="G3539" s="441">
        <v>10</v>
      </c>
      <c r="H3539" s="244"/>
      <c r="I3539" s="249">
        <f>TRUNC(D3539*G3539,2)</f>
        <v>118.7</v>
      </c>
      <c r="J3539" s="302"/>
      <c r="K3539" s="302"/>
    </row>
    <row r="3540" spans="1:11" x14ac:dyDescent="0.2">
      <c r="A3540" s="248" t="str">
        <f>VLOOKUP(B3540,m.o.!$A:$H,2,FALSE)</f>
        <v>Pedreiro de O.A.C.</v>
      </c>
      <c r="B3540" s="238">
        <v>20109</v>
      </c>
      <c r="C3540" s="243">
        <f>VLOOKUP(B3540,m.o.!$A:$F,4,FALSE)</f>
        <v>1.24</v>
      </c>
      <c r="D3540" s="243">
        <f>VLOOKUP(B3540,m.o.!$A:$G,7,FALSE)</f>
        <v>14.43</v>
      </c>
      <c r="E3540" s="244"/>
      <c r="F3540" s="245"/>
      <c r="G3540" s="441">
        <v>2</v>
      </c>
      <c r="H3540" s="244"/>
      <c r="I3540" s="249">
        <f>TRUNC(D3540*G3540,2)</f>
        <v>28.86</v>
      </c>
      <c r="J3540" s="302"/>
      <c r="K3540" s="302"/>
    </row>
    <row r="3541" spans="1:11" x14ac:dyDescent="0.2">
      <c r="A3541" s="199"/>
      <c r="B3541" s="233"/>
      <c r="C3541" s="233"/>
      <c r="D3541" s="199"/>
      <c r="E3541" s="199"/>
      <c r="F3541" s="234" t="s">
        <v>203</v>
      </c>
      <c r="G3541" s="244"/>
      <c r="H3541" s="245"/>
      <c r="I3541" s="434">
        <f>SUM(I3538:I3540)</f>
        <v>173.86</v>
      </c>
      <c r="J3541" s="302"/>
      <c r="K3541" s="302"/>
    </row>
    <row r="3542" spans="1:11" x14ac:dyDescent="0.2">
      <c r="A3542" s="199"/>
      <c r="B3542" s="233"/>
      <c r="C3542" s="233"/>
      <c r="D3542" s="199"/>
      <c r="E3542" s="199"/>
      <c r="F3542" s="199"/>
      <c r="G3542" s="199"/>
      <c r="H3542" s="199"/>
      <c r="I3542" s="200"/>
      <c r="J3542" s="302"/>
      <c r="K3542" s="302"/>
    </row>
    <row r="3543" spans="1:11" x14ac:dyDescent="0.2">
      <c r="A3543" s="250" t="s">
        <v>204</v>
      </c>
      <c r="B3543" s="247" t="s">
        <v>60</v>
      </c>
      <c r="C3543" s="866" t="s">
        <v>17</v>
      </c>
      <c r="D3543" s="247" t="s">
        <v>205</v>
      </c>
      <c r="E3543" s="247" t="s">
        <v>206</v>
      </c>
      <c r="F3543" s="247" t="s">
        <v>207</v>
      </c>
      <c r="G3543" s="1276" t="s">
        <v>96</v>
      </c>
      <c r="H3543" s="1274"/>
      <c r="I3543" s="1275"/>
      <c r="J3543" s="302"/>
      <c r="K3543" s="302"/>
    </row>
    <row r="3544" spans="1:11" x14ac:dyDescent="0.2">
      <c r="A3544" s="248" t="s">
        <v>142</v>
      </c>
      <c r="B3544" s="238">
        <v>2000</v>
      </c>
      <c r="C3544" s="243">
        <v>5</v>
      </c>
      <c r="D3544" s="239" t="s">
        <v>223</v>
      </c>
      <c r="E3544" s="251"/>
      <c r="F3544" s="251"/>
      <c r="G3544" s="244"/>
      <c r="H3544" s="245"/>
      <c r="I3544" s="249">
        <f>TRUNC(C3544/100*I3541,2)</f>
        <v>8.69</v>
      </c>
      <c r="J3544" s="302"/>
      <c r="K3544" s="302"/>
    </row>
    <row r="3545" spans="1:11" x14ac:dyDescent="0.2">
      <c r="A3545" s="199"/>
      <c r="B3545" s="233"/>
      <c r="C3545" s="199"/>
      <c r="D3545" s="199"/>
      <c r="E3545" s="199"/>
      <c r="F3545" s="234" t="s">
        <v>1170</v>
      </c>
      <c r="G3545" s="244"/>
      <c r="H3545" s="245"/>
      <c r="I3545" s="434">
        <f>SUM(I3544)</f>
        <v>8.69</v>
      </c>
      <c r="J3545" s="302"/>
      <c r="K3545" s="302"/>
    </row>
    <row r="3546" spans="1:11" x14ac:dyDescent="0.2">
      <c r="A3546" s="199"/>
      <c r="B3546" s="233"/>
      <c r="C3546" s="199"/>
      <c r="D3546" s="199"/>
      <c r="E3546" s="199"/>
      <c r="F3546" s="199"/>
      <c r="G3546" s="199"/>
      <c r="H3546" s="199"/>
      <c r="I3546" s="200"/>
      <c r="J3546" s="302"/>
      <c r="K3546" s="302"/>
    </row>
    <row r="3547" spans="1:11" x14ac:dyDescent="0.2">
      <c r="A3547" s="252"/>
      <c r="B3547" s="253"/>
      <c r="C3547" s="254"/>
      <c r="D3547" s="254"/>
      <c r="E3547" s="254"/>
      <c r="F3547" s="255" t="s">
        <v>208</v>
      </c>
      <c r="G3547" s="435"/>
      <c r="H3547" s="254"/>
      <c r="I3547" s="634">
        <f>+I3535+I3541+I3545</f>
        <v>237.92</v>
      </c>
      <c r="K3547" s="302"/>
    </row>
    <row r="3548" spans="1:11" x14ac:dyDescent="0.2">
      <c r="A3548" s="256"/>
      <c r="B3548" s="257"/>
      <c r="C3548" s="258"/>
      <c r="D3548" s="258"/>
      <c r="E3548" s="258"/>
      <c r="F3548" s="259" t="s">
        <v>209</v>
      </c>
      <c r="G3548" s="260"/>
      <c r="H3548" s="258"/>
      <c r="I3548" s="635">
        <v>1</v>
      </c>
      <c r="K3548" s="302"/>
    </row>
    <row r="3549" spans="1:11" x14ac:dyDescent="0.2">
      <c r="A3549" s="237"/>
      <c r="B3549" s="261"/>
      <c r="C3549" s="245"/>
      <c r="D3549" s="245"/>
      <c r="E3549" s="245"/>
      <c r="F3549" s="262" t="s">
        <v>232</v>
      </c>
      <c r="G3549" s="244"/>
      <c r="H3549" s="245"/>
      <c r="I3549" s="633">
        <f>TRUNC(I3547/I3548,2)</f>
        <v>237.92</v>
      </c>
      <c r="K3549" s="302"/>
    </row>
    <row r="3550" spans="1:11" x14ac:dyDescent="0.2">
      <c r="A3550" s="867"/>
      <c r="B3550" s="233"/>
      <c r="C3550" s="199"/>
      <c r="D3550" s="199"/>
      <c r="E3550" s="199"/>
      <c r="F3550" s="263"/>
      <c r="G3550" s="199"/>
      <c r="H3550" s="199"/>
      <c r="I3550" s="264"/>
      <c r="K3550" s="302"/>
    </row>
    <row r="3551" spans="1:11" x14ac:dyDescent="0.2">
      <c r="A3551" s="246" t="s">
        <v>210</v>
      </c>
      <c r="B3551" s="247" t="s">
        <v>60</v>
      </c>
      <c r="C3551" s="247" t="s">
        <v>211</v>
      </c>
      <c r="D3551" s="247" t="s">
        <v>233</v>
      </c>
      <c r="E3551" s="1276" t="s">
        <v>91</v>
      </c>
      <c r="F3551" s="1274"/>
      <c r="G3551" s="1275"/>
      <c r="H3551" s="1276" t="s">
        <v>198</v>
      </c>
      <c r="I3551" s="1275"/>
      <c r="K3551" s="302"/>
    </row>
    <row r="3552" spans="1:11" ht="22.5" x14ac:dyDescent="0.2">
      <c r="A3552" s="265" t="str">
        <f>VLOOKUP(B3552,mat.!$A:$D,2,FALSE)</f>
        <v>Areia grossa jazida com carregamento mecânico</v>
      </c>
      <c r="B3552" s="238">
        <v>10109</v>
      </c>
      <c r="C3552" s="266" t="str">
        <f>VLOOKUP(B3552,mat.!$A:$D,3,FALSE)</f>
        <v>m3</v>
      </c>
      <c r="D3552" s="267">
        <f>VLOOKUP(B3552,mat.!$A:$D,4,FALSE)</f>
        <v>64.22</v>
      </c>
      <c r="E3552" s="260"/>
      <c r="F3552" s="258"/>
      <c r="G3552" s="300">
        <v>0.61109999999999998</v>
      </c>
      <c r="H3552" s="260"/>
      <c r="I3552" s="268">
        <f>TRUNC(D3552*G3552,2)</f>
        <v>39.24</v>
      </c>
      <c r="K3552" s="302"/>
    </row>
    <row r="3553" spans="1:11" x14ac:dyDescent="0.2">
      <c r="A3553" s="265" t="str">
        <f>VLOOKUP(B3553,mat.!$A:$D,2,FALSE)</f>
        <v>Cimento CP III</v>
      </c>
      <c r="B3553" s="238">
        <v>10092</v>
      </c>
      <c r="C3553" s="266" t="str">
        <f>VLOOKUP(B3553,mat.!$A:$D,3,FALSE)</f>
        <v>kg</v>
      </c>
      <c r="D3553" s="267">
        <f>VLOOKUP(B3553,mat.!$A:$D,4,FALSE)</f>
        <v>0.38</v>
      </c>
      <c r="E3553" s="260"/>
      <c r="F3553" s="258"/>
      <c r="G3553" s="441">
        <v>405.3</v>
      </c>
      <c r="H3553" s="260"/>
      <c r="I3553" s="268">
        <f>TRUNC(D3553*G3553,2)</f>
        <v>154.01</v>
      </c>
      <c r="K3553" s="302"/>
    </row>
    <row r="3554" spans="1:11" x14ac:dyDescent="0.2">
      <c r="A3554" s="265" t="str">
        <f>VLOOKUP(B3554,mat.!$A:$D,2,FALSE)</f>
        <v>Pedra britada p/ concreto, sem frete</v>
      </c>
      <c r="B3554" s="238">
        <v>10125</v>
      </c>
      <c r="C3554" s="266" t="str">
        <f>VLOOKUP(B3554,mat.!$A:$D,3,FALSE)</f>
        <v>m3</v>
      </c>
      <c r="D3554" s="267">
        <f>VLOOKUP(B3554,mat.!$A:$D,4,FALSE)</f>
        <v>60.76</v>
      </c>
      <c r="E3554" s="260"/>
      <c r="F3554" s="258"/>
      <c r="G3554" s="441">
        <v>0.77700000000000002</v>
      </c>
      <c r="H3554" s="260"/>
      <c r="I3554" s="268">
        <f>TRUNC(D3554*G3554,2)</f>
        <v>47.21</v>
      </c>
      <c r="K3554" s="302"/>
    </row>
    <row r="3555" spans="1:11" x14ac:dyDescent="0.2">
      <c r="A3555" s="199"/>
      <c r="B3555" s="233"/>
      <c r="C3555" s="199"/>
      <c r="D3555" s="199"/>
      <c r="E3555" s="199"/>
      <c r="F3555" s="234" t="s">
        <v>212</v>
      </c>
      <c r="G3555" s="244"/>
      <c r="H3555" s="245"/>
      <c r="I3555" s="434">
        <f>SUM(I3552:I3554)</f>
        <v>240.46</v>
      </c>
      <c r="K3555" s="302"/>
    </row>
    <row r="3556" spans="1:11" x14ac:dyDescent="0.2">
      <c r="A3556" s="199"/>
      <c r="B3556" s="233"/>
      <c r="C3556" s="199"/>
      <c r="D3556" s="199"/>
      <c r="E3556" s="199"/>
      <c r="F3556" s="199"/>
      <c r="G3556" s="269"/>
      <c r="H3556" s="199"/>
      <c r="I3556" s="200"/>
      <c r="K3556" s="302"/>
    </row>
    <row r="3557" spans="1:11" x14ac:dyDescent="0.2">
      <c r="A3557" s="270" t="s">
        <v>213</v>
      </c>
      <c r="B3557" s="247" t="s">
        <v>60</v>
      </c>
      <c r="C3557" s="247" t="s">
        <v>211</v>
      </c>
      <c r="D3557" s="866" t="s">
        <v>233</v>
      </c>
      <c r="E3557" s="1276" t="s">
        <v>91</v>
      </c>
      <c r="F3557" s="1274"/>
      <c r="G3557" s="1275"/>
      <c r="H3557" s="1276" t="s">
        <v>198</v>
      </c>
      <c r="I3557" s="1275"/>
      <c r="K3557" s="302"/>
    </row>
    <row r="3558" spans="1:11" ht="21.75" customHeight="1" x14ac:dyDescent="0.2">
      <c r="A3558" s="248"/>
      <c r="B3558" s="238"/>
      <c r="C3558" s="238"/>
      <c r="D3558" s="243"/>
      <c r="E3558" s="244"/>
      <c r="F3558" s="258"/>
      <c r="G3558" s="300"/>
      <c r="H3558" s="244"/>
      <c r="I3558" s="268"/>
      <c r="K3558" s="302"/>
    </row>
    <row r="3559" spans="1:11" x14ac:dyDescent="0.2">
      <c r="A3559" s="201"/>
      <c r="B3559" s="271"/>
      <c r="C3559" s="201"/>
      <c r="D3559" s="201"/>
      <c r="E3559" s="201"/>
      <c r="F3559" s="272" t="s">
        <v>214</v>
      </c>
      <c r="G3559" s="260"/>
      <c r="H3559" s="273"/>
      <c r="I3559" s="436">
        <f>SUM(I3558:I3558)</f>
        <v>0</v>
      </c>
      <c r="K3559" s="302"/>
    </row>
    <row r="3560" spans="1:11" x14ac:dyDescent="0.2">
      <c r="A3560" s="201"/>
      <c r="B3560" s="271"/>
      <c r="C3560" s="201"/>
      <c r="D3560" s="201"/>
      <c r="E3560" s="201"/>
      <c r="F3560" s="201"/>
      <c r="G3560" s="201"/>
      <c r="H3560" s="201"/>
      <c r="I3560" s="201"/>
      <c r="K3560" s="302"/>
    </row>
    <row r="3561" spans="1:11" x14ac:dyDescent="0.2">
      <c r="A3561" s="274" t="s">
        <v>215</v>
      </c>
      <c r="B3561" s="275" t="s">
        <v>60</v>
      </c>
      <c r="C3561" s="275" t="s">
        <v>211</v>
      </c>
      <c r="D3561" s="275" t="s">
        <v>216</v>
      </c>
      <c r="E3561" s="275" t="s">
        <v>217</v>
      </c>
      <c r="F3561" s="275" t="s">
        <v>218</v>
      </c>
      <c r="G3561" s="275" t="s">
        <v>96</v>
      </c>
      <c r="H3561" s="275" t="s">
        <v>91</v>
      </c>
      <c r="I3561" s="275" t="s">
        <v>219</v>
      </c>
      <c r="J3561" s="433" t="s">
        <v>115</v>
      </c>
      <c r="K3561" s="302"/>
    </row>
    <row r="3562" spans="1:11" ht="22.5" x14ac:dyDescent="0.2">
      <c r="A3562" s="265" t="str">
        <f>VLOOKUP(B3562,tranp.!A:D,2,FALSE)</f>
        <v>Transp. de Areia grossa jazida c/ carreg.mecânico</v>
      </c>
      <c r="B3562" s="238">
        <v>1026</v>
      </c>
      <c r="C3562" s="238" t="str">
        <f>VLOOKUP(B3562,tranp.!$A:$J,3,FALSE)</f>
        <v xml:space="preserve"> t  </v>
      </c>
      <c r="D3562" s="276" t="str">
        <f>VLOOKUP(B3562,tranp.!$A:$J,4,FALSE)</f>
        <v>0,681XP + 0,710XR + 2,841</v>
      </c>
      <c r="E3562" s="277">
        <f>VLOOKUP(J3561,Ocor.!$B:$F,4,FALSE)</f>
        <v>10</v>
      </c>
      <c r="F3562" s="277">
        <f>VLOOKUP(J3561,Ocor.!$B:$F,5,FALSE)</f>
        <v>5.6</v>
      </c>
      <c r="G3562" s="243">
        <f>TRUNC(VLOOKUP(B3562,tranp.!$A:$J,5,FALSE)*E3562+VLOOKUP(B3562,tranp.!$A:$J,6,FALSE)*F3562+VLOOKUP(B3562,tranp.!$A:$J,7,FALSE),2)</f>
        <v>13.62</v>
      </c>
      <c r="H3562" s="278">
        <v>0.91669999999999996</v>
      </c>
      <c r="I3562" s="243">
        <f>TRUNC(G3562*H3562,2)</f>
        <v>12.48</v>
      </c>
      <c r="J3562" s="433" t="s">
        <v>174</v>
      </c>
      <c r="K3562" s="302"/>
    </row>
    <row r="3563" spans="1:11" x14ac:dyDescent="0.2">
      <c r="A3563" s="265" t="str">
        <f>VLOOKUP(B3563,tranp.!A:D,2,FALSE)</f>
        <v>Transp. de Cimento</v>
      </c>
      <c r="B3563" s="238">
        <v>1153</v>
      </c>
      <c r="C3563" s="238" t="str">
        <f>VLOOKUP(B3563,tranp.!$A:$J,3,FALSE)</f>
        <v xml:space="preserve"> t  </v>
      </c>
      <c r="D3563" s="276" t="str">
        <f>VLOOKUP(B3563,tranp.!$A:$J,4,FALSE)</f>
        <v>0,676XP + 0,703XR</v>
      </c>
      <c r="E3563" s="277">
        <f>VLOOKUP(J3562,Ocor.!$B:$F,4,FALSE)</f>
        <v>37.200000000000003</v>
      </c>
      <c r="F3563" s="277">
        <f>VLOOKUP(J3562,Ocor.!$B:$F,5,FALSE)</f>
        <v>5.6</v>
      </c>
      <c r="G3563" s="243">
        <f>TRUNC(VLOOKUP(B3563,tranp.!$A:$J,5,FALSE)*E3563+VLOOKUP(B3563,tranp.!$A:$J,6,FALSE)*F3563+VLOOKUP(B3563,tranp.!$A:$J,7,FALSE),2)</f>
        <v>29.08</v>
      </c>
      <c r="H3563" s="278">
        <v>0.40529999999999999</v>
      </c>
      <c r="I3563" s="243">
        <f>TRUNC(G3563*H3563,2)</f>
        <v>11.78</v>
      </c>
      <c r="J3563" s="433" t="s">
        <v>113</v>
      </c>
    </row>
    <row r="3564" spans="1:11" ht="22.5" x14ac:dyDescent="0.2">
      <c r="A3564" s="265" t="str">
        <f>VLOOKUP(B3564,tranp.!A:D,2,FALSE)</f>
        <v>Transp. de Pedra britada p/ concreto</v>
      </c>
      <c r="B3564" s="238">
        <v>1162</v>
      </c>
      <c r="C3564" s="238" t="str">
        <f>VLOOKUP(B3564,tranp.!$A:$J,3,FALSE)</f>
        <v xml:space="preserve"> t  </v>
      </c>
      <c r="D3564" s="276" t="str">
        <f>VLOOKUP(B3564,tranp.!$A:$J,4,FALSE)</f>
        <v>0,681XP + 0,710XR + 2,841</v>
      </c>
      <c r="E3564" s="277">
        <f>VLOOKUP(J3563,Ocor.!$B:$F,4,FALSE)</f>
        <v>37.200000000000003</v>
      </c>
      <c r="F3564" s="277">
        <f>VLOOKUP(J3563,Ocor.!$B:$F,5,FALSE)</f>
        <v>5.6</v>
      </c>
      <c r="G3564" s="243">
        <f>TRUNC(VLOOKUP(B3564,tranp.!$A:$J,5,FALSE)*E3564+VLOOKUP(B3564,tranp.!$A:$J,6,FALSE)*F3564+VLOOKUP(B3564,tranp.!$A:$J,7,FALSE),2)</f>
        <v>32.15</v>
      </c>
      <c r="H3564" s="278">
        <v>1.1655</v>
      </c>
      <c r="I3564" s="243">
        <f>TRUNC(G3564*H3564,2)</f>
        <v>37.47</v>
      </c>
    </row>
    <row r="3565" spans="1:11" x14ac:dyDescent="0.2">
      <c r="A3565" s="201"/>
      <c r="B3565" s="271"/>
      <c r="C3565" s="201"/>
      <c r="D3565" s="201"/>
      <c r="E3565" s="201"/>
      <c r="F3565" s="272" t="s">
        <v>220</v>
      </c>
      <c r="G3565" s="244"/>
      <c r="H3565" s="279"/>
      <c r="I3565" s="438">
        <f>SUM(I3562:I3564)</f>
        <v>61.73</v>
      </c>
    </row>
    <row r="3566" spans="1:11" x14ac:dyDescent="0.2">
      <c r="A3566" s="201"/>
      <c r="B3566" s="271"/>
      <c r="C3566" s="201"/>
      <c r="D3566" s="201"/>
      <c r="E3566" s="201"/>
      <c r="F3566" s="201"/>
      <c r="G3566" s="201"/>
      <c r="H3566" s="201"/>
      <c r="I3566" s="202"/>
    </row>
    <row r="3567" spans="1:11" x14ac:dyDescent="0.2">
      <c r="A3567" s="280"/>
      <c r="B3567" s="281"/>
      <c r="C3567" s="282"/>
      <c r="D3567" s="282"/>
      <c r="E3567" s="282"/>
      <c r="F3567" s="283" t="s">
        <v>221</v>
      </c>
      <c r="G3567" s="280"/>
      <c r="H3567" s="254"/>
      <c r="I3567" s="634">
        <f>+I3549+I3555+I3559+I3565</f>
        <v>540.11</v>
      </c>
    </row>
    <row r="3568" spans="1:11" x14ac:dyDescent="0.2">
      <c r="A3568" s="260"/>
      <c r="B3568" s="284"/>
      <c r="C3568" s="273"/>
      <c r="D3568" s="273"/>
      <c r="E3568" s="273"/>
      <c r="F3568" s="285" t="str">
        <f>CONCATENATE($H$3," ",$I$3)</f>
        <v>BDI: 23,32</v>
      </c>
      <c r="G3568" s="439"/>
      <c r="H3568" s="258"/>
      <c r="I3568" s="635">
        <f>+ROUND(I3567*$I$4,2)</f>
        <v>125.95</v>
      </c>
    </row>
    <row r="3569" spans="1:13" x14ac:dyDescent="0.2">
      <c r="A3569" s="244"/>
      <c r="B3569" s="286"/>
      <c r="C3569" s="279"/>
      <c r="D3569" s="279"/>
      <c r="E3569" s="279"/>
      <c r="F3569" s="287" t="s">
        <v>222</v>
      </c>
      <c r="G3569" s="440"/>
      <c r="H3569" s="245"/>
      <c r="I3569" s="1017">
        <f>+I3567+I3568</f>
        <v>666.06</v>
      </c>
    </row>
    <row r="3570" spans="1:13" x14ac:dyDescent="0.2">
      <c r="A3570" s="1277" t="str">
        <f>$A$1</f>
        <v>COMPOSIÇÃO DE CUSTOS UNITÁRIOS</v>
      </c>
      <c r="B3570" s="1277"/>
      <c r="C3570" s="1277"/>
      <c r="D3570" s="1277"/>
      <c r="E3570" s="1277"/>
      <c r="F3570" s="1277"/>
      <c r="G3570" s="1277"/>
      <c r="H3570" s="1277"/>
      <c r="I3570" s="1277"/>
    </row>
    <row r="3571" spans="1:13" x14ac:dyDescent="0.2">
      <c r="A3571" s="232" t="str">
        <f>$A$2</f>
        <v>Tabela Referencial de Preços - DER-ES</v>
      </c>
      <c r="B3571" s="233"/>
      <c r="C3571" s="199"/>
      <c r="D3571" s="199"/>
      <c r="E3571" s="199"/>
      <c r="F3571" s="199"/>
      <c r="G3571" s="199"/>
      <c r="H3571" s="199"/>
      <c r="I3571" s="234" t="str">
        <f>$I$2</f>
        <v>Data Base: Outubro/2018</v>
      </c>
      <c r="J3571" s="433">
        <v>41544</v>
      </c>
      <c r="K3571" s="433">
        <f>VLOOKUP("Preço Unitário Total",F3573:I4251,4,FALSE)</f>
        <v>389.67</v>
      </c>
      <c r="L3571" s="302">
        <f>VLOOKUP(J3571,'DER 10-18'!A:E,5,FALSE)</f>
        <v>0</v>
      </c>
      <c r="M3571" s="302" t="str">
        <f>VLOOKUP(J3571,'DER 10-18'!$A:$D,2,FALSE)</f>
        <v>Mobilização e desmobilização de equipamentos com carreta prancha (máximo)</v>
      </c>
    </row>
    <row r="3572" spans="1:13" ht="32.25" customHeight="1" x14ac:dyDescent="0.2">
      <c r="A3572" s="1278" t="str">
        <f>+CONCATENATE("Serviço: ",J3571," ",VLOOKUP(J3571,'DER 10-18'!$A:$D,2,FALSE))</f>
        <v>Serviço: 41544 Mobilização e desmobilização de equipamentos com carreta prancha (máximo)</v>
      </c>
      <c r="B3572" s="1278"/>
      <c r="C3572" s="1278"/>
      <c r="D3572" s="1278"/>
      <c r="E3572" s="1278"/>
      <c r="F3572" s="1278"/>
      <c r="G3572" s="1278"/>
      <c r="H3572" s="1278"/>
      <c r="I3572" s="1278" t="str">
        <f>CONCATENATE("Unidade: ", VLOOKUP(J3571,'DER 10-18'!$A:$E,3,FALSE))</f>
        <v>Unidade: h</v>
      </c>
      <c r="J3572" s="302"/>
      <c r="K3572" s="302"/>
    </row>
    <row r="3573" spans="1:13" x14ac:dyDescent="0.2">
      <c r="A3573" s="1279"/>
      <c r="B3573" s="1279"/>
      <c r="C3573" s="1279"/>
      <c r="D3573" s="1279"/>
      <c r="E3573" s="1279"/>
      <c r="F3573" s="1279"/>
      <c r="G3573" s="1279"/>
      <c r="H3573" s="1279"/>
      <c r="I3573" s="1279"/>
      <c r="J3573" s="302"/>
      <c r="K3573" s="302"/>
    </row>
    <row r="3574" spans="1:13" ht="25.5" customHeight="1" x14ac:dyDescent="0.2">
      <c r="A3574" s="235" t="s">
        <v>192</v>
      </c>
      <c r="B3574" s="236" t="s">
        <v>60</v>
      </c>
      <c r="C3574" s="236" t="s">
        <v>193</v>
      </c>
      <c r="D3574" s="236" t="s">
        <v>194</v>
      </c>
      <c r="E3574" s="236" t="s">
        <v>195</v>
      </c>
      <c r="F3574" s="236" t="s">
        <v>196</v>
      </c>
      <c r="G3574" s="236" t="s">
        <v>197</v>
      </c>
      <c r="H3574" s="236" t="s">
        <v>91</v>
      </c>
      <c r="I3574" s="236" t="s">
        <v>198</v>
      </c>
      <c r="J3574" s="302"/>
      <c r="K3574" s="302"/>
    </row>
    <row r="3575" spans="1:13" ht="30" customHeight="1" x14ac:dyDescent="0.2">
      <c r="A3575" s="237" t="str">
        <f>VLOOKUP(B3575,equip.!$A:$G,2,FALSE)</f>
        <v>Carreta com prancha 2040 45,0 t</v>
      </c>
      <c r="B3575" s="238">
        <v>30008</v>
      </c>
      <c r="C3575" s="239" t="str">
        <f>VLOOKUP(B3575,equip.!$A$1:$G$239,3,FALSE)</f>
        <v>M</v>
      </c>
      <c r="D3575" s="240">
        <v>0.9</v>
      </c>
      <c r="E3575" s="205">
        <v>0.1</v>
      </c>
      <c r="F3575" s="241">
        <f>VLOOKUP(B3575,equip.!$A:$G,6,FALSE)</f>
        <v>328.64</v>
      </c>
      <c r="G3575" s="241">
        <f>VLOOKUP(B3575,equip.!$A:$G,7,FALSE)</f>
        <v>62.11</v>
      </c>
      <c r="H3575" s="242">
        <v>1</v>
      </c>
      <c r="I3575" s="243">
        <f>TRUNC(D3575*F3575*H3575+E3575*G3575*H3575,2)</f>
        <v>301.98</v>
      </c>
      <c r="J3575" s="302"/>
      <c r="K3575" s="302"/>
    </row>
    <row r="3576" spans="1:13" x14ac:dyDescent="0.2">
      <c r="A3576" s="199"/>
      <c r="B3576" s="233"/>
      <c r="C3576" s="233"/>
      <c r="D3576" s="199"/>
      <c r="E3576" s="199"/>
      <c r="F3576" s="234" t="s">
        <v>199</v>
      </c>
      <c r="G3576" s="244"/>
      <c r="H3576" s="245"/>
      <c r="I3576" s="434">
        <f>SUM(I3575:I3575)</f>
        <v>301.98</v>
      </c>
      <c r="J3576" s="302"/>
      <c r="K3576" s="302"/>
    </row>
    <row r="3577" spans="1:13" x14ac:dyDescent="0.2">
      <c r="A3577" s="199"/>
      <c r="B3577" s="233"/>
      <c r="C3577" s="233"/>
      <c r="D3577" s="199"/>
      <c r="E3577" s="199"/>
      <c r="F3577" s="199"/>
      <c r="G3577" s="199"/>
      <c r="H3577" s="199"/>
      <c r="I3577" s="200"/>
      <c r="J3577" s="302"/>
      <c r="K3577" s="302"/>
    </row>
    <row r="3578" spans="1:13" x14ac:dyDescent="0.2">
      <c r="A3578" s="246" t="s">
        <v>200</v>
      </c>
      <c r="B3578" s="247" t="s">
        <v>60</v>
      </c>
      <c r="C3578" s="236" t="s">
        <v>1242</v>
      </c>
      <c r="D3578" s="247" t="s">
        <v>202</v>
      </c>
      <c r="E3578" s="1276" t="s">
        <v>91</v>
      </c>
      <c r="F3578" s="1274"/>
      <c r="G3578" s="1275"/>
      <c r="H3578" s="1276" t="s">
        <v>198</v>
      </c>
      <c r="I3578" s="1275"/>
      <c r="J3578" s="302"/>
      <c r="K3578" s="302"/>
    </row>
    <row r="3579" spans="1:13" x14ac:dyDescent="0.2">
      <c r="A3579" s="248"/>
      <c r="B3579" s="238"/>
      <c r="C3579" s="243"/>
      <c r="D3579" s="243"/>
      <c r="E3579" s="244"/>
      <c r="F3579" s="245"/>
      <c r="G3579" s="441"/>
      <c r="H3579" s="244"/>
      <c r="I3579" s="249"/>
      <c r="J3579" s="302"/>
      <c r="K3579" s="302"/>
    </row>
    <row r="3580" spans="1:13" x14ac:dyDescent="0.2">
      <c r="A3580" s="199"/>
      <c r="B3580" s="233"/>
      <c r="C3580" s="233"/>
      <c r="D3580" s="199"/>
      <c r="E3580" s="199"/>
      <c r="F3580" s="234" t="s">
        <v>203</v>
      </c>
      <c r="G3580" s="244"/>
      <c r="H3580" s="245"/>
      <c r="I3580" s="434">
        <f>SUM(I3579:I3579)</f>
        <v>0</v>
      </c>
      <c r="J3580" s="302"/>
      <c r="K3580" s="302"/>
    </row>
    <row r="3581" spans="1:13" x14ac:dyDescent="0.2">
      <c r="A3581" s="199"/>
      <c r="B3581" s="233"/>
      <c r="C3581" s="233"/>
      <c r="D3581" s="199"/>
      <c r="E3581" s="199"/>
      <c r="F3581" s="199"/>
      <c r="G3581" s="199"/>
      <c r="H3581" s="199"/>
      <c r="I3581" s="200"/>
      <c r="J3581" s="302"/>
      <c r="K3581" s="302"/>
    </row>
    <row r="3582" spans="1:13" x14ac:dyDescent="0.2">
      <c r="A3582" s="250" t="s">
        <v>204</v>
      </c>
      <c r="B3582" s="247" t="s">
        <v>60</v>
      </c>
      <c r="C3582" s="866" t="s">
        <v>17</v>
      </c>
      <c r="D3582" s="247" t="s">
        <v>205</v>
      </c>
      <c r="E3582" s="247" t="s">
        <v>206</v>
      </c>
      <c r="F3582" s="247" t="s">
        <v>207</v>
      </c>
      <c r="G3582" s="1276" t="s">
        <v>96</v>
      </c>
      <c r="H3582" s="1274"/>
      <c r="I3582" s="1275"/>
      <c r="J3582" s="302"/>
      <c r="K3582" s="302"/>
    </row>
    <row r="3583" spans="1:13" x14ac:dyDescent="0.2">
      <c r="A3583" s="248"/>
      <c r="B3583" s="238"/>
      <c r="C3583" s="243"/>
      <c r="D3583" s="239"/>
      <c r="E3583" s="251"/>
      <c r="F3583" s="251"/>
      <c r="G3583" s="244"/>
      <c r="H3583" s="245"/>
      <c r="I3583" s="249"/>
      <c r="J3583" s="302"/>
      <c r="K3583" s="302"/>
    </row>
    <row r="3584" spans="1:13" x14ac:dyDescent="0.2">
      <c r="A3584" s="199"/>
      <c r="B3584" s="233"/>
      <c r="C3584" s="199"/>
      <c r="D3584" s="199"/>
      <c r="E3584" s="199"/>
      <c r="F3584" s="234" t="s">
        <v>1170</v>
      </c>
      <c r="G3584" s="244"/>
      <c r="H3584" s="245"/>
      <c r="I3584" s="434">
        <f>SUM(I3583)</f>
        <v>0</v>
      </c>
      <c r="J3584" s="302"/>
      <c r="K3584" s="302"/>
    </row>
    <row r="3585" spans="1:17" x14ac:dyDescent="0.2">
      <c r="A3585" s="199"/>
      <c r="B3585" s="233"/>
      <c r="C3585" s="199"/>
      <c r="D3585" s="199"/>
      <c r="E3585" s="199"/>
      <c r="F3585" s="199"/>
      <c r="G3585" s="199"/>
      <c r="H3585" s="199"/>
      <c r="I3585" s="200"/>
      <c r="J3585" s="302"/>
      <c r="K3585" s="302"/>
    </row>
    <row r="3586" spans="1:17" x14ac:dyDescent="0.2">
      <c r="A3586" s="252"/>
      <c r="B3586" s="253"/>
      <c r="C3586" s="254"/>
      <c r="D3586" s="254"/>
      <c r="E3586" s="254"/>
      <c r="F3586" s="255" t="s">
        <v>208</v>
      </c>
      <c r="G3586" s="435"/>
      <c r="H3586" s="254"/>
      <c r="I3586" s="634">
        <f>+I3576+I3580+I3584</f>
        <v>301.98</v>
      </c>
      <c r="J3586" s="302"/>
      <c r="K3586" s="302"/>
    </row>
    <row r="3587" spans="1:17" x14ac:dyDescent="0.2">
      <c r="A3587" s="256"/>
      <c r="B3587" s="257"/>
      <c r="C3587" s="258"/>
      <c r="D3587" s="258"/>
      <c r="E3587" s="258"/>
      <c r="F3587" s="259" t="s">
        <v>209</v>
      </c>
      <c r="G3587" s="260"/>
      <c r="H3587" s="258"/>
      <c r="I3587" s="635">
        <v>1</v>
      </c>
      <c r="J3587" s="302"/>
      <c r="K3587" s="302"/>
    </row>
    <row r="3588" spans="1:17" x14ac:dyDescent="0.2">
      <c r="A3588" s="237"/>
      <c r="B3588" s="261"/>
      <c r="C3588" s="245"/>
      <c r="D3588" s="245"/>
      <c r="E3588" s="245"/>
      <c r="F3588" s="262" t="s">
        <v>232</v>
      </c>
      <c r="G3588" s="244"/>
      <c r="H3588" s="245"/>
      <c r="I3588" s="633">
        <f>TRUNC(I3586/I3587,2)</f>
        <v>301.98</v>
      </c>
      <c r="J3588" s="302"/>
      <c r="K3588" s="302"/>
    </row>
    <row r="3589" spans="1:17" x14ac:dyDescent="0.2">
      <c r="A3589" s="867"/>
      <c r="B3589" s="233"/>
      <c r="C3589" s="199"/>
      <c r="D3589" s="199"/>
      <c r="E3589" s="199"/>
      <c r="F3589" s="263"/>
      <c r="G3589" s="199"/>
      <c r="H3589" s="199"/>
      <c r="I3589" s="264"/>
      <c r="J3589" s="302"/>
      <c r="K3589" s="302"/>
    </row>
    <row r="3590" spans="1:17" x14ac:dyDescent="0.2">
      <c r="A3590" s="246" t="s">
        <v>210</v>
      </c>
      <c r="B3590" s="247" t="s">
        <v>60</v>
      </c>
      <c r="C3590" s="247" t="s">
        <v>211</v>
      </c>
      <c r="D3590" s="247" t="s">
        <v>233</v>
      </c>
      <c r="E3590" s="1276" t="s">
        <v>91</v>
      </c>
      <c r="F3590" s="1274"/>
      <c r="G3590" s="1275"/>
      <c r="H3590" s="1276" t="s">
        <v>198</v>
      </c>
      <c r="I3590" s="1275"/>
      <c r="J3590" s="302"/>
      <c r="K3590" s="302"/>
    </row>
    <row r="3591" spans="1:17" x14ac:dyDescent="0.2">
      <c r="A3591" s="265" t="str">
        <f>VLOOKUP(B3591,mat.!$A:$D,2,FALSE)</f>
        <v>Diária</v>
      </c>
      <c r="B3591" s="238">
        <v>11020</v>
      </c>
      <c r="C3591" s="266" t="str">
        <f>VLOOKUP(B3591,mat.!$A:$D,3,FALSE)</f>
        <v>DIA</v>
      </c>
      <c r="D3591" s="267">
        <f>VLOOKUP(B3591,mat.!$A:$D,4,FALSE)</f>
        <v>112</v>
      </c>
      <c r="E3591" s="260"/>
      <c r="F3591" s="258"/>
      <c r="G3591" s="300">
        <v>0.125</v>
      </c>
      <c r="H3591" s="260"/>
      <c r="I3591" s="268">
        <f>TRUNC(D3591*G3591,2)</f>
        <v>14</v>
      </c>
      <c r="J3591" s="302"/>
      <c r="K3591" s="302"/>
    </row>
    <row r="3592" spans="1:17" s="198" customFormat="1" x14ac:dyDescent="0.2">
      <c r="A3592" s="199"/>
      <c r="B3592" s="233"/>
      <c r="C3592" s="199"/>
      <c r="D3592" s="199"/>
      <c r="E3592" s="199"/>
      <c r="F3592" s="234" t="s">
        <v>212</v>
      </c>
      <c r="G3592" s="244"/>
      <c r="H3592" s="245"/>
      <c r="I3592" s="434">
        <f>SUM(I3591:I3591)</f>
        <v>14</v>
      </c>
      <c r="J3592" s="302"/>
      <c r="K3592" s="302"/>
      <c r="L3592" s="302"/>
      <c r="M3592" s="302"/>
      <c r="N3592" s="302"/>
      <c r="O3592" s="302"/>
      <c r="P3592" s="302"/>
      <c r="Q3592" s="302"/>
    </row>
    <row r="3593" spans="1:17" s="198" customFormat="1" x14ac:dyDescent="0.2">
      <c r="A3593" s="199"/>
      <c r="B3593" s="233"/>
      <c r="C3593" s="199"/>
      <c r="D3593" s="199"/>
      <c r="E3593" s="199"/>
      <c r="F3593" s="199"/>
      <c r="G3593" s="269"/>
      <c r="H3593" s="199"/>
      <c r="I3593" s="200"/>
      <c r="J3593" s="302"/>
      <c r="K3593" s="302"/>
      <c r="L3593" s="302"/>
      <c r="M3593" s="302"/>
      <c r="N3593" s="302"/>
      <c r="O3593" s="302"/>
      <c r="P3593" s="302"/>
      <c r="Q3593" s="302"/>
    </row>
    <row r="3594" spans="1:17" s="198" customFormat="1" x14ac:dyDescent="0.2">
      <c r="A3594" s="270" t="s">
        <v>213</v>
      </c>
      <c r="B3594" s="247" t="s">
        <v>60</v>
      </c>
      <c r="C3594" s="247" t="s">
        <v>211</v>
      </c>
      <c r="D3594" s="866" t="s">
        <v>233</v>
      </c>
      <c r="E3594" s="1276" t="s">
        <v>91</v>
      </c>
      <c r="F3594" s="1274"/>
      <c r="G3594" s="1275"/>
      <c r="H3594" s="1276" t="s">
        <v>198</v>
      </c>
      <c r="I3594" s="1275"/>
      <c r="J3594" s="302"/>
      <c r="K3594" s="302"/>
      <c r="L3594" s="302"/>
      <c r="M3594" s="302"/>
      <c r="N3594" s="302"/>
      <c r="O3594" s="302"/>
      <c r="P3594" s="302"/>
      <c r="Q3594" s="302"/>
    </row>
    <row r="3595" spans="1:17" x14ac:dyDescent="0.2">
      <c r="A3595" s="248"/>
      <c r="B3595" s="238"/>
      <c r="C3595" s="238"/>
      <c r="D3595" s="243"/>
      <c r="E3595" s="244"/>
      <c r="F3595" s="258"/>
      <c r="G3595" s="300"/>
      <c r="H3595" s="244"/>
      <c r="I3595" s="268"/>
      <c r="J3595" s="302"/>
      <c r="K3595" s="302"/>
    </row>
    <row r="3596" spans="1:17" x14ac:dyDescent="0.2">
      <c r="A3596" s="201"/>
      <c r="B3596" s="271"/>
      <c r="C3596" s="201"/>
      <c r="D3596" s="201"/>
      <c r="E3596" s="201"/>
      <c r="F3596" s="272" t="s">
        <v>214</v>
      </c>
      <c r="G3596" s="260"/>
      <c r="H3596" s="273"/>
      <c r="I3596" s="436">
        <f>SUM(I3595:I3595)</f>
        <v>0</v>
      </c>
      <c r="J3596" s="302"/>
      <c r="K3596" s="302"/>
    </row>
    <row r="3597" spans="1:17" x14ac:dyDescent="0.2">
      <c r="A3597" s="201"/>
      <c r="B3597" s="271"/>
      <c r="C3597" s="201"/>
      <c r="D3597" s="201"/>
      <c r="E3597" s="201"/>
      <c r="F3597" s="201"/>
      <c r="G3597" s="201"/>
      <c r="H3597" s="201"/>
      <c r="I3597" s="201"/>
      <c r="J3597" s="302"/>
      <c r="K3597" s="302"/>
    </row>
    <row r="3598" spans="1:17" x14ac:dyDescent="0.2">
      <c r="A3598" s="274" t="s">
        <v>215</v>
      </c>
      <c r="B3598" s="275" t="s">
        <v>60</v>
      </c>
      <c r="C3598" s="275" t="s">
        <v>211</v>
      </c>
      <c r="D3598" s="275" t="s">
        <v>216</v>
      </c>
      <c r="E3598" s="275" t="s">
        <v>217</v>
      </c>
      <c r="F3598" s="275" t="s">
        <v>218</v>
      </c>
      <c r="G3598" s="275" t="s">
        <v>96</v>
      </c>
      <c r="H3598" s="275" t="s">
        <v>91</v>
      </c>
      <c r="I3598" s="275" t="s">
        <v>219</v>
      </c>
      <c r="J3598" s="302"/>
      <c r="K3598" s="302"/>
    </row>
    <row r="3599" spans="1:17" x14ac:dyDescent="0.2">
      <c r="A3599" s="248"/>
      <c r="B3599" s="238"/>
      <c r="C3599" s="238"/>
      <c r="D3599" s="276"/>
      <c r="E3599" s="277"/>
      <c r="F3599" s="277"/>
      <c r="G3599" s="243"/>
      <c r="H3599" s="278"/>
      <c r="I3599" s="243"/>
      <c r="J3599" s="302"/>
      <c r="K3599" s="302"/>
    </row>
    <row r="3600" spans="1:17" x14ac:dyDescent="0.2">
      <c r="A3600" s="201"/>
      <c r="B3600" s="271"/>
      <c r="C3600" s="201"/>
      <c r="D3600" s="201"/>
      <c r="E3600" s="201"/>
      <c r="F3600" s="272" t="s">
        <v>220</v>
      </c>
      <c r="G3600" s="244"/>
      <c r="H3600" s="279"/>
      <c r="I3600" s="438">
        <f>SUM(I3599:I3599)</f>
        <v>0</v>
      </c>
      <c r="J3600" s="302"/>
      <c r="K3600" s="302"/>
    </row>
    <row r="3601" spans="1:13" x14ac:dyDescent="0.2">
      <c r="A3601" s="201"/>
      <c r="B3601" s="271"/>
      <c r="C3601" s="201"/>
      <c r="D3601" s="201"/>
      <c r="E3601" s="201"/>
      <c r="F3601" s="201"/>
      <c r="G3601" s="201"/>
      <c r="H3601" s="201"/>
      <c r="I3601" s="202"/>
      <c r="J3601" s="302"/>
      <c r="K3601" s="302"/>
    </row>
    <row r="3602" spans="1:13" x14ac:dyDescent="0.2">
      <c r="A3602" s="280"/>
      <c r="B3602" s="281"/>
      <c r="C3602" s="282"/>
      <c r="D3602" s="282"/>
      <c r="E3602" s="282"/>
      <c r="F3602" s="283" t="s">
        <v>221</v>
      </c>
      <c r="G3602" s="280"/>
      <c r="H3602" s="254"/>
      <c r="I3602" s="634">
        <f>+I3588+I3592+I3596+I3600</f>
        <v>315.98</v>
      </c>
      <c r="J3602" s="302"/>
      <c r="K3602" s="302"/>
    </row>
    <row r="3603" spans="1:13" x14ac:dyDescent="0.2">
      <c r="A3603" s="260"/>
      <c r="B3603" s="284"/>
      <c r="C3603" s="273"/>
      <c r="D3603" s="273"/>
      <c r="E3603" s="273"/>
      <c r="F3603" s="285" t="str">
        <f>CONCATENATE($H$3," ",$I$3)</f>
        <v>BDI: 23,32</v>
      </c>
      <c r="G3603" s="439"/>
      <c r="H3603" s="258"/>
      <c r="I3603" s="635">
        <f>+ROUND(I3602*$I$4,2)</f>
        <v>73.69</v>
      </c>
      <c r="J3603" s="302"/>
      <c r="K3603" s="302"/>
    </row>
    <row r="3604" spans="1:13" x14ac:dyDescent="0.2">
      <c r="A3604" s="244"/>
      <c r="B3604" s="286"/>
      <c r="C3604" s="279"/>
      <c r="D3604" s="279"/>
      <c r="E3604" s="279"/>
      <c r="F3604" s="287" t="s">
        <v>222</v>
      </c>
      <c r="G3604" s="440"/>
      <c r="H3604" s="245"/>
      <c r="I3604" s="1017">
        <f>+I3602+I3603</f>
        <v>389.67</v>
      </c>
    </row>
    <row r="3605" spans="1:13" x14ac:dyDescent="0.2">
      <c r="A3605" s="1277" t="str">
        <f>$A$1</f>
        <v>COMPOSIÇÃO DE CUSTOS UNITÁRIOS</v>
      </c>
      <c r="B3605" s="1277"/>
      <c r="C3605" s="1277"/>
      <c r="D3605" s="1277"/>
      <c r="E3605" s="1277"/>
      <c r="F3605" s="1277"/>
      <c r="G3605" s="1277"/>
      <c r="H3605" s="1277"/>
      <c r="I3605" s="1277"/>
    </row>
    <row r="3606" spans="1:13" x14ac:dyDescent="0.2">
      <c r="A3606" s="232" t="str">
        <f>$A$2</f>
        <v>Tabela Referencial de Preços - DER-ES</v>
      </c>
      <c r="B3606" s="233"/>
      <c r="C3606" s="199"/>
      <c r="D3606" s="199"/>
      <c r="E3606" s="199"/>
      <c r="F3606" s="199"/>
      <c r="G3606" s="199"/>
      <c r="H3606" s="199"/>
      <c r="I3606" s="234" t="str">
        <f>$I$2</f>
        <v>Data Base: Outubro/2018</v>
      </c>
      <c r="J3606" s="433">
        <v>41545</v>
      </c>
      <c r="K3606" s="433">
        <f>VLOOKUP("Preço Unitário Total",F3608:I4251,4,FALSE)</f>
        <v>199.7</v>
      </c>
      <c r="L3606" s="302">
        <f>VLOOKUP(J3606,'DER 10-18'!A:E,5,FALSE)</f>
        <v>0</v>
      </c>
      <c r="M3606" s="302" t="str">
        <f>VLOOKUP(J3606,'DER 10-18'!$A:$D,2,FALSE)</f>
        <v>Mobilização e desmobilização de caminhão carroceria (máximo)</v>
      </c>
    </row>
    <row r="3607" spans="1:13" x14ac:dyDescent="0.2">
      <c r="A3607" s="1278" t="str">
        <f>+CONCATENATE("Serviço: ",J3606," ",VLOOKUP(J3606,'DER 10-18'!$A:$D,2,FALSE))</f>
        <v>Serviço: 41545 Mobilização e desmobilização de caminhão carroceria (máximo)</v>
      </c>
      <c r="B3607" s="1278"/>
      <c r="C3607" s="1278"/>
      <c r="D3607" s="1278"/>
      <c r="E3607" s="1278"/>
      <c r="F3607" s="1278"/>
      <c r="G3607" s="1278"/>
      <c r="H3607" s="1278"/>
      <c r="I3607" s="1278" t="str">
        <f>CONCATENATE("Unidade: ", VLOOKUP(J3606,'DER 10-18'!$A:$E,3,FALSE))</f>
        <v>Unidade: h</v>
      </c>
    </row>
    <row r="3608" spans="1:13" x14ac:dyDescent="0.2">
      <c r="A3608" s="1279"/>
      <c r="B3608" s="1279"/>
      <c r="C3608" s="1279"/>
      <c r="D3608" s="1279"/>
      <c r="E3608" s="1279"/>
      <c r="F3608" s="1279"/>
      <c r="G3608" s="1279"/>
      <c r="H3608" s="1279"/>
      <c r="I3608" s="1279"/>
    </row>
    <row r="3609" spans="1:13" ht="22.5" x14ac:dyDescent="0.2">
      <c r="A3609" s="235" t="s">
        <v>192</v>
      </c>
      <c r="B3609" s="236" t="s">
        <v>60</v>
      </c>
      <c r="C3609" s="236" t="s">
        <v>193</v>
      </c>
      <c r="D3609" s="236" t="s">
        <v>194</v>
      </c>
      <c r="E3609" s="236" t="s">
        <v>195</v>
      </c>
      <c r="F3609" s="236" t="s">
        <v>196</v>
      </c>
      <c r="G3609" s="236" t="s">
        <v>197</v>
      </c>
      <c r="H3609" s="236" t="s">
        <v>91</v>
      </c>
      <c r="I3609" s="236" t="s">
        <v>198</v>
      </c>
    </row>
    <row r="3610" spans="1:13" ht="22.5" x14ac:dyDescent="0.2">
      <c r="A3610" s="237" t="str">
        <f>VLOOKUP(B3610,equip.!$A:$G,2,FALSE)</f>
        <v>Caminhão carroceria 1518/48 PBT=19,0t (TRUCK 15,0t)</v>
      </c>
      <c r="B3610" s="238">
        <v>30006</v>
      </c>
      <c r="C3610" s="239" t="str">
        <f>VLOOKUP(B3610,equip.!$A$1:$G$239,3,FALSE)</f>
        <v>M</v>
      </c>
      <c r="D3610" s="240">
        <v>0.9</v>
      </c>
      <c r="E3610" s="205">
        <v>0.1</v>
      </c>
      <c r="F3610" s="241">
        <f>VLOOKUP(B3610,equip.!$A:$G,6,FALSE)</f>
        <v>159.35</v>
      </c>
      <c r="G3610" s="241">
        <f>VLOOKUP(B3610,equip.!$A:$G,7,FALSE)</f>
        <v>45.32</v>
      </c>
      <c r="H3610" s="242">
        <v>1</v>
      </c>
      <c r="I3610" s="243">
        <f>TRUNC(D3610*F3610*H3610+E3610*G3610*H3610,2)</f>
        <v>147.94</v>
      </c>
    </row>
    <row r="3611" spans="1:13" x14ac:dyDescent="0.2">
      <c r="A3611" s="199"/>
      <c r="B3611" s="233"/>
      <c r="C3611" s="233"/>
      <c r="D3611" s="199"/>
      <c r="E3611" s="199"/>
      <c r="F3611" s="234" t="s">
        <v>199</v>
      </c>
      <c r="G3611" s="244"/>
      <c r="H3611" s="245"/>
      <c r="I3611" s="434">
        <f>SUM(I3610:I3610)</f>
        <v>147.94</v>
      </c>
    </row>
    <row r="3612" spans="1:13" x14ac:dyDescent="0.2">
      <c r="A3612" s="199"/>
      <c r="B3612" s="233"/>
      <c r="C3612" s="233"/>
      <c r="D3612" s="199"/>
      <c r="E3612" s="199"/>
      <c r="F3612" s="199"/>
      <c r="G3612" s="199"/>
      <c r="H3612" s="199"/>
      <c r="I3612" s="200"/>
    </row>
    <row r="3613" spans="1:13" x14ac:dyDescent="0.2">
      <c r="A3613" s="246" t="s">
        <v>200</v>
      </c>
      <c r="B3613" s="247" t="s">
        <v>60</v>
      </c>
      <c r="C3613" s="236" t="s">
        <v>1242</v>
      </c>
      <c r="D3613" s="247" t="s">
        <v>202</v>
      </c>
      <c r="E3613" s="1276" t="s">
        <v>91</v>
      </c>
      <c r="F3613" s="1274"/>
      <c r="G3613" s="1275"/>
      <c r="H3613" s="1276" t="s">
        <v>198</v>
      </c>
      <c r="I3613" s="1275"/>
    </row>
    <row r="3614" spans="1:13" x14ac:dyDescent="0.2">
      <c r="A3614" s="248"/>
      <c r="B3614" s="238"/>
      <c r="C3614" s="243"/>
      <c r="D3614" s="243"/>
      <c r="E3614" s="244"/>
      <c r="F3614" s="245"/>
      <c r="G3614" s="441"/>
      <c r="H3614" s="244"/>
      <c r="I3614" s="249"/>
    </row>
    <row r="3615" spans="1:13" x14ac:dyDescent="0.2">
      <c r="A3615" s="199"/>
      <c r="B3615" s="233"/>
      <c r="C3615" s="233"/>
      <c r="D3615" s="199"/>
      <c r="E3615" s="199"/>
      <c r="F3615" s="234" t="s">
        <v>203</v>
      </c>
      <c r="G3615" s="244"/>
      <c r="H3615" s="245"/>
      <c r="I3615" s="434">
        <f>SUM(I3614:I3614)</f>
        <v>0</v>
      </c>
    </row>
    <row r="3616" spans="1:13" x14ac:dyDescent="0.2">
      <c r="A3616" s="199"/>
      <c r="B3616" s="233"/>
      <c r="C3616" s="233"/>
      <c r="D3616" s="199"/>
      <c r="E3616" s="199"/>
      <c r="F3616" s="199"/>
      <c r="G3616" s="199"/>
      <c r="H3616" s="199"/>
      <c r="I3616" s="200"/>
    </row>
    <row r="3617" spans="1:17" x14ac:dyDescent="0.2">
      <c r="A3617" s="250" t="s">
        <v>204</v>
      </c>
      <c r="B3617" s="247" t="s">
        <v>60</v>
      </c>
      <c r="C3617" s="866" t="s">
        <v>17</v>
      </c>
      <c r="D3617" s="247" t="s">
        <v>205</v>
      </c>
      <c r="E3617" s="247" t="s">
        <v>206</v>
      </c>
      <c r="F3617" s="247" t="s">
        <v>207</v>
      </c>
      <c r="G3617" s="1276" t="s">
        <v>96</v>
      </c>
      <c r="H3617" s="1274"/>
      <c r="I3617" s="1275"/>
    </row>
    <row r="3618" spans="1:17" x14ac:dyDescent="0.2">
      <c r="A3618" s="248"/>
      <c r="B3618" s="238"/>
      <c r="C3618" s="243"/>
      <c r="D3618" s="239"/>
      <c r="E3618" s="251"/>
      <c r="F3618" s="251"/>
      <c r="G3618" s="244"/>
      <c r="H3618" s="245"/>
      <c r="I3618" s="249"/>
      <c r="J3618" s="302"/>
      <c r="K3618" s="302"/>
    </row>
    <row r="3619" spans="1:17" x14ac:dyDescent="0.2">
      <c r="A3619" s="199"/>
      <c r="B3619" s="233"/>
      <c r="C3619" s="199"/>
      <c r="D3619" s="199"/>
      <c r="E3619" s="199"/>
      <c r="F3619" s="234" t="s">
        <v>1170</v>
      </c>
      <c r="G3619" s="244"/>
      <c r="H3619" s="245"/>
      <c r="I3619" s="434">
        <f>SUM(I3618)</f>
        <v>0</v>
      </c>
      <c r="J3619" s="302"/>
      <c r="K3619" s="302"/>
    </row>
    <row r="3620" spans="1:17" x14ac:dyDescent="0.2">
      <c r="A3620" s="199"/>
      <c r="B3620" s="233"/>
      <c r="C3620" s="199"/>
      <c r="D3620" s="199"/>
      <c r="E3620" s="199"/>
      <c r="F3620" s="199"/>
      <c r="G3620" s="199"/>
      <c r="H3620" s="199"/>
      <c r="I3620" s="200"/>
      <c r="J3620" s="302"/>
      <c r="K3620" s="302"/>
    </row>
    <row r="3621" spans="1:17" x14ac:dyDescent="0.2">
      <c r="A3621" s="252"/>
      <c r="B3621" s="253"/>
      <c r="C3621" s="254"/>
      <c r="D3621" s="254"/>
      <c r="E3621" s="254"/>
      <c r="F3621" s="255" t="s">
        <v>208</v>
      </c>
      <c r="G3621" s="435"/>
      <c r="H3621" s="254"/>
      <c r="I3621" s="634">
        <f>+I3611+I3615+I3619</f>
        <v>147.94</v>
      </c>
      <c r="J3621" s="302"/>
      <c r="K3621" s="302"/>
    </row>
    <row r="3622" spans="1:17" x14ac:dyDescent="0.2">
      <c r="A3622" s="256"/>
      <c r="B3622" s="257"/>
      <c r="C3622" s="258"/>
      <c r="D3622" s="258"/>
      <c r="E3622" s="258"/>
      <c r="F3622" s="259" t="s">
        <v>209</v>
      </c>
      <c r="G3622" s="260"/>
      <c r="H3622" s="258"/>
      <c r="I3622" s="635">
        <v>1</v>
      </c>
      <c r="J3622" s="302"/>
      <c r="K3622" s="302"/>
    </row>
    <row r="3623" spans="1:17" x14ac:dyDescent="0.2">
      <c r="A3623" s="237"/>
      <c r="B3623" s="261"/>
      <c r="C3623" s="245"/>
      <c r="D3623" s="245"/>
      <c r="E3623" s="245"/>
      <c r="F3623" s="262" t="s">
        <v>232</v>
      </c>
      <c r="G3623" s="244"/>
      <c r="H3623" s="245"/>
      <c r="I3623" s="633">
        <f>TRUNC(I3621/I3622,2)</f>
        <v>147.94</v>
      </c>
      <c r="J3623" s="302"/>
      <c r="K3623" s="302"/>
    </row>
    <row r="3624" spans="1:17" x14ac:dyDescent="0.2">
      <c r="A3624" s="867"/>
      <c r="B3624" s="233"/>
      <c r="C3624" s="199"/>
      <c r="D3624" s="199"/>
      <c r="E3624" s="199"/>
      <c r="F3624" s="263"/>
      <c r="G3624" s="199"/>
      <c r="H3624" s="199"/>
      <c r="I3624" s="264"/>
      <c r="J3624" s="302"/>
      <c r="K3624" s="302"/>
    </row>
    <row r="3625" spans="1:17" x14ac:dyDescent="0.2">
      <c r="A3625" s="246" t="s">
        <v>210</v>
      </c>
      <c r="B3625" s="247" t="s">
        <v>60</v>
      </c>
      <c r="C3625" s="247" t="s">
        <v>211</v>
      </c>
      <c r="D3625" s="247" t="s">
        <v>233</v>
      </c>
      <c r="E3625" s="1276" t="s">
        <v>91</v>
      </c>
      <c r="F3625" s="1274"/>
      <c r="G3625" s="1275"/>
      <c r="H3625" s="1276" t="s">
        <v>198</v>
      </c>
      <c r="I3625" s="1275"/>
      <c r="J3625" s="302"/>
      <c r="K3625" s="302"/>
    </row>
    <row r="3626" spans="1:17" s="198" customFormat="1" x14ac:dyDescent="0.2">
      <c r="A3626" s="265" t="str">
        <f>VLOOKUP(B3626,mat.!$A:$D,2,FALSE)</f>
        <v>Diária</v>
      </c>
      <c r="B3626" s="238">
        <v>11020</v>
      </c>
      <c r="C3626" s="266" t="str">
        <f>VLOOKUP(B3626,mat.!$A:$D,3,FALSE)</f>
        <v>DIA</v>
      </c>
      <c r="D3626" s="267">
        <f>VLOOKUP(B3626,mat.!$A:$D,4,FALSE)</f>
        <v>112</v>
      </c>
      <c r="E3626" s="260"/>
      <c r="F3626" s="258"/>
      <c r="G3626" s="300">
        <v>0.125</v>
      </c>
      <c r="H3626" s="260"/>
      <c r="I3626" s="268">
        <f>TRUNC(D3626*G3626,2)</f>
        <v>14</v>
      </c>
      <c r="J3626" s="302"/>
      <c r="K3626" s="302"/>
      <c r="L3626" s="302"/>
      <c r="M3626" s="302"/>
      <c r="N3626" s="302"/>
      <c r="O3626" s="302"/>
      <c r="P3626" s="302"/>
      <c r="Q3626" s="302"/>
    </row>
    <row r="3627" spans="1:17" s="198" customFormat="1" x14ac:dyDescent="0.2">
      <c r="A3627" s="199"/>
      <c r="B3627" s="233"/>
      <c r="C3627" s="199"/>
      <c r="D3627" s="199"/>
      <c r="E3627" s="199"/>
      <c r="F3627" s="234" t="s">
        <v>212</v>
      </c>
      <c r="G3627" s="244"/>
      <c r="H3627" s="245"/>
      <c r="I3627" s="434">
        <f>SUM(I3626:I3626)</f>
        <v>14</v>
      </c>
      <c r="J3627" s="302"/>
      <c r="K3627" s="302"/>
      <c r="L3627" s="302"/>
      <c r="M3627" s="302"/>
      <c r="N3627" s="302"/>
      <c r="O3627" s="302"/>
      <c r="P3627" s="302"/>
      <c r="Q3627" s="302"/>
    </row>
    <row r="3628" spans="1:17" s="198" customFormat="1" x14ac:dyDescent="0.2">
      <c r="A3628" s="199"/>
      <c r="B3628" s="233"/>
      <c r="C3628" s="199"/>
      <c r="D3628" s="199"/>
      <c r="E3628" s="199"/>
      <c r="F3628" s="199"/>
      <c r="G3628" s="269"/>
      <c r="H3628" s="199"/>
      <c r="I3628" s="200"/>
      <c r="J3628" s="302"/>
      <c r="K3628" s="302"/>
      <c r="L3628" s="302"/>
      <c r="M3628" s="302"/>
      <c r="N3628" s="302"/>
      <c r="O3628" s="302"/>
      <c r="P3628" s="302"/>
      <c r="Q3628" s="302"/>
    </row>
    <row r="3629" spans="1:17" s="198" customFormat="1" x14ac:dyDescent="0.2">
      <c r="A3629" s="270" t="s">
        <v>213</v>
      </c>
      <c r="B3629" s="247" t="s">
        <v>60</v>
      </c>
      <c r="C3629" s="247" t="s">
        <v>211</v>
      </c>
      <c r="D3629" s="866" t="s">
        <v>233</v>
      </c>
      <c r="E3629" s="1276" t="s">
        <v>91</v>
      </c>
      <c r="F3629" s="1274"/>
      <c r="G3629" s="1275"/>
      <c r="H3629" s="1276" t="s">
        <v>198</v>
      </c>
      <c r="I3629" s="1275"/>
      <c r="J3629" s="302"/>
      <c r="K3629" s="302"/>
      <c r="L3629" s="302"/>
      <c r="M3629" s="302"/>
      <c r="N3629" s="302"/>
      <c r="O3629" s="302"/>
      <c r="P3629" s="302"/>
      <c r="Q3629" s="302"/>
    </row>
    <row r="3630" spans="1:17" x14ac:dyDescent="0.2">
      <c r="A3630" s="248"/>
      <c r="B3630" s="238"/>
      <c r="C3630" s="238"/>
      <c r="D3630" s="243"/>
      <c r="E3630" s="244"/>
      <c r="F3630" s="258"/>
      <c r="G3630" s="300"/>
      <c r="H3630" s="244"/>
      <c r="I3630" s="268"/>
      <c r="J3630" s="302"/>
      <c r="K3630" s="302"/>
    </row>
    <row r="3631" spans="1:17" x14ac:dyDescent="0.2">
      <c r="A3631" s="201"/>
      <c r="B3631" s="271"/>
      <c r="C3631" s="201"/>
      <c r="D3631" s="201"/>
      <c r="E3631" s="201"/>
      <c r="F3631" s="272" t="s">
        <v>214</v>
      </c>
      <c r="G3631" s="260"/>
      <c r="H3631" s="273"/>
      <c r="I3631" s="436">
        <f>SUM(I3630:I3630)</f>
        <v>0</v>
      </c>
      <c r="J3631" s="302"/>
      <c r="K3631" s="302"/>
    </row>
    <row r="3632" spans="1:17" x14ac:dyDescent="0.2">
      <c r="A3632" s="201"/>
      <c r="B3632" s="271"/>
      <c r="C3632" s="201"/>
      <c r="D3632" s="201"/>
      <c r="E3632" s="201"/>
      <c r="F3632" s="201"/>
      <c r="G3632" s="201"/>
      <c r="H3632" s="201"/>
      <c r="I3632" s="201"/>
      <c r="J3632" s="302"/>
      <c r="K3632" s="302"/>
    </row>
    <row r="3633" spans="1:13" x14ac:dyDescent="0.2">
      <c r="A3633" s="274" t="s">
        <v>215</v>
      </c>
      <c r="B3633" s="275" t="s">
        <v>60</v>
      </c>
      <c r="C3633" s="275" t="s">
        <v>211</v>
      </c>
      <c r="D3633" s="275" t="s">
        <v>216</v>
      </c>
      <c r="E3633" s="275" t="s">
        <v>217</v>
      </c>
      <c r="F3633" s="275" t="s">
        <v>218</v>
      </c>
      <c r="G3633" s="275" t="s">
        <v>96</v>
      </c>
      <c r="H3633" s="275" t="s">
        <v>91</v>
      </c>
      <c r="I3633" s="275" t="s">
        <v>219</v>
      </c>
      <c r="J3633" s="302"/>
      <c r="K3633" s="302"/>
    </row>
    <row r="3634" spans="1:13" x14ac:dyDescent="0.2">
      <c r="A3634" s="248"/>
      <c r="B3634" s="238"/>
      <c r="C3634" s="238"/>
      <c r="D3634" s="276"/>
      <c r="E3634" s="277"/>
      <c r="F3634" s="277"/>
      <c r="G3634" s="243"/>
      <c r="H3634" s="278"/>
      <c r="I3634" s="243"/>
    </row>
    <row r="3635" spans="1:13" x14ac:dyDescent="0.2">
      <c r="A3635" s="201"/>
      <c r="B3635" s="271"/>
      <c r="C3635" s="201"/>
      <c r="D3635" s="201"/>
      <c r="E3635" s="201"/>
      <c r="F3635" s="272" t="s">
        <v>220</v>
      </c>
      <c r="G3635" s="244"/>
      <c r="H3635" s="279"/>
      <c r="I3635" s="438">
        <f>SUM(I3634:I3634)</f>
        <v>0</v>
      </c>
    </row>
    <row r="3636" spans="1:13" x14ac:dyDescent="0.2">
      <c r="A3636" s="201"/>
      <c r="B3636" s="271"/>
      <c r="C3636" s="201"/>
      <c r="D3636" s="201"/>
      <c r="E3636" s="201"/>
      <c r="F3636" s="201"/>
      <c r="G3636" s="201"/>
      <c r="H3636" s="201"/>
      <c r="I3636" s="202"/>
    </row>
    <row r="3637" spans="1:13" x14ac:dyDescent="0.2">
      <c r="A3637" s="280"/>
      <c r="B3637" s="281"/>
      <c r="C3637" s="282"/>
      <c r="D3637" s="282"/>
      <c r="E3637" s="282"/>
      <c r="F3637" s="283" t="s">
        <v>221</v>
      </c>
      <c r="G3637" s="280"/>
      <c r="H3637" s="254"/>
      <c r="I3637" s="634">
        <f>+I3623+I3627+I3631+I3635</f>
        <v>161.94</v>
      </c>
    </row>
    <row r="3638" spans="1:13" x14ac:dyDescent="0.2">
      <c r="A3638" s="260"/>
      <c r="B3638" s="284"/>
      <c r="C3638" s="273"/>
      <c r="D3638" s="273"/>
      <c r="E3638" s="273"/>
      <c r="F3638" s="285" t="str">
        <f>CONCATENATE($H$3," ",$I$3)</f>
        <v>BDI: 23,32</v>
      </c>
      <c r="G3638" s="439"/>
      <c r="H3638" s="258"/>
      <c r="I3638" s="635">
        <f>+ROUND(I3637*$I$4,2)</f>
        <v>37.76</v>
      </c>
    </row>
    <row r="3639" spans="1:13" x14ac:dyDescent="0.2">
      <c r="A3639" s="244"/>
      <c r="B3639" s="286"/>
      <c r="C3639" s="279"/>
      <c r="D3639" s="279"/>
      <c r="E3639" s="279"/>
      <c r="F3639" s="287" t="s">
        <v>222</v>
      </c>
      <c r="G3639" s="440"/>
      <c r="H3639" s="245"/>
      <c r="I3639" s="1017">
        <f>+I3637+I3638</f>
        <v>199.7</v>
      </c>
    </row>
    <row r="3640" spans="1:13" x14ac:dyDescent="0.2">
      <c r="A3640" s="1277" t="str">
        <f>$A$1</f>
        <v>COMPOSIÇÃO DE CUSTOS UNITÁRIOS</v>
      </c>
      <c r="B3640" s="1277"/>
      <c r="C3640" s="1277"/>
      <c r="D3640" s="1277"/>
      <c r="E3640" s="1277"/>
      <c r="F3640" s="1277"/>
      <c r="G3640" s="1277"/>
      <c r="H3640" s="1277"/>
      <c r="I3640" s="1277"/>
    </row>
    <row r="3641" spans="1:13" x14ac:dyDescent="0.2">
      <c r="A3641" s="232" t="str">
        <f>$A$2</f>
        <v>Tabela Referencial de Preços - DER-ES</v>
      </c>
      <c r="B3641" s="233"/>
      <c r="C3641" s="199"/>
      <c r="D3641" s="199"/>
      <c r="E3641" s="199"/>
      <c r="F3641" s="199"/>
      <c r="G3641" s="199"/>
      <c r="H3641" s="199"/>
      <c r="I3641" s="234" t="str">
        <f>$I$2</f>
        <v>Data Base: Outubro/2018</v>
      </c>
      <c r="J3641" s="433">
        <v>41546</v>
      </c>
      <c r="K3641" s="433">
        <f>VLOOKUP("Preço Unitário Total",F3643:I4251,4,FALSE)</f>
        <v>233.89</v>
      </c>
      <c r="L3641" s="302">
        <f>VLOOKUP(J3641,'DER 10-18'!A:E,5,FALSE)</f>
        <v>0</v>
      </c>
      <c r="M3641" s="302" t="str">
        <f>VLOOKUP(J3641,'DER 10-18'!$A:$D,2,FALSE)</f>
        <v>Mobilização e desmobilização de caminhão basculante (máximo)</v>
      </c>
    </row>
    <row r="3642" spans="1:13" x14ac:dyDescent="0.2">
      <c r="A3642" s="1278" t="str">
        <f>+CONCATENATE("Serviço: ",J3641," ",VLOOKUP(J3641,'DER 10-18'!$A:$D,2,FALSE))</f>
        <v>Serviço: 41546 Mobilização e desmobilização de caminhão basculante (máximo)</v>
      </c>
      <c r="B3642" s="1278"/>
      <c r="C3642" s="1278"/>
      <c r="D3642" s="1278"/>
      <c r="E3642" s="1278"/>
      <c r="F3642" s="1278"/>
      <c r="G3642" s="1278"/>
      <c r="H3642" s="1278"/>
      <c r="I3642" s="1278" t="str">
        <f>CONCATENATE("Unidade: ", VLOOKUP(J3641,'DER 10-18'!$A:$E,3,FALSE))</f>
        <v>Unidade: h</v>
      </c>
    </row>
    <row r="3643" spans="1:13" x14ac:dyDescent="0.2">
      <c r="A3643" s="1279"/>
      <c r="B3643" s="1279"/>
      <c r="C3643" s="1279"/>
      <c r="D3643" s="1279"/>
      <c r="E3643" s="1279"/>
      <c r="F3643" s="1279"/>
      <c r="G3643" s="1279"/>
      <c r="H3643" s="1279"/>
      <c r="I3643" s="1279"/>
    </row>
    <row r="3644" spans="1:13" ht="22.5" x14ac:dyDescent="0.2">
      <c r="A3644" s="235" t="s">
        <v>192</v>
      </c>
      <c r="B3644" s="236" t="s">
        <v>60</v>
      </c>
      <c r="C3644" s="236" t="s">
        <v>193</v>
      </c>
      <c r="D3644" s="236" t="s">
        <v>194</v>
      </c>
      <c r="E3644" s="236" t="s">
        <v>195</v>
      </c>
      <c r="F3644" s="236" t="s">
        <v>196</v>
      </c>
      <c r="G3644" s="236" t="s">
        <v>197</v>
      </c>
      <c r="H3644" s="236" t="s">
        <v>91</v>
      </c>
      <c r="I3644" s="236" t="s">
        <v>198</v>
      </c>
    </row>
    <row r="3645" spans="1:13" ht="22.5" x14ac:dyDescent="0.2">
      <c r="A3645" s="237" t="str">
        <f>VLOOKUP(B3645,equip.!$A:$G,2,FALSE)</f>
        <v>Caminhão basculante L 2324/41 PBT=22,0t (TRUCK 15,0t)</v>
      </c>
      <c r="B3645" s="238">
        <v>30002</v>
      </c>
      <c r="C3645" s="239" t="str">
        <f>VLOOKUP(B3645,equip.!$A$1:$G$239,3,FALSE)</f>
        <v>M</v>
      </c>
      <c r="D3645" s="240">
        <v>0.9</v>
      </c>
      <c r="E3645" s="205">
        <v>0.1</v>
      </c>
      <c r="F3645" s="241">
        <f>VLOOKUP(B3645,equip.!$A:$G,6,FALSE)</f>
        <v>189.79</v>
      </c>
      <c r="G3645" s="241">
        <f>VLOOKUP(B3645,equip.!$A:$G,7,FALSE)</f>
        <v>48.49</v>
      </c>
      <c r="H3645" s="242">
        <v>1</v>
      </c>
      <c r="I3645" s="243">
        <f>TRUNC(D3645*F3645*H3645+E3645*G3645*H3645,2)</f>
        <v>175.66</v>
      </c>
    </row>
    <row r="3646" spans="1:13" x14ac:dyDescent="0.2">
      <c r="A3646" s="199"/>
      <c r="B3646" s="233"/>
      <c r="C3646" s="233"/>
      <c r="D3646" s="199"/>
      <c r="E3646" s="199"/>
      <c r="F3646" s="234" t="s">
        <v>199</v>
      </c>
      <c r="G3646" s="244"/>
      <c r="H3646" s="245"/>
      <c r="I3646" s="434">
        <f>SUM(I3645:I3645)</f>
        <v>175.66</v>
      </c>
    </row>
    <row r="3647" spans="1:13" x14ac:dyDescent="0.2">
      <c r="A3647" s="199"/>
      <c r="B3647" s="233"/>
      <c r="C3647" s="233"/>
      <c r="D3647" s="199"/>
      <c r="E3647" s="199"/>
      <c r="F3647" s="199"/>
      <c r="G3647" s="199"/>
      <c r="H3647" s="199"/>
      <c r="I3647" s="200"/>
    </row>
    <row r="3648" spans="1:13" x14ac:dyDescent="0.2">
      <c r="A3648" s="246" t="s">
        <v>200</v>
      </c>
      <c r="B3648" s="247" t="s">
        <v>60</v>
      </c>
      <c r="C3648" s="236" t="s">
        <v>1242</v>
      </c>
      <c r="D3648" s="247" t="s">
        <v>202</v>
      </c>
      <c r="E3648" s="1276" t="s">
        <v>91</v>
      </c>
      <c r="F3648" s="1274"/>
      <c r="G3648" s="1275"/>
      <c r="H3648" s="1276" t="s">
        <v>198</v>
      </c>
      <c r="I3648" s="1275"/>
    </row>
    <row r="3649" spans="1:17" x14ac:dyDescent="0.2">
      <c r="A3649" s="248"/>
      <c r="B3649" s="238"/>
      <c r="C3649" s="243"/>
      <c r="D3649" s="243"/>
      <c r="E3649" s="244"/>
      <c r="F3649" s="245"/>
      <c r="G3649" s="441"/>
      <c r="H3649" s="244"/>
      <c r="I3649" s="249"/>
    </row>
    <row r="3650" spans="1:17" x14ac:dyDescent="0.2">
      <c r="A3650" s="199"/>
      <c r="B3650" s="233"/>
      <c r="C3650" s="233"/>
      <c r="D3650" s="199"/>
      <c r="E3650" s="199"/>
      <c r="F3650" s="234" t="s">
        <v>203</v>
      </c>
      <c r="G3650" s="244"/>
      <c r="H3650" s="245"/>
      <c r="I3650" s="434">
        <f>SUM(I3649:I3649)</f>
        <v>0</v>
      </c>
      <c r="J3650" s="302"/>
      <c r="K3650" s="302"/>
    </row>
    <row r="3651" spans="1:17" x14ac:dyDescent="0.2">
      <c r="A3651" s="199"/>
      <c r="B3651" s="233"/>
      <c r="C3651" s="233"/>
      <c r="D3651" s="199"/>
      <c r="E3651" s="199"/>
      <c r="F3651" s="199"/>
      <c r="G3651" s="199"/>
      <c r="H3651" s="199"/>
      <c r="I3651" s="200"/>
      <c r="J3651" s="302"/>
      <c r="K3651" s="302"/>
    </row>
    <row r="3652" spans="1:17" x14ac:dyDescent="0.2">
      <c r="A3652" s="250" t="s">
        <v>204</v>
      </c>
      <c r="B3652" s="247" t="s">
        <v>60</v>
      </c>
      <c r="C3652" s="866" t="s">
        <v>17</v>
      </c>
      <c r="D3652" s="247" t="s">
        <v>205</v>
      </c>
      <c r="E3652" s="247" t="s">
        <v>206</v>
      </c>
      <c r="F3652" s="247" t="s">
        <v>207</v>
      </c>
      <c r="G3652" s="1276" t="s">
        <v>96</v>
      </c>
      <c r="H3652" s="1274"/>
      <c r="I3652" s="1275"/>
      <c r="J3652" s="302"/>
      <c r="K3652" s="302"/>
    </row>
    <row r="3653" spans="1:17" x14ac:dyDescent="0.2">
      <c r="A3653" s="248"/>
      <c r="B3653" s="238"/>
      <c r="C3653" s="243"/>
      <c r="D3653" s="239"/>
      <c r="E3653" s="251"/>
      <c r="F3653" s="251"/>
      <c r="G3653" s="244"/>
      <c r="H3653" s="245"/>
      <c r="I3653" s="249"/>
      <c r="J3653" s="302"/>
      <c r="K3653" s="302"/>
    </row>
    <row r="3654" spans="1:17" x14ac:dyDescent="0.2">
      <c r="A3654" s="199"/>
      <c r="B3654" s="233"/>
      <c r="C3654" s="199"/>
      <c r="D3654" s="199"/>
      <c r="E3654" s="199"/>
      <c r="F3654" s="234" t="s">
        <v>1170</v>
      </c>
      <c r="G3654" s="244"/>
      <c r="H3654" s="245"/>
      <c r="I3654" s="434">
        <f>SUM(I3653)</f>
        <v>0</v>
      </c>
      <c r="J3654" s="302"/>
      <c r="K3654" s="302"/>
    </row>
    <row r="3655" spans="1:17" x14ac:dyDescent="0.2">
      <c r="A3655" s="199"/>
      <c r="B3655" s="233"/>
      <c r="C3655" s="199"/>
      <c r="D3655" s="199"/>
      <c r="E3655" s="199"/>
      <c r="F3655" s="199"/>
      <c r="G3655" s="199"/>
      <c r="H3655" s="199"/>
      <c r="I3655" s="200"/>
      <c r="J3655" s="302"/>
      <c r="K3655" s="302"/>
    </row>
    <row r="3656" spans="1:17" x14ac:dyDescent="0.2">
      <c r="A3656" s="252"/>
      <c r="B3656" s="253"/>
      <c r="C3656" s="254"/>
      <c r="D3656" s="254"/>
      <c r="E3656" s="254"/>
      <c r="F3656" s="255" t="s">
        <v>208</v>
      </c>
      <c r="G3656" s="435"/>
      <c r="H3656" s="254"/>
      <c r="I3656" s="634">
        <f>+I3646+I3650+I3654</f>
        <v>175.66</v>
      </c>
      <c r="J3656" s="302"/>
      <c r="K3656" s="302"/>
    </row>
    <row r="3657" spans="1:17" x14ac:dyDescent="0.2">
      <c r="A3657" s="256"/>
      <c r="B3657" s="257"/>
      <c r="C3657" s="258"/>
      <c r="D3657" s="258"/>
      <c r="E3657" s="258"/>
      <c r="F3657" s="259" t="s">
        <v>209</v>
      </c>
      <c r="G3657" s="260"/>
      <c r="H3657" s="258"/>
      <c r="I3657" s="635">
        <v>1</v>
      </c>
      <c r="J3657" s="302"/>
      <c r="K3657" s="302"/>
    </row>
    <row r="3658" spans="1:17" x14ac:dyDescent="0.2">
      <c r="A3658" s="237"/>
      <c r="B3658" s="261"/>
      <c r="C3658" s="245"/>
      <c r="D3658" s="245"/>
      <c r="E3658" s="245"/>
      <c r="F3658" s="262" t="s">
        <v>232</v>
      </c>
      <c r="G3658" s="244"/>
      <c r="H3658" s="245"/>
      <c r="I3658" s="633">
        <f>TRUNC(I3656/I3657,2)</f>
        <v>175.66</v>
      </c>
      <c r="J3658" s="302"/>
      <c r="K3658" s="302"/>
    </row>
    <row r="3659" spans="1:17" x14ac:dyDescent="0.2">
      <c r="A3659" s="867"/>
      <c r="B3659" s="233"/>
      <c r="C3659" s="199"/>
      <c r="D3659" s="199"/>
      <c r="E3659" s="199"/>
      <c r="F3659" s="263"/>
      <c r="G3659" s="199"/>
      <c r="H3659" s="199"/>
      <c r="I3659" s="264"/>
      <c r="J3659" s="302"/>
      <c r="K3659" s="302"/>
    </row>
    <row r="3660" spans="1:17" x14ac:dyDescent="0.2">
      <c r="A3660" s="246" t="s">
        <v>210</v>
      </c>
      <c r="B3660" s="247" t="s">
        <v>60</v>
      </c>
      <c r="C3660" s="247" t="s">
        <v>211</v>
      </c>
      <c r="D3660" s="247" t="s">
        <v>233</v>
      </c>
      <c r="E3660" s="1276" t="s">
        <v>91</v>
      </c>
      <c r="F3660" s="1274"/>
      <c r="G3660" s="1275"/>
      <c r="H3660" s="1276" t="s">
        <v>198</v>
      </c>
      <c r="I3660" s="1275"/>
      <c r="J3660" s="302"/>
      <c r="K3660" s="302"/>
    </row>
    <row r="3661" spans="1:17" s="198" customFormat="1" x14ac:dyDescent="0.2">
      <c r="A3661" s="265" t="str">
        <f>VLOOKUP(B3661,mat.!$A:$D,2,FALSE)</f>
        <v>Diária</v>
      </c>
      <c r="B3661" s="238">
        <v>11020</v>
      </c>
      <c r="C3661" s="266" t="str">
        <f>VLOOKUP(B3661,mat.!$A:$D,3,FALSE)</f>
        <v>DIA</v>
      </c>
      <c r="D3661" s="267">
        <f>VLOOKUP(B3661,mat.!$A:$D,4,FALSE)</f>
        <v>112</v>
      </c>
      <c r="E3661" s="260"/>
      <c r="F3661" s="258"/>
      <c r="G3661" s="300">
        <v>0.125</v>
      </c>
      <c r="H3661" s="260"/>
      <c r="I3661" s="268">
        <f>TRUNC(D3661*G3661,2)</f>
        <v>14</v>
      </c>
      <c r="J3661" s="302"/>
      <c r="K3661" s="302"/>
      <c r="L3661" s="302"/>
      <c r="M3661" s="302"/>
      <c r="N3661" s="302"/>
      <c r="O3661" s="302"/>
      <c r="P3661" s="302"/>
      <c r="Q3661" s="302"/>
    </row>
    <row r="3662" spans="1:17" s="198" customFormat="1" x14ac:dyDescent="0.2">
      <c r="A3662" s="199"/>
      <c r="B3662" s="233"/>
      <c r="C3662" s="199"/>
      <c r="D3662" s="199"/>
      <c r="E3662" s="199"/>
      <c r="F3662" s="234" t="s">
        <v>212</v>
      </c>
      <c r="G3662" s="244"/>
      <c r="H3662" s="245"/>
      <c r="I3662" s="434">
        <f>SUM(I3661:I3661)</f>
        <v>14</v>
      </c>
      <c r="J3662" s="302"/>
      <c r="K3662" s="302"/>
      <c r="L3662" s="302"/>
      <c r="M3662" s="302"/>
      <c r="N3662" s="302"/>
      <c r="O3662" s="302"/>
      <c r="P3662" s="302"/>
      <c r="Q3662" s="302"/>
    </row>
    <row r="3663" spans="1:17" s="198" customFormat="1" x14ac:dyDescent="0.2">
      <c r="A3663" s="199"/>
      <c r="B3663" s="233"/>
      <c r="C3663" s="199"/>
      <c r="D3663" s="199"/>
      <c r="E3663" s="199"/>
      <c r="F3663" s="199"/>
      <c r="G3663" s="269"/>
      <c r="H3663" s="199"/>
      <c r="I3663" s="200"/>
      <c r="J3663" s="302"/>
      <c r="K3663" s="302"/>
      <c r="L3663" s="302"/>
      <c r="M3663" s="302"/>
      <c r="N3663" s="302"/>
      <c r="O3663" s="302"/>
      <c r="P3663" s="302"/>
      <c r="Q3663" s="302"/>
    </row>
    <row r="3664" spans="1:17" s="198" customFormat="1" x14ac:dyDescent="0.2">
      <c r="A3664" s="270" t="s">
        <v>213</v>
      </c>
      <c r="B3664" s="247" t="s">
        <v>60</v>
      </c>
      <c r="C3664" s="247" t="s">
        <v>211</v>
      </c>
      <c r="D3664" s="866" t="s">
        <v>233</v>
      </c>
      <c r="E3664" s="1276" t="s">
        <v>91</v>
      </c>
      <c r="F3664" s="1274"/>
      <c r="G3664" s="1275"/>
      <c r="H3664" s="1276" t="s">
        <v>198</v>
      </c>
      <c r="I3664" s="1275"/>
      <c r="J3664" s="302"/>
      <c r="K3664" s="302"/>
      <c r="L3664" s="302"/>
      <c r="M3664" s="302"/>
      <c r="N3664" s="302"/>
      <c r="O3664" s="302"/>
      <c r="P3664" s="302"/>
      <c r="Q3664" s="302"/>
    </row>
    <row r="3665" spans="1:13" x14ac:dyDescent="0.2">
      <c r="A3665" s="248"/>
      <c r="B3665" s="238"/>
      <c r="C3665" s="238"/>
      <c r="D3665" s="243"/>
      <c r="E3665" s="244"/>
      <c r="F3665" s="258"/>
      <c r="G3665" s="300"/>
      <c r="H3665" s="244"/>
      <c r="I3665" s="268"/>
      <c r="J3665" s="302"/>
      <c r="K3665" s="302"/>
    </row>
    <row r="3666" spans="1:13" x14ac:dyDescent="0.2">
      <c r="A3666" s="201"/>
      <c r="B3666" s="271"/>
      <c r="C3666" s="201"/>
      <c r="D3666" s="201"/>
      <c r="E3666" s="201"/>
      <c r="F3666" s="272" t="s">
        <v>214</v>
      </c>
      <c r="G3666" s="260"/>
      <c r="H3666" s="273"/>
      <c r="I3666" s="436">
        <f>SUM(I3665:I3665)</f>
        <v>0</v>
      </c>
    </row>
    <row r="3667" spans="1:13" x14ac:dyDescent="0.2">
      <c r="A3667" s="201"/>
      <c r="B3667" s="271"/>
      <c r="C3667" s="201"/>
      <c r="D3667" s="201"/>
      <c r="E3667" s="201"/>
      <c r="F3667" s="201"/>
      <c r="G3667" s="201"/>
      <c r="H3667" s="201"/>
      <c r="I3667" s="201"/>
    </row>
    <row r="3668" spans="1:13" x14ac:dyDescent="0.2">
      <c r="A3668" s="274" t="s">
        <v>215</v>
      </c>
      <c r="B3668" s="275" t="s">
        <v>60</v>
      </c>
      <c r="C3668" s="275" t="s">
        <v>211</v>
      </c>
      <c r="D3668" s="275" t="s">
        <v>216</v>
      </c>
      <c r="E3668" s="275" t="s">
        <v>217</v>
      </c>
      <c r="F3668" s="275" t="s">
        <v>218</v>
      </c>
      <c r="G3668" s="275" t="s">
        <v>96</v>
      </c>
      <c r="H3668" s="275" t="s">
        <v>91</v>
      </c>
      <c r="I3668" s="275" t="s">
        <v>219</v>
      </c>
    </row>
    <row r="3669" spans="1:13" x14ac:dyDescent="0.2">
      <c r="A3669" s="248"/>
      <c r="B3669" s="238"/>
      <c r="C3669" s="238"/>
      <c r="D3669" s="276"/>
      <c r="E3669" s="277"/>
      <c r="F3669" s="277"/>
      <c r="G3669" s="243"/>
      <c r="H3669" s="278"/>
      <c r="I3669" s="243"/>
    </row>
    <row r="3670" spans="1:13" x14ac:dyDescent="0.2">
      <c r="A3670" s="201"/>
      <c r="B3670" s="271"/>
      <c r="C3670" s="201"/>
      <c r="D3670" s="201"/>
      <c r="E3670" s="201"/>
      <c r="F3670" s="272" t="s">
        <v>220</v>
      </c>
      <c r="G3670" s="244"/>
      <c r="H3670" s="279"/>
      <c r="I3670" s="438">
        <f>SUM(I3669:I3669)</f>
        <v>0</v>
      </c>
    </row>
    <row r="3671" spans="1:13" x14ac:dyDescent="0.2">
      <c r="A3671" s="201"/>
      <c r="B3671" s="271"/>
      <c r="C3671" s="201"/>
      <c r="D3671" s="201"/>
      <c r="E3671" s="201"/>
      <c r="F3671" s="201"/>
      <c r="G3671" s="201"/>
      <c r="H3671" s="201"/>
      <c r="I3671" s="202"/>
    </row>
    <row r="3672" spans="1:13" x14ac:dyDescent="0.2">
      <c r="A3672" s="280"/>
      <c r="B3672" s="281"/>
      <c r="C3672" s="282"/>
      <c r="D3672" s="282"/>
      <c r="E3672" s="282"/>
      <c r="F3672" s="283" t="s">
        <v>221</v>
      </c>
      <c r="G3672" s="280"/>
      <c r="H3672" s="254"/>
      <c r="I3672" s="634">
        <f>+I3658+I3662+I3666+I3670</f>
        <v>189.66</v>
      </c>
    </row>
    <row r="3673" spans="1:13" x14ac:dyDescent="0.2">
      <c r="A3673" s="260"/>
      <c r="B3673" s="284"/>
      <c r="C3673" s="273"/>
      <c r="D3673" s="273"/>
      <c r="E3673" s="273"/>
      <c r="F3673" s="285" t="str">
        <f>CONCATENATE($H$3," ",$I$3)</f>
        <v>BDI: 23,32</v>
      </c>
      <c r="G3673" s="439"/>
      <c r="H3673" s="258"/>
      <c r="I3673" s="635">
        <f>+ROUND(I3672*$I$4,2)</f>
        <v>44.23</v>
      </c>
    </row>
    <row r="3674" spans="1:13" x14ac:dyDescent="0.2">
      <c r="A3674" s="244"/>
      <c r="B3674" s="286"/>
      <c r="C3674" s="279"/>
      <c r="D3674" s="279"/>
      <c r="E3674" s="279"/>
      <c r="F3674" s="287" t="s">
        <v>222</v>
      </c>
      <c r="G3674" s="440"/>
      <c r="H3674" s="245"/>
      <c r="I3674" s="1017">
        <f>+I3672+I3673</f>
        <v>233.89</v>
      </c>
    </row>
    <row r="3675" spans="1:13" x14ac:dyDescent="0.2">
      <c r="A3675" s="1277" t="str">
        <f>$A$1</f>
        <v>COMPOSIÇÃO DE CUSTOS UNITÁRIOS</v>
      </c>
      <c r="B3675" s="1277"/>
      <c r="C3675" s="1277"/>
      <c r="D3675" s="1277"/>
      <c r="E3675" s="1277"/>
      <c r="F3675" s="1277"/>
      <c r="G3675" s="1277"/>
      <c r="H3675" s="1277"/>
      <c r="I3675" s="1277"/>
    </row>
    <row r="3676" spans="1:13" x14ac:dyDescent="0.2">
      <c r="A3676" s="232" t="str">
        <f>$A$2</f>
        <v>Tabela Referencial de Preços - DER-ES</v>
      </c>
      <c r="B3676" s="233"/>
      <c r="C3676" s="199"/>
      <c r="D3676" s="199"/>
      <c r="E3676" s="199"/>
      <c r="F3676" s="199"/>
      <c r="G3676" s="199"/>
      <c r="H3676" s="199"/>
      <c r="I3676" s="234" t="str">
        <f>$I$2</f>
        <v>Data Base: Outubro/2018</v>
      </c>
      <c r="J3676" s="433">
        <v>41547</v>
      </c>
      <c r="K3676" s="433">
        <f>VLOOKUP("Preço Unitário Total",F3678:I4251,4,FALSE)</f>
        <v>195.65</v>
      </c>
      <c r="L3676" s="302">
        <f>VLOOKUP(J3676,'DER 10-18'!A:E,5,FALSE)</f>
        <v>0</v>
      </c>
      <c r="M3676" s="302" t="str">
        <f>VLOOKUP(J3676,'DER 10-18'!$A:$D,2,FALSE)</f>
        <v>Mobilização e desmobilização de caminhão tanque (6.000 L) (máximo)</v>
      </c>
    </row>
    <row r="3677" spans="1:13" x14ac:dyDescent="0.2">
      <c r="A3677" s="1278" t="str">
        <f>+CONCATENATE("Serviço: ",J3676," ",VLOOKUP(J3676,'DER 10-18'!$A:$D,2,FALSE))</f>
        <v>Serviço: 41547 Mobilização e desmobilização de caminhão tanque (6.000 L) (máximo)</v>
      </c>
      <c r="B3677" s="1278"/>
      <c r="C3677" s="1278"/>
      <c r="D3677" s="1278"/>
      <c r="E3677" s="1278"/>
      <c r="F3677" s="1278"/>
      <c r="G3677" s="1278"/>
      <c r="H3677" s="1278"/>
      <c r="I3677" s="1278" t="str">
        <f>CONCATENATE("Unidade: ", VLOOKUP(J3676,'DER 10-18'!$A:$E,3,FALSE))</f>
        <v>Unidade: h</v>
      </c>
    </row>
    <row r="3678" spans="1:13" x14ac:dyDescent="0.2">
      <c r="A3678" s="1279"/>
      <c r="B3678" s="1279"/>
      <c r="C3678" s="1279"/>
      <c r="D3678" s="1279"/>
      <c r="E3678" s="1279"/>
      <c r="F3678" s="1279"/>
      <c r="G3678" s="1279"/>
      <c r="H3678" s="1279"/>
      <c r="I3678" s="1279"/>
    </row>
    <row r="3679" spans="1:13" ht="22.5" x14ac:dyDescent="0.2">
      <c r="A3679" s="235" t="s">
        <v>192</v>
      </c>
      <c r="B3679" s="236" t="s">
        <v>60</v>
      </c>
      <c r="C3679" s="236" t="s">
        <v>193</v>
      </c>
      <c r="D3679" s="236" t="s">
        <v>194</v>
      </c>
      <c r="E3679" s="236" t="s">
        <v>195</v>
      </c>
      <c r="F3679" s="236" t="s">
        <v>196</v>
      </c>
      <c r="G3679" s="236" t="s">
        <v>197</v>
      </c>
      <c r="H3679" s="236" t="s">
        <v>91</v>
      </c>
      <c r="I3679" s="236" t="s">
        <v>198</v>
      </c>
    </row>
    <row r="3680" spans="1:13" ht="22.5" x14ac:dyDescent="0.2">
      <c r="A3680" s="237" t="str">
        <f>VLOOKUP(B3680,equip.!$A:$G,2,FALSE)</f>
        <v>Caminhão tanque L 1319/48 PBT=12,9t (6.000L)</v>
      </c>
      <c r="B3680" s="238">
        <v>30007</v>
      </c>
      <c r="C3680" s="239" t="str">
        <f>VLOOKUP(B3680,equip.!$A$1:$G$239,3,FALSE)</f>
        <v>M</v>
      </c>
      <c r="D3680" s="240">
        <v>0.9</v>
      </c>
      <c r="E3680" s="205">
        <v>0.1</v>
      </c>
      <c r="F3680" s="241">
        <f>VLOOKUP(B3680,equip.!$A:$G,6,FALSE)</f>
        <v>155.91</v>
      </c>
      <c r="G3680" s="241">
        <f>VLOOKUP(B3680,equip.!$A:$G,7,FALSE)</f>
        <v>43.38</v>
      </c>
      <c r="H3680" s="242">
        <v>1</v>
      </c>
      <c r="I3680" s="243">
        <f>TRUNC(D3680*F3680*H3680+E3680*G3680*H3680,2)</f>
        <v>144.65</v>
      </c>
    </row>
    <row r="3681" spans="1:17" x14ac:dyDescent="0.2">
      <c r="A3681" s="199"/>
      <c r="B3681" s="233"/>
      <c r="C3681" s="233"/>
      <c r="D3681" s="199"/>
      <c r="E3681" s="199"/>
      <c r="F3681" s="234" t="s">
        <v>199</v>
      </c>
      <c r="G3681" s="244"/>
      <c r="H3681" s="245"/>
      <c r="I3681" s="434">
        <f>SUM(I3680:I3680)</f>
        <v>144.65</v>
      </c>
    </row>
    <row r="3682" spans="1:17" x14ac:dyDescent="0.2">
      <c r="A3682" s="199"/>
      <c r="B3682" s="233"/>
      <c r="C3682" s="233"/>
      <c r="D3682" s="199"/>
      <c r="E3682" s="199"/>
      <c r="F3682" s="199"/>
      <c r="G3682" s="199"/>
      <c r="H3682" s="199"/>
      <c r="I3682" s="200"/>
      <c r="J3682" s="302"/>
      <c r="K3682" s="302"/>
    </row>
    <row r="3683" spans="1:17" x14ac:dyDescent="0.2">
      <c r="A3683" s="246" t="s">
        <v>200</v>
      </c>
      <c r="B3683" s="247" t="s">
        <v>60</v>
      </c>
      <c r="C3683" s="236" t="s">
        <v>1242</v>
      </c>
      <c r="D3683" s="247" t="s">
        <v>202</v>
      </c>
      <c r="E3683" s="1276" t="s">
        <v>91</v>
      </c>
      <c r="F3683" s="1274"/>
      <c r="G3683" s="1275"/>
      <c r="H3683" s="1276" t="s">
        <v>198</v>
      </c>
      <c r="I3683" s="1275"/>
      <c r="J3683" s="302"/>
      <c r="K3683" s="302"/>
    </row>
    <row r="3684" spans="1:17" x14ac:dyDescent="0.2">
      <c r="A3684" s="248"/>
      <c r="B3684" s="238"/>
      <c r="C3684" s="243"/>
      <c r="D3684" s="243"/>
      <c r="E3684" s="244"/>
      <c r="F3684" s="245"/>
      <c r="G3684" s="441"/>
      <c r="H3684" s="244"/>
      <c r="I3684" s="249"/>
      <c r="J3684" s="302"/>
      <c r="K3684" s="302"/>
    </row>
    <row r="3685" spans="1:17" x14ac:dyDescent="0.2">
      <c r="A3685" s="199"/>
      <c r="B3685" s="233"/>
      <c r="C3685" s="233"/>
      <c r="D3685" s="199"/>
      <c r="E3685" s="199"/>
      <c r="F3685" s="234" t="s">
        <v>203</v>
      </c>
      <c r="G3685" s="244"/>
      <c r="H3685" s="245"/>
      <c r="I3685" s="434">
        <f>SUM(I3684:I3684)</f>
        <v>0</v>
      </c>
      <c r="J3685" s="302"/>
      <c r="K3685" s="302"/>
    </row>
    <row r="3686" spans="1:17" x14ac:dyDescent="0.2">
      <c r="A3686" s="199"/>
      <c r="B3686" s="233"/>
      <c r="C3686" s="233"/>
      <c r="D3686" s="199"/>
      <c r="E3686" s="199"/>
      <c r="F3686" s="199"/>
      <c r="G3686" s="199"/>
      <c r="H3686" s="199"/>
      <c r="I3686" s="200"/>
      <c r="J3686" s="302"/>
      <c r="K3686" s="302"/>
    </row>
    <row r="3687" spans="1:17" x14ac:dyDescent="0.2">
      <c r="A3687" s="250" t="s">
        <v>204</v>
      </c>
      <c r="B3687" s="247" t="s">
        <v>60</v>
      </c>
      <c r="C3687" s="866" t="s">
        <v>17</v>
      </c>
      <c r="D3687" s="247" t="s">
        <v>205</v>
      </c>
      <c r="E3687" s="247" t="s">
        <v>206</v>
      </c>
      <c r="F3687" s="247" t="s">
        <v>207</v>
      </c>
      <c r="G3687" s="1276" t="s">
        <v>96</v>
      </c>
      <c r="H3687" s="1274"/>
      <c r="I3687" s="1275"/>
      <c r="J3687" s="302"/>
      <c r="K3687" s="302"/>
    </row>
    <row r="3688" spans="1:17" x14ac:dyDescent="0.2">
      <c r="A3688" s="248"/>
      <c r="B3688" s="238"/>
      <c r="C3688" s="243"/>
      <c r="D3688" s="239"/>
      <c r="E3688" s="251"/>
      <c r="F3688" s="251"/>
      <c r="G3688" s="244"/>
      <c r="H3688" s="245"/>
      <c r="I3688" s="249"/>
      <c r="J3688" s="302"/>
      <c r="K3688" s="302"/>
    </row>
    <row r="3689" spans="1:17" x14ac:dyDescent="0.2">
      <c r="A3689" s="199"/>
      <c r="B3689" s="233"/>
      <c r="C3689" s="199"/>
      <c r="D3689" s="199"/>
      <c r="E3689" s="199"/>
      <c r="F3689" s="234" t="s">
        <v>1170</v>
      </c>
      <c r="G3689" s="244"/>
      <c r="H3689" s="245"/>
      <c r="I3689" s="434">
        <f>SUM(I3688)</f>
        <v>0</v>
      </c>
      <c r="J3689" s="302"/>
      <c r="K3689" s="302"/>
    </row>
    <row r="3690" spans="1:17" x14ac:dyDescent="0.2">
      <c r="A3690" s="199"/>
      <c r="B3690" s="233"/>
      <c r="C3690" s="199"/>
      <c r="D3690" s="199"/>
      <c r="E3690" s="199"/>
      <c r="F3690" s="199"/>
      <c r="G3690" s="199"/>
      <c r="H3690" s="199"/>
      <c r="I3690" s="200"/>
      <c r="J3690" s="302"/>
      <c r="K3690" s="302"/>
    </row>
    <row r="3691" spans="1:17" x14ac:dyDescent="0.2">
      <c r="A3691" s="252"/>
      <c r="B3691" s="253"/>
      <c r="C3691" s="254"/>
      <c r="D3691" s="254"/>
      <c r="E3691" s="254"/>
      <c r="F3691" s="255" t="s">
        <v>208</v>
      </c>
      <c r="G3691" s="435"/>
      <c r="H3691" s="254"/>
      <c r="I3691" s="634">
        <f>+I3681+I3685+I3689</f>
        <v>144.65</v>
      </c>
      <c r="J3691" s="302"/>
      <c r="K3691" s="302"/>
    </row>
    <row r="3692" spans="1:17" x14ac:dyDescent="0.2">
      <c r="A3692" s="256"/>
      <c r="B3692" s="257"/>
      <c r="C3692" s="258"/>
      <c r="D3692" s="258"/>
      <c r="E3692" s="258"/>
      <c r="F3692" s="259" t="s">
        <v>209</v>
      </c>
      <c r="G3692" s="260"/>
      <c r="H3692" s="258"/>
      <c r="I3692" s="635">
        <v>1</v>
      </c>
      <c r="J3692" s="302"/>
      <c r="K3692" s="302"/>
    </row>
    <row r="3693" spans="1:17" x14ac:dyDescent="0.2">
      <c r="A3693" s="237"/>
      <c r="B3693" s="261"/>
      <c r="C3693" s="245"/>
      <c r="D3693" s="245"/>
      <c r="E3693" s="245"/>
      <c r="F3693" s="262" t="s">
        <v>232</v>
      </c>
      <c r="G3693" s="244"/>
      <c r="H3693" s="245"/>
      <c r="I3693" s="633">
        <f>TRUNC(I3691/I3692,2)</f>
        <v>144.65</v>
      </c>
      <c r="J3693" s="302"/>
      <c r="K3693" s="302"/>
      <c r="O3693" s="198"/>
    </row>
    <row r="3694" spans="1:17" x14ac:dyDescent="0.2">
      <c r="A3694" s="867"/>
      <c r="B3694" s="233"/>
      <c r="C3694" s="199"/>
      <c r="D3694" s="199"/>
      <c r="E3694" s="199"/>
      <c r="F3694" s="263"/>
      <c r="G3694" s="199"/>
      <c r="H3694" s="199"/>
      <c r="I3694" s="264"/>
      <c r="J3694" s="302"/>
      <c r="K3694" s="302"/>
    </row>
    <row r="3695" spans="1:17" x14ac:dyDescent="0.2">
      <c r="A3695" s="246" t="s">
        <v>210</v>
      </c>
      <c r="B3695" s="247" t="s">
        <v>60</v>
      </c>
      <c r="C3695" s="247" t="s">
        <v>211</v>
      </c>
      <c r="D3695" s="247" t="s">
        <v>233</v>
      </c>
      <c r="E3695" s="1276" t="s">
        <v>91</v>
      </c>
      <c r="F3695" s="1274"/>
      <c r="G3695" s="1275"/>
      <c r="H3695" s="1276" t="s">
        <v>198</v>
      </c>
      <c r="I3695" s="1275"/>
      <c r="J3695" s="302"/>
      <c r="K3695" s="302"/>
    </row>
    <row r="3696" spans="1:17" s="198" customFormat="1" x14ac:dyDescent="0.2">
      <c r="A3696" s="265" t="str">
        <f>VLOOKUP(B3696,mat.!$A:$D,2,FALSE)</f>
        <v>Diária</v>
      </c>
      <c r="B3696" s="238">
        <v>11020</v>
      </c>
      <c r="C3696" s="266" t="str">
        <f>VLOOKUP(B3696,mat.!$A:$D,3,FALSE)</f>
        <v>DIA</v>
      </c>
      <c r="D3696" s="267">
        <f>VLOOKUP(B3696,mat.!$A:$D,4,FALSE)</f>
        <v>112</v>
      </c>
      <c r="E3696" s="260"/>
      <c r="F3696" s="258"/>
      <c r="G3696" s="300">
        <v>0.125</v>
      </c>
      <c r="H3696" s="260"/>
      <c r="I3696" s="268">
        <f>TRUNC(D3696*G3696,2)</f>
        <v>14</v>
      </c>
      <c r="J3696" s="302"/>
      <c r="K3696" s="302"/>
      <c r="L3696" s="302"/>
      <c r="M3696" s="302"/>
      <c r="N3696" s="302"/>
      <c r="O3696" s="302"/>
      <c r="P3696" s="302"/>
      <c r="Q3696" s="302"/>
    </row>
    <row r="3697" spans="1:13" x14ac:dyDescent="0.2">
      <c r="A3697" s="199"/>
      <c r="B3697" s="233"/>
      <c r="C3697" s="199"/>
      <c r="D3697" s="199"/>
      <c r="E3697" s="199"/>
      <c r="F3697" s="234" t="s">
        <v>212</v>
      </c>
      <c r="G3697" s="244"/>
      <c r="H3697" s="245"/>
      <c r="I3697" s="434">
        <f>SUM(I3696:I3696)</f>
        <v>14</v>
      </c>
      <c r="J3697" s="302"/>
      <c r="K3697" s="302"/>
    </row>
    <row r="3698" spans="1:13" x14ac:dyDescent="0.2">
      <c r="A3698" s="199"/>
      <c r="B3698" s="233"/>
      <c r="C3698" s="199"/>
      <c r="D3698" s="199"/>
      <c r="E3698" s="199"/>
      <c r="F3698" s="199"/>
      <c r="G3698" s="269"/>
      <c r="H3698" s="199"/>
      <c r="I3698" s="200"/>
    </row>
    <row r="3699" spans="1:13" x14ac:dyDescent="0.2">
      <c r="A3699" s="270" t="s">
        <v>213</v>
      </c>
      <c r="B3699" s="247" t="s">
        <v>60</v>
      </c>
      <c r="C3699" s="247" t="s">
        <v>211</v>
      </c>
      <c r="D3699" s="866" t="s">
        <v>233</v>
      </c>
      <c r="E3699" s="1276" t="s">
        <v>91</v>
      </c>
      <c r="F3699" s="1274"/>
      <c r="G3699" s="1275"/>
      <c r="H3699" s="1276" t="s">
        <v>198</v>
      </c>
      <c r="I3699" s="1275"/>
    </row>
    <row r="3700" spans="1:13" x14ac:dyDescent="0.2">
      <c r="A3700" s="248"/>
      <c r="B3700" s="238"/>
      <c r="C3700" s="238"/>
      <c r="D3700" s="243"/>
      <c r="E3700" s="244"/>
      <c r="F3700" s="258"/>
      <c r="G3700" s="300"/>
      <c r="H3700" s="244"/>
      <c r="I3700" s="268"/>
    </row>
    <row r="3701" spans="1:13" x14ac:dyDescent="0.2">
      <c r="A3701" s="201"/>
      <c r="B3701" s="271"/>
      <c r="C3701" s="201"/>
      <c r="D3701" s="201"/>
      <c r="E3701" s="201"/>
      <c r="F3701" s="272" t="s">
        <v>214</v>
      </c>
      <c r="G3701" s="260"/>
      <c r="H3701" s="273"/>
      <c r="I3701" s="436">
        <f>SUM(I3700:I3700)</f>
        <v>0</v>
      </c>
    </row>
    <row r="3702" spans="1:13" x14ac:dyDescent="0.2">
      <c r="A3702" s="201"/>
      <c r="B3702" s="271"/>
      <c r="C3702" s="201"/>
      <c r="D3702" s="201"/>
      <c r="E3702" s="201"/>
      <c r="F3702" s="201"/>
      <c r="G3702" s="201"/>
      <c r="H3702" s="201"/>
      <c r="I3702" s="201"/>
    </row>
    <row r="3703" spans="1:13" x14ac:dyDescent="0.2">
      <c r="A3703" s="274" t="s">
        <v>215</v>
      </c>
      <c r="B3703" s="275" t="s">
        <v>60</v>
      </c>
      <c r="C3703" s="275" t="s">
        <v>211</v>
      </c>
      <c r="D3703" s="275" t="s">
        <v>216</v>
      </c>
      <c r="E3703" s="275" t="s">
        <v>217</v>
      </c>
      <c r="F3703" s="275" t="s">
        <v>218</v>
      </c>
      <c r="G3703" s="275" t="s">
        <v>96</v>
      </c>
      <c r="H3703" s="275" t="s">
        <v>91</v>
      </c>
      <c r="I3703" s="275" t="s">
        <v>219</v>
      </c>
    </row>
    <row r="3704" spans="1:13" x14ac:dyDescent="0.2">
      <c r="A3704" s="248"/>
      <c r="B3704" s="238"/>
      <c r="C3704" s="238"/>
      <c r="D3704" s="276"/>
      <c r="E3704" s="277"/>
      <c r="F3704" s="277"/>
      <c r="G3704" s="243"/>
      <c r="H3704" s="278"/>
      <c r="I3704" s="243"/>
    </row>
    <row r="3705" spans="1:13" x14ac:dyDescent="0.2">
      <c r="A3705" s="201"/>
      <c r="B3705" s="271"/>
      <c r="C3705" s="201"/>
      <c r="D3705" s="201"/>
      <c r="E3705" s="201"/>
      <c r="F3705" s="272" t="s">
        <v>220</v>
      </c>
      <c r="G3705" s="244"/>
      <c r="H3705" s="279"/>
      <c r="I3705" s="438">
        <f>SUM(I3704:I3704)</f>
        <v>0</v>
      </c>
    </row>
    <row r="3706" spans="1:13" x14ac:dyDescent="0.2">
      <c r="A3706" s="201"/>
      <c r="B3706" s="271"/>
      <c r="C3706" s="201"/>
      <c r="D3706" s="201"/>
      <c r="E3706" s="201"/>
      <c r="F3706" s="201"/>
      <c r="G3706" s="201"/>
      <c r="H3706" s="201"/>
      <c r="I3706" s="202"/>
    </row>
    <row r="3707" spans="1:13" ht="21.75" customHeight="1" x14ac:dyDescent="0.2">
      <c r="A3707" s="280"/>
      <c r="B3707" s="281"/>
      <c r="C3707" s="282"/>
      <c r="D3707" s="282"/>
      <c r="E3707" s="282"/>
      <c r="F3707" s="283" t="s">
        <v>221</v>
      </c>
      <c r="G3707" s="280"/>
      <c r="H3707" s="254"/>
      <c r="I3707" s="634">
        <f>+I3693+I3697+I3701+I3705</f>
        <v>158.65</v>
      </c>
    </row>
    <row r="3708" spans="1:13" x14ac:dyDescent="0.2">
      <c r="A3708" s="260"/>
      <c r="B3708" s="284"/>
      <c r="C3708" s="273"/>
      <c r="D3708" s="273"/>
      <c r="E3708" s="273"/>
      <c r="F3708" s="285" t="str">
        <f>CONCATENATE($H$3," ",$I$3)</f>
        <v>BDI: 23,32</v>
      </c>
      <c r="G3708" s="439"/>
      <c r="H3708" s="258"/>
      <c r="I3708" s="635">
        <f>+ROUND(I3707*$I$4,2)</f>
        <v>37</v>
      </c>
    </row>
    <row r="3709" spans="1:13" x14ac:dyDescent="0.2">
      <c r="A3709" s="244"/>
      <c r="B3709" s="286"/>
      <c r="C3709" s="279"/>
      <c r="D3709" s="279"/>
      <c r="E3709" s="279"/>
      <c r="F3709" s="287" t="s">
        <v>222</v>
      </c>
      <c r="G3709" s="440"/>
      <c r="H3709" s="245"/>
      <c r="I3709" s="1017">
        <f>+I3707+I3708</f>
        <v>195.65</v>
      </c>
    </row>
    <row r="3710" spans="1:13" x14ac:dyDescent="0.2">
      <c r="A3710" s="1277" t="str">
        <f>$A$1</f>
        <v>COMPOSIÇÃO DE CUSTOS UNITÁRIOS</v>
      </c>
      <c r="B3710" s="1277"/>
      <c r="C3710" s="1277"/>
      <c r="D3710" s="1277"/>
      <c r="E3710" s="1277"/>
      <c r="F3710" s="1277"/>
      <c r="G3710" s="1277"/>
      <c r="H3710" s="1277"/>
      <c r="I3710" s="1277"/>
    </row>
    <row r="3711" spans="1:13" x14ac:dyDescent="0.2">
      <c r="A3711" s="232" t="str">
        <f>$A$2</f>
        <v>Tabela Referencial de Preços - DER-ES</v>
      </c>
      <c r="B3711" s="233"/>
      <c r="C3711" s="199"/>
      <c r="D3711" s="199"/>
      <c r="E3711" s="199"/>
      <c r="F3711" s="199"/>
      <c r="G3711" s="199"/>
      <c r="H3711" s="199"/>
      <c r="I3711" s="234" t="str">
        <f>$I$2</f>
        <v>Data Base: Outubro/2018</v>
      </c>
      <c r="J3711" s="433">
        <v>40169</v>
      </c>
      <c r="K3711" s="433">
        <f>VLOOKUP("Preço Unitário Total",F3713:I4212,4,FALSE)</f>
        <v>8.83</v>
      </c>
      <c r="L3711" s="302">
        <f>VLOOKUP(J3711,'DER 10-18'!A:E,5,FALSE)</f>
        <v>0</v>
      </c>
      <c r="M3711" s="302" t="str">
        <f>VLOOKUP(J3711,'DER 10-18'!$A:$D,2,FALSE)</f>
        <v>Limpeza e desmatamento em área alagada (pântano) com ferramentas manuais, inclusive moto serra</v>
      </c>
    </row>
    <row r="3712" spans="1:13" x14ac:dyDescent="0.2">
      <c r="A3712" s="1278" t="str">
        <f>+CONCATENATE("Serviço: ",J3711," ",VLOOKUP(J3711,'DER 10-18'!$A:$D,2,FALSE))</f>
        <v>Serviço: 40169 Limpeza e desmatamento em área alagada (pântano) com ferramentas manuais, inclusive moto serra</v>
      </c>
      <c r="B3712" s="1278"/>
      <c r="C3712" s="1278"/>
      <c r="D3712" s="1278"/>
      <c r="E3712" s="1278"/>
      <c r="F3712" s="1278"/>
      <c r="G3712" s="1278"/>
      <c r="H3712" s="1278"/>
      <c r="I3712" s="1278" t="str">
        <f>CONCATENATE("Unidade: ", VLOOKUP(J3711,'DER 10-18'!$A:$E,3,FALSE))</f>
        <v>Unidade: M2</v>
      </c>
      <c r="J3712" s="302"/>
      <c r="K3712" s="302"/>
    </row>
    <row r="3713" spans="1:11" x14ac:dyDescent="0.2">
      <c r="A3713" s="1279"/>
      <c r="B3713" s="1279"/>
      <c r="C3713" s="1279"/>
      <c r="D3713" s="1279"/>
      <c r="E3713" s="1279"/>
      <c r="F3713" s="1279"/>
      <c r="G3713" s="1279"/>
      <c r="H3713" s="1279"/>
      <c r="I3713" s="1279"/>
      <c r="J3713" s="302"/>
      <c r="K3713" s="302"/>
    </row>
    <row r="3714" spans="1:11" ht="22.5" x14ac:dyDescent="0.2">
      <c r="A3714" s="235" t="s">
        <v>192</v>
      </c>
      <c r="B3714" s="236" t="s">
        <v>60</v>
      </c>
      <c r="C3714" s="236" t="s">
        <v>193</v>
      </c>
      <c r="D3714" s="236" t="s">
        <v>194</v>
      </c>
      <c r="E3714" s="236" t="s">
        <v>195</v>
      </c>
      <c r="F3714" s="236" t="s">
        <v>196</v>
      </c>
      <c r="G3714" s="236" t="s">
        <v>197</v>
      </c>
      <c r="H3714" s="236" t="s">
        <v>91</v>
      </c>
      <c r="I3714" s="236" t="s">
        <v>198</v>
      </c>
      <c r="J3714" s="302"/>
      <c r="K3714" s="302"/>
    </row>
    <row r="3715" spans="1:11" x14ac:dyDescent="0.2">
      <c r="A3715" s="237" t="str">
        <f>VLOOKUP(B3715,equip.!$A:$G,2,FALSE)</f>
        <v>Moto serra 15" (gas.)</v>
      </c>
      <c r="B3715" s="238">
        <v>30085</v>
      </c>
      <c r="C3715" s="239" t="str">
        <f>VLOOKUP(B3715,equip.!$A$1:$G$239,3,FALSE)</f>
        <v>M</v>
      </c>
      <c r="D3715" s="240">
        <v>0.25</v>
      </c>
      <c r="E3715" s="205">
        <v>0.75</v>
      </c>
      <c r="F3715" s="241">
        <f>VLOOKUP(B3715,equip.!$A:$G,6,FALSE)</f>
        <v>24.57</v>
      </c>
      <c r="G3715" s="241">
        <f>VLOOKUP(B3715,equip.!$A:$G,7,FALSE)</f>
        <v>14.53</v>
      </c>
      <c r="H3715" s="242">
        <v>1</v>
      </c>
      <c r="I3715" s="243">
        <f>TRUNC(D3715*F3715*H3715+E3715*G3715*H3715,2)</f>
        <v>17.04</v>
      </c>
      <c r="J3715" s="302"/>
      <c r="K3715" s="302"/>
    </row>
    <row r="3716" spans="1:11" x14ac:dyDescent="0.2">
      <c r="A3716" s="199"/>
      <c r="B3716" s="233"/>
      <c r="C3716" s="233"/>
      <c r="D3716" s="199"/>
      <c r="E3716" s="199"/>
      <c r="F3716" s="234" t="s">
        <v>199</v>
      </c>
      <c r="G3716" s="244"/>
      <c r="H3716" s="245"/>
      <c r="I3716" s="434">
        <f>SUM(I3715:I3715)</f>
        <v>17.04</v>
      </c>
      <c r="J3716" s="302"/>
      <c r="K3716" s="302"/>
    </row>
    <row r="3717" spans="1:11" x14ac:dyDescent="0.2">
      <c r="A3717" s="199"/>
      <c r="B3717" s="233"/>
      <c r="C3717" s="233"/>
      <c r="D3717" s="199"/>
      <c r="E3717" s="199"/>
      <c r="F3717" s="199"/>
      <c r="G3717" s="199"/>
      <c r="H3717" s="199"/>
      <c r="I3717" s="200"/>
      <c r="J3717" s="302"/>
      <c r="K3717" s="302"/>
    </row>
    <row r="3718" spans="1:11" x14ac:dyDescent="0.2">
      <c r="A3718" s="246" t="s">
        <v>200</v>
      </c>
      <c r="B3718" s="247" t="s">
        <v>60</v>
      </c>
      <c r="C3718" s="236" t="s">
        <v>1242</v>
      </c>
      <c r="D3718" s="247" t="s">
        <v>202</v>
      </c>
      <c r="E3718" s="1276" t="s">
        <v>91</v>
      </c>
      <c r="F3718" s="1274"/>
      <c r="G3718" s="1275"/>
      <c r="H3718" s="1276" t="s">
        <v>198</v>
      </c>
      <c r="I3718" s="1275"/>
      <c r="J3718" s="302"/>
      <c r="K3718" s="302"/>
    </row>
    <row r="3719" spans="1:11" x14ac:dyDescent="0.2">
      <c r="A3719" s="248" t="str">
        <f>VLOOKUP(B3719,m.o.!$A:$H,2,FALSE)</f>
        <v>Encarregado de terraplenagem</v>
      </c>
      <c r="B3719" s="238">
        <v>20067</v>
      </c>
      <c r="C3719" s="243">
        <f>VLOOKUP(B3719,m.o.!$A:$F,4,FALSE)</f>
        <v>2.35</v>
      </c>
      <c r="D3719" s="243">
        <f>VLOOKUP(B3719,m.o.!$A:$G,7,FALSE)</f>
        <v>27.35</v>
      </c>
      <c r="E3719" s="244"/>
      <c r="F3719" s="258"/>
      <c r="G3719" s="300">
        <v>0.2</v>
      </c>
      <c r="H3719" s="244"/>
      <c r="I3719" s="249">
        <f>TRUNC(D3719*G3719,2)</f>
        <v>5.47</v>
      </c>
      <c r="J3719" s="302"/>
      <c r="K3719" s="302"/>
    </row>
    <row r="3720" spans="1:11" x14ac:dyDescent="0.2">
      <c r="A3720" s="248" t="str">
        <f>VLOOKUP(B3720,m.o.!$A:$H,2,FALSE)</f>
        <v>Servente</v>
      </c>
      <c r="B3720" s="238">
        <v>20002</v>
      </c>
      <c r="C3720" s="243">
        <f>VLOOKUP(B3720,m.o.!$A:$F,4,FALSE)</f>
        <v>1</v>
      </c>
      <c r="D3720" s="243">
        <f>VLOOKUP(B3720,m.o.!$A:$G,7,FALSE)</f>
        <v>11.64</v>
      </c>
      <c r="E3720" s="244"/>
      <c r="F3720" s="245"/>
      <c r="G3720" s="441">
        <v>4</v>
      </c>
      <c r="H3720" s="244"/>
      <c r="I3720" s="249">
        <f>TRUNC(D3720*G3720,2)</f>
        <v>46.56</v>
      </c>
      <c r="J3720" s="302"/>
      <c r="K3720" s="302"/>
    </row>
    <row r="3721" spans="1:11" x14ac:dyDescent="0.2">
      <c r="A3721" s="199"/>
      <c r="B3721" s="233"/>
      <c r="C3721" s="233"/>
      <c r="D3721" s="199"/>
      <c r="E3721" s="199"/>
      <c r="F3721" s="234" t="s">
        <v>203</v>
      </c>
      <c r="G3721" s="244"/>
      <c r="H3721" s="245"/>
      <c r="I3721" s="434">
        <f>SUM(I3719:I3720)</f>
        <v>52.03</v>
      </c>
      <c r="J3721" s="302"/>
      <c r="K3721" s="302"/>
    </row>
    <row r="3722" spans="1:11" x14ac:dyDescent="0.2">
      <c r="A3722" s="199"/>
      <c r="B3722" s="233"/>
      <c r="C3722" s="233"/>
      <c r="D3722" s="199"/>
      <c r="E3722" s="199"/>
      <c r="F3722" s="199"/>
      <c r="G3722" s="199"/>
      <c r="H3722" s="199"/>
      <c r="I3722" s="200"/>
      <c r="J3722" s="302"/>
      <c r="K3722" s="302"/>
    </row>
    <row r="3723" spans="1:11" x14ac:dyDescent="0.2">
      <c r="A3723" s="250" t="s">
        <v>204</v>
      </c>
      <c r="B3723" s="247" t="s">
        <v>60</v>
      </c>
      <c r="C3723" s="866" t="s">
        <v>17</v>
      </c>
      <c r="D3723" s="247" t="s">
        <v>205</v>
      </c>
      <c r="E3723" s="247" t="s">
        <v>206</v>
      </c>
      <c r="F3723" s="247" t="s">
        <v>207</v>
      </c>
      <c r="G3723" s="1276" t="s">
        <v>96</v>
      </c>
      <c r="H3723" s="1274"/>
      <c r="I3723" s="1275"/>
      <c r="J3723" s="302"/>
      <c r="K3723" s="302"/>
    </row>
    <row r="3724" spans="1:11" x14ac:dyDescent="0.2">
      <c r="A3724" s="248" t="s">
        <v>142</v>
      </c>
      <c r="B3724" s="238">
        <v>2000</v>
      </c>
      <c r="C3724" s="243">
        <v>5</v>
      </c>
      <c r="D3724" s="239" t="s">
        <v>223</v>
      </c>
      <c r="E3724" s="251"/>
      <c r="F3724" s="251"/>
      <c r="G3724" s="244"/>
      <c r="H3724" s="245"/>
      <c r="I3724" s="249">
        <f>TRUNC(C3724/100*I3721,2)</f>
        <v>2.6</v>
      </c>
      <c r="J3724" s="302"/>
      <c r="K3724" s="302"/>
    </row>
    <row r="3725" spans="1:11" x14ac:dyDescent="0.2">
      <c r="A3725" s="199"/>
      <c r="B3725" s="233"/>
      <c r="C3725" s="199"/>
      <c r="D3725" s="199"/>
      <c r="E3725" s="199"/>
      <c r="F3725" s="234" t="s">
        <v>1170</v>
      </c>
      <c r="G3725" s="244"/>
      <c r="H3725" s="245"/>
      <c r="I3725" s="434">
        <f>SUM(I3724)</f>
        <v>2.6</v>
      </c>
      <c r="J3725" s="302"/>
      <c r="K3725" s="302"/>
    </row>
    <row r="3726" spans="1:11" x14ac:dyDescent="0.2">
      <c r="A3726" s="199"/>
      <c r="B3726" s="233"/>
      <c r="C3726" s="199"/>
      <c r="D3726" s="199"/>
      <c r="E3726" s="199"/>
      <c r="F3726" s="199"/>
      <c r="G3726" s="199"/>
      <c r="H3726" s="199"/>
      <c r="I3726" s="200"/>
      <c r="J3726" s="302"/>
      <c r="K3726" s="302"/>
    </row>
    <row r="3727" spans="1:11" x14ac:dyDescent="0.2">
      <c r="A3727" s="252"/>
      <c r="B3727" s="253"/>
      <c r="C3727" s="254"/>
      <c r="D3727" s="254"/>
      <c r="E3727" s="254"/>
      <c r="F3727" s="255" t="s">
        <v>208</v>
      </c>
      <c r="G3727" s="435"/>
      <c r="H3727" s="254"/>
      <c r="I3727" s="634">
        <f>+I3716+I3721+I3725</f>
        <v>71.67</v>
      </c>
      <c r="J3727" s="302"/>
      <c r="K3727" s="302"/>
    </row>
    <row r="3728" spans="1:11" x14ac:dyDescent="0.2">
      <c r="A3728" s="256"/>
      <c r="B3728" s="257"/>
      <c r="C3728" s="258"/>
      <c r="D3728" s="258"/>
      <c r="E3728" s="258"/>
      <c r="F3728" s="259" t="s">
        <v>209</v>
      </c>
      <c r="G3728" s="260"/>
      <c r="H3728" s="258"/>
      <c r="I3728" s="635">
        <v>10</v>
      </c>
      <c r="K3728" s="302"/>
    </row>
    <row r="3729" spans="1:17" x14ac:dyDescent="0.2">
      <c r="A3729" s="237"/>
      <c r="B3729" s="261"/>
      <c r="C3729" s="245"/>
      <c r="D3729" s="245"/>
      <c r="E3729" s="245"/>
      <c r="F3729" s="262" t="s">
        <v>232</v>
      </c>
      <c r="G3729" s="244"/>
      <c r="H3729" s="245"/>
      <c r="I3729" s="633">
        <f>TRUNC(I3727/I3728,2)</f>
        <v>7.16</v>
      </c>
      <c r="K3729" s="302"/>
    </row>
    <row r="3730" spans="1:17" x14ac:dyDescent="0.2">
      <c r="A3730" s="867"/>
      <c r="B3730" s="233"/>
      <c r="C3730" s="199"/>
      <c r="D3730" s="199"/>
      <c r="E3730" s="199"/>
      <c r="F3730" s="263"/>
      <c r="G3730" s="199"/>
      <c r="H3730" s="199"/>
      <c r="I3730" s="264"/>
      <c r="K3730" s="302"/>
    </row>
    <row r="3731" spans="1:17" x14ac:dyDescent="0.2">
      <c r="A3731" s="246" t="s">
        <v>210</v>
      </c>
      <c r="B3731" s="247" t="s">
        <v>60</v>
      </c>
      <c r="C3731" s="247" t="s">
        <v>211</v>
      </c>
      <c r="D3731" s="247" t="s">
        <v>233</v>
      </c>
      <c r="E3731" s="1276" t="s">
        <v>91</v>
      </c>
      <c r="F3731" s="1274"/>
      <c r="G3731" s="1275"/>
      <c r="H3731" s="1276" t="s">
        <v>198</v>
      </c>
      <c r="I3731" s="1275"/>
      <c r="K3731" s="302"/>
    </row>
    <row r="3732" spans="1:17" x14ac:dyDescent="0.2">
      <c r="A3732" s="265"/>
      <c r="B3732" s="238"/>
      <c r="C3732" s="266"/>
      <c r="D3732" s="267"/>
      <c r="E3732" s="260"/>
      <c r="F3732" s="258"/>
      <c r="G3732" s="441"/>
      <c r="H3732" s="260"/>
      <c r="I3732" s="268"/>
      <c r="K3732" s="302"/>
    </row>
    <row r="3733" spans="1:17" x14ac:dyDescent="0.2">
      <c r="A3733" s="199"/>
      <c r="B3733" s="233"/>
      <c r="C3733" s="199"/>
      <c r="D3733" s="199"/>
      <c r="E3733" s="199"/>
      <c r="F3733" s="234" t="s">
        <v>212</v>
      </c>
      <c r="G3733" s="244"/>
      <c r="H3733" s="245"/>
      <c r="I3733" s="434">
        <f>SUM(I3732:I3732)</f>
        <v>0</v>
      </c>
      <c r="K3733" s="302"/>
    </row>
    <row r="3734" spans="1:17" x14ac:dyDescent="0.2">
      <c r="A3734" s="199"/>
      <c r="B3734" s="233"/>
      <c r="C3734" s="199"/>
      <c r="D3734" s="199"/>
      <c r="E3734" s="199"/>
      <c r="F3734" s="199"/>
      <c r="G3734" s="269"/>
      <c r="H3734" s="199"/>
      <c r="I3734" s="200"/>
      <c r="K3734" s="302"/>
    </row>
    <row r="3735" spans="1:17" s="198" customFormat="1" x14ac:dyDescent="0.2">
      <c r="A3735" s="270" t="s">
        <v>213</v>
      </c>
      <c r="B3735" s="247" t="s">
        <v>60</v>
      </c>
      <c r="C3735" s="247" t="s">
        <v>211</v>
      </c>
      <c r="D3735" s="866" t="s">
        <v>233</v>
      </c>
      <c r="E3735" s="1276" t="s">
        <v>91</v>
      </c>
      <c r="F3735" s="1274"/>
      <c r="G3735" s="1275"/>
      <c r="H3735" s="1276" t="s">
        <v>198</v>
      </c>
      <c r="I3735" s="1275"/>
      <c r="J3735" s="433"/>
      <c r="K3735" s="302"/>
      <c r="L3735" s="302"/>
      <c r="M3735" s="302"/>
      <c r="N3735" s="302"/>
      <c r="O3735" s="302"/>
      <c r="P3735" s="302"/>
      <c r="Q3735" s="302"/>
    </row>
    <row r="3736" spans="1:17" s="198" customFormat="1" x14ac:dyDescent="0.2">
      <c r="A3736" s="248"/>
      <c r="B3736" s="238"/>
      <c r="C3736" s="238"/>
      <c r="D3736" s="243"/>
      <c r="E3736" s="244"/>
      <c r="F3736" s="258"/>
      <c r="G3736" s="300"/>
      <c r="H3736" s="244"/>
      <c r="I3736" s="268"/>
      <c r="J3736" s="433"/>
      <c r="K3736" s="302"/>
      <c r="L3736" s="302"/>
      <c r="M3736" s="302"/>
      <c r="N3736" s="302"/>
      <c r="O3736" s="302"/>
      <c r="P3736" s="302"/>
      <c r="Q3736" s="302"/>
    </row>
    <row r="3737" spans="1:17" s="198" customFormat="1" x14ac:dyDescent="0.2">
      <c r="A3737" s="201"/>
      <c r="B3737" s="271"/>
      <c r="C3737" s="201"/>
      <c r="D3737" s="201"/>
      <c r="E3737" s="201"/>
      <c r="F3737" s="272" t="s">
        <v>214</v>
      </c>
      <c r="G3737" s="260"/>
      <c r="H3737" s="273"/>
      <c r="I3737" s="436">
        <f>SUM(I3736:I3736)</f>
        <v>0</v>
      </c>
      <c r="J3737" s="433"/>
      <c r="K3737" s="302"/>
      <c r="L3737" s="302"/>
      <c r="M3737" s="302"/>
      <c r="N3737" s="302"/>
      <c r="O3737" s="302"/>
      <c r="P3737" s="302"/>
      <c r="Q3737" s="302"/>
    </row>
    <row r="3738" spans="1:17" x14ac:dyDescent="0.2">
      <c r="A3738" s="201"/>
      <c r="B3738" s="271"/>
      <c r="C3738" s="201"/>
      <c r="D3738" s="201"/>
      <c r="E3738" s="201"/>
      <c r="F3738" s="201"/>
      <c r="G3738" s="201"/>
      <c r="H3738" s="201"/>
      <c r="I3738" s="201"/>
      <c r="K3738" s="302"/>
    </row>
    <row r="3739" spans="1:17" x14ac:dyDescent="0.2">
      <c r="A3739" s="274" t="s">
        <v>215</v>
      </c>
      <c r="B3739" s="275" t="s">
        <v>60</v>
      </c>
      <c r="C3739" s="275" t="s">
        <v>211</v>
      </c>
      <c r="D3739" s="275" t="s">
        <v>216</v>
      </c>
      <c r="E3739" s="275" t="s">
        <v>217</v>
      </c>
      <c r="F3739" s="275" t="s">
        <v>218</v>
      </c>
      <c r="G3739" s="275" t="s">
        <v>96</v>
      </c>
      <c r="H3739" s="275" t="s">
        <v>91</v>
      </c>
      <c r="I3739" s="275" t="s">
        <v>219</v>
      </c>
      <c r="J3739" s="433" t="s">
        <v>174</v>
      </c>
      <c r="K3739" s="302"/>
    </row>
    <row r="3740" spans="1:17" x14ac:dyDescent="0.2">
      <c r="A3740" s="265"/>
      <c r="B3740" s="238"/>
      <c r="C3740" s="238"/>
      <c r="D3740" s="276"/>
      <c r="E3740" s="277"/>
      <c r="F3740" s="277"/>
      <c r="G3740" s="243"/>
      <c r="H3740" s="278"/>
      <c r="I3740" s="243"/>
      <c r="K3740" s="302"/>
    </row>
    <row r="3741" spans="1:17" x14ac:dyDescent="0.2">
      <c r="A3741" s="201"/>
      <c r="B3741" s="271"/>
      <c r="C3741" s="201"/>
      <c r="D3741" s="201"/>
      <c r="E3741" s="201"/>
      <c r="F3741" s="272" t="s">
        <v>220</v>
      </c>
      <c r="G3741" s="244"/>
      <c r="H3741" s="279"/>
      <c r="I3741" s="438">
        <f>SUM(I3740:I3740)</f>
        <v>0</v>
      </c>
      <c r="K3741" s="302"/>
    </row>
    <row r="3742" spans="1:17" x14ac:dyDescent="0.2">
      <c r="A3742" s="201"/>
      <c r="B3742" s="271"/>
      <c r="C3742" s="201"/>
      <c r="D3742" s="201"/>
      <c r="E3742" s="201"/>
      <c r="F3742" s="201"/>
      <c r="G3742" s="201"/>
      <c r="H3742" s="201"/>
      <c r="I3742" s="202"/>
    </row>
    <row r="3743" spans="1:17" x14ac:dyDescent="0.2">
      <c r="A3743" s="280"/>
      <c r="B3743" s="281"/>
      <c r="C3743" s="282"/>
      <c r="D3743" s="282"/>
      <c r="E3743" s="282"/>
      <c r="F3743" s="283" t="s">
        <v>221</v>
      </c>
      <c r="G3743" s="280"/>
      <c r="H3743" s="254"/>
      <c r="I3743" s="634">
        <f>+I3729+I3733+I3737+I3741</f>
        <v>7.16</v>
      </c>
    </row>
    <row r="3744" spans="1:17" ht="21" customHeight="1" x14ac:dyDescent="0.2">
      <c r="A3744" s="260"/>
      <c r="B3744" s="284"/>
      <c r="C3744" s="273"/>
      <c r="D3744" s="273"/>
      <c r="E3744" s="273"/>
      <c r="F3744" s="285" t="str">
        <f>CONCATENATE($H$3," ",$I$3)</f>
        <v>BDI: 23,32</v>
      </c>
      <c r="G3744" s="439"/>
      <c r="H3744" s="258"/>
      <c r="I3744" s="635">
        <f>+ROUND(I3743*$I$4,2)</f>
        <v>1.67</v>
      </c>
    </row>
    <row r="3745" spans="1:13" x14ac:dyDescent="0.2">
      <c r="A3745" s="244"/>
      <c r="B3745" s="286"/>
      <c r="C3745" s="279"/>
      <c r="D3745" s="279"/>
      <c r="E3745" s="279"/>
      <c r="F3745" s="287" t="s">
        <v>222</v>
      </c>
      <c r="G3745" s="440"/>
      <c r="H3745" s="245"/>
      <c r="I3745" s="1017">
        <f>+I3743+I3744</f>
        <v>8.83</v>
      </c>
    </row>
    <row r="3746" spans="1:13" x14ac:dyDescent="0.2">
      <c r="A3746" s="1277" t="str">
        <f>$A$1</f>
        <v>COMPOSIÇÃO DE CUSTOS UNITÁRIOS</v>
      </c>
      <c r="B3746" s="1277"/>
      <c r="C3746" s="1277"/>
      <c r="D3746" s="1277"/>
      <c r="E3746" s="1277"/>
      <c r="F3746" s="1277"/>
      <c r="G3746" s="1277"/>
      <c r="H3746" s="1277"/>
      <c r="I3746" s="1277"/>
    </row>
    <row r="3747" spans="1:13" x14ac:dyDescent="0.2">
      <c r="A3747" s="232" t="str">
        <f>$A$2</f>
        <v>Tabela Referencial de Preços - DER-ES</v>
      </c>
      <c r="B3747" s="233"/>
      <c r="C3747" s="199"/>
      <c r="D3747" s="199"/>
      <c r="E3747" s="199"/>
      <c r="F3747" s="199"/>
      <c r="G3747" s="199"/>
      <c r="H3747" s="199"/>
      <c r="I3747" s="234" t="str">
        <f>$I$2</f>
        <v>Data Base: Outubro/2018</v>
      </c>
    </row>
    <row r="3748" spans="1:13" x14ac:dyDescent="0.2">
      <c r="A3748" s="1278" t="str">
        <f>+CONCATENATE("Serviço: ",J3748," ",VLOOKUP(J3748,'DER 10-18'!$A:$D,2,FALSE))</f>
        <v>Serviço: 43335 Espalhamento / regularização / compactação de material em bota-fora</v>
      </c>
      <c r="B3748" s="1278"/>
      <c r="C3748" s="1278"/>
      <c r="D3748" s="1278"/>
      <c r="E3748" s="1278"/>
      <c r="F3748" s="1278"/>
      <c r="G3748" s="1278"/>
      <c r="H3748" s="1278"/>
      <c r="I3748" s="1278" t="str">
        <f>CONCATENATE("Unidade: ", VLOOKUP(J3748,'DER 10-18'!$A:$E,3,FALSE))</f>
        <v>Unidade: M3</v>
      </c>
      <c r="J3748" s="433">
        <v>43335</v>
      </c>
      <c r="K3748" s="433">
        <f>VLOOKUP("Preço Unitário Total",F3749:I6876,4,FALSE)</f>
        <v>2.5499999999999998</v>
      </c>
      <c r="L3748" s="302">
        <f>VLOOKUP(J3748,'DER 10-18'!A:E,5,FALSE)</f>
        <v>0</v>
      </c>
      <c r="M3748" s="198" t="str">
        <f>VLOOKUP(J3748,'DER 10-18'!$A:$D,2,FALSE)</f>
        <v>Espalhamento / regularização / compactação de material em bota-fora</v>
      </c>
    </row>
    <row r="3749" spans="1:13" x14ac:dyDescent="0.2">
      <c r="A3749" s="1279"/>
      <c r="B3749" s="1279"/>
      <c r="C3749" s="1279"/>
      <c r="D3749" s="1279"/>
      <c r="E3749" s="1279"/>
      <c r="F3749" s="1279"/>
      <c r="G3749" s="1279"/>
      <c r="H3749" s="1279"/>
      <c r="I3749" s="1279"/>
    </row>
    <row r="3750" spans="1:13" ht="22.5" x14ac:dyDescent="0.2">
      <c r="A3750" s="235" t="s">
        <v>192</v>
      </c>
      <c r="B3750" s="236" t="s">
        <v>60</v>
      </c>
      <c r="C3750" s="236" t="s">
        <v>193</v>
      </c>
      <c r="D3750" s="236" t="s">
        <v>194</v>
      </c>
      <c r="E3750" s="236" t="s">
        <v>195</v>
      </c>
      <c r="F3750" s="236" t="s">
        <v>196</v>
      </c>
      <c r="G3750" s="236" t="s">
        <v>197</v>
      </c>
      <c r="H3750" s="236" t="s">
        <v>91</v>
      </c>
      <c r="I3750" s="236" t="s">
        <v>198</v>
      </c>
    </row>
    <row r="3751" spans="1:13" ht="22.5" x14ac:dyDescent="0.2">
      <c r="A3751" s="237" t="str">
        <f>VLOOKUP(B3751,equip.!$A:$G,2,FALSE)</f>
        <v>Rolo AP vib. patas 128 mm CA-15P (DYNAPAC) ou equivalente</v>
      </c>
      <c r="B3751" s="238">
        <v>30039</v>
      </c>
      <c r="C3751" s="239" t="str">
        <f>VLOOKUP(B3751,equip.!$A$1:$G$239,3,FALSE)</f>
        <v>M</v>
      </c>
      <c r="D3751" s="240">
        <v>0.5</v>
      </c>
      <c r="E3751" s="205">
        <v>0.5</v>
      </c>
      <c r="F3751" s="241">
        <f>VLOOKUP(B3751,equip.!$A:$G,6,FALSE)</f>
        <v>123.44</v>
      </c>
      <c r="G3751" s="241">
        <f>VLOOKUP(B3751,equip.!$A:$G,7,FALSE)</f>
        <v>49.83</v>
      </c>
      <c r="H3751" s="242">
        <v>1</v>
      </c>
      <c r="I3751" s="243">
        <f>TRUNC(D3751*F3751*H3751+E3751*G3751*H3751,2)</f>
        <v>86.63</v>
      </c>
    </row>
    <row r="3752" spans="1:13" ht="22.5" x14ac:dyDescent="0.2">
      <c r="A3752" s="237" t="str">
        <f>VLOOKUP(B3752,equip.!$A:$G,2,FALSE)</f>
        <v>Trator de esteiras ref. Caterpillar cm lâmina modelo D6N ou equivalente</v>
      </c>
      <c r="B3752" s="238">
        <v>30016</v>
      </c>
      <c r="C3752" s="239" t="str">
        <f>VLOOKUP(B3752,equip.!$A$1:$G$239,3,FALSE)</f>
        <v>M</v>
      </c>
      <c r="D3752" s="240">
        <v>0.8</v>
      </c>
      <c r="E3752" s="205">
        <v>0.2</v>
      </c>
      <c r="F3752" s="241">
        <f>VLOOKUP(B3752,equip.!$A:$G,6,FALSE)</f>
        <v>317.38</v>
      </c>
      <c r="G3752" s="241">
        <f>VLOOKUP(B3752,equip.!$A:$G,7,FALSE)</f>
        <v>115.44</v>
      </c>
      <c r="H3752" s="242">
        <v>1</v>
      </c>
      <c r="I3752" s="243">
        <f>TRUNC(D3752*F3752*H3752+E3752*G3752*H3752,2)</f>
        <v>276.99</v>
      </c>
    </row>
    <row r="3753" spans="1:13" x14ac:dyDescent="0.2">
      <c r="A3753" s="199"/>
      <c r="B3753" s="233"/>
      <c r="C3753" s="233"/>
      <c r="D3753" s="199"/>
      <c r="E3753" s="199"/>
      <c r="F3753" s="234" t="s">
        <v>199</v>
      </c>
      <c r="G3753" s="244"/>
      <c r="H3753" s="245"/>
      <c r="I3753" s="434">
        <f>SUM(I3751:I3752)</f>
        <v>363.62</v>
      </c>
    </row>
    <row r="3754" spans="1:13" x14ac:dyDescent="0.2">
      <c r="A3754" s="199"/>
      <c r="B3754" s="233"/>
      <c r="C3754" s="233"/>
      <c r="D3754" s="199"/>
      <c r="E3754" s="199"/>
      <c r="F3754" s="199"/>
      <c r="G3754" s="199"/>
      <c r="H3754" s="199"/>
      <c r="I3754" s="200"/>
    </row>
    <row r="3755" spans="1:13" x14ac:dyDescent="0.2">
      <c r="A3755" s="246" t="s">
        <v>200</v>
      </c>
      <c r="B3755" s="247" t="s">
        <v>60</v>
      </c>
      <c r="C3755" s="236" t="s">
        <v>1242</v>
      </c>
      <c r="D3755" s="247" t="s">
        <v>202</v>
      </c>
      <c r="E3755" s="1271" t="s">
        <v>91</v>
      </c>
      <c r="F3755" s="1272"/>
      <c r="G3755" s="1273"/>
      <c r="H3755" s="1276" t="s">
        <v>198</v>
      </c>
      <c r="I3755" s="1275"/>
    </row>
    <row r="3756" spans="1:13" x14ac:dyDescent="0.2">
      <c r="A3756" s="248" t="str">
        <f>VLOOKUP(B3756,m.o.!$A:$H,2,FALSE)</f>
        <v>Encarregado de terraplenagem</v>
      </c>
      <c r="B3756" s="238">
        <v>20067</v>
      </c>
      <c r="C3756" s="243">
        <f>VLOOKUP(B3756,m.o.!$A:$F,4,FALSE)</f>
        <v>2.35</v>
      </c>
      <c r="D3756" s="243">
        <f>VLOOKUP(B3756,m.o.!$A:$G,7,FALSE)</f>
        <v>27.35</v>
      </c>
      <c r="E3756" s="260"/>
      <c r="F3756" s="258"/>
      <c r="G3756" s="300">
        <v>1</v>
      </c>
      <c r="H3756" s="244"/>
      <c r="I3756" s="249">
        <f>TRUNC(D3756*G3756,2)</f>
        <v>27.35</v>
      </c>
    </row>
    <row r="3757" spans="1:13" x14ac:dyDescent="0.2">
      <c r="A3757" s="248" t="str">
        <f>VLOOKUP(B3757,m.o.!$A:$H,2,FALSE)</f>
        <v>Servente</v>
      </c>
      <c r="B3757" s="238">
        <v>20002</v>
      </c>
      <c r="C3757" s="243">
        <f>VLOOKUP(B3757,m.o.!$A:$F,4,FALSE)</f>
        <v>1</v>
      </c>
      <c r="D3757" s="243">
        <f>VLOOKUP(B3757,m.o.!$A:$G,7,FALSE)</f>
        <v>11.64</v>
      </c>
      <c r="E3757" s="260"/>
      <c r="F3757" s="258"/>
      <c r="G3757" s="300">
        <v>2</v>
      </c>
      <c r="H3757" s="244"/>
      <c r="I3757" s="249">
        <f>TRUNC(D3757*G3757,2)</f>
        <v>23.28</v>
      </c>
    </row>
    <row r="3758" spans="1:13" x14ac:dyDescent="0.2">
      <c r="A3758" s="199"/>
      <c r="B3758" s="233"/>
      <c r="C3758" s="233"/>
      <c r="D3758" s="199"/>
      <c r="E3758" s="199"/>
      <c r="F3758" s="234" t="s">
        <v>203</v>
      </c>
      <c r="G3758" s="244"/>
      <c r="H3758" s="245"/>
      <c r="I3758" s="434">
        <f>SUM(I3756:I3757)</f>
        <v>50.63</v>
      </c>
    </row>
    <row r="3759" spans="1:13" x14ac:dyDescent="0.2">
      <c r="A3759" s="199"/>
      <c r="B3759" s="233"/>
      <c r="C3759" s="233"/>
      <c r="D3759" s="199"/>
      <c r="E3759" s="199"/>
      <c r="F3759" s="199"/>
      <c r="G3759" s="199"/>
      <c r="H3759" s="199"/>
      <c r="I3759" s="200"/>
    </row>
    <row r="3760" spans="1:13" ht="27.75" customHeight="1" x14ac:dyDescent="0.2">
      <c r="A3760" s="250" t="s">
        <v>204</v>
      </c>
      <c r="B3760" s="247" t="s">
        <v>60</v>
      </c>
      <c r="C3760" s="866" t="s">
        <v>17</v>
      </c>
      <c r="D3760" s="247" t="s">
        <v>205</v>
      </c>
      <c r="E3760" s="247" t="s">
        <v>206</v>
      </c>
      <c r="F3760" s="247" t="s">
        <v>207</v>
      </c>
      <c r="G3760" s="1276" t="s">
        <v>96</v>
      </c>
      <c r="H3760" s="1274"/>
      <c r="I3760" s="1275"/>
    </row>
    <row r="3761" spans="1:11" x14ac:dyDescent="0.2">
      <c r="A3761" s="248"/>
      <c r="B3761" s="238"/>
      <c r="C3761" s="243"/>
      <c r="D3761" s="239"/>
      <c r="E3761" s="251"/>
      <c r="F3761" s="251"/>
      <c r="G3761" s="244"/>
      <c r="H3761" s="245"/>
      <c r="I3761" s="249">
        <f>TRUNC(C3761/100*I3758,2)</f>
        <v>0</v>
      </c>
      <c r="J3761" s="302"/>
      <c r="K3761" s="302"/>
    </row>
    <row r="3762" spans="1:11" x14ac:dyDescent="0.2">
      <c r="A3762" s="199"/>
      <c r="B3762" s="233"/>
      <c r="C3762" s="199"/>
      <c r="D3762" s="199"/>
      <c r="E3762" s="199"/>
      <c r="F3762" s="234" t="s">
        <v>1170</v>
      </c>
      <c r="G3762" s="244"/>
      <c r="H3762" s="245"/>
      <c r="I3762" s="434">
        <f>SUM(I3761)</f>
        <v>0</v>
      </c>
      <c r="J3762" s="302"/>
      <c r="K3762" s="302"/>
    </row>
    <row r="3763" spans="1:11" x14ac:dyDescent="0.2">
      <c r="A3763" s="199"/>
      <c r="B3763" s="233"/>
      <c r="C3763" s="199"/>
      <c r="D3763" s="199"/>
      <c r="E3763" s="199"/>
      <c r="F3763" s="199"/>
      <c r="G3763" s="199"/>
      <c r="H3763" s="199"/>
      <c r="I3763" s="200"/>
      <c r="J3763" s="302"/>
      <c r="K3763" s="302"/>
    </row>
    <row r="3764" spans="1:11" x14ac:dyDescent="0.2">
      <c r="A3764" s="252"/>
      <c r="B3764" s="253"/>
      <c r="C3764" s="254"/>
      <c r="D3764" s="254"/>
      <c r="E3764" s="254"/>
      <c r="F3764" s="255" t="s">
        <v>208</v>
      </c>
      <c r="G3764" s="435"/>
      <c r="H3764" s="254"/>
      <c r="I3764" s="634">
        <f>+I3753+I3758+I3762</f>
        <v>414.25</v>
      </c>
      <c r="J3764" s="302"/>
      <c r="K3764" s="302"/>
    </row>
    <row r="3765" spans="1:11" x14ac:dyDescent="0.2">
      <c r="A3765" s="256"/>
      <c r="B3765" s="257"/>
      <c r="C3765" s="258"/>
      <c r="D3765" s="258"/>
      <c r="E3765" s="258"/>
      <c r="F3765" s="259" t="s">
        <v>209</v>
      </c>
      <c r="G3765" s="260"/>
      <c r="H3765" s="258"/>
      <c r="I3765" s="635">
        <v>200</v>
      </c>
      <c r="J3765" s="302"/>
      <c r="K3765" s="302"/>
    </row>
    <row r="3766" spans="1:11" x14ac:dyDescent="0.2">
      <c r="A3766" s="237"/>
      <c r="B3766" s="261"/>
      <c r="C3766" s="245"/>
      <c r="D3766" s="245"/>
      <c r="E3766" s="245"/>
      <c r="F3766" s="262" t="s">
        <v>232</v>
      </c>
      <c r="G3766" s="244"/>
      <c r="H3766" s="245"/>
      <c r="I3766" s="633">
        <f>TRUNC(I3764/I3765,2)</f>
        <v>2.0699999999999998</v>
      </c>
      <c r="J3766" s="302"/>
      <c r="K3766" s="302"/>
    </row>
    <row r="3767" spans="1:11" x14ac:dyDescent="0.2">
      <c r="A3767" s="867"/>
      <c r="B3767" s="233"/>
      <c r="C3767" s="199"/>
      <c r="D3767" s="199"/>
      <c r="E3767" s="199"/>
      <c r="F3767" s="263"/>
      <c r="G3767" s="199"/>
      <c r="H3767" s="199"/>
      <c r="I3767" s="264"/>
      <c r="J3767" s="302"/>
      <c r="K3767" s="302"/>
    </row>
    <row r="3768" spans="1:11" x14ac:dyDescent="0.2">
      <c r="A3768" s="246" t="s">
        <v>210</v>
      </c>
      <c r="B3768" s="247" t="s">
        <v>60</v>
      </c>
      <c r="C3768" s="247" t="s">
        <v>211</v>
      </c>
      <c r="D3768" s="247" t="s">
        <v>233</v>
      </c>
      <c r="E3768" s="1276" t="s">
        <v>91</v>
      </c>
      <c r="F3768" s="1274"/>
      <c r="G3768" s="1275"/>
      <c r="H3768" s="1276" t="s">
        <v>198</v>
      </c>
      <c r="I3768" s="1275"/>
      <c r="J3768" s="302"/>
      <c r="K3768" s="302"/>
    </row>
    <row r="3769" spans="1:11" x14ac:dyDescent="0.2">
      <c r="A3769" s="265"/>
      <c r="B3769" s="238"/>
      <c r="C3769" s="266"/>
      <c r="D3769" s="267"/>
      <c r="E3769" s="260"/>
      <c r="F3769" s="258"/>
      <c r="G3769" s="300"/>
      <c r="H3769" s="260"/>
      <c r="I3769" s="268">
        <f>TRUNC(D3769*G3769,2)</f>
        <v>0</v>
      </c>
      <c r="J3769" s="302"/>
      <c r="K3769" s="302"/>
    </row>
    <row r="3770" spans="1:11" x14ac:dyDescent="0.2">
      <c r="A3770" s="199"/>
      <c r="B3770" s="233"/>
      <c r="C3770" s="199"/>
      <c r="D3770" s="199"/>
      <c r="E3770" s="199"/>
      <c r="F3770" s="234" t="s">
        <v>212</v>
      </c>
      <c r="G3770" s="244"/>
      <c r="H3770" s="245"/>
      <c r="I3770" s="434">
        <f>SUM(I3769:I3769)</f>
        <v>0</v>
      </c>
      <c r="J3770" s="302"/>
      <c r="K3770" s="302"/>
    </row>
    <row r="3771" spans="1:11" x14ac:dyDescent="0.2">
      <c r="A3771" s="199"/>
      <c r="B3771" s="233"/>
      <c r="C3771" s="199"/>
      <c r="D3771" s="199"/>
      <c r="E3771" s="199"/>
      <c r="F3771" s="199"/>
      <c r="G3771" s="269"/>
      <c r="H3771" s="199"/>
      <c r="I3771" s="200"/>
      <c r="J3771" s="302"/>
      <c r="K3771" s="302"/>
    </row>
    <row r="3772" spans="1:11" x14ac:dyDescent="0.2">
      <c r="A3772" s="270" t="s">
        <v>213</v>
      </c>
      <c r="B3772" s="247" t="s">
        <v>60</v>
      </c>
      <c r="C3772" s="247" t="s">
        <v>211</v>
      </c>
      <c r="D3772" s="866" t="s">
        <v>233</v>
      </c>
      <c r="E3772" s="1271" t="s">
        <v>91</v>
      </c>
      <c r="F3772" s="1272"/>
      <c r="G3772" s="1273"/>
      <c r="H3772" s="1274" t="s">
        <v>198</v>
      </c>
      <c r="I3772" s="1275"/>
      <c r="J3772" s="302"/>
      <c r="K3772" s="302"/>
    </row>
    <row r="3773" spans="1:11" x14ac:dyDescent="0.2">
      <c r="A3773" s="248"/>
      <c r="B3773" s="238"/>
      <c r="C3773" s="238"/>
      <c r="D3773" s="243"/>
      <c r="E3773" s="260"/>
      <c r="F3773" s="258"/>
      <c r="G3773" s="300"/>
      <c r="H3773" s="244"/>
      <c r="I3773" s="268">
        <f>TRUNC(D3773*G3773,2)</f>
        <v>0</v>
      </c>
      <c r="J3773" s="302"/>
      <c r="K3773" s="302"/>
    </row>
    <row r="3774" spans="1:11" x14ac:dyDescent="0.2">
      <c r="A3774" s="201"/>
      <c r="B3774" s="271"/>
      <c r="C3774" s="201"/>
      <c r="D3774" s="201"/>
      <c r="E3774" s="201"/>
      <c r="F3774" s="272" t="s">
        <v>214</v>
      </c>
      <c r="G3774" s="260"/>
      <c r="H3774" s="273"/>
      <c r="I3774" s="436">
        <f>SUM(I3773:I3773)</f>
        <v>0</v>
      </c>
      <c r="J3774" s="302"/>
      <c r="K3774" s="302"/>
    </row>
    <row r="3775" spans="1:11" x14ac:dyDescent="0.2">
      <c r="A3775" s="201"/>
      <c r="B3775" s="271"/>
      <c r="C3775" s="201"/>
      <c r="D3775" s="201"/>
      <c r="E3775" s="201"/>
      <c r="F3775" s="201"/>
      <c r="G3775" s="201"/>
      <c r="H3775" s="201"/>
      <c r="I3775" s="201"/>
      <c r="J3775" s="302"/>
      <c r="K3775" s="302"/>
    </row>
    <row r="3776" spans="1:11" x14ac:dyDescent="0.2">
      <c r="A3776" s="274" t="s">
        <v>215</v>
      </c>
      <c r="B3776" s="275" t="s">
        <v>60</v>
      </c>
      <c r="C3776" s="275" t="s">
        <v>211</v>
      </c>
      <c r="D3776" s="275" t="s">
        <v>216</v>
      </c>
      <c r="E3776" s="275" t="s">
        <v>217</v>
      </c>
      <c r="F3776" s="275" t="s">
        <v>218</v>
      </c>
      <c r="G3776" s="275" t="s">
        <v>96</v>
      </c>
      <c r="H3776" s="275" t="s">
        <v>91</v>
      </c>
      <c r="I3776" s="275" t="s">
        <v>219</v>
      </c>
      <c r="J3776" s="302"/>
      <c r="K3776" s="302"/>
    </row>
    <row r="3777" spans="1:17" s="198" customFormat="1" x14ac:dyDescent="0.2">
      <c r="A3777" s="248"/>
      <c r="B3777" s="238"/>
      <c r="C3777" s="238"/>
      <c r="D3777" s="437"/>
      <c r="E3777" s="277"/>
      <c r="F3777" s="277"/>
      <c r="G3777" s="243"/>
      <c r="H3777" s="278"/>
      <c r="I3777" s="243">
        <f>TRUNC(G3777*H3777,2)</f>
        <v>0</v>
      </c>
      <c r="J3777" s="433"/>
      <c r="K3777" s="433"/>
      <c r="L3777" s="302"/>
      <c r="M3777" s="302"/>
      <c r="N3777" s="302"/>
      <c r="O3777" s="302"/>
      <c r="P3777" s="302"/>
      <c r="Q3777" s="302"/>
    </row>
    <row r="3778" spans="1:17" s="198" customFormat="1" x14ac:dyDescent="0.2">
      <c r="A3778" s="201"/>
      <c r="B3778" s="271"/>
      <c r="C3778" s="201"/>
      <c r="D3778" s="201"/>
      <c r="E3778" s="201"/>
      <c r="F3778" s="272" t="s">
        <v>220</v>
      </c>
      <c r="G3778" s="244"/>
      <c r="H3778" s="279"/>
      <c r="I3778" s="438">
        <f>SUM(I3777:I3777)</f>
        <v>0</v>
      </c>
      <c r="J3778" s="433"/>
      <c r="K3778" s="433"/>
      <c r="L3778" s="302"/>
      <c r="M3778" s="302"/>
      <c r="N3778" s="302"/>
      <c r="O3778" s="302"/>
      <c r="P3778" s="302"/>
      <c r="Q3778" s="302"/>
    </row>
    <row r="3779" spans="1:17" s="198" customFormat="1" x14ac:dyDescent="0.2">
      <c r="A3779" s="201"/>
      <c r="B3779" s="271"/>
      <c r="C3779" s="201"/>
      <c r="D3779" s="201"/>
      <c r="E3779" s="201"/>
      <c r="F3779" s="201"/>
      <c r="G3779" s="201"/>
      <c r="H3779" s="201"/>
      <c r="I3779" s="202"/>
      <c r="J3779" s="433"/>
      <c r="K3779" s="433"/>
      <c r="L3779" s="302"/>
      <c r="M3779" s="302"/>
      <c r="N3779" s="302"/>
      <c r="O3779" s="302"/>
      <c r="P3779" s="302"/>
      <c r="Q3779" s="302"/>
    </row>
    <row r="3780" spans="1:17" x14ac:dyDescent="0.2">
      <c r="A3780" s="280"/>
      <c r="B3780" s="281"/>
      <c r="C3780" s="282"/>
      <c r="D3780" s="282"/>
      <c r="E3780" s="282"/>
      <c r="F3780" s="283" t="s">
        <v>221</v>
      </c>
      <c r="G3780" s="280"/>
      <c r="H3780" s="254"/>
      <c r="I3780" s="634">
        <f>+I3766+I3770+I3774+I3778</f>
        <v>2.0699999999999998</v>
      </c>
    </row>
    <row r="3781" spans="1:17" x14ac:dyDescent="0.2">
      <c r="A3781" s="260"/>
      <c r="B3781" s="284"/>
      <c r="C3781" s="273"/>
      <c r="D3781" s="273"/>
      <c r="E3781" s="273"/>
      <c r="F3781" s="285" t="str">
        <f>CONCATENATE($H$3," ",$I$3)</f>
        <v>BDI: 23,32</v>
      </c>
      <c r="G3781" s="439"/>
      <c r="H3781" s="258"/>
      <c r="I3781" s="635">
        <f>+ROUND(I3780*$I$4,2)</f>
        <v>0.48</v>
      </c>
    </row>
    <row r="3782" spans="1:17" x14ac:dyDescent="0.2">
      <c r="A3782" s="244"/>
      <c r="B3782" s="286"/>
      <c r="C3782" s="279"/>
      <c r="D3782" s="279"/>
      <c r="E3782" s="279"/>
      <c r="F3782" s="287" t="s">
        <v>222</v>
      </c>
      <c r="G3782" s="440"/>
      <c r="H3782" s="245"/>
      <c r="I3782" s="1017">
        <f>+I3780+I3781</f>
        <v>2.5499999999999998</v>
      </c>
    </row>
    <row r="3783" spans="1:17" x14ac:dyDescent="0.2">
      <c r="A3783" s="1277" t="str">
        <f>$A$1</f>
        <v>COMPOSIÇÃO DE CUSTOS UNITÁRIOS</v>
      </c>
      <c r="B3783" s="1277"/>
      <c r="C3783" s="1277"/>
      <c r="D3783" s="1277"/>
      <c r="E3783" s="1277"/>
      <c r="F3783" s="1277"/>
      <c r="G3783" s="1277"/>
      <c r="H3783" s="1277"/>
      <c r="I3783" s="1277"/>
    </row>
    <row r="3784" spans="1:17" ht="21" customHeight="1" x14ac:dyDescent="0.2">
      <c r="A3784" s="232" t="str">
        <f>$A$2</f>
        <v>Tabela Referencial de Preços - DER-ES</v>
      </c>
      <c r="B3784" s="233"/>
      <c r="C3784" s="199"/>
      <c r="D3784" s="199"/>
      <c r="E3784" s="199"/>
      <c r="F3784" s="199"/>
      <c r="G3784" s="199"/>
      <c r="H3784" s="199"/>
      <c r="I3784" s="234" t="str">
        <f>$I$2</f>
        <v>Data Base: Outubro/2018</v>
      </c>
      <c r="J3784" s="433">
        <v>40375</v>
      </c>
      <c r="K3784" s="433">
        <f>VLOOKUP("Preço Unitário Total",F3786:I4164,4,FALSE)</f>
        <v>163.02000000000001</v>
      </c>
      <c r="L3784" s="302">
        <f>VLOOKUP(J3784,'DER 10-18'!A:E,5,FALSE)</f>
        <v>0</v>
      </c>
      <c r="M3784" s="302" t="str">
        <f>VLOOKUP(J3784,'DER 10-18'!$A:$D,2,FALSE)</f>
        <v>Demolição mecânica de concreto</v>
      </c>
    </row>
    <row r="3785" spans="1:17" x14ac:dyDescent="0.2">
      <c r="A3785" s="1278" t="str">
        <f>+CONCATENATE("Serviço: ",J3784," ",VLOOKUP(J3784,'DER 10-18'!$A:$D,2,FALSE))</f>
        <v>Serviço: 40375 Demolição mecânica de concreto</v>
      </c>
      <c r="B3785" s="1278"/>
      <c r="C3785" s="1278"/>
      <c r="D3785" s="1278"/>
      <c r="E3785" s="1278"/>
      <c r="F3785" s="1278"/>
      <c r="G3785" s="1278"/>
      <c r="H3785" s="1278"/>
      <c r="I3785" s="1278" t="str">
        <f>CONCATENATE("Unidade: ", VLOOKUP(J3784,'DER 10-18'!$A:$E,3,FALSE))</f>
        <v>Unidade: M3</v>
      </c>
    </row>
    <row r="3786" spans="1:17" x14ac:dyDescent="0.2">
      <c r="A3786" s="1279"/>
      <c r="B3786" s="1279"/>
      <c r="C3786" s="1279"/>
      <c r="D3786" s="1279"/>
      <c r="E3786" s="1279"/>
      <c r="F3786" s="1279"/>
      <c r="G3786" s="1279"/>
      <c r="H3786" s="1279"/>
      <c r="I3786" s="1279"/>
    </row>
    <row r="3787" spans="1:17" ht="22.5" x14ac:dyDescent="0.2">
      <c r="A3787" s="235" t="s">
        <v>192</v>
      </c>
      <c r="B3787" s="236" t="s">
        <v>60</v>
      </c>
      <c r="C3787" s="236" t="s">
        <v>193</v>
      </c>
      <c r="D3787" s="236" t="s">
        <v>194</v>
      </c>
      <c r="E3787" s="236" t="s">
        <v>195</v>
      </c>
      <c r="F3787" s="236" t="s">
        <v>196</v>
      </c>
      <c r="G3787" s="236" t="s">
        <v>197</v>
      </c>
      <c r="H3787" s="236" t="s">
        <v>91</v>
      </c>
      <c r="I3787" s="236" t="s">
        <v>198</v>
      </c>
      <c r="J3787" s="302"/>
      <c r="K3787" s="302"/>
    </row>
    <row r="3788" spans="1:17" ht="22.5" x14ac:dyDescent="0.2">
      <c r="A3788" s="237" t="str">
        <f>VLOOKUP(B3788,equip.!$A:$G,2,FALSE)</f>
        <v>Compressor de ar XA 187/400 PCM, ATLAS ou equivalente</v>
      </c>
      <c r="B3788" s="238">
        <v>30059</v>
      </c>
      <c r="C3788" s="239">
        <f>VLOOKUP(B3788,equip.!$A$1:$G$239,3,FALSE)</f>
        <v>0</v>
      </c>
      <c r="D3788" s="240">
        <v>1</v>
      </c>
      <c r="E3788" s="205">
        <v>0</v>
      </c>
      <c r="F3788" s="241">
        <f>VLOOKUP(B3788,equip.!$A:$G,6,FALSE)</f>
        <v>108.95</v>
      </c>
      <c r="G3788" s="241">
        <f>VLOOKUP(B3788,equip.!$A:$G,7,FALSE)</f>
        <v>19.77</v>
      </c>
      <c r="H3788" s="242">
        <v>1</v>
      </c>
      <c r="I3788" s="243">
        <f t="shared" ref="I3788:I3789" si="39">TRUNC(D3788*F3788*H3788+E3788*G3788*H3788,2)</f>
        <v>108.95</v>
      </c>
      <c r="J3788" s="302"/>
      <c r="K3788" s="302"/>
    </row>
    <row r="3789" spans="1:17" ht="22.5" x14ac:dyDescent="0.2">
      <c r="A3789" s="237" t="str">
        <f>VLOOKUP(B3789,equip.!$A:$G,2,FALSE)</f>
        <v>Martelete man. e mec. RH 658 110 pcm/24kg (ATLAS) ou equivalente</v>
      </c>
      <c r="B3789" s="238">
        <v>30061</v>
      </c>
      <c r="C3789" s="239">
        <f>VLOOKUP(B3789,equip.!$A$1:$G$239,3,FALSE)</f>
        <v>0</v>
      </c>
      <c r="D3789" s="240">
        <v>1</v>
      </c>
      <c r="E3789" s="205">
        <v>0</v>
      </c>
      <c r="F3789" s="241">
        <f>VLOOKUP(B3789,equip.!$A:$G,6,FALSE)</f>
        <v>17.48</v>
      </c>
      <c r="G3789" s="241">
        <f>VLOOKUP(B3789,equip.!$A:$G,7,FALSE)</f>
        <v>16.28</v>
      </c>
      <c r="H3789" s="242">
        <v>1</v>
      </c>
      <c r="I3789" s="243">
        <f t="shared" si="39"/>
        <v>17.48</v>
      </c>
      <c r="J3789" s="302"/>
      <c r="K3789" s="302"/>
    </row>
    <row r="3790" spans="1:17" x14ac:dyDescent="0.2">
      <c r="A3790" s="199"/>
      <c r="B3790" s="233"/>
      <c r="C3790" s="233"/>
      <c r="D3790" s="199"/>
      <c r="E3790" s="199"/>
      <c r="F3790" s="234" t="s">
        <v>199</v>
      </c>
      <c r="G3790" s="244"/>
      <c r="H3790" s="245"/>
      <c r="I3790" s="434">
        <f>SUM(I3788:I3789)</f>
        <v>126.43</v>
      </c>
      <c r="J3790" s="302"/>
      <c r="K3790" s="302"/>
    </row>
    <row r="3791" spans="1:17" x14ac:dyDescent="0.2">
      <c r="A3791" s="199"/>
      <c r="B3791" s="233"/>
      <c r="C3791" s="233"/>
      <c r="D3791" s="199"/>
      <c r="E3791" s="199"/>
      <c r="F3791" s="199"/>
      <c r="G3791" s="199"/>
      <c r="H3791" s="199"/>
      <c r="I3791" s="200"/>
      <c r="J3791" s="302"/>
      <c r="K3791" s="302"/>
    </row>
    <row r="3792" spans="1:17" x14ac:dyDescent="0.2">
      <c r="A3792" s="246" t="s">
        <v>200</v>
      </c>
      <c r="B3792" s="247" t="s">
        <v>60</v>
      </c>
      <c r="C3792" s="236" t="s">
        <v>1242</v>
      </c>
      <c r="D3792" s="247" t="s">
        <v>202</v>
      </c>
      <c r="E3792" s="1276" t="s">
        <v>91</v>
      </c>
      <c r="F3792" s="1274"/>
      <c r="G3792" s="1275"/>
      <c r="H3792" s="1276" t="s">
        <v>198</v>
      </c>
      <c r="I3792" s="1275"/>
      <c r="J3792" s="302"/>
      <c r="K3792" s="302"/>
    </row>
    <row r="3793" spans="1:11" x14ac:dyDescent="0.2">
      <c r="A3793" s="248" t="str">
        <f>VLOOKUP(B3793,m.o.!$A:$H,2,FALSE)</f>
        <v>Pedreiro de O.A.E.</v>
      </c>
      <c r="B3793" s="238">
        <v>20110</v>
      </c>
      <c r="C3793" s="243">
        <f>VLOOKUP(B3793,m.o.!$A:$F,4,FALSE)</f>
        <v>1.65</v>
      </c>
      <c r="D3793" s="243">
        <f>VLOOKUP(B3793,m.o.!$A:$G,7,FALSE)</f>
        <v>19.2</v>
      </c>
      <c r="E3793" s="260"/>
      <c r="F3793" s="258"/>
      <c r="G3793" s="300">
        <v>0.3</v>
      </c>
      <c r="H3793" s="244"/>
      <c r="I3793" s="249">
        <f t="shared" ref="I3793" si="40">TRUNC(D3793*G3793,2)</f>
        <v>5.76</v>
      </c>
      <c r="J3793" s="302"/>
      <c r="K3793" s="302"/>
    </row>
    <row r="3794" spans="1:11" x14ac:dyDescent="0.2">
      <c r="A3794" s="199"/>
      <c r="B3794" s="233"/>
      <c r="C3794" s="233"/>
      <c r="D3794" s="199"/>
      <c r="E3794" s="199"/>
      <c r="F3794" s="234" t="s">
        <v>203</v>
      </c>
      <c r="G3794" s="244"/>
      <c r="H3794" s="245"/>
      <c r="I3794" s="434">
        <f>SUM(I3793:I3793)</f>
        <v>5.76</v>
      </c>
      <c r="J3794" s="302"/>
      <c r="K3794" s="302"/>
    </row>
    <row r="3795" spans="1:11" x14ac:dyDescent="0.2">
      <c r="A3795" s="199"/>
      <c r="B3795" s="233"/>
      <c r="C3795" s="233"/>
      <c r="D3795" s="199"/>
      <c r="E3795" s="199"/>
      <c r="F3795" s="199"/>
      <c r="G3795" s="199"/>
      <c r="H3795" s="199"/>
      <c r="I3795" s="200"/>
      <c r="J3795" s="302"/>
      <c r="K3795" s="302"/>
    </row>
    <row r="3796" spans="1:11" x14ac:dyDescent="0.2">
      <c r="A3796" s="270" t="s">
        <v>204</v>
      </c>
      <c r="B3796" s="247" t="s">
        <v>60</v>
      </c>
      <c r="C3796" s="866" t="s">
        <v>17</v>
      </c>
      <c r="D3796" s="247" t="s">
        <v>205</v>
      </c>
      <c r="E3796" s="247" t="s">
        <v>206</v>
      </c>
      <c r="F3796" s="247" t="s">
        <v>207</v>
      </c>
      <c r="G3796" s="1276" t="s">
        <v>96</v>
      </c>
      <c r="H3796" s="1274"/>
      <c r="I3796" s="1275"/>
      <c r="J3796" s="302"/>
      <c r="K3796" s="302"/>
    </row>
    <row r="3797" spans="1:11" x14ac:dyDescent="0.2">
      <c r="A3797" s="199"/>
      <c r="B3797" s="233"/>
      <c r="C3797" s="199"/>
      <c r="D3797" s="199"/>
      <c r="E3797" s="199"/>
      <c r="F3797" s="234" t="s">
        <v>1170</v>
      </c>
      <c r="G3797" s="244"/>
      <c r="H3797" s="245"/>
      <c r="I3797" s="434"/>
      <c r="K3797" s="302"/>
    </row>
    <row r="3798" spans="1:11" ht="26.25" customHeight="1" x14ac:dyDescent="0.2">
      <c r="A3798" s="199"/>
      <c r="B3798" s="233"/>
      <c r="C3798" s="199"/>
      <c r="D3798" s="199"/>
      <c r="E3798" s="199"/>
      <c r="F3798" s="199"/>
      <c r="G3798" s="199"/>
      <c r="H3798" s="199"/>
      <c r="I3798" s="200"/>
      <c r="K3798" s="302"/>
    </row>
    <row r="3799" spans="1:11" x14ac:dyDescent="0.2">
      <c r="A3799" s="252"/>
      <c r="B3799" s="253"/>
      <c r="C3799" s="254"/>
      <c r="D3799" s="254"/>
      <c r="E3799" s="254"/>
      <c r="F3799" s="255" t="s">
        <v>208</v>
      </c>
      <c r="G3799" s="435"/>
      <c r="H3799" s="254"/>
      <c r="I3799" s="634">
        <f>+I3790+I3794+I3797</f>
        <v>132.19</v>
      </c>
      <c r="K3799" s="302"/>
    </row>
    <row r="3800" spans="1:11" x14ac:dyDescent="0.2">
      <c r="A3800" s="256"/>
      <c r="B3800" s="257"/>
      <c r="C3800" s="258"/>
      <c r="D3800" s="258"/>
      <c r="E3800" s="258"/>
      <c r="F3800" s="259" t="s">
        <v>209</v>
      </c>
      <c r="G3800" s="260"/>
      <c r="H3800" s="258"/>
      <c r="I3800" s="635">
        <v>1</v>
      </c>
      <c r="K3800" s="302"/>
    </row>
    <row r="3801" spans="1:11" x14ac:dyDescent="0.2">
      <c r="A3801" s="237"/>
      <c r="B3801" s="261"/>
      <c r="C3801" s="245"/>
      <c r="D3801" s="245"/>
      <c r="E3801" s="245"/>
      <c r="F3801" s="262" t="s">
        <v>232</v>
      </c>
      <c r="G3801" s="244"/>
      <c r="H3801" s="245"/>
      <c r="I3801" s="633">
        <f>TRUNC(I3799/I3800,2)</f>
        <v>132.19</v>
      </c>
      <c r="K3801" s="302"/>
    </row>
    <row r="3802" spans="1:11" x14ac:dyDescent="0.2">
      <c r="A3802" s="867"/>
      <c r="B3802" s="233"/>
      <c r="C3802" s="199"/>
      <c r="D3802" s="199"/>
      <c r="E3802" s="199"/>
      <c r="F3802" s="263"/>
      <c r="G3802" s="199"/>
      <c r="H3802" s="199"/>
      <c r="I3802" s="264"/>
      <c r="K3802" s="302"/>
    </row>
    <row r="3803" spans="1:11" x14ac:dyDescent="0.2">
      <c r="A3803" s="246" t="s">
        <v>210</v>
      </c>
      <c r="B3803" s="247" t="s">
        <v>60</v>
      </c>
      <c r="C3803" s="247" t="s">
        <v>211</v>
      </c>
      <c r="D3803" s="247" t="s">
        <v>233</v>
      </c>
      <c r="E3803" s="1276" t="s">
        <v>91</v>
      </c>
      <c r="F3803" s="1274"/>
      <c r="G3803" s="1275"/>
      <c r="H3803" s="1276" t="s">
        <v>198</v>
      </c>
      <c r="I3803" s="1275"/>
      <c r="K3803" s="302"/>
    </row>
    <row r="3804" spans="1:11" x14ac:dyDescent="0.2">
      <c r="A3804" s="199"/>
      <c r="B3804" s="233"/>
      <c r="C3804" s="199"/>
      <c r="D3804" s="199"/>
      <c r="E3804" s="199"/>
      <c r="F3804" s="234" t="s">
        <v>212</v>
      </c>
      <c r="G3804" s="244"/>
      <c r="H3804" s="245"/>
      <c r="I3804" s="434"/>
      <c r="K3804" s="302"/>
    </row>
    <row r="3805" spans="1:11" x14ac:dyDescent="0.2">
      <c r="A3805" s="199"/>
      <c r="B3805" s="233"/>
      <c r="C3805" s="199"/>
      <c r="D3805" s="199"/>
      <c r="E3805" s="199"/>
      <c r="F3805" s="199"/>
      <c r="G3805" s="269"/>
      <c r="H3805" s="199"/>
      <c r="I3805" s="200"/>
      <c r="K3805" s="302"/>
    </row>
    <row r="3806" spans="1:11" x14ac:dyDescent="0.2">
      <c r="A3806" s="270" t="s">
        <v>213</v>
      </c>
      <c r="B3806" s="247" t="s">
        <v>60</v>
      </c>
      <c r="C3806" s="247" t="s">
        <v>211</v>
      </c>
      <c r="D3806" s="866" t="s">
        <v>233</v>
      </c>
      <c r="E3806" s="1276" t="s">
        <v>91</v>
      </c>
      <c r="F3806" s="1274"/>
      <c r="G3806" s="1275"/>
      <c r="H3806" s="1276" t="s">
        <v>198</v>
      </c>
      <c r="I3806" s="1275"/>
      <c r="K3806" s="302"/>
    </row>
    <row r="3807" spans="1:11" x14ac:dyDescent="0.2">
      <c r="A3807" s="248"/>
      <c r="B3807" s="238"/>
      <c r="C3807" s="238"/>
      <c r="D3807" s="243"/>
      <c r="E3807" s="260"/>
      <c r="F3807" s="258"/>
      <c r="G3807" s="300"/>
      <c r="H3807" s="244"/>
      <c r="I3807" s="268">
        <f>TRUNC(D3807*G3807,2)</f>
        <v>0</v>
      </c>
      <c r="K3807" s="302"/>
    </row>
    <row r="3808" spans="1:11" x14ac:dyDescent="0.2">
      <c r="A3808" s="201"/>
      <c r="B3808" s="271"/>
      <c r="C3808" s="201"/>
      <c r="D3808" s="201"/>
      <c r="E3808" s="201"/>
      <c r="F3808" s="272" t="s">
        <v>214</v>
      </c>
      <c r="G3808" s="260"/>
      <c r="H3808" s="273"/>
      <c r="I3808" s="436">
        <f>SUM(I3805:I3807)</f>
        <v>0</v>
      </c>
      <c r="K3808" s="302"/>
    </row>
    <row r="3809" spans="1:13" x14ac:dyDescent="0.2">
      <c r="A3809" s="201"/>
      <c r="B3809" s="271"/>
      <c r="C3809" s="201"/>
      <c r="D3809" s="201"/>
      <c r="E3809" s="201"/>
      <c r="F3809" s="201"/>
      <c r="G3809" s="201"/>
      <c r="H3809" s="201"/>
      <c r="I3809" s="201"/>
      <c r="K3809" s="302"/>
    </row>
    <row r="3810" spans="1:13" x14ac:dyDescent="0.2">
      <c r="A3810" s="442" t="s">
        <v>215</v>
      </c>
      <c r="B3810" s="275" t="s">
        <v>60</v>
      </c>
      <c r="C3810" s="275" t="s">
        <v>211</v>
      </c>
      <c r="D3810" s="275" t="s">
        <v>216</v>
      </c>
      <c r="E3810" s="275" t="s">
        <v>217</v>
      </c>
      <c r="F3810" s="275" t="s">
        <v>218</v>
      </c>
      <c r="G3810" s="275" t="s">
        <v>96</v>
      </c>
      <c r="H3810" s="275" t="s">
        <v>91</v>
      </c>
      <c r="I3810" s="275" t="s">
        <v>219</v>
      </c>
      <c r="K3810" s="302"/>
    </row>
    <row r="3811" spans="1:13" x14ac:dyDescent="0.2">
      <c r="A3811" s="248"/>
      <c r="B3811" s="238"/>
      <c r="C3811" s="238"/>
      <c r="D3811" s="276"/>
      <c r="E3811" s="277"/>
      <c r="F3811" s="277"/>
      <c r="G3811" s="243"/>
      <c r="H3811" s="278"/>
      <c r="I3811" s="243">
        <f>TRUNC(G3811*H3811,2)</f>
        <v>0</v>
      </c>
      <c r="K3811" s="302"/>
    </row>
    <row r="3812" spans="1:13" x14ac:dyDescent="0.2">
      <c r="A3812" s="201"/>
      <c r="B3812" s="271"/>
      <c r="C3812" s="201"/>
      <c r="D3812" s="201"/>
      <c r="E3812" s="201"/>
      <c r="F3812" s="272" t="s">
        <v>220</v>
      </c>
      <c r="G3812" s="244"/>
      <c r="H3812" s="279"/>
      <c r="I3812" s="438">
        <f>SUM(I3811:I3811)</f>
        <v>0</v>
      </c>
    </row>
    <row r="3813" spans="1:13" x14ac:dyDescent="0.2">
      <c r="A3813" s="201"/>
      <c r="B3813" s="271"/>
      <c r="C3813" s="201"/>
      <c r="D3813" s="201"/>
      <c r="E3813" s="201"/>
      <c r="F3813" s="201"/>
      <c r="G3813" s="201"/>
      <c r="H3813" s="201"/>
      <c r="I3813" s="202"/>
    </row>
    <row r="3814" spans="1:13" x14ac:dyDescent="0.2">
      <c r="A3814" s="280"/>
      <c r="B3814" s="281"/>
      <c r="C3814" s="282"/>
      <c r="D3814" s="282"/>
      <c r="E3814" s="282"/>
      <c r="F3814" s="283" t="s">
        <v>221</v>
      </c>
      <c r="G3814" s="280"/>
      <c r="H3814" s="254"/>
      <c r="I3814" s="634">
        <f>+I3801+I3804+I3808+I3812</f>
        <v>132.19</v>
      </c>
    </row>
    <row r="3815" spans="1:13" x14ac:dyDescent="0.2">
      <c r="A3815" s="260"/>
      <c r="B3815" s="284"/>
      <c r="C3815" s="273"/>
      <c r="D3815" s="273"/>
      <c r="E3815" s="273"/>
      <c r="F3815" s="285" t="str">
        <f>CONCATENATE($H$3," ",$I$3)</f>
        <v>BDI: 23,32</v>
      </c>
      <c r="G3815" s="439"/>
      <c r="H3815" s="258"/>
      <c r="I3815" s="635">
        <f>+ROUND(I3814*$I$4,2)</f>
        <v>30.83</v>
      </c>
    </row>
    <row r="3816" spans="1:13" x14ac:dyDescent="0.2">
      <c r="A3816" s="244"/>
      <c r="B3816" s="286"/>
      <c r="C3816" s="279"/>
      <c r="D3816" s="279"/>
      <c r="E3816" s="279"/>
      <c r="F3816" s="287" t="s">
        <v>222</v>
      </c>
      <c r="G3816" s="440"/>
      <c r="H3816" s="245"/>
      <c r="I3816" s="1017">
        <f>+I3814+I3815</f>
        <v>163.02000000000001</v>
      </c>
    </row>
    <row r="3817" spans="1:13" x14ac:dyDescent="0.2">
      <c r="A3817" s="1277" t="str">
        <f>$A$1</f>
        <v>COMPOSIÇÃO DE CUSTOS UNITÁRIOS</v>
      </c>
      <c r="B3817" s="1277"/>
      <c r="C3817" s="1277"/>
      <c r="D3817" s="1277"/>
      <c r="E3817" s="1277"/>
      <c r="F3817" s="1277"/>
      <c r="G3817" s="1277"/>
      <c r="H3817" s="1277"/>
      <c r="I3817" s="1277"/>
    </row>
    <row r="3818" spans="1:13" x14ac:dyDescent="0.2">
      <c r="A3818" s="232" t="str">
        <f>$A$2</f>
        <v>Tabela Referencial de Preços - DER-ES</v>
      </c>
      <c r="B3818" s="233"/>
      <c r="C3818" s="199"/>
      <c r="D3818" s="199"/>
      <c r="E3818" s="199"/>
      <c r="F3818" s="199"/>
      <c r="G3818" s="199"/>
      <c r="H3818" s="199"/>
      <c r="I3818" s="234" t="str">
        <f>$I$2</f>
        <v>Data Base: Outubro/2018</v>
      </c>
      <c r="J3818" s="433">
        <v>41340</v>
      </c>
      <c r="K3818" s="433">
        <f>VLOOKUP("Preço Unitário Total",F3820:I4210,4,FALSE)</f>
        <v>593.91999999999996</v>
      </c>
      <c r="L3818" s="302">
        <f>VLOOKUP(J3818,'DER 10-18'!A:E,5,FALSE)</f>
        <v>0</v>
      </c>
      <c r="M3818" s="302" t="str">
        <f>VLOOKUP(J3818,'DER 10-18'!$A:$D,2,FALSE)</f>
        <v>Encamisamento metálico de estacas, diâmetro 380mm em chapa de 6.3mm, preenchido c/ concreto auto adensável (20MPa)</v>
      </c>
    </row>
    <row r="3819" spans="1:13" x14ac:dyDescent="0.2">
      <c r="A3819" s="1278" t="str">
        <f>+CONCATENATE("Serviço: ",J3818," ",VLOOKUP(J3818,'DER 10-18'!$A:$D,2,FALSE))</f>
        <v>Serviço: 41340 Encamisamento metálico de estacas, diâmetro 380mm em chapa de 6.3mm, preenchido c/ concreto auto adensável (20MPa)</v>
      </c>
      <c r="B3819" s="1278"/>
      <c r="C3819" s="1278"/>
      <c r="D3819" s="1278"/>
      <c r="E3819" s="1278"/>
      <c r="F3819" s="1278"/>
      <c r="G3819" s="1278"/>
      <c r="H3819" s="1278"/>
      <c r="I3819" s="1278" t="str">
        <f>CONCATENATE("Unidade: ", VLOOKUP(J3818,'DER 10-18'!$A:$E,3,FALSE))</f>
        <v>Unidade: M</v>
      </c>
    </row>
    <row r="3820" spans="1:13" x14ac:dyDescent="0.2">
      <c r="A3820" s="1279"/>
      <c r="B3820" s="1279"/>
      <c r="C3820" s="1279"/>
      <c r="D3820" s="1279"/>
      <c r="E3820" s="1279"/>
      <c r="F3820" s="1279"/>
      <c r="G3820" s="1279"/>
      <c r="H3820" s="1279"/>
      <c r="I3820" s="1279"/>
    </row>
    <row r="3821" spans="1:13" ht="22.5" x14ac:dyDescent="0.2">
      <c r="A3821" s="235" t="s">
        <v>192</v>
      </c>
      <c r="B3821" s="236" t="s">
        <v>60</v>
      </c>
      <c r="C3821" s="236" t="s">
        <v>193</v>
      </c>
      <c r="D3821" s="236" t="s">
        <v>194</v>
      </c>
      <c r="E3821" s="236" t="s">
        <v>195</v>
      </c>
      <c r="F3821" s="236" t="s">
        <v>196</v>
      </c>
      <c r="G3821" s="236" t="s">
        <v>197</v>
      </c>
      <c r="H3821" s="236" t="s">
        <v>91</v>
      </c>
      <c r="I3821" s="236" t="s">
        <v>198</v>
      </c>
      <c r="J3821" s="302"/>
      <c r="K3821" s="302"/>
    </row>
    <row r="3822" spans="1:13" ht="22.5" x14ac:dyDescent="0.2">
      <c r="A3822" s="237" t="str">
        <f>VLOOKUP(B3822,equip.!$A:$G,2,FALSE)</f>
        <v>Betoneira 600 l com carregador (elétrica)</v>
      </c>
      <c r="B3822" s="238">
        <v>30070</v>
      </c>
      <c r="C3822" s="239">
        <f>VLOOKUP(B3822,equip.!$A$1:$G$239,3,FALSE)</f>
        <v>0</v>
      </c>
      <c r="D3822" s="240">
        <v>0.8</v>
      </c>
      <c r="E3822" s="205">
        <v>0.2</v>
      </c>
      <c r="F3822" s="241">
        <f>VLOOKUP(B3822,equip.!$A:$G,6,FALSE)</f>
        <v>24.55</v>
      </c>
      <c r="G3822" s="241">
        <f>VLOOKUP(B3822,equip.!$A:$G,7,FALSE)</f>
        <v>19.8</v>
      </c>
      <c r="H3822" s="242">
        <v>1</v>
      </c>
      <c r="I3822" s="243">
        <f t="shared" ref="I3822:I3826" si="41">TRUNC(D3822*F3822*H3822+E3822*G3822*H3822,2)</f>
        <v>23.6</v>
      </c>
      <c r="J3822" s="302"/>
      <c r="K3822" s="302"/>
    </row>
    <row r="3823" spans="1:13" x14ac:dyDescent="0.2">
      <c r="A3823" s="237" t="str">
        <f>VLOOKUP(B3823,equip.!$A:$G,2,FALSE)</f>
        <v>Bomba d'água 3,0 CV</v>
      </c>
      <c r="B3823" s="238">
        <v>30081</v>
      </c>
      <c r="C3823" s="239">
        <f>VLOOKUP(B3823,equip.!$A$1:$G$239,3,FALSE)</f>
        <v>0</v>
      </c>
      <c r="D3823" s="240">
        <v>0.5</v>
      </c>
      <c r="E3823" s="205">
        <v>0.5</v>
      </c>
      <c r="F3823" s="241">
        <f>VLOOKUP(B3823,equip.!$A:$G,6,FALSE)</f>
        <v>14.59</v>
      </c>
      <c r="G3823" s="241">
        <f>VLOOKUP(B3823,equip.!$A:$G,7,FALSE)</f>
        <v>11.88</v>
      </c>
      <c r="H3823" s="242">
        <v>1</v>
      </c>
      <c r="I3823" s="243">
        <f t="shared" si="41"/>
        <v>13.23</v>
      </c>
      <c r="J3823" s="302"/>
      <c r="K3823" s="302"/>
    </row>
    <row r="3824" spans="1:13" ht="22.5" x14ac:dyDescent="0.2">
      <c r="A3824" s="237" t="str">
        <f>VLOOKUP(B3824,equip.!$A:$G,2,FALSE)</f>
        <v>Calandra para chapas de aço até 25mm - 22KW</v>
      </c>
      <c r="B3824" s="238">
        <v>101461</v>
      </c>
      <c r="C3824" s="239" t="str">
        <f>VLOOKUP(B3824,equip.!$A$1:$G$239,3,FALSE)</f>
        <v>L</v>
      </c>
      <c r="D3824" s="240">
        <v>0.5</v>
      </c>
      <c r="E3824" s="205">
        <v>0.5</v>
      </c>
      <c r="F3824" s="241">
        <f>VLOOKUP(B3824,equip.!$A:$G,6,FALSE)</f>
        <v>84.93</v>
      </c>
      <c r="G3824" s="241">
        <f>VLOOKUP(B3824,equip.!$A:$G,7,FALSE)</f>
        <v>51.12</v>
      </c>
      <c r="H3824" s="242">
        <v>1</v>
      </c>
      <c r="I3824" s="243">
        <f t="shared" ref="I3824" si="42">TRUNC(D3824*F3824*H3824+E3824*G3824*H3824,2)</f>
        <v>68.02</v>
      </c>
      <c r="J3824" s="302"/>
      <c r="K3824" s="302"/>
    </row>
    <row r="3825" spans="1:11" x14ac:dyDescent="0.2">
      <c r="A3825" s="237" t="str">
        <f>VLOOKUP(B3825,equip.!$A:$G,2,FALSE)</f>
        <v>Máquina de solda 425 A, pot=33A</v>
      </c>
      <c r="B3825" s="238">
        <v>30082</v>
      </c>
      <c r="C3825" s="239">
        <f>VLOOKUP(B3825,equip.!$A$1:$G$239,3,FALSE)</f>
        <v>0</v>
      </c>
      <c r="D3825" s="240">
        <v>0.5</v>
      </c>
      <c r="E3825" s="205">
        <v>0.5</v>
      </c>
      <c r="F3825" s="241">
        <f>VLOOKUP(B3825,equip.!$A:$G,6,FALSE)</f>
        <v>44.91</v>
      </c>
      <c r="G3825" s="241">
        <f>VLOOKUP(B3825,equip.!$A:$G,7,FALSE)</f>
        <v>23.17</v>
      </c>
      <c r="H3825" s="242">
        <v>1</v>
      </c>
      <c r="I3825" s="243">
        <f t="shared" si="41"/>
        <v>34.04</v>
      </c>
      <c r="J3825" s="302"/>
      <c r="K3825" s="302"/>
    </row>
    <row r="3826" spans="1:11" ht="33.75" x14ac:dyDescent="0.2">
      <c r="A3826" s="237" t="str">
        <f>VLOOKUP(B3826,equip.!$A:$G,2,FALSE)</f>
        <v>Vibrador de imersao AA67 c/ mangote, marca de referência ATLAS COPCO ou equivalente</v>
      </c>
      <c r="B3826" s="238">
        <v>30071</v>
      </c>
      <c r="C3826" s="239">
        <f>VLOOKUP(B3826,equip.!$A$1:$G$239,3,FALSE)</f>
        <v>0</v>
      </c>
      <c r="D3826" s="240">
        <v>0.8</v>
      </c>
      <c r="E3826" s="205">
        <v>0.2</v>
      </c>
      <c r="F3826" s="241">
        <f>VLOOKUP(B3826,equip.!$A:$G,6,FALSE)</f>
        <v>15.14</v>
      </c>
      <c r="G3826" s="241">
        <f>VLOOKUP(B3826,equip.!$A:$G,7,FALSE)</f>
        <v>12.3</v>
      </c>
      <c r="H3826" s="242">
        <v>1</v>
      </c>
      <c r="I3826" s="243">
        <f t="shared" si="41"/>
        <v>14.57</v>
      </c>
      <c r="J3826" s="302"/>
      <c r="K3826" s="302"/>
    </row>
    <row r="3827" spans="1:11" x14ac:dyDescent="0.2">
      <c r="A3827" s="199"/>
      <c r="B3827" s="233"/>
      <c r="C3827" s="233"/>
      <c r="D3827" s="199"/>
      <c r="E3827" s="199"/>
      <c r="F3827" s="234" t="s">
        <v>199</v>
      </c>
      <c r="G3827" s="244"/>
      <c r="H3827" s="245"/>
      <c r="I3827" s="434">
        <f>SUM(I3822:I3826)</f>
        <v>153.46</v>
      </c>
      <c r="J3827" s="302"/>
      <c r="K3827" s="302"/>
    </row>
    <row r="3828" spans="1:11" x14ac:dyDescent="0.2">
      <c r="A3828" s="199"/>
      <c r="B3828" s="233"/>
      <c r="C3828" s="233"/>
      <c r="D3828" s="199"/>
      <c r="E3828" s="199"/>
      <c r="F3828" s="199"/>
      <c r="G3828" s="199"/>
      <c r="H3828" s="199"/>
      <c r="I3828" s="200"/>
      <c r="J3828" s="302"/>
      <c r="K3828" s="302"/>
    </row>
    <row r="3829" spans="1:11" x14ac:dyDescent="0.2">
      <c r="A3829" s="246" t="s">
        <v>200</v>
      </c>
      <c r="B3829" s="247" t="s">
        <v>60</v>
      </c>
      <c r="C3829" s="236" t="s">
        <v>1242</v>
      </c>
      <c r="D3829" s="247" t="s">
        <v>202</v>
      </c>
      <c r="E3829" s="1276" t="s">
        <v>91</v>
      </c>
      <c r="F3829" s="1274"/>
      <c r="G3829" s="1275"/>
      <c r="H3829" s="1276" t="s">
        <v>198</v>
      </c>
      <c r="I3829" s="1275"/>
      <c r="J3829" s="302"/>
      <c r="K3829" s="302"/>
    </row>
    <row r="3830" spans="1:11" x14ac:dyDescent="0.2">
      <c r="A3830" s="248" t="str">
        <f>VLOOKUP(B3830,m.o.!$A:$H,2,FALSE)</f>
        <v>Carpinteiro de O.A.E.</v>
      </c>
      <c r="B3830" s="238">
        <v>20040</v>
      </c>
      <c r="C3830" s="243">
        <f>VLOOKUP(B3830,m.o.!$A:$F,4,FALSE)</f>
        <v>1.65</v>
      </c>
      <c r="D3830" s="243">
        <f>VLOOKUP(B3830,m.o.!$A:$G,7,FALSE)</f>
        <v>19.2</v>
      </c>
      <c r="E3830" s="260"/>
      <c r="F3830" s="258"/>
      <c r="G3830" s="300">
        <v>1</v>
      </c>
      <c r="H3830" s="244"/>
      <c r="I3830" s="249">
        <f t="shared" ref="I3830:I3831" si="43">TRUNC(D3830*G3830,2)</f>
        <v>19.2</v>
      </c>
      <c r="J3830" s="302"/>
      <c r="K3830" s="302"/>
    </row>
    <row r="3831" spans="1:11" x14ac:dyDescent="0.2">
      <c r="A3831" s="248" t="str">
        <f>VLOOKUP(B3831,m.o.!$A:$H,2,FALSE)</f>
        <v>Encarregado de fundação</v>
      </c>
      <c r="B3831" s="238">
        <v>20059</v>
      </c>
      <c r="C3831" s="243">
        <f>VLOOKUP(B3831,m.o.!$A:$F,4,FALSE)</f>
        <v>2.2599999999999998</v>
      </c>
      <c r="D3831" s="243">
        <f>VLOOKUP(B3831,m.o.!$A:$G,7,FALSE)</f>
        <v>26.3</v>
      </c>
      <c r="E3831" s="260"/>
      <c r="F3831" s="258"/>
      <c r="G3831" s="300">
        <v>1</v>
      </c>
      <c r="H3831" s="244"/>
      <c r="I3831" s="249">
        <f t="shared" si="43"/>
        <v>26.3</v>
      </c>
      <c r="J3831" s="302"/>
      <c r="K3831" s="302"/>
    </row>
    <row r="3832" spans="1:11" x14ac:dyDescent="0.2">
      <c r="A3832" s="248" t="str">
        <f>VLOOKUP(B3832,m.o.!$A:$H,2,FALSE)</f>
        <v>Servente</v>
      </c>
      <c r="B3832" s="238">
        <v>20002</v>
      </c>
      <c r="C3832" s="243">
        <f>VLOOKUP(B3832,m.o.!$A:$F,4,FALSE)</f>
        <v>1</v>
      </c>
      <c r="D3832" s="243">
        <f>VLOOKUP(B3832,m.o.!$A:$G,7,FALSE)</f>
        <v>11.64</v>
      </c>
      <c r="E3832" s="260"/>
      <c r="F3832" s="258"/>
      <c r="G3832" s="300">
        <v>3</v>
      </c>
      <c r="H3832" s="244"/>
      <c r="I3832" s="249">
        <f>TRUNC(D3832*G3832,2)</f>
        <v>34.92</v>
      </c>
      <c r="J3832" s="302"/>
      <c r="K3832" s="302"/>
    </row>
    <row r="3833" spans="1:11" x14ac:dyDescent="0.2">
      <c r="A3833" s="248" t="str">
        <f>VLOOKUP(B3833,m.o.!$A:$H,2,FALSE)</f>
        <v>Soldador</v>
      </c>
      <c r="B3833" s="238">
        <v>20005</v>
      </c>
      <c r="C3833" s="243">
        <f>VLOOKUP(B3833,m.o.!$A:$F,4,FALSE)</f>
        <v>1.96</v>
      </c>
      <c r="D3833" s="243">
        <f>VLOOKUP(B3833,m.o.!$A:$G,7,FALSE)</f>
        <v>22.81</v>
      </c>
      <c r="E3833" s="244"/>
      <c r="F3833" s="245"/>
      <c r="G3833" s="441">
        <v>1</v>
      </c>
      <c r="H3833" s="244"/>
      <c r="I3833" s="249">
        <f>TRUNC(D3833*G3833,2)</f>
        <v>22.81</v>
      </c>
      <c r="J3833" s="302"/>
      <c r="K3833" s="302"/>
    </row>
    <row r="3834" spans="1:11" x14ac:dyDescent="0.2">
      <c r="A3834" s="199"/>
      <c r="B3834" s="233"/>
      <c r="C3834" s="233"/>
      <c r="D3834" s="199"/>
      <c r="E3834" s="199"/>
      <c r="F3834" s="234" t="s">
        <v>203</v>
      </c>
      <c r="G3834" s="244"/>
      <c r="H3834" s="245"/>
      <c r="I3834" s="434">
        <f>SUM(I3830:I3833)</f>
        <v>103.23</v>
      </c>
      <c r="J3834" s="302"/>
      <c r="K3834" s="302"/>
    </row>
    <row r="3835" spans="1:11" x14ac:dyDescent="0.2">
      <c r="A3835" s="199"/>
      <c r="B3835" s="233"/>
      <c r="C3835" s="233"/>
      <c r="D3835" s="199"/>
      <c r="E3835" s="199"/>
      <c r="F3835" s="199"/>
      <c r="G3835" s="199"/>
      <c r="H3835" s="199"/>
      <c r="I3835" s="200"/>
      <c r="J3835" s="302"/>
      <c r="K3835" s="302"/>
    </row>
    <row r="3836" spans="1:11" x14ac:dyDescent="0.2">
      <c r="A3836" s="270" t="s">
        <v>204</v>
      </c>
      <c r="B3836" s="247" t="s">
        <v>60</v>
      </c>
      <c r="C3836" s="866" t="s">
        <v>17</v>
      </c>
      <c r="D3836" s="247" t="s">
        <v>205</v>
      </c>
      <c r="E3836" s="247" t="s">
        <v>206</v>
      </c>
      <c r="F3836" s="247" t="s">
        <v>207</v>
      </c>
      <c r="G3836" s="1276" t="s">
        <v>96</v>
      </c>
      <c r="H3836" s="1274"/>
      <c r="I3836" s="1275"/>
      <c r="J3836" s="302"/>
      <c r="K3836" s="302"/>
    </row>
    <row r="3837" spans="1:11" x14ac:dyDescent="0.2">
      <c r="A3837" s="248" t="s">
        <v>142</v>
      </c>
      <c r="B3837" s="238">
        <v>2000</v>
      </c>
      <c r="C3837" s="243">
        <v>5</v>
      </c>
      <c r="D3837" s="239" t="s">
        <v>223</v>
      </c>
      <c r="E3837" s="251"/>
      <c r="F3837" s="251"/>
      <c r="G3837" s="244"/>
      <c r="H3837" s="245"/>
      <c r="I3837" s="249">
        <f>TRUNC(C3837/100*I3834,2)</f>
        <v>5.16</v>
      </c>
      <c r="J3837" s="302"/>
      <c r="K3837" s="302"/>
    </row>
    <row r="3838" spans="1:11" x14ac:dyDescent="0.2">
      <c r="A3838" s="199"/>
      <c r="B3838" s="233"/>
      <c r="C3838" s="199"/>
      <c r="D3838" s="199"/>
      <c r="E3838" s="199"/>
      <c r="F3838" s="234" t="s">
        <v>1170</v>
      </c>
      <c r="G3838" s="244"/>
      <c r="H3838" s="245"/>
      <c r="I3838" s="434">
        <f>SUM(I3837)</f>
        <v>5.16</v>
      </c>
      <c r="K3838" s="302"/>
    </row>
    <row r="3839" spans="1:11" x14ac:dyDescent="0.2">
      <c r="A3839" s="199"/>
      <c r="B3839" s="233"/>
      <c r="C3839" s="199"/>
      <c r="D3839" s="199"/>
      <c r="E3839" s="199"/>
      <c r="F3839" s="199"/>
      <c r="G3839" s="199"/>
      <c r="H3839" s="199"/>
      <c r="I3839" s="200"/>
      <c r="K3839" s="302"/>
    </row>
    <row r="3840" spans="1:11" x14ac:dyDescent="0.2">
      <c r="A3840" s="252"/>
      <c r="B3840" s="253"/>
      <c r="C3840" s="254"/>
      <c r="D3840" s="254"/>
      <c r="E3840" s="254"/>
      <c r="F3840" s="255" t="s">
        <v>208</v>
      </c>
      <c r="G3840" s="435"/>
      <c r="H3840" s="254"/>
      <c r="I3840" s="634">
        <f>+I3827+I3834+I3838</f>
        <v>261.85000000000002</v>
      </c>
      <c r="K3840" s="302"/>
    </row>
    <row r="3841" spans="1:17" x14ac:dyDescent="0.2">
      <c r="A3841" s="256"/>
      <c r="B3841" s="257"/>
      <c r="C3841" s="258"/>
      <c r="D3841" s="258"/>
      <c r="E3841" s="258"/>
      <c r="F3841" s="259" t="s">
        <v>209</v>
      </c>
      <c r="G3841" s="260"/>
      <c r="H3841" s="258"/>
      <c r="I3841" s="635">
        <v>4</v>
      </c>
      <c r="K3841" s="302"/>
    </row>
    <row r="3842" spans="1:17" x14ac:dyDescent="0.2">
      <c r="A3842" s="237"/>
      <c r="B3842" s="261"/>
      <c r="C3842" s="245"/>
      <c r="D3842" s="245"/>
      <c r="E3842" s="245"/>
      <c r="F3842" s="262" t="s">
        <v>232</v>
      </c>
      <c r="G3842" s="244"/>
      <c r="H3842" s="245"/>
      <c r="I3842" s="633">
        <f>TRUNC(I3840/I3841,2)</f>
        <v>65.459999999999994</v>
      </c>
      <c r="K3842" s="302"/>
    </row>
    <row r="3843" spans="1:17" x14ac:dyDescent="0.2">
      <c r="A3843" s="867"/>
      <c r="B3843" s="233"/>
      <c r="C3843" s="199"/>
      <c r="D3843" s="199"/>
      <c r="E3843" s="199"/>
      <c r="F3843" s="263"/>
      <c r="G3843" s="199"/>
      <c r="H3843" s="199"/>
      <c r="I3843" s="264"/>
      <c r="K3843" s="302"/>
    </row>
    <row r="3844" spans="1:17" x14ac:dyDescent="0.2">
      <c r="A3844" s="246" t="s">
        <v>210</v>
      </c>
      <c r="B3844" s="247" t="s">
        <v>60</v>
      </c>
      <c r="C3844" s="247" t="s">
        <v>211</v>
      </c>
      <c r="D3844" s="247" t="s">
        <v>233</v>
      </c>
      <c r="E3844" s="1276" t="s">
        <v>91</v>
      </c>
      <c r="F3844" s="1274"/>
      <c r="G3844" s="1275"/>
      <c r="H3844" s="1276" t="s">
        <v>198</v>
      </c>
      <c r="I3844" s="1275"/>
      <c r="K3844" s="302"/>
    </row>
    <row r="3845" spans="1:17" s="198" customFormat="1" x14ac:dyDescent="0.2">
      <c r="A3845" s="265" t="str">
        <f>VLOOKUP(B3845,mat.!$A:$D,2,FALSE)</f>
        <v>Areia de rio (preço médio)</v>
      </c>
      <c r="B3845" s="238">
        <v>10112</v>
      </c>
      <c r="C3845" s="266" t="str">
        <f>VLOOKUP(B3845,mat.!$A:$D,3,FALSE)</f>
        <v>M3</v>
      </c>
      <c r="D3845" s="267">
        <f>VLOOKUP(B3845,mat.!$A:$D,4,FALSE)</f>
        <v>61.65</v>
      </c>
      <c r="E3845" s="260"/>
      <c r="F3845" s="258"/>
      <c r="G3845" s="300">
        <v>0.10299999999999999</v>
      </c>
      <c r="H3845" s="260"/>
      <c r="I3845" s="268">
        <f t="shared" ref="I3845:I3851" si="44">TRUNC(D3845*G3845,2)</f>
        <v>6.34</v>
      </c>
      <c r="J3845" s="433"/>
      <c r="K3845" s="302"/>
      <c r="L3845" s="302"/>
      <c r="M3845" s="302"/>
      <c r="N3845" s="302"/>
      <c r="O3845" s="302"/>
      <c r="P3845" s="302"/>
      <c r="Q3845" s="302"/>
    </row>
    <row r="3846" spans="1:17" x14ac:dyDescent="0.2">
      <c r="A3846" s="265" t="str">
        <f>VLOOKUP(B3846,mat.!$A:$D,2,FALSE)</f>
        <v>Brita 1 (incl. 0% IUM) sem frete</v>
      </c>
      <c r="B3846" s="238">
        <v>10114</v>
      </c>
      <c r="C3846" s="266" t="str">
        <f>VLOOKUP(B3846,mat.!$A:$D,3,FALSE)</f>
        <v>m3</v>
      </c>
      <c r="D3846" s="267">
        <f>VLOOKUP(B3846,mat.!$A:$D,4,FALSE)</f>
        <v>60.22</v>
      </c>
      <c r="E3846" s="260"/>
      <c r="F3846" s="258"/>
      <c r="G3846" s="300">
        <v>0.05</v>
      </c>
      <c r="H3846" s="260"/>
      <c r="I3846" s="268">
        <f t="shared" si="44"/>
        <v>3.01</v>
      </c>
      <c r="K3846" s="302"/>
    </row>
    <row r="3847" spans="1:17" x14ac:dyDescent="0.2">
      <c r="A3847" s="265" t="str">
        <f>VLOOKUP(B3847,mat.!$A:$D,2,FALSE)</f>
        <v>Brita 2 (incl. 0% IUM) sem frete</v>
      </c>
      <c r="B3847" s="238">
        <v>10115</v>
      </c>
      <c r="C3847" s="266" t="str">
        <f>VLOOKUP(B3847,mat.!$A:$D,3,FALSE)</f>
        <v>m3</v>
      </c>
      <c r="D3847" s="267">
        <f>VLOOKUP(B3847,mat.!$A:$D,4,FALSE)</f>
        <v>61.29</v>
      </c>
      <c r="E3847" s="260"/>
      <c r="F3847" s="258"/>
      <c r="G3847" s="300">
        <v>0.05</v>
      </c>
      <c r="H3847" s="260"/>
      <c r="I3847" s="268">
        <f t="shared" si="44"/>
        <v>3.06</v>
      </c>
      <c r="K3847" s="302"/>
    </row>
    <row r="3848" spans="1:17" x14ac:dyDescent="0.2">
      <c r="A3848" s="265" t="str">
        <f>VLOOKUP(B3848,mat.!$A:$D,2,FALSE)</f>
        <v>Chapa de aço 6.3 mm</v>
      </c>
      <c r="B3848" s="238">
        <v>10149</v>
      </c>
      <c r="C3848" s="266" t="str">
        <f>VLOOKUP(B3848,mat.!$A:$D,3,FALSE)</f>
        <v>kg</v>
      </c>
      <c r="D3848" s="267">
        <f>VLOOKUP(B3848,mat.!$A:$D,4,FALSE)</f>
        <v>6.41</v>
      </c>
      <c r="E3848" s="260"/>
      <c r="F3848" s="258"/>
      <c r="G3848" s="300">
        <v>59.8</v>
      </c>
      <c r="H3848" s="260"/>
      <c r="I3848" s="268">
        <f t="shared" si="44"/>
        <v>383.31</v>
      </c>
      <c r="K3848" s="302"/>
    </row>
    <row r="3849" spans="1:17" x14ac:dyDescent="0.2">
      <c r="A3849" s="265" t="str">
        <f>VLOOKUP(B3849,mat.!$A:$D,2,FALSE)</f>
        <v>Cimento CP III</v>
      </c>
      <c r="B3849" s="238">
        <v>10092</v>
      </c>
      <c r="C3849" s="266" t="str">
        <f>VLOOKUP(B3849,mat.!$A:$D,3,FALSE)</f>
        <v>kg</v>
      </c>
      <c r="D3849" s="267">
        <f>VLOOKUP(B3849,mat.!$A:$D,4,FALSE)</f>
        <v>0.38</v>
      </c>
      <c r="E3849" s="260"/>
      <c r="F3849" s="258"/>
      <c r="G3849" s="300">
        <v>45.84</v>
      </c>
      <c r="H3849" s="260"/>
      <c r="I3849" s="268">
        <f t="shared" si="44"/>
        <v>17.41</v>
      </c>
      <c r="K3849" s="302"/>
    </row>
    <row r="3850" spans="1:17" x14ac:dyDescent="0.2">
      <c r="A3850" s="265" t="str">
        <f>VLOOKUP(B3850,mat.!$A:$D,2,FALSE)</f>
        <v>Eletrodo para soldas - OK 4804</v>
      </c>
      <c r="B3850" s="238">
        <v>10185</v>
      </c>
      <c r="C3850" s="266" t="str">
        <f>VLOOKUP(B3850,mat.!$A:$D,3,FALSE)</f>
        <v>kg</v>
      </c>
      <c r="D3850" s="267">
        <f>VLOOKUP(B3850,mat.!$A:$D,4,FALSE)</f>
        <v>19</v>
      </c>
      <c r="E3850" s="260"/>
      <c r="F3850" s="258"/>
      <c r="G3850" s="300">
        <v>0.14000000000000001</v>
      </c>
      <c r="H3850" s="260"/>
      <c r="I3850" s="268">
        <f t="shared" si="44"/>
        <v>2.66</v>
      </c>
      <c r="K3850" s="302"/>
    </row>
    <row r="3851" spans="1:17" ht="22.5" x14ac:dyDescent="0.2">
      <c r="A3851" s="265" t="str">
        <f>VLOOKUP(B3851,mat.!$A:$D,2,FALSE)</f>
        <v>Plastiment VZ (10% I.P.I. e 8% frete), marca de referência Sika</v>
      </c>
      <c r="B3851" s="238">
        <v>10191</v>
      </c>
      <c r="C3851" s="266" t="str">
        <f>VLOOKUP(B3851,mat.!$A:$D,3,FALSE)</f>
        <v>kg</v>
      </c>
      <c r="D3851" s="267">
        <f>VLOOKUP(B3851,mat.!$A:$D,4,FALSE)</f>
        <v>4.34</v>
      </c>
      <c r="E3851" s="260"/>
      <c r="F3851" s="258"/>
      <c r="G3851" s="300">
        <v>8.5000000000000006E-2</v>
      </c>
      <c r="H3851" s="260"/>
      <c r="I3851" s="268">
        <f t="shared" si="44"/>
        <v>0.36</v>
      </c>
      <c r="K3851" s="302"/>
    </row>
    <row r="3852" spans="1:17" x14ac:dyDescent="0.2">
      <c r="A3852" s="199"/>
      <c r="B3852" s="233"/>
      <c r="C3852" s="199"/>
      <c r="D3852" s="199"/>
      <c r="E3852" s="199"/>
      <c r="F3852" s="234" t="s">
        <v>212</v>
      </c>
      <c r="G3852" s="244"/>
      <c r="H3852" s="245"/>
      <c r="I3852" s="434">
        <f>SUM(I3845:I3851)</f>
        <v>416.15</v>
      </c>
      <c r="K3852" s="302"/>
    </row>
    <row r="3853" spans="1:17" x14ac:dyDescent="0.2">
      <c r="A3853" s="199"/>
      <c r="B3853" s="233"/>
      <c r="C3853" s="199"/>
      <c r="D3853" s="199"/>
      <c r="E3853" s="199"/>
      <c r="F3853" s="199"/>
      <c r="G3853" s="269"/>
      <c r="H3853" s="199"/>
      <c r="I3853" s="200"/>
      <c r="K3853" s="302"/>
    </row>
    <row r="3854" spans="1:17" x14ac:dyDescent="0.2">
      <c r="A3854" s="270" t="s">
        <v>213</v>
      </c>
      <c r="B3854" s="247" t="s">
        <v>60</v>
      </c>
      <c r="C3854" s="247" t="s">
        <v>211</v>
      </c>
      <c r="D3854" s="866" t="s">
        <v>233</v>
      </c>
      <c r="E3854" s="1276" t="s">
        <v>91</v>
      </c>
      <c r="F3854" s="1274"/>
      <c r="G3854" s="1275"/>
      <c r="H3854" s="1276" t="s">
        <v>198</v>
      </c>
      <c r="I3854" s="1275"/>
      <c r="K3854" s="302"/>
    </row>
    <row r="3855" spans="1:17" x14ac:dyDescent="0.2">
      <c r="A3855" s="248"/>
      <c r="B3855" s="238"/>
      <c r="C3855" s="238"/>
      <c r="D3855" s="243"/>
      <c r="E3855" s="260"/>
      <c r="F3855" s="258"/>
      <c r="G3855" s="300"/>
      <c r="H3855" s="244"/>
      <c r="I3855" s="268">
        <f>TRUNC(D3855*G3855,2)</f>
        <v>0</v>
      </c>
      <c r="K3855" s="302"/>
    </row>
    <row r="3856" spans="1:17" x14ac:dyDescent="0.2">
      <c r="A3856" s="201"/>
      <c r="B3856" s="271"/>
      <c r="C3856" s="201"/>
      <c r="D3856" s="201"/>
      <c r="E3856" s="201"/>
      <c r="F3856" s="272" t="s">
        <v>214</v>
      </c>
      <c r="G3856" s="260"/>
      <c r="H3856" s="273"/>
      <c r="I3856" s="436">
        <f>SUM(I3853:I3855)</f>
        <v>0</v>
      </c>
      <c r="K3856" s="302"/>
    </row>
    <row r="3857" spans="1:13" x14ac:dyDescent="0.2">
      <c r="A3857" s="201"/>
      <c r="B3857" s="271"/>
      <c r="C3857" s="201"/>
      <c r="D3857" s="201"/>
      <c r="E3857" s="201"/>
      <c r="F3857" s="201"/>
      <c r="G3857" s="201"/>
      <c r="H3857" s="201"/>
      <c r="I3857" s="201"/>
      <c r="K3857" s="302"/>
    </row>
    <row r="3858" spans="1:13" x14ac:dyDescent="0.2">
      <c r="A3858" s="442" t="s">
        <v>215</v>
      </c>
      <c r="B3858" s="275" t="s">
        <v>60</v>
      </c>
      <c r="C3858" s="275" t="s">
        <v>211</v>
      </c>
      <c r="D3858" s="275" t="s">
        <v>216</v>
      </c>
      <c r="E3858" s="275" t="s">
        <v>217</v>
      </c>
      <c r="F3858" s="275" t="s">
        <v>218</v>
      </c>
      <c r="G3858" s="275" t="s">
        <v>96</v>
      </c>
      <c r="H3858" s="275" t="s">
        <v>91</v>
      </c>
      <c r="I3858" s="275" t="s">
        <v>219</v>
      </c>
      <c r="K3858" s="302"/>
    </row>
    <row r="3859" spans="1:13" x14ac:dyDescent="0.2">
      <c r="A3859" s="248"/>
      <c r="B3859" s="238"/>
      <c r="C3859" s="238"/>
      <c r="D3859" s="276"/>
      <c r="E3859" s="277"/>
      <c r="F3859" s="277"/>
      <c r="G3859" s="243"/>
      <c r="H3859" s="278"/>
      <c r="I3859" s="243">
        <f>TRUNC(G3859*H3859,2)</f>
        <v>0</v>
      </c>
      <c r="K3859" s="302"/>
    </row>
    <row r="3860" spans="1:13" x14ac:dyDescent="0.2">
      <c r="A3860" s="201"/>
      <c r="B3860" s="271"/>
      <c r="C3860" s="201"/>
      <c r="D3860" s="201"/>
      <c r="E3860" s="201"/>
      <c r="F3860" s="272" t="s">
        <v>220</v>
      </c>
      <c r="G3860" s="244"/>
      <c r="H3860" s="279"/>
      <c r="I3860" s="438">
        <f>SUM(I3859:I3859)</f>
        <v>0</v>
      </c>
    </row>
    <row r="3861" spans="1:13" x14ac:dyDescent="0.2">
      <c r="A3861" s="201"/>
      <c r="B3861" s="271"/>
      <c r="C3861" s="201"/>
      <c r="D3861" s="201"/>
      <c r="E3861" s="201"/>
      <c r="F3861" s="201"/>
      <c r="G3861" s="201"/>
      <c r="H3861" s="201"/>
      <c r="I3861" s="202"/>
    </row>
    <row r="3862" spans="1:13" ht="21" customHeight="1" x14ac:dyDescent="0.2">
      <c r="A3862" s="280"/>
      <c r="B3862" s="281"/>
      <c r="C3862" s="282"/>
      <c r="D3862" s="282"/>
      <c r="E3862" s="282"/>
      <c r="F3862" s="283" t="s">
        <v>221</v>
      </c>
      <c r="G3862" s="280"/>
      <c r="H3862" s="254"/>
      <c r="I3862" s="634">
        <f>+I3842+I3852+I3856+I3860</f>
        <v>481.61</v>
      </c>
    </row>
    <row r="3863" spans="1:13" x14ac:dyDescent="0.2">
      <c r="A3863" s="260"/>
      <c r="B3863" s="284"/>
      <c r="C3863" s="273"/>
      <c r="D3863" s="273"/>
      <c r="E3863" s="273"/>
      <c r="F3863" s="285" t="str">
        <f>CONCATENATE($H$3," ",$I$3)</f>
        <v>BDI: 23,32</v>
      </c>
      <c r="G3863" s="439"/>
      <c r="H3863" s="258"/>
      <c r="I3863" s="635">
        <f>+ROUND(I3862*$I$4,2)</f>
        <v>112.31</v>
      </c>
    </row>
    <row r="3864" spans="1:13" x14ac:dyDescent="0.2">
      <c r="A3864" s="244"/>
      <c r="B3864" s="286"/>
      <c r="C3864" s="279"/>
      <c r="D3864" s="279"/>
      <c r="E3864" s="279"/>
      <c r="F3864" s="287" t="s">
        <v>222</v>
      </c>
      <c r="G3864" s="440"/>
      <c r="H3864" s="245"/>
      <c r="I3864" s="1017">
        <f>+I3862+I3863</f>
        <v>593.91999999999996</v>
      </c>
    </row>
    <row r="3865" spans="1:13" x14ac:dyDescent="0.2">
      <c r="A3865" s="1277" t="str">
        <f>$A$1</f>
        <v>COMPOSIÇÃO DE CUSTOS UNITÁRIOS</v>
      </c>
      <c r="B3865" s="1277"/>
      <c r="C3865" s="1277"/>
      <c r="D3865" s="1277"/>
      <c r="E3865" s="1277"/>
      <c r="F3865" s="1277"/>
      <c r="G3865" s="1277"/>
      <c r="H3865" s="1277"/>
      <c r="I3865" s="1277"/>
    </row>
    <row r="3866" spans="1:13" x14ac:dyDescent="0.2">
      <c r="A3866" s="232" t="str">
        <f>$A$2</f>
        <v>Tabela Referencial de Preços - DER-ES</v>
      </c>
      <c r="B3866" s="233"/>
      <c r="C3866" s="199"/>
      <c r="D3866" s="199"/>
      <c r="E3866" s="199"/>
      <c r="F3866" s="199"/>
      <c r="G3866" s="199"/>
      <c r="H3866" s="199"/>
      <c r="I3866" s="234" t="str">
        <f>$I$2</f>
        <v>Data Base: Outubro/2018</v>
      </c>
      <c r="J3866" s="433">
        <v>40309</v>
      </c>
      <c r="K3866" s="433">
        <f>VLOOKUP("Preço Unitário Total",F3868:I4212,4,FALSE)</f>
        <v>183.24</v>
      </c>
      <c r="L3866" s="302" t="str">
        <f>VLOOKUP(J3866,'DER 10-18'!A:E,5,FALSE)</f>
        <v>A incluir</v>
      </c>
      <c r="M3866" s="302" t="str">
        <f>VLOOKUP(J3866,'DER 10-18'!$A:$D,2,FALSE)</f>
        <v>Formas planas de madeira sem reaproveitamento (fundações), inclusive fornecimento e transporte das madeiras</v>
      </c>
    </row>
    <row r="3867" spans="1:13" x14ac:dyDescent="0.2">
      <c r="A3867" s="1278" t="str">
        <f>+CONCATENATE("Serviço: ",J3866," ",VLOOKUP(J3866,'DER 10-18'!$A:$D,2,FALSE))</f>
        <v>Serviço: 40309 Formas planas de madeira sem reaproveitamento (fundações), inclusive fornecimento e transporte das madeiras</v>
      </c>
      <c r="B3867" s="1278"/>
      <c r="C3867" s="1278"/>
      <c r="D3867" s="1278"/>
      <c r="E3867" s="1278"/>
      <c r="F3867" s="1278"/>
      <c r="G3867" s="1278"/>
      <c r="H3867" s="1278"/>
      <c r="I3867" s="1278" t="str">
        <f>CONCATENATE("Unidade: ", VLOOKUP(J3866,'DER 10-18'!$A:$E,3,FALSE))</f>
        <v>Unidade: M2</v>
      </c>
      <c r="J3867" s="302"/>
      <c r="K3867" s="302"/>
    </row>
    <row r="3868" spans="1:13" x14ac:dyDescent="0.2">
      <c r="A3868" s="1279"/>
      <c r="B3868" s="1279"/>
      <c r="C3868" s="1279"/>
      <c r="D3868" s="1279"/>
      <c r="E3868" s="1279"/>
      <c r="F3868" s="1279"/>
      <c r="G3868" s="1279"/>
      <c r="H3868" s="1279"/>
      <c r="I3868" s="1279"/>
      <c r="J3868" s="302"/>
      <c r="K3868" s="302"/>
    </row>
    <row r="3869" spans="1:13" ht="22.5" x14ac:dyDescent="0.2">
      <c r="A3869" s="235" t="s">
        <v>192</v>
      </c>
      <c r="B3869" s="236" t="s">
        <v>60</v>
      </c>
      <c r="C3869" s="236" t="s">
        <v>193</v>
      </c>
      <c r="D3869" s="236" t="s">
        <v>194</v>
      </c>
      <c r="E3869" s="236" t="s">
        <v>195</v>
      </c>
      <c r="F3869" s="236" t="s">
        <v>196</v>
      </c>
      <c r="G3869" s="236" t="s">
        <v>197</v>
      </c>
      <c r="H3869" s="236" t="s">
        <v>91</v>
      </c>
      <c r="I3869" s="236" t="s">
        <v>198</v>
      </c>
      <c r="J3869" s="302"/>
      <c r="K3869" s="302"/>
    </row>
    <row r="3870" spans="1:13" x14ac:dyDescent="0.2">
      <c r="A3870" s="237" t="str">
        <f>VLOOKUP(B3870,equip.!$A:$G,2,FALSE)</f>
        <v>Serra circular (WEG) ou equivalente</v>
      </c>
      <c r="B3870" s="238">
        <v>30073</v>
      </c>
      <c r="C3870" s="239" t="str">
        <f>VLOOKUP(B3870,equip.!$A$1:$G$239,3,FALSE)</f>
        <v>M</v>
      </c>
      <c r="D3870" s="240">
        <v>0.5</v>
      </c>
      <c r="E3870" s="205">
        <v>0.5</v>
      </c>
      <c r="F3870" s="241">
        <f>VLOOKUP(B3870,equip.!$A:$G,6,FALSE)</f>
        <v>18.22</v>
      </c>
      <c r="G3870" s="241">
        <f>VLOOKUP(B3870,equip.!$A:$G,7,FALSE)</f>
        <v>14.81</v>
      </c>
      <c r="H3870" s="242">
        <v>1</v>
      </c>
      <c r="I3870" s="243">
        <f>TRUNC(D3870*F3870*H3870+E3870*G3870*H3870,2)</f>
        <v>16.510000000000002</v>
      </c>
      <c r="J3870" s="302"/>
      <c r="K3870" s="302"/>
    </row>
    <row r="3871" spans="1:13" x14ac:dyDescent="0.2">
      <c r="A3871" s="199"/>
      <c r="B3871" s="233"/>
      <c r="C3871" s="233"/>
      <c r="D3871" s="199"/>
      <c r="E3871" s="199"/>
      <c r="F3871" s="234" t="s">
        <v>199</v>
      </c>
      <c r="G3871" s="244"/>
      <c r="H3871" s="245"/>
      <c r="I3871" s="434">
        <f>SUM(I3870:I3870)</f>
        <v>16.510000000000002</v>
      </c>
      <c r="J3871" s="302"/>
      <c r="K3871" s="302"/>
    </row>
    <row r="3872" spans="1:13" x14ac:dyDescent="0.2">
      <c r="A3872" s="199"/>
      <c r="B3872" s="233"/>
      <c r="C3872" s="233"/>
      <c r="D3872" s="199"/>
      <c r="E3872" s="199"/>
      <c r="F3872" s="199"/>
      <c r="G3872" s="199"/>
      <c r="H3872" s="199"/>
      <c r="I3872" s="200"/>
      <c r="J3872" s="302"/>
      <c r="K3872" s="302"/>
    </row>
    <row r="3873" spans="1:17" x14ac:dyDescent="0.2">
      <c r="A3873" s="246" t="s">
        <v>200</v>
      </c>
      <c r="B3873" s="247" t="s">
        <v>60</v>
      </c>
      <c r="C3873" s="236" t="s">
        <v>1242</v>
      </c>
      <c r="D3873" s="247" t="s">
        <v>202</v>
      </c>
      <c r="E3873" s="1276" t="s">
        <v>91</v>
      </c>
      <c r="F3873" s="1274"/>
      <c r="G3873" s="1275"/>
      <c r="H3873" s="1276" t="s">
        <v>198</v>
      </c>
      <c r="I3873" s="1275"/>
      <c r="J3873" s="302"/>
      <c r="K3873" s="302"/>
    </row>
    <row r="3874" spans="1:17" x14ac:dyDescent="0.2">
      <c r="A3874" s="248" t="str">
        <f>VLOOKUP(B3874,m.o.!$A:$H,2,FALSE)</f>
        <v>Carpinteiro de O.A.C.</v>
      </c>
      <c r="B3874" s="238">
        <v>20038</v>
      </c>
      <c r="C3874" s="243">
        <f>VLOOKUP(B3874,m.o.!$A:$F,4,FALSE)</f>
        <v>1.24</v>
      </c>
      <c r="D3874" s="243">
        <f>VLOOKUP(B3874,m.o.!$A:$G,7,FALSE)</f>
        <v>14.43</v>
      </c>
      <c r="E3874" s="244"/>
      <c r="F3874" s="258"/>
      <c r="G3874" s="300">
        <v>1</v>
      </c>
      <c r="H3874" s="244"/>
      <c r="I3874" s="249">
        <f>TRUNC(D3874*G3874,2)</f>
        <v>14.43</v>
      </c>
      <c r="J3874" s="302"/>
      <c r="K3874" s="302"/>
    </row>
    <row r="3875" spans="1:17" x14ac:dyDescent="0.2">
      <c r="A3875" s="248" t="str">
        <f>VLOOKUP(B3875,m.o.!$A:$H,2,FALSE)</f>
        <v>Operário braçal</v>
      </c>
      <c r="B3875" s="238">
        <v>20107</v>
      </c>
      <c r="C3875" s="243">
        <f>VLOOKUP(B3875,m.o.!$A:$F,4,FALSE)</f>
        <v>1.02</v>
      </c>
      <c r="D3875" s="243">
        <f>VLOOKUP(B3875,m.o.!$A:$G,7,FALSE)</f>
        <v>11.87</v>
      </c>
      <c r="E3875" s="244"/>
      <c r="F3875" s="245"/>
      <c r="G3875" s="441">
        <v>2.2999999999999998</v>
      </c>
      <c r="H3875" s="244"/>
      <c r="I3875" s="249">
        <f>TRUNC(D3875*G3875,2)</f>
        <v>27.3</v>
      </c>
      <c r="J3875" s="302"/>
      <c r="K3875" s="302"/>
    </row>
    <row r="3876" spans="1:17" x14ac:dyDescent="0.2">
      <c r="A3876" s="199"/>
      <c r="B3876" s="233"/>
      <c r="C3876" s="233"/>
      <c r="D3876" s="199"/>
      <c r="E3876" s="199"/>
      <c r="F3876" s="234" t="s">
        <v>203</v>
      </c>
      <c r="G3876" s="244"/>
      <c r="H3876" s="245"/>
      <c r="I3876" s="434">
        <f>SUM(I3874:I3875)</f>
        <v>41.73</v>
      </c>
      <c r="J3876" s="302"/>
      <c r="K3876" s="302"/>
    </row>
    <row r="3877" spans="1:17" x14ac:dyDescent="0.2">
      <c r="A3877" s="199"/>
      <c r="B3877" s="233"/>
      <c r="C3877" s="233"/>
      <c r="D3877" s="199"/>
      <c r="E3877" s="199"/>
      <c r="F3877" s="199"/>
      <c r="G3877" s="199"/>
      <c r="H3877" s="199"/>
      <c r="I3877" s="200"/>
      <c r="J3877" s="302"/>
      <c r="K3877" s="302"/>
    </row>
    <row r="3878" spans="1:17" x14ac:dyDescent="0.2">
      <c r="A3878" s="250" t="s">
        <v>204</v>
      </c>
      <c r="B3878" s="247" t="s">
        <v>60</v>
      </c>
      <c r="C3878" s="866" t="s">
        <v>17</v>
      </c>
      <c r="D3878" s="247" t="s">
        <v>205</v>
      </c>
      <c r="E3878" s="247" t="s">
        <v>206</v>
      </c>
      <c r="F3878" s="247" t="s">
        <v>207</v>
      </c>
      <c r="G3878" s="1276" t="s">
        <v>96</v>
      </c>
      <c r="H3878" s="1274"/>
      <c r="I3878" s="1275"/>
      <c r="J3878" s="302"/>
      <c r="K3878" s="302"/>
    </row>
    <row r="3879" spans="1:17" x14ac:dyDescent="0.2">
      <c r="A3879" s="248" t="s">
        <v>142</v>
      </c>
      <c r="B3879" s="238">
        <v>2000</v>
      </c>
      <c r="C3879" s="243">
        <v>5</v>
      </c>
      <c r="D3879" s="239" t="s">
        <v>223</v>
      </c>
      <c r="E3879" s="251"/>
      <c r="F3879" s="251"/>
      <c r="G3879" s="244"/>
      <c r="H3879" s="245"/>
      <c r="I3879" s="249">
        <f>TRUNC(C3879/100*I3876,2)</f>
        <v>2.08</v>
      </c>
      <c r="J3879" s="302"/>
      <c r="K3879" s="302"/>
    </row>
    <row r="3880" spans="1:17" x14ac:dyDescent="0.2">
      <c r="A3880" s="199"/>
      <c r="B3880" s="233"/>
      <c r="C3880" s="199"/>
      <c r="D3880" s="199"/>
      <c r="E3880" s="199"/>
      <c r="F3880" s="234" t="s">
        <v>1170</v>
      </c>
      <c r="G3880" s="244"/>
      <c r="H3880" s="245"/>
      <c r="I3880" s="434">
        <f>SUM(I3879)</f>
        <v>2.08</v>
      </c>
      <c r="J3880" s="302"/>
      <c r="K3880" s="302"/>
    </row>
    <row r="3881" spans="1:17" s="198" customFormat="1" x14ac:dyDescent="0.2">
      <c r="A3881" s="199"/>
      <c r="B3881" s="233"/>
      <c r="C3881" s="199"/>
      <c r="D3881" s="199"/>
      <c r="E3881" s="199"/>
      <c r="F3881" s="199"/>
      <c r="G3881" s="199"/>
      <c r="H3881" s="199"/>
      <c r="I3881" s="200"/>
      <c r="J3881" s="302"/>
      <c r="K3881" s="302"/>
      <c r="L3881" s="302"/>
      <c r="M3881" s="302"/>
      <c r="N3881" s="302"/>
      <c r="O3881" s="302"/>
      <c r="P3881" s="302"/>
      <c r="Q3881" s="302"/>
    </row>
    <row r="3882" spans="1:17" x14ac:dyDescent="0.2">
      <c r="A3882" s="252"/>
      <c r="B3882" s="253"/>
      <c r="C3882" s="254"/>
      <c r="D3882" s="254"/>
      <c r="E3882" s="254"/>
      <c r="F3882" s="255" t="s">
        <v>208</v>
      </c>
      <c r="G3882" s="435"/>
      <c r="H3882" s="254"/>
      <c r="I3882" s="634">
        <f>+I3871+I3876+I3880</f>
        <v>60.32</v>
      </c>
      <c r="J3882" s="302"/>
      <c r="K3882" s="302"/>
    </row>
    <row r="3883" spans="1:17" x14ac:dyDescent="0.2">
      <c r="A3883" s="256"/>
      <c r="B3883" s="257"/>
      <c r="C3883" s="258"/>
      <c r="D3883" s="258"/>
      <c r="E3883" s="258"/>
      <c r="F3883" s="259" t="s">
        <v>209</v>
      </c>
      <c r="G3883" s="260"/>
      <c r="H3883" s="258"/>
      <c r="I3883" s="635">
        <v>1</v>
      </c>
      <c r="K3883" s="302"/>
    </row>
    <row r="3884" spans="1:17" x14ac:dyDescent="0.2">
      <c r="A3884" s="237"/>
      <c r="B3884" s="261"/>
      <c r="C3884" s="245"/>
      <c r="D3884" s="245"/>
      <c r="E3884" s="245"/>
      <c r="F3884" s="262" t="s">
        <v>232</v>
      </c>
      <c r="G3884" s="244"/>
      <c r="H3884" s="245"/>
      <c r="I3884" s="633">
        <f>TRUNC(I3882/I3883,2)</f>
        <v>60.32</v>
      </c>
      <c r="K3884" s="302"/>
    </row>
    <row r="3885" spans="1:17" x14ac:dyDescent="0.2">
      <c r="A3885" s="867"/>
      <c r="B3885" s="233"/>
      <c r="C3885" s="199"/>
      <c r="D3885" s="199"/>
      <c r="E3885" s="199"/>
      <c r="F3885" s="263"/>
      <c r="G3885" s="199"/>
      <c r="H3885" s="199"/>
      <c r="I3885" s="264"/>
      <c r="K3885" s="302"/>
    </row>
    <row r="3886" spans="1:17" x14ac:dyDescent="0.2">
      <c r="A3886" s="246" t="s">
        <v>210</v>
      </c>
      <c r="B3886" s="247" t="s">
        <v>60</v>
      </c>
      <c r="C3886" s="247" t="s">
        <v>211</v>
      </c>
      <c r="D3886" s="247" t="s">
        <v>233</v>
      </c>
      <c r="E3886" s="1276" t="s">
        <v>91</v>
      </c>
      <c r="F3886" s="1274"/>
      <c r="G3886" s="1275"/>
      <c r="H3886" s="1276" t="s">
        <v>198</v>
      </c>
      <c r="I3886" s="1275"/>
      <c r="K3886" s="302"/>
    </row>
    <row r="3887" spans="1:17" x14ac:dyDescent="0.2">
      <c r="A3887" s="265" t="str">
        <f>VLOOKUP(B3887,mat.!$A:$D,2,FALSE)</f>
        <v>Caibros 7 X 7 cm (pontalete)</v>
      </c>
      <c r="B3887" s="238">
        <v>10066</v>
      </c>
      <c r="C3887" s="266" t="str">
        <f>VLOOKUP(B3887,mat.!$A:$D,3,FALSE)</f>
        <v>M3</v>
      </c>
      <c r="D3887" s="267">
        <f>VLOOKUP(B3887,mat.!$A:$D,4,FALSE)</f>
        <v>1616</v>
      </c>
      <c r="E3887" s="260"/>
      <c r="F3887" s="258"/>
      <c r="G3887" s="300">
        <v>1.9E-2</v>
      </c>
      <c r="H3887" s="260"/>
      <c r="I3887" s="268">
        <f t="shared" ref="I3887:I3888" si="45">TRUNC(D3887*G3887,2)</f>
        <v>30.7</v>
      </c>
      <c r="K3887" s="302"/>
    </row>
    <row r="3888" spans="1:17" x14ac:dyDescent="0.2">
      <c r="A3888" s="265" t="str">
        <f>VLOOKUP(B3888,mat.!$A:$D,2,FALSE)</f>
        <v>Prego 18 X 24</v>
      </c>
      <c r="B3888" s="238">
        <v>10135</v>
      </c>
      <c r="C3888" s="266" t="str">
        <f>VLOOKUP(B3888,mat.!$A:$D,3,FALSE)</f>
        <v>kg</v>
      </c>
      <c r="D3888" s="267">
        <f>VLOOKUP(B3888,mat.!$A:$D,4,FALSE)</f>
        <v>10.54</v>
      </c>
      <c r="E3888" s="260"/>
      <c r="F3888" s="258"/>
      <c r="G3888" s="300">
        <v>0.25</v>
      </c>
      <c r="H3888" s="260"/>
      <c r="I3888" s="268">
        <f t="shared" si="45"/>
        <v>2.63</v>
      </c>
      <c r="K3888" s="302"/>
    </row>
    <row r="3889" spans="1:17" x14ac:dyDescent="0.2">
      <c r="A3889" s="265" t="str">
        <f>VLOOKUP(B3889,mat.!$A:$D,2,FALSE)</f>
        <v>Sarrafo 10 X 2,5 cm</v>
      </c>
      <c r="B3889" s="238">
        <v>10067</v>
      </c>
      <c r="C3889" s="266" t="str">
        <f>VLOOKUP(B3889,mat.!$A:$D,3,FALSE)</f>
        <v>M3</v>
      </c>
      <c r="D3889" s="267">
        <f>VLOOKUP(B3889,mat.!$A:$D,4,FALSE)</f>
        <v>1012</v>
      </c>
      <c r="E3889" s="260"/>
      <c r="F3889" s="258"/>
      <c r="G3889" s="300">
        <v>2E-3</v>
      </c>
      <c r="H3889" s="260"/>
      <c r="I3889" s="268">
        <f>TRUNC(D3889*G3889,2)</f>
        <v>2.02</v>
      </c>
      <c r="K3889" s="302"/>
    </row>
    <row r="3890" spans="1:17" x14ac:dyDescent="0.2">
      <c r="A3890" s="265" t="str">
        <f>VLOOKUP(B3890,mat.!$A:$D,2,FALSE)</f>
        <v>Tábuas de 2,5 cm (Não Aparelhada)</v>
      </c>
      <c r="B3890" s="238">
        <v>10065</v>
      </c>
      <c r="C3890" s="266" t="str">
        <f>VLOOKUP(B3890,mat.!$A:$D,3,FALSE)</f>
        <v>M3</v>
      </c>
      <c r="D3890" s="267">
        <f>VLOOKUP(B3890,mat.!$A:$D,4,FALSE)</f>
        <v>1884</v>
      </c>
      <c r="E3890" s="260"/>
      <c r="F3890" s="258"/>
      <c r="G3890" s="441">
        <v>2.75E-2</v>
      </c>
      <c r="H3890" s="260"/>
      <c r="I3890" s="268">
        <f>TRUNC(D3890*G3890,2)</f>
        <v>51.81</v>
      </c>
      <c r="K3890" s="302"/>
    </row>
    <row r="3891" spans="1:17" s="198" customFormat="1" x14ac:dyDescent="0.2">
      <c r="A3891" s="199"/>
      <c r="B3891" s="233"/>
      <c r="C3891" s="199"/>
      <c r="D3891" s="199"/>
      <c r="E3891" s="199"/>
      <c r="F3891" s="234" t="s">
        <v>212</v>
      </c>
      <c r="G3891" s="244"/>
      <c r="H3891" s="245"/>
      <c r="I3891" s="434">
        <f>SUM(I3887:I3890)</f>
        <v>87.16</v>
      </c>
      <c r="J3891" s="433"/>
      <c r="K3891" s="302"/>
      <c r="L3891" s="302"/>
      <c r="M3891" s="302"/>
      <c r="N3891" s="302"/>
      <c r="O3891" s="302"/>
      <c r="P3891" s="302"/>
      <c r="Q3891" s="302"/>
    </row>
    <row r="3892" spans="1:17" s="198" customFormat="1" x14ac:dyDescent="0.2">
      <c r="A3892" s="199"/>
      <c r="B3892" s="233"/>
      <c r="C3892" s="199"/>
      <c r="D3892" s="199"/>
      <c r="E3892" s="199"/>
      <c r="F3892" s="199"/>
      <c r="G3892" s="269"/>
      <c r="H3892" s="199"/>
      <c r="I3892" s="200"/>
      <c r="J3892" s="433"/>
      <c r="K3892" s="302"/>
      <c r="L3892" s="302"/>
      <c r="M3892" s="302"/>
      <c r="N3892" s="302"/>
      <c r="O3892" s="302"/>
      <c r="P3892" s="302"/>
      <c r="Q3892" s="302"/>
    </row>
    <row r="3893" spans="1:17" s="198" customFormat="1" x14ac:dyDescent="0.2">
      <c r="A3893" s="270" t="s">
        <v>213</v>
      </c>
      <c r="B3893" s="247" t="s">
        <v>60</v>
      </c>
      <c r="C3893" s="247" t="s">
        <v>211</v>
      </c>
      <c r="D3893" s="866" t="s">
        <v>233</v>
      </c>
      <c r="E3893" s="1276" t="s">
        <v>91</v>
      </c>
      <c r="F3893" s="1274"/>
      <c r="G3893" s="1275"/>
      <c r="H3893" s="1276" t="s">
        <v>198</v>
      </c>
      <c r="I3893" s="1275"/>
      <c r="J3893" s="433"/>
      <c r="K3893" s="302"/>
      <c r="L3893" s="302"/>
      <c r="M3893" s="302"/>
      <c r="N3893" s="302"/>
      <c r="O3893" s="302"/>
      <c r="P3893" s="302"/>
      <c r="Q3893" s="302"/>
    </row>
    <row r="3894" spans="1:17" s="198" customFormat="1" x14ac:dyDescent="0.2">
      <c r="A3894" s="248"/>
      <c r="B3894" s="238"/>
      <c r="C3894" s="238"/>
      <c r="D3894" s="243"/>
      <c r="E3894" s="244"/>
      <c r="F3894" s="258"/>
      <c r="G3894" s="300"/>
      <c r="H3894" s="244"/>
      <c r="I3894" s="268"/>
      <c r="J3894" s="433"/>
      <c r="K3894" s="302"/>
      <c r="L3894" s="302"/>
      <c r="M3894" s="302"/>
      <c r="N3894" s="302"/>
      <c r="O3894" s="302"/>
      <c r="P3894" s="302"/>
      <c r="Q3894" s="302"/>
    </row>
    <row r="3895" spans="1:17" x14ac:dyDescent="0.2">
      <c r="A3895" s="201"/>
      <c r="B3895" s="271"/>
      <c r="C3895" s="201"/>
      <c r="D3895" s="201"/>
      <c r="E3895" s="201"/>
      <c r="F3895" s="272" t="s">
        <v>214</v>
      </c>
      <c r="G3895" s="260"/>
      <c r="H3895" s="273"/>
      <c r="I3895" s="436">
        <f>SUM(I3894:I3894)</f>
        <v>0</v>
      </c>
      <c r="K3895" s="302"/>
    </row>
    <row r="3896" spans="1:17" x14ac:dyDescent="0.2">
      <c r="A3896" s="201"/>
      <c r="B3896" s="271"/>
      <c r="C3896" s="201"/>
      <c r="D3896" s="201"/>
      <c r="E3896" s="201"/>
      <c r="F3896" s="201"/>
      <c r="G3896" s="201"/>
      <c r="H3896" s="201"/>
      <c r="I3896" s="201"/>
      <c r="K3896" s="302"/>
    </row>
    <row r="3897" spans="1:17" x14ac:dyDescent="0.2">
      <c r="A3897" s="274" t="s">
        <v>215</v>
      </c>
      <c r="B3897" s="275" t="s">
        <v>60</v>
      </c>
      <c r="C3897" s="275" t="s">
        <v>211</v>
      </c>
      <c r="D3897" s="275" t="s">
        <v>216</v>
      </c>
      <c r="E3897" s="275" t="s">
        <v>217</v>
      </c>
      <c r="F3897" s="275" t="s">
        <v>218</v>
      </c>
      <c r="G3897" s="275" t="s">
        <v>96</v>
      </c>
      <c r="H3897" s="275" t="s">
        <v>91</v>
      </c>
      <c r="I3897" s="275" t="s">
        <v>219</v>
      </c>
      <c r="J3897" s="433" t="s">
        <v>121</v>
      </c>
      <c r="K3897" s="302"/>
    </row>
    <row r="3898" spans="1:17" ht="22.5" x14ac:dyDescent="0.2">
      <c r="A3898" s="265" t="str">
        <f>VLOOKUP(B3898,tranp.!A:D,2,FALSE)</f>
        <v>Transporte de Caibros 8 X 8 cm (pontalete)</v>
      </c>
      <c r="B3898" s="238">
        <v>1095</v>
      </c>
      <c r="C3898" s="238" t="str">
        <f>VLOOKUP(B3898,tranp.!$A:$J,3,FALSE)</f>
        <v xml:space="preserve"> t  </v>
      </c>
      <c r="D3898" s="276" t="str">
        <f>VLOOKUP(B3898,tranp.!$A:$J,4,FALSE)</f>
        <v>0,676XP + 0,703XR</v>
      </c>
      <c r="E3898" s="277">
        <f>VLOOKUP(J3897,Ocor.!$B:$F,4,FALSE)</f>
        <v>37.200000000000003</v>
      </c>
      <c r="F3898" s="277">
        <f>VLOOKUP(J3897,Ocor.!$B:$F,5,FALSE)</f>
        <v>5.6</v>
      </c>
      <c r="G3898" s="243">
        <f>TRUNC(VLOOKUP(B3898,tranp.!$A:$J,5,FALSE)*E3898+VLOOKUP(B3898,tranp.!$A:$J,6,FALSE)*F3898+VLOOKUP(B3898,tranp.!$A:$J,7,FALSE),2)</f>
        <v>29.08</v>
      </c>
      <c r="H3898" s="278">
        <v>1.52E-2</v>
      </c>
      <c r="I3898" s="243">
        <f>TRUNC(G3898*H3898,2)</f>
        <v>0.44</v>
      </c>
      <c r="J3898" s="433" t="s">
        <v>121</v>
      </c>
      <c r="K3898" s="302"/>
    </row>
    <row r="3899" spans="1:17" x14ac:dyDescent="0.2">
      <c r="A3899" s="265" t="str">
        <f>VLOOKUP(B3899,tranp.!A:D,2,FALSE)</f>
        <v>Transporte de Sarrafo 10 X 2,5 cm</v>
      </c>
      <c r="B3899" s="238">
        <v>1096</v>
      </c>
      <c r="C3899" s="238" t="str">
        <f>VLOOKUP(B3899,tranp.!$A:$J,3,FALSE)</f>
        <v xml:space="preserve"> t  </v>
      </c>
      <c r="D3899" s="276" t="str">
        <f>VLOOKUP(B3899,tranp.!$A:$J,4,FALSE)</f>
        <v>0,676XP + 0,703XR</v>
      </c>
      <c r="E3899" s="277">
        <f>VLOOKUP(J3898,Ocor.!$B:$F,4,FALSE)</f>
        <v>37.200000000000003</v>
      </c>
      <c r="F3899" s="277">
        <f>VLOOKUP(J3898,Ocor.!$B:$F,5,FALSE)</f>
        <v>5.6</v>
      </c>
      <c r="G3899" s="243">
        <f>TRUNC(VLOOKUP(B3899,tranp.!$A:$J,5,FALSE)*E3899+VLOOKUP(B3899,tranp.!$A:$J,6,FALSE)*F3899+VLOOKUP(B3899,tranp.!$A:$J,7,FALSE),2)</f>
        <v>29.08</v>
      </c>
      <c r="H3899" s="278">
        <v>1.6000000000000001E-3</v>
      </c>
      <c r="I3899" s="243">
        <f>TRUNC(G3899*H3899,2)</f>
        <v>0.04</v>
      </c>
      <c r="J3899" s="433" t="s">
        <v>121</v>
      </c>
      <c r="K3899" s="302"/>
    </row>
    <row r="3900" spans="1:17" x14ac:dyDescent="0.2">
      <c r="A3900" s="265" t="str">
        <f>VLOOKUP(B3900,tranp.!A:D,2,FALSE)</f>
        <v>Transporte de Tábuas de 2,5 cm</v>
      </c>
      <c r="B3900" s="238">
        <v>1094</v>
      </c>
      <c r="C3900" s="238" t="str">
        <f>VLOOKUP(B3900,tranp.!$A:$J,3,FALSE)</f>
        <v xml:space="preserve"> t  </v>
      </c>
      <c r="D3900" s="276" t="str">
        <f>VLOOKUP(B3900,tranp.!$A:$J,4,FALSE)</f>
        <v>0,676XP + 0,703XR</v>
      </c>
      <c r="E3900" s="277">
        <f>VLOOKUP(J3899,Ocor.!$B:$F,4,FALSE)</f>
        <v>37.200000000000003</v>
      </c>
      <c r="F3900" s="277">
        <f>VLOOKUP(J3899,Ocor.!$B:$F,5,FALSE)</f>
        <v>5.6</v>
      </c>
      <c r="G3900" s="243">
        <f>TRUNC(VLOOKUP(B3900,tranp.!$A:$J,5,FALSE)*E3900+VLOOKUP(B3900,tranp.!$A:$J,6,FALSE)*F3900+VLOOKUP(B3900,tranp.!$A:$J,7,FALSE),2)</f>
        <v>29.08</v>
      </c>
      <c r="H3900" s="278">
        <v>2.1999999999999999E-2</v>
      </c>
      <c r="I3900" s="243">
        <f>TRUNC(G3900*H3900,2)</f>
        <v>0.63</v>
      </c>
      <c r="K3900" s="302"/>
    </row>
    <row r="3901" spans="1:17" x14ac:dyDescent="0.2">
      <c r="A3901" s="201"/>
      <c r="B3901" s="271"/>
      <c r="C3901" s="201"/>
      <c r="D3901" s="201"/>
      <c r="E3901" s="201"/>
      <c r="F3901" s="272" t="s">
        <v>220</v>
      </c>
      <c r="G3901" s="244"/>
      <c r="H3901" s="279"/>
      <c r="I3901" s="438">
        <f>SUM(I3898:I3900)</f>
        <v>1.1100000000000001</v>
      </c>
      <c r="K3901" s="302"/>
    </row>
    <row r="3902" spans="1:17" x14ac:dyDescent="0.2">
      <c r="A3902" s="201"/>
      <c r="B3902" s="271"/>
      <c r="C3902" s="201"/>
      <c r="D3902" s="201"/>
      <c r="E3902" s="201"/>
      <c r="F3902" s="201"/>
      <c r="G3902" s="201"/>
      <c r="H3902" s="201"/>
      <c r="I3902" s="202"/>
    </row>
    <row r="3903" spans="1:17" x14ac:dyDescent="0.2">
      <c r="A3903" s="280"/>
      <c r="B3903" s="281"/>
      <c r="C3903" s="282"/>
      <c r="D3903" s="282"/>
      <c r="E3903" s="282"/>
      <c r="F3903" s="283" t="s">
        <v>221</v>
      </c>
      <c r="G3903" s="280"/>
      <c r="H3903" s="254"/>
      <c r="I3903" s="634">
        <f>+I3884+I3891+I3895+I3901</f>
        <v>148.59</v>
      </c>
    </row>
    <row r="3904" spans="1:17" x14ac:dyDescent="0.2">
      <c r="A3904" s="260"/>
      <c r="B3904" s="284"/>
      <c r="C3904" s="273"/>
      <c r="D3904" s="273"/>
      <c r="E3904" s="273"/>
      <c r="F3904" s="285" t="str">
        <f>CONCATENATE($H$3," ",$I$3)</f>
        <v>BDI: 23,32</v>
      </c>
      <c r="G3904" s="439"/>
      <c r="H3904" s="258"/>
      <c r="I3904" s="635">
        <f>+ROUND(I3903*$I$4,2)</f>
        <v>34.65</v>
      </c>
    </row>
    <row r="3905" spans="1:17" x14ac:dyDescent="0.2">
      <c r="A3905" s="244"/>
      <c r="B3905" s="286"/>
      <c r="C3905" s="279"/>
      <c r="D3905" s="279"/>
      <c r="E3905" s="279"/>
      <c r="F3905" s="287" t="s">
        <v>222</v>
      </c>
      <c r="G3905" s="440"/>
      <c r="H3905" s="245"/>
      <c r="I3905" s="1017">
        <f>+I3903+I3904</f>
        <v>183.24</v>
      </c>
    </row>
    <row r="3906" spans="1:17" x14ac:dyDescent="0.2">
      <c r="A3906" s="1277" t="str">
        <f>$A$1</f>
        <v>COMPOSIÇÃO DE CUSTOS UNITÁRIOS</v>
      </c>
      <c r="B3906" s="1277"/>
      <c r="C3906" s="1277"/>
      <c r="D3906" s="1277"/>
      <c r="E3906" s="1277"/>
      <c r="F3906" s="1277"/>
      <c r="G3906" s="1277"/>
      <c r="H3906" s="1277"/>
      <c r="I3906" s="1277"/>
    </row>
    <row r="3907" spans="1:17" x14ac:dyDescent="0.2">
      <c r="A3907" s="232" t="str">
        <f>$A$2</f>
        <v>Tabela Referencial de Preços - DER-ES</v>
      </c>
      <c r="B3907" s="233"/>
      <c r="C3907" s="199"/>
      <c r="D3907" s="199"/>
      <c r="E3907" s="199"/>
      <c r="F3907" s="199"/>
      <c r="G3907" s="199"/>
      <c r="H3907" s="199"/>
      <c r="I3907" s="234" t="str">
        <f>$I$2</f>
        <v>Data Base: Outubro/2018</v>
      </c>
      <c r="J3907" s="433">
        <v>40348</v>
      </c>
      <c r="K3907" s="433">
        <f>VLOOKUP("Preço Unitário Total",F3909:I4251,4,FALSE)</f>
        <v>499.57</v>
      </c>
      <c r="L3907" s="302" t="str">
        <f>VLOOKUP(J3907,'DER 10-18'!A:E,5,FALSE)</f>
        <v>A incluir</v>
      </c>
      <c r="M3907" s="302" t="str">
        <f>VLOOKUP(J3907,'DER 10-18'!$A:$D,2,FALSE)</f>
        <v>Argamassa cimento e areia traço 1:4, tudo incluído</v>
      </c>
    </row>
    <row r="3908" spans="1:17" x14ac:dyDescent="0.2">
      <c r="A3908" s="1278" t="str">
        <f>+CONCATENATE("Serviço: ",J3907," ",VLOOKUP(J3907,'DER 10-18'!$A:$D,2,FALSE))</f>
        <v>Serviço: 40348 Argamassa cimento e areia traço 1:4, tudo incluído</v>
      </c>
      <c r="B3908" s="1278"/>
      <c r="C3908" s="1278"/>
      <c r="D3908" s="1278"/>
      <c r="E3908" s="1278"/>
      <c r="F3908" s="1278"/>
      <c r="G3908" s="1278"/>
      <c r="H3908" s="1278"/>
      <c r="I3908" s="1278" t="str">
        <f>CONCATENATE("Unidade: ", VLOOKUP(J3907,'DER 10-18'!$A:$E,3,FALSE))</f>
        <v>Unidade: M3</v>
      </c>
      <c r="J3908" s="302"/>
      <c r="K3908" s="302"/>
    </row>
    <row r="3909" spans="1:17" x14ac:dyDescent="0.2">
      <c r="A3909" s="1279"/>
      <c r="B3909" s="1279"/>
      <c r="C3909" s="1279"/>
      <c r="D3909" s="1279"/>
      <c r="E3909" s="1279"/>
      <c r="F3909" s="1279"/>
      <c r="G3909" s="1279"/>
      <c r="H3909" s="1279"/>
      <c r="I3909" s="1279"/>
      <c r="J3909" s="302"/>
      <c r="K3909" s="302"/>
    </row>
    <row r="3910" spans="1:17" ht="22.5" x14ac:dyDescent="0.2">
      <c r="A3910" s="235" t="s">
        <v>192</v>
      </c>
      <c r="B3910" s="236" t="s">
        <v>60</v>
      </c>
      <c r="C3910" s="236" t="s">
        <v>193</v>
      </c>
      <c r="D3910" s="236" t="s">
        <v>194</v>
      </c>
      <c r="E3910" s="236" t="s">
        <v>195</v>
      </c>
      <c r="F3910" s="236" t="s">
        <v>196</v>
      </c>
      <c r="G3910" s="236" t="s">
        <v>197</v>
      </c>
      <c r="H3910" s="236" t="s">
        <v>91</v>
      </c>
      <c r="I3910" s="236" t="s">
        <v>198</v>
      </c>
      <c r="J3910" s="302"/>
      <c r="K3910" s="302"/>
    </row>
    <row r="3911" spans="1:17" x14ac:dyDescent="0.2">
      <c r="A3911" s="237" t="str">
        <f>VLOOKUP(B3911,equip.!$A:$G,2,FALSE)</f>
        <v>Carrinho de mão</v>
      </c>
      <c r="B3911" s="238">
        <v>30076</v>
      </c>
      <c r="C3911" s="239">
        <f>VLOOKUP(B3911,equip.!$A$1:$G$239,3,FALSE)</f>
        <v>0</v>
      </c>
      <c r="D3911" s="240">
        <v>1</v>
      </c>
      <c r="E3911" s="205">
        <v>0</v>
      </c>
      <c r="F3911" s="241">
        <f>VLOOKUP(B3911,equip.!$A:$G,6,FALSE)</f>
        <v>0.18</v>
      </c>
      <c r="G3911" s="241">
        <f>VLOOKUP(B3911,equip.!$A:$G,7,FALSE)</f>
        <v>0.12</v>
      </c>
      <c r="H3911" s="242">
        <v>2</v>
      </c>
      <c r="I3911" s="243">
        <f>TRUNC(D3911*F3911*H3911+E3911*G3911*H3911,2)</f>
        <v>0.36</v>
      </c>
      <c r="J3911" s="302"/>
      <c r="K3911" s="302"/>
    </row>
    <row r="3912" spans="1:17" x14ac:dyDescent="0.2">
      <c r="A3912" s="199"/>
      <c r="B3912" s="233"/>
      <c r="C3912" s="233"/>
      <c r="D3912" s="199"/>
      <c r="E3912" s="199"/>
      <c r="F3912" s="234" t="s">
        <v>199</v>
      </c>
      <c r="G3912" s="244"/>
      <c r="H3912" s="245"/>
      <c r="I3912" s="434">
        <f>SUM(I3911:I3911)</f>
        <v>0.36</v>
      </c>
      <c r="J3912" s="302"/>
      <c r="K3912" s="302"/>
    </row>
    <row r="3913" spans="1:17" x14ac:dyDescent="0.2">
      <c r="A3913" s="199"/>
      <c r="B3913" s="233"/>
      <c r="C3913" s="233"/>
      <c r="D3913" s="199"/>
      <c r="E3913" s="199"/>
      <c r="F3913" s="199"/>
      <c r="G3913" s="199"/>
      <c r="H3913" s="199"/>
      <c r="I3913" s="200"/>
      <c r="J3913" s="302"/>
      <c r="K3913" s="302"/>
    </row>
    <row r="3914" spans="1:17" x14ac:dyDescent="0.2">
      <c r="A3914" s="246" t="s">
        <v>200</v>
      </c>
      <c r="B3914" s="247" t="s">
        <v>60</v>
      </c>
      <c r="C3914" s="236" t="s">
        <v>1242</v>
      </c>
      <c r="D3914" s="247" t="s">
        <v>202</v>
      </c>
      <c r="E3914" s="1276" t="s">
        <v>91</v>
      </c>
      <c r="F3914" s="1274"/>
      <c r="G3914" s="1275"/>
      <c r="H3914" s="1276" t="s">
        <v>198</v>
      </c>
      <c r="I3914" s="1275"/>
      <c r="J3914" s="302"/>
      <c r="K3914" s="302"/>
    </row>
    <row r="3915" spans="1:17" x14ac:dyDescent="0.2">
      <c r="A3915" s="248" t="str">
        <f>VLOOKUP(B3915,m.o.!$A:$H,2,FALSE)</f>
        <v>Encarregado de O.A.C.</v>
      </c>
      <c r="B3915" s="238">
        <v>20060</v>
      </c>
      <c r="C3915" s="243">
        <f>VLOOKUP(B3915,m.o.!$A:$F,4,FALSE)</f>
        <v>2.2599999999999998</v>
      </c>
      <c r="D3915" s="243">
        <f>VLOOKUP(B3915,m.o.!$A:$G,7,FALSE)</f>
        <v>26.3</v>
      </c>
      <c r="E3915" s="244"/>
      <c r="F3915" s="258"/>
      <c r="G3915" s="300">
        <v>1</v>
      </c>
      <c r="H3915" s="244"/>
      <c r="I3915" s="249">
        <f>TRUNC(D3915*G3915,2)</f>
        <v>26.3</v>
      </c>
      <c r="J3915" s="302"/>
      <c r="K3915" s="302"/>
    </row>
    <row r="3916" spans="1:17" x14ac:dyDescent="0.2">
      <c r="A3916" s="248" t="str">
        <f>VLOOKUP(B3916,m.o.!$A:$H,2,FALSE)</f>
        <v>Operário braçal</v>
      </c>
      <c r="B3916" s="238">
        <v>20107</v>
      </c>
      <c r="C3916" s="243">
        <f>VLOOKUP(B3916,m.o.!$A:$F,4,FALSE)</f>
        <v>1.02</v>
      </c>
      <c r="D3916" s="243">
        <f>VLOOKUP(B3916,m.o.!$A:$G,7,FALSE)</f>
        <v>11.87</v>
      </c>
      <c r="E3916" s="244"/>
      <c r="F3916" s="245"/>
      <c r="G3916" s="441">
        <v>10</v>
      </c>
      <c r="H3916" s="244"/>
      <c r="I3916" s="249">
        <f>TRUNC(D3916*G3916,2)</f>
        <v>118.7</v>
      </c>
      <c r="J3916" s="302"/>
      <c r="K3916" s="302"/>
    </row>
    <row r="3917" spans="1:17" s="198" customFormat="1" x14ac:dyDescent="0.2">
      <c r="A3917" s="199"/>
      <c r="B3917" s="233"/>
      <c r="C3917" s="233"/>
      <c r="D3917" s="199"/>
      <c r="E3917" s="199"/>
      <c r="F3917" s="234" t="s">
        <v>203</v>
      </c>
      <c r="G3917" s="244"/>
      <c r="H3917" s="245"/>
      <c r="I3917" s="434">
        <f>SUM(I3915:I3916)</f>
        <v>145</v>
      </c>
      <c r="J3917" s="302"/>
      <c r="K3917" s="302"/>
      <c r="L3917" s="302"/>
      <c r="M3917" s="302"/>
      <c r="N3917" s="302"/>
      <c r="O3917" s="302"/>
      <c r="P3917" s="302"/>
      <c r="Q3917" s="302"/>
    </row>
    <row r="3918" spans="1:17" x14ac:dyDescent="0.2">
      <c r="A3918" s="199"/>
      <c r="B3918" s="233"/>
      <c r="C3918" s="233"/>
      <c r="D3918" s="199"/>
      <c r="E3918" s="199"/>
      <c r="F3918" s="199"/>
      <c r="G3918" s="199"/>
      <c r="H3918" s="199"/>
      <c r="I3918" s="200"/>
      <c r="J3918" s="302"/>
      <c r="K3918" s="302"/>
    </row>
    <row r="3919" spans="1:17" x14ac:dyDescent="0.2">
      <c r="A3919" s="250" t="s">
        <v>204</v>
      </c>
      <c r="B3919" s="247" t="s">
        <v>60</v>
      </c>
      <c r="C3919" s="866" t="s">
        <v>17</v>
      </c>
      <c r="D3919" s="247" t="s">
        <v>205</v>
      </c>
      <c r="E3919" s="247" t="s">
        <v>206</v>
      </c>
      <c r="F3919" s="247" t="s">
        <v>207</v>
      </c>
      <c r="G3919" s="1276" t="s">
        <v>96</v>
      </c>
      <c r="H3919" s="1274"/>
      <c r="I3919" s="1275"/>
      <c r="J3919" s="302"/>
      <c r="K3919" s="302"/>
    </row>
    <row r="3920" spans="1:17" x14ac:dyDescent="0.2">
      <c r="A3920" s="248" t="s">
        <v>142</v>
      </c>
      <c r="B3920" s="238">
        <v>2000</v>
      </c>
      <c r="C3920" s="243">
        <v>5</v>
      </c>
      <c r="D3920" s="239" t="s">
        <v>223</v>
      </c>
      <c r="E3920" s="251"/>
      <c r="F3920" s="251"/>
      <c r="G3920" s="244"/>
      <c r="H3920" s="245"/>
      <c r="I3920" s="249">
        <f>TRUNC(C3920/100*I3917,2)</f>
        <v>7.25</v>
      </c>
      <c r="J3920" s="302"/>
      <c r="K3920" s="302"/>
    </row>
    <row r="3921" spans="1:17" x14ac:dyDescent="0.2">
      <c r="A3921" s="199"/>
      <c r="B3921" s="233"/>
      <c r="C3921" s="199"/>
      <c r="D3921" s="199"/>
      <c r="E3921" s="199"/>
      <c r="F3921" s="234" t="s">
        <v>1170</v>
      </c>
      <c r="G3921" s="244"/>
      <c r="H3921" s="245"/>
      <c r="I3921" s="434">
        <f>SUM(I3920)</f>
        <v>7.25</v>
      </c>
      <c r="J3921" s="302"/>
      <c r="K3921" s="302"/>
    </row>
    <row r="3922" spans="1:17" x14ac:dyDescent="0.2">
      <c r="A3922" s="199"/>
      <c r="B3922" s="233"/>
      <c r="C3922" s="199"/>
      <c r="D3922" s="199"/>
      <c r="E3922" s="199"/>
      <c r="F3922" s="199"/>
      <c r="G3922" s="199"/>
      <c r="H3922" s="199"/>
      <c r="I3922" s="200"/>
      <c r="J3922" s="302"/>
      <c r="K3922" s="302"/>
    </row>
    <row r="3923" spans="1:17" s="198" customFormat="1" x14ac:dyDescent="0.2">
      <c r="A3923" s="252"/>
      <c r="B3923" s="253"/>
      <c r="C3923" s="254"/>
      <c r="D3923" s="254"/>
      <c r="E3923" s="254"/>
      <c r="F3923" s="255" t="s">
        <v>208</v>
      </c>
      <c r="G3923" s="435"/>
      <c r="H3923" s="254"/>
      <c r="I3923" s="634">
        <f>+I3912+I3917+I3921</f>
        <v>152.61000000000001</v>
      </c>
      <c r="J3923" s="302"/>
      <c r="K3923" s="302"/>
      <c r="L3923" s="302"/>
      <c r="M3923" s="302"/>
      <c r="N3923" s="302"/>
      <c r="O3923" s="302"/>
      <c r="P3923" s="302"/>
      <c r="Q3923" s="302"/>
    </row>
    <row r="3924" spans="1:17" s="198" customFormat="1" x14ac:dyDescent="0.2">
      <c r="A3924" s="256"/>
      <c r="B3924" s="257"/>
      <c r="C3924" s="258"/>
      <c r="D3924" s="258"/>
      <c r="E3924" s="258"/>
      <c r="F3924" s="259" t="s">
        <v>209</v>
      </c>
      <c r="G3924" s="260"/>
      <c r="H3924" s="258"/>
      <c r="I3924" s="635">
        <v>1</v>
      </c>
      <c r="J3924" s="433"/>
      <c r="K3924" s="302"/>
      <c r="L3924" s="302"/>
      <c r="M3924" s="302"/>
      <c r="N3924" s="302"/>
      <c r="O3924" s="302"/>
      <c r="P3924" s="302"/>
      <c r="Q3924" s="302"/>
    </row>
    <row r="3925" spans="1:17" s="198" customFormat="1" x14ac:dyDescent="0.2">
      <c r="A3925" s="237"/>
      <c r="B3925" s="261"/>
      <c r="C3925" s="245"/>
      <c r="D3925" s="245"/>
      <c r="E3925" s="245"/>
      <c r="F3925" s="262" t="s">
        <v>232</v>
      </c>
      <c r="G3925" s="244"/>
      <c r="H3925" s="245"/>
      <c r="I3925" s="633">
        <f>TRUNC(I3923/I3924,2)</f>
        <v>152.61000000000001</v>
      </c>
      <c r="J3925" s="433"/>
      <c r="K3925" s="302"/>
      <c r="L3925" s="302"/>
      <c r="M3925" s="302"/>
      <c r="N3925" s="302"/>
      <c r="O3925" s="302"/>
      <c r="P3925" s="302"/>
      <c r="Q3925" s="302"/>
    </row>
    <row r="3926" spans="1:17" s="198" customFormat="1" x14ac:dyDescent="0.2">
      <c r="A3926" s="867"/>
      <c r="B3926" s="233"/>
      <c r="C3926" s="199"/>
      <c r="D3926" s="199"/>
      <c r="E3926" s="199"/>
      <c r="F3926" s="263"/>
      <c r="G3926" s="199"/>
      <c r="H3926" s="199"/>
      <c r="I3926" s="264"/>
      <c r="J3926" s="433"/>
      <c r="K3926" s="302"/>
      <c r="L3926" s="302"/>
      <c r="M3926" s="302"/>
      <c r="N3926" s="302"/>
      <c r="O3926" s="302"/>
      <c r="P3926" s="302"/>
      <c r="Q3926" s="302"/>
    </row>
    <row r="3927" spans="1:17" x14ac:dyDescent="0.2">
      <c r="A3927" s="246" t="s">
        <v>210</v>
      </c>
      <c r="B3927" s="247" t="s">
        <v>60</v>
      </c>
      <c r="C3927" s="247" t="s">
        <v>211</v>
      </c>
      <c r="D3927" s="247" t="s">
        <v>233</v>
      </c>
      <c r="E3927" s="1276" t="s">
        <v>91</v>
      </c>
      <c r="F3927" s="1274"/>
      <c r="G3927" s="1275"/>
      <c r="H3927" s="1276" t="s">
        <v>198</v>
      </c>
      <c r="I3927" s="1275"/>
      <c r="K3927" s="302"/>
    </row>
    <row r="3928" spans="1:17" ht="22.5" x14ac:dyDescent="0.2">
      <c r="A3928" s="265" t="str">
        <f>VLOOKUP(B3928,mat.!$A:$D,2,FALSE)</f>
        <v>Areia grossa jazida com carregamento mecânico</v>
      </c>
      <c r="B3928" s="238">
        <v>10109</v>
      </c>
      <c r="C3928" s="266" t="str">
        <f>VLOOKUP(B3928,mat.!$A:$D,3,FALSE)</f>
        <v>m3</v>
      </c>
      <c r="D3928" s="267">
        <f>VLOOKUP(B3928,mat.!$A:$D,4,FALSE)</f>
        <v>64.22</v>
      </c>
      <c r="E3928" s="260"/>
      <c r="F3928" s="258"/>
      <c r="G3928" s="300">
        <v>1.2070000000000001</v>
      </c>
      <c r="H3928" s="260"/>
      <c r="I3928" s="268">
        <f>TRUNC(D3928*G3928,2)</f>
        <v>77.510000000000005</v>
      </c>
      <c r="K3928" s="302"/>
    </row>
    <row r="3929" spans="1:17" x14ac:dyDescent="0.2">
      <c r="A3929" s="265" t="str">
        <f>VLOOKUP(B3929,mat.!$A:$D,2,FALSE)</f>
        <v>Cimento CP III</v>
      </c>
      <c r="B3929" s="238">
        <v>10092</v>
      </c>
      <c r="C3929" s="266" t="str">
        <f>VLOOKUP(B3929,mat.!$A:$D,3,FALSE)</f>
        <v>kg</v>
      </c>
      <c r="D3929" s="267">
        <f>VLOOKUP(B3929,mat.!$A:$D,4,FALSE)</f>
        <v>0.38</v>
      </c>
      <c r="E3929" s="260"/>
      <c r="F3929" s="258"/>
      <c r="G3929" s="441">
        <v>367.5</v>
      </c>
      <c r="H3929" s="260"/>
      <c r="I3929" s="268">
        <f>TRUNC(D3929*G3929,2)</f>
        <v>139.65</v>
      </c>
      <c r="K3929" s="302"/>
    </row>
    <row r="3930" spans="1:17" x14ac:dyDescent="0.2">
      <c r="A3930" s="199"/>
      <c r="B3930" s="233"/>
      <c r="C3930" s="199"/>
      <c r="D3930" s="199"/>
      <c r="E3930" s="199"/>
      <c r="F3930" s="234" t="s">
        <v>212</v>
      </c>
      <c r="G3930" s="244"/>
      <c r="H3930" s="245"/>
      <c r="I3930" s="434">
        <f>SUM(I3928:I3929)</f>
        <v>217.16</v>
      </c>
      <c r="K3930" s="302"/>
    </row>
    <row r="3931" spans="1:17" x14ac:dyDescent="0.2">
      <c r="A3931" s="199"/>
      <c r="B3931" s="233"/>
      <c r="C3931" s="199"/>
      <c r="D3931" s="199"/>
      <c r="E3931" s="199"/>
      <c r="F3931" s="199"/>
      <c r="G3931" s="269"/>
      <c r="H3931" s="199"/>
      <c r="I3931" s="200"/>
      <c r="K3931" s="302"/>
    </row>
    <row r="3932" spans="1:17" x14ac:dyDescent="0.2">
      <c r="A3932" s="270" t="s">
        <v>213</v>
      </c>
      <c r="B3932" s="247" t="s">
        <v>60</v>
      </c>
      <c r="C3932" s="247" t="s">
        <v>211</v>
      </c>
      <c r="D3932" s="866" t="s">
        <v>233</v>
      </c>
      <c r="E3932" s="1276" t="s">
        <v>91</v>
      </c>
      <c r="F3932" s="1274"/>
      <c r="G3932" s="1275"/>
      <c r="H3932" s="1276" t="s">
        <v>198</v>
      </c>
      <c r="I3932" s="1275"/>
      <c r="K3932" s="302"/>
    </row>
    <row r="3933" spans="1:17" ht="21" customHeight="1" x14ac:dyDescent="0.2">
      <c r="A3933" s="248"/>
      <c r="B3933" s="238"/>
      <c r="C3933" s="238"/>
      <c r="D3933" s="243"/>
      <c r="E3933" s="244"/>
      <c r="F3933" s="258"/>
      <c r="G3933" s="300"/>
      <c r="H3933" s="244"/>
      <c r="I3933" s="268"/>
      <c r="K3933" s="302"/>
    </row>
    <row r="3934" spans="1:17" x14ac:dyDescent="0.2">
      <c r="A3934" s="201"/>
      <c r="B3934" s="271"/>
      <c r="C3934" s="201"/>
      <c r="D3934" s="201"/>
      <c r="E3934" s="201"/>
      <c r="F3934" s="272" t="s">
        <v>214</v>
      </c>
      <c r="G3934" s="260"/>
      <c r="H3934" s="273"/>
      <c r="I3934" s="436">
        <f>SUM(I3933:I3933)</f>
        <v>0</v>
      </c>
      <c r="K3934" s="302"/>
    </row>
    <row r="3935" spans="1:17" x14ac:dyDescent="0.2">
      <c r="A3935" s="201"/>
      <c r="B3935" s="271"/>
      <c r="C3935" s="201"/>
      <c r="D3935" s="201"/>
      <c r="E3935" s="201"/>
      <c r="F3935" s="201"/>
      <c r="G3935" s="201"/>
      <c r="H3935" s="201"/>
      <c r="I3935" s="201"/>
      <c r="K3935" s="302"/>
    </row>
    <row r="3936" spans="1:17" x14ac:dyDescent="0.2">
      <c r="A3936" s="274" t="s">
        <v>215</v>
      </c>
      <c r="B3936" s="275" t="s">
        <v>60</v>
      </c>
      <c r="C3936" s="275" t="s">
        <v>211</v>
      </c>
      <c r="D3936" s="275" t="s">
        <v>216</v>
      </c>
      <c r="E3936" s="275" t="s">
        <v>217</v>
      </c>
      <c r="F3936" s="275" t="s">
        <v>218</v>
      </c>
      <c r="G3936" s="275" t="s">
        <v>96</v>
      </c>
      <c r="H3936" s="275" t="s">
        <v>91</v>
      </c>
      <c r="I3936" s="275" t="s">
        <v>219</v>
      </c>
      <c r="J3936" s="433" t="s">
        <v>115</v>
      </c>
      <c r="K3936" s="302"/>
    </row>
    <row r="3937" spans="1:17" ht="22.5" x14ac:dyDescent="0.2">
      <c r="A3937" s="265" t="str">
        <f>VLOOKUP(B3937,tranp.!A:D,2,FALSE)</f>
        <v>Transp. de Areia grossa jazida c/ carreg.mecânico</v>
      </c>
      <c r="B3937" s="238">
        <v>1026</v>
      </c>
      <c r="C3937" s="238" t="str">
        <f>VLOOKUP(B3937,tranp.!$A:$J,3,FALSE)</f>
        <v xml:space="preserve"> t  </v>
      </c>
      <c r="D3937" s="276" t="str">
        <f>VLOOKUP(B3937,tranp.!$A:$J,4,FALSE)</f>
        <v>0,681XP + 0,710XR + 2,841</v>
      </c>
      <c r="E3937" s="277">
        <f>VLOOKUP(J3936,Ocor.!$B:$F,4,FALSE)</f>
        <v>10</v>
      </c>
      <c r="F3937" s="277">
        <f>VLOOKUP(J3936,Ocor.!$B:$F,5,FALSE)</f>
        <v>5.6</v>
      </c>
      <c r="G3937" s="243">
        <f>TRUNC(VLOOKUP(B3937,tranp.!$A:$J,5,FALSE)*E3937+VLOOKUP(B3937,tranp.!$A:$J,6,FALSE)*F3937+VLOOKUP(B3937,tranp.!$A:$J,7,FALSE),2)</f>
        <v>13.62</v>
      </c>
      <c r="H3937" s="278">
        <v>1.8105</v>
      </c>
      <c r="I3937" s="243">
        <f>TRUNC(G3937*H3937,2)</f>
        <v>24.65</v>
      </c>
      <c r="J3937" s="433" t="s">
        <v>174</v>
      </c>
      <c r="K3937" s="302"/>
    </row>
    <row r="3938" spans="1:17" x14ac:dyDescent="0.2">
      <c r="A3938" s="265" t="str">
        <f>VLOOKUP(B3938,tranp.!A:D,2,FALSE)</f>
        <v>Transp. de Cimento</v>
      </c>
      <c r="B3938" s="238">
        <v>1153</v>
      </c>
      <c r="C3938" s="238" t="str">
        <f>VLOOKUP(B3938,tranp.!$A:$J,3,FALSE)</f>
        <v xml:space="preserve"> t  </v>
      </c>
      <c r="D3938" s="276" t="str">
        <f>VLOOKUP(B3938,tranp.!$A:$J,4,FALSE)</f>
        <v>0,676XP + 0,703XR</v>
      </c>
      <c r="E3938" s="277">
        <f>VLOOKUP(J3937,Ocor.!$B:$F,4,FALSE)</f>
        <v>37.200000000000003</v>
      </c>
      <c r="F3938" s="277">
        <f>VLOOKUP(J3937,Ocor.!$B:$F,5,FALSE)</f>
        <v>5.6</v>
      </c>
      <c r="G3938" s="243">
        <f>TRUNC(VLOOKUP(B3938,tranp.!$A:$J,5,FALSE)*E3938+VLOOKUP(B3938,tranp.!$A:$J,6,FALSE)*F3938+VLOOKUP(B3938,tranp.!$A:$J,7,FALSE),2)</f>
        <v>29.08</v>
      </c>
      <c r="H3938" s="278">
        <v>0.36749999999999999</v>
      </c>
      <c r="I3938" s="243">
        <f>TRUNC(G3938*H3938,2)</f>
        <v>10.68</v>
      </c>
      <c r="K3938" s="302"/>
    </row>
    <row r="3939" spans="1:17" x14ac:dyDescent="0.2">
      <c r="A3939" s="201"/>
      <c r="B3939" s="271"/>
      <c r="C3939" s="201"/>
      <c r="D3939" s="201"/>
      <c r="E3939" s="201"/>
      <c r="F3939" s="272" t="s">
        <v>220</v>
      </c>
      <c r="G3939" s="244"/>
      <c r="H3939" s="279"/>
      <c r="I3939" s="438">
        <f>SUM(I3937:I3938)</f>
        <v>35.33</v>
      </c>
      <c r="K3939" s="302"/>
    </row>
    <row r="3940" spans="1:17" x14ac:dyDescent="0.2">
      <c r="A3940" s="201"/>
      <c r="B3940" s="271"/>
      <c r="C3940" s="201"/>
      <c r="D3940" s="201"/>
      <c r="E3940" s="201"/>
      <c r="F3940" s="201"/>
      <c r="G3940" s="201"/>
      <c r="H3940" s="201"/>
      <c r="I3940" s="202"/>
    </row>
    <row r="3941" spans="1:17" x14ac:dyDescent="0.2">
      <c r="A3941" s="280"/>
      <c r="B3941" s="281"/>
      <c r="C3941" s="282"/>
      <c r="D3941" s="282"/>
      <c r="E3941" s="282"/>
      <c r="F3941" s="283" t="s">
        <v>221</v>
      </c>
      <c r="G3941" s="280"/>
      <c r="H3941" s="254"/>
      <c r="I3941" s="634">
        <f>+I3925+I3930+I3934+I3939</f>
        <v>405.1</v>
      </c>
    </row>
    <row r="3942" spans="1:17" x14ac:dyDescent="0.2">
      <c r="A3942" s="260"/>
      <c r="B3942" s="284"/>
      <c r="C3942" s="273"/>
      <c r="D3942" s="273"/>
      <c r="E3942" s="273"/>
      <c r="F3942" s="285" t="str">
        <f>CONCATENATE($H$3," ",$I$3)</f>
        <v>BDI: 23,32</v>
      </c>
      <c r="G3942" s="439"/>
      <c r="H3942" s="258"/>
      <c r="I3942" s="635">
        <f>+ROUND(I3941*$I$4,2)</f>
        <v>94.47</v>
      </c>
    </row>
    <row r="3943" spans="1:17" x14ac:dyDescent="0.2">
      <c r="A3943" s="244"/>
      <c r="B3943" s="286"/>
      <c r="C3943" s="279"/>
      <c r="D3943" s="279"/>
      <c r="E3943" s="279"/>
      <c r="F3943" s="287" t="s">
        <v>222</v>
      </c>
      <c r="G3943" s="440"/>
      <c r="H3943" s="245"/>
      <c r="I3943" s="1017">
        <f>+I3941+I3942</f>
        <v>499.57</v>
      </c>
    </row>
    <row r="3944" spans="1:17" x14ac:dyDescent="0.2">
      <c r="A3944" s="1277" t="str">
        <f>$A$1</f>
        <v>COMPOSIÇÃO DE CUSTOS UNITÁRIOS</v>
      </c>
      <c r="B3944" s="1277"/>
      <c r="C3944" s="1277"/>
      <c r="D3944" s="1277"/>
      <c r="E3944" s="1277"/>
      <c r="F3944" s="1277"/>
      <c r="G3944" s="1277"/>
      <c r="H3944" s="1277"/>
      <c r="I3944" s="1277"/>
    </row>
    <row r="3945" spans="1:17" x14ac:dyDescent="0.2">
      <c r="A3945" s="232" t="str">
        <f>$A$2</f>
        <v>Tabela Referencial de Preços - DER-ES</v>
      </c>
      <c r="B3945" s="233"/>
      <c r="C3945" s="199"/>
      <c r="D3945" s="199"/>
      <c r="E3945" s="199"/>
      <c r="F3945" s="199"/>
      <c r="G3945" s="199"/>
      <c r="H3945" s="199"/>
      <c r="I3945" s="234" t="str">
        <f>$I$2</f>
        <v>Data Base: Outubro/2018</v>
      </c>
      <c r="J3945" s="433">
        <v>40312</v>
      </c>
      <c r="K3945" s="433">
        <f>VLOOKUP("Preço Unitário Total",F3947:I4251,4,FALSE)</f>
        <v>93.17</v>
      </c>
      <c r="L3945" s="302" t="str">
        <f>VLOOKUP(J3945,'DER 10-18'!A:E,5,FALSE)</f>
        <v>A incluir</v>
      </c>
      <c r="M3945" s="302" t="str">
        <f>VLOOKUP(J3945,'DER 10-18'!$A:$D,2,FALSE)</f>
        <v>Formas planas de madeira com 02 (dois) reaproveitamentos, inclusive fornecimento e transporte das madeiras</v>
      </c>
    </row>
    <row r="3946" spans="1:17" x14ac:dyDescent="0.2">
      <c r="A3946" s="1278" t="str">
        <f>+CONCATENATE("Serviço: ",J3945," ",VLOOKUP(J3945,'DER 10-18'!$A:$D,2,FALSE))</f>
        <v>Serviço: 40312 Formas planas de madeira com 02 (dois) reaproveitamentos, inclusive fornecimento e transporte das madeiras</v>
      </c>
      <c r="B3946" s="1278"/>
      <c r="C3946" s="1278"/>
      <c r="D3946" s="1278"/>
      <c r="E3946" s="1278"/>
      <c r="F3946" s="1278"/>
      <c r="G3946" s="1278"/>
      <c r="H3946" s="1278"/>
      <c r="I3946" s="1278" t="str">
        <f>CONCATENATE("Unidade: ", VLOOKUP(J3945,'DER 10-18'!$A:$E,3,FALSE))</f>
        <v>Unidade: M2</v>
      </c>
    </row>
    <row r="3947" spans="1:17" x14ac:dyDescent="0.2">
      <c r="A3947" s="1279"/>
      <c r="B3947" s="1279"/>
      <c r="C3947" s="1279"/>
      <c r="D3947" s="1279"/>
      <c r="E3947" s="1279"/>
      <c r="F3947" s="1279"/>
      <c r="G3947" s="1279"/>
      <c r="H3947" s="1279"/>
      <c r="I3947" s="1279"/>
    </row>
    <row r="3948" spans="1:17" ht="22.5" x14ac:dyDescent="0.2">
      <c r="A3948" s="235" t="s">
        <v>192</v>
      </c>
      <c r="B3948" s="236" t="s">
        <v>60</v>
      </c>
      <c r="C3948" s="236" t="s">
        <v>193</v>
      </c>
      <c r="D3948" s="236" t="s">
        <v>194</v>
      </c>
      <c r="E3948" s="236" t="s">
        <v>195</v>
      </c>
      <c r="F3948" s="236" t="s">
        <v>196</v>
      </c>
      <c r="G3948" s="236" t="s">
        <v>197</v>
      </c>
      <c r="H3948" s="236" t="s">
        <v>91</v>
      </c>
      <c r="I3948" s="236" t="s">
        <v>198</v>
      </c>
    </row>
    <row r="3949" spans="1:17" s="198" customFormat="1" x14ac:dyDescent="0.2">
      <c r="A3949" s="237" t="str">
        <f>VLOOKUP(B3949,equip.!$A:$G,2,FALSE)</f>
        <v>Serra circular (WEG) ou equivalente</v>
      </c>
      <c r="B3949" s="238">
        <v>30073</v>
      </c>
      <c r="C3949" s="239" t="str">
        <f>VLOOKUP(B3949,equip.!$A$1:$G$239,3,FALSE)</f>
        <v>M</v>
      </c>
      <c r="D3949" s="240">
        <v>0.3</v>
      </c>
      <c r="E3949" s="205">
        <v>0.7</v>
      </c>
      <c r="F3949" s="241">
        <f>VLOOKUP(B3949,equip.!$A:$G,6,FALSE)</f>
        <v>18.22</v>
      </c>
      <c r="G3949" s="241">
        <f>VLOOKUP(B3949,equip.!$A:$G,7,FALSE)</f>
        <v>14.81</v>
      </c>
      <c r="H3949" s="242">
        <v>1</v>
      </c>
      <c r="I3949" s="243">
        <f>TRUNC(D3949*F3949*H3949+E3949*G3949*H3949,2)</f>
        <v>15.83</v>
      </c>
      <c r="J3949" s="433"/>
      <c r="K3949" s="433"/>
      <c r="L3949" s="302"/>
      <c r="M3949" s="302"/>
      <c r="N3949" s="302"/>
      <c r="O3949" s="302"/>
      <c r="P3949" s="302"/>
      <c r="Q3949" s="302"/>
    </row>
    <row r="3950" spans="1:17" x14ac:dyDescent="0.2">
      <c r="A3950" s="199"/>
      <c r="B3950" s="233"/>
      <c r="C3950" s="233"/>
      <c r="D3950" s="199"/>
      <c r="E3950" s="199"/>
      <c r="F3950" s="234" t="s">
        <v>199</v>
      </c>
      <c r="G3950" s="244"/>
      <c r="H3950" s="245"/>
      <c r="I3950" s="434">
        <f>SUM(I3949:I3949)</f>
        <v>15.83</v>
      </c>
    </row>
    <row r="3951" spans="1:17" x14ac:dyDescent="0.2">
      <c r="A3951" s="199"/>
      <c r="B3951" s="233"/>
      <c r="C3951" s="233"/>
      <c r="D3951" s="199"/>
      <c r="E3951" s="199"/>
      <c r="F3951" s="199"/>
      <c r="G3951" s="199"/>
      <c r="H3951" s="199"/>
      <c r="I3951" s="200"/>
    </row>
    <row r="3952" spans="1:17" x14ac:dyDescent="0.2">
      <c r="A3952" s="246" t="s">
        <v>200</v>
      </c>
      <c r="B3952" s="247" t="s">
        <v>60</v>
      </c>
      <c r="C3952" s="236" t="s">
        <v>1242</v>
      </c>
      <c r="D3952" s="247" t="s">
        <v>202</v>
      </c>
      <c r="E3952" s="1276" t="s">
        <v>91</v>
      </c>
      <c r="F3952" s="1274"/>
      <c r="G3952" s="1275"/>
      <c r="H3952" s="1276" t="s">
        <v>198</v>
      </c>
      <c r="I3952" s="1275"/>
    </row>
    <row r="3953" spans="1:17" x14ac:dyDescent="0.2">
      <c r="A3953" s="248" t="str">
        <f>VLOOKUP(B3953,m.o.!$A:$H,2,FALSE)</f>
        <v>Carpinteiro de O.A.C.</v>
      </c>
      <c r="B3953" s="238">
        <v>20038</v>
      </c>
      <c r="C3953" s="243">
        <f>VLOOKUP(B3953,m.o.!$A:$F,4,FALSE)</f>
        <v>1.24</v>
      </c>
      <c r="D3953" s="243">
        <f>VLOOKUP(B3953,m.o.!$A:$G,7,FALSE)</f>
        <v>14.43</v>
      </c>
      <c r="E3953" s="244"/>
      <c r="F3953" s="258"/>
      <c r="G3953" s="300">
        <v>0.6</v>
      </c>
      <c r="H3953" s="244"/>
      <c r="I3953" s="249">
        <f>TRUNC(D3953*G3953,2)</f>
        <v>8.65</v>
      </c>
    </row>
    <row r="3954" spans="1:17" x14ac:dyDescent="0.2">
      <c r="A3954" s="248" t="str">
        <f>VLOOKUP(B3954,m.o.!$A:$H,2,FALSE)</f>
        <v>Operário braçal</v>
      </c>
      <c r="B3954" s="238">
        <v>20107</v>
      </c>
      <c r="C3954" s="243">
        <f>VLOOKUP(B3954,m.o.!$A:$F,4,FALSE)</f>
        <v>1.02</v>
      </c>
      <c r="D3954" s="243">
        <f>VLOOKUP(B3954,m.o.!$A:$G,7,FALSE)</f>
        <v>11.87</v>
      </c>
      <c r="E3954" s="244"/>
      <c r="F3954" s="245"/>
      <c r="G3954" s="441">
        <v>1.38</v>
      </c>
      <c r="H3954" s="244"/>
      <c r="I3954" s="249">
        <f>TRUNC(D3954*G3954,2)</f>
        <v>16.38</v>
      </c>
    </row>
    <row r="3955" spans="1:17" s="198" customFormat="1" x14ac:dyDescent="0.2">
      <c r="A3955" s="199"/>
      <c r="B3955" s="233"/>
      <c r="C3955" s="233"/>
      <c r="D3955" s="199"/>
      <c r="E3955" s="199"/>
      <c r="F3955" s="234" t="s">
        <v>203</v>
      </c>
      <c r="G3955" s="244"/>
      <c r="H3955" s="245"/>
      <c r="I3955" s="434">
        <f>SUM(I3953:I3954)</f>
        <v>25.03</v>
      </c>
      <c r="J3955" s="433"/>
      <c r="K3955" s="433"/>
      <c r="L3955" s="302"/>
      <c r="M3955" s="302"/>
      <c r="N3955" s="302"/>
      <c r="O3955" s="302"/>
      <c r="P3955" s="302"/>
      <c r="Q3955" s="302"/>
    </row>
    <row r="3956" spans="1:17" s="198" customFormat="1" x14ac:dyDescent="0.2">
      <c r="A3956" s="199"/>
      <c r="B3956" s="233"/>
      <c r="C3956" s="233"/>
      <c r="D3956" s="199"/>
      <c r="E3956" s="199"/>
      <c r="F3956" s="199"/>
      <c r="G3956" s="199"/>
      <c r="H3956" s="199"/>
      <c r="I3956" s="200"/>
      <c r="J3956" s="302"/>
      <c r="K3956" s="302"/>
      <c r="L3956" s="302"/>
      <c r="M3956" s="302"/>
      <c r="N3956" s="302"/>
      <c r="O3956" s="302"/>
      <c r="P3956" s="302"/>
      <c r="Q3956" s="302"/>
    </row>
    <row r="3957" spans="1:17" s="198" customFormat="1" x14ac:dyDescent="0.2">
      <c r="A3957" s="250" t="s">
        <v>204</v>
      </c>
      <c r="B3957" s="247" t="s">
        <v>60</v>
      </c>
      <c r="C3957" s="866" t="s">
        <v>17</v>
      </c>
      <c r="D3957" s="247" t="s">
        <v>205</v>
      </c>
      <c r="E3957" s="247" t="s">
        <v>206</v>
      </c>
      <c r="F3957" s="247" t="s">
        <v>207</v>
      </c>
      <c r="G3957" s="1276" t="s">
        <v>96</v>
      </c>
      <c r="H3957" s="1274"/>
      <c r="I3957" s="1275"/>
      <c r="J3957" s="302"/>
      <c r="K3957" s="302"/>
      <c r="L3957" s="302"/>
      <c r="M3957" s="302"/>
      <c r="N3957" s="302"/>
      <c r="O3957" s="302"/>
      <c r="P3957" s="302"/>
      <c r="Q3957" s="302"/>
    </row>
    <row r="3958" spans="1:17" s="198" customFormat="1" x14ac:dyDescent="0.2">
      <c r="A3958" s="248" t="s">
        <v>142</v>
      </c>
      <c r="B3958" s="238">
        <v>2000</v>
      </c>
      <c r="C3958" s="243">
        <v>5</v>
      </c>
      <c r="D3958" s="239" t="s">
        <v>223</v>
      </c>
      <c r="E3958" s="251"/>
      <c r="F3958" s="251"/>
      <c r="G3958" s="244"/>
      <c r="H3958" s="245"/>
      <c r="I3958" s="249">
        <f>TRUNC(C3958/100*I3955,2)</f>
        <v>1.25</v>
      </c>
      <c r="J3958" s="302"/>
      <c r="K3958" s="302"/>
      <c r="L3958" s="302"/>
      <c r="M3958" s="302"/>
      <c r="N3958" s="302"/>
      <c r="O3958" s="302"/>
      <c r="P3958" s="302"/>
      <c r="Q3958" s="302"/>
    </row>
    <row r="3959" spans="1:17" x14ac:dyDescent="0.2">
      <c r="A3959" s="199"/>
      <c r="B3959" s="233"/>
      <c r="C3959" s="199"/>
      <c r="D3959" s="199"/>
      <c r="E3959" s="199"/>
      <c r="F3959" s="234" t="s">
        <v>1170</v>
      </c>
      <c r="G3959" s="244"/>
      <c r="H3959" s="245"/>
      <c r="I3959" s="434">
        <f>SUM(I3958)</f>
        <v>1.25</v>
      </c>
      <c r="J3959" s="302"/>
      <c r="K3959" s="302"/>
    </row>
    <row r="3960" spans="1:17" x14ac:dyDescent="0.2">
      <c r="A3960" s="199"/>
      <c r="B3960" s="233"/>
      <c r="C3960" s="199"/>
      <c r="D3960" s="199"/>
      <c r="E3960" s="199"/>
      <c r="F3960" s="199"/>
      <c r="G3960" s="199"/>
      <c r="H3960" s="199"/>
      <c r="I3960" s="200"/>
      <c r="J3960" s="302"/>
      <c r="K3960" s="302"/>
    </row>
    <row r="3961" spans="1:17" x14ac:dyDescent="0.2">
      <c r="A3961" s="252"/>
      <c r="B3961" s="253"/>
      <c r="C3961" s="254"/>
      <c r="D3961" s="254"/>
      <c r="E3961" s="254"/>
      <c r="F3961" s="255" t="s">
        <v>208</v>
      </c>
      <c r="G3961" s="435"/>
      <c r="H3961" s="254"/>
      <c r="I3961" s="634">
        <f>+I3950+I3955+I3959</f>
        <v>42.11</v>
      </c>
      <c r="J3961" s="302"/>
      <c r="K3961" s="302"/>
    </row>
    <row r="3962" spans="1:17" x14ac:dyDescent="0.2">
      <c r="A3962" s="256"/>
      <c r="B3962" s="257"/>
      <c r="C3962" s="258"/>
      <c r="D3962" s="258"/>
      <c r="E3962" s="258"/>
      <c r="F3962" s="259" t="s">
        <v>209</v>
      </c>
      <c r="G3962" s="260"/>
      <c r="H3962" s="258"/>
      <c r="I3962" s="635">
        <v>1</v>
      </c>
      <c r="J3962" s="302"/>
      <c r="K3962" s="302"/>
    </row>
    <row r="3963" spans="1:17" x14ac:dyDescent="0.2">
      <c r="A3963" s="237"/>
      <c r="B3963" s="261"/>
      <c r="C3963" s="245"/>
      <c r="D3963" s="245"/>
      <c r="E3963" s="245"/>
      <c r="F3963" s="262" t="s">
        <v>232</v>
      </c>
      <c r="G3963" s="244"/>
      <c r="H3963" s="245"/>
      <c r="I3963" s="633">
        <f>TRUNC(I3961/I3962,2)</f>
        <v>42.11</v>
      </c>
      <c r="J3963" s="302"/>
      <c r="K3963" s="302"/>
    </row>
    <row r="3964" spans="1:17" x14ac:dyDescent="0.2">
      <c r="A3964" s="867"/>
      <c r="B3964" s="233"/>
      <c r="C3964" s="199"/>
      <c r="D3964" s="199"/>
      <c r="E3964" s="199"/>
      <c r="F3964" s="263"/>
      <c r="G3964" s="199"/>
      <c r="H3964" s="199"/>
      <c r="I3964" s="264"/>
      <c r="J3964" s="302"/>
      <c r="K3964" s="302"/>
    </row>
    <row r="3965" spans="1:17" ht="21" customHeight="1" x14ac:dyDescent="0.2">
      <c r="A3965" s="246" t="s">
        <v>210</v>
      </c>
      <c r="B3965" s="247" t="s">
        <v>60</v>
      </c>
      <c r="C3965" s="247" t="s">
        <v>211</v>
      </c>
      <c r="D3965" s="247" t="s">
        <v>233</v>
      </c>
      <c r="E3965" s="1276" t="s">
        <v>91</v>
      </c>
      <c r="F3965" s="1274"/>
      <c r="G3965" s="1275"/>
      <c r="H3965" s="1276" t="s">
        <v>198</v>
      </c>
      <c r="I3965" s="1275"/>
      <c r="J3965" s="302"/>
      <c r="K3965" s="302"/>
    </row>
    <row r="3966" spans="1:17" x14ac:dyDescent="0.2">
      <c r="A3966" s="265" t="str">
        <f>VLOOKUP(B3966,mat.!$A:$D,2,FALSE)</f>
        <v>Caibros 7 X 7 cm (pontalete)</v>
      </c>
      <c r="B3966" s="238">
        <v>10066</v>
      </c>
      <c r="C3966" s="266" t="str">
        <f>VLOOKUP(B3966,mat.!$A:$D,3,FALSE)</f>
        <v>M3</v>
      </c>
      <c r="D3966" s="267">
        <f>VLOOKUP(B3966,mat.!$A:$D,4,FALSE)</f>
        <v>1616</v>
      </c>
      <c r="E3966" s="260"/>
      <c r="F3966" s="258"/>
      <c r="G3966" s="300">
        <v>3.2000000000000002E-3</v>
      </c>
      <c r="H3966" s="260"/>
      <c r="I3966" s="268">
        <f>TRUNC(D3966*G3966,2)</f>
        <v>5.17</v>
      </c>
      <c r="J3966" s="302"/>
      <c r="K3966" s="302"/>
    </row>
    <row r="3967" spans="1:17" x14ac:dyDescent="0.2">
      <c r="A3967" s="265" t="str">
        <f>VLOOKUP(B3967,mat.!$A:$D,2,FALSE)</f>
        <v>Prego 18 X 24</v>
      </c>
      <c r="B3967" s="238">
        <v>10135</v>
      </c>
      <c r="C3967" s="266" t="str">
        <f>VLOOKUP(B3967,mat.!$A:$D,3,FALSE)</f>
        <v>kg</v>
      </c>
      <c r="D3967" s="267">
        <f>VLOOKUP(B3967,mat.!$A:$D,4,FALSE)</f>
        <v>10.54</v>
      </c>
      <c r="E3967" s="260"/>
      <c r="F3967" s="258"/>
      <c r="G3967" s="441">
        <v>0.2</v>
      </c>
      <c r="H3967" s="260"/>
      <c r="I3967" s="268">
        <f>TRUNC(D3967*G3967,2)</f>
        <v>2.1</v>
      </c>
      <c r="J3967" s="302"/>
      <c r="K3967" s="302"/>
    </row>
    <row r="3968" spans="1:17" x14ac:dyDescent="0.2">
      <c r="A3968" s="265" t="str">
        <f>VLOOKUP(B3968,mat.!$A:$D,2,FALSE)</f>
        <v>Sarrafo 10 X 2,5 cm</v>
      </c>
      <c r="B3968" s="238">
        <v>10067</v>
      </c>
      <c r="C3968" s="266" t="str">
        <f>VLOOKUP(B3968,mat.!$A:$D,3,FALSE)</f>
        <v>M3</v>
      </c>
      <c r="D3968" s="267">
        <f>VLOOKUP(B3968,mat.!$A:$D,4,FALSE)</f>
        <v>1012</v>
      </c>
      <c r="E3968" s="260"/>
      <c r="F3968" s="258"/>
      <c r="G3968" s="441">
        <v>2.2000000000000001E-3</v>
      </c>
      <c r="H3968" s="260"/>
      <c r="I3968" s="268">
        <f>TRUNC(D3968*G3968,2)</f>
        <v>2.2200000000000002</v>
      </c>
      <c r="J3968" s="302"/>
      <c r="K3968" s="302"/>
    </row>
    <row r="3969" spans="1:17" x14ac:dyDescent="0.2">
      <c r="A3969" s="265" t="str">
        <f>VLOOKUP(B3969,mat.!$A:$D,2,FALSE)</f>
        <v>Tábuas de 2,5 cm (Não Aparelhada)</v>
      </c>
      <c r="B3969" s="238">
        <v>10065</v>
      </c>
      <c r="C3969" s="266" t="str">
        <f>VLOOKUP(B3969,mat.!$A:$D,3,FALSE)</f>
        <v>M3</v>
      </c>
      <c r="D3969" s="267">
        <f>VLOOKUP(B3969,mat.!$A:$D,4,FALSE)</f>
        <v>1884</v>
      </c>
      <c r="E3969" s="260"/>
      <c r="F3969" s="258"/>
      <c r="G3969" s="441">
        <v>1.2500000000000001E-2</v>
      </c>
      <c r="H3969" s="260"/>
      <c r="I3969" s="268">
        <f>TRUNC(D3969*G3969,2)</f>
        <v>23.55</v>
      </c>
      <c r="J3969" s="302"/>
      <c r="K3969" s="302"/>
    </row>
    <row r="3970" spans="1:17" x14ac:dyDescent="0.2">
      <c r="A3970" s="199"/>
      <c r="B3970" s="233"/>
      <c r="C3970" s="199"/>
      <c r="D3970" s="199"/>
      <c r="E3970" s="199"/>
      <c r="F3970" s="234" t="s">
        <v>212</v>
      </c>
      <c r="G3970" s="244"/>
      <c r="H3970" s="245"/>
      <c r="I3970" s="434">
        <f>SUM(I3966:I3969)</f>
        <v>33.04</v>
      </c>
      <c r="J3970" s="302"/>
      <c r="K3970" s="302"/>
    </row>
    <row r="3971" spans="1:17" x14ac:dyDescent="0.2">
      <c r="A3971" s="199"/>
      <c r="B3971" s="233"/>
      <c r="C3971" s="199"/>
      <c r="D3971" s="199"/>
      <c r="E3971" s="199"/>
      <c r="F3971" s="199"/>
      <c r="G3971" s="269"/>
      <c r="H3971" s="199"/>
      <c r="I3971" s="200"/>
      <c r="J3971" s="302"/>
      <c r="K3971" s="302"/>
    </row>
    <row r="3972" spans="1:17" x14ac:dyDescent="0.2">
      <c r="A3972" s="270" t="s">
        <v>213</v>
      </c>
      <c r="B3972" s="247" t="s">
        <v>60</v>
      </c>
      <c r="C3972" s="247" t="s">
        <v>211</v>
      </c>
      <c r="D3972" s="866" t="s">
        <v>233</v>
      </c>
      <c r="E3972" s="1276" t="s">
        <v>91</v>
      </c>
      <c r="F3972" s="1274"/>
      <c r="G3972" s="1275"/>
      <c r="H3972" s="1276" t="s">
        <v>198</v>
      </c>
      <c r="I3972" s="1275"/>
    </row>
    <row r="3973" spans="1:17" x14ac:dyDescent="0.2">
      <c r="A3973" s="248"/>
      <c r="B3973" s="238"/>
      <c r="C3973" s="238"/>
      <c r="D3973" s="243"/>
      <c r="E3973" s="244"/>
      <c r="F3973" s="258"/>
      <c r="G3973" s="300"/>
      <c r="H3973" s="244"/>
      <c r="I3973" s="268"/>
    </row>
    <row r="3974" spans="1:17" x14ac:dyDescent="0.2">
      <c r="A3974" s="201"/>
      <c r="B3974" s="271"/>
      <c r="C3974" s="201"/>
      <c r="D3974" s="201"/>
      <c r="E3974" s="201"/>
      <c r="F3974" s="272" t="s">
        <v>214</v>
      </c>
      <c r="G3974" s="260"/>
      <c r="H3974" s="273"/>
      <c r="I3974" s="436">
        <f>SUM(I3973:I3973)</f>
        <v>0</v>
      </c>
    </row>
    <row r="3975" spans="1:17" x14ac:dyDescent="0.2">
      <c r="A3975" s="201"/>
      <c r="B3975" s="271"/>
      <c r="C3975" s="201"/>
      <c r="D3975" s="201"/>
      <c r="E3975" s="201"/>
      <c r="F3975" s="201"/>
      <c r="G3975" s="201"/>
      <c r="H3975" s="201"/>
      <c r="I3975" s="201"/>
    </row>
    <row r="3976" spans="1:17" x14ac:dyDescent="0.2">
      <c r="A3976" s="274" t="s">
        <v>215</v>
      </c>
      <c r="B3976" s="275" t="s">
        <v>60</v>
      </c>
      <c r="C3976" s="275" t="s">
        <v>211</v>
      </c>
      <c r="D3976" s="275" t="s">
        <v>216</v>
      </c>
      <c r="E3976" s="275" t="s">
        <v>217</v>
      </c>
      <c r="F3976" s="275" t="s">
        <v>218</v>
      </c>
      <c r="G3976" s="275" t="s">
        <v>96</v>
      </c>
      <c r="H3976" s="275" t="s">
        <v>91</v>
      </c>
      <c r="I3976" s="275" t="s">
        <v>219</v>
      </c>
      <c r="J3976" s="433" t="s">
        <v>121</v>
      </c>
    </row>
    <row r="3977" spans="1:17" ht="22.5" x14ac:dyDescent="0.2">
      <c r="A3977" s="265" t="str">
        <f>VLOOKUP(B3977,tranp.!A:D,2,FALSE)</f>
        <v>Transporte de Caibros 8 X 8 cm (pontalete)</v>
      </c>
      <c r="B3977" s="238">
        <v>1095</v>
      </c>
      <c r="C3977" s="238" t="str">
        <f>VLOOKUP(B3977,tranp.!$A:$J,3,FALSE)</f>
        <v xml:space="preserve"> t  </v>
      </c>
      <c r="D3977" s="276" t="str">
        <f>VLOOKUP(B3977,tranp.!$A:$J,4,FALSE)</f>
        <v>0,676XP + 0,703XR</v>
      </c>
      <c r="E3977" s="277">
        <f>VLOOKUP(J3976,Ocor.!$B:$F,4,FALSE)</f>
        <v>37.200000000000003</v>
      </c>
      <c r="F3977" s="277">
        <f>VLOOKUP(J3976,Ocor.!$B:$F,5,FALSE)</f>
        <v>5.6</v>
      </c>
      <c r="G3977" s="243">
        <f>TRUNC(VLOOKUP(B3977,tranp.!$A:$J,5,FALSE)*E3977+VLOOKUP(B3977,tranp.!$A:$J,6,FALSE)*F3977+VLOOKUP(B3977,tranp.!$A:$J,7,FALSE),2)</f>
        <v>29.08</v>
      </c>
      <c r="H3977" s="278">
        <v>2.5999999999999999E-3</v>
      </c>
      <c r="I3977" s="243">
        <f>TRUNC(G3977*H3977,2)</f>
        <v>7.0000000000000007E-2</v>
      </c>
      <c r="J3977" s="433" t="s">
        <v>121</v>
      </c>
    </row>
    <row r="3978" spans="1:17" x14ac:dyDescent="0.2">
      <c r="A3978" s="265" t="str">
        <f>VLOOKUP(B3978,tranp.!A:D,2,FALSE)</f>
        <v>Transporte de Sarrafo 10 X 2,5 cm</v>
      </c>
      <c r="B3978" s="238">
        <v>1096</v>
      </c>
      <c r="C3978" s="238" t="str">
        <f>VLOOKUP(B3978,tranp.!$A:$J,3,FALSE)</f>
        <v xml:space="preserve"> t  </v>
      </c>
      <c r="D3978" s="276" t="str">
        <f>VLOOKUP(B3978,tranp.!$A:$J,4,FALSE)</f>
        <v>0,676XP + 0,703XR</v>
      </c>
      <c r="E3978" s="277">
        <f>VLOOKUP(J3977,Ocor.!$B:$F,4,FALSE)</f>
        <v>37.200000000000003</v>
      </c>
      <c r="F3978" s="277">
        <f>VLOOKUP(J3977,Ocor.!$B:$F,5,FALSE)</f>
        <v>5.6</v>
      </c>
      <c r="G3978" s="243">
        <f>TRUNC(VLOOKUP(B3978,tranp.!$A:$J,5,FALSE)*E3978+VLOOKUP(B3978,tranp.!$A:$J,6,FALSE)*F3978+VLOOKUP(B3978,tranp.!$A:$J,7,FALSE),2)</f>
        <v>29.08</v>
      </c>
      <c r="H3978" s="278">
        <v>1.6999999999999999E-3</v>
      </c>
      <c r="I3978" s="243">
        <f>TRUNC(G3978*H3978,2)</f>
        <v>0.04</v>
      </c>
      <c r="J3978" s="433" t="s">
        <v>121</v>
      </c>
    </row>
    <row r="3979" spans="1:17" x14ac:dyDescent="0.2">
      <c r="A3979" s="265" t="str">
        <f>VLOOKUP(B3979,tranp.!A:D,2,FALSE)</f>
        <v>Transporte de Tábuas de 2,5 cm</v>
      </c>
      <c r="B3979" s="238">
        <v>1094</v>
      </c>
      <c r="C3979" s="238" t="str">
        <f>VLOOKUP(B3979,tranp.!$A:$J,3,FALSE)</f>
        <v xml:space="preserve"> t  </v>
      </c>
      <c r="D3979" s="276" t="str">
        <f>VLOOKUP(B3979,tranp.!$A:$J,4,FALSE)</f>
        <v>0,676XP + 0,703XR</v>
      </c>
      <c r="E3979" s="277">
        <f>VLOOKUP(J3978,Ocor.!$B:$F,4,FALSE)</f>
        <v>37.200000000000003</v>
      </c>
      <c r="F3979" s="277">
        <f>VLOOKUP(J3978,Ocor.!$B:$F,5,FALSE)</f>
        <v>5.6</v>
      </c>
      <c r="G3979" s="243">
        <f>TRUNC(VLOOKUP(B3979,tranp.!$A:$J,5,FALSE)*E3979+VLOOKUP(B3979,tranp.!$A:$J,6,FALSE)*F3979+VLOOKUP(B3979,tranp.!$A:$J,7,FALSE),2)</f>
        <v>29.08</v>
      </c>
      <c r="H3979" s="278">
        <v>0.01</v>
      </c>
      <c r="I3979" s="243">
        <f>TRUNC(G3979*H3979,2)</f>
        <v>0.28999999999999998</v>
      </c>
    </row>
    <row r="3980" spans="1:17" x14ac:dyDescent="0.2">
      <c r="A3980" s="201"/>
      <c r="B3980" s="271"/>
      <c r="C3980" s="201"/>
      <c r="D3980" s="201"/>
      <c r="E3980" s="201"/>
      <c r="F3980" s="272" t="s">
        <v>220</v>
      </c>
      <c r="G3980" s="244"/>
      <c r="H3980" s="279"/>
      <c r="I3980" s="438">
        <f>SUM(I3977:I3979)</f>
        <v>0.4</v>
      </c>
    </row>
    <row r="3981" spans="1:17" x14ac:dyDescent="0.2">
      <c r="A3981" s="201"/>
      <c r="B3981" s="271"/>
      <c r="C3981" s="201"/>
      <c r="D3981" s="201"/>
      <c r="E3981" s="201"/>
      <c r="F3981" s="201"/>
      <c r="G3981" s="201"/>
      <c r="H3981" s="201"/>
      <c r="I3981" s="202"/>
    </row>
    <row r="3982" spans="1:17" s="198" customFormat="1" x14ac:dyDescent="0.2">
      <c r="A3982" s="280"/>
      <c r="B3982" s="281"/>
      <c r="C3982" s="282"/>
      <c r="D3982" s="282"/>
      <c r="E3982" s="282"/>
      <c r="F3982" s="283" t="s">
        <v>221</v>
      </c>
      <c r="G3982" s="280"/>
      <c r="H3982" s="254"/>
      <c r="I3982" s="634">
        <f>+I3963+I3970+I3974+I3980</f>
        <v>75.55</v>
      </c>
      <c r="J3982" s="433"/>
      <c r="K3982" s="433"/>
      <c r="L3982" s="302"/>
      <c r="M3982" s="302"/>
      <c r="N3982" s="302"/>
      <c r="O3982" s="302"/>
      <c r="P3982" s="302"/>
      <c r="Q3982" s="302"/>
    </row>
    <row r="3983" spans="1:17" x14ac:dyDescent="0.2">
      <c r="A3983" s="260"/>
      <c r="B3983" s="284"/>
      <c r="C3983" s="273"/>
      <c r="D3983" s="273"/>
      <c r="E3983" s="273"/>
      <c r="F3983" s="285" t="str">
        <f>CONCATENATE($H$3," ",$I$3)</f>
        <v>BDI: 23,32</v>
      </c>
      <c r="G3983" s="439"/>
      <c r="H3983" s="258"/>
      <c r="I3983" s="635">
        <f>+ROUND(I3982*$I$4,2)</f>
        <v>17.62</v>
      </c>
    </row>
    <row r="3984" spans="1:17" x14ac:dyDescent="0.2">
      <c r="A3984" s="244"/>
      <c r="B3984" s="286"/>
      <c r="C3984" s="279"/>
      <c r="D3984" s="279"/>
      <c r="E3984" s="279"/>
      <c r="F3984" s="287" t="s">
        <v>222</v>
      </c>
      <c r="G3984" s="440"/>
      <c r="H3984" s="245"/>
      <c r="I3984" s="1017">
        <f>+I3982+I3983</f>
        <v>93.17</v>
      </c>
      <c r="J3984" s="451"/>
      <c r="K3984" s="451"/>
      <c r="L3984" s="198"/>
      <c r="M3984" s="198"/>
      <c r="N3984" s="198"/>
      <c r="O3984" s="198"/>
      <c r="P3984" s="198"/>
      <c r="Q3984" s="198"/>
    </row>
    <row r="3985" spans="1:17" x14ac:dyDescent="0.2">
      <c r="A3985" s="1277" t="str">
        <f>$A$1</f>
        <v>COMPOSIÇÃO DE CUSTOS UNITÁRIOS</v>
      </c>
      <c r="B3985" s="1277"/>
      <c r="C3985" s="1277"/>
      <c r="D3985" s="1277"/>
      <c r="E3985" s="1277"/>
      <c r="F3985" s="1277"/>
      <c r="G3985" s="1277"/>
      <c r="H3985" s="1277"/>
      <c r="I3985" s="1277"/>
    </row>
    <row r="3986" spans="1:17" x14ac:dyDescent="0.2">
      <c r="A3986" s="232" t="str">
        <f>$A$2</f>
        <v>Tabela Referencial de Preços - DER-ES</v>
      </c>
      <c r="B3986" s="233"/>
      <c r="C3986" s="199"/>
      <c r="D3986" s="199"/>
      <c r="E3986" s="199"/>
      <c r="F3986" s="199"/>
      <c r="G3986" s="199"/>
      <c r="H3986" s="199"/>
      <c r="I3986" s="234" t="str">
        <f>$I$2</f>
        <v>Data Base: Outubro/2018</v>
      </c>
      <c r="J3986" s="433">
        <v>40351</v>
      </c>
      <c r="K3986" s="433">
        <f>VLOOKUP("Preço Unitário Total",F3988:I4251,4,FALSE)</f>
        <v>499.47</v>
      </c>
      <c r="L3986" s="302" t="str">
        <f>VLOOKUP(J3986,'DER 10-18'!A:E,5,FALSE)</f>
        <v>A incluir</v>
      </c>
      <c r="M3986" s="302" t="str">
        <f>VLOOKUP(J3986,'DER 10-18'!$A:$D,2,FALSE)</f>
        <v>Concreto ciclópico com 70% concreto 15,0 MPa e 30% de pedra de mão, tudo incluído</v>
      </c>
    </row>
    <row r="3987" spans="1:17" x14ac:dyDescent="0.2">
      <c r="A3987" s="1278" t="str">
        <f>+CONCATENATE("Serviço: ",J3986," ",VLOOKUP(J3986,'DER 10-18'!$A:$D,2,FALSE))</f>
        <v>Serviço: 40351 Concreto ciclópico com 70% concreto 15,0 MPa e 30% de pedra de mão, tudo incluído</v>
      </c>
      <c r="B3987" s="1278"/>
      <c r="C3987" s="1278"/>
      <c r="D3987" s="1278"/>
      <c r="E3987" s="1278"/>
      <c r="F3987" s="1278"/>
      <c r="G3987" s="1278"/>
      <c r="H3987" s="1278"/>
      <c r="I3987" s="1278" t="str">
        <f>CONCATENATE("Unidade: ", VLOOKUP(J3986,'DER 10-18'!$A:$E,3,FALSE))</f>
        <v>Unidade: M3</v>
      </c>
    </row>
    <row r="3988" spans="1:17" s="198" customFormat="1" x14ac:dyDescent="0.2">
      <c r="A3988" s="1279"/>
      <c r="B3988" s="1279"/>
      <c r="C3988" s="1279"/>
      <c r="D3988" s="1279"/>
      <c r="E3988" s="1279"/>
      <c r="F3988" s="1279"/>
      <c r="G3988" s="1279"/>
      <c r="H3988" s="1279"/>
      <c r="I3988" s="1279"/>
      <c r="J3988" s="433"/>
      <c r="K3988" s="433"/>
      <c r="L3988" s="302"/>
      <c r="M3988" s="302"/>
      <c r="N3988" s="302"/>
      <c r="O3988" s="302"/>
      <c r="P3988" s="302"/>
      <c r="Q3988" s="302"/>
    </row>
    <row r="3989" spans="1:17" s="198" customFormat="1" ht="22.5" x14ac:dyDescent="0.2">
      <c r="A3989" s="235" t="s">
        <v>192</v>
      </c>
      <c r="B3989" s="236" t="s">
        <v>60</v>
      </c>
      <c r="C3989" s="236" t="s">
        <v>193</v>
      </c>
      <c r="D3989" s="236" t="s">
        <v>194</v>
      </c>
      <c r="E3989" s="236" t="s">
        <v>195</v>
      </c>
      <c r="F3989" s="236" t="s">
        <v>196</v>
      </c>
      <c r="G3989" s="236" t="s">
        <v>197</v>
      </c>
      <c r="H3989" s="236" t="s">
        <v>91</v>
      </c>
      <c r="I3989" s="236" t="s">
        <v>198</v>
      </c>
      <c r="J3989" s="433"/>
      <c r="K3989" s="433"/>
      <c r="L3989" s="302"/>
      <c r="M3989" s="302"/>
      <c r="N3989" s="302"/>
      <c r="O3989" s="302"/>
      <c r="P3989" s="302"/>
      <c r="Q3989" s="302"/>
    </row>
    <row r="3990" spans="1:17" s="198" customFormat="1" x14ac:dyDescent="0.2">
      <c r="A3990" s="237"/>
      <c r="B3990" s="238"/>
      <c r="C3990" s="239"/>
      <c r="D3990" s="240"/>
      <c r="E3990" s="205"/>
      <c r="F3990" s="241"/>
      <c r="G3990" s="241"/>
      <c r="H3990" s="242"/>
      <c r="I3990" s="243"/>
      <c r="J3990" s="433"/>
      <c r="K3990" s="433"/>
      <c r="L3990" s="302"/>
      <c r="M3990" s="302"/>
      <c r="N3990" s="302"/>
      <c r="O3990" s="302"/>
      <c r="P3990" s="302"/>
      <c r="Q3990" s="302"/>
    </row>
    <row r="3991" spans="1:17" s="198" customFormat="1" x14ac:dyDescent="0.2">
      <c r="A3991" s="199"/>
      <c r="B3991" s="233"/>
      <c r="C3991" s="233"/>
      <c r="D3991" s="199"/>
      <c r="E3991" s="199"/>
      <c r="F3991" s="234" t="s">
        <v>199</v>
      </c>
      <c r="G3991" s="244"/>
      <c r="H3991" s="245"/>
      <c r="I3991" s="434">
        <f>SUM(I3990:I3990)</f>
        <v>0</v>
      </c>
      <c r="J3991" s="302"/>
      <c r="K3991" s="302"/>
      <c r="L3991" s="302"/>
      <c r="M3991" s="302"/>
      <c r="N3991" s="302"/>
      <c r="O3991" s="302"/>
      <c r="P3991" s="302"/>
      <c r="Q3991" s="302"/>
    </row>
    <row r="3992" spans="1:17" x14ac:dyDescent="0.2">
      <c r="A3992" s="199"/>
      <c r="B3992" s="233"/>
      <c r="C3992" s="233"/>
      <c r="D3992" s="199"/>
      <c r="E3992" s="199"/>
      <c r="F3992" s="199"/>
      <c r="G3992" s="199"/>
      <c r="H3992" s="199"/>
      <c r="I3992" s="200"/>
      <c r="J3992" s="302"/>
      <c r="K3992" s="302"/>
    </row>
    <row r="3993" spans="1:17" x14ac:dyDescent="0.2">
      <c r="A3993" s="246" t="s">
        <v>200</v>
      </c>
      <c r="B3993" s="247" t="s">
        <v>60</v>
      </c>
      <c r="C3993" s="236" t="s">
        <v>1242</v>
      </c>
      <c r="D3993" s="247" t="s">
        <v>202</v>
      </c>
      <c r="E3993" s="1276" t="s">
        <v>91</v>
      </c>
      <c r="F3993" s="1274"/>
      <c r="G3993" s="1275"/>
      <c r="H3993" s="1276" t="s">
        <v>198</v>
      </c>
      <c r="I3993" s="1275"/>
      <c r="J3993" s="302"/>
      <c r="K3993" s="302"/>
    </row>
    <row r="3994" spans="1:17" x14ac:dyDescent="0.2">
      <c r="A3994" s="248" t="str">
        <f>VLOOKUP(B3994,m.o.!$A:$H,2,FALSE)</f>
        <v>Ajudante de pedreiro O.A.C.</v>
      </c>
      <c r="B3994" s="238">
        <v>20072</v>
      </c>
      <c r="C3994" s="243">
        <f>VLOOKUP(B3994,m.o.!$A:$F,4,FALSE)</f>
        <v>1.01</v>
      </c>
      <c r="D3994" s="243">
        <f>VLOOKUP(B3994,m.o.!$A:$G,7,FALSE)</f>
        <v>11.75</v>
      </c>
      <c r="E3994" s="260"/>
      <c r="F3994" s="258"/>
      <c r="G3994" s="300">
        <v>0.6</v>
      </c>
      <c r="H3994" s="244"/>
      <c r="I3994" s="249">
        <f>TRUNC(D3994*G3994,2)</f>
        <v>7.05</v>
      </c>
      <c r="J3994" s="302"/>
      <c r="K3994" s="302"/>
    </row>
    <row r="3995" spans="1:17" x14ac:dyDescent="0.2">
      <c r="A3995" s="265" t="str">
        <f>VLOOKUP(B3995,m.o.!$A:$H,2,FALSE)</f>
        <v>Pedreiro de O.A.C.</v>
      </c>
      <c r="B3995" s="238">
        <v>20109</v>
      </c>
      <c r="C3995" s="267">
        <f>VLOOKUP(B3995,m.o.!$A:$F,4,FALSE)</f>
        <v>1.24</v>
      </c>
      <c r="D3995" s="267">
        <f>VLOOKUP(B3995,m.o.!$A:$G,7,FALSE)</f>
        <v>14.43</v>
      </c>
      <c r="E3995" s="260"/>
      <c r="F3995" s="258"/>
      <c r="G3995" s="441">
        <v>0.3</v>
      </c>
      <c r="H3995" s="260"/>
      <c r="I3995" s="268">
        <f>TRUNC(D3995*G3995,2)</f>
        <v>4.32</v>
      </c>
      <c r="J3995" s="302"/>
      <c r="K3995" s="302"/>
    </row>
    <row r="3996" spans="1:17" x14ac:dyDescent="0.2">
      <c r="A3996" s="199"/>
      <c r="B3996" s="233"/>
      <c r="C3996" s="233"/>
      <c r="D3996" s="199"/>
      <c r="E3996" s="199"/>
      <c r="F3996" s="234" t="s">
        <v>203</v>
      </c>
      <c r="G3996" s="244"/>
      <c r="H3996" s="245"/>
      <c r="I3996" s="434">
        <f>SUM(I3994:I3995)</f>
        <v>11.37</v>
      </c>
      <c r="J3996" s="302"/>
      <c r="K3996" s="302"/>
    </row>
    <row r="3997" spans="1:17" x14ac:dyDescent="0.2">
      <c r="A3997" s="199"/>
      <c r="B3997" s="233"/>
      <c r="C3997" s="233"/>
      <c r="D3997" s="199"/>
      <c r="E3997" s="199"/>
      <c r="F3997" s="199"/>
      <c r="G3997" s="199"/>
      <c r="H3997" s="199"/>
      <c r="I3997" s="200"/>
      <c r="J3997" s="302"/>
      <c r="K3997" s="302"/>
    </row>
    <row r="3998" spans="1:17" x14ac:dyDescent="0.2">
      <c r="A3998" s="250" t="s">
        <v>204</v>
      </c>
      <c r="B3998" s="247" t="s">
        <v>60</v>
      </c>
      <c r="C3998" s="866" t="s">
        <v>17</v>
      </c>
      <c r="D3998" s="247" t="s">
        <v>205</v>
      </c>
      <c r="E3998" s="247" t="s">
        <v>206</v>
      </c>
      <c r="F3998" s="247" t="s">
        <v>207</v>
      </c>
      <c r="G3998" s="1276" t="s">
        <v>96</v>
      </c>
      <c r="H3998" s="1274"/>
      <c r="I3998" s="1275"/>
      <c r="J3998" s="302"/>
      <c r="K3998" s="302"/>
    </row>
    <row r="3999" spans="1:17" x14ac:dyDescent="0.2">
      <c r="A3999" s="248" t="s">
        <v>142</v>
      </c>
      <c r="B3999" s="238">
        <v>2000</v>
      </c>
      <c r="C3999" s="243">
        <v>5</v>
      </c>
      <c r="D3999" s="239" t="s">
        <v>223</v>
      </c>
      <c r="E3999" s="251"/>
      <c r="F3999" s="251"/>
      <c r="G3999" s="244"/>
      <c r="H3999" s="245"/>
      <c r="I3999" s="249">
        <f>TRUNC(C3999/100*I3996,2)</f>
        <v>0.56000000000000005</v>
      </c>
      <c r="J3999" s="302"/>
      <c r="K3999" s="302"/>
    </row>
    <row r="4000" spans="1:17" x14ac:dyDescent="0.2">
      <c r="A4000" s="199"/>
      <c r="B4000" s="233"/>
      <c r="C4000" s="199"/>
      <c r="D4000" s="199"/>
      <c r="E4000" s="199"/>
      <c r="F4000" s="234" t="s">
        <v>1170</v>
      </c>
      <c r="G4000" s="244"/>
      <c r="H4000" s="245"/>
      <c r="I4000" s="434">
        <f>SUM(I3999)</f>
        <v>0.56000000000000005</v>
      </c>
      <c r="J4000" s="302"/>
      <c r="K4000" s="302"/>
    </row>
    <row r="4001" spans="1:17" x14ac:dyDescent="0.2">
      <c r="A4001" s="199"/>
      <c r="B4001" s="233"/>
      <c r="C4001" s="199"/>
      <c r="D4001" s="199"/>
      <c r="E4001" s="199"/>
      <c r="F4001" s="199"/>
      <c r="G4001" s="199"/>
      <c r="H4001" s="199"/>
      <c r="I4001" s="200"/>
      <c r="J4001" s="302"/>
      <c r="K4001" s="302"/>
    </row>
    <row r="4002" spans="1:17" x14ac:dyDescent="0.2">
      <c r="A4002" s="252"/>
      <c r="B4002" s="253"/>
      <c r="C4002" s="254"/>
      <c r="D4002" s="254"/>
      <c r="E4002" s="254"/>
      <c r="F4002" s="255" t="s">
        <v>208</v>
      </c>
      <c r="G4002" s="435"/>
      <c r="H4002" s="254"/>
      <c r="I4002" s="634">
        <f>+I3991+I3996+I4000</f>
        <v>11.93</v>
      </c>
      <c r="J4002" s="302"/>
      <c r="K4002" s="302"/>
    </row>
    <row r="4003" spans="1:17" x14ac:dyDescent="0.2">
      <c r="A4003" s="256"/>
      <c r="B4003" s="257"/>
      <c r="C4003" s="258"/>
      <c r="D4003" s="258"/>
      <c r="E4003" s="258"/>
      <c r="F4003" s="259" t="s">
        <v>209</v>
      </c>
      <c r="G4003" s="260"/>
      <c r="H4003" s="258"/>
      <c r="I4003" s="635">
        <v>1</v>
      </c>
      <c r="J4003" s="302"/>
      <c r="K4003" s="302"/>
    </row>
    <row r="4004" spans="1:17" x14ac:dyDescent="0.2">
      <c r="A4004" s="237"/>
      <c r="B4004" s="261"/>
      <c r="C4004" s="245"/>
      <c r="D4004" s="245"/>
      <c r="E4004" s="245"/>
      <c r="F4004" s="262" t="s">
        <v>232</v>
      </c>
      <c r="G4004" s="244"/>
      <c r="H4004" s="245"/>
      <c r="I4004" s="633">
        <f>TRUNC(I4002/I4003,2)</f>
        <v>11.93</v>
      </c>
      <c r="J4004" s="302"/>
      <c r="K4004" s="302"/>
    </row>
    <row r="4005" spans="1:17" x14ac:dyDescent="0.2">
      <c r="A4005" s="867"/>
      <c r="B4005" s="233"/>
      <c r="C4005" s="199"/>
      <c r="D4005" s="199"/>
      <c r="E4005" s="199"/>
      <c r="F4005" s="263"/>
      <c r="G4005" s="199"/>
      <c r="H4005" s="199"/>
      <c r="I4005" s="264"/>
      <c r="J4005" s="302"/>
      <c r="K4005" s="302"/>
    </row>
    <row r="4006" spans="1:17" x14ac:dyDescent="0.2">
      <c r="A4006" s="246" t="s">
        <v>210</v>
      </c>
      <c r="B4006" s="247" t="s">
        <v>60</v>
      </c>
      <c r="C4006" s="247" t="s">
        <v>211</v>
      </c>
      <c r="D4006" s="247" t="s">
        <v>233</v>
      </c>
      <c r="E4006" s="1276" t="s">
        <v>91</v>
      </c>
      <c r="F4006" s="1274"/>
      <c r="G4006" s="1275"/>
      <c r="H4006" s="1276" t="s">
        <v>198</v>
      </c>
      <c r="I4006" s="1275"/>
      <c r="J4006" s="302"/>
      <c r="K4006" s="302"/>
    </row>
    <row r="4007" spans="1:17" x14ac:dyDescent="0.2">
      <c r="A4007" s="265" t="str">
        <f>VLOOKUP(B4007,mat.!$A:$D,2,FALSE)</f>
        <v>Pedra de mao (incl. 0% IUM) s/ frete</v>
      </c>
      <c r="B4007" s="238">
        <v>10121</v>
      </c>
      <c r="C4007" s="266" t="str">
        <f>VLOOKUP(B4007,mat.!$A:$D,3,FALSE)</f>
        <v>m3</v>
      </c>
      <c r="D4007" s="267">
        <f>VLOOKUP(B4007,mat.!$A:$D,4,FALSE)</f>
        <v>45.57</v>
      </c>
      <c r="E4007" s="260"/>
      <c r="F4007" s="258"/>
      <c r="G4007" s="300">
        <v>0.3</v>
      </c>
      <c r="H4007" s="260"/>
      <c r="I4007" s="268">
        <f>TRUNC(D4007*G4007,2)</f>
        <v>13.67</v>
      </c>
    </row>
    <row r="4008" spans="1:17" x14ac:dyDescent="0.2">
      <c r="A4008" s="199"/>
      <c r="B4008" s="233"/>
      <c r="C4008" s="199"/>
      <c r="D4008" s="199"/>
      <c r="E4008" s="199"/>
      <c r="F4008" s="234" t="s">
        <v>212</v>
      </c>
      <c r="G4008" s="244"/>
      <c r="H4008" s="245"/>
      <c r="I4008" s="434">
        <f>SUM(I4007:I4007)</f>
        <v>13.67</v>
      </c>
    </row>
    <row r="4009" spans="1:17" x14ac:dyDescent="0.2">
      <c r="A4009" s="199"/>
      <c r="B4009" s="233"/>
      <c r="C4009" s="199"/>
      <c r="D4009" s="199"/>
      <c r="E4009" s="199"/>
      <c r="F4009" s="199"/>
      <c r="G4009" s="269"/>
      <c r="H4009" s="199"/>
      <c r="I4009" s="200"/>
    </row>
    <row r="4010" spans="1:17" x14ac:dyDescent="0.2">
      <c r="A4010" s="270" t="s">
        <v>213</v>
      </c>
      <c r="B4010" s="247" t="s">
        <v>60</v>
      </c>
      <c r="C4010" s="247" t="s">
        <v>211</v>
      </c>
      <c r="D4010" s="866" t="s">
        <v>233</v>
      </c>
      <c r="E4010" s="1276" t="s">
        <v>91</v>
      </c>
      <c r="F4010" s="1274"/>
      <c r="G4010" s="1275"/>
      <c r="H4010" s="1276" t="s">
        <v>198</v>
      </c>
      <c r="I4010" s="1275"/>
    </row>
    <row r="4011" spans="1:17" ht="22.5" x14ac:dyDescent="0.2">
      <c r="A4011" s="248" t="str">
        <f>VLOOKUP(B4011,'DER 10-18'!$A:$E,2,FALSE)</f>
        <v>Concreto estrutural fck = 15,0 MPa, tudo incluído</v>
      </c>
      <c r="B4011" s="238">
        <v>40358</v>
      </c>
      <c r="C4011" s="238" t="str">
        <f>VLOOKUP(B4011,'DER 10-18'!$A:$E,3,FALSE)</f>
        <v>M3</v>
      </c>
      <c r="D4011" s="243">
        <f>TRUNC(VLOOKUP(B4011,'DER 10-18'!$A:$F,6,FALSE)/(1+$I$4),2)</f>
        <v>523.20000000000005</v>
      </c>
      <c r="E4011" s="260"/>
      <c r="F4011" s="258"/>
      <c r="G4011" s="300">
        <v>0.7</v>
      </c>
      <c r="H4011" s="244"/>
      <c r="I4011" s="268">
        <f>TRUNC(D4011*G4011,2)</f>
        <v>366.24</v>
      </c>
    </row>
    <row r="4012" spans="1:17" x14ac:dyDescent="0.2">
      <c r="A4012" s="201"/>
      <c r="B4012" s="271"/>
      <c r="C4012" s="201"/>
      <c r="D4012" s="201"/>
      <c r="E4012" s="201"/>
      <c r="F4012" s="272" t="s">
        <v>214</v>
      </c>
      <c r="G4012" s="260"/>
      <c r="H4012" s="273"/>
      <c r="I4012" s="436">
        <f>SUM(I4011:I4011)</f>
        <v>366.24</v>
      </c>
    </row>
    <row r="4013" spans="1:17" x14ac:dyDescent="0.2">
      <c r="A4013" s="201"/>
      <c r="B4013" s="271"/>
      <c r="C4013" s="201"/>
      <c r="D4013" s="201"/>
      <c r="E4013" s="201"/>
      <c r="F4013" s="201"/>
      <c r="G4013" s="201"/>
      <c r="H4013" s="201"/>
      <c r="I4013" s="201"/>
    </row>
    <row r="4014" spans="1:17" x14ac:dyDescent="0.2">
      <c r="A4014" s="274" t="s">
        <v>215</v>
      </c>
      <c r="B4014" s="275" t="s">
        <v>60</v>
      </c>
      <c r="C4014" s="275" t="s">
        <v>211</v>
      </c>
      <c r="D4014" s="275" t="s">
        <v>216</v>
      </c>
      <c r="E4014" s="275" t="s">
        <v>217</v>
      </c>
      <c r="F4014" s="275" t="s">
        <v>218</v>
      </c>
      <c r="G4014" s="275" t="s">
        <v>96</v>
      </c>
      <c r="H4014" s="275" t="s">
        <v>91</v>
      </c>
      <c r="I4014" s="275" t="s">
        <v>219</v>
      </c>
      <c r="J4014" s="433" t="s">
        <v>113</v>
      </c>
    </row>
    <row r="4015" spans="1:17" s="198" customFormat="1" ht="22.5" x14ac:dyDescent="0.2">
      <c r="A4015" s="265" t="str">
        <f>VLOOKUP(B4015,tranp.!A:D,2,FALSE)</f>
        <v>Transporte de Pedra de mao (incl. 0% IUM) s/ frete</v>
      </c>
      <c r="B4015" s="238">
        <v>1150</v>
      </c>
      <c r="C4015" s="238" t="str">
        <f>VLOOKUP(B4015,tranp.!$A:$J,3,FALSE)</f>
        <v xml:space="preserve"> t  </v>
      </c>
      <c r="D4015" s="276" t="str">
        <f>VLOOKUP(B4015,tranp.!$A:$J,4,FALSE)</f>
        <v>0,681XP + 0,710XR</v>
      </c>
      <c r="E4015" s="277">
        <f>VLOOKUP(J4014,Ocor.!$B:$F,4,FALSE)</f>
        <v>37.200000000000003</v>
      </c>
      <c r="F4015" s="277">
        <f>VLOOKUP(J4014,Ocor.!$B:$F,5,FALSE)</f>
        <v>5.6</v>
      </c>
      <c r="G4015" s="243">
        <f>TRUNC(VLOOKUP(B4015,tranp.!$A:$J,5,FALSE)*E4015+VLOOKUP(B4015,tranp.!$A:$J,6,FALSE)*F4015+VLOOKUP(B4015,tranp.!$A:$J,7,FALSE),2)</f>
        <v>29.3</v>
      </c>
      <c r="H4015" s="278">
        <v>0.45</v>
      </c>
      <c r="I4015" s="243">
        <f>TRUNC(G4015*H4015,2)</f>
        <v>13.18</v>
      </c>
      <c r="J4015" s="433"/>
      <c r="K4015" s="433"/>
      <c r="L4015" s="302"/>
      <c r="M4015" s="302"/>
      <c r="N4015" s="302"/>
      <c r="O4015" s="302"/>
      <c r="P4015" s="302"/>
      <c r="Q4015" s="302"/>
    </row>
    <row r="4016" spans="1:17" x14ac:dyDescent="0.2">
      <c r="A4016" s="201"/>
      <c r="B4016" s="271"/>
      <c r="C4016" s="201"/>
      <c r="D4016" s="201"/>
      <c r="E4016" s="201"/>
      <c r="F4016" s="272" t="s">
        <v>220</v>
      </c>
      <c r="G4016" s="244"/>
      <c r="H4016" s="279"/>
      <c r="I4016" s="438">
        <f>SUM(I4015:I4015)</f>
        <v>13.18</v>
      </c>
    </row>
    <row r="4017" spans="1:13" x14ac:dyDescent="0.2">
      <c r="A4017" s="201"/>
      <c r="B4017" s="271"/>
      <c r="C4017" s="201"/>
      <c r="D4017" s="201"/>
      <c r="E4017" s="201"/>
      <c r="F4017" s="201"/>
      <c r="G4017" s="201"/>
      <c r="H4017" s="201"/>
      <c r="I4017" s="202"/>
    </row>
    <row r="4018" spans="1:13" x14ac:dyDescent="0.2">
      <c r="A4018" s="280"/>
      <c r="B4018" s="281"/>
      <c r="C4018" s="282"/>
      <c r="D4018" s="282"/>
      <c r="E4018" s="282"/>
      <c r="F4018" s="283" t="s">
        <v>221</v>
      </c>
      <c r="G4018" s="280"/>
      <c r="H4018" s="254"/>
      <c r="I4018" s="634">
        <f>+I4004+I4008+I4012+I4016</f>
        <v>405.02</v>
      </c>
    </row>
    <row r="4019" spans="1:13" x14ac:dyDescent="0.2">
      <c r="A4019" s="260"/>
      <c r="B4019" s="284"/>
      <c r="C4019" s="273"/>
      <c r="D4019" s="273"/>
      <c r="E4019" s="273"/>
      <c r="F4019" s="285" t="str">
        <f>CONCATENATE($H$3," ",$I$3)</f>
        <v>BDI: 23,32</v>
      </c>
      <c r="G4019" s="439"/>
      <c r="H4019" s="258"/>
      <c r="I4019" s="635">
        <f>+ROUND(I4018*$I$4,2)</f>
        <v>94.45</v>
      </c>
    </row>
    <row r="4020" spans="1:13" x14ac:dyDescent="0.2">
      <c r="A4020" s="244"/>
      <c r="B4020" s="286"/>
      <c r="C4020" s="279"/>
      <c r="D4020" s="279"/>
      <c r="E4020" s="279"/>
      <c r="F4020" s="287" t="s">
        <v>222</v>
      </c>
      <c r="G4020" s="440"/>
      <c r="H4020" s="245"/>
      <c r="I4020" s="1017">
        <f>+I4018+I4019</f>
        <v>499.47</v>
      </c>
    </row>
    <row r="4021" spans="1:13" x14ac:dyDescent="0.2">
      <c r="A4021" s="1277" t="str">
        <f>$A$1</f>
        <v>COMPOSIÇÃO DE CUSTOS UNITÁRIOS</v>
      </c>
      <c r="B4021" s="1277"/>
      <c r="C4021" s="1277"/>
      <c r="D4021" s="1277"/>
      <c r="E4021" s="1277"/>
      <c r="F4021" s="1277"/>
      <c r="G4021" s="1277"/>
      <c r="H4021" s="1277"/>
      <c r="I4021" s="1277"/>
    </row>
    <row r="4022" spans="1:13" x14ac:dyDescent="0.2">
      <c r="A4022" s="232" t="str">
        <f>$A$2</f>
        <v>Tabela Referencial de Preços - DER-ES</v>
      </c>
      <c r="B4022" s="233"/>
      <c r="C4022" s="199"/>
      <c r="D4022" s="199"/>
      <c r="E4022" s="199"/>
      <c r="F4022" s="199"/>
      <c r="G4022" s="199"/>
      <c r="H4022" s="199"/>
      <c r="I4022" s="234" t="str">
        <f>$I$2</f>
        <v>Data Base: Outubro/2018</v>
      </c>
      <c r="J4022" s="433">
        <v>40358</v>
      </c>
      <c r="K4022" s="433">
        <f>VLOOKUP("Preço Unitário Total",F4024:I4251,4,FALSE)</f>
        <v>645.22</v>
      </c>
      <c r="L4022" s="302" t="str">
        <f>VLOOKUP(J4022,'DER 10-18'!A:E,5,FALSE)</f>
        <v>A incluir</v>
      </c>
      <c r="M4022" s="302" t="str">
        <f>VLOOKUP(J4022,'DER 10-18'!$A:$D,2,FALSE)</f>
        <v>Concreto estrutural fck = 15,0 MPa, tudo incluído</v>
      </c>
    </row>
    <row r="4023" spans="1:13" x14ac:dyDescent="0.2">
      <c r="A4023" s="1278" t="str">
        <f>+CONCATENATE("Serviço: ",J4022," ",VLOOKUP(J4022,'DER 10-18'!$A:$D,2,FALSE))</f>
        <v>Serviço: 40358 Concreto estrutural fck = 15,0 MPa, tudo incluído</v>
      </c>
      <c r="B4023" s="1278"/>
      <c r="C4023" s="1278"/>
      <c r="D4023" s="1278"/>
      <c r="E4023" s="1278"/>
      <c r="F4023" s="1278"/>
      <c r="G4023" s="1278"/>
      <c r="H4023" s="1278"/>
      <c r="I4023" s="1278" t="str">
        <f>CONCATENATE("Unidade: ", VLOOKUP(J4022,'DER 10-18'!$A:$E,3,FALSE))</f>
        <v>Unidade: M3</v>
      </c>
      <c r="J4023" s="302"/>
      <c r="K4023" s="302"/>
    </row>
    <row r="4024" spans="1:13" x14ac:dyDescent="0.2">
      <c r="A4024" s="1279"/>
      <c r="B4024" s="1279"/>
      <c r="C4024" s="1279"/>
      <c r="D4024" s="1279"/>
      <c r="E4024" s="1279"/>
      <c r="F4024" s="1279"/>
      <c r="G4024" s="1279"/>
      <c r="H4024" s="1279"/>
      <c r="I4024" s="1279"/>
      <c r="J4024" s="302"/>
      <c r="K4024" s="302"/>
    </row>
    <row r="4025" spans="1:13" ht="22.5" x14ac:dyDescent="0.2">
      <c r="A4025" s="235" t="s">
        <v>192</v>
      </c>
      <c r="B4025" s="236" t="s">
        <v>60</v>
      </c>
      <c r="C4025" s="236" t="s">
        <v>193</v>
      </c>
      <c r="D4025" s="236" t="s">
        <v>194</v>
      </c>
      <c r="E4025" s="236" t="s">
        <v>195</v>
      </c>
      <c r="F4025" s="236" t="s">
        <v>196</v>
      </c>
      <c r="G4025" s="236" t="s">
        <v>197</v>
      </c>
      <c r="H4025" s="236" t="s">
        <v>91</v>
      </c>
      <c r="I4025" s="236" t="s">
        <v>198</v>
      </c>
      <c r="J4025" s="302"/>
      <c r="K4025" s="302"/>
    </row>
    <row r="4026" spans="1:13" ht="22.5" x14ac:dyDescent="0.2">
      <c r="A4026" s="237" t="str">
        <f>VLOOKUP(B4026,equip.!$A:$G,2,FALSE)</f>
        <v>Betoneira 600 l com carregador (elétrica)</v>
      </c>
      <c r="B4026" s="238">
        <v>30070</v>
      </c>
      <c r="C4026" s="239">
        <f>VLOOKUP(B4026,equip.!$A$1:$G$239,3,FALSE)</f>
        <v>0</v>
      </c>
      <c r="D4026" s="240">
        <v>1</v>
      </c>
      <c r="E4026" s="205">
        <v>0</v>
      </c>
      <c r="F4026" s="241">
        <f>VLOOKUP(B4026,equip.!$A:$G,6,FALSE)</f>
        <v>24.55</v>
      </c>
      <c r="G4026" s="241">
        <f>VLOOKUP(B4026,equip.!$A:$G,7,FALSE)</f>
        <v>19.8</v>
      </c>
      <c r="H4026" s="242">
        <v>1</v>
      </c>
      <c r="I4026" s="243">
        <f>TRUNC(D4026*F4026*H4026+E4026*G4026*H4026,2)</f>
        <v>24.55</v>
      </c>
      <c r="J4026" s="302"/>
      <c r="K4026" s="302"/>
    </row>
    <row r="4027" spans="1:13" x14ac:dyDescent="0.2">
      <c r="A4027" s="237" t="str">
        <f>VLOOKUP(B4027,equip.!$A:$G,2,FALSE)</f>
        <v>Carrinho de mão</v>
      </c>
      <c r="B4027" s="238">
        <v>30076</v>
      </c>
      <c r="C4027" s="239">
        <f>VLOOKUP(B4027,equip.!$A$1:$G$239,3,FALSE)</f>
        <v>0</v>
      </c>
      <c r="D4027" s="240">
        <v>1</v>
      </c>
      <c r="E4027" s="205">
        <v>0</v>
      </c>
      <c r="F4027" s="241">
        <f>VLOOKUP(B4027,equip.!$A:$G,6,FALSE)</f>
        <v>0.18</v>
      </c>
      <c r="G4027" s="241">
        <f>VLOOKUP(B4027,equip.!$A:$G,7,FALSE)</f>
        <v>0.12</v>
      </c>
      <c r="H4027" s="242">
        <v>3</v>
      </c>
      <c r="I4027" s="243">
        <f>TRUNC(D4027*F4027*H4027+E4027*G4027*H4027,2)</f>
        <v>0.54</v>
      </c>
      <c r="J4027" s="302"/>
      <c r="K4027" s="302"/>
    </row>
    <row r="4028" spans="1:13" ht="33.75" x14ac:dyDescent="0.2">
      <c r="A4028" s="237" t="str">
        <f>VLOOKUP(B4028,equip.!$A:$G,2,FALSE)</f>
        <v>Vibrador de imersao AA67 c/ mangote, marca de referência ATLAS COPCO ou equivalente</v>
      </c>
      <c r="B4028" s="238">
        <v>30071</v>
      </c>
      <c r="C4028" s="239">
        <f>VLOOKUP(B4028,equip.!$A$1:$G$239,3,FALSE)</f>
        <v>0</v>
      </c>
      <c r="D4028" s="240">
        <v>1</v>
      </c>
      <c r="E4028" s="205">
        <v>0</v>
      </c>
      <c r="F4028" s="241">
        <f>VLOOKUP(B4028,equip.!$A:$G,6,FALSE)</f>
        <v>15.14</v>
      </c>
      <c r="G4028" s="241">
        <f>VLOOKUP(B4028,equip.!$A:$G,7,FALSE)</f>
        <v>12.3</v>
      </c>
      <c r="H4028" s="242">
        <v>2</v>
      </c>
      <c r="I4028" s="243">
        <f>TRUNC(D4028*F4028*H4028+E4028*G4028*H4028,2)</f>
        <v>30.28</v>
      </c>
      <c r="J4028" s="302"/>
      <c r="K4028" s="302"/>
    </row>
    <row r="4029" spans="1:13" x14ac:dyDescent="0.2">
      <c r="A4029" s="199"/>
      <c r="B4029" s="233"/>
      <c r="C4029" s="233"/>
      <c r="D4029" s="199"/>
      <c r="E4029" s="199"/>
      <c r="F4029" s="234" t="s">
        <v>199</v>
      </c>
      <c r="G4029" s="244"/>
      <c r="H4029" s="245"/>
      <c r="I4029" s="434">
        <f>SUM(I4026:I4028)</f>
        <v>55.37</v>
      </c>
      <c r="J4029" s="302"/>
      <c r="K4029" s="302"/>
    </row>
    <row r="4030" spans="1:13" x14ac:dyDescent="0.2">
      <c r="A4030" s="199"/>
      <c r="B4030" s="233"/>
      <c r="C4030" s="233"/>
      <c r="D4030" s="199"/>
      <c r="E4030" s="199"/>
      <c r="F4030" s="199"/>
      <c r="G4030" s="199"/>
      <c r="H4030" s="199"/>
      <c r="I4030" s="200"/>
      <c r="J4030" s="302"/>
      <c r="K4030" s="302"/>
    </row>
    <row r="4031" spans="1:13" x14ac:dyDescent="0.2">
      <c r="A4031" s="246" t="s">
        <v>200</v>
      </c>
      <c r="B4031" s="247" t="s">
        <v>60</v>
      </c>
      <c r="C4031" s="236" t="s">
        <v>1242</v>
      </c>
      <c r="D4031" s="247" t="s">
        <v>202</v>
      </c>
      <c r="E4031" s="1276" t="s">
        <v>91</v>
      </c>
      <c r="F4031" s="1274"/>
      <c r="G4031" s="1275"/>
      <c r="H4031" s="1276" t="s">
        <v>198</v>
      </c>
      <c r="I4031" s="1275"/>
      <c r="J4031" s="302"/>
      <c r="K4031" s="302"/>
    </row>
    <row r="4032" spans="1:13" x14ac:dyDescent="0.2">
      <c r="A4032" s="248" t="str">
        <f>VLOOKUP(B4032,m.o.!$A:$H,2,FALSE)</f>
        <v>Encarregado de O.A.C.</v>
      </c>
      <c r="B4032" s="238">
        <v>20060</v>
      </c>
      <c r="C4032" s="243">
        <f>VLOOKUP(B4032,m.o.!$A:$F,4,FALSE)</f>
        <v>2.2599999999999998</v>
      </c>
      <c r="D4032" s="243">
        <f>VLOOKUP(B4032,m.o.!$A:$G,7,FALSE)</f>
        <v>26.3</v>
      </c>
      <c r="E4032" s="260"/>
      <c r="F4032" s="258"/>
      <c r="G4032" s="300">
        <v>1</v>
      </c>
      <c r="H4032" s="244"/>
      <c r="I4032" s="249">
        <f>TRUNC(D4032*G4032,2)</f>
        <v>26.3</v>
      </c>
      <c r="J4032" s="302"/>
      <c r="K4032" s="302"/>
    </row>
    <row r="4033" spans="1:17" x14ac:dyDescent="0.2">
      <c r="A4033" s="248" t="str">
        <f>VLOOKUP(B4033,m.o.!$A:$H,2,FALSE)</f>
        <v>Operário braçal</v>
      </c>
      <c r="B4033" s="238">
        <v>20107</v>
      </c>
      <c r="C4033" s="243">
        <f>VLOOKUP(B4033,m.o.!$A:$F,4,FALSE)</f>
        <v>1.02</v>
      </c>
      <c r="D4033" s="243">
        <f>VLOOKUP(B4033,m.o.!$A:$G,7,FALSE)</f>
        <v>11.87</v>
      </c>
      <c r="E4033" s="244"/>
      <c r="F4033" s="245"/>
      <c r="G4033" s="441">
        <v>10</v>
      </c>
      <c r="H4033" s="244"/>
      <c r="I4033" s="249">
        <f>TRUNC(D4033*G4033,2)</f>
        <v>118.7</v>
      </c>
      <c r="J4033" s="302"/>
      <c r="K4033" s="302"/>
    </row>
    <row r="4034" spans="1:17" x14ac:dyDescent="0.2">
      <c r="A4034" s="265" t="str">
        <f>VLOOKUP(B4034,m.o.!$A:$H,2,FALSE)</f>
        <v>Pedreiro de O.A.C.</v>
      </c>
      <c r="B4034" s="238">
        <v>20109</v>
      </c>
      <c r="C4034" s="267">
        <f>VLOOKUP(B4034,m.o.!$A:$F,4,FALSE)</f>
        <v>1.24</v>
      </c>
      <c r="D4034" s="267">
        <f>VLOOKUP(B4034,m.o.!$A:$G,7,FALSE)</f>
        <v>14.43</v>
      </c>
      <c r="E4034" s="260"/>
      <c r="F4034" s="258"/>
      <c r="G4034" s="441">
        <v>2</v>
      </c>
      <c r="H4034" s="260"/>
      <c r="I4034" s="268">
        <f>TRUNC(D4034*G4034,2)</f>
        <v>28.86</v>
      </c>
      <c r="J4034" s="302"/>
      <c r="K4034" s="302"/>
    </row>
    <row r="4035" spans="1:17" x14ac:dyDescent="0.2">
      <c r="A4035" s="199"/>
      <c r="B4035" s="233"/>
      <c r="C4035" s="233"/>
      <c r="D4035" s="199"/>
      <c r="E4035" s="199"/>
      <c r="F4035" s="234" t="s">
        <v>203</v>
      </c>
      <c r="G4035" s="244"/>
      <c r="H4035" s="245"/>
      <c r="I4035" s="434">
        <f>SUM(I4032:I4034)</f>
        <v>173.86</v>
      </c>
      <c r="J4035" s="302"/>
      <c r="K4035" s="302"/>
    </row>
    <row r="4036" spans="1:17" x14ac:dyDescent="0.2">
      <c r="A4036" s="199"/>
      <c r="B4036" s="233"/>
      <c r="C4036" s="233"/>
      <c r="D4036" s="199"/>
      <c r="E4036" s="199"/>
      <c r="F4036" s="199"/>
      <c r="G4036" s="199"/>
      <c r="H4036" s="199"/>
      <c r="I4036" s="200"/>
      <c r="J4036" s="302"/>
      <c r="K4036" s="302"/>
    </row>
    <row r="4037" spans="1:17" x14ac:dyDescent="0.2">
      <c r="A4037" s="250" t="s">
        <v>204</v>
      </c>
      <c r="B4037" s="247" t="s">
        <v>60</v>
      </c>
      <c r="C4037" s="866" t="s">
        <v>17</v>
      </c>
      <c r="D4037" s="247" t="s">
        <v>205</v>
      </c>
      <c r="E4037" s="247" t="s">
        <v>206</v>
      </c>
      <c r="F4037" s="247" t="s">
        <v>207</v>
      </c>
      <c r="G4037" s="1276" t="s">
        <v>96</v>
      </c>
      <c r="H4037" s="1274"/>
      <c r="I4037" s="1275"/>
      <c r="J4037" s="302"/>
      <c r="K4037" s="302"/>
    </row>
    <row r="4038" spans="1:17" x14ac:dyDescent="0.2">
      <c r="A4038" s="248" t="s">
        <v>142</v>
      </c>
      <c r="B4038" s="238">
        <v>2000</v>
      </c>
      <c r="C4038" s="243">
        <v>5</v>
      </c>
      <c r="D4038" s="239" t="s">
        <v>223</v>
      </c>
      <c r="E4038" s="251"/>
      <c r="F4038" s="251"/>
      <c r="G4038" s="244"/>
      <c r="H4038" s="245"/>
      <c r="I4038" s="249">
        <f>TRUNC(C4038/100*I4035,2)</f>
        <v>8.69</v>
      </c>
      <c r="J4038" s="302"/>
      <c r="K4038" s="302"/>
    </row>
    <row r="4039" spans="1:17" x14ac:dyDescent="0.2">
      <c r="A4039" s="199"/>
      <c r="B4039" s="233"/>
      <c r="C4039" s="199"/>
      <c r="D4039" s="199"/>
      <c r="E4039" s="199"/>
      <c r="F4039" s="234" t="s">
        <v>1170</v>
      </c>
      <c r="G4039" s="244"/>
      <c r="H4039" s="245"/>
      <c r="I4039" s="434">
        <f>SUM(I4038)</f>
        <v>8.69</v>
      </c>
      <c r="J4039" s="302"/>
      <c r="K4039" s="302"/>
    </row>
    <row r="4040" spans="1:17" x14ac:dyDescent="0.2">
      <c r="A4040" s="199"/>
      <c r="B4040" s="233"/>
      <c r="C4040" s="199"/>
      <c r="D4040" s="199"/>
      <c r="E4040" s="199"/>
      <c r="F4040" s="199"/>
      <c r="G4040" s="199"/>
      <c r="H4040" s="199"/>
      <c r="I4040" s="200"/>
      <c r="J4040" s="302"/>
      <c r="K4040" s="302"/>
    </row>
    <row r="4041" spans="1:17" x14ac:dyDescent="0.2">
      <c r="A4041" s="252"/>
      <c r="B4041" s="253"/>
      <c r="C4041" s="254"/>
      <c r="D4041" s="254"/>
      <c r="E4041" s="254"/>
      <c r="F4041" s="255" t="s">
        <v>208</v>
      </c>
      <c r="G4041" s="435"/>
      <c r="H4041" s="254"/>
      <c r="I4041" s="634">
        <f>+I4029+I4035+I4039</f>
        <v>237.92</v>
      </c>
      <c r="J4041" s="302"/>
      <c r="K4041" s="302"/>
    </row>
    <row r="4042" spans="1:17" x14ac:dyDescent="0.2">
      <c r="A4042" s="256"/>
      <c r="B4042" s="257"/>
      <c r="C4042" s="258"/>
      <c r="D4042" s="258"/>
      <c r="E4042" s="258"/>
      <c r="F4042" s="259" t="s">
        <v>209</v>
      </c>
      <c r="G4042" s="260"/>
      <c r="H4042" s="258"/>
      <c r="I4042" s="635">
        <v>1</v>
      </c>
      <c r="J4042" s="302"/>
      <c r="K4042" s="302"/>
    </row>
    <row r="4043" spans="1:17" x14ac:dyDescent="0.2">
      <c r="A4043" s="237"/>
      <c r="B4043" s="261"/>
      <c r="C4043" s="245"/>
      <c r="D4043" s="245"/>
      <c r="E4043" s="245"/>
      <c r="F4043" s="262" t="s">
        <v>232</v>
      </c>
      <c r="G4043" s="244"/>
      <c r="H4043" s="245"/>
      <c r="I4043" s="633">
        <f>TRUNC(I4041/I4042,2)</f>
        <v>237.92</v>
      </c>
      <c r="J4043" s="302"/>
      <c r="K4043" s="302"/>
    </row>
    <row r="4044" spans="1:17" s="198" customFormat="1" x14ac:dyDescent="0.2">
      <c r="A4044" s="867"/>
      <c r="B4044" s="233"/>
      <c r="C4044" s="199"/>
      <c r="D4044" s="199"/>
      <c r="E4044" s="199"/>
      <c r="F4044" s="263"/>
      <c r="G4044" s="199"/>
      <c r="H4044" s="199"/>
      <c r="I4044" s="264"/>
      <c r="J4044" s="302"/>
      <c r="K4044" s="302"/>
      <c r="L4044" s="302"/>
      <c r="M4044" s="302"/>
      <c r="N4044" s="302"/>
      <c r="O4044" s="302"/>
      <c r="P4044" s="302"/>
      <c r="Q4044" s="302"/>
    </row>
    <row r="4045" spans="1:17" x14ac:dyDescent="0.2">
      <c r="A4045" s="246" t="s">
        <v>210</v>
      </c>
      <c r="B4045" s="247" t="s">
        <v>60</v>
      </c>
      <c r="C4045" s="247" t="s">
        <v>211</v>
      </c>
      <c r="D4045" s="247" t="s">
        <v>233</v>
      </c>
      <c r="E4045" s="1276" t="s">
        <v>91</v>
      </c>
      <c r="F4045" s="1274"/>
      <c r="G4045" s="1275"/>
      <c r="H4045" s="1276" t="s">
        <v>198</v>
      </c>
      <c r="I4045" s="1275"/>
      <c r="J4045" s="302"/>
      <c r="K4045" s="302"/>
    </row>
    <row r="4046" spans="1:17" ht="22.5" x14ac:dyDescent="0.2">
      <c r="A4046" s="265" t="str">
        <f>VLOOKUP(B4046,mat.!$A:$D,2,FALSE)</f>
        <v>Areia grossa jazida com carregamento mecânico</v>
      </c>
      <c r="B4046" s="238">
        <v>10109</v>
      </c>
      <c r="C4046" s="266" t="str">
        <f>VLOOKUP(B4046,mat.!$A:$D,3,FALSE)</f>
        <v>m3</v>
      </c>
      <c r="D4046" s="267">
        <f>VLOOKUP(B4046,mat.!$A:$D,4,FALSE)</f>
        <v>64.22</v>
      </c>
      <c r="E4046" s="260"/>
      <c r="F4046" s="258"/>
      <c r="G4046" s="300">
        <v>0.64470000000000005</v>
      </c>
      <c r="H4046" s="260"/>
      <c r="I4046" s="268">
        <f>TRUNC(D4046*G4046,2)</f>
        <v>41.4</v>
      </c>
      <c r="J4046" s="302"/>
      <c r="K4046" s="302"/>
    </row>
    <row r="4047" spans="1:17" x14ac:dyDescent="0.2">
      <c r="A4047" s="265" t="str">
        <f>VLOOKUP(B4047,mat.!$A:$D,2,FALSE)</f>
        <v>Cimento CP III</v>
      </c>
      <c r="B4047" s="238">
        <v>10092</v>
      </c>
      <c r="C4047" s="266" t="str">
        <f>VLOOKUP(B4047,mat.!$A:$D,3,FALSE)</f>
        <v>kg</v>
      </c>
      <c r="D4047" s="267">
        <f>VLOOKUP(B4047,mat.!$A:$D,4,FALSE)</f>
        <v>0.38</v>
      </c>
      <c r="E4047" s="260"/>
      <c r="F4047" s="258"/>
      <c r="G4047" s="441">
        <v>357</v>
      </c>
      <c r="H4047" s="260"/>
      <c r="I4047" s="268">
        <f>TRUNC(D4047*G4047,2)</f>
        <v>135.66</v>
      </c>
      <c r="J4047" s="302"/>
      <c r="K4047" s="302"/>
    </row>
    <row r="4048" spans="1:17" x14ac:dyDescent="0.2">
      <c r="A4048" s="265" t="str">
        <f>VLOOKUP(B4048,mat.!$A:$D,2,FALSE)</f>
        <v>Pedra britada p/ concreto, sem frete</v>
      </c>
      <c r="B4048" s="238">
        <v>10125</v>
      </c>
      <c r="C4048" s="266" t="str">
        <f>VLOOKUP(B4048,mat.!$A:$D,3,FALSE)</f>
        <v>m3</v>
      </c>
      <c r="D4048" s="267">
        <f>VLOOKUP(B4048,mat.!$A:$D,4,FALSE)</f>
        <v>60.76</v>
      </c>
      <c r="E4048" s="260"/>
      <c r="F4048" s="258"/>
      <c r="G4048" s="441">
        <v>0.77700000000000002</v>
      </c>
      <c r="H4048" s="260"/>
      <c r="I4048" s="268">
        <f>TRUNC(D4048*G4048,2)</f>
        <v>47.21</v>
      </c>
      <c r="J4048" s="302"/>
      <c r="K4048" s="302"/>
    </row>
    <row r="4049" spans="1:17" x14ac:dyDescent="0.2">
      <c r="A4049" s="199"/>
      <c r="B4049" s="233"/>
      <c r="C4049" s="199"/>
      <c r="D4049" s="199"/>
      <c r="E4049" s="199"/>
      <c r="F4049" s="234" t="s">
        <v>212</v>
      </c>
      <c r="G4049" s="244"/>
      <c r="H4049" s="245"/>
      <c r="I4049" s="434">
        <f>SUM(I4046:I4048)</f>
        <v>224.27</v>
      </c>
      <c r="J4049" s="302"/>
      <c r="K4049" s="302"/>
    </row>
    <row r="4050" spans="1:17" x14ac:dyDescent="0.2">
      <c r="A4050" s="199"/>
      <c r="B4050" s="233"/>
      <c r="C4050" s="199"/>
      <c r="D4050" s="199"/>
      <c r="E4050" s="199"/>
      <c r="F4050" s="199"/>
      <c r="G4050" s="269"/>
      <c r="H4050" s="199"/>
      <c r="I4050" s="200"/>
      <c r="J4050" s="302"/>
      <c r="K4050" s="302"/>
    </row>
    <row r="4051" spans="1:17" x14ac:dyDescent="0.2">
      <c r="A4051" s="270" t="s">
        <v>213</v>
      </c>
      <c r="B4051" s="247" t="s">
        <v>60</v>
      </c>
      <c r="C4051" s="247" t="s">
        <v>211</v>
      </c>
      <c r="D4051" s="866" t="s">
        <v>233</v>
      </c>
      <c r="E4051" s="1276" t="s">
        <v>91</v>
      </c>
      <c r="F4051" s="1274"/>
      <c r="G4051" s="1275"/>
      <c r="H4051" s="1276" t="s">
        <v>198</v>
      </c>
      <c r="I4051" s="1275"/>
      <c r="J4051" s="302"/>
      <c r="K4051" s="302"/>
    </row>
    <row r="4052" spans="1:17" x14ac:dyDescent="0.2">
      <c r="A4052" s="248"/>
      <c r="B4052" s="238"/>
      <c r="C4052" s="238"/>
      <c r="D4052" s="243"/>
      <c r="E4052" s="244"/>
      <c r="F4052" s="245"/>
      <c r="G4052" s="445"/>
      <c r="H4052" s="244"/>
      <c r="I4052" s="268"/>
      <c r="J4052" s="302"/>
      <c r="K4052" s="302"/>
    </row>
    <row r="4053" spans="1:17" x14ac:dyDescent="0.2">
      <c r="A4053" s="201"/>
      <c r="B4053" s="271"/>
      <c r="C4053" s="201"/>
      <c r="D4053" s="201"/>
      <c r="E4053" s="201"/>
      <c r="F4053" s="272" t="s">
        <v>214</v>
      </c>
      <c r="G4053" s="260"/>
      <c r="H4053" s="273"/>
      <c r="I4053" s="436">
        <f>SUM(I4052:I4052)</f>
        <v>0</v>
      </c>
      <c r="J4053" s="302"/>
      <c r="K4053" s="302"/>
    </row>
    <row r="4054" spans="1:17" x14ac:dyDescent="0.2">
      <c r="A4054" s="201"/>
      <c r="B4054" s="271"/>
      <c r="C4054" s="201"/>
      <c r="D4054" s="201"/>
      <c r="E4054" s="201"/>
      <c r="F4054" s="201"/>
      <c r="G4054" s="201"/>
      <c r="H4054" s="201"/>
      <c r="I4054" s="201"/>
      <c r="J4054" s="302"/>
      <c r="K4054" s="302"/>
    </row>
    <row r="4055" spans="1:17" x14ac:dyDescent="0.2">
      <c r="A4055" s="274" t="s">
        <v>215</v>
      </c>
      <c r="B4055" s="275" t="s">
        <v>60</v>
      </c>
      <c r="C4055" s="275" t="s">
        <v>211</v>
      </c>
      <c r="D4055" s="275" t="s">
        <v>216</v>
      </c>
      <c r="E4055" s="275" t="s">
        <v>217</v>
      </c>
      <c r="F4055" s="275" t="s">
        <v>218</v>
      </c>
      <c r="G4055" s="275" t="s">
        <v>96</v>
      </c>
      <c r="H4055" s="275" t="s">
        <v>91</v>
      </c>
      <c r="I4055" s="275" t="s">
        <v>219</v>
      </c>
      <c r="J4055" s="433" t="s">
        <v>115</v>
      </c>
    </row>
    <row r="4056" spans="1:17" ht="22.5" x14ac:dyDescent="0.2">
      <c r="A4056" s="265" t="str">
        <f>VLOOKUP(B4056,tranp.!A:D,2,FALSE)</f>
        <v>Transp. de Areia grossa jazida c/ carreg.mecânico</v>
      </c>
      <c r="B4056" s="238">
        <v>1026</v>
      </c>
      <c r="C4056" s="238" t="str">
        <f>VLOOKUP(B4056,tranp.!$A:$J,3,FALSE)</f>
        <v xml:space="preserve"> t  </v>
      </c>
      <c r="D4056" s="276" t="str">
        <f>VLOOKUP(B4056,tranp.!$A:$J,4,FALSE)</f>
        <v>0,681XP + 0,710XR + 2,841</v>
      </c>
      <c r="E4056" s="277">
        <f>VLOOKUP(J4055,Ocor.!$B:$F,4,FALSE)</f>
        <v>10</v>
      </c>
      <c r="F4056" s="277">
        <f>VLOOKUP(J4055,Ocor.!$B:$F,5,FALSE)</f>
        <v>5.6</v>
      </c>
      <c r="G4056" s="243">
        <f>TRUNC(VLOOKUP(B4056,tranp.!$A:$J,5,FALSE)*E4056+VLOOKUP(B4056,tranp.!$A:$J,6,FALSE)*F4056+VLOOKUP(B4056,tranp.!$A:$J,7,FALSE),2)</f>
        <v>13.62</v>
      </c>
      <c r="H4056" s="278">
        <v>0.96709999999999996</v>
      </c>
      <c r="I4056" s="243">
        <f>TRUNC(G4056*H4056,2)</f>
        <v>13.17</v>
      </c>
      <c r="J4056" s="433" t="s">
        <v>174</v>
      </c>
    </row>
    <row r="4057" spans="1:17" x14ac:dyDescent="0.2">
      <c r="A4057" s="265" t="str">
        <f>VLOOKUP(B4057,tranp.!A:D,2,FALSE)</f>
        <v>Transp. de Cimento</v>
      </c>
      <c r="B4057" s="238">
        <v>1153</v>
      </c>
      <c r="C4057" s="238" t="str">
        <f>VLOOKUP(B4057,tranp.!$A:$J,3,FALSE)</f>
        <v xml:space="preserve"> t  </v>
      </c>
      <c r="D4057" s="276" t="str">
        <f>VLOOKUP(B4057,tranp.!$A:$J,4,FALSE)</f>
        <v>0,676XP + 0,703XR</v>
      </c>
      <c r="E4057" s="277">
        <f>VLOOKUP(J4056,Ocor.!$B:$F,4,FALSE)</f>
        <v>37.200000000000003</v>
      </c>
      <c r="F4057" s="277">
        <f>VLOOKUP(J4056,Ocor.!$B:$F,5,FALSE)</f>
        <v>5.6</v>
      </c>
      <c r="G4057" s="243">
        <f>TRUNC(VLOOKUP(B4057,tranp.!$A:$J,5,FALSE)*E4057+VLOOKUP(B4057,tranp.!$A:$J,6,FALSE)*F4057+VLOOKUP(B4057,tranp.!$A:$J,7,FALSE),2)</f>
        <v>29.08</v>
      </c>
      <c r="H4057" s="278">
        <v>0.35699999999999998</v>
      </c>
      <c r="I4057" s="243">
        <f>TRUNC(G4057*H4057,2)</f>
        <v>10.38</v>
      </c>
      <c r="J4057" s="433" t="s">
        <v>113</v>
      </c>
    </row>
    <row r="4058" spans="1:17" ht="22.5" x14ac:dyDescent="0.2">
      <c r="A4058" s="265" t="str">
        <f>VLOOKUP(B4058,tranp.!A:D,2,FALSE)</f>
        <v>Transp. de Pedra britada p/ concreto</v>
      </c>
      <c r="B4058" s="238">
        <v>1162</v>
      </c>
      <c r="C4058" s="238" t="str">
        <f>VLOOKUP(B4058,tranp.!$A:$J,3,FALSE)</f>
        <v xml:space="preserve"> t  </v>
      </c>
      <c r="D4058" s="276" t="str">
        <f>VLOOKUP(B4058,tranp.!$A:$J,4,FALSE)</f>
        <v>0,681XP + 0,710XR + 2,841</v>
      </c>
      <c r="E4058" s="277">
        <f>VLOOKUP(J4057,Ocor.!$B:$F,4,FALSE)</f>
        <v>37.200000000000003</v>
      </c>
      <c r="F4058" s="277">
        <f>VLOOKUP(J4057,Ocor.!$B:$F,5,FALSE)</f>
        <v>5.6</v>
      </c>
      <c r="G4058" s="243">
        <f>TRUNC(VLOOKUP(B4058,tranp.!$A:$J,5,FALSE)*E4058+VLOOKUP(B4058,tranp.!$A:$J,6,FALSE)*F4058+VLOOKUP(B4058,tranp.!$A:$J,7,FALSE),2)</f>
        <v>32.15</v>
      </c>
      <c r="H4058" s="278">
        <v>1.1655</v>
      </c>
      <c r="I4058" s="243">
        <f>TRUNC(G4058*H4058,2)</f>
        <v>37.47</v>
      </c>
    </row>
    <row r="4059" spans="1:17" x14ac:dyDescent="0.2">
      <c r="A4059" s="201"/>
      <c r="B4059" s="271"/>
      <c r="C4059" s="201"/>
      <c r="D4059" s="201"/>
      <c r="E4059" s="201"/>
      <c r="F4059" s="272" t="s">
        <v>220</v>
      </c>
      <c r="G4059" s="244"/>
      <c r="H4059" s="279"/>
      <c r="I4059" s="438">
        <f>SUM(I4056:I4058)</f>
        <v>61.02</v>
      </c>
    </row>
    <row r="4060" spans="1:17" x14ac:dyDescent="0.2">
      <c r="A4060" s="201"/>
      <c r="B4060" s="271"/>
      <c r="C4060" s="201"/>
      <c r="D4060" s="201"/>
      <c r="E4060" s="201"/>
      <c r="F4060" s="201"/>
      <c r="G4060" s="201"/>
      <c r="H4060" s="201"/>
      <c r="I4060" s="202"/>
      <c r="J4060" s="446"/>
      <c r="K4060" s="446"/>
    </row>
    <row r="4061" spans="1:17" x14ac:dyDescent="0.2">
      <c r="A4061" s="280"/>
      <c r="B4061" s="281"/>
      <c r="C4061" s="282"/>
      <c r="D4061" s="282"/>
      <c r="E4061" s="282"/>
      <c r="F4061" s="283" t="s">
        <v>221</v>
      </c>
      <c r="G4061" s="280"/>
      <c r="H4061" s="254"/>
      <c r="I4061" s="634">
        <f>+I4043+I4049+I4053+I4059</f>
        <v>523.21</v>
      </c>
      <c r="K4061" s="446"/>
    </row>
    <row r="4062" spans="1:17" x14ac:dyDescent="0.2">
      <c r="A4062" s="260"/>
      <c r="B4062" s="284"/>
      <c r="C4062" s="273"/>
      <c r="D4062" s="273"/>
      <c r="E4062" s="273"/>
      <c r="F4062" s="285" t="str">
        <f>CONCATENATE($H$3," ",$I$3)</f>
        <v>BDI: 23,32</v>
      </c>
      <c r="G4062" s="439"/>
      <c r="H4062" s="258"/>
      <c r="I4062" s="635">
        <f>+ROUND(I4061*$I$4,2)</f>
        <v>122.01</v>
      </c>
    </row>
    <row r="4063" spans="1:17" x14ac:dyDescent="0.2">
      <c r="A4063" s="244"/>
      <c r="B4063" s="286"/>
      <c r="C4063" s="279"/>
      <c r="D4063" s="279"/>
      <c r="E4063" s="279"/>
      <c r="F4063" s="287" t="s">
        <v>222</v>
      </c>
      <c r="G4063" s="440"/>
      <c r="H4063" s="245"/>
      <c r="I4063" s="1017">
        <f>+I4061+I4062</f>
        <v>645.22</v>
      </c>
    </row>
    <row r="4064" spans="1:17" x14ac:dyDescent="0.2">
      <c r="A4064" s="1286" t="str">
        <f>$A$1</f>
        <v>COMPOSIÇÃO DE CUSTOS UNITÁRIOS</v>
      </c>
      <c r="B4064" s="1286"/>
      <c r="C4064" s="1286"/>
      <c r="D4064" s="1286"/>
      <c r="E4064" s="1286"/>
      <c r="F4064" s="1286"/>
      <c r="G4064" s="1286"/>
      <c r="H4064" s="1286"/>
      <c r="I4064" s="1286"/>
      <c r="J4064" s="451"/>
      <c r="K4064" s="451"/>
      <c r="L4064" s="198"/>
      <c r="M4064" s="198"/>
      <c r="N4064" s="198"/>
      <c r="O4064" s="198"/>
      <c r="P4064" s="198"/>
      <c r="Q4064" s="198"/>
    </row>
    <row r="4065" spans="1:17" x14ac:dyDescent="0.2">
      <c r="A4065" s="447" t="s">
        <v>230</v>
      </c>
      <c r="B4065" s="448"/>
      <c r="C4065" s="449"/>
      <c r="D4065" s="449"/>
      <c r="E4065" s="449"/>
      <c r="F4065" s="449"/>
      <c r="G4065" s="449"/>
      <c r="H4065" s="449"/>
      <c r="I4065" s="450" t="str">
        <f>I120</f>
        <v>Data Base: Outubro/2018</v>
      </c>
      <c r="J4065" s="451">
        <v>40282</v>
      </c>
      <c r="K4065" s="451">
        <f>VLOOKUP("Preço Unitário Total",F4067:I4135,4,FALSE)</f>
        <v>12.23</v>
      </c>
      <c r="L4065" s="198">
        <f>VLOOKUP(J4065,'DER 10-18'!A:E,5,FALSE)</f>
        <v>0</v>
      </c>
      <c r="M4065" s="198" t="str">
        <f>VLOOKUP(J4065,'DER 10-18'!$A:$D,2,FALSE)</f>
        <v>Escavação mecânica em material de 1ª cat. H= 0,00 a 1,50 m</v>
      </c>
      <c r="N4065" s="198"/>
      <c r="O4065" s="198"/>
      <c r="P4065" s="198"/>
      <c r="Q4065" s="198"/>
    </row>
    <row r="4066" spans="1:17" x14ac:dyDescent="0.2">
      <c r="A4066" s="1287" t="str">
        <f>+CONCATENATE("Serviço: ",J4065," ",VLOOKUP(J4065,'DER 10-18'!$A:$D,2,FALSE))</f>
        <v>Serviço: 40282 Escavação mecânica em material de 1ª cat. H= 0,00 a 1,50 m</v>
      </c>
      <c r="B4066" s="1287"/>
      <c r="C4066" s="1287"/>
      <c r="D4066" s="1287"/>
      <c r="E4066" s="1287"/>
      <c r="F4066" s="1287"/>
      <c r="G4066" s="1287"/>
      <c r="H4066" s="1287"/>
      <c r="I4066" s="1287" t="str">
        <f>CONCATENATE("Unidade: ", VLOOKUP(J4065,'DER 10-18'!$A:$E,3,FALSE))</f>
        <v>Unidade: M3</v>
      </c>
      <c r="J4066" s="198"/>
      <c r="K4066" s="198"/>
      <c r="L4066" s="198"/>
      <c r="M4066" s="198"/>
      <c r="N4066" s="198"/>
      <c r="O4066" s="198"/>
      <c r="P4066" s="198"/>
      <c r="Q4066" s="198"/>
    </row>
    <row r="4067" spans="1:17" x14ac:dyDescent="0.2">
      <c r="A4067" s="1288"/>
      <c r="B4067" s="1288"/>
      <c r="C4067" s="1288"/>
      <c r="D4067" s="1288"/>
      <c r="E4067" s="1288"/>
      <c r="F4067" s="1288"/>
      <c r="G4067" s="1288"/>
      <c r="H4067" s="1288"/>
      <c r="I4067" s="1288"/>
      <c r="J4067" s="302"/>
      <c r="K4067" s="302"/>
    </row>
    <row r="4068" spans="1:17" ht="22.5" x14ac:dyDescent="0.2">
      <c r="A4068" s="235" t="s">
        <v>192</v>
      </c>
      <c r="B4068" s="236" t="s">
        <v>60</v>
      </c>
      <c r="C4068" s="236" t="s">
        <v>193</v>
      </c>
      <c r="D4068" s="236" t="s">
        <v>194</v>
      </c>
      <c r="E4068" s="236" t="s">
        <v>195</v>
      </c>
      <c r="F4068" s="236" t="s">
        <v>196</v>
      </c>
      <c r="G4068" s="236" t="s">
        <v>197</v>
      </c>
      <c r="H4068" s="236" t="s">
        <v>91</v>
      </c>
      <c r="I4068" s="236" t="s">
        <v>198</v>
      </c>
      <c r="J4068" s="302"/>
      <c r="K4068" s="302"/>
    </row>
    <row r="4069" spans="1:17" ht="33.75" x14ac:dyDescent="0.2">
      <c r="A4069" s="237" t="str">
        <f>VLOOKUP(B4069,equip.!$A:$G,2,FALSE)</f>
        <v>Escavadeira hidráulica sobre esteiras mod. C X 220 (22t), Case ou equivalente</v>
      </c>
      <c r="B4069" s="238">
        <v>30025</v>
      </c>
      <c r="C4069" s="239">
        <f>VLOOKUP(B4069,equip.!$A$1:$G$239,3,FALSE)</f>
        <v>0</v>
      </c>
      <c r="D4069" s="240">
        <v>1</v>
      </c>
      <c r="E4069" s="205">
        <v>0</v>
      </c>
      <c r="F4069" s="241">
        <f>VLOOKUP(B4069,equip.!$A:$G,6,FALSE)</f>
        <v>193.66</v>
      </c>
      <c r="G4069" s="241">
        <f>VLOOKUP(B4069,equip.!$A:$G,7,FALSE)</f>
        <v>79.11</v>
      </c>
      <c r="H4069" s="242">
        <v>1</v>
      </c>
      <c r="I4069" s="243">
        <f>TRUNC(D4069*F4069*H4069+E4069*G4069*H4069,2)</f>
        <v>193.66</v>
      </c>
      <c r="J4069" s="302"/>
      <c r="K4069" s="302"/>
    </row>
    <row r="4070" spans="1:17" x14ac:dyDescent="0.2">
      <c r="A4070" s="199"/>
      <c r="B4070" s="233"/>
      <c r="C4070" s="233"/>
      <c r="D4070" s="199"/>
      <c r="E4070" s="199"/>
      <c r="F4070" s="234" t="s">
        <v>199</v>
      </c>
      <c r="G4070" s="244"/>
      <c r="H4070" s="245"/>
      <c r="I4070" s="434">
        <f>SUM(I4069:I4069)</f>
        <v>193.66</v>
      </c>
      <c r="J4070" s="302"/>
      <c r="K4070" s="302"/>
    </row>
    <row r="4071" spans="1:17" x14ac:dyDescent="0.2">
      <c r="A4071" s="199"/>
      <c r="B4071" s="233"/>
      <c r="C4071" s="233"/>
      <c r="D4071" s="199"/>
      <c r="E4071" s="199"/>
      <c r="F4071" s="199"/>
      <c r="G4071" s="199"/>
      <c r="H4071" s="199"/>
      <c r="I4071" s="200"/>
      <c r="J4071" s="302"/>
      <c r="K4071" s="302"/>
    </row>
    <row r="4072" spans="1:17" x14ac:dyDescent="0.2">
      <c r="A4072" s="246" t="s">
        <v>200</v>
      </c>
      <c r="B4072" s="247" t="s">
        <v>60</v>
      </c>
      <c r="C4072" s="236" t="s">
        <v>1242</v>
      </c>
      <c r="D4072" s="247" t="s">
        <v>202</v>
      </c>
      <c r="E4072" s="1271" t="s">
        <v>91</v>
      </c>
      <c r="F4072" s="1272"/>
      <c r="G4072" s="1273"/>
      <c r="H4072" s="1276" t="s">
        <v>198</v>
      </c>
      <c r="I4072" s="1275"/>
      <c r="J4072" s="302"/>
      <c r="K4072" s="302"/>
    </row>
    <row r="4073" spans="1:17" x14ac:dyDescent="0.2">
      <c r="A4073" s="248" t="str">
        <f>VLOOKUP(B4073,m.o.!$A:$H,2,FALSE)</f>
        <v>Encarregado de O.A.C.</v>
      </c>
      <c r="B4073" s="238">
        <v>20060</v>
      </c>
      <c r="C4073" s="243">
        <f>VLOOKUP(B4073,m.o.!$A:$F,4,FALSE)</f>
        <v>2.2599999999999998</v>
      </c>
      <c r="D4073" s="243">
        <f>VLOOKUP(B4073,m.o.!$A:$G,7,FALSE)</f>
        <v>26.3</v>
      </c>
      <c r="E4073" s="260"/>
      <c r="F4073" s="258"/>
      <c r="G4073" s="300">
        <v>0.5</v>
      </c>
      <c r="H4073" s="244"/>
      <c r="I4073" s="249">
        <f>TRUNC(D4073*G4073,2)</f>
        <v>13.15</v>
      </c>
      <c r="J4073" s="302"/>
      <c r="K4073" s="302"/>
    </row>
    <row r="4074" spans="1:17" x14ac:dyDescent="0.2">
      <c r="A4074" s="265" t="str">
        <f>VLOOKUP(B4074,m.o.!$A:$H,2,FALSE)</f>
        <v>Servente</v>
      </c>
      <c r="B4074" s="238">
        <v>20002</v>
      </c>
      <c r="C4074" s="267">
        <f>VLOOKUP(B4074,m.o.!$A:$F,4,FALSE)</f>
        <v>1</v>
      </c>
      <c r="D4074" s="267">
        <f>VLOOKUP(B4074,m.o.!$A:$G,7,FALSE)</f>
        <v>11.64</v>
      </c>
      <c r="E4074" s="260"/>
      <c r="F4074" s="258"/>
      <c r="G4074" s="441">
        <v>1</v>
      </c>
      <c r="H4074" s="260"/>
      <c r="I4074" s="268">
        <f>TRUNC(D4074*G4074,2)</f>
        <v>11.64</v>
      </c>
      <c r="J4074" s="302"/>
      <c r="K4074" s="302"/>
    </row>
    <row r="4075" spans="1:17" x14ac:dyDescent="0.2">
      <c r="A4075" s="199"/>
      <c r="B4075" s="233"/>
      <c r="C4075" s="233"/>
      <c r="D4075" s="199"/>
      <c r="E4075" s="199"/>
      <c r="F4075" s="234" t="s">
        <v>203</v>
      </c>
      <c r="G4075" s="244"/>
      <c r="H4075" s="245"/>
      <c r="I4075" s="434">
        <f>SUM(I4073:I4074)</f>
        <v>24.79</v>
      </c>
      <c r="J4075" s="302"/>
      <c r="K4075" s="302"/>
    </row>
    <row r="4076" spans="1:17" s="198" customFormat="1" x14ac:dyDescent="0.2">
      <c r="A4076" s="199"/>
      <c r="B4076" s="233"/>
      <c r="C4076" s="233"/>
      <c r="D4076" s="199"/>
      <c r="E4076" s="199"/>
      <c r="F4076" s="199"/>
      <c r="G4076" s="199"/>
      <c r="H4076" s="199"/>
      <c r="I4076" s="200"/>
      <c r="J4076" s="302"/>
      <c r="K4076" s="302"/>
      <c r="L4076" s="302"/>
      <c r="M4076" s="302"/>
      <c r="N4076" s="302"/>
      <c r="O4076" s="302"/>
      <c r="P4076" s="302"/>
      <c r="Q4076" s="302"/>
    </row>
    <row r="4077" spans="1:17" x14ac:dyDescent="0.2">
      <c r="A4077" s="250" t="s">
        <v>204</v>
      </c>
      <c r="B4077" s="247" t="s">
        <v>60</v>
      </c>
      <c r="C4077" s="866" t="s">
        <v>17</v>
      </c>
      <c r="D4077" s="247" t="s">
        <v>205</v>
      </c>
      <c r="E4077" s="247" t="s">
        <v>206</v>
      </c>
      <c r="F4077" s="247" t="s">
        <v>207</v>
      </c>
      <c r="G4077" s="1276" t="s">
        <v>96</v>
      </c>
      <c r="H4077" s="1274"/>
      <c r="I4077" s="1275"/>
      <c r="J4077" s="302"/>
      <c r="K4077" s="302"/>
    </row>
    <row r="4078" spans="1:17" x14ac:dyDescent="0.2">
      <c r="A4078" s="248"/>
      <c r="B4078" s="238"/>
      <c r="C4078" s="243"/>
      <c r="D4078" s="239"/>
      <c r="E4078" s="251"/>
      <c r="F4078" s="251"/>
      <c r="G4078" s="244"/>
      <c r="H4078" s="245"/>
      <c r="I4078" s="249">
        <f>TRUNC(C4078/100*I4075,2)</f>
        <v>0</v>
      </c>
      <c r="J4078" s="302"/>
      <c r="K4078" s="302"/>
    </row>
    <row r="4079" spans="1:17" x14ac:dyDescent="0.2">
      <c r="A4079" s="199"/>
      <c r="B4079" s="233"/>
      <c r="C4079" s="199"/>
      <c r="D4079" s="199"/>
      <c r="E4079" s="199"/>
      <c r="F4079" s="234" t="s">
        <v>1170</v>
      </c>
      <c r="G4079" s="244"/>
      <c r="H4079" s="245"/>
      <c r="I4079" s="434">
        <f>SUM(I4078)</f>
        <v>0</v>
      </c>
      <c r="J4079" s="302"/>
      <c r="K4079" s="302"/>
    </row>
    <row r="4080" spans="1:17" x14ac:dyDescent="0.2">
      <c r="A4080" s="199"/>
      <c r="B4080" s="233"/>
      <c r="C4080" s="199"/>
      <c r="D4080" s="199"/>
      <c r="E4080" s="199"/>
      <c r="F4080" s="199"/>
      <c r="G4080" s="199"/>
      <c r="H4080" s="199"/>
      <c r="I4080" s="200"/>
      <c r="J4080" s="302"/>
      <c r="K4080" s="302"/>
    </row>
    <row r="4081" spans="1:11" x14ac:dyDescent="0.2">
      <c r="A4081" s="252"/>
      <c r="B4081" s="253"/>
      <c r="C4081" s="254"/>
      <c r="D4081" s="254"/>
      <c r="E4081" s="254"/>
      <c r="F4081" s="255" t="s">
        <v>208</v>
      </c>
      <c r="G4081" s="435"/>
      <c r="H4081" s="254"/>
      <c r="I4081" s="634">
        <f>+I4070+I4075+I4079</f>
        <v>218.45</v>
      </c>
      <c r="J4081" s="302"/>
      <c r="K4081" s="302"/>
    </row>
    <row r="4082" spans="1:11" x14ac:dyDescent="0.2">
      <c r="A4082" s="256"/>
      <c r="B4082" s="257"/>
      <c r="C4082" s="258"/>
      <c r="D4082" s="258"/>
      <c r="E4082" s="258"/>
      <c r="F4082" s="259" t="s">
        <v>209</v>
      </c>
      <c r="G4082" s="260"/>
      <c r="H4082" s="258"/>
      <c r="I4082" s="635">
        <v>22</v>
      </c>
      <c r="K4082" s="302"/>
    </row>
    <row r="4083" spans="1:11" x14ac:dyDescent="0.2">
      <c r="A4083" s="237"/>
      <c r="B4083" s="261"/>
      <c r="C4083" s="245"/>
      <c r="D4083" s="245"/>
      <c r="E4083" s="245"/>
      <c r="F4083" s="262" t="s">
        <v>232</v>
      </c>
      <c r="G4083" s="244"/>
      <c r="H4083" s="245"/>
      <c r="I4083" s="633">
        <f>TRUNC(I4081/I4082,2)</f>
        <v>9.92</v>
      </c>
      <c r="K4083" s="302"/>
    </row>
    <row r="4084" spans="1:11" x14ac:dyDescent="0.2">
      <c r="A4084" s="867"/>
      <c r="B4084" s="233"/>
      <c r="C4084" s="199"/>
      <c r="D4084" s="199"/>
      <c r="E4084" s="199"/>
      <c r="F4084" s="263"/>
      <c r="G4084" s="199"/>
      <c r="H4084" s="199"/>
      <c r="I4084" s="264"/>
      <c r="K4084" s="302"/>
    </row>
    <row r="4085" spans="1:11" x14ac:dyDescent="0.2">
      <c r="A4085" s="246" t="s">
        <v>210</v>
      </c>
      <c r="B4085" s="247" t="s">
        <v>60</v>
      </c>
      <c r="C4085" s="247" t="s">
        <v>211</v>
      </c>
      <c r="D4085" s="247" t="s">
        <v>233</v>
      </c>
      <c r="E4085" s="1276" t="s">
        <v>91</v>
      </c>
      <c r="F4085" s="1274"/>
      <c r="G4085" s="1275"/>
      <c r="H4085" s="1276" t="s">
        <v>198</v>
      </c>
      <c r="I4085" s="1275"/>
      <c r="K4085" s="302"/>
    </row>
    <row r="4086" spans="1:11" x14ac:dyDescent="0.2">
      <c r="A4086" s="265"/>
      <c r="B4086" s="238"/>
      <c r="C4086" s="266"/>
      <c r="D4086" s="267"/>
      <c r="E4086" s="260"/>
      <c r="F4086" s="258"/>
      <c r="G4086" s="300"/>
      <c r="H4086" s="260"/>
      <c r="I4086" s="268">
        <f>TRUNC(D4086*G4086,2)</f>
        <v>0</v>
      </c>
      <c r="K4086" s="302"/>
    </row>
    <row r="4087" spans="1:11" x14ac:dyDescent="0.2">
      <c r="A4087" s="199"/>
      <c r="B4087" s="233"/>
      <c r="C4087" s="199"/>
      <c r="D4087" s="199"/>
      <c r="E4087" s="199"/>
      <c r="F4087" s="234" t="s">
        <v>212</v>
      </c>
      <c r="G4087" s="244"/>
      <c r="H4087" s="245"/>
      <c r="I4087" s="434">
        <f>SUM(I4086:I4086)</f>
        <v>0</v>
      </c>
      <c r="K4087" s="302"/>
    </row>
    <row r="4088" spans="1:11" x14ac:dyDescent="0.2">
      <c r="A4088" s="199"/>
      <c r="B4088" s="233"/>
      <c r="C4088" s="199"/>
      <c r="D4088" s="199"/>
      <c r="E4088" s="199"/>
      <c r="F4088" s="199"/>
      <c r="G4088" s="269"/>
      <c r="H4088" s="199"/>
      <c r="I4088" s="200"/>
      <c r="K4088" s="302"/>
    </row>
    <row r="4089" spans="1:11" x14ac:dyDescent="0.2">
      <c r="A4089" s="270" t="s">
        <v>213</v>
      </c>
      <c r="B4089" s="247" t="s">
        <v>60</v>
      </c>
      <c r="C4089" s="247" t="s">
        <v>211</v>
      </c>
      <c r="D4089" s="866" t="s">
        <v>233</v>
      </c>
      <c r="E4089" s="1271" t="s">
        <v>91</v>
      </c>
      <c r="F4089" s="1272"/>
      <c r="G4089" s="1273"/>
      <c r="H4089" s="1274" t="s">
        <v>198</v>
      </c>
      <c r="I4089" s="1275"/>
      <c r="K4089" s="302"/>
    </row>
    <row r="4090" spans="1:11" x14ac:dyDescent="0.2">
      <c r="A4090" s="248"/>
      <c r="B4090" s="266"/>
      <c r="C4090" s="238"/>
      <c r="D4090" s="243"/>
      <c r="E4090" s="244"/>
      <c r="F4090" s="245"/>
      <c r="G4090" s="445"/>
      <c r="H4090" s="244"/>
      <c r="I4090" s="268"/>
      <c r="K4090" s="302"/>
    </row>
    <row r="4091" spans="1:11" x14ac:dyDescent="0.2">
      <c r="A4091" s="201"/>
      <c r="B4091" s="271"/>
      <c r="C4091" s="201"/>
      <c r="D4091" s="201"/>
      <c r="E4091" s="201"/>
      <c r="F4091" s="272" t="s">
        <v>214</v>
      </c>
      <c r="G4091" s="260"/>
      <c r="H4091" s="273"/>
      <c r="I4091" s="436">
        <f>SUM(I4088:I4090)</f>
        <v>0</v>
      </c>
      <c r="K4091" s="302"/>
    </row>
    <row r="4092" spans="1:11" x14ac:dyDescent="0.2">
      <c r="A4092" s="201"/>
      <c r="B4092" s="271"/>
      <c r="C4092" s="201"/>
      <c r="D4092" s="201"/>
      <c r="E4092" s="201"/>
      <c r="F4092" s="201"/>
      <c r="G4092" s="201"/>
      <c r="H4092" s="201"/>
      <c r="I4092" s="201"/>
      <c r="K4092" s="302"/>
    </row>
    <row r="4093" spans="1:11" x14ac:dyDescent="0.2">
      <c r="A4093" s="274" t="s">
        <v>215</v>
      </c>
      <c r="B4093" s="275" t="s">
        <v>60</v>
      </c>
      <c r="C4093" s="275" t="s">
        <v>211</v>
      </c>
      <c r="D4093" s="275" t="s">
        <v>216</v>
      </c>
      <c r="E4093" s="275" t="s">
        <v>217</v>
      </c>
      <c r="F4093" s="275" t="s">
        <v>218</v>
      </c>
      <c r="G4093" s="275" t="s">
        <v>96</v>
      </c>
      <c r="H4093" s="275" t="s">
        <v>91</v>
      </c>
      <c r="I4093" s="275" t="s">
        <v>219</v>
      </c>
      <c r="K4093" s="302"/>
    </row>
    <row r="4094" spans="1:11" x14ac:dyDescent="0.2">
      <c r="A4094" s="248"/>
      <c r="B4094" s="238"/>
      <c r="C4094" s="238"/>
      <c r="D4094" s="276"/>
      <c r="E4094" s="277"/>
      <c r="F4094" s="277"/>
      <c r="G4094" s="243"/>
      <c r="H4094" s="278"/>
      <c r="I4094" s="243">
        <f>TRUNC(G4094*H4094,2)</f>
        <v>0</v>
      </c>
      <c r="K4094" s="302"/>
    </row>
    <row r="4095" spans="1:11" x14ac:dyDescent="0.2">
      <c r="A4095" s="201"/>
      <c r="B4095" s="271"/>
      <c r="C4095" s="201"/>
      <c r="D4095" s="201"/>
      <c r="E4095" s="201"/>
      <c r="F4095" s="272" t="s">
        <v>220</v>
      </c>
      <c r="G4095" s="244"/>
      <c r="H4095" s="279"/>
      <c r="I4095" s="438">
        <f>SUM(I4094:I4094)</f>
        <v>0</v>
      </c>
      <c r="K4095" s="302"/>
    </row>
    <row r="4096" spans="1:11" x14ac:dyDescent="0.2">
      <c r="A4096" s="201"/>
      <c r="B4096" s="271"/>
      <c r="C4096" s="201"/>
      <c r="D4096" s="201"/>
      <c r="E4096" s="201"/>
      <c r="F4096" s="201"/>
      <c r="G4096" s="201"/>
      <c r="H4096" s="201"/>
      <c r="I4096" s="202"/>
      <c r="K4096" s="302"/>
    </row>
    <row r="4097" spans="1:17" x14ac:dyDescent="0.2">
      <c r="A4097" s="280"/>
      <c r="B4097" s="281"/>
      <c r="C4097" s="282"/>
      <c r="D4097" s="282"/>
      <c r="E4097" s="282"/>
      <c r="F4097" s="283" t="s">
        <v>221</v>
      </c>
      <c r="G4097" s="280"/>
      <c r="H4097" s="254"/>
      <c r="I4097" s="634">
        <f>+I4083+I4087+I4091+I4095</f>
        <v>9.92</v>
      </c>
      <c r="K4097" s="302"/>
    </row>
    <row r="4098" spans="1:17" x14ac:dyDescent="0.2">
      <c r="A4098" s="260"/>
      <c r="B4098" s="284"/>
      <c r="C4098" s="273"/>
      <c r="D4098" s="273"/>
      <c r="E4098" s="273"/>
      <c r="F4098" s="285" t="str">
        <f>CONCATENATE($H$3," ",$I$3)</f>
        <v>BDI: 23,32</v>
      </c>
      <c r="G4098" s="439"/>
      <c r="H4098" s="258"/>
      <c r="I4098" s="635">
        <f>+ROUND(I4097*$I$4,2)</f>
        <v>2.31</v>
      </c>
    </row>
    <row r="4099" spans="1:17" x14ac:dyDescent="0.2">
      <c r="A4099" s="244"/>
      <c r="B4099" s="286"/>
      <c r="C4099" s="279"/>
      <c r="D4099" s="279"/>
      <c r="E4099" s="279"/>
      <c r="F4099" s="287" t="s">
        <v>222</v>
      </c>
      <c r="G4099" s="440"/>
      <c r="H4099" s="245"/>
      <c r="I4099" s="1017">
        <f>+I4097+I4098</f>
        <v>12.23</v>
      </c>
      <c r="J4099" s="451"/>
      <c r="K4099" s="451"/>
      <c r="L4099" s="198"/>
      <c r="M4099" s="198"/>
      <c r="N4099" s="198"/>
      <c r="O4099" s="198"/>
      <c r="P4099" s="198"/>
      <c r="Q4099" s="198"/>
    </row>
    <row r="4100" spans="1:17" x14ac:dyDescent="0.2">
      <c r="A4100" s="1286" t="str">
        <f>$A$1</f>
        <v>COMPOSIÇÃO DE CUSTOS UNITÁRIOS</v>
      </c>
      <c r="B4100" s="1286"/>
      <c r="C4100" s="1286"/>
      <c r="D4100" s="1286"/>
      <c r="E4100" s="1286"/>
      <c r="F4100" s="1286"/>
      <c r="G4100" s="1286"/>
      <c r="H4100" s="1286"/>
      <c r="I4100" s="1286"/>
      <c r="J4100" s="451"/>
      <c r="K4100" s="451"/>
      <c r="L4100" s="198"/>
      <c r="M4100" s="198"/>
      <c r="N4100" s="198"/>
      <c r="O4100" s="198"/>
      <c r="P4100" s="198"/>
      <c r="Q4100" s="198"/>
    </row>
    <row r="4101" spans="1:17" x14ac:dyDescent="0.2">
      <c r="A4101" s="447" t="s">
        <v>230</v>
      </c>
      <c r="B4101" s="448"/>
      <c r="C4101" s="449"/>
      <c r="D4101" s="449"/>
      <c r="E4101" s="449"/>
      <c r="F4101" s="449"/>
      <c r="G4101" s="449"/>
      <c r="H4101" s="449"/>
      <c r="I4101" s="450" t="str">
        <f>I4065</f>
        <v>Data Base: Outubro/2018</v>
      </c>
      <c r="J4101" s="451">
        <v>40283</v>
      </c>
      <c r="K4101" s="451">
        <f>VLOOKUP("Preço Unitário Total",F4103:I4135,4,FALSE)</f>
        <v>13.47</v>
      </c>
      <c r="L4101" s="198">
        <f>VLOOKUP(J4101,'DER 10-18'!A:E,5,FALSE)</f>
        <v>0</v>
      </c>
      <c r="M4101" s="198" t="str">
        <f>VLOOKUP(J4101,'DER 10-18'!$A:$D,2,FALSE)</f>
        <v>Escavação mecânica em material de 1ª cat. H= 1,50 a 3,00 m</v>
      </c>
      <c r="N4101" s="198"/>
      <c r="O4101" s="198"/>
      <c r="P4101" s="198"/>
      <c r="Q4101" s="198"/>
    </row>
    <row r="4102" spans="1:17" x14ac:dyDescent="0.2">
      <c r="A4102" s="1287" t="str">
        <f>+CONCATENATE("Serviço: ",J4101," ",VLOOKUP(J4101,'DER 10-18'!$A:$D,2,FALSE))</f>
        <v>Serviço: 40283 Escavação mecânica em material de 1ª cat. H= 1,50 a 3,00 m</v>
      </c>
      <c r="B4102" s="1287"/>
      <c r="C4102" s="1287"/>
      <c r="D4102" s="1287"/>
      <c r="E4102" s="1287"/>
      <c r="F4102" s="1287"/>
      <c r="G4102" s="1287"/>
      <c r="H4102" s="1287"/>
      <c r="I4102" s="1287" t="str">
        <f>CONCATENATE("Unidade: ", VLOOKUP(J4101,'DER 10-18'!$A:$E,3,FALSE))</f>
        <v>Unidade: M3</v>
      </c>
      <c r="J4102" s="198"/>
      <c r="K4102" s="198"/>
      <c r="L4102" s="198"/>
      <c r="M4102" s="198"/>
      <c r="N4102" s="198"/>
      <c r="O4102" s="198"/>
      <c r="P4102" s="198"/>
      <c r="Q4102" s="198"/>
    </row>
    <row r="4103" spans="1:17" x14ac:dyDescent="0.2">
      <c r="A4103" s="1288"/>
      <c r="B4103" s="1288"/>
      <c r="C4103" s="1288"/>
      <c r="D4103" s="1288"/>
      <c r="E4103" s="1288"/>
      <c r="F4103" s="1288"/>
      <c r="G4103" s="1288"/>
      <c r="H4103" s="1288"/>
      <c r="I4103" s="1288"/>
      <c r="J4103" s="302"/>
      <c r="K4103" s="302"/>
    </row>
    <row r="4104" spans="1:17" ht="22.5" x14ac:dyDescent="0.2">
      <c r="A4104" s="235" t="s">
        <v>192</v>
      </c>
      <c r="B4104" s="236" t="s">
        <v>60</v>
      </c>
      <c r="C4104" s="236" t="s">
        <v>193</v>
      </c>
      <c r="D4104" s="236" t="s">
        <v>194</v>
      </c>
      <c r="E4104" s="236" t="s">
        <v>195</v>
      </c>
      <c r="F4104" s="236" t="s">
        <v>196</v>
      </c>
      <c r="G4104" s="236" t="s">
        <v>197</v>
      </c>
      <c r="H4104" s="236" t="s">
        <v>91</v>
      </c>
      <c r="I4104" s="236" t="s">
        <v>198</v>
      </c>
      <c r="J4104" s="302"/>
      <c r="K4104" s="302"/>
    </row>
    <row r="4105" spans="1:17" ht="33.75" x14ac:dyDescent="0.2">
      <c r="A4105" s="237" t="str">
        <f>VLOOKUP(B4105,equip.!$A:$G,2,FALSE)</f>
        <v>Escavadeira hidráulica sobre esteiras mod. C X 220 (22t), Case ou equivalente</v>
      </c>
      <c r="B4105" s="238">
        <v>30025</v>
      </c>
      <c r="C4105" s="239">
        <f>VLOOKUP(B4105,equip.!$A$1:$G$239,3,FALSE)</f>
        <v>0</v>
      </c>
      <c r="D4105" s="240">
        <v>1</v>
      </c>
      <c r="E4105" s="205">
        <v>0</v>
      </c>
      <c r="F4105" s="241">
        <f>VLOOKUP(B4105,equip.!$A:$G,6,FALSE)</f>
        <v>193.66</v>
      </c>
      <c r="G4105" s="241">
        <f>VLOOKUP(B4105,equip.!$A:$G,7,FALSE)</f>
        <v>79.11</v>
      </c>
      <c r="H4105" s="242">
        <v>1</v>
      </c>
      <c r="I4105" s="243">
        <f>TRUNC(D4105*F4105*H4105+E4105*G4105*H4105,2)</f>
        <v>193.66</v>
      </c>
      <c r="J4105" s="302"/>
      <c r="K4105" s="302"/>
    </row>
    <row r="4106" spans="1:17" x14ac:dyDescent="0.2">
      <c r="A4106" s="199"/>
      <c r="B4106" s="233"/>
      <c r="C4106" s="233"/>
      <c r="D4106" s="199"/>
      <c r="E4106" s="199"/>
      <c r="F4106" s="234" t="s">
        <v>199</v>
      </c>
      <c r="G4106" s="244"/>
      <c r="H4106" s="245"/>
      <c r="I4106" s="434">
        <f>SUM(I4105:I4105)</f>
        <v>193.66</v>
      </c>
      <c r="J4106" s="302"/>
      <c r="K4106" s="302"/>
    </row>
    <row r="4107" spans="1:17" x14ac:dyDescent="0.2">
      <c r="A4107" s="199"/>
      <c r="B4107" s="233"/>
      <c r="C4107" s="233"/>
      <c r="D4107" s="199"/>
      <c r="E4107" s="199"/>
      <c r="F4107" s="199"/>
      <c r="G4107" s="199"/>
      <c r="H4107" s="199"/>
      <c r="I4107" s="200"/>
      <c r="J4107" s="302"/>
      <c r="K4107" s="302"/>
    </row>
    <row r="4108" spans="1:17" x14ac:dyDescent="0.2">
      <c r="A4108" s="246" t="s">
        <v>200</v>
      </c>
      <c r="B4108" s="247" t="s">
        <v>60</v>
      </c>
      <c r="C4108" s="236" t="s">
        <v>1242</v>
      </c>
      <c r="D4108" s="247" t="s">
        <v>202</v>
      </c>
      <c r="E4108" s="1271" t="s">
        <v>91</v>
      </c>
      <c r="F4108" s="1272"/>
      <c r="G4108" s="1273"/>
      <c r="H4108" s="1276" t="s">
        <v>198</v>
      </c>
      <c r="I4108" s="1275"/>
      <c r="J4108" s="302"/>
      <c r="K4108" s="302"/>
    </row>
    <row r="4109" spans="1:17" x14ac:dyDescent="0.2">
      <c r="A4109" s="248" t="str">
        <f>VLOOKUP(B4109,m.o.!$A:$H,2,FALSE)</f>
        <v>Encarregado de O.A.C.</v>
      </c>
      <c r="B4109" s="238">
        <v>20060</v>
      </c>
      <c r="C4109" s="243">
        <f>VLOOKUP(B4109,m.o.!$A:$F,4,FALSE)</f>
        <v>2.2599999999999998</v>
      </c>
      <c r="D4109" s="243">
        <f>VLOOKUP(B4109,m.o.!$A:$G,7,FALSE)</f>
        <v>26.3</v>
      </c>
      <c r="E4109" s="260"/>
      <c r="F4109" s="258"/>
      <c r="G4109" s="300">
        <v>0.5</v>
      </c>
      <c r="H4109" s="244"/>
      <c r="I4109" s="249">
        <f>TRUNC(D4109*G4109,2)</f>
        <v>13.15</v>
      </c>
      <c r="J4109" s="302"/>
      <c r="K4109" s="302"/>
    </row>
    <row r="4110" spans="1:17" x14ac:dyDescent="0.2">
      <c r="A4110" s="265" t="str">
        <f>VLOOKUP(B4110,m.o.!$A:$H,2,FALSE)</f>
        <v>Servente</v>
      </c>
      <c r="B4110" s="238">
        <v>20002</v>
      </c>
      <c r="C4110" s="267">
        <f>VLOOKUP(B4110,m.o.!$A:$F,4,FALSE)</f>
        <v>1</v>
      </c>
      <c r="D4110" s="267">
        <f>VLOOKUP(B4110,m.o.!$A:$G,7,FALSE)</f>
        <v>11.64</v>
      </c>
      <c r="E4110" s="260"/>
      <c r="F4110" s="258"/>
      <c r="G4110" s="441">
        <v>1</v>
      </c>
      <c r="H4110" s="260"/>
      <c r="I4110" s="268">
        <f>TRUNC(D4110*G4110,2)</f>
        <v>11.64</v>
      </c>
      <c r="J4110" s="302"/>
      <c r="K4110" s="302"/>
    </row>
    <row r="4111" spans="1:17" x14ac:dyDescent="0.2">
      <c r="A4111" s="199"/>
      <c r="B4111" s="233"/>
      <c r="C4111" s="233"/>
      <c r="D4111" s="199"/>
      <c r="E4111" s="199"/>
      <c r="F4111" s="234" t="s">
        <v>203</v>
      </c>
      <c r="G4111" s="244"/>
      <c r="H4111" s="245"/>
      <c r="I4111" s="434">
        <f>SUM(I4109:I4110)</f>
        <v>24.79</v>
      </c>
      <c r="J4111" s="302"/>
      <c r="K4111" s="302"/>
    </row>
    <row r="4112" spans="1:17" x14ac:dyDescent="0.2">
      <c r="A4112" s="199"/>
      <c r="B4112" s="233"/>
      <c r="C4112" s="233"/>
      <c r="D4112" s="199"/>
      <c r="E4112" s="199"/>
      <c r="F4112" s="199"/>
      <c r="G4112" s="199"/>
      <c r="H4112" s="199"/>
      <c r="I4112" s="200"/>
      <c r="J4112" s="302"/>
      <c r="K4112" s="302"/>
    </row>
    <row r="4113" spans="1:11" x14ac:dyDescent="0.2">
      <c r="A4113" s="250" t="s">
        <v>204</v>
      </c>
      <c r="B4113" s="247" t="s">
        <v>60</v>
      </c>
      <c r="C4113" s="866" t="s">
        <v>17</v>
      </c>
      <c r="D4113" s="247" t="s">
        <v>205</v>
      </c>
      <c r="E4113" s="247" t="s">
        <v>206</v>
      </c>
      <c r="F4113" s="247" t="s">
        <v>207</v>
      </c>
      <c r="G4113" s="1276" t="s">
        <v>96</v>
      </c>
      <c r="H4113" s="1274"/>
      <c r="I4113" s="1275"/>
      <c r="J4113" s="302"/>
      <c r="K4113" s="302"/>
    </row>
    <row r="4114" spans="1:11" x14ac:dyDescent="0.2">
      <c r="A4114" s="248"/>
      <c r="B4114" s="238"/>
      <c r="C4114" s="243"/>
      <c r="D4114" s="239"/>
      <c r="E4114" s="251"/>
      <c r="F4114" s="251"/>
      <c r="G4114" s="244"/>
      <c r="H4114" s="245"/>
      <c r="I4114" s="249">
        <f>TRUNC(C4114/100*I4111,2)</f>
        <v>0</v>
      </c>
      <c r="J4114" s="302"/>
      <c r="K4114" s="302"/>
    </row>
    <row r="4115" spans="1:11" x14ac:dyDescent="0.2">
      <c r="A4115" s="199"/>
      <c r="B4115" s="233"/>
      <c r="C4115" s="199"/>
      <c r="D4115" s="199"/>
      <c r="E4115" s="199"/>
      <c r="F4115" s="234" t="s">
        <v>1170</v>
      </c>
      <c r="G4115" s="244"/>
      <c r="H4115" s="245"/>
      <c r="I4115" s="434">
        <f>SUM(I4114)</f>
        <v>0</v>
      </c>
      <c r="J4115" s="302"/>
      <c r="K4115" s="302"/>
    </row>
    <row r="4116" spans="1:11" x14ac:dyDescent="0.2">
      <c r="A4116" s="199"/>
      <c r="B4116" s="233"/>
      <c r="C4116" s="199"/>
      <c r="D4116" s="199"/>
      <c r="E4116" s="199"/>
      <c r="F4116" s="199"/>
      <c r="G4116" s="199"/>
      <c r="H4116" s="199"/>
      <c r="I4116" s="200"/>
      <c r="J4116" s="302"/>
      <c r="K4116" s="302"/>
    </row>
    <row r="4117" spans="1:11" x14ac:dyDescent="0.2">
      <c r="A4117" s="252"/>
      <c r="B4117" s="253"/>
      <c r="C4117" s="254"/>
      <c r="D4117" s="254"/>
      <c r="E4117" s="254"/>
      <c r="F4117" s="255" t="s">
        <v>208</v>
      </c>
      <c r="G4117" s="435"/>
      <c r="H4117" s="254"/>
      <c r="I4117" s="634">
        <f>+I4106+I4111+I4115</f>
        <v>218.45</v>
      </c>
      <c r="J4117" s="302"/>
      <c r="K4117" s="302"/>
    </row>
    <row r="4118" spans="1:11" x14ac:dyDescent="0.2">
      <c r="A4118" s="256"/>
      <c r="B4118" s="257"/>
      <c r="C4118" s="258"/>
      <c r="D4118" s="258"/>
      <c r="E4118" s="258"/>
      <c r="F4118" s="259" t="s">
        <v>209</v>
      </c>
      <c r="G4118" s="260"/>
      <c r="H4118" s="258"/>
      <c r="I4118" s="635">
        <v>20</v>
      </c>
      <c r="K4118" s="302"/>
    </row>
    <row r="4119" spans="1:11" x14ac:dyDescent="0.2">
      <c r="A4119" s="237"/>
      <c r="B4119" s="261"/>
      <c r="C4119" s="245"/>
      <c r="D4119" s="245"/>
      <c r="E4119" s="245"/>
      <c r="F4119" s="262" t="s">
        <v>232</v>
      </c>
      <c r="G4119" s="244"/>
      <c r="H4119" s="245"/>
      <c r="I4119" s="633">
        <f>TRUNC(I4117/I4118,2)</f>
        <v>10.92</v>
      </c>
      <c r="K4119" s="302"/>
    </row>
    <row r="4120" spans="1:11" x14ac:dyDescent="0.2">
      <c r="A4120" s="867"/>
      <c r="B4120" s="233"/>
      <c r="C4120" s="199"/>
      <c r="D4120" s="199"/>
      <c r="E4120" s="199"/>
      <c r="F4120" s="263"/>
      <c r="G4120" s="199"/>
      <c r="H4120" s="199"/>
      <c r="I4120" s="264"/>
      <c r="K4120" s="302"/>
    </row>
    <row r="4121" spans="1:11" x14ac:dyDescent="0.2">
      <c r="A4121" s="246" t="s">
        <v>210</v>
      </c>
      <c r="B4121" s="247" t="s">
        <v>60</v>
      </c>
      <c r="C4121" s="247" t="s">
        <v>211</v>
      </c>
      <c r="D4121" s="247" t="s">
        <v>233</v>
      </c>
      <c r="E4121" s="1276" t="s">
        <v>91</v>
      </c>
      <c r="F4121" s="1274"/>
      <c r="G4121" s="1275"/>
      <c r="H4121" s="1276" t="s">
        <v>198</v>
      </c>
      <c r="I4121" s="1275"/>
      <c r="K4121" s="302"/>
    </row>
    <row r="4122" spans="1:11" x14ac:dyDescent="0.2">
      <c r="A4122" s="265"/>
      <c r="B4122" s="238"/>
      <c r="C4122" s="266"/>
      <c r="D4122" s="267"/>
      <c r="E4122" s="260"/>
      <c r="F4122" s="258"/>
      <c r="G4122" s="300"/>
      <c r="H4122" s="260"/>
      <c r="I4122" s="268">
        <f>TRUNC(D4122*G4122,2)</f>
        <v>0</v>
      </c>
      <c r="K4122" s="302"/>
    </row>
    <row r="4123" spans="1:11" x14ac:dyDescent="0.2">
      <c r="A4123" s="199"/>
      <c r="B4123" s="233"/>
      <c r="C4123" s="199"/>
      <c r="D4123" s="199"/>
      <c r="E4123" s="199"/>
      <c r="F4123" s="234" t="s">
        <v>212</v>
      </c>
      <c r="G4123" s="244"/>
      <c r="H4123" s="245"/>
      <c r="I4123" s="434">
        <f>SUM(I4122:I4122)</f>
        <v>0</v>
      </c>
      <c r="K4123" s="302"/>
    </row>
    <row r="4124" spans="1:11" x14ac:dyDescent="0.2">
      <c r="A4124" s="199"/>
      <c r="B4124" s="233"/>
      <c r="C4124" s="199"/>
      <c r="D4124" s="199"/>
      <c r="E4124" s="199"/>
      <c r="F4124" s="199"/>
      <c r="G4124" s="269"/>
      <c r="H4124" s="199"/>
      <c r="I4124" s="200"/>
      <c r="K4124" s="302"/>
    </row>
    <row r="4125" spans="1:11" x14ac:dyDescent="0.2">
      <c r="A4125" s="270" t="s">
        <v>213</v>
      </c>
      <c r="B4125" s="247" t="s">
        <v>60</v>
      </c>
      <c r="C4125" s="247" t="s">
        <v>211</v>
      </c>
      <c r="D4125" s="866" t="s">
        <v>233</v>
      </c>
      <c r="E4125" s="1271" t="s">
        <v>91</v>
      </c>
      <c r="F4125" s="1272"/>
      <c r="G4125" s="1273"/>
      <c r="H4125" s="1274" t="s">
        <v>198</v>
      </c>
      <c r="I4125" s="1275"/>
      <c r="K4125" s="302"/>
    </row>
    <row r="4126" spans="1:11" x14ac:dyDescent="0.2">
      <c r="A4126" s="248"/>
      <c r="B4126" s="266"/>
      <c r="C4126" s="238"/>
      <c r="D4126" s="243"/>
      <c r="E4126" s="244"/>
      <c r="F4126" s="245"/>
      <c r="G4126" s="445"/>
      <c r="H4126" s="244"/>
      <c r="I4126" s="268"/>
      <c r="K4126" s="302"/>
    </row>
    <row r="4127" spans="1:11" x14ac:dyDescent="0.2">
      <c r="A4127" s="201"/>
      <c r="B4127" s="271"/>
      <c r="C4127" s="201"/>
      <c r="D4127" s="201"/>
      <c r="E4127" s="201"/>
      <c r="F4127" s="272" t="s">
        <v>214</v>
      </c>
      <c r="G4127" s="260"/>
      <c r="H4127" s="273"/>
      <c r="I4127" s="436">
        <f>SUM(I4124:I4126)</f>
        <v>0</v>
      </c>
      <c r="K4127" s="302"/>
    </row>
    <row r="4128" spans="1:11" x14ac:dyDescent="0.2">
      <c r="A4128" s="201"/>
      <c r="B4128" s="271"/>
      <c r="C4128" s="201"/>
      <c r="D4128" s="201"/>
      <c r="E4128" s="201"/>
      <c r="F4128" s="201"/>
      <c r="G4128" s="201"/>
      <c r="H4128" s="201"/>
      <c r="I4128" s="201"/>
      <c r="K4128" s="302"/>
    </row>
    <row r="4129" spans="1:17" x14ac:dyDescent="0.2">
      <c r="A4129" s="274" t="s">
        <v>215</v>
      </c>
      <c r="B4129" s="275" t="s">
        <v>60</v>
      </c>
      <c r="C4129" s="275" t="s">
        <v>211</v>
      </c>
      <c r="D4129" s="275" t="s">
        <v>216</v>
      </c>
      <c r="E4129" s="275" t="s">
        <v>217</v>
      </c>
      <c r="F4129" s="275" t="s">
        <v>218</v>
      </c>
      <c r="G4129" s="275" t="s">
        <v>96</v>
      </c>
      <c r="H4129" s="275" t="s">
        <v>91</v>
      </c>
      <c r="I4129" s="275" t="s">
        <v>219</v>
      </c>
      <c r="K4129" s="302"/>
    </row>
    <row r="4130" spans="1:17" x14ac:dyDescent="0.2">
      <c r="A4130" s="248"/>
      <c r="B4130" s="238"/>
      <c r="C4130" s="238"/>
      <c r="D4130" s="276"/>
      <c r="E4130" s="277"/>
      <c r="F4130" s="277"/>
      <c r="G4130" s="243"/>
      <c r="H4130" s="278"/>
      <c r="I4130" s="243">
        <f>TRUNC(G4130*H4130,2)</f>
        <v>0</v>
      </c>
      <c r="K4130" s="302"/>
    </row>
    <row r="4131" spans="1:17" x14ac:dyDescent="0.2">
      <c r="A4131" s="201"/>
      <c r="B4131" s="271"/>
      <c r="C4131" s="201"/>
      <c r="D4131" s="201"/>
      <c r="E4131" s="201"/>
      <c r="F4131" s="272" t="s">
        <v>220</v>
      </c>
      <c r="G4131" s="244"/>
      <c r="H4131" s="279"/>
      <c r="I4131" s="438">
        <f>SUM(I4130:I4130)</f>
        <v>0</v>
      </c>
      <c r="K4131" s="302"/>
    </row>
    <row r="4132" spans="1:17" x14ac:dyDescent="0.2">
      <c r="A4132" s="201"/>
      <c r="B4132" s="271"/>
      <c r="C4132" s="201"/>
      <c r="D4132" s="201"/>
      <c r="E4132" s="201"/>
      <c r="F4132" s="201"/>
      <c r="G4132" s="201"/>
      <c r="H4132" s="201"/>
      <c r="I4132" s="202"/>
      <c r="K4132" s="302"/>
    </row>
    <row r="4133" spans="1:17" x14ac:dyDescent="0.2">
      <c r="A4133" s="280"/>
      <c r="B4133" s="281"/>
      <c r="C4133" s="282"/>
      <c r="D4133" s="282"/>
      <c r="E4133" s="282"/>
      <c r="F4133" s="283" t="s">
        <v>221</v>
      </c>
      <c r="G4133" s="280"/>
      <c r="H4133" s="254"/>
      <c r="I4133" s="634">
        <f>+I4119+I4123+I4127+I4131</f>
        <v>10.92</v>
      </c>
      <c r="K4133" s="302"/>
    </row>
    <row r="4134" spans="1:17" x14ac:dyDescent="0.2">
      <c r="A4134" s="260"/>
      <c r="B4134" s="284"/>
      <c r="C4134" s="273"/>
      <c r="D4134" s="273"/>
      <c r="E4134" s="273"/>
      <c r="F4134" s="285" t="str">
        <f>CONCATENATE($H$3," ",$I$3)</f>
        <v>BDI: 23,32</v>
      </c>
      <c r="G4134" s="439"/>
      <c r="H4134" s="258"/>
      <c r="I4134" s="635">
        <f>+ROUND(I4133*$I$4,2)</f>
        <v>2.5499999999999998</v>
      </c>
    </row>
    <row r="4135" spans="1:17" x14ac:dyDescent="0.2">
      <c r="A4135" s="244"/>
      <c r="B4135" s="286"/>
      <c r="C4135" s="279"/>
      <c r="D4135" s="279"/>
      <c r="E4135" s="279"/>
      <c r="F4135" s="287" t="s">
        <v>222</v>
      </c>
      <c r="G4135" s="440"/>
      <c r="H4135" s="245"/>
      <c r="I4135" s="1017">
        <f>+I4133+I4134</f>
        <v>13.47</v>
      </c>
      <c r="J4135" s="534"/>
      <c r="K4135" s="198"/>
      <c r="L4135" s="198"/>
      <c r="M4135" s="198"/>
      <c r="N4135" s="198"/>
      <c r="O4135" s="198"/>
      <c r="P4135" s="198"/>
      <c r="Q4135" s="198"/>
    </row>
    <row r="4136" spans="1:17" x14ac:dyDescent="0.2">
      <c r="A4136" s="1286" t="str">
        <f>$A$1</f>
        <v>COMPOSIÇÃO DE CUSTOS UNITÁRIOS</v>
      </c>
      <c r="B4136" s="1286"/>
      <c r="C4136" s="1286"/>
      <c r="D4136" s="1286"/>
      <c r="E4136" s="1286"/>
      <c r="F4136" s="1286"/>
      <c r="G4136" s="1286"/>
      <c r="H4136" s="1286"/>
      <c r="I4136" s="1286"/>
      <c r="J4136" s="451"/>
      <c r="K4136" s="451"/>
      <c r="L4136" s="198"/>
      <c r="M4136" s="198"/>
      <c r="N4136" s="198"/>
      <c r="O4136" s="198"/>
      <c r="P4136" s="198"/>
      <c r="Q4136" s="198"/>
    </row>
    <row r="4137" spans="1:17" x14ac:dyDescent="0.2">
      <c r="A4137" s="447" t="s">
        <v>230</v>
      </c>
      <c r="B4137" s="448"/>
      <c r="C4137" s="449"/>
      <c r="D4137" s="449"/>
      <c r="E4137" s="449"/>
      <c r="F4137" s="449"/>
      <c r="G4137" s="449"/>
      <c r="H4137" s="449"/>
      <c r="I4137" s="450" t="str">
        <f>I4101</f>
        <v>Data Base: Outubro/2018</v>
      </c>
      <c r="J4137" s="451">
        <v>40284</v>
      </c>
      <c r="K4137" s="451">
        <f>VLOOKUP("Preço Unitário Total",F4139:I4171,4,FALSE)</f>
        <v>15.85</v>
      </c>
      <c r="L4137" s="198">
        <f>VLOOKUP(J4137,'DER 10-18'!A:E,5,FALSE)</f>
        <v>0</v>
      </c>
      <c r="M4137" s="198" t="str">
        <f>VLOOKUP(J4137,'DER 10-18'!$A:$D,2,FALSE)</f>
        <v>Escavação mecânica em material de 1ª cat. H= 3,00 a 4,50 m</v>
      </c>
      <c r="N4137" s="198"/>
      <c r="O4137" s="198"/>
      <c r="P4137" s="198"/>
      <c r="Q4137" s="198"/>
    </row>
    <row r="4138" spans="1:17" x14ac:dyDescent="0.2">
      <c r="A4138" s="1287" t="str">
        <f>+CONCATENATE("Serviço: ",J4137," ",VLOOKUP(J4137,'DER 10-18'!$A:$D,2,FALSE))</f>
        <v>Serviço: 40284 Escavação mecânica em material de 1ª cat. H= 3,00 a 4,50 m</v>
      </c>
      <c r="B4138" s="1287"/>
      <c r="C4138" s="1287"/>
      <c r="D4138" s="1287"/>
      <c r="E4138" s="1287"/>
      <c r="F4138" s="1287"/>
      <c r="G4138" s="1287"/>
      <c r="H4138" s="1287"/>
      <c r="I4138" s="1287" t="str">
        <f>CONCATENATE("Unidade: ", VLOOKUP(J4137,'DER 10-18'!$A:$E,3,FALSE))</f>
        <v>Unidade: M3</v>
      </c>
      <c r="J4138" s="198"/>
      <c r="K4138" s="198"/>
      <c r="L4138" s="198"/>
      <c r="M4138" s="198"/>
      <c r="N4138" s="198"/>
      <c r="O4138" s="198"/>
      <c r="P4138" s="198"/>
      <c r="Q4138" s="198"/>
    </row>
    <row r="4139" spans="1:17" x14ac:dyDescent="0.2">
      <c r="A4139" s="1288"/>
      <c r="B4139" s="1288"/>
      <c r="C4139" s="1288"/>
      <c r="D4139" s="1288"/>
      <c r="E4139" s="1288"/>
      <c r="F4139" s="1288"/>
      <c r="G4139" s="1288"/>
      <c r="H4139" s="1288"/>
      <c r="I4139" s="1288"/>
      <c r="J4139" s="302"/>
      <c r="K4139" s="302"/>
    </row>
    <row r="4140" spans="1:17" ht="22.5" x14ac:dyDescent="0.2">
      <c r="A4140" s="235" t="s">
        <v>192</v>
      </c>
      <c r="B4140" s="236" t="s">
        <v>60</v>
      </c>
      <c r="C4140" s="236" t="s">
        <v>193</v>
      </c>
      <c r="D4140" s="236" t="s">
        <v>194</v>
      </c>
      <c r="E4140" s="236" t="s">
        <v>195</v>
      </c>
      <c r="F4140" s="236" t="s">
        <v>196</v>
      </c>
      <c r="G4140" s="236" t="s">
        <v>197</v>
      </c>
      <c r="H4140" s="236" t="s">
        <v>91</v>
      </c>
      <c r="I4140" s="236" t="s">
        <v>198</v>
      </c>
      <c r="J4140" s="302"/>
      <c r="K4140" s="302"/>
    </row>
    <row r="4141" spans="1:17" ht="33.75" x14ac:dyDescent="0.2">
      <c r="A4141" s="237" t="str">
        <f>VLOOKUP(B4141,equip.!$A:$G,2,FALSE)</f>
        <v>Escavadeira hidráulica sobre esteiras mod. C X 220 (22t), Case ou equivalente</v>
      </c>
      <c r="B4141" s="238">
        <v>30025</v>
      </c>
      <c r="C4141" s="239">
        <f>VLOOKUP(B4141,equip.!$A$1:$G$239,3,FALSE)</f>
        <v>0</v>
      </c>
      <c r="D4141" s="240">
        <v>1</v>
      </c>
      <c r="E4141" s="205">
        <v>0</v>
      </c>
      <c r="F4141" s="241">
        <f>VLOOKUP(B4141,equip.!$A:$G,6,FALSE)</f>
        <v>193.66</v>
      </c>
      <c r="G4141" s="241">
        <f>VLOOKUP(B4141,equip.!$A:$G,7,FALSE)</f>
        <v>79.11</v>
      </c>
      <c r="H4141" s="242">
        <v>1</v>
      </c>
      <c r="I4141" s="243">
        <f>TRUNC(D4141*F4141*H4141+E4141*G4141*H4141,2)</f>
        <v>193.66</v>
      </c>
      <c r="J4141" s="302"/>
      <c r="K4141" s="302"/>
    </row>
    <row r="4142" spans="1:17" x14ac:dyDescent="0.2">
      <c r="A4142" s="199"/>
      <c r="B4142" s="233"/>
      <c r="C4142" s="233"/>
      <c r="D4142" s="199"/>
      <c r="E4142" s="199"/>
      <c r="F4142" s="234" t="s">
        <v>199</v>
      </c>
      <c r="G4142" s="244"/>
      <c r="H4142" s="245"/>
      <c r="I4142" s="434">
        <f>SUM(I4141:I4141)</f>
        <v>193.66</v>
      </c>
      <c r="J4142" s="302"/>
      <c r="K4142" s="302"/>
    </row>
    <row r="4143" spans="1:17" x14ac:dyDescent="0.2">
      <c r="A4143" s="199"/>
      <c r="B4143" s="233"/>
      <c r="C4143" s="233"/>
      <c r="D4143" s="199"/>
      <c r="E4143" s="199"/>
      <c r="F4143" s="199"/>
      <c r="G4143" s="199"/>
      <c r="H4143" s="199"/>
      <c r="I4143" s="200"/>
      <c r="J4143" s="302"/>
      <c r="K4143" s="302"/>
    </row>
    <row r="4144" spans="1:17" x14ac:dyDescent="0.2">
      <c r="A4144" s="246" t="s">
        <v>200</v>
      </c>
      <c r="B4144" s="247" t="s">
        <v>60</v>
      </c>
      <c r="C4144" s="236" t="s">
        <v>1242</v>
      </c>
      <c r="D4144" s="247" t="s">
        <v>202</v>
      </c>
      <c r="E4144" s="1271" t="s">
        <v>91</v>
      </c>
      <c r="F4144" s="1272"/>
      <c r="G4144" s="1273"/>
      <c r="H4144" s="1276" t="s">
        <v>198</v>
      </c>
      <c r="I4144" s="1275"/>
      <c r="J4144" s="302"/>
      <c r="K4144" s="302"/>
    </row>
    <row r="4145" spans="1:11" x14ac:dyDescent="0.2">
      <c r="A4145" s="248" t="str">
        <f>VLOOKUP(B4145,m.o.!$A:$H,2,FALSE)</f>
        <v>Encarregado de O.A.C.</v>
      </c>
      <c r="B4145" s="238">
        <v>20060</v>
      </c>
      <c r="C4145" s="243">
        <f>VLOOKUP(B4145,m.o.!$A:$F,4,FALSE)</f>
        <v>2.2599999999999998</v>
      </c>
      <c r="D4145" s="243">
        <f>VLOOKUP(B4145,m.o.!$A:$G,7,FALSE)</f>
        <v>26.3</v>
      </c>
      <c r="E4145" s="260"/>
      <c r="F4145" s="258"/>
      <c r="G4145" s="300">
        <v>0.5</v>
      </c>
      <c r="H4145" s="244"/>
      <c r="I4145" s="249">
        <f>TRUNC(D4145*G4145,2)</f>
        <v>13.15</v>
      </c>
      <c r="J4145" s="302"/>
      <c r="K4145" s="302"/>
    </row>
    <row r="4146" spans="1:11" x14ac:dyDescent="0.2">
      <c r="A4146" s="265" t="str">
        <f>VLOOKUP(B4146,m.o.!$A:$H,2,FALSE)</f>
        <v>Servente</v>
      </c>
      <c r="B4146" s="238">
        <v>20002</v>
      </c>
      <c r="C4146" s="267">
        <f>VLOOKUP(B4146,m.o.!$A:$F,4,FALSE)</f>
        <v>1</v>
      </c>
      <c r="D4146" s="267">
        <f>VLOOKUP(B4146,m.o.!$A:$G,7,FALSE)</f>
        <v>11.64</v>
      </c>
      <c r="E4146" s="260"/>
      <c r="F4146" s="258"/>
      <c r="G4146" s="441">
        <v>1</v>
      </c>
      <c r="H4146" s="260"/>
      <c r="I4146" s="268">
        <f>TRUNC(D4146*G4146,2)</f>
        <v>11.64</v>
      </c>
      <c r="J4146" s="302"/>
      <c r="K4146" s="302"/>
    </row>
    <row r="4147" spans="1:11" x14ac:dyDescent="0.2">
      <c r="A4147" s="199"/>
      <c r="B4147" s="233"/>
      <c r="C4147" s="233"/>
      <c r="D4147" s="199"/>
      <c r="E4147" s="199"/>
      <c r="F4147" s="234" t="s">
        <v>203</v>
      </c>
      <c r="G4147" s="244"/>
      <c r="H4147" s="245"/>
      <c r="I4147" s="434">
        <f>SUM(I4145:I4146)</f>
        <v>24.79</v>
      </c>
      <c r="J4147" s="302"/>
      <c r="K4147" s="302"/>
    </row>
    <row r="4148" spans="1:11" x14ac:dyDescent="0.2">
      <c r="A4148" s="199"/>
      <c r="B4148" s="233"/>
      <c r="C4148" s="233"/>
      <c r="D4148" s="199"/>
      <c r="E4148" s="199"/>
      <c r="F4148" s="199"/>
      <c r="G4148" s="199"/>
      <c r="H4148" s="199"/>
      <c r="I4148" s="200"/>
      <c r="J4148" s="302"/>
      <c r="K4148" s="302"/>
    </row>
    <row r="4149" spans="1:11" x14ac:dyDescent="0.2">
      <c r="A4149" s="250" t="s">
        <v>204</v>
      </c>
      <c r="B4149" s="247" t="s">
        <v>60</v>
      </c>
      <c r="C4149" s="866" t="s">
        <v>17</v>
      </c>
      <c r="D4149" s="247" t="s">
        <v>205</v>
      </c>
      <c r="E4149" s="247" t="s">
        <v>206</v>
      </c>
      <c r="F4149" s="247" t="s">
        <v>207</v>
      </c>
      <c r="G4149" s="1276" t="s">
        <v>96</v>
      </c>
      <c r="H4149" s="1274"/>
      <c r="I4149" s="1275"/>
      <c r="J4149" s="302"/>
      <c r="K4149" s="302"/>
    </row>
    <row r="4150" spans="1:11" x14ac:dyDescent="0.2">
      <c r="A4150" s="248"/>
      <c r="B4150" s="238"/>
      <c r="C4150" s="243"/>
      <c r="D4150" s="239"/>
      <c r="E4150" s="251"/>
      <c r="F4150" s="251"/>
      <c r="G4150" s="244"/>
      <c r="H4150" s="245"/>
      <c r="I4150" s="249">
        <f>TRUNC(C4150/100*I4147,2)</f>
        <v>0</v>
      </c>
      <c r="J4150" s="302"/>
      <c r="K4150" s="302"/>
    </row>
    <row r="4151" spans="1:11" x14ac:dyDescent="0.2">
      <c r="A4151" s="199"/>
      <c r="B4151" s="233"/>
      <c r="C4151" s="199"/>
      <c r="D4151" s="199"/>
      <c r="E4151" s="199"/>
      <c r="F4151" s="234" t="s">
        <v>1170</v>
      </c>
      <c r="G4151" s="244"/>
      <c r="H4151" s="245"/>
      <c r="I4151" s="434">
        <f>SUM(I4150)</f>
        <v>0</v>
      </c>
      <c r="J4151" s="302"/>
      <c r="K4151" s="302"/>
    </row>
    <row r="4152" spans="1:11" x14ac:dyDescent="0.2">
      <c r="A4152" s="199"/>
      <c r="B4152" s="233"/>
      <c r="C4152" s="199"/>
      <c r="D4152" s="199"/>
      <c r="E4152" s="199"/>
      <c r="F4152" s="199"/>
      <c r="G4152" s="199"/>
      <c r="H4152" s="199"/>
      <c r="I4152" s="200"/>
      <c r="J4152" s="302"/>
      <c r="K4152" s="302"/>
    </row>
    <row r="4153" spans="1:11" x14ac:dyDescent="0.2">
      <c r="A4153" s="252"/>
      <c r="B4153" s="253"/>
      <c r="C4153" s="254"/>
      <c r="D4153" s="254"/>
      <c r="E4153" s="254"/>
      <c r="F4153" s="255" t="s">
        <v>208</v>
      </c>
      <c r="G4153" s="435"/>
      <c r="H4153" s="254"/>
      <c r="I4153" s="634">
        <f>+I4142+I4147+I4151</f>
        <v>218.45</v>
      </c>
      <c r="J4153" s="302"/>
      <c r="K4153" s="302"/>
    </row>
    <row r="4154" spans="1:11" x14ac:dyDescent="0.2">
      <c r="A4154" s="256"/>
      <c r="B4154" s="257"/>
      <c r="C4154" s="258"/>
      <c r="D4154" s="258"/>
      <c r="E4154" s="258"/>
      <c r="F4154" s="259" t="s">
        <v>209</v>
      </c>
      <c r="G4154" s="260"/>
      <c r="H4154" s="258"/>
      <c r="I4154" s="635">
        <v>17</v>
      </c>
      <c r="K4154" s="302"/>
    </row>
    <row r="4155" spans="1:11" ht="28.5" customHeight="1" x14ac:dyDescent="0.2">
      <c r="A4155" s="237"/>
      <c r="B4155" s="261"/>
      <c r="C4155" s="245"/>
      <c r="D4155" s="245"/>
      <c r="E4155" s="245"/>
      <c r="F4155" s="262" t="s">
        <v>232</v>
      </c>
      <c r="G4155" s="244"/>
      <c r="H4155" s="245"/>
      <c r="I4155" s="633">
        <f>TRUNC(I4153/I4154,2)</f>
        <v>12.85</v>
      </c>
      <c r="K4155" s="302"/>
    </row>
    <row r="4156" spans="1:11" x14ac:dyDescent="0.2">
      <c r="A4156" s="867"/>
      <c r="B4156" s="233"/>
      <c r="C4156" s="199"/>
      <c r="D4156" s="199"/>
      <c r="E4156" s="199"/>
      <c r="F4156" s="263"/>
      <c r="G4156" s="199"/>
      <c r="H4156" s="199"/>
      <c r="I4156" s="264"/>
      <c r="K4156" s="302"/>
    </row>
    <row r="4157" spans="1:11" x14ac:dyDescent="0.2">
      <c r="A4157" s="246" t="s">
        <v>210</v>
      </c>
      <c r="B4157" s="247" t="s">
        <v>60</v>
      </c>
      <c r="C4157" s="247" t="s">
        <v>211</v>
      </c>
      <c r="D4157" s="247" t="s">
        <v>233</v>
      </c>
      <c r="E4157" s="1276" t="s">
        <v>91</v>
      </c>
      <c r="F4157" s="1274"/>
      <c r="G4157" s="1275"/>
      <c r="H4157" s="1276" t="s">
        <v>198</v>
      </c>
      <c r="I4157" s="1275"/>
      <c r="K4157" s="302"/>
    </row>
    <row r="4158" spans="1:11" x14ac:dyDescent="0.2">
      <c r="A4158" s="265"/>
      <c r="B4158" s="238"/>
      <c r="C4158" s="266"/>
      <c r="D4158" s="267"/>
      <c r="E4158" s="260"/>
      <c r="F4158" s="258"/>
      <c r="G4158" s="300"/>
      <c r="H4158" s="260"/>
      <c r="I4158" s="268">
        <f>TRUNC(D4158*G4158,2)</f>
        <v>0</v>
      </c>
      <c r="K4158" s="302"/>
    </row>
    <row r="4159" spans="1:11" x14ac:dyDescent="0.2">
      <c r="A4159" s="199"/>
      <c r="B4159" s="233"/>
      <c r="C4159" s="199"/>
      <c r="D4159" s="199"/>
      <c r="E4159" s="199"/>
      <c r="F4159" s="234" t="s">
        <v>212</v>
      </c>
      <c r="G4159" s="244"/>
      <c r="H4159" s="245"/>
      <c r="I4159" s="434">
        <f>SUM(I4158:I4158)</f>
        <v>0</v>
      </c>
      <c r="K4159" s="302"/>
    </row>
    <row r="4160" spans="1:11" x14ac:dyDescent="0.2">
      <c r="A4160" s="199"/>
      <c r="B4160" s="233"/>
      <c r="C4160" s="199"/>
      <c r="D4160" s="199"/>
      <c r="E4160" s="199"/>
      <c r="F4160" s="199"/>
      <c r="G4160" s="269"/>
      <c r="H4160" s="199"/>
      <c r="I4160" s="200"/>
      <c r="K4160" s="302"/>
    </row>
    <row r="4161" spans="1:17" x14ac:dyDescent="0.2">
      <c r="A4161" s="270" t="s">
        <v>213</v>
      </c>
      <c r="B4161" s="247" t="s">
        <v>60</v>
      </c>
      <c r="C4161" s="247" t="s">
        <v>211</v>
      </c>
      <c r="D4161" s="866" t="s">
        <v>233</v>
      </c>
      <c r="E4161" s="1271" t="s">
        <v>91</v>
      </c>
      <c r="F4161" s="1272"/>
      <c r="G4161" s="1273"/>
      <c r="H4161" s="1274" t="s">
        <v>198</v>
      </c>
      <c r="I4161" s="1275"/>
      <c r="K4161" s="302"/>
    </row>
    <row r="4162" spans="1:17" x14ac:dyDescent="0.2">
      <c r="A4162" s="248"/>
      <c r="B4162" s="266"/>
      <c r="C4162" s="238"/>
      <c r="D4162" s="243"/>
      <c r="E4162" s="244"/>
      <c r="F4162" s="245"/>
      <c r="G4162" s="445"/>
      <c r="H4162" s="244"/>
      <c r="I4162" s="268"/>
      <c r="K4162" s="302"/>
    </row>
    <row r="4163" spans="1:17" x14ac:dyDescent="0.2">
      <c r="A4163" s="201"/>
      <c r="B4163" s="271"/>
      <c r="C4163" s="201"/>
      <c r="D4163" s="201"/>
      <c r="E4163" s="201"/>
      <c r="F4163" s="272" t="s">
        <v>214</v>
      </c>
      <c r="G4163" s="260"/>
      <c r="H4163" s="273"/>
      <c r="I4163" s="436">
        <f>SUM(I4160:I4162)</f>
        <v>0</v>
      </c>
      <c r="K4163" s="302"/>
    </row>
    <row r="4164" spans="1:17" x14ac:dyDescent="0.2">
      <c r="A4164" s="201"/>
      <c r="B4164" s="271"/>
      <c r="C4164" s="201"/>
      <c r="D4164" s="201"/>
      <c r="E4164" s="201"/>
      <c r="F4164" s="201"/>
      <c r="G4164" s="201"/>
      <c r="H4164" s="201"/>
      <c r="I4164" s="201"/>
      <c r="K4164" s="302"/>
    </row>
    <row r="4165" spans="1:17" x14ac:dyDescent="0.2">
      <c r="A4165" s="274" t="s">
        <v>215</v>
      </c>
      <c r="B4165" s="275" t="s">
        <v>60</v>
      </c>
      <c r="C4165" s="275" t="s">
        <v>211</v>
      </c>
      <c r="D4165" s="275" t="s">
        <v>216</v>
      </c>
      <c r="E4165" s="275" t="s">
        <v>217</v>
      </c>
      <c r="F4165" s="275" t="s">
        <v>218</v>
      </c>
      <c r="G4165" s="275" t="s">
        <v>96</v>
      </c>
      <c r="H4165" s="275" t="s">
        <v>91</v>
      </c>
      <c r="I4165" s="275" t="s">
        <v>219</v>
      </c>
      <c r="K4165" s="302"/>
    </row>
    <row r="4166" spans="1:17" x14ac:dyDescent="0.2">
      <c r="A4166" s="248"/>
      <c r="B4166" s="238"/>
      <c r="C4166" s="238"/>
      <c r="D4166" s="276"/>
      <c r="E4166" s="277"/>
      <c r="F4166" s="277"/>
      <c r="G4166" s="243"/>
      <c r="H4166" s="278"/>
      <c r="I4166" s="243">
        <f>TRUNC(G4166*H4166,2)</f>
        <v>0</v>
      </c>
      <c r="K4166" s="302"/>
    </row>
    <row r="4167" spans="1:17" x14ac:dyDescent="0.2">
      <c r="A4167" s="201"/>
      <c r="B4167" s="271"/>
      <c r="C4167" s="201"/>
      <c r="D4167" s="201"/>
      <c r="E4167" s="201"/>
      <c r="F4167" s="272" t="s">
        <v>220</v>
      </c>
      <c r="G4167" s="244"/>
      <c r="H4167" s="279"/>
      <c r="I4167" s="438">
        <f>SUM(I4166:I4166)</f>
        <v>0</v>
      </c>
      <c r="K4167" s="302"/>
    </row>
    <row r="4168" spans="1:17" x14ac:dyDescent="0.2">
      <c r="A4168" s="201"/>
      <c r="B4168" s="271"/>
      <c r="C4168" s="201"/>
      <c r="D4168" s="201"/>
      <c r="E4168" s="201"/>
      <c r="F4168" s="201"/>
      <c r="G4168" s="201"/>
      <c r="H4168" s="201"/>
      <c r="I4168" s="202"/>
      <c r="K4168" s="302"/>
    </row>
    <row r="4169" spans="1:17" x14ac:dyDescent="0.2">
      <c r="A4169" s="280"/>
      <c r="B4169" s="281"/>
      <c r="C4169" s="282"/>
      <c r="D4169" s="282"/>
      <c r="E4169" s="282"/>
      <c r="F4169" s="283" t="s">
        <v>221</v>
      </c>
      <c r="G4169" s="280"/>
      <c r="H4169" s="254"/>
      <c r="I4169" s="634">
        <f>+I4155+I4159+I4163+I4167</f>
        <v>12.85</v>
      </c>
      <c r="K4169" s="302"/>
    </row>
    <row r="4170" spans="1:17" x14ac:dyDescent="0.2">
      <c r="A4170" s="260"/>
      <c r="B4170" s="284"/>
      <c r="C4170" s="273"/>
      <c r="D4170" s="273"/>
      <c r="E4170" s="273"/>
      <c r="F4170" s="285" t="str">
        <f>CONCATENATE($H$3," ",$I$3)</f>
        <v>BDI: 23,32</v>
      </c>
      <c r="G4170" s="439"/>
      <c r="H4170" s="258"/>
      <c r="I4170" s="635">
        <f>+ROUND(I4169*$I$4,2)</f>
        <v>3</v>
      </c>
    </row>
    <row r="4171" spans="1:17" x14ac:dyDescent="0.2">
      <c r="A4171" s="244"/>
      <c r="B4171" s="286"/>
      <c r="C4171" s="279"/>
      <c r="D4171" s="279"/>
      <c r="E4171" s="279"/>
      <c r="F4171" s="287" t="s">
        <v>222</v>
      </c>
      <c r="G4171" s="440"/>
      <c r="H4171" s="245"/>
      <c r="I4171" s="1017">
        <f>+I4169+I4170</f>
        <v>15.85</v>
      </c>
      <c r="J4171" s="534"/>
      <c r="K4171" s="198"/>
      <c r="L4171" s="198"/>
      <c r="M4171" s="198"/>
      <c r="N4171" s="198"/>
      <c r="O4171" s="198"/>
      <c r="P4171" s="198"/>
      <c r="Q4171" s="198"/>
    </row>
    <row r="4172" spans="1:17" x14ac:dyDescent="0.2">
      <c r="A4172" s="1277" t="str">
        <f>$A$1</f>
        <v>COMPOSIÇÃO DE CUSTOS UNITÁRIOS</v>
      </c>
      <c r="B4172" s="1277"/>
      <c r="C4172" s="1277"/>
      <c r="D4172" s="1277"/>
      <c r="E4172" s="1277"/>
      <c r="F4172" s="1277"/>
      <c r="G4172" s="1277"/>
      <c r="H4172" s="1277"/>
      <c r="I4172" s="1277"/>
      <c r="K4172" s="302"/>
    </row>
    <row r="4173" spans="1:17" x14ac:dyDescent="0.2">
      <c r="A4173" s="232" t="str">
        <f>$A$2</f>
        <v>Tabela Referencial de Preços - DER-ES</v>
      </c>
      <c r="B4173" s="233"/>
      <c r="C4173" s="199"/>
      <c r="D4173" s="199"/>
      <c r="E4173" s="199"/>
      <c r="F4173" s="199"/>
      <c r="G4173" s="199"/>
      <c r="H4173" s="199"/>
      <c r="I4173" s="234" t="str">
        <f>$I$2</f>
        <v>Data Base: Outubro/2018</v>
      </c>
      <c r="J4173" s="433">
        <v>40840</v>
      </c>
      <c r="K4173" s="433">
        <f>VLOOKUP("Preço Unitário Total",F4175:I4251,4,FALSE)</f>
        <v>52.02</v>
      </c>
      <c r="L4173" s="302" t="str">
        <f>VLOOKUP(J4173,'DER 10-18'!A:E,5,FALSE)</f>
        <v>A incluir</v>
      </c>
      <c r="M4173" s="302" t="str">
        <f>VLOOKUP(J4173,'DER 10-18'!$A:$D,2,FALSE)</f>
        <v>Usinagem de concreto betuminoso usinado a quente (CBUQ), inclusive transporte comercial do oleo combustível</v>
      </c>
    </row>
    <row r="4174" spans="1:17" x14ac:dyDescent="0.2">
      <c r="A4174" s="1278" t="str">
        <f>+CONCATENATE("Serviço: ",J4173," ",VLOOKUP(J4173,'DER 10-18'!$A:$D,2,FALSE))</f>
        <v>Serviço: 40840 Usinagem de concreto betuminoso usinado a quente (CBUQ), inclusive transporte comercial do oleo combustível</v>
      </c>
      <c r="B4174" s="1278"/>
      <c r="C4174" s="1278"/>
      <c r="D4174" s="1278"/>
      <c r="E4174" s="1278"/>
      <c r="F4174" s="1278"/>
      <c r="G4174" s="1278"/>
      <c r="H4174" s="1278"/>
      <c r="I4174" s="1278" t="str">
        <f>CONCATENATE("Unidade: ", VLOOKUP(J4173,'DER 10-18'!$A:$E,3,FALSE))</f>
        <v>Unidade: t</v>
      </c>
    </row>
    <row r="4175" spans="1:17" x14ac:dyDescent="0.2">
      <c r="A4175" s="1279"/>
      <c r="B4175" s="1279"/>
      <c r="C4175" s="1279"/>
      <c r="D4175" s="1279"/>
      <c r="E4175" s="1279"/>
      <c r="F4175" s="1279"/>
      <c r="G4175" s="1279"/>
      <c r="H4175" s="1279"/>
      <c r="I4175" s="1279"/>
    </row>
    <row r="4176" spans="1:17" ht="22.5" x14ac:dyDescent="0.2">
      <c r="A4176" s="235" t="s">
        <v>192</v>
      </c>
      <c r="B4176" s="236" t="s">
        <v>60</v>
      </c>
      <c r="C4176" s="236" t="s">
        <v>193</v>
      </c>
      <c r="D4176" s="236" t="s">
        <v>194</v>
      </c>
      <c r="E4176" s="236" t="s">
        <v>195</v>
      </c>
      <c r="F4176" s="236" t="s">
        <v>196</v>
      </c>
      <c r="G4176" s="236" t="s">
        <v>197</v>
      </c>
      <c r="H4176" s="236" t="s">
        <v>91</v>
      </c>
      <c r="I4176" s="236" t="s">
        <v>198</v>
      </c>
    </row>
    <row r="4177" spans="1:11" ht="33.75" x14ac:dyDescent="0.2">
      <c r="A4177" s="237" t="str">
        <f>VLOOKUP(B4177,equip.!$A:$G,2,FALSE)</f>
        <v>Carregadeira de rodas ref. Caterpillar modelo 950H (3,10 m3) ( cab + ar ) ou equivalente</v>
      </c>
      <c r="B4177" s="238">
        <v>30024</v>
      </c>
      <c r="C4177" s="239" t="str">
        <f>VLOOKUP(B4177,equip.!$A$1:$G$239,3,FALSE)</f>
        <v>M</v>
      </c>
      <c r="D4177" s="240">
        <v>0.4</v>
      </c>
      <c r="E4177" s="205">
        <v>0.6</v>
      </c>
      <c r="F4177" s="241">
        <f>VLOOKUP(B4177,equip.!$A:$G,6,FALSE)</f>
        <v>333.85</v>
      </c>
      <c r="G4177" s="241">
        <f>VLOOKUP(B4177,equip.!$A:$G,7,FALSE)</f>
        <v>132.1</v>
      </c>
      <c r="H4177" s="242">
        <v>1</v>
      </c>
      <c r="I4177" s="243">
        <f>TRUNC(D4177*F4177*H4177+E4177*G4177*H4177,2)</f>
        <v>212.8</v>
      </c>
    </row>
    <row r="4178" spans="1:11" ht="22.5" x14ac:dyDescent="0.2">
      <c r="A4178" s="237" t="str">
        <f>VLOOKUP(B4178,equip.!$A:$G,2,FALSE)</f>
        <v>Tanque pre-aquecedor 30.000L (s/óleo)</v>
      </c>
      <c r="B4178" s="238">
        <v>30135</v>
      </c>
      <c r="C4178" s="239">
        <f>VLOOKUP(B4178,equip.!$A$1:$G$239,3,FALSE)</f>
        <v>0</v>
      </c>
      <c r="D4178" s="240">
        <v>1</v>
      </c>
      <c r="E4178" s="205">
        <v>0</v>
      </c>
      <c r="F4178" s="241">
        <f>VLOOKUP(B4178,equip.!$A:$G,6,FALSE)</f>
        <v>17.54</v>
      </c>
      <c r="G4178" s="241">
        <f>VLOOKUP(B4178,equip.!$A:$G,7,FALSE)</f>
        <v>12.54</v>
      </c>
      <c r="H4178" s="242">
        <v>2</v>
      </c>
      <c r="I4178" s="243">
        <f>TRUNC(D4178*F4178*H4178+E4178*G4178*H4178,2)</f>
        <v>35.08</v>
      </c>
    </row>
    <row r="4179" spans="1:11" ht="22.5" x14ac:dyDescent="0.2">
      <c r="A4179" s="237" t="str">
        <f>VLOOKUP(B4179,equip.!$A:$G,2,FALSE)</f>
        <v>Usina de asfalto UA-2 60/80 t/h - CBUQ (CIBER) ou equivalente</v>
      </c>
      <c r="B4179" s="238">
        <v>30063</v>
      </c>
      <c r="C4179" s="239">
        <f>VLOOKUP(B4179,equip.!$A$1:$G$239,3,FALSE)</f>
        <v>0</v>
      </c>
      <c r="D4179" s="240">
        <v>1</v>
      </c>
      <c r="E4179" s="205">
        <v>0</v>
      </c>
      <c r="F4179" s="241">
        <f>VLOOKUP(B4179,equip.!$A:$G,6,FALSE)</f>
        <v>502.4</v>
      </c>
      <c r="G4179" s="241">
        <f>VLOOKUP(B4179,equip.!$A:$G,7,FALSE)</f>
        <v>317.3</v>
      </c>
      <c r="H4179" s="242">
        <v>1</v>
      </c>
      <c r="I4179" s="243">
        <f>TRUNC(D4179*F4179*H4179+E4179*G4179*H4179,2)</f>
        <v>502.4</v>
      </c>
    </row>
    <row r="4180" spans="1:11" x14ac:dyDescent="0.2">
      <c r="A4180" s="199"/>
      <c r="B4180" s="233"/>
      <c r="C4180" s="233"/>
      <c r="D4180" s="199"/>
      <c r="E4180" s="199"/>
      <c r="F4180" s="234" t="s">
        <v>199</v>
      </c>
      <c r="G4180" s="244"/>
      <c r="H4180" s="245"/>
      <c r="I4180" s="434">
        <f>SUM(I4177:I4179)</f>
        <v>750.28</v>
      </c>
    </row>
    <row r="4181" spans="1:11" x14ac:dyDescent="0.2">
      <c r="A4181" s="199"/>
      <c r="B4181" s="233"/>
      <c r="C4181" s="233"/>
      <c r="D4181" s="199"/>
      <c r="E4181" s="199"/>
      <c r="F4181" s="199"/>
      <c r="G4181" s="199"/>
      <c r="H4181" s="199"/>
      <c r="I4181" s="200"/>
    </row>
    <row r="4182" spans="1:11" x14ac:dyDescent="0.2">
      <c r="A4182" s="246" t="s">
        <v>200</v>
      </c>
      <c r="B4182" s="247" t="s">
        <v>60</v>
      </c>
      <c r="C4182" s="236" t="s">
        <v>1242</v>
      </c>
      <c r="D4182" s="247" t="s">
        <v>202</v>
      </c>
      <c r="E4182" s="1276" t="s">
        <v>91</v>
      </c>
      <c r="F4182" s="1274"/>
      <c r="G4182" s="1275"/>
      <c r="H4182" s="1276" t="s">
        <v>198</v>
      </c>
      <c r="I4182" s="1275"/>
    </row>
    <row r="4183" spans="1:11" x14ac:dyDescent="0.2">
      <c r="A4183" s="248"/>
      <c r="B4183" s="238"/>
      <c r="C4183" s="243"/>
      <c r="D4183" s="243"/>
      <c r="E4183" s="260"/>
      <c r="F4183" s="258"/>
      <c r="G4183" s="300"/>
      <c r="H4183" s="244"/>
      <c r="I4183" s="249"/>
    </row>
    <row r="4184" spans="1:11" x14ac:dyDescent="0.2">
      <c r="A4184" s="199"/>
      <c r="B4184" s="233"/>
      <c r="C4184" s="233"/>
      <c r="D4184" s="199"/>
      <c r="E4184" s="199"/>
      <c r="F4184" s="234" t="s">
        <v>203</v>
      </c>
      <c r="G4184" s="244"/>
      <c r="H4184" s="245"/>
      <c r="I4184" s="434">
        <f>SUM(I4183:I4183)</f>
        <v>0</v>
      </c>
    </row>
    <row r="4185" spans="1:11" x14ac:dyDescent="0.2">
      <c r="A4185" s="199"/>
      <c r="B4185" s="233"/>
      <c r="C4185" s="233"/>
      <c r="D4185" s="199"/>
      <c r="E4185" s="199"/>
      <c r="F4185" s="199"/>
      <c r="G4185" s="199"/>
      <c r="H4185" s="199"/>
      <c r="I4185" s="200"/>
    </row>
    <row r="4186" spans="1:11" x14ac:dyDescent="0.2">
      <c r="A4186" s="250" t="s">
        <v>204</v>
      </c>
      <c r="B4186" s="247" t="s">
        <v>60</v>
      </c>
      <c r="C4186" s="866" t="s">
        <v>17</v>
      </c>
      <c r="D4186" s="247" t="s">
        <v>205</v>
      </c>
      <c r="E4186" s="247" t="s">
        <v>206</v>
      </c>
      <c r="F4186" s="247" t="s">
        <v>207</v>
      </c>
      <c r="G4186" s="1276" t="s">
        <v>96</v>
      </c>
      <c r="H4186" s="1274"/>
      <c r="I4186" s="1275"/>
    </row>
    <row r="4187" spans="1:11" x14ac:dyDescent="0.2">
      <c r="A4187" s="248"/>
      <c r="B4187" s="238"/>
      <c r="C4187" s="243"/>
      <c r="D4187" s="239"/>
      <c r="E4187" s="251"/>
      <c r="F4187" s="251"/>
      <c r="G4187" s="244"/>
      <c r="H4187" s="245"/>
      <c r="I4187" s="249"/>
    </row>
    <row r="4188" spans="1:11" x14ac:dyDescent="0.2">
      <c r="A4188" s="199"/>
      <c r="B4188" s="233"/>
      <c r="C4188" s="199"/>
      <c r="D4188" s="199"/>
      <c r="E4188" s="199"/>
      <c r="F4188" s="234" t="s">
        <v>1170</v>
      </c>
      <c r="G4188" s="244"/>
      <c r="H4188" s="245"/>
      <c r="I4188" s="434">
        <f>SUM(I4187)</f>
        <v>0</v>
      </c>
    </row>
    <row r="4189" spans="1:11" x14ac:dyDescent="0.2">
      <c r="A4189" s="199"/>
      <c r="B4189" s="233"/>
      <c r="C4189" s="199"/>
      <c r="D4189" s="199"/>
      <c r="E4189" s="199"/>
      <c r="F4189" s="199"/>
      <c r="G4189" s="199"/>
      <c r="H4189" s="199"/>
      <c r="I4189" s="200"/>
      <c r="K4189" s="302"/>
    </row>
    <row r="4190" spans="1:11" x14ac:dyDescent="0.2">
      <c r="A4190" s="252"/>
      <c r="B4190" s="253"/>
      <c r="C4190" s="254"/>
      <c r="D4190" s="254"/>
      <c r="E4190" s="254"/>
      <c r="F4190" s="255" t="s">
        <v>208</v>
      </c>
      <c r="G4190" s="435"/>
      <c r="H4190" s="254"/>
      <c r="I4190" s="634">
        <f>+I4180+I4184+I4188</f>
        <v>750.28</v>
      </c>
      <c r="K4190" s="302"/>
    </row>
    <row r="4191" spans="1:11" x14ac:dyDescent="0.2">
      <c r="A4191" s="256"/>
      <c r="B4191" s="257"/>
      <c r="C4191" s="258"/>
      <c r="D4191" s="258"/>
      <c r="E4191" s="258"/>
      <c r="F4191" s="259" t="s">
        <v>209</v>
      </c>
      <c r="G4191" s="260"/>
      <c r="H4191" s="258"/>
      <c r="I4191" s="635">
        <v>36</v>
      </c>
      <c r="K4191" s="302"/>
    </row>
    <row r="4192" spans="1:11" x14ac:dyDescent="0.2">
      <c r="A4192" s="237"/>
      <c r="B4192" s="261"/>
      <c r="C4192" s="245"/>
      <c r="D4192" s="245"/>
      <c r="E4192" s="245"/>
      <c r="F4192" s="262" t="s">
        <v>232</v>
      </c>
      <c r="G4192" s="244"/>
      <c r="H4192" s="245"/>
      <c r="I4192" s="633">
        <f>TRUNC(I4190/I4191,2)</f>
        <v>20.84</v>
      </c>
      <c r="K4192" s="302"/>
    </row>
    <row r="4193" spans="1:17" ht="28.5" customHeight="1" x14ac:dyDescent="0.2">
      <c r="A4193" s="867"/>
      <c r="B4193" s="233"/>
      <c r="C4193" s="199"/>
      <c r="D4193" s="199"/>
      <c r="E4193" s="199"/>
      <c r="F4193" s="263"/>
      <c r="G4193" s="199"/>
      <c r="H4193" s="199"/>
      <c r="I4193" s="264"/>
      <c r="K4193" s="302"/>
    </row>
    <row r="4194" spans="1:17" x14ac:dyDescent="0.2">
      <c r="A4194" s="246" t="s">
        <v>210</v>
      </c>
      <c r="B4194" s="247" t="s">
        <v>60</v>
      </c>
      <c r="C4194" s="247" t="s">
        <v>211</v>
      </c>
      <c r="D4194" s="247" t="s">
        <v>233</v>
      </c>
      <c r="E4194" s="1276" t="s">
        <v>91</v>
      </c>
      <c r="F4194" s="1274"/>
      <c r="G4194" s="1275"/>
      <c r="H4194" s="1276" t="s">
        <v>198</v>
      </c>
      <c r="I4194" s="1275"/>
      <c r="K4194" s="302"/>
    </row>
    <row r="4195" spans="1:17" ht="22.5" x14ac:dyDescent="0.2">
      <c r="A4195" s="265" t="str">
        <f>VLOOKUP(B4195,mat.!$A:$D,2,FALSE)</f>
        <v>Óleo combustível BPF - baixo pto. fusão</v>
      </c>
      <c r="B4195" s="238">
        <v>10036</v>
      </c>
      <c r="C4195" s="266" t="str">
        <f>VLOOKUP(B4195,mat.!$A:$D,3,FALSE)</f>
        <v>kg</v>
      </c>
      <c r="D4195" s="267">
        <f>VLOOKUP(B4195,mat.!$A:$D,4,FALSE)</f>
        <v>2.82</v>
      </c>
      <c r="E4195" s="260"/>
      <c r="F4195" s="258"/>
      <c r="G4195" s="300">
        <v>7</v>
      </c>
      <c r="H4195" s="260"/>
      <c r="I4195" s="268">
        <f>TRUNC(D4195*G4195,2)</f>
        <v>19.739999999999998</v>
      </c>
      <c r="K4195" s="302"/>
    </row>
    <row r="4196" spans="1:17" x14ac:dyDescent="0.2">
      <c r="A4196" s="199"/>
      <c r="B4196" s="233"/>
      <c r="C4196" s="199"/>
      <c r="D4196" s="199"/>
      <c r="E4196" s="199"/>
      <c r="F4196" s="234" t="s">
        <v>212</v>
      </c>
      <c r="G4196" s="244"/>
      <c r="H4196" s="245"/>
      <c r="I4196" s="434">
        <f>SUM(I4195:I4195)</f>
        <v>19.739999999999998</v>
      </c>
      <c r="K4196" s="302"/>
    </row>
    <row r="4197" spans="1:17" x14ac:dyDescent="0.2">
      <c r="A4197" s="199"/>
      <c r="B4197" s="233"/>
      <c r="C4197" s="199"/>
      <c r="D4197" s="199"/>
      <c r="E4197" s="199"/>
      <c r="F4197" s="199"/>
      <c r="G4197" s="269"/>
      <c r="H4197" s="199"/>
      <c r="I4197" s="200"/>
      <c r="K4197" s="302"/>
    </row>
    <row r="4198" spans="1:17" x14ac:dyDescent="0.2">
      <c r="A4198" s="270" t="s">
        <v>213</v>
      </c>
      <c r="B4198" s="247" t="s">
        <v>60</v>
      </c>
      <c r="C4198" s="247" t="s">
        <v>211</v>
      </c>
      <c r="D4198" s="866" t="s">
        <v>233</v>
      </c>
      <c r="E4198" s="1276" t="s">
        <v>91</v>
      </c>
      <c r="F4198" s="1274"/>
      <c r="G4198" s="1275"/>
      <c r="H4198" s="1276" t="s">
        <v>198</v>
      </c>
      <c r="I4198" s="1275"/>
      <c r="K4198" s="302"/>
    </row>
    <row r="4199" spans="1:17" x14ac:dyDescent="0.2">
      <c r="A4199" s="248"/>
      <c r="B4199" s="238"/>
      <c r="C4199" s="238"/>
      <c r="D4199" s="243"/>
      <c r="E4199" s="260"/>
      <c r="F4199" s="258"/>
      <c r="G4199" s="300"/>
      <c r="H4199" s="244"/>
      <c r="I4199" s="268"/>
      <c r="K4199" s="302"/>
    </row>
    <row r="4200" spans="1:17" x14ac:dyDescent="0.2">
      <c r="A4200" s="201"/>
      <c r="B4200" s="271"/>
      <c r="C4200" s="201"/>
      <c r="D4200" s="201"/>
      <c r="E4200" s="201"/>
      <c r="F4200" s="272" t="s">
        <v>214</v>
      </c>
      <c r="G4200" s="260"/>
      <c r="H4200" s="273"/>
      <c r="I4200" s="436">
        <f>SUM(I4197:I4199)</f>
        <v>0</v>
      </c>
      <c r="K4200" s="302"/>
    </row>
    <row r="4201" spans="1:17" x14ac:dyDescent="0.2">
      <c r="A4201" s="201"/>
      <c r="B4201" s="271"/>
      <c r="C4201" s="201"/>
      <c r="D4201" s="201"/>
      <c r="E4201" s="201"/>
      <c r="F4201" s="201"/>
      <c r="G4201" s="201"/>
      <c r="H4201" s="201"/>
      <c r="I4201" s="201"/>
      <c r="K4201" s="302"/>
    </row>
    <row r="4202" spans="1:17" x14ac:dyDescent="0.2">
      <c r="A4202" s="274" t="s">
        <v>215</v>
      </c>
      <c r="B4202" s="275" t="s">
        <v>60</v>
      </c>
      <c r="C4202" s="275" t="s">
        <v>211</v>
      </c>
      <c r="D4202" s="275" t="s">
        <v>216</v>
      </c>
      <c r="E4202" s="275" t="s">
        <v>217</v>
      </c>
      <c r="F4202" s="275" t="s">
        <v>218</v>
      </c>
      <c r="G4202" s="275" t="s">
        <v>96</v>
      </c>
      <c r="H4202" s="275" t="s">
        <v>91</v>
      </c>
      <c r="I4202" s="275" t="s">
        <v>219</v>
      </c>
      <c r="J4202" s="433" t="s">
        <v>131</v>
      </c>
      <c r="K4202" s="302"/>
    </row>
    <row r="4203" spans="1:17" ht="22.5" x14ac:dyDescent="0.2">
      <c r="A4203" s="265" t="str">
        <f>VLOOKUP(B4203,tranp.!A:D,2,FALSE)</f>
        <v>Transp. de Oleo combustível BPF - baixo pto. fusao</v>
      </c>
      <c r="B4203" s="238">
        <v>1036</v>
      </c>
      <c r="C4203" s="238" t="str">
        <f>VLOOKUP(B4203,tranp.!$A:$J,3,FALSE)</f>
        <v xml:space="preserve"> t  </v>
      </c>
      <c r="D4203" s="276" t="str">
        <f>VLOOKUP(B4203,tranp.!$A:$J,4,FALSE)</f>
        <v>0,436XP + 0,516XR + 46,578</v>
      </c>
      <c r="E4203" s="277">
        <f>VLOOKUP(J4202,Ocor.!$B:$F,4,FALSE)</f>
        <v>411.8</v>
      </c>
      <c r="F4203" s="277">
        <f>VLOOKUP(J4202,Ocor.!$B:$F,5,FALSE)</f>
        <v>5.7</v>
      </c>
      <c r="G4203" s="243">
        <f>TRUNC(VLOOKUP(B4203,tranp.!$A:$J,5,FALSE)*E4203+VLOOKUP(B4203,tranp.!$A:$J,6,FALSE)*F4203+VLOOKUP(B4203,tranp.!$A:$J,7,FALSE),2)</f>
        <v>229.06</v>
      </c>
      <c r="H4203" s="278">
        <v>7.0000000000000001E-3</v>
      </c>
      <c r="I4203" s="243">
        <f>TRUNC(G4203*H4203,2)</f>
        <v>1.6</v>
      </c>
      <c r="K4203" s="302"/>
    </row>
    <row r="4204" spans="1:17" s="198" customFormat="1" x14ac:dyDescent="0.2">
      <c r="A4204" s="201"/>
      <c r="B4204" s="271"/>
      <c r="C4204" s="201"/>
      <c r="D4204" s="201"/>
      <c r="E4204" s="201"/>
      <c r="F4204" s="272" t="s">
        <v>220</v>
      </c>
      <c r="G4204" s="244"/>
      <c r="H4204" s="279"/>
      <c r="I4204" s="438">
        <f>SUM(I4203:I4203)</f>
        <v>1.6</v>
      </c>
      <c r="J4204" s="433"/>
      <c r="K4204" s="302"/>
      <c r="L4204" s="302"/>
      <c r="M4204" s="302"/>
      <c r="N4204" s="302"/>
      <c r="O4204" s="302"/>
      <c r="P4204" s="302"/>
      <c r="Q4204" s="302"/>
    </row>
    <row r="4205" spans="1:17" x14ac:dyDescent="0.2">
      <c r="A4205" s="201"/>
      <c r="B4205" s="271"/>
      <c r="C4205" s="201"/>
      <c r="D4205" s="201"/>
      <c r="E4205" s="201"/>
      <c r="F4205" s="201"/>
      <c r="G4205" s="201"/>
      <c r="H4205" s="201"/>
      <c r="I4205" s="202"/>
      <c r="K4205" s="446"/>
    </row>
    <row r="4206" spans="1:17" x14ac:dyDescent="0.2">
      <c r="A4206" s="280"/>
      <c r="B4206" s="281"/>
      <c r="C4206" s="282"/>
      <c r="D4206" s="282"/>
      <c r="E4206" s="282"/>
      <c r="F4206" s="283" t="s">
        <v>221</v>
      </c>
      <c r="G4206" s="280"/>
      <c r="H4206" s="254"/>
      <c r="I4206" s="634">
        <f>+I4192+I4196+I4200+I4204</f>
        <v>42.18</v>
      </c>
    </row>
    <row r="4207" spans="1:17" x14ac:dyDescent="0.2">
      <c r="A4207" s="260"/>
      <c r="B4207" s="284"/>
      <c r="C4207" s="273"/>
      <c r="D4207" s="273"/>
      <c r="E4207" s="273"/>
      <c r="F4207" s="285" t="str">
        <f>CONCATENATE($H$3," ",$I$3)</f>
        <v>BDI: 23,32</v>
      </c>
      <c r="G4207" s="439"/>
      <c r="H4207" s="258"/>
      <c r="I4207" s="635">
        <f>+ROUND(I4206*$I$4,2)</f>
        <v>9.84</v>
      </c>
    </row>
    <row r="4208" spans="1:17" x14ac:dyDescent="0.2">
      <c r="A4208" s="244"/>
      <c r="B4208" s="286"/>
      <c r="C4208" s="279"/>
      <c r="D4208" s="279"/>
      <c r="E4208" s="279"/>
      <c r="F4208" s="287" t="s">
        <v>222</v>
      </c>
      <c r="G4208" s="440"/>
      <c r="H4208" s="245"/>
      <c r="I4208" s="1017">
        <f>+I4206+I4207</f>
        <v>52.02</v>
      </c>
    </row>
    <row r="4209" spans="1:17" x14ac:dyDescent="0.2">
      <c r="A4209" s="1286" t="str">
        <f>$A$1</f>
        <v>COMPOSIÇÃO DE CUSTOS UNITÁRIOS</v>
      </c>
      <c r="B4209" s="1286"/>
      <c r="C4209" s="1286"/>
      <c r="D4209" s="1286"/>
      <c r="E4209" s="1286"/>
      <c r="F4209" s="1286"/>
      <c r="G4209" s="1286"/>
      <c r="H4209" s="1286"/>
      <c r="I4209" s="1286"/>
      <c r="J4209" s="451"/>
      <c r="K4209" s="451"/>
      <c r="L4209" s="198"/>
      <c r="M4209" s="198"/>
      <c r="N4209" s="198"/>
      <c r="O4209" s="198"/>
      <c r="P4209" s="198"/>
      <c r="Q4209" s="198"/>
    </row>
    <row r="4210" spans="1:17" s="198" customFormat="1" x14ac:dyDescent="0.2">
      <c r="A4210" s="447" t="str">
        <f>$A$2</f>
        <v>Tabela Referencial de Preços - DER-ES</v>
      </c>
      <c r="B4210" s="448"/>
      <c r="C4210" s="449"/>
      <c r="D4210" s="449"/>
      <c r="E4210" s="449"/>
      <c r="F4210" s="449"/>
      <c r="G4210" s="449"/>
      <c r="H4210" s="449"/>
      <c r="I4210" s="450" t="str">
        <f>$I$2</f>
        <v>Data Base: Outubro/2018</v>
      </c>
      <c r="J4210" s="451">
        <v>40349</v>
      </c>
      <c r="K4210" s="451">
        <f>VLOOKUP("Preço Unitário Total",F4212:I4251,4,FALSE)</f>
        <v>522.45000000000005</v>
      </c>
      <c r="L4210" s="198" t="str">
        <f>VLOOKUP(J4210,'DER 10-18'!A:E,5,FALSE)</f>
        <v>A incluir</v>
      </c>
      <c r="M4210" s="198" t="str">
        <f>VLOOKUP(J4210,'DER 10-18'!$A:$D,2,FALSE)</f>
        <v>Concreto de regularização, tudo incluído</v>
      </c>
    </row>
    <row r="4211" spans="1:17" s="198" customFormat="1" x14ac:dyDescent="0.2">
      <c r="A4211" s="1287" t="str">
        <f>+CONCATENATE("Serviço: ",J4210," ",VLOOKUP(J4210,'DER 10-18'!$A:$D,2,FALSE))</f>
        <v>Serviço: 40349 Concreto de regularização, tudo incluído</v>
      </c>
      <c r="B4211" s="1287"/>
      <c r="C4211" s="1287"/>
      <c r="D4211" s="1287"/>
      <c r="E4211" s="1287"/>
      <c r="F4211" s="1287"/>
      <c r="G4211" s="1287"/>
      <c r="H4211" s="1287"/>
      <c r="I4211" s="1287" t="str">
        <f>CONCATENATE("Unidade: ", VLOOKUP(J4210,'DER 10-18'!$A:$E,3,FALSE))</f>
        <v>Unidade: M3</v>
      </c>
      <c r="J4211" s="451"/>
      <c r="K4211" s="451"/>
    </row>
    <row r="4212" spans="1:17" x14ac:dyDescent="0.2">
      <c r="A4212" s="1288"/>
      <c r="B4212" s="1288"/>
      <c r="C4212" s="1288"/>
      <c r="D4212" s="1288"/>
      <c r="E4212" s="1288"/>
      <c r="F4212" s="1288"/>
      <c r="G4212" s="1288"/>
      <c r="H4212" s="1288"/>
      <c r="I4212" s="1288"/>
    </row>
    <row r="4213" spans="1:17" ht="22.5" x14ac:dyDescent="0.2">
      <c r="A4213" s="235" t="s">
        <v>192</v>
      </c>
      <c r="B4213" s="236" t="s">
        <v>60</v>
      </c>
      <c r="C4213" s="236" t="s">
        <v>193</v>
      </c>
      <c r="D4213" s="236" t="s">
        <v>194</v>
      </c>
      <c r="E4213" s="236" t="s">
        <v>195</v>
      </c>
      <c r="F4213" s="236" t="s">
        <v>196</v>
      </c>
      <c r="G4213" s="236" t="s">
        <v>197</v>
      </c>
      <c r="H4213" s="236" t="s">
        <v>91</v>
      </c>
      <c r="I4213" s="236" t="s">
        <v>198</v>
      </c>
      <c r="J4213" s="302"/>
      <c r="K4213" s="302"/>
    </row>
    <row r="4214" spans="1:17" ht="22.5" x14ac:dyDescent="0.2">
      <c r="A4214" s="237" t="str">
        <f>VLOOKUP(B4214,equip.!$A:$G,2,FALSE)</f>
        <v>Betoneira 600 l com carregador (elétrica)</v>
      </c>
      <c r="B4214" s="238">
        <v>30070</v>
      </c>
      <c r="C4214" s="239">
        <f>VLOOKUP(B4214,equip.!$A$1:$G$239,3,FALSE)</f>
        <v>0</v>
      </c>
      <c r="D4214" s="240">
        <v>1</v>
      </c>
      <c r="E4214" s="205">
        <v>0</v>
      </c>
      <c r="F4214" s="241">
        <f>VLOOKUP(B4214,equip.!$A:$G,6,FALSE)</f>
        <v>24.55</v>
      </c>
      <c r="G4214" s="241">
        <f>VLOOKUP(B4214,equip.!$A:$G,7,FALSE)</f>
        <v>19.8</v>
      </c>
      <c r="H4214" s="242">
        <v>1</v>
      </c>
      <c r="I4214" s="243">
        <f>TRUNC(D4214*F4214*H4214+E4214*G4214*H4214,2)</f>
        <v>24.55</v>
      </c>
      <c r="J4214" s="302"/>
      <c r="K4214" s="302"/>
    </row>
    <row r="4215" spans="1:17" x14ac:dyDescent="0.2">
      <c r="A4215" s="237" t="str">
        <f>VLOOKUP(B4215,equip.!$A:$G,2,FALSE)</f>
        <v>Carrinho de mão</v>
      </c>
      <c r="B4215" s="238">
        <v>30076</v>
      </c>
      <c r="C4215" s="239">
        <f>VLOOKUP(B4215,equip.!$A$1:$G$239,3,FALSE)</f>
        <v>0</v>
      </c>
      <c r="D4215" s="240">
        <v>1</v>
      </c>
      <c r="E4215" s="205">
        <v>0</v>
      </c>
      <c r="F4215" s="241">
        <f>VLOOKUP(B4215,equip.!$A:$G,6,FALSE)</f>
        <v>0.18</v>
      </c>
      <c r="G4215" s="241">
        <f>VLOOKUP(B4215,equip.!$A:$G,7,FALSE)</f>
        <v>0.12</v>
      </c>
      <c r="H4215" s="242">
        <v>3</v>
      </c>
      <c r="I4215" s="243">
        <f>TRUNC(D4215*F4215*H4215+E4215*G4215*H4215,2)</f>
        <v>0.54</v>
      </c>
      <c r="J4215" s="302"/>
      <c r="K4215" s="302"/>
    </row>
    <row r="4216" spans="1:17" ht="33.75" x14ac:dyDescent="0.2">
      <c r="A4216" s="237" t="str">
        <f>VLOOKUP(B4216,equip.!$A:$G,2,FALSE)</f>
        <v>Vibrador de imersao AA67 c/ mangote, marca de referência ATLAS COPCO ou equivalente</v>
      </c>
      <c r="B4216" s="238">
        <v>30071</v>
      </c>
      <c r="C4216" s="239">
        <f>VLOOKUP(B4216,equip.!$A$1:$G$239,3,FALSE)</f>
        <v>0</v>
      </c>
      <c r="D4216" s="240">
        <v>1</v>
      </c>
      <c r="E4216" s="205">
        <v>0</v>
      </c>
      <c r="F4216" s="241">
        <f>VLOOKUP(B4216,equip.!$A:$G,6,FALSE)</f>
        <v>15.14</v>
      </c>
      <c r="G4216" s="241">
        <f>VLOOKUP(B4216,equip.!$A:$G,7,FALSE)</f>
        <v>12.3</v>
      </c>
      <c r="H4216" s="242">
        <v>2</v>
      </c>
      <c r="I4216" s="243">
        <f>TRUNC(D4216*F4216*H4216+E4216*G4216*H4216,2)</f>
        <v>30.28</v>
      </c>
      <c r="J4216" s="302"/>
      <c r="K4216" s="302"/>
      <c r="O4216" s="198"/>
    </row>
    <row r="4217" spans="1:17" x14ac:dyDescent="0.2">
      <c r="A4217" s="199"/>
      <c r="B4217" s="233"/>
      <c r="C4217" s="233"/>
      <c r="D4217" s="199"/>
      <c r="E4217" s="199"/>
      <c r="F4217" s="234" t="s">
        <v>199</v>
      </c>
      <c r="G4217" s="244"/>
      <c r="H4217" s="245"/>
      <c r="I4217" s="434">
        <f>SUM(I4214:I4216)</f>
        <v>55.37</v>
      </c>
      <c r="J4217" s="302"/>
      <c r="K4217" s="302"/>
    </row>
    <row r="4218" spans="1:17" x14ac:dyDescent="0.2">
      <c r="A4218" s="199"/>
      <c r="B4218" s="233"/>
      <c r="C4218" s="233"/>
      <c r="D4218" s="199"/>
      <c r="E4218" s="199"/>
      <c r="F4218" s="199"/>
      <c r="G4218" s="199"/>
      <c r="H4218" s="199"/>
      <c r="I4218" s="200"/>
      <c r="J4218" s="302"/>
      <c r="K4218" s="302"/>
    </row>
    <row r="4219" spans="1:17" x14ac:dyDescent="0.2">
      <c r="A4219" s="246" t="s">
        <v>200</v>
      </c>
      <c r="B4219" s="247" t="s">
        <v>60</v>
      </c>
      <c r="C4219" s="236" t="s">
        <v>1242</v>
      </c>
      <c r="D4219" s="247" t="s">
        <v>202</v>
      </c>
      <c r="E4219" s="1271" t="s">
        <v>91</v>
      </c>
      <c r="F4219" s="1272"/>
      <c r="G4219" s="1273"/>
      <c r="H4219" s="1276" t="s">
        <v>198</v>
      </c>
      <c r="I4219" s="1275"/>
      <c r="J4219" s="302"/>
      <c r="K4219" s="302"/>
    </row>
    <row r="4220" spans="1:17" x14ac:dyDescent="0.2">
      <c r="A4220" s="248" t="str">
        <f>VLOOKUP(B4220,m.o.!$A:$H,2,FALSE)</f>
        <v>Encarregado de O.A.C.</v>
      </c>
      <c r="B4220" s="238">
        <v>20060</v>
      </c>
      <c r="C4220" s="243">
        <f>VLOOKUP(B4220,m.o.!$A:$F,4,FALSE)</f>
        <v>2.2599999999999998</v>
      </c>
      <c r="D4220" s="243">
        <f>VLOOKUP(B4220,m.o.!$A:$G,7,FALSE)</f>
        <v>26.3</v>
      </c>
      <c r="E4220" s="260"/>
      <c r="F4220" s="258"/>
      <c r="G4220" s="300">
        <v>1</v>
      </c>
      <c r="H4220" s="244"/>
      <c r="I4220" s="249">
        <f>TRUNC(D4220*G4220,2)</f>
        <v>26.3</v>
      </c>
      <c r="J4220" s="302"/>
      <c r="K4220" s="302"/>
    </row>
    <row r="4221" spans="1:17" x14ac:dyDescent="0.2">
      <c r="A4221" s="248" t="str">
        <f>VLOOKUP(B4221,m.o.!$A:$H,2,FALSE)</f>
        <v>Operário braçal</v>
      </c>
      <c r="B4221" s="238">
        <v>20107</v>
      </c>
      <c r="C4221" s="243">
        <f>VLOOKUP(B4221,m.o.!$A:$F,4,FALSE)</f>
        <v>1.02</v>
      </c>
      <c r="D4221" s="243">
        <f>VLOOKUP(B4221,m.o.!$A:$G,7,FALSE)</f>
        <v>11.87</v>
      </c>
      <c r="E4221" s="260"/>
      <c r="F4221" s="258"/>
      <c r="G4221" s="300">
        <v>10</v>
      </c>
      <c r="H4221" s="244"/>
      <c r="I4221" s="249">
        <f>TRUNC(D4221*G4221,2)</f>
        <v>118.7</v>
      </c>
      <c r="J4221" s="302"/>
      <c r="K4221" s="302"/>
    </row>
    <row r="4222" spans="1:17" x14ac:dyDescent="0.2">
      <c r="A4222" s="248" t="str">
        <f>VLOOKUP(B4222,m.o.!$A:$H,2,FALSE)</f>
        <v>Pedreiro de O.A.C.</v>
      </c>
      <c r="B4222" s="238">
        <v>20109</v>
      </c>
      <c r="C4222" s="243">
        <f>VLOOKUP(B4222,m.o.!$A:$F,4,FALSE)</f>
        <v>1.24</v>
      </c>
      <c r="D4222" s="243">
        <f>VLOOKUP(B4222,m.o.!$A:$G,7,FALSE)</f>
        <v>14.43</v>
      </c>
      <c r="E4222" s="260"/>
      <c r="F4222" s="258"/>
      <c r="G4222" s="300">
        <v>2</v>
      </c>
      <c r="H4222" s="244"/>
      <c r="I4222" s="249">
        <f>TRUNC(D4222*G4222,2)</f>
        <v>28.86</v>
      </c>
      <c r="J4222" s="302"/>
      <c r="K4222" s="302"/>
    </row>
    <row r="4223" spans="1:17" x14ac:dyDescent="0.2">
      <c r="A4223" s="199"/>
      <c r="B4223" s="233"/>
      <c r="C4223" s="233"/>
      <c r="D4223" s="199"/>
      <c r="E4223" s="199"/>
      <c r="F4223" s="234" t="s">
        <v>203</v>
      </c>
      <c r="G4223" s="244"/>
      <c r="H4223" s="245"/>
      <c r="I4223" s="434">
        <f>SUM(I4220:I4222)</f>
        <v>173.86</v>
      </c>
      <c r="J4223" s="302"/>
      <c r="K4223" s="302"/>
      <c r="O4223" s="198"/>
    </row>
    <row r="4224" spans="1:17" x14ac:dyDescent="0.2">
      <c r="A4224" s="199"/>
      <c r="B4224" s="233"/>
      <c r="C4224" s="233"/>
      <c r="D4224" s="199"/>
      <c r="E4224" s="199"/>
      <c r="F4224" s="199"/>
      <c r="G4224" s="199"/>
      <c r="H4224" s="199"/>
      <c r="I4224" s="200"/>
      <c r="J4224" s="302"/>
      <c r="K4224" s="302"/>
      <c r="O4224" s="198"/>
    </row>
    <row r="4225" spans="1:13" x14ac:dyDescent="0.2">
      <c r="A4225" s="250" t="s">
        <v>204</v>
      </c>
      <c r="B4225" s="247" t="s">
        <v>60</v>
      </c>
      <c r="C4225" s="866" t="s">
        <v>17</v>
      </c>
      <c r="D4225" s="247" t="s">
        <v>205</v>
      </c>
      <c r="E4225" s="247" t="s">
        <v>206</v>
      </c>
      <c r="F4225" s="247" t="s">
        <v>207</v>
      </c>
      <c r="G4225" s="1276" t="s">
        <v>96</v>
      </c>
      <c r="H4225" s="1274"/>
      <c r="I4225" s="1275"/>
      <c r="J4225" s="302"/>
      <c r="K4225" s="302"/>
    </row>
    <row r="4226" spans="1:13" x14ac:dyDescent="0.2">
      <c r="A4226" s="248" t="s">
        <v>142</v>
      </c>
      <c r="B4226" s="238">
        <v>2000</v>
      </c>
      <c r="C4226" s="243">
        <v>5</v>
      </c>
      <c r="D4226" s="239" t="s">
        <v>223</v>
      </c>
      <c r="E4226" s="251"/>
      <c r="F4226" s="251"/>
      <c r="G4226" s="244"/>
      <c r="H4226" s="245"/>
      <c r="I4226" s="249">
        <f>TRUNC(C4226/100*I4223,2)</f>
        <v>8.69</v>
      </c>
      <c r="J4226" s="302"/>
      <c r="K4226" s="302"/>
    </row>
    <row r="4227" spans="1:13" x14ac:dyDescent="0.2">
      <c r="A4227" s="199"/>
      <c r="B4227" s="233"/>
      <c r="C4227" s="199"/>
      <c r="D4227" s="199"/>
      <c r="E4227" s="199"/>
      <c r="F4227" s="234" t="s">
        <v>1170</v>
      </c>
      <c r="G4227" s="244"/>
      <c r="H4227" s="245"/>
      <c r="I4227" s="434">
        <f>SUM(I4226)</f>
        <v>8.69</v>
      </c>
      <c r="J4227" s="302"/>
      <c r="K4227" s="302"/>
    </row>
    <row r="4228" spans="1:13" x14ac:dyDescent="0.2">
      <c r="A4228" s="199"/>
      <c r="B4228" s="233"/>
      <c r="C4228" s="199"/>
      <c r="D4228" s="199"/>
      <c r="E4228" s="199"/>
      <c r="F4228" s="199"/>
      <c r="G4228" s="199"/>
      <c r="H4228" s="199"/>
      <c r="I4228" s="200"/>
      <c r="J4228" s="302"/>
      <c r="K4228" s="302"/>
    </row>
    <row r="4229" spans="1:13" x14ac:dyDescent="0.2">
      <c r="A4229" s="252"/>
      <c r="B4229" s="253"/>
      <c r="C4229" s="254"/>
      <c r="D4229" s="254"/>
      <c r="E4229" s="254"/>
      <c r="F4229" s="255" t="s">
        <v>208</v>
      </c>
      <c r="G4229" s="435"/>
      <c r="H4229" s="254"/>
      <c r="I4229" s="634">
        <f>+I4217+I4223+I4227</f>
        <v>237.92</v>
      </c>
    </row>
    <row r="4230" spans="1:13" x14ac:dyDescent="0.2">
      <c r="A4230" s="256"/>
      <c r="B4230" s="257"/>
      <c r="C4230" s="258"/>
      <c r="D4230" s="258"/>
      <c r="E4230" s="258"/>
      <c r="F4230" s="259" t="s">
        <v>209</v>
      </c>
      <c r="G4230" s="260"/>
      <c r="H4230" s="258"/>
      <c r="I4230" s="635">
        <v>1.2</v>
      </c>
    </row>
    <row r="4231" spans="1:13" x14ac:dyDescent="0.2">
      <c r="A4231" s="237"/>
      <c r="B4231" s="261"/>
      <c r="C4231" s="245"/>
      <c r="D4231" s="245"/>
      <c r="E4231" s="245"/>
      <c r="F4231" s="262" t="s">
        <v>232</v>
      </c>
      <c r="G4231" s="244"/>
      <c r="H4231" s="245"/>
      <c r="I4231" s="633">
        <f>TRUNC(I4229/I4230,2)</f>
        <v>198.26</v>
      </c>
    </row>
    <row r="4232" spans="1:13" x14ac:dyDescent="0.2">
      <c r="A4232" s="867"/>
      <c r="B4232" s="233"/>
      <c r="C4232" s="199"/>
      <c r="D4232" s="199"/>
      <c r="E4232" s="199"/>
      <c r="F4232" s="263"/>
      <c r="G4232" s="199"/>
      <c r="H4232" s="199"/>
      <c r="I4232" s="264"/>
    </row>
    <row r="4233" spans="1:13" x14ac:dyDescent="0.2">
      <c r="A4233" s="246" t="s">
        <v>210</v>
      </c>
      <c r="B4233" s="247" t="s">
        <v>60</v>
      </c>
      <c r="C4233" s="247" t="s">
        <v>211</v>
      </c>
      <c r="D4233" s="247" t="s">
        <v>233</v>
      </c>
      <c r="E4233" s="1276" t="s">
        <v>91</v>
      </c>
      <c r="F4233" s="1274"/>
      <c r="G4233" s="1275"/>
      <c r="H4233" s="1276" t="s">
        <v>198</v>
      </c>
      <c r="I4233" s="1275"/>
    </row>
    <row r="4234" spans="1:13" ht="22.5" x14ac:dyDescent="0.2">
      <c r="A4234" s="265" t="str">
        <f>VLOOKUP(B4234,mat.!$A:$D,2,FALSE)</f>
        <v>Areia grossa jazida com carregamento mecânico</v>
      </c>
      <c r="B4234" s="238">
        <v>10109</v>
      </c>
      <c r="C4234" s="266" t="str">
        <f>VLOOKUP(B4234,mat.!$A:$D,3,FALSE)</f>
        <v>m3</v>
      </c>
      <c r="D4234" s="267">
        <f>VLOOKUP(B4234,mat.!$A:$D,4,FALSE)</f>
        <v>64.22</v>
      </c>
      <c r="E4234" s="260"/>
      <c r="F4234" s="258"/>
      <c r="G4234" s="300">
        <v>0.61319999999999997</v>
      </c>
      <c r="H4234" s="260"/>
      <c r="I4234" s="268">
        <f>TRUNC(D4234*G4234,2)</f>
        <v>39.369999999999997</v>
      </c>
    </row>
    <row r="4235" spans="1:13" x14ac:dyDescent="0.2">
      <c r="A4235" s="265" t="str">
        <f>VLOOKUP(B4235,mat.!$A:$D,2,FALSE)</f>
        <v>Cimento CP III</v>
      </c>
      <c r="B4235" s="238">
        <v>10092</v>
      </c>
      <c r="C4235" s="266" t="str">
        <f>VLOOKUP(B4235,mat.!$A:$D,3,FALSE)</f>
        <v>kg</v>
      </c>
      <c r="D4235" s="267">
        <f>VLOOKUP(B4235,mat.!$A:$D,4,FALSE)</f>
        <v>0.38</v>
      </c>
      <c r="E4235" s="260"/>
      <c r="F4235" s="258"/>
      <c r="G4235" s="300">
        <v>169.05</v>
      </c>
      <c r="H4235" s="260"/>
      <c r="I4235" s="268">
        <f>TRUNC(D4235*G4235,2)</f>
        <v>64.23</v>
      </c>
    </row>
    <row r="4236" spans="1:13" x14ac:dyDescent="0.2">
      <c r="A4236" s="265" t="str">
        <f>VLOOKUP(B4236,mat.!$A:$D,2,FALSE)</f>
        <v>Pedra britada p/ concreto, sem frete</v>
      </c>
      <c r="B4236" s="238">
        <v>10125</v>
      </c>
      <c r="C4236" s="266" t="str">
        <f>VLOOKUP(B4236,mat.!$A:$D,3,FALSE)</f>
        <v>m3</v>
      </c>
      <c r="D4236" s="267">
        <f>VLOOKUP(B4236,mat.!$A:$D,4,FALSE)</f>
        <v>60.76</v>
      </c>
      <c r="E4236" s="260"/>
      <c r="F4236" s="258"/>
      <c r="G4236" s="300">
        <v>0.95760000000000001</v>
      </c>
      <c r="H4236" s="260"/>
      <c r="I4236" s="268">
        <f>TRUNC(D4236*G4236,2)</f>
        <v>58.18</v>
      </c>
    </row>
    <row r="4237" spans="1:13" x14ac:dyDescent="0.2">
      <c r="A4237" s="199"/>
      <c r="B4237" s="233"/>
      <c r="C4237" s="199"/>
      <c r="D4237" s="199"/>
      <c r="E4237" s="199"/>
      <c r="F4237" s="234" t="s">
        <v>212</v>
      </c>
      <c r="G4237" s="244"/>
      <c r="H4237" s="245"/>
      <c r="I4237" s="434">
        <f>SUM(I4234:I4236)</f>
        <v>161.78</v>
      </c>
    </row>
    <row r="4238" spans="1:13" x14ac:dyDescent="0.2">
      <c r="A4238" s="199"/>
      <c r="B4238" s="233"/>
      <c r="C4238" s="199"/>
      <c r="D4238" s="199"/>
      <c r="E4238" s="199"/>
      <c r="F4238" s="199"/>
      <c r="G4238" s="269"/>
      <c r="H4238" s="199"/>
      <c r="I4238" s="200"/>
    </row>
    <row r="4239" spans="1:13" x14ac:dyDescent="0.2">
      <c r="A4239" s="270" t="s">
        <v>213</v>
      </c>
      <c r="B4239" s="247" t="s">
        <v>60</v>
      </c>
      <c r="C4239" s="247" t="s">
        <v>211</v>
      </c>
      <c r="D4239" s="866" t="s">
        <v>233</v>
      </c>
      <c r="E4239" s="1271" t="s">
        <v>91</v>
      </c>
      <c r="F4239" s="1272"/>
      <c r="G4239" s="1273"/>
      <c r="H4239" s="1274" t="s">
        <v>198</v>
      </c>
      <c r="I4239" s="1275"/>
      <c r="J4239" s="451"/>
      <c r="K4239" s="451"/>
      <c r="L4239" s="198"/>
      <c r="M4239" s="198"/>
    </row>
    <row r="4240" spans="1:13" x14ac:dyDescent="0.2">
      <c r="A4240" s="452"/>
      <c r="B4240" s="453"/>
      <c r="C4240" s="453"/>
      <c r="D4240" s="454"/>
      <c r="E4240" s="455"/>
      <c r="F4240" s="456"/>
      <c r="G4240" s="457"/>
      <c r="H4240" s="458"/>
      <c r="I4240" s="459"/>
    </row>
    <row r="4241" spans="1:17" x14ac:dyDescent="0.2">
      <c r="A4241" s="201"/>
      <c r="B4241" s="271"/>
      <c r="C4241" s="201"/>
      <c r="D4241" s="201"/>
      <c r="E4241" s="201"/>
      <c r="F4241" s="272" t="s">
        <v>214</v>
      </c>
      <c r="G4241" s="260"/>
      <c r="H4241" s="273"/>
      <c r="I4241" s="436">
        <f>SUM(I4240:I4240)</f>
        <v>0</v>
      </c>
    </row>
    <row r="4242" spans="1:17" ht="24" customHeight="1" x14ac:dyDescent="0.2">
      <c r="A4242" s="201"/>
      <c r="B4242" s="271"/>
      <c r="C4242" s="201"/>
      <c r="D4242" s="201"/>
      <c r="E4242" s="201"/>
      <c r="F4242" s="201"/>
      <c r="G4242" s="201"/>
      <c r="H4242" s="201"/>
      <c r="I4242" s="201"/>
    </row>
    <row r="4243" spans="1:17" x14ac:dyDescent="0.2">
      <c r="A4243" s="274" t="s">
        <v>215</v>
      </c>
      <c r="B4243" s="275" t="s">
        <v>60</v>
      </c>
      <c r="C4243" s="275" t="s">
        <v>211</v>
      </c>
      <c r="D4243" s="275" t="s">
        <v>216</v>
      </c>
      <c r="E4243" s="275" t="s">
        <v>217</v>
      </c>
      <c r="F4243" s="275" t="s">
        <v>218</v>
      </c>
      <c r="G4243" s="275" t="s">
        <v>96</v>
      </c>
      <c r="H4243" s="275" t="s">
        <v>91</v>
      </c>
      <c r="I4243" s="275" t="s">
        <v>219</v>
      </c>
      <c r="J4243" s="433" t="s">
        <v>115</v>
      </c>
    </row>
    <row r="4244" spans="1:17" ht="22.5" customHeight="1" x14ac:dyDescent="0.2">
      <c r="A4244" s="265" t="str">
        <f>VLOOKUP(B4244,tranp.!A:D,2,FALSE)</f>
        <v>Transp. de Areia grossa jazida c/ carreg.mecânico</v>
      </c>
      <c r="B4244" s="238">
        <v>1026</v>
      </c>
      <c r="C4244" s="238" t="str">
        <f>VLOOKUP(B4244,tranp.!$A:$J,3,FALSE)</f>
        <v xml:space="preserve"> t  </v>
      </c>
      <c r="D4244" s="437" t="str">
        <f>VLOOKUP(B4244,tranp.!$A:$J,4,FALSE)</f>
        <v>0,681XP + 0,710XR + 2,841</v>
      </c>
      <c r="E4244" s="277">
        <f>VLOOKUP(J4243,Ocor.!$B:$F,4,FALSE)</f>
        <v>10</v>
      </c>
      <c r="F4244" s="277">
        <f>VLOOKUP(J4243,Ocor.!$B:$F,5,FALSE)</f>
        <v>5.6</v>
      </c>
      <c r="G4244" s="243">
        <f>TRUNC(VLOOKUP(B4244,tranp.!$A:$J,5,FALSE)*E4244+VLOOKUP(B4244,tranp.!$A:$J,6,FALSE)*F4244+VLOOKUP(B4244,tranp.!$A:$J,7,FALSE),2)</f>
        <v>13.62</v>
      </c>
      <c r="H4244" s="278">
        <v>0.91979999999999995</v>
      </c>
      <c r="I4244" s="243">
        <f>TRUNC(G4244*H4244,2)</f>
        <v>12.52</v>
      </c>
      <c r="J4244" s="433" t="s">
        <v>174</v>
      </c>
    </row>
    <row r="4245" spans="1:17" x14ac:dyDescent="0.2">
      <c r="A4245" s="265" t="str">
        <f>VLOOKUP(B4245,tranp.!A:D,2,FALSE)</f>
        <v>Transp. de Cimento</v>
      </c>
      <c r="B4245" s="238">
        <v>1153</v>
      </c>
      <c r="C4245" s="238" t="str">
        <f>VLOOKUP(B4245,tranp.!$A:$J,3,FALSE)</f>
        <v xml:space="preserve"> t  </v>
      </c>
      <c r="D4245" s="437" t="str">
        <f>VLOOKUP(B4245,tranp.!$A:$J,4,FALSE)</f>
        <v>0,676XP + 0,703XR</v>
      </c>
      <c r="E4245" s="277">
        <f>VLOOKUP(J4244,Ocor.!$B:$F,4,FALSE)</f>
        <v>37.200000000000003</v>
      </c>
      <c r="F4245" s="277">
        <f>VLOOKUP(J4244,Ocor.!$B:$F,5,FALSE)</f>
        <v>5.6</v>
      </c>
      <c r="G4245" s="243">
        <f>TRUNC(VLOOKUP(B4245,tranp.!$A:$J,5,FALSE)*E4245+VLOOKUP(B4245,tranp.!$A:$J,6,FALSE)*F4245+VLOOKUP(B4245,tranp.!$A:$J,7,FALSE),2)</f>
        <v>29.08</v>
      </c>
      <c r="H4245" s="278">
        <v>0.1691</v>
      </c>
      <c r="I4245" s="243">
        <f>TRUNC(G4245*H4245,2)</f>
        <v>4.91</v>
      </c>
      <c r="J4245" s="433" t="s">
        <v>113</v>
      </c>
    </row>
    <row r="4246" spans="1:17" ht="22.5" x14ac:dyDescent="0.2">
      <c r="A4246" s="265" t="str">
        <f>VLOOKUP(B4246,tranp.!A:D,2,FALSE)</f>
        <v>Transp. de Pedra britada p/ concreto</v>
      </c>
      <c r="B4246" s="238">
        <v>1162</v>
      </c>
      <c r="C4246" s="238" t="str">
        <f>VLOOKUP(B4246,tranp.!$A:$J,3,FALSE)</f>
        <v xml:space="preserve"> t  </v>
      </c>
      <c r="D4246" s="437" t="str">
        <f>VLOOKUP(B4246,tranp.!$A:$J,4,FALSE)</f>
        <v>0,681XP + 0,710XR + 2,841</v>
      </c>
      <c r="E4246" s="277">
        <f>VLOOKUP(J4245,Ocor.!$B:$F,4,FALSE)</f>
        <v>37.200000000000003</v>
      </c>
      <c r="F4246" s="277">
        <f>VLOOKUP(J4245,Ocor.!$B:$F,5,FALSE)</f>
        <v>5.6</v>
      </c>
      <c r="G4246" s="243">
        <f>TRUNC(VLOOKUP(B4246,tranp.!$A:$J,5,FALSE)*E4246+VLOOKUP(B4246,tranp.!$A:$J,6,FALSE)*F4246+VLOOKUP(B4246,tranp.!$A:$J,7,FALSE),2)</f>
        <v>32.15</v>
      </c>
      <c r="H4246" s="278">
        <v>1.4363999999999999</v>
      </c>
      <c r="I4246" s="243">
        <f>TRUNC(G4246*H4246,2)</f>
        <v>46.18</v>
      </c>
    </row>
    <row r="4247" spans="1:17" x14ac:dyDescent="0.2">
      <c r="A4247" s="201"/>
      <c r="B4247" s="271"/>
      <c r="C4247" s="201"/>
      <c r="D4247" s="201"/>
      <c r="E4247" s="201"/>
      <c r="F4247" s="272" t="s">
        <v>220</v>
      </c>
      <c r="G4247" s="244"/>
      <c r="H4247" s="279"/>
      <c r="I4247" s="438">
        <f>SUM(I4244:I4246)</f>
        <v>63.61</v>
      </c>
    </row>
    <row r="4248" spans="1:17" x14ac:dyDescent="0.2">
      <c r="A4248" s="201"/>
      <c r="B4248" s="271"/>
      <c r="C4248" s="201"/>
      <c r="D4248" s="201"/>
      <c r="E4248" s="201"/>
      <c r="F4248" s="201"/>
      <c r="G4248" s="201"/>
      <c r="H4248" s="201"/>
      <c r="I4248" s="202"/>
      <c r="J4248" s="446"/>
    </row>
    <row r="4249" spans="1:17" x14ac:dyDescent="0.2">
      <c r="A4249" s="280"/>
      <c r="B4249" s="281"/>
      <c r="C4249" s="282"/>
      <c r="D4249" s="282"/>
      <c r="E4249" s="282"/>
      <c r="F4249" s="283" t="s">
        <v>221</v>
      </c>
      <c r="G4249" s="280"/>
      <c r="H4249" s="254"/>
      <c r="I4249" s="634">
        <f>+I4231+I4237+I4241+I4247</f>
        <v>423.65</v>
      </c>
    </row>
    <row r="4250" spans="1:17" x14ac:dyDescent="0.2">
      <c r="A4250" s="260"/>
      <c r="B4250" s="284"/>
      <c r="C4250" s="273"/>
      <c r="D4250" s="273"/>
      <c r="E4250" s="273"/>
      <c r="F4250" s="285" t="str">
        <f>CONCATENATE($H$3," ",$I$3)</f>
        <v>BDI: 23,32</v>
      </c>
      <c r="G4250" s="439"/>
      <c r="H4250" s="258"/>
      <c r="I4250" s="635">
        <f>+ROUND(I4249*$I$4,2)</f>
        <v>98.8</v>
      </c>
      <c r="J4250" s="446"/>
    </row>
    <row r="4251" spans="1:17" s="198" customFormat="1" x14ac:dyDescent="0.2">
      <c r="A4251" s="244"/>
      <c r="B4251" s="286"/>
      <c r="C4251" s="279"/>
      <c r="D4251" s="279"/>
      <c r="E4251" s="279"/>
      <c r="F4251" s="287" t="s">
        <v>222</v>
      </c>
      <c r="G4251" s="440"/>
      <c r="H4251" s="245"/>
      <c r="I4251" s="1017">
        <f>+I4249+I4250</f>
        <v>522.45000000000005</v>
      </c>
      <c r="J4251" s="433"/>
      <c r="K4251" s="433"/>
      <c r="L4251" s="302"/>
      <c r="M4251" s="302"/>
      <c r="N4251" s="302"/>
      <c r="O4251" s="302"/>
      <c r="P4251" s="302"/>
      <c r="Q4251" s="302"/>
    </row>
    <row r="4252" spans="1:17" s="198" customFormat="1" x14ac:dyDescent="0.2">
      <c r="A4252" s="1286" t="str">
        <f>$A$1</f>
        <v>COMPOSIÇÃO DE CUSTOS UNITÁRIOS</v>
      </c>
      <c r="B4252" s="1286"/>
      <c r="C4252" s="1286"/>
      <c r="D4252" s="1286"/>
      <c r="E4252" s="1286"/>
      <c r="F4252" s="1286"/>
      <c r="G4252" s="1286"/>
      <c r="H4252" s="1286"/>
      <c r="I4252" s="1286"/>
      <c r="J4252" s="451"/>
      <c r="K4252" s="451"/>
    </row>
    <row r="4253" spans="1:17" x14ac:dyDescent="0.2">
      <c r="A4253" s="447" t="str">
        <f>$A$2</f>
        <v>Tabela Referencial de Preços - DER-ES</v>
      </c>
      <c r="B4253" s="448"/>
      <c r="C4253" s="449"/>
      <c r="D4253" s="449"/>
      <c r="E4253" s="449"/>
      <c r="F4253" s="449"/>
      <c r="G4253" s="449"/>
      <c r="H4253" s="449"/>
      <c r="I4253" s="450" t="str">
        <f>$I$2</f>
        <v>Data Base: Outubro/2018</v>
      </c>
      <c r="J4253" s="451">
        <v>40332</v>
      </c>
      <c r="K4253" s="451">
        <f>VLOOKUP("Preço Unitário Total",F4255:I4290,4,FALSE)</f>
        <v>410.57</v>
      </c>
      <c r="L4253" s="198" t="str">
        <f>VLOOKUP(J4253,'DER 10-18'!A:E,5,FALSE)</f>
        <v>A incluir</v>
      </c>
      <c r="M4253" s="198" t="str">
        <f>VLOOKUP(J4253,'DER 10-18'!$A:$D,2,FALSE)</f>
        <v>Ensecadeira simples de madeira esp.= 5 cm sem reaproveitamento, inclusive transporte das madeiras</v>
      </c>
      <c r="N4253" s="198"/>
      <c r="O4253" s="198"/>
      <c r="P4253" s="198"/>
      <c r="Q4253" s="198"/>
    </row>
    <row r="4254" spans="1:17" x14ac:dyDescent="0.2">
      <c r="A4254" s="1287" t="str">
        <f>+CONCATENATE("Serviço: ",J4253," ",VLOOKUP(J4253,'DER 10-18'!$A:$D,2,FALSE))</f>
        <v>Serviço: 40332 Ensecadeira simples de madeira esp.= 5 cm sem reaproveitamento, inclusive transporte das madeiras</v>
      </c>
      <c r="B4254" s="1287"/>
      <c r="C4254" s="1287"/>
      <c r="D4254" s="1287"/>
      <c r="E4254" s="1287"/>
      <c r="F4254" s="1287"/>
      <c r="G4254" s="1287"/>
      <c r="H4254" s="1287"/>
      <c r="I4254" s="1287" t="str">
        <f>CONCATENATE("Unidade: ", VLOOKUP(J4253,'DER 10-18'!$A:$E,3,FALSE))</f>
        <v>Unidade: M2</v>
      </c>
      <c r="J4254" s="451"/>
      <c r="K4254" s="451"/>
      <c r="L4254" s="198"/>
      <c r="M4254" s="198"/>
      <c r="N4254" s="198"/>
      <c r="O4254" s="198"/>
      <c r="P4254" s="198"/>
      <c r="Q4254" s="198"/>
    </row>
    <row r="4255" spans="1:17" x14ac:dyDescent="0.2">
      <c r="A4255" s="1288"/>
      <c r="B4255" s="1288"/>
      <c r="C4255" s="1288"/>
      <c r="D4255" s="1288"/>
      <c r="E4255" s="1288"/>
      <c r="F4255" s="1288"/>
      <c r="G4255" s="1288"/>
      <c r="H4255" s="1288"/>
      <c r="I4255" s="1288"/>
    </row>
    <row r="4256" spans="1:17" ht="22.5" x14ac:dyDescent="0.2">
      <c r="A4256" s="235" t="s">
        <v>192</v>
      </c>
      <c r="B4256" s="236" t="s">
        <v>60</v>
      </c>
      <c r="C4256" s="236" t="s">
        <v>193</v>
      </c>
      <c r="D4256" s="236" t="s">
        <v>194</v>
      </c>
      <c r="E4256" s="236" t="s">
        <v>195</v>
      </c>
      <c r="F4256" s="236" t="s">
        <v>196</v>
      </c>
      <c r="G4256" s="236" t="s">
        <v>197</v>
      </c>
      <c r="H4256" s="236" t="s">
        <v>91</v>
      </c>
      <c r="I4256" s="236" t="s">
        <v>198</v>
      </c>
      <c r="J4256" s="302"/>
      <c r="K4256" s="302"/>
    </row>
    <row r="4257" spans="1:15" x14ac:dyDescent="0.2">
      <c r="A4257" s="237" t="str">
        <f>VLOOKUP(B4257,equip.!$A:$G,2,FALSE)</f>
        <v>Serra circular (WEG) ou equivalente</v>
      </c>
      <c r="B4257" s="238">
        <v>30073</v>
      </c>
      <c r="C4257" s="239" t="str">
        <f>VLOOKUP(B4257,equip.!$A$1:$G$239,3,FALSE)</f>
        <v>M</v>
      </c>
      <c r="D4257" s="240">
        <v>0.5</v>
      </c>
      <c r="E4257" s="205">
        <v>0.5</v>
      </c>
      <c r="F4257" s="241">
        <f>VLOOKUP(B4257,equip.!$A:$G,6,FALSE)</f>
        <v>18.22</v>
      </c>
      <c r="G4257" s="241">
        <f>VLOOKUP(B4257,equip.!$A:$G,7,FALSE)</f>
        <v>14.81</v>
      </c>
      <c r="H4257" s="242">
        <v>1</v>
      </c>
      <c r="I4257" s="243">
        <f>TRUNC(D4257*F4257*H4257+E4257*G4257*H4257,2)</f>
        <v>16.510000000000002</v>
      </c>
      <c r="J4257" s="302"/>
      <c r="K4257" s="302"/>
    </row>
    <row r="4258" spans="1:15" x14ac:dyDescent="0.2">
      <c r="A4258" s="199"/>
      <c r="B4258" s="233"/>
      <c r="C4258" s="233"/>
      <c r="D4258" s="199"/>
      <c r="E4258" s="199"/>
      <c r="F4258" s="234" t="s">
        <v>199</v>
      </c>
      <c r="G4258" s="244"/>
      <c r="H4258" s="245"/>
      <c r="I4258" s="434">
        <f>SUM(I4257:I4257)</f>
        <v>16.510000000000002</v>
      </c>
      <c r="J4258" s="302"/>
      <c r="K4258" s="302"/>
    </row>
    <row r="4259" spans="1:15" x14ac:dyDescent="0.2">
      <c r="A4259" s="199"/>
      <c r="B4259" s="233"/>
      <c r="C4259" s="233"/>
      <c r="D4259" s="199"/>
      <c r="E4259" s="199"/>
      <c r="F4259" s="199"/>
      <c r="G4259" s="199"/>
      <c r="H4259" s="199"/>
      <c r="I4259" s="200"/>
      <c r="J4259" s="302"/>
      <c r="K4259" s="302"/>
    </row>
    <row r="4260" spans="1:15" x14ac:dyDescent="0.2">
      <c r="A4260" s="246" t="s">
        <v>200</v>
      </c>
      <c r="B4260" s="247" t="s">
        <v>60</v>
      </c>
      <c r="C4260" s="236" t="s">
        <v>1242</v>
      </c>
      <c r="D4260" s="247" t="s">
        <v>202</v>
      </c>
      <c r="E4260" s="1271" t="s">
        <v>91</v>
      </c>
      <c r="F4260" s="1272"/>
      <c r="G4260" s="1273"/>
      <c r="H4260" s="1276" t="s">
        <v>198</v>
      </c>
      <c r="I4260" s="1275"/>
      <c r="J4260" s="302"/>
      <c r="K4260" s="302"/>
    </row>
    <row r="4261" spans="1:15" x14ac:dyDescent="0.2">
      <c r="A4261" s="248" t="str">
        <f>VLOOKUP(B4261,m.o.!$A:$H,2,FALSE)</f>
        <v>Ajudante de carpinteiro</v>
      </c>
      <c r="B4261" s="238">
        <v>20039</v>
      </c>
      <c r="C4261" s="243">
        <f>VLOOKUP(B4261,m.o.!$A:$F,4,FALSE)</f>
        <v>1.01</v>
      </c>
      <c r="D4261" s="243">
        <f>VLOOKUP(B4261,m.o.!$A:$G,7,FALSE)</f>
        <v>11.75</v>
      </c>
      <c r="E4261" s="260"/>
      <c r="F4261" s="258"/>
      <c r="G4261" s="300">
        <v>8</v>
      </c>
      <c r="H4261" s="244"/>
      <c r="I4261" s="249">
        <f>TRUNC(D4261*G4261,2)</f>
        <v>94</v>
      </c>
      <c r="J4261" s="302"/>
      <c r="K4261" s="302"/>
    </row>
    <row r="4262" spans="1:15" ht="22.5" customHeight="1" x14ac:dyDescent="0.2">
      <c r="A4262" s="248" t="str">
        <f>VLOOKUP(B4262,m.o.!$A:$H,2,FALSE)</f>
        <v>Carpinteiro de O.A.E.</v>
      </c>
      <c r="B4262" s="238">
        <v>20040</v>
      </c>
      <c r="C4262" s="243">
        <f>VLOOKUP(B4262,m.o.!$A:$F,4,FALSE)</f>
        <v>1.65</v>
      </c>
      <c r="D4262" s="243">
        <f>VLOOKUP(B4262,m.o.!$A:$G,7,FALSE)</f>
        <v>19.2</v>
      </c>
      <c r="E4262" s="260"/>
      <c r="F4262" s="258"/>
      <c r="G4262" s="300">
        <v>1.5</v>
      </c>
      <c r="H4262" s="244"/>
      <c r="I4262" s="249">
        <f>TRUNC(D4262*G4262,2)</f>
        <v>28.8</v>
      </c>
      <c r="J4262" s="302"/>
      <c r="K4262" s="302"/>
    </row>
    <row r="4263" spans="1:15" x14ac:dyDescent="0.2">
      <c r="A4263" s="199"/>
      <c r="B4263" s="233"/>
      <c r="C4263" s="233"/>
      <c r="D4263" s="199"/>
      <c r="E4263" s="199"/>
      <c r="F4263" s="234" t="s">
        <v>203</v>
      </c>
      <c r="G4263" s="244"/>
      <c r="H4263" s="245"/>
      <c r="I4263" s="434">
        <f>SUM(I4261:I4262)</f>
        <v>122.8</v>
      </c>
      <c r="J4263" s="302"/>
      <c r="K4263" s="302"/>
      <c r="O4263" s="198"/>
    </row>
    <row r="4264" spans="1:15" ht="22.5" customHeight="1" x14ac:dyDescent="0.2">
      <c r="A4264" s="199"/>
      <c r="B4264" s="233"/>
      <c r="C4264" s="233"/>
      <c r="D4264" s="199"/>
      <c r="E4264" s="199"/>
      <c r="F4264" s="199"/>
      <c r="G4264" s="199"/>
      <c r="H4264" s="199"/>
      <c r="I4264" s="200"/>
      <c r="J4264" s="302"/>
      <c r="K4264" s="302"/>
      <c r="O4264" s="198"/>
    </row>
    <row r="4265" spans="1:15" x14ac:dyDescent="0.2">
      <c r="A4265" s="250" t="s">
        <v>204</v>
      </c>
      <c r="B4265" s="247" t="s">
        <v>60</v>
      </c>
      <c r="C4265" s="866" t="s">
        <v>17</v>
      </c>
      <c r="D4265" s="247" t="s">
        <v>205</v>
      </c>
      <c r="E4265" s="247" t="s">
        <v>206</v>
      </c>
      <c r="F4265" s="247" t="s">
        <v>207</v>
      </c>
      <c r="G4265" s="1276" t="s">
        <v>96</v>
      </c>
      <c r="H4265" s="1274"/>
      <c r="I4265" s="1275"/>
      <c r="J4265" s="302"/>
      <c r="K4265" s="302"/>
    </row>
    <row r="4266" spans="1:15" x14ac:dyDescent="0.2">
      <c r="A4266" s="248" t="s">
        <v>142</v>
      </c>
      <c r="B4266" s="238">
        <v>2000</v>
      </c>
      <c r="C4266" s="243">
        <v>5</v>
      </c>
      <c r="D4266" s="239" t="s">
        <v>223</v>
      </c>
      <c r="E4266" s="251"/>
      <c r="F4266" s="251"/>
      <c r="G4266" s="244"/>
      <c r="H4266" s="245"/>
      <c r="I4266" s="249">
        <f>TRUNC(C4266/100*I4263,2)</f>
        <v>6.14</v>
      </c>
      <c r="J4266" s="302"/>
      <c r="K4266" s="302"/>
    </row>
    <row r="4267" spans="1:15" x14ac:dyDescent="0.2">
      <c r="A4267" s="199"/>
      <c r="B4267" s="233"/>
      <c r="C4267" s="199"/>
      <c r="D4267" s="199"/>
      <c r="E4267" s="199"/>
      <c r="F4267" s="234" t="s">
        <v>1170</v>
      </c>
      <c r="G4267" s="244"/>
      <c r="H4267" s="245"/>
      <c r="I4267" s="434">
        <f>SUM(I4266)</f>
        <v>6.14</v>
      </c>
      <c r="J4267" s="302"/>
      <c r="K4267" s="302"/>
    </row>
    <row r="4268" spans="1:15" x14ac:dyDescent="0.2">
      <c r="A4268" s="199"/>
      <c r="B4268" s="233"/>
      <c r="C4268" s="199"/>
      <c r="D4268" s="199"/>
      <c r="E4268" s="199"/>
      <c r="F4268" s="199"/>
      <c r="G4268" s="199"/>
      <c r="H4268" s="199"/>
      <c r="I4268" s="200"/>
      <c r="J4268" s="302"/>
      <c r="K4268" s="302"/>
    </row>
    <row r="4269" spans="1:15" x14ac:dyDescent="0.2">
      <c r="A4269" s="252"/>
      <c r="B4269" s="253"/>
      <c r="C4269" s="254"/>
      <c r="D4269" s="254"/>
      <c r="E4269" s="254"/>
      <c r="F4269" s="255" t="s">
        <v>208</v>
      </c>
      <c r="G4269" s="435"/>
      <c r="H4269" s="254"/>
      <c r="I4269" s="634">
        <f>+I4258+I4263+I4267</f>
        <v>145.44999999999999</v>
      </c>
    </row>
    <row r="4270" spans="1:15" x14ac:dyDescent="0.2">
      <c r="A4270" s="256"/>
      <c r="B4270" s="257"/>
      <c r="C4270" s="258"/>
      <c r="D4270" s="258"/>
      <c r="E4270" s="258"/>
      <c r="F4270" s="259" t="s">
        <v>209</v>
      </c>
      <c r="G4270" s="260"/>
      <c r="H4270" s="258"/>
      <c r="I4270" s="635">
        <v>1</v>
      </c>
    </row>
    <row r="4271" spans="1:15" ht="23.25" customHeight="1" x14ac:dyDescent="0.2">
      <c r="A4271" s="237"/>
      <c r="B4271" s="261"/>
      <c r="C4271" s="245"/>
      <c r="D4271" s="245"/>
      <c r="E4271" s="245"/>
      <c r="F4271" s="262" t="s">
        <v>232</v>
      </c>
      <c r="G4271" s="244"/>
      <c r="H4271" s="245"/>
      <c r="I4271" s="633">
        <f>TRUNC(I4269/I4270,2)</f>
        <v>145.44999999999999</v>
      </c>
    </row>
    <row r="4272" spans="1:15" x14ac:dyDescent="0.2">
      <c r="A4272" s="867"/>
      <c r="B4272" s="233"/>
      <c r="C4272" s="199"/>
      <c r="D4272" s="199"/>
      <c r="E4272" s="199"/>
      <c r="F4272" s="263"/>
      <c r="G4272" s="199"/>
      <c r="H4272" s="199"/>
      <c r="I4272" s="264"/>
    </row>
    <row r="4273" spans="1:13" ht="24.75" customHeight="1" x14ac:dyDescent="0.2">
      <c r="A4273" s="246" t="s">
        <v>210</v>
      </c>
      <c r="B4273" s="247" t="s">
        <v>60</v>
      </c>
      <c r="C4273" s="247" t="s">
        <v>211</v>
      </c>
      <c r="D4273" s="247" t="s">
        <v>233</v>
      </c>
      <c r="E4273" s="1276" t="s">
        <v>91</v>
      </c>
      <c r="F4273" s="1274"/>
      <c r="G4273" s="1275"/>
      <c r="H4273" s="1276" t="s">
        <v>198</v>
      </c>
      <c r="I4273" s="1275"/>
    </row>
    <row r="4274" spans="1:13" ht="22.5" x14ac:dyDescent="0.2">
      <c r="A4274" s="265" t="str">
        <f>VLOOKUP(B4274,mat.!$A:$D,2,FALSE)</f>
        <v>Pranchoes 30 X 5 cm (p/ ensecadeira)</v>
      </c>
      <c r="B4274" s="238">
        <v>10063</v>
      </c>
      <c r="C4274" s="266" t="str">
        <f>VLOOKUP(B4274,mat.!$A:$D,3,FALSE)</f>
        <v>M3</v>
      </c>
      <c r="D4274" s="267">
        <f>VLOOKUP(B4274,mat.!$A:$D,4,FALSE)</f>
        <v>2758.33</v>
      </c>
      <c r="E4274" s="260"/>
      <c r="F4274" s="258"/>
      <c r="G4274" s="300">
        <v>5.5E-2</v>
      </c>
      <c r="H4274" s="260"/>
      <c r="I4274" s="268">
        <f>TRUNC(D4274*G4274,2)</f>
        <v>151.69999999999999</v>
      </c>
    </row>
    <row r="4275" spans="1:13" x14ac:dyDescent="0.2">
      <c r="A4275" s="265" t="str">
        <f>VLOOKUP(B4275,mat.!$A:$D,2,FALSE)</f>
        <v>Prego 18 X 24</v>
      </c>
      <c r="B4275" s="238">
        <v>10135</v>
      </c>
      <c r="C4275" s="266" t="str">
        <f>VLOOKUP(B4275,mat.!$A:$D,3,FALSE)</f>
        <v>kg</v>
      </c>
      <c r="D4275" s="267">
        <f>VLOOKUP(B4275,mat.!$A:$D,4,FALSE)</f>
        <v>10.54</v>
      </c>
      <c r="E4275" s="260"/>
      <c r="F4275" s="258"/>
      <c r="G4275" s="300">
        <v>0.2</v>
      </c>
      <c r="H4275" s="260"/>
      <c r="I4275" s="268">
        <f>TRUNC(D4275*G4275,2)</f>
        <v>2.1</v>
      </c>
    </row>
    <row r="4276" spans="1:13" x14ac:dyDescent="0.2">
      <c r="A4276" s="265" t="str">
        <f>VLOOKUP(B4276,mat.!$A:$D,2,FALSE)</f>
        <v>Tábuas de 2,5 cm (Não Aparelhada)</v>
      </c>
      <c r="B4276" s="238">
        <v>10065</v>
      </c>
      <c r="C4276" s="266" t="str">
        <f>VLOOKUP(B4276,mat.!$A:$D,3,FALSE)</f>
        <v>M3</v>
      </c>
      <c r="D4276" s="267">
        <f>VLOOKUP(B4276,mat.!$A:$D,4,FALSE)</f>
        <v>1884</v>
      </c>
      <c r="E4276" s="260"/>
      <c r="F4276" s="258"/>
      <c r="G4276" s="300">
        <v>1.7000000000000001E-2</v>
      </c>
      <c r="H4276" s="260"/>
      <c r="I4276" s="268">
        <f>TRUNC(D4276*G4276,2)</f>
        <v>32.020000000000003</v>
      </c>
    </row>
    <row r="4277" spans="1:13" x14ac:dyDescent="0.2">
      <c r="A4277" s="199"/>
      <c r="B4277" s="233"/>
      <c r="C4277" s="199"/>
      <c r="D4277" s="199"/>
      <c r="E4277" s="199"/>
      <c r="F4277" s="234" t="s">
        <v>212</v>
      </c>
      <c r="G4277" s="244"/>
      <c r="H4277" s="245"/>
      <c r="I4277" s="434">
        <f>SUM(I4274:I4276)</f>
        <v>185.82</v>
      </c>
    </row>
    <row r="4278" spans="1:13" x14ac:dyDescent="0.2">
      <c r="A4278" s="199"/>
      <c r="B4278" s="233"/>
      <c r="C4278" s="199"/>
      <c r="D4278" s="199"/>
      <c r="E4278" s="199"/>
      <c r="F4278" s="199"/>
      <c r="G4278" s="269"/>
      <c r="H4278" s="199"/>
      <c r="I4278" s="200"/>
    </row>
    <row r="4279" spans="1:13" x14ac:dyDescent="0.2">
      <c r="A4279" s="270" t="s">
        <v>213</v>
      </c>
      <c r="B4279" s="247" t="s">
        <v>60</v>
      </c>
      <c r="C4279" s="247" t="s">
        <v>211</v>
      </c>
      <c r="D4279" s="866" t="s">
        <v>233</v>
      </c>
      <c r="E4279" s="1271" t="s">
        <v>91</v>
      </c>
      <c r="F4279" s="1272"/>
      <c r="G4279" s="1273"/>
      <c r="H4279" s="1274" t="s">
        <v>198</v>
      </c>
      <c r="I4279" s="1275"/>
      <c r="J4279" s="451"/>
      <c r="K4279" s="451"/>
      <c r="L4279" s="198"/>
      <c r="M4279" s="198"/>
    </row>
    <row r="4280" spans="1:13" x14ac:dyDescent="0.2">
      <c r="A4280" s="452"/>
      <c r="B4280" s="453"/>
      <c r="C4280" s="453"/>
      <c r="D4280" s="454"/>
      <c r="E4280" s="455"/>
      <c r="F4280" s="456"/>
      <c r="G4280" s="457"/>
      <c r="H4280" s="458"/>
      <c r="I4280" s="459"/>
    </row>
    <row r="4281" spans="1:13" x14ac:dyDescent="0.2">
      <c r="A4281" s="201"/>
      <c r="B4281" s="271"/>
      <c r="C4281" s="201"/>
      <c r="D4281" s="201"/>
      <c r="E4281" s="201"/>
      <c r="F4281" s="272" t="s">
        <v>214</v>
      </c>
      <c r="G4281" s="260"/>
      <c r="H4281" s="273"/>
      <c r="I4281" s="436">
        <f>SUM(I4280:I4280)</f>
        <v>0</v>
      </c>
    </row>
    <row r="4282" spans="1:13" x14ac:dyDescent="0.2">
      <c r="A4282" s="201"/>
      <c r="B4282" s="271"/>
      <c r="C4282" s="201"/>
      <c r="D4282" s="201"/>
      <c r="E4282" s="201"/>
      <c r="F4282" s="201"/>
      <c r="G4282" s="201"/>
      <c r="H4282" s="201"/>
      <c r="I4282" s="201"/>
    </row>
    <row r="4283" spans="1:13" x14ac:dyDescent="0.2">
      <c r="A4283" s="274" t="s">
        <v>215</v>
      </c>
      <c r="B4283" s="275" t="s">
        <v>60</v>
      </c>
      <c r="C4283" s="275" t="s">
        <v>211</v>
      </c>
      <c r="D4283" s="275" t="s">
        <v>216</v>
      </c>
      <c r="E4283" s="275" t="s">
        <v>217</v>
      </c>
      <c r="F4283" s="275" t="s">
        <v>218</v>
      </c>
      <c r="G4283" s="275" t="s">
        <v>96</v>
      </c>
      <c r="H4283" s="275" t="s">
        <v>91</v>
      </c>
      <c r="I4283" s="275" t="s">
        <v>219</v>
      </c>
    </row>
    <row r="4284" spans="1:13" ht="22.5" x14ac:dyDescent="0.2">
      <c r="A4284" s="265" t="str">
        <f>VLOOKUP(B4284,tranp.!A:D,2,FALSE)</f>
        <v>Transp. de Pranchoes 30 X 5 cm (p/ ensecadeira)</v>
      </c>
      <c r="B4284" s="238">
        <v>1144</v>
      </c>
      <c r="C4284" s="238" t="str">
        <f>VLOOKUP(B4284,tranp.!$A:$J,3,FALSE)</f>
        <v xml:space="preserve"> t  </v>
      </c>
      <c r="D4284" s="437" t="str">
        <f>VLOOKUP(B4284,tranp.!$A:$J,4,FALSE)</f>
        <v>0,676XP + 0,703XR</v>
      </c>
      <c r="E4284" s="277">
        <f>VLOOKUP(J4284,Ocor.!$B:$F,4,FALSE)</f>
        <v>37.200000000000003</v>
      </c>
      <c r="F4284" s="277">
        <f>VLOOKUP(J4284,Ocor.!$B:$F,5,FALSE)</f>
        <v>5.6</v>
      </c>
      <c r="G4284" s="243">
        <f>TRUNC(VLOOKUP(B4284,tranp.!$A:$J,5,FALSE)*E4284+VLOOKUP(B4284,tranp.!$A:$J,6,FALSE)*F4284+VLOOKUP(B4284,tranp.!$A:$J,7,FALSE),2)</f>
        <v>29.08</v>
      </c>
      <c r="H4284" s="278">
        <v>4.3999999999999997E-2</v>
      </c>
      <c r="I4284" s="243">
        <f>TRUNC(G4284*H4284,2)</f>
        <v>1.27</v>
      </c>
      <c r="J4284" s="433" t="s">
        <v>174</v>
      </c>
    </row>
    <row r="4285" spans="1:13" x14ac:dyDescent="0.2">
      <c r="A4285" s="265" t="str">
        <f>VLOOKUP(B4285,tranp.!A:D,2,FALSE)</f>
        <v>Transporte de Tábuas de 2,5 cm</v>
      </c>
      <c r="B4285" s="238">
        <v>1094</v>
      </c>
      <c r="C4285" s="238" t="str">
        <f>VLOOKUP(B4285,tranp.!$A:$J,3,FALSE)</f>
        <v xml:space="preserve"> t  </v>
      </c>
      <c r="D4285" s="437" t="str">
        <f>VLOOKUP(B4285,tranp.!$A:$J,4,FALSE)</f>
        <v>0,676XP + 0,703XR</v>
      </c>
      <c r="E4285" s="277">
        <f>VLOOKUP(J4285,Ocor.!$B:$F,4,FALSE)</f>
        <v>37.200000000000003</v>
      </c>
      <c r="F4285" s="277">
        <f>VLOOKUP(J4285,Ocor.!$B:$F,5,FALSE)</f>
        <v>5.6</v>
      </c>
      <c r="G4285" s="243">
        <f>TRUNC(VLOOKUP(B4285,tranp.!$A:$J,5,FALSE)*E4285+VLOOKUP(B4285,tranp.!$A:$J,6,FALSE)*F4285+VLOOKUP(B4285,tranp.!$A:$J,7,FALSE),2)</f>
        <v>29.08</v>
      </c>
      <c r="H4285" s="278">
        <v>1.3599999999999999E-2</v>
      </c>
      <c r="I4285" s="243">
        <f>TRUNC(G4285*H4285,2)</f>
        <v>0.39</v>
      </c>
      <c r="J4285" s="433" t="s">
        <v>113</v>
      </c>
    </row>
    <row r="4286" spans="1:13" x14ac:dyDescent="0.2">
      <c r="A4286" s="201"/>
      <c r="B4286" s="271"/>
      <c r="C4286" s="201"/>
      <c r="D4286" s="201"/>
      <c r="E4286" s="201"/>
      <c r="F4286" s="272" t="s">
        <v>220</v>
      </c>
      <c r="G4286" s="244"/>
      <c r="H4286" s="279"/>
      <c r="I4286" s="438">
        <f>SUM(I4284:I4285)</f>
        <v>1.66</v>
      </c>
    </row>
    <row r="4287" spans="1:13" x14ac:dyDescent="0.2">
      <c r="A4287" s="201"/>
      <c r="B4287" s="271"/>
      <c r="C4287" s="201"/>
      <c r="D4287" s="201"/>
      <c r="E4287" s="201"/>
      <c r="F4287" s="201"/>
      <c r="G4287" s="201"/>
      <c r="H4287" s="201"/>
      <c r="I4287" s="202"/>
      <c r="J4287" s="446"/>
    </row>
    <row r="4288" spans="1:13" x14ac:dyDescent="0.2">
      <c r="A4288" s="280"/>
      <c r="B4288" s="281"/>
      <c r="C4288" s="282"/>
      <c r="D4288" s="282"/>
      <c r="E4288" s="282"/>
      <c r="F4288" s="283" t="s">
        <v>221</v>
      </c>
      <c r="G4288" s="280"/>
      <c r="H4288" s="254"/>
      <c r="I4288" s="634">
        <f>+I4271+I4277+I4281+I4286</f>
        <v>332.93</v>
      </c>
    </row>
    <row r="4289" spans="1:17" x14ac:dyDescent="0.2">
      <c r="A4289" s="260"/>
      <c r="B4289" s="284"/>
      <c r="C4289" s="273"/>
      <c r="D4289" s="273"/>
      <c r="E4289" s="273"/>
      <c r="F4289" s="285" t="str">
        <f>CONCATENATE($H$3," ",$I$3)</f>
        <v>BDI: 23,32</v>
      </c>
      <c r="G4289" s="439"/>
      <c r="H4289" s="258"/>
      <c r="I4289" s="635">
        <f>+ROUND(I4288*$I$4,2)</f>
        <v>77.64</v>
      </c>
      <c r="J4289" s="446"/>
    </row>
    <row r="4290" spans="1:17" s="198" customFormat="1" x14ac:dyDescent="0.2">
      <c r="A4290" s="244"/>
      <c r="B4290" s="286"/>
      <c r="C4290" s="279"/>
      <c r="D4290" s="279"/>
      <c r="E4290" s="279"/>
      <c r="F4290" s="287" t="s">
        <v>222</v>
      </c>
      <c r="G4290" s="440"/>
      <c r="H4290" s="245"/>
      <c r="I4290" s="1017">
        <f>+I4288+I4289</f>
        <v>410.57</v>
      </c>
      <c r="J4290" s="433"/>
      <c r="K4290" s="433"/>
      <c r="L4290" s="302"/>
      <c r="M4290" s="302"/>
      <c r="N4290" s="302"/>
      <c r="O4290" s="302"/>
      <c r="P4290" s="302"/>
      <c r="Q4290" s="302"/>
    </row>
    <row r="4291" spans="1:17" s="198" customFormat="1" x14ac:dyDescent="0.2">
      <c r="A4291" s="1277" t="str">
        <f>$A$1</f>
        <v>COMPOSIÇÃO DE CUSTOS UNITÁRIOS</v>
      </c>
      <c r="B4291" s="1277"/>
      <c r="C4291" s="1277"/>
      <c r="D4291" s="1277"/>
      <c r="E4291" s="1277"/>
      <c r="F4291" s="1277"/>
      <c r="G4291" s="1277"/>
      <c r="H4291" s="1277"/>
      <c r="I4291" s="1277"/>
      <c r="J4291" s="433"/>
      <c r="K4291" s="433"/>
      <c r="L4291" s="302"/>
      <c r="M4291" s="302"/>
      <c r="N4291" s="302"/>
      <c r="O4291" s="302"/>
      <c r="P4291" s="302"/>
      <c r="Q4291" s="302"/>
    </row>
    <row r="4292" spans="1:17" x14ac:dyDescent="0.2">
      <c r="A4292" s="232" t="str">
        <f>$A$2</f>
        <v>Tabela Referencial de Preços - DER-ES</v>
      </c>
      <c r="B4292" s="233"/>
      <c r="C4292" s="199"/>
      <c r="D4292" s="199"/>
      <c r="E4292" s="199"/>
      <c r="F4292" s="199"/>
      <c r="G4292" s="199"/>
      <c r="H4292" s="199"/>
      <c r="I4292" s="234" t="str">
        <f>$I$2</f>
        <v>Data Base: Outubro/2018</v>
      </c>
    </row>
    <row r="4293" spans="1:17" x14ac:dyDescent="0.2">
      <c r="A4293" s="1278" t="str">
        <f>+CONCATENATE("Serviço: ",J4293," ",VLOOKUP(J4293,'DER 10-18'!$A:$D,2,FALSE))</f>
        <v>Serviço: 40310 Formas planas de madeira sem reaproveitamento (forma perdida), inclusive fornecimento e transporte das madeiras</v>
      </c>
      <c r="B4293" s="1278"/>
      <c r="C4293" s="1278"/>
      <c r="D4293" s="1278"/>
      <c r="E4293" s="1278"/>
      <c r="F4293" s="1278"/>
      <c r="G4293" s="1278"/>
      <c r="H4293" s="1278"/>
      <c r="I4293" s="1278" t="str">
        <f>CONCATENATE("Unidade: ", VLOOKUP(J4293,'DER 10-18'!$A:$E,3,FALSE))</f>
        <v>Unidade: M2</v>
      </c>
      <c r="J4293" s="433">
        <v>40310</v>
      </c>
      <c r="K4293" s="433">
        <f>VLOOKUP("Preço Unitário Total",F4294:I4397,4,FALSE)</f>
        <v>162.79</v>
      </c>
      <c r="L4293" s="302" t="str">
        <f>VLOOKUP(J4293,'DER 10-18'!A:E,5,FALSE)</f>
        <v>A incluir</v>
      </c>
      <c r="M4293" s="302" t="str">
        <f>VLOOKUP(J4293,'DER 10-18'!$A:$D,2,FALSE)</f>
        <v>Formas planas de madeira sem reaproveitamento (forma perdida), inclusive fornecimento e transporte das madeiras</v>
      </c>
    </row>
    <row r="4294" spans="1:17" x14ac:dyDescent="0.2">
      <c r="A4294" s="1279"/>
      <c r="B4294" s="1279"/>
      <c r="C4294" s="1279"/>
      <c r="D4294" s="1279"/>
      <c r="E4294" s="1279"/>
      <c r="F4294" s="1279"/>
      <c r="G4294" s="1279"/>
      <c r="H4294" s="1279"/>
      <c r="I4294" s="1279"/>
    </row>
    <row r="4295" spans="1:17" ht="22.5" x14ac:dyDescent="0.2">
      <c r="A4295" s="235" t="s">
        <v>192</v>
      </c>
      <c r="B4295" s="236" t="s">
        <v>60</v>
      </c>
      <c r="C4295" s="236" t="s">
        <v>193</v>
      </c>
      <c r="D4295" s="236" t="s">
        <v>194</v>
      </c>
      <c r="E4295" s="236" t="s">
        <v>195</v>
      </c>
      <c r="F4295" s="236" t="s">
        <v>196</v>
      </c>
      <c r="G4295" s="236" t="s">
        <v>197</v>
      </c>
      <c r="H4295" s="236" t="s">
        <v>91</v>
      </c>
      <c r="I4295" s="236" t="s">
        <v>198</v>
      </c>
    </row>
    <row r="4296" spans="1:17" x14ac:dyDescent="0.2">
      <c r="A4296" s="237" t="str">
        <f>VLOOKUP(B4296,equip.!$A:$G,2,FALSE)</f>
        <v>Serra circular (WEG) ou equivalente</v>
      </c>
      <c r="B4296" s="238">
        <v>30073</v>
      </c>
      <c r="C4296" s="239" t="str">
        <f>VLOOKUP(B4296,equip.!$A$1:$G$240,3,FALSE)</f>
        <v>M</v>
      </c>
      <c r="D4296" s="240">
        <v>0.5</v>
      </c>
      <c r="E4296" s="205">
        <v>0.5</v>
      </c>
      <c r="F4296" s="241">
        <f>VLOOKUP(B4296,equip.!$A:$G,6,FALSE)</f>
        <v>18.22</v>
      </c>
      <c r="G4296" s="241">
        <f>VLOOKUP(B4296,equip.!$A:$G,7,FALSE)</f>
        <v>14.81</v>
      </c>
      <c r="H4296" s="242">
        <v>1</v>
      </c>
      <c r="I4296" s="243">
        <f>TRUNC(D4296*F4296*H4296+E4296*G4296*H4296,2)</f>
        <v>16.510000000000002</v>
      </c>
    </row>
    <row r="4297" spans="1:17" x14ac:dyDescent="0.2">
      <c r="A4297" s="199"/>
      <c r="B4297" s="233"/>
      <c r="C4297" s="233"/>
      <c r="D4297" s="199"/>
      <c r="E4297" s="199"/>
      <c r="F4297" s="234" t="s">
        <v>199</v>
      </c>
      <c r="G4297" s="244"/>
      <c r="H4297" s="245"/>
      <c r="I4297" s="434">
        <f>SUM(I4296:I4296)</f>
        <v>16.510000000000002</v>
      </c>
    </row>
    <row r="4298" spans="1:17" x14ac:dyDescent="0.2">
      <c r="A4298" s="199"/>
      <c r="B4298" s="233"/>
      <c r="C4298" s="233"/>
      <c r="D4298" s="199"/>
      <c r="E4298" s="199"/>
      <c r="F4298" s="199"/>
      <c r="G4298" s="199"/>
      <c r="H4298" s="199"/>
      <c r="I4298" s="200"/>
    </row>
    <row r="4299" spans="1:17" x14ac:dyDescent="0.2">
      <c r="A4299" s="246" t="s">
        <v>200</v>
      </c>
      <c r="B4299" s="247" t="s">
        <v>60</v>
      </c>
      <c r="C4299" s="236" t="s">
        <v>1242</v>
      </c>
      <c r="D4299" s="247" t="s">
        <v>202</v>
      </c>
      <c r="E4299" s="1271" t="s">
        <v>91</v>
      </c>
      <c r="F4299" s="1272"/>
      <c r="G4299" s="1273"/>
      <c r="H4299" s="1276" t="s">
        <v>198</v>
      </c>
      <c r="I4299" s="1275"/>
    </row>
    <row r="4300" spans="1:17" x14ac:dyDescent="0.2">
      <c r="A4300" s="248" t="str">
        <f>VLOOKUP(B4300,m.o.!$A:$H,2,FALSE)</f>
        <v>Carpinteiro de O.A.C.</v>
      </c>
      <c r="B4300" s="238">
        <v>20038</v>
      </c>
      <c r="C4300" s="243">
        <f>VLOOKUP(B4300,m.o.!$A:$F,4,FALSE)</f>
        <v>1.24</v>
      </c>
      <c r="D4300" s="243">
        <f>VLOOKUP(B4300,m.o.!$A:$G,7,FALSE)</f>
        <v>14.43</v>
      </c>
      <c r="E4300" s="260"/>
      <c r="F4300" s="258"/>
      <c r="G4300" s="300">
        <v>1</v>
      </c>
      <c r="H4300" s="244"/>
      <c r="I4300" s="249">
        <f t="shared" ref="I4300:I4301" si="46">TRUNC(D4300*G4300,2)</f>
        <v>14.43</v>
      </c>
    </row>
    <row r="4301" spans="1:17" ht="22.5" customHeight="1" x14ac:dyDescent="0.2">
      <c r="A4301" s="248" t="str">
        <f>VLOOKUP(B4301,m.o.!$A:$H,2,FALSE)</f>
        <v>Operário braçal</v>
      </c>
      <c r="B4301" s="238">
        <v>20107</v>
      </c>
      <c r="C4301" s="243">
        <f>VLOOKUP(B4301,m.o.!$A:$F,4,FALSE)</f>
        <v>1.02</v>
      </c>
      <c r="D4301" s="243">
        <f>VLOOKUP(B4301,m.o.!$A:$G,7,FALSE)</f>
        <v>11.87</v>
      </c>
      <c r="E4301" s="260"/>
      <c r="F4301" s="258"/>
      <c r="G4301" s="300">
        <v>2.2999999999999998</v>
      </c>
      <c r="H4301" s="244"/>
      <c r="I4301" s="249">
        <f t="shared" si="46"/>
        <v>27.3</v>
      </c>
    </row>
    <row r="4302" spans="1:17" x14ac:dyDescent="0.2">
      <c r="A4302" s="199"/>
      <c r="B4302" s="233"/>
      <c r="C4302" s="233"/>
      <c r="D4302" s="199"/>
      <c r="E4302" s="199"/>
      <c r="F4302" s="234" t="s">
        <v>203</v>
      </c>
      <c r="G4302" s="244"/>
      <c r="H4302" s="245"/>
      <c r="I4302" s="434">
        <f>SUM(I4300:I4301)</f>
        <v>41.73</v>
      </c>
    </row>
    <row r="4303" spans="1:17" x14ac:dyDescent="0.2">
      <c r="A4303" s="199"/>
      <c r="B4303" s="233"/>
      <c r="C4303" s="233"/>
      <c r="D4303" s="199"/>
      <c r="E4303" s="199"/>
      <c r="F4303" s="199"/>
      <c r="G4303" s="199"/>
      <c r="H4303" s="199"/>
      <c r="I4303" s="200"/>
    </row>
    <row r="4304" spans="1:17" x14ac:dyDescent="0.2">
      <c r="A4304" s="250" t="s">
        <v>204</v>
      </c>
      <c r="B4304" s="247" t="s">
        <v>60</v>
      </c>
      <c r="C4304" s="866" t="s">
        <v>17</v>
      </c>
      <c r="D4304" s="247" t="s">
        <v>205</v>
      </c>
      <c r="E4304" s="247" t="s">
        <v>206</v>
      </c>
      <c r="F4304" s="247" t="s">
        <v>207</v>
      </c>
      <c r="G4304" s="1276" t="s">
        <v>96</v>
      </c>
      <c r="H4304" s="1274"/>
      <c r="I4304" s="1275"/>
    </row>
    <row r="4305" spans="1:17" x14ac:dyDescent="0.2">
      <c r="A4305" s="248" t="s">
        <v>142</v>
      </c>
      <c r="B4305" s="238">
        <v>2000</v>
      </c>
      <c r="C4305" s="243">
        <v>5</v>
      </c>
      <c r="D4305" s="239" t="s">
        <v>223</v>
      </c>
      <c r="E4305" s="251"/>
      <c r="F4305" s="251"/>
      <c r="G4305" s="244"/>
      <c r="H4305" s="245"/>
      <c r="I4305" s="249">
        <f>TRUNC(C4305/100*I4302,2)</f>
        <v>2.08</v>
      </c>
    </row>
    <row r="4306" spans="1:17" x14ac:dyDescent="0.2">
      <c r="A4306" s="199"/>
      <c r="B4306" s="233"/>
      <c r="C4306" s="199"/>
      <c r="D4306" s="199"/>
      <c r="E4306" s="199"/>
      <c r="F4306" s="234" t="s">
        <v>1170</v>
      </c>
      <c r="G4306" s="244"/>
      <c r="H4306" s="245"/>
      <c r="I4306" s="434">
        <f>SUM(I4305)</f>
        <v>2.08</v>
      </c>
    </row>
    <row r="4307" spans="1:17" x14ac:dyDescent="0.2">
      <c r="A4307" s="199"/>
      <c r="B4307" s="233"/>
      <c r="C4307" s="199"/>
      <c r="D4307" s="199"/>
      <c r="E4307" s="199"/>
      <c r="F4307" s="199"/>
      <c r="G4307" s="199"/>
      <c r="H4307" s="199"/>
      <c r="I4307" s="200"/>
    </row>
    <row r="4308" spans="1:17" ht="23.25" customHeight="1" x14ac:dyDescent="0.2">
      <c r="A4308" s="252"/>
      <c r="B4308" s="253"/>
      <c r="C4308" s="254"/>
      <c r="D4308" s="254"/>
      <c r="E4308" s="254"/>
      <c r="F4308" s="255" t="s">
        <v>208</v>
      </c>
      <c r="G4308" s="435"/>
      <c r="H4308" s="254"/>
      <c r="I4308" s="634">
        <f>+I4297+I4302+I4306</f>
        <v>60.32</v>
      </c>
    </row>
    <row r="4309" spans="1:17" x14ac:dyDescent="0.2">
      <c r="A4309" s="256"/>
      <c r="B4309" s="257"/>
      <c r="C4309" s="258"/>
      <c r="D4309" s="258"/>
      <c r="E4309" s="258"/>
      <c r="F4309" s="259" t="s">
        <v>209</v>
      </c>
      <c r="G4309" s="260"/>
      <c r="H4309" s="258"/>
      <c r="I4309" s="635">
        <v>1</v>
      </c>
    </row>
    <row r="4310" spans="1:17" x14ac:dyDescent="0.2">
      <c r="A4310" s="237"/>
      <c r="B4310" s="261"/>
      <c r="C4310" s="245"/>
      <c r="D4310" s="245"/>
      <c r="E4310" s="245"/>
      <c r="F4310" s="262" t="s">
        <v>232</v>
      </c>
      <c r="G4310" s="244"/>
      <c r="H4310" s="245"/>
      <c r="I4310" s="633">
        <f>TRUNC(I4308/I4309,2)</f>
        <v>60.32</v>
      </c>
    </row>
    <row r="4311" spans="1:17" x14ac:dyDescent="0.2">
      <c r="A4311" s="867"/>
      <c r="B4311" s="233"/>
      <c r="C4311" s="199"/>
      <c r="D4311" s="199"/>
      <c r="E4311" s="199"/>
      <c r="F4311" s="263"/>
      <c r="G4311" s="199"/>
      <c r="H4311" s="199"/>
      <c r="I4311" s="264"/>
    </row>
    <row r="4312" spans="1:17" x14ac:dyDescent="0.2">
      <c r="A4312" s="246" t="s">
        <v>210</v>
      </c>
      <c r="B4312" s="247" t="s">
        <v>60</v>
      </c>
      <c r="C4312" s="247" t="s">
        <v>211</v>
      </c>
      <c r="D4312" s="247" t="s">
        <v>233</v>
      </c>
      <c r="E4312" s="1276" t="s">
        <v>91</v>
      </c>
      <c r="F4312" s="1274"/>
      <c r="G4312" s="1275"/>
      <c r="H4312" s="1276" t="s">
        <v>198</v>
      </c>
      <c r="I4312" s="1275"/>
    </row>
    <row r="4313" spans="1:17" x14ac:dyDescent="0.2">
      <c r="A4313" s="265" t="str">
        <f>VLOOKUP(B4313,mat.!$A:$D,2,FALSE)</f>
        <v>Caibros 7 X 7 cm (pontalete)</v>
      </c>
      <c r="B4313" s="238">
        <v>10066</v>
      </c>
      <c r="C4313" s="266" t="str">
        <f>VLOOKUP(B4313,mat.!$A:$D,3,FALSE)</f>
        <v>M3</v>
      </c>
      <c r="D4313" s="267">
        <f>VLOOKUP(B4313,mat.!$A:$D,4,FALSE)</f>
        <v>1616</v>
      </c>
      <c r="E4313" s="260"/>
      <c r="F4313" s="258"/>
      <c r="G4313" s="300">
        <v>7.0000000000000001E-3</v>
      </c>
      <c r="H4313" s="260"/>
      <c r="I4313" s="268">
        <f t="shared" ref="I4313:I4315" si="47">TRUNC(D4313*G4313,2)</f>
        <v>11.31</v>
      </c>
    </row>
    <row r="4314" spans="1:17" x14ac:dyDescent="0.2">
      <c r="A4314" s="265" t="str">
        <f>VLOOKUP(B4314,mat.!$A:$D,2,FALSE)</f>
        <v>Prego 18 X 24</v>
      </c>
      <c r="B4314" s="238">
        <v>10135</v>
      </c>
      <c r="C4314" s="266" t="str">
        <f>VLOOKUP(B4314,mat.!$A:$D,3,FALSE)</f>
        <v>kg</v>
      </c>
      <c r="D4314" s="267">
        <f>VLOOKUP(B4314,mat.!$A:$D,4,FALSE)</f>
        <v>10.54</v>
      </c>
      <c r="E4314" s="260"/>
      <c r="F4314" s="258"/>
      <c r="G4314" s="300">
        <v>0.2</v>
      </c>
      <c r="H4314" s="260"/>
      <c r="I4314" s="268">
        <f t="shared" si="47"/>
        <v>2.1</v>
      </c>
    </row>
    <row r="4315" spans="1:17" x14ac:dyDescent="0.2">
      <c r="A4315" s="265" t="str">
        <f>VLOOKUP(B4315,mat.!$A:$D,2,FALSE)</f>
        <v>Sarrafo 10 X 2,5 cm</v>
      </c>
      <c r="B4315" s="238">
        <v>10067</v>
      </c>
      <c r="C4315" s="266" t="str">
        <f>VLOOKUP(B4315,mat.!$A:$D,3,FALSE)</f>
        <v>M3</v>
      </c>
      <c r="D4315" s="267">
        <f>VLOOKUP(B4315,mat.!$A:$D,4,FALSE)</f>
        <v>1012</v>
      </c>
      <c r="E4315" s="260"/>
      <c r="F4315" s="258"/>
      <c r="G4315" s="300">
        <v>5.4999999999999997E-3</v>
      </c>
      <c r="H4315" s="260"/>
      <c r="I4315" s="268">
        <f t="shared" si="47"/>
        <v>5.56</v>
      </c>
    </row>
    <row r="4316" spans="1:17" x14ac:dyDescent="0.2">
      <c r="A4316" s="265" t="str">
        <f>VLOOKUP(B4316,mat.!$A:$D,2,FALSE)</f>
        <v>Tábuas de 2,5 cm (Não Aparelhada)</v>
      </c>
      <c r="B4316" s="238">
        <v>10065</v>
      </c>
      <c r="C4316" s="266" t="str">
        <f>VLOOKUP(B4316,mat.!$A:$D,3,FALSE)</f>
        <v>M3</v>
      </c>
      <c r="D4316" s="267">
        <f>VLOOKUP(B4316,mat.!$A:$D,4,FALSE)</f>
        <v>1884</v>
      </c>
      <c r="E4316" s="260"/>
      <c r="F4316" s="258"/>
      <c r="G4316" s="300">
        <v>2.75E-2</v>
      </c>
      <c r="H4316" s="260"/>
      <c r="I4316" s="268">
        <f>TRUNC(D4316*G4316,2)</f>
        <v>51.81</v>
      </c>
    </row>
    <row r="4317" spans="1:17" x14ac:dyDescent="0.2">
      <c r="A4317" s="199"/>
      <c r="B4317" s="233"/>
      <c r="C4317" s="199"/>
      <c r="D4317" s="199"/>
      <c r="E4317" s="199"/>
      <c r="F4317" s="234" t="s">
        <v>212</v>
      </c>
      <c r="G4317" s="244"/>
      <c r="H4317" s="245"/>
      <c r="I4317" s="434">
        <f>SUM(I4313:I4316)</f>
        <v>70.78</v>
      </c>
    </row>
    <row r="4318" spans="1:17" x14ac:dyDescent="0.2">
      <c r="A4318" s="199"/>
      <c r="B4318" s="233"/>
      <c r="C4318" s="199"/>
      <c r="D4318" s="199"/>
      <c r="E4318" s="199"/>
      <c r="F4318" s="199"/>
      <c r="G4318" s="269"/>
      <c r="H4318" s="199"/>
      <c r="I4318" s="200"/>
    </row>
    <row r="4319" spans="1:17" ht="35.25" customHeight="1" x14ac:dyDescent="0.2">
      <c r="A4319" s="467" t="s">
        <v>213</v>
      </c>
      <c r="B4319" s="468" t="s">
        <v>60</v>
      </c>
      <c r="C4319" s="468" t="s">
        <v>211</v>
      </c>
      <c r="D4319" s="869" t="s">
        <v>233</v>
      </c>
      <c r="E4319" s="1281" t="s">
        <v>91</v>
      </c>
      <c r="F4319" s="1282"/>
      <c r="G4319" s="1283"/>
      <c r="H4319" s="1284" t="s">
        <v>198</v>
      </c>
      <c r="I4319" s="1285"/>
      <c r="J4319" s="451"/>
      <c r="K4319" s="451"/>
      <c r="L4319" s="198"/>
      <c r="M4319" s="198"/>
      <c r="N4319" s="198"/>
      <c r="O4319" s="198"/>
      <c r="P4319" s="198"/>
      <c r="Q4319" s="198"/>
    </row>
    <row r="4320" spans="1:17" x14ac:dyDescent="0.2">
      <c r="A4320" s="201"/>
      <c r="B4320" s="271"/>
      <c r="C4320" s="201"/>
      <c r="D4320" s="201"/>
      <c r="E4320" s="201"/>
      <c r="F4320" s="272" t="s">
        <v>214</v>
      </c>
      <c r="G4320" s="260"/>
      <c r="H4320" s="273"/>
      <c r="I4320" s="436"/>
    </row>
    <row r="4321" spans="1:17" x14ac:dyDescent="0.2">
      <c r="A4321" s="201"/>
      <c r="B4321" s="271"/>
      <c r="C4321" s="201"/>
      <c r="D4321" s="201"/>
      <c r="E4321" s="201"/>
      <c r="F4321" s="201"/>
      <c r="G4321" s="201"/>
      <c r="H4321" s="201"/>
      <c r="I4321" s="201"/>
    </row>
    <row r="4322" spans="1:17" x14ac:dyDescent="0.2">
      <c r="A4322" s="274" t="s">
        <v>215</v>
      </c>
      <c r="B4322" s="275" t="s">
        <v>60</v>
      </c>
      <c r="C4322" s="275" t="s">
        <v>211</v>
      </c>
      <c r="D4322" s="275" t="s">
        <v>216</v>
      </c>
      <c r="E4322" s="275" t="s">
        <v>217</v>
      </c>
      <c r="F4322" s="275" t="s">
        <v>218</v>
      </c>
      <c r="G4322" s="275" t="s">
        <v>96</v>
      </c>
      <c r="H4322" s="275" t="s">
        <v>91</v>
      </c>
      <c r="I4322" s="275" t="s">
        <v>219</v>
      </c>
    </row>
    <row r="4323" spans="1:17" ht="22.5" x14ac:dyDescent="0.2">
      <c r="A4323" s="248" t="str">
        <f>VLOOKUP(B4323,tranp.!$A:$J,2,FALSE)</f>
        <v>Transporte de Caibros 8 X 8 cm (pontalete)</v>
      </c>
      <c r="B4323" s="238">
        <v>1095</v>
      </c>
      <c r="C4323" s="238" t="str">
        <f>VLOOKUP(B4323,tranp.!$A:$J,3,FALSE)</f>
        <v xml:space="preserve"> t  </v>
      </c>
      <c r="D4323" s="437" t="str">
        <f>VLOOKUP(B4323,tranp.!$A:$J,4,FALSE)</f>
        <v>0,676XP + 0,703XR</v>
      </c>
      <c r="E4323" s="277">
        <f>VLOOKUP(J4323,Ocor.!$B:$F,4,FALSE)</f>
        <v>37.200000000000003</v>
      </c>
      <c r="F4323" s="277">
        <f>VLOOKUP(J4323,Ocor.!$B:$F,5,FALSE)</f>
        <v>5.6</v>
      </c>
      <c r="G4323" s="243">
        <f>TRUNC(VLOOKUP(B4323,tranp.!$A:$J,5,FALSE)*E4323+VLOOKUP(B4323,tranp.!$A:$J,6,FALSE)*F4323+VLOOKUP(B4323,tranp.!$A:$J,7,FALSE),2)</f>
        <v>29.08</v>
      </c>
      <c r="H4323" s="278">
        <v>5.5999999999999999E-3</v>
      </c>
      <c r="I4323" s="243">
        <f t="shared" ref="I4323:I4324" si="48">TRUNC(G4323*H4323,2)</f>
        <v>0.16</v>
      </c>
      <c r="J4323" s="433" t="s">
        <v>121</v>
      </c>
    </row>
    <row r="4324" spans="1:17" x14ac:dyDescent="0.2">
      <c r="A4324" s="248" t="str">
        <f>VLOOKUP(B4324,tranp.!$A:$J,2,FALSE)</f>
        <v>Transporte de Sarrafo 10 X 2,5 cm</v>
      </c>
      <c r="B4324" s="238">
        <v>1096</v>
      </c>
      <c r="C4324" s="238" t="str">
        <f>VLOOKUP(B4324,tranp.!$A:$J,3,FALSE)</f>
        <v xml:space="preserve"> t  </v>
      </c>
      <c r="D4324" s="437" t="str">
        <f>VLOOKUP(B4324,tranp.!$A:$J,4,FALSE)</f>
        <v>0,676XP + 0,703XR</v>
      </c>
      <c r="E4324" s="277">
        <f>VLOOKUP(J4324,Ocor.!$B:$F,4,FALSE)</f>
        <v>37.200000000000003</v>
      </c>
      <c r="F4324" s="277">
        <f>VLOOKUP(J4324,Ocor.!$B:$F,5,FALSE)</f>
        <v>5.6</v>
      </c>
      <c r="G4324" s="243">
        <f>TRUNC(VLOOKUP(B4324,tranp.!$A:$J,5,FALSE)*E4324+VLOOKUP(B4324,tranp.!$A:$J,6,FALSE)*F4324+VLOOKUP(B4324,tranp.!$A:$J,7,FALSE),2)</f>
        <v>29.08</v>
      </c>
      <c r="H4324" s="278">
        <v>4.4000000000000003E-3</v>
      </c>
      <c r="I4324" s="243">
        <f t="shared" si="48"/>
        <v>0.12</v>
      </c>
      <c r="J4324" s="433" t="s">
        <v>121</v>
      </c>
    </row>
    <row r="4325" spans="1:17" s="198" customFormat="1" x14ac:dyDescent="0.2">
      <c r="A4325" s="248" t="str">
        <f>VLOOKUP(B4325,tranp.!$A:$J,2,FALSE)</f>
        <v>Transporte de Tábuas de 2,5 cm</v>
      </c>
      <c r="B4325" s="238">
        <v>1094</v>
      </c>
      <c r="C4325" s="238" t="str">
        <f>VLOOKUP(B4325,tranp.!$A:$J,3,FALSE)</f>
        <v xml:space="preserve"> t  </v>
      </c>
      <c r="D4325" s="437" t="str">
        <f>VLOOKUP(B4325,tranp.!$A:$J,4,FALSE)</f>
        <v>0,676XP + 0,703XR</v>
      </c>
      <c r="E4325" s="277">
        <f>VLOOKUP(J4325,Ocor.!$B:$F,4,FALSE)</f>
        <v>37.200000000000003</v>
      </c>
      <c r="F4325" s="277">
        <f>VLOOKUP(J4325,Ocor.!$B:$F,5,FALSE)</f>
        <v>5.6</v>
      </c>
      <c r="G4325" s="243">
        <f>TRUNC(VLOOKUP(B4325,tranp.!$A:$J,5,FALSE)*E4325+VLOOKUP(B4325,tranp.!$A:$J,6,FALSE)*F4325+VLOOKUP(B4325,tranp.!$A:$J,7,FALSE),2)</f>
        <v>29.08</v>
      </c>
      <c r="H4325" s="278">
        <v>2.1999999999999999E-2</v>
      </c>
      <c r="I4325" s="243">
        <f>TRUNC(G4325*H4325,2)</f>
        <v>0.63</v>
      </c>
      <c r="J4325" s="433" t="s">
        <v>121</v>
      </c>
      <c r="K4325" s="433"/>
      <c r="L4325" s="302"/>
      <c r="M4325" s="302"/>
      <c r="N4325" s="302"/>
      <c r="O4325" s="302"/>
      <c r="P4325" s="302"/>
      <c r="Q4325" s="302"/>
    </row>
    <row r="4326" spans="1:17" s="198" customFormat="1" x14ac:dyDescent="0.2">
      <c r="A4326" s="201"/>
      <c r="B4326" s="271"/>
      <c r="C4326" s="201"/>
      <c r="D4326" s="201"/>
      <c r="E4326" s="201"/>
      <c r="F4326" s="272" t="s">
        <v>220</v>
      </c>
      <c r="G4326" s="244"/>
      <c r="H4326" s="279"/>
      <c r="I4326" s="438">
        <f>SUM(I4323:I4325)</f>
        <v>0.91</v>
      </c>
      <c r="J4326" s="433"/>
      <c r="K4326" s="433"/>
      <c r="L4326" s="302"/>
      <c r="M4326" s="302"/>
      <c r="N4326" s="302"/>
      <c r="O4326" s="302"/>
      <c r="P4326" s="302"/>
      <c r="Q4326" s="302"/>
    </row>
    <row r="4327" spans="1:17" x14ac:dyDescent="0.2">
      <c r="A4327" s="201"/>
      <c r="B4327" s="271"/>
      <c r="C4327" s="201"/>
      <c r="D4327" s="201"/>
      <c r="E4327" s="201"/>
      <c r="F4327" s="201"/>
      <c r="G4327" s="201"/>
      <c r="H4327" s="201"/>
      <c r="I4327" s="202"/>
    </row>
    <row r="4328" spans="1:17" x14ac:dyDescent="0.2">
      <c r="A4328" s="280"/>
      <c r="B4328" s="281"/>
      <c r="C4328" s="282"/>
      <c r="D4328" s="282"/>
      <c r="E4328" s="282"/>
      <c r="F4328" s="283" t="s">
        <v>221</v>
      </c>
      <c r="G4328" s="280"/>
      <c r="H4328" s="254"/>
      <c r="I4328" s="634">
        <f>+I4310+I4317+I4320+I4326</f>
        <v>132.01</v>
      </c>
    </row>
    <row r="4329" spans="1:17" x14ac:dyDescent="0.2">
      <c r="A4329" s="260"/>
      <c r="B4329" s="284"/>
      <c r="C4329" s="273"/>
      <c r="D4329" s="273"/>
      <c r="E4329" s="273"/>
      <c r="F4329" s="285" t="str">
        <f>CONCATENATE($H$3," ",$I$3)</f>
        <v>BDI: 23,32</v>
      </c>
      <c r="G4329" s="439"/>
      <c r="H4329" s="258"/>
      <c r="I4329" s="635">
        <f>+ROUND(I4328*$I$4,2)</f>
        <v>30.78</v>
      </c>
    </row>
    <row r="4330" spans="1:17" x14ac:dyDescent="0.2">
      <c r="A4330" s="244"/>
      <c r="B4330" s="286"/>
      <c r="C4330" s="279"/>
      <c r="D4330" s="279"/>
      <c r="E4330" s="279"/>
      <c r="F4330" s="287" t="s">
        <v>222</v>
      </c>
      <c r="G4330" s="440"/>
      <c r="H4330" s="245"/>
      <c r="I4330" s="1017">
        <f>+I4328+I4329</f>
        <v>162.79</v>
      </c>
    </row>
    <row r="4331" spans="1:17" x14ac:dyDescent="0.2">
      <c r="A4331" s="1277" t="str">
        <f>$A$1</f>
        <v>COMPOSIÇÃO DE CUSTOS UNITÁRIOS</v>
      </c>
      <c r="B4331" s="1277"/>
      <c r="C4331" s="1277"/>
      <c r="D4331" s="1277"/>
      <c r="E4331" s="1277"/>
      <c r="F4331" s="1277"/>
      <c r="G4331" s="1277"/>
      <c r="H4331" s="1277"/>
      <c r="I4331" s="1277"/>
    </row>
    <row r="4332" spans="1:17" x14ac:dyDescent="0.2">
      <c r="A4332" s="232" t="str">
        <f>$A$2</f>
        <v>Tabela Referencial de Preços - DER-ES</v>
      </c>
      <c r="B4332" s="233"/>
      <c r="C4332" s="199"/>
      <c r="D4332" s="199"/>
      <c r="E4332" s="199"/>
      <c r="F4332" s="199"/>
      <c r="G4332" s="199"/>
      <c r="H4332" s="199"/>
      <c r="I4332" s="234" t="str">
        <f>$I$2</f>
        <v>Data Base: Outubro/2018</v>
      </c>
      <c r="J4332" s="433">
        <v>40658</v>
      </c>
      <c r="K4332" s="433">
        <f>VLOOKUP("Preço Unitário Total",F4334:I5065,4,FALSE)</f>
        <v>5.8</v>
      </c>
      <c r="L4332" s="302">
        <f>VLOOKUP(J4332,'[4]DER 06-15'!A:E,5,FALSE)</f>
        <v>0</v>
      </c>
      <c r="M4332" s="302" t="str">
        <f>VLOOKUP(J4332,'[4]DER 06-15'!$A:$D,2,FALSE)</f>
        <v>Caiação de meio fios, sarjetas, etc</v>
      </c>
    </row>
    <row r="4333" spans="1:17" x14ac:dyDescent="0.2">
      <c r="A4333" s="1278" t="str">
        <f>+CONCATENATE("Serviço: ",J4332," ",VLOOKUP(J4332,'DER 10-18'!$A:$D,2,FALSE))</f>
        <v>Serviço: 40658 Caiação de meio fios, sarjetas, etc</v>
      </c>
      <c r="B4333" s="1278"/>
      <c r="C4333" s="1278"/>
      <c r="D4333" s="1278"/>
      <c r="E4333" s="1278"/>
      <c r="F4333" s="1278"/>
      <c r="G4333" s="1278"/>
      <c r="H4333" s="1278"/>
      <c r="I4333" s="1278" t="str">
        <f>CONCATENATE("Unidade: ", VLOOKUP(J4332,'[5]DER 06-15'!$A:$E,3,FALSE))</f>
        <v>Unidade: m²</v>
      </c>
    </row>
    <row r="4334" spans="1:17" x14ac:dyDescent="0.2">
      <c r="A4334" s="1279"/>
      <c r="B4334" s="1279"/>
      <c r="C4334" s="1279"/>
      <c r="D4334" s="1279"/>
      <c r="E4334" s="1279"/>
      <c r="F4334" s="1279"/>
      <c r="G4334" s="1279"/>
      <c r="H4334" s="1279"/>
      <c r="I4334" s="1279"/>
    </row>
    <row r="4335" spans="1:17" ht="22.5" x14ac:dyDescent="0.2">
      <c r="A4335" s="235" t="s">
        <v>192</v>
      </c>
      <c r="B4335" s="236" t="s">
        <v>60</v>
      </c>
      <c r="C4335" s="236" t="s">
        <v>193</v>
      </c>
      <c r="D4335" s="236" t="s">
        <v>194</v>
      </c>
      <c r="E4335" s="236" t="s">
        <v>195</v>
      </c>
      <c r="F4335" s="236" t="s">
        <v>196</v>
      </c>
      <c r="G4335" s="236" t="s">
        <v>197</v>
      </c>
      <c r="H4335" s="236" t="s">
        <v>91</v>
      </c>
      <c r="I4335" s="236" t="s">
        <v>198</v>
      </c>
    </row>
    <row r="4336" spans="1:17" x14ac:dyDescent="0.2">
      <c r="A4336" s="199"/>
      <c r="B4336" s="233"/>
      <c r="C4336" s="233"/>
      <c r="D4336" s="199"/>
      <c r="E4336" s="199"/>
      <c r="F4336" s="234" t="s">
        <v>199</v>
      </c>
      <c r="G4336" s="244"/>
      <c r="H4336" s="245"/>
      <c r="I4336" s="434"/>
    </row>
    <row r="4337" spans="1:11" x14ac:dyDescent="0.2">
      <c r="A4337" s="199"/>
      <c r="B4337" s="233"/>
      <c r="C4337" s="233"/>
      <c r="D4337" s="199"/>
      <c r="E4337" s="199"/>
      <c r="F4337" s="199"/>
      <c r="G4337" s="199"/>
      <c r="H4337" s="199"/>
      <c r="I4337" s="200"/>
      <c r="J4337" s="302"/>
      <c r="K4337" s="302"/>
    </row>
    <row r="4338" spans="1:11" x14ac:dyDescent="0.2">
      <c r="A4338" s="246" t="s">
        <v>200</v>
      </c>
      <c r="B4338" s="247" t="s">
        <v>60</v>
      </c>
      <c r="C4338" s="236" t="s">
        <v>1242</v>
      </c>
      <c r="D4338" s="247" t="s">
        <v>202</v>
      </c>
      <c r="E4338" s="1271" t="s">
        <v>91</v>
      </c>
      <c r="F4338" s="1272"/>
      <c r="G4338" s="1273"/>
      <c r="H4338" s="1276" t="s">
        <v>198</v>
      </c>
      <c r="I4338" s="1275"/>
      <c r="J4338" s="302"/>
      <c r="K4338" s="302"/>
    </row>
    <row r="4339" spans="1:11" x14ac:dyDescent="0.2">
      <c r="A4339" s="248" t="str">
        <f>VLOOKUP(B4339,m.o.!$A:$H,2,FALSE)</f>
        <v>Encarregado de O.A.C.</v>
      </c>
      <c r="B4339" s="238">
        <v>20060</v>
      </c>
      <c r="C4339" s="243">
        <f>VLOOKUP(B4339,m.o.!$A:$F,4,FALSE)</f>
        <v>2.2599999999999998</v>
      </c>
      <c r="D4339" s="243">
        <f>VLOOKUP(B4339,m.o.!$A:$G,7,FALSE)</f>
        <v>26.3</v>
      </c>
      <c r="E4339" s="260"/>
      <c r="F4339" s="258"/>
      <c r="G4339" s="300">
        <v>1</v>
      </c>
      <c r="H4339" s="244"/>
      <c r="I4339" s="249">
        <f t="shared" ref="I4339:I4340" si="49">TRUNC(D4339*G4339,2)</f>
        <v>26.3</v>
      </c>
      <c r="J4339" s="302"/>
      <c r="K4339" s="302"/>
    </row>
    <row r="4340" spans="1:11" x14ac:dyDescent="0.2">
      <c r="A4340" s="248" t="str">
        <f>VLOOKUP(B4340,m.o.!$A:$H,2,FALSE)</f>
        <v>Pintor</v>
      </c>
      <c r="B4340" s="238">
        <v>20111</v>
      </c>
      <c r="C4340" s="243">
        <f>VLOOKUP(B4340,m.o.!$A:$F,4,FALSE)</f>
        <v>1.24</v>
      </c>
      <c r="D4340" s="243">
        <f>VLOOKUP(B4340,m.o.!$A:$G,7,FALSE)</f>
        <v>14.43</v>
      </c>
      <c r="E4340" s="260"/>
      <c r="F4340" s="258"/>
      <c r="G4340" s="300">
        <v>4</v>
      </c>
      <c r="H4340" s="244"/>
      <c r="I4340" s="249">
        <f t="shared" si="49"/>
        <v>57.72</v>
      </c>
      <c r="J4340" s="302"/>
      <c r="K4340" s="302"/>
    </row>
    <row r="4341" spans="1:11" x14ac:dyDescent="0.2">
      <c r="A4341" s="199"/>
      <c r="B4341" s="233"/>
      <c r="C4341" s="233"/>
      <c r="D4341" s="199"/>
      <c r="E4341" s="199"/>
      <c r="F4341" s="234" t="s">
        <v>203</v>
      </c>
      <c r="G4341" s="244"/>
      <c r="H4341" s="245"/>
      <c r="I4341" s="434">
        <f>SUM(I4339:I4340)</f>
        <v>84.02</v>
      </c>
      <c r="J4341" s="302"/>
      <c r="K4341" s="302"/>
    </row>
    <row r="4342" spans="1:11" x14ac:dyDescent="0.2">
      <c r="A4342" s="199"/>
      <c r="B4342" s="233"/>
      <c r="C4342" s="233"/>
      <c r="D4342" s="199"/>
      <c r="E4342" s="199"/>
      <c r="F4342" s="199"/>
      <c r="G4342" s="199"/>
      <c r="H4342" s="199"/>
      <c r="I4342" s="200"/>
      <c r="J4342" s="302"/>
      <c r="K4342" s="302"/>
    </row>
    <row r="4343" spans="1:11" x14ac:dyDescent="0.2">
      <c r="A4343" s="250" t="s">
        <v>204</v>
      </c>
      <c r="B4343" s="247" t="s">
        <v>60</v>
      </c>
      <c r="C4343" s="866" t="s">
        <v>17</v>
      </c>
      <c r="D4343" s="247" t="s">
        <v>205</v>
      </c>
      <c r="E4343" s="247" t="s">
        <v>206</v>
      </c>
      <c r="F4343" s="247" t="s">
        <v>207</v>
      </c>
      <c r="G4343" s="1276" t="s">
        <v>96</v>
      </c>
      <c r="H4343" s="1274"/>
      <c r="I4343" s="1275"/>
      <c r="J4343" s="302"/>
      <c r="K4343" s="302"/>
    </row>
    <row r="4344" spans="1:11" x14ac:dyDescent="0.2">
      <c r="A4344" s="248" t="s">
        <v>142</v>
      </c>
      <c r="B4344" s="238">
        <v>2000</v>
      </c>
      <c r="C4344" s="243">
        <v>5</v>
      </c>
      <c r="D4344" s="239" t="s">
        <v>223</v>
      </c>
      <c r="E4344" s="251"/>
      <c r="F4344" s="251"/>
      <c r="G4344" s="244"/>
      <c r="H4344" s="245"/>
      <c r="I4344" s="249">
        <f>TRUNC(C4344/100*I4341,2)</f>
        <v>4.2</v>
      </c>
      <c r="J4344" s="302"/>
      <c r="K4344" s="302"/>
    </row>
    <row r="4345" spans="1:11" x14ac:dyDescent="0.2">
      <c r="A4345" s="199"/>
      <c r="B4345" s="233"/>
      <c r="C4345" s="199"/>
      <c r="D4345" s="199"/>
      <c r="E4345" s="199"/>
      <c r="F4345" s="234" t="s">
        <v>1170</v>
      </c>
      <c r="G4345" s="244"/>
      <c r="H4345" s="245"/>
      <c r="I4345" s="434">
        <f>I4344</f>
        <v>4.2</v>
      </c>
      <c r="J4345" s="302"/>
      <c r="K4345" s="302"/>
    </row>
    <row r="4346" spans="1:11" x14ac:dyDescent="0.2">
      <c r="A4346" s="199"/>
      <c r="B4346" s="233"/>
      <c r="C4346" s="199"/>
      <c r="D4346" s="199"/>
      <c r="E4346" s="199"/>
      <c r="F4346" s="199"/>
      <c r="G4346" s="199"/>
      <c r="H4346" s="199"/>
      <c r="I4346" s="200"/>
      <c r="J4346" s="302"/>
      <c r="K4346" s="302"/>
    </row>
    <row r="4347" spans="1:11" x14ac:dyDescent="0.2">
      <c r="A4347" s="252"/>
      <c r="B4347" s="253"/>
      <c r="C4347" s="254"/>
      <c r="D4347" s="254"/>
      <c r="E4347" s="254"/>
      <c r="F4347" s="255" t="s">
        <v>208</v>
      </c>
      <c r="G4347" s="435"/>
      <c r="H4347" s="254"/>
      <c r="I4347" s="634">
        <f>+I4336+I4341+I4345</f>
        <v>88.22</v>
      </c>
      <c r="J4347" s="302"/>
      <c r="K4347" s="302"/>
    </row>
    <row r="4348" spans="1:11" ht="23.25" customHeight="1" x14ac:dyDescent="0.2">
      <c r="A4348" s="256"/>
      <c r="B4348" s="257"/>
      <c r="C4348" s="258"/>
      <c r="D4348" s="258"/>
      <c r="E4348" s="258"/>
      <c r="F4348" s="259" t="s">
        <v>209</v>
      </c>
      <c r="G4348" s="260"/>
      <c r="H4348" s="258"/>
      <c r="I4348" s="635">
        <v>20</v>
      </c>
      <c r="J4348" s="302"/>
      <c r="K4348" s="302"/>
    </row>
    <row r="4349" spans="1:11" x14ac:dyDescent="0.2">
      <c r="A4349" s="237"/>
      <c r="B4349" s="261"/>
      <c r="C4349" s="245"/>
      <c r="D4349" s="245"/>
      <c r="E4349" s="245"/>
      <c r="F4349" s="262" t="s">
        <v>232</v>
      </c>
      <c r="G4349" s="244"/>
      <c r="H4349" s="245"/>
      <c r="I4349" s="633">
        <f>TRUNC(I4347/I4348,2)</f>
        <v>4.41</v>
      </c>
      <c r="J4349" s="302"/>
      <c r="K4349" s="302"/>
    </row>
    <row r="4350" spans="1:11" x14ac:dyDescent="0.2">
      <c r="A4350" s="867"/>
      <c r="B4350" s="233"/>
      <c r="C4350" s="199"/>
      <c r="D4350" s="199"/>
      <c r="E4350" s="199"/>
      <c r="F4350" s="263"/>
      <c r="G4350" s="199"/>
      <c r="H4350" s="199"/>
      <c r="I4350" s="264"/>
      <c r="J4350" s="302"/>
      <c r="K4350" s="302"/>
    </row>
    <row r="4351" spans="1:11" x14ac:dyDescent="0.2">
      <c r="A4351" s="246" t="s">
        <v>210</v>
      </c>
      <c r="B4351" s="247" t="s">
        <v>60</v>
      </c>
      <c r="C4351" s="247" t="s">
        <v>211</v>
      </c>
      <c r="D4351" s="247" t="s">
        <v>233</v>
      </c>
      <c r="E4351" s="1276" t="s">
        <v>91</v>
      </c>
      <c r="F4351" s="1274"/>
      <c r="G4351" s="1275"/>
      <c r="H4351" s="1276" t="s">
        <v>198</v>
      </c>
      <c r="I4351" s="1275"/>
      <c r="J4351" s="302"/>
      <c r="K4351" s="302"/>
    </row>
    <row r="4352" spans="1:11" x14ac:dyDescent="0.2">
      <c r="A4352" s="265" t="str">
        <f>VLOOKUP(B4352,mat.!$A:$D,2,FALSE)</f>
        <v>Cal (saco de 7 kg)</v>
      </c>
      <c r="B4352" s="238">
        <v>10312</v>
      </c>
      <c r="C4352" s="266" t="str">
        <f>VLOOKUP(B4352,mat.!$A:$D,3,FALSE)</f>
        <v>kg</v>
      </c>
      <c r="D4352" s="267">
        <f>VLOOKUP(B4352,mat.!$A:$D,4,FALSE)</f>
        <v>1.3</v>
      </c>
      <c r="E4352" s="260"/>
      <c r="F4352" s="258"/>
      <c r="G4352" s="300">
        <v>0.1</v>
      </c>
      <c r="H4352" s="260"/>
      <c r="I4352" s="268">
        <f t="shared" ref="I4352:I4353" si="50">TRUNC(D4352*G4352,2)</f>
        <v>0.13</v>
      </c>
      <c r="J4352" s="302"/>
      <c r="K4352" s="302"/>
    </row>
    <row r="4353" spans="1:17" x14ac:dyDescent="0.2">
      <c r="A4353" s="265" t="str">
        <f>VLOOKUP(B4353,mat.!$A:$D,2,FALSE)</f>
        <v>Oleo de linhaça</v>
      </c>
      <c r="B4353" s="238">
        <v>10309</v>
      </c>
      <c r="C4353" s="266" t="str">
        <f>VLOOKUP(B4353,mat.!$A:$D,3,FALSE)</f>
        <v>L</v>
      </c>
      <c r="D4353" s="267">
        <f>VLOOKUP(B4353,mat.!$A:$D,4,FALSE)</f>
        <v>16.55</v>
      </c>
      <c r="E4353" s="260"/>
      <c r="F4353" s="258"/>
      <c r="G4353" s="300">
        <v>0.01</v>
      </c>
      <c r="H4353" s="260"/>
      <c r="I4353" s="268">
        <f t="shared" si="50"/>
        <v>0.16</v>
      </c>
    </row>
    <row r="4354" spans="1:17" x14ac:dyDescent="0.2">
      <c r="A4354" s="199"/>
      <c r="B4354" s="233"/>
      <c r="C4354" s="199"/>
      <c r="D4354" s="199"/>
      <c r="E4354" s="199"/>
      <c r="F4354" s="234" t="s">
        <v>212</v>
      </c>
      <c r="G4354" s="244"/>
      <c r="H4354" s="245"/>
      <c r="I4354" s="434">
        <f>SUM(I4352:I4353)</f>
        <v>0.28999999999999998</v>
      </c>
    </row>
    <row r="4355" spans="1:17" x14ac:dyDescent="0.2">
      <c r="A4355" s="199"/>
      <c r="B4355" s="233"/>
      <c r="C4355" s="199"/>
      <c r="D4355" s="199"/>
      <c r="E4355" s="199"/>
      <c r="F4355" s="199"/>
      <c r="G4355" s="269"/>
      <c r="H4355" s="199"/>
      <c r="I4355" s="200"/>
    </row>
    <row r="4356" spans="1:17" x14ac:dyDescent="0.2">
      <c r="A4356" s="270" t="s">
        <v>213</v>
      </c>
      <c r="B4356" s="247" t="s">
        <v>60</v>
      </c>
      <c r="C4356" s="247" t="s">
        <v>211</v>
      </c>
      <c r="D4356" s="866" t="s">
        <v>233</v>
      </c>
      <c r="E4356" s="1271" t="s">
        <v>91</v>
      </c>
      <c r="F4356" s="1272"/>
      <c r="G4356" s="1273"/>
      <c r="H4356" s="1274" t="s">
        <v>198</v>
      </c>
      <c r="I4356" s="1275"/>
      <c r="J4356" s="451"/>
      <c r="K4356" s="451"/>
      <c r="L4356" s="198"/>
      <c r="M4356" s="198"/>
      <c r="N4356" s="198"/>
      <c r="O4356" s="198"/>
      <c r="P4356" s="198"/>
      <c r="Q4356" s="198"/>
    </row>
    <row r="4357" spans="1:17" x14ac:dyDescent="0.2">
      <c r="A4357" s="452"/>
      <c r="B4357" s="453"/>
      <c r="C4357" s="453"/>
      <c r="D4357" s="454"/>
      <c r="E4357" s="455"/>
      <c r="F4357" s="456"/>
      <c r="G4357" s="457"/>
      <c r="H4357" s="458"/>
      <c r="I4357" s="459"/>
    </row>
    <row r="4358" spans="1:17" x14ac:dyDescent="0.2">
      <c r="A4358" s="201"/>
      <c r="B4358" s="271"/>
      <c r="C4358" s="201"/>
      <c r="D4358" s="201"/>
      <c r="E4358" s="201"/>
      <c r="F4358" s="272" t="s">
        <v>214</v>
      </c>
      <c r="G4358" s="260"/>
      <c r="H4358" s="273"/>
      <c r="I4358" s="436">
        <f>SUM(I4357:I4357)</f>
        <v>0</v>
      </c>
    </row>
    <row r="4359" spans="1:17" x14ac:dyDescent="0.2">
      <c r="A4359" s="201"/>
      <c r="B4359" s="271"/>
      <c r="C4359" s="201"/>
      <c r="D4359" s="201"/>
      <c r="E4359" s="201"/>
      <c r="F4359" s="201"/>
      <c r="G4359" s="201"/>
      <c r="H4359" s="201"/>
      <c r="I4359" s="201"/>
    </row>
    <row r="4360" spans="1:17" x14ac:dyDescent="0.2">
      <c r="A4360" s="274" t="s">
        <v>215</v>
      </c>
      <c r="B4360" s="275" t="s">
        <v>60</v>
      </c>
      <c r="C4360" s="275" t="s">
        <v>211</v>
      </c>
      <c r="D4360" s="275" t="s">
        <v>216</v>
      </c>
      <c r="E4360" s="275" t="s">
        <v>217</v>
      </c>
      <c r="F4360" s="275" t="s">
        <v>218</v>
      </c>
      <c r="G4360" s="275" t="s">
        <v>96</v>
      </c>
      <c r="H4360" s="275" t="s">
        <v>91</v>
      </c>
      <c r="I4360" s="275" t="s">
        <v>219</v>
      </c>
    </row>
    <row r="4361" spans="1:17" x14ac:dyDescent="0.2">
      <c r="A4361" s="201"/>
      <c r="B4361" s="271"/>
      <c r="C4361" s="201"/>
      <c r="D4361" s="201"/>
      <c r="E4361" s="201"/>
      <c r="F4361" s="272" t="s">
        <v>220</v>
      </c>
      <c r="G4361" s="244"/>
      <c r="H4361" s="279"/>
      <c r="I4361" s="438"/>
    </row>
    <row r="4362" spans="1:17" x14ac:dyDescent="0.2">
      <c r="A4362" s="201"/>
      <c r="B4362" s="271"/>
      <c r="C4362" s="201"/>
      <c r="D4362" s="201"/>
      <c r="E4362" s="201"/>
      <c r="F4362" s="201"/>
      <c r="G4362" s="201"/>
      <c r="H4362" s="201"/>
      <c r="I4362" s="202"/>
      <c r="J4362" s="446"/>
    </row>
    <row r="4363" spans="1:17" s="198" customFormat="1" x14ac:dyDescent="0.2">
      <c r="A4363" s="280"/>
      <c r="B4363" s="281"/>
      <c r="C4363" s="282"/>
      <c r="D4363" s="282"/>
      <c r="E4363" s="282"/>
      <c r="F4363" s="283" t="s">
        <v>221</v>
      </c>
      <c r="G4363" s="280"/>
      <c r="H4363" s="254"/>
      <c r="I4363" s="634">
        <f>+I4349+I4354+I4358+I4361</f>
        <v>4.7</v>
      </c>
      <c r="J4363" s="433"/>
      <c r="K4363" s="433"/>
      <c r="L4363" s="302"/>
      <c r="M4363" s="302"/>
      <c r="N4363" s="302"/>
      <c r="O4363" s="302"/>
      <c r="P4363" s="302"/>
      <c r="Q4363" s="302"/>
    </row>
    <row r="4364" spans="1:17" s="198" customFormat="1" x14ac:dyDescent="0.2">
      <c r="A4364" s="260"/>
      <c r="B4364" s="284"/>
      <c r="C4364" s="273"/>
      <c r="D4364" s="273"/>
      <c r="E4364" s="273"/>
      <c r="F4364" s="285" t="str">
        <f>CONCATENATE($H$3," ",$I$3)</f>
        <v>BDI: 23,32</v>
      </c>
      <c r="G4364" s="439"/>
      <c r="H4364" s="258"/>
      <c r="I4364" s="635">
        <f>+ROUND(I4363*$I$4,2)</f>
        <v>1.1000000000000001</v>
      </c>
      <c r="J4364" s="446"/>
      <c r="K4364" s="433"/>
      <c r="L4364" s="302"/>
      <c r="M4364" s="302"/>
      <c r="N4364" s="302"/>
      <c r="O4364" s="302"/>
      <c r="P4364" s="302"/>
      <c r="Q4364" s="302"/>
    </row>
    <row r="4365" spans="1:17" s="198" customFormat="1" x14ac:dyDescent="0.2">
      <c r="A4365" s="244"/>
      <c r="B4365" s="286"/>
      <c r="C4365" s="279"/>
      <c r="D4365" s="279"/>
      <c r="E4365" s="279"/>
      <c r="F4365" s="287" t="s">
        <v>222</v>
      </c>
      <c r="G4365" s="440"/>
      <c r="H4365" s="245"/>
      <c r="I4365" s="1017">
        <f>+I4363+I4364</f>
        <v>5.8</v>
      </c>
      <c r="J4365" s="433"/>
      <c r="K4365" s="433"/>
      <c r="L4365" s="302"/>
      <c r="M4365" s="302"/>
      <c r="N4365" s="302"/>
      <c r="O4365" s="302"/>
      <c r="P4365" s="302"/>
      <c r="Q4365" s="302"/>
    </row>
    <row r="4366" spans="1:17" s="198" customFormat="1" x14ac:dyDescent="0.2">
      <c r="A4366" s="1286" t="str">
        <f>$A$1</f>
        <v>COMPOSIÇÃO DE CUSTOS UNITÁRIOS</v>
      </c>
      <c r="B4366" s="1286"/>
      <c r="C4366" s="1286"/>
      <c r="D4366" s="1286"/>
      <c r="E4366" s="1286"/>
      <c r="F4366" s="1286"/>
      <c r="G4366" s="1286"/>
      <c r="H4366" s="1286"/>
      <c r="I4366" s="1286"/>
      <c r="J4366" s="451"/>
      <c r="K4366" s="451"/>
    </row>
    <row r="4367" spans="1:17" s="198" customFormat="1" x14ac:dyDescent="0.2">
      <c r="A4367" s="447" t="str">
        <f>$A$2</f>
        <v>Tabela Referencial de Preços - DER-ES</v>
      </c>
      <c r="B4367" s="448"/>
      <c r="C4367" s="449"/>
      <c r="D4367" s="449"/>
      <c r="E4367" s="449"/>
      <c r="F4367" s="449"/>
      <c r="G4367" s="449"/>
      <c r="H4367" s="449"/>
      <c r="I4367" s="450" t="str">
        <f>$I$2</f>
        <v>Data Base: Outubro/2018</v>
      </c>
      <c r="J4367" s="451">
        <v>42199</v>
      </c>
      <c r="K4367" s="451">
        <f>VLOOKUP("Preço Unitário Total",F4369:I4496,4,FALSE)</f>
        <v>1.65</v>
      </c>
      <c r="L4367" s="198">
        <f>VLOOKUP(J4367,'DER 10-18'!A:E,5,FALSE)</f>
        <v>0</v>
      </c>
      <c r="M4367" s="198" t="str">
        <f>VLOOKUP(J4367,'DER 10-18'!$A:$D,2,FALSE)</f>
        <v>Conformação manual de taludes</v>
      </c>
    </row>
    <row r="4368" spans="1:17" s="198" customFormat="1" x14ac:dyDescent="0.2">
      <c r="A4368" s="1287" t="str">
        <f>+CONCATENATE("Serviço: ",J4367," ",VLOOKUP(J4367,'DER 10-18'!$A:$D,2,FALSE))</f>
        <v>Serviço: 42199 Conformação manual de taludes</v>
      </c>
      <c r="B4368" s="1287"/>
      <c r="C4368" s="1287"/>
      <c r="D4368" s="1287"/>
      <c r="E4368" s="1287"/>
      <c r="F4368" s="1287"/>
      <c r="G4368" s="1287"/>
      <c r="H4368" s="1287"/>
      <c r="I4368" s="1287" t="str">
        <f>CONCATENATE("Unidade: ", VLOOKUP(J4367,'DER 10-18'!$A:$E,3,FALSE))</f>
        <v>Unidade: M2</v>
      </c>
      <c r="J4368" s="451"/>
      <c r="K4368" s="451"/>
    </row>
    <row r="4369" spans="1:15" s="198" customFormat="1" x14ac:dyDescent="0.2">
      <c r="A4369" s="1288"/>
      <c r="B4369" s="1288"/>
      <c r="C4369" s="1288"/>
      <c r="D4369" s="1288"/>
      <c r="E4369" s="1288"/>
      <c r="F4369" s="1288"/>
      <c r="G4369" s="1288"/>
      <c r="H4369" s="1288"/>
      <c r="I4369" s="1288"/>
      <c r="J4369" s="451"/>
      <c r="K4369" s="451"/>
    </row>
    <row r="4370" spans="1:15" ht="22.5" x14ac:dyDescent="0.2">
      <c r="A4370" s="235" t="s">
        <v>192</v>
      </c>
      <c r="B4370" s="236" t="s">
        <v>60</v>
      </c>
      <c r="C4370" s="236" t="s">
        <v>193</v>
      </c>
      <c r="D4370" s="236" t="s">
        <v>194</v>
      </c>
      <c r="E4370" s="236" t="s">
        <v>195</v>
      </c>
      <c r="F4370" s="236" t="s">
        <v>196</v>
      </c>
      <c r="G4370" s="236" t="s">
        <v>197</v>
      </c>
      <c r="H4370" s="236" t="s">
        <v>91</v>
      </c>
      <c r="I4370" s="236" t="s">
        <v>198</v>
      </c>
    </row>
    <row r="4371" spans="1:15" x14ac:dyDescent="0.2">
      <c r="A4371" s="199"/>
      <c r="B4371" s="233"/>
      <c r="C4371" s="233"/>
      <c r="D4371" s="199"/>
      <c r="E4371" s="199"/>
      <c r="F4371" s="234" t="s">
        <v>199</v>
      </c>
      <c r="G4371" s="244"/>
      <c r="H4371" s="245"/>
      <c r="I4371" s="434"/>
    </row>
    <row r="4372" spans="1:15" x14ac:dyDescent="0.2">
      <c r="A4372" s="199"/>
      <c r="B4372" s="233"/>
      <c r="C4372" s="233"/>
      <c r="D4372" s="199"/>
      <c r="E4372" s="199"/>
      <c r="F4372" s="199"/>
      <c r="G4372" s="199"/>
      <c r="H4372" s="199"/>
      <c r="I4372" s="200"/>
    </row>
    <row r="4373" spans="1:15" x14ac:dyDescent="0.2">
      <c r="A4373" s="246" t="s">
        <v>200</v>
      </c>
      <c r="B4373" s="247" t="s">
        <v>60</v>
      </c>
      <c r="C4373" s="236" t="s">
        <v>1242</v>
      </c>
      <c r="D4373" s="247" t="s">
        <v>202</v>
      </c>
      <c r="E4373" s="1271" t="s">
        <v>91</v>
      </c>
      <c r="F4373" s="1272"/>
      <c r="G4373" s="1273"/>
      <c r="H4373" s="1276" t="s">
        <v>198</v>
      </c>
      <c r="I4373" s="1275"/>
    </row>
    <row r="4374" spans="1:15" x14ac:dyDescent="0.2">
      <c r="A4374" s="248" t="str">
        <f>VLOOKUP(B4374,m.o.!$A:$H,2,FALSE)</f>
        <v>Servente</v>
      </c>
      <c r="B4374" s="238">
        <v>20002</v>
      </c>
      <c r="C4374" s="243">
        <f>VLOOKUP(B4374,m.o.!$A:$F,4,FALSE)</f>
        <v>1</v>
      </c>
      <c r="D4374" s="243">
        <f>VLOOKUP(B4374,m.o.!$A:$G,7,FALSE)</f>
        <v>11.64</v>
      </c>
      <c r="E4374" s="260"/>
      <c r="F4374" s="258"/>
      <c r="G4374" s="300">
        <v>14</v>
      </c>
      <c r="H4374" s="244"/>
      <c r="I4374" s="249">
        <f t="shared" ref="I4374:I4375" si="51">TRUNC(D4374*G4374,2)</f>
        <v>162.96</v>
      </c>
    </row>
    <row r="4375" spans="1:15" x14ac:dyDescent="0.2">
      <c r="A4375" s="248" t="str">
        <f>VLOOKUP(B4375,m.o.!$A:$H,2,FALSE)</f>
        <v>Técnico em meio ambiente</v>
      </c>
      <c r="B4375" s="238">
        <v>20010</v>
      </c>
      <c r="C4375" s="243">
        <f>VLOOKUP(B4375,m.o.!$A:$F,5,FALSE)</f>
        <v>3530.9</v>
      </c>
      <c r="D4375" s="243">
        <f>VLOOKUP(B4375,m.o.!$A:$G,7,FALSE)</f>
        <v>6498.26</v>
      </c>
      <c r="E4375" s="260"/>
      <c r="F4375" s="258"/>
      <c r="G4375" s="300">
        <v>4.4999999999999997E-3</v>
      </c>
      <c r="H4375" s="244"/>
      <c r="I4375" s="249">
        <f t="shared" si="51"/>
        <v>29.24</v>
      </c>
    </row>
    <row r="4376" spans="1:15" x14ac:dyDescent="0.2">
      <c r="A4376" s="199"/>
      <c r="B4376" s="233"/>
      <c r="C4376" s="233"/>
      <c r="D4376" s="199"/>
      <c r="E4376" s="199"/>
      <c r="F4376" s="234" t="s">
        <v>203</v>
      </c>
      <c r="G4376" s="244"/>
      <c r="H4376" s="245"/>
      <c r="I4376" s="434">
        <f>SUM(I4374:I4375)</f>
        <v>192.2</v>
      </c>
    </row>
    <row r="4377" spans="1:15" x14ac:dyDescent="0.2">
      <c r="A4377" s="199"/>
      <c r="B4377" s="233"/>
      <c r="C4377" s="233"/>
      <c r="D4377" s="199"/>
      <c r="E4377" s="199"/>
      <c r="F4377" s="199"/>
      <c r="G4377" s="199"/>
      <c r="H4377" s="199"/>
      <c r="I4377" s="200"/>
    </row>
    <row r="4378" spans="1:15" x14ac:dyDescent="0.2">
      <c r="A4378" s="250" t="s">
        <v>204</v>
      </c>
      <c r="B4378" s="247" t="s">
        <v>60</v>
      </c>
      <c r="C4378" s="866" t="s">
        <v>17</v>
      </c>
      <c r="D4378" s="247" t="s">
        <v>205</v>
      </c>
      <c r="E4378" s="247" t="s">
        <v>206</v>
      </c>
      <c r="F4378" s="247" t="s">
        <v>207</v>
      </c>
      <c r="G4378" s="1276" t="s">
        <v>96</v>
      </c>
      <c r="H4378" s="1274"/>
      <c r="I4378" s="1275"/>
    </row>
    <row r="4379" spans="1:15" x14ac:dyDescent="0.2">
      <c r="A4379" s="248" t="s">
        <v>142</v>
      </c>
      <c r="B4379" s="238">
        <v>2000</v>
      </c>
      <c r="C4379" s="243">
        <v>5</v>
      </c>
      <c r="D4379" s="239" t="s">
        <v>223</v>
      </c>
      <c r="E4379" s="251"/>
      <c r="F4379" s="251"/>
      <c r="G4379" s="244"/>
      <c r="H4379" s="245"/>
      <c r="I4379" s="249">
        <f>TRUNC(C4379/100*I4376,2)</f>
        <v>9.61</v>
      </c>
    </row>
    <row r="4380" spans="1:15" x14ac:dyDescent="0.2">
      <c r="A4380" s="199"/>
      <c r="B4380" s="233"/>
      <c r="C4380" s="199"/>
      <c r="D4380" s="199"/>
      <c r="E4380" s="199"/>
      <c r="F4380" s="234" t="s">
        <v>1170</v>
      </c>
      <c r="G4380" s="244"/>
      <c r="H4380" s="245"/>
      <c r="I4380" s="434">
        <f>I4379</f>
        <v>9.61</v>
      </c>
    </row>
    <row r="4381" spans="1:15" x14ac:dyDescent="0.2">
      <c r="A4381" s="199"/>
      <c r="B4381" s="233"/>
      <c r="C4381" s="199"/>
      <c r="D4381" s="199"/>
      <c r="E4381" s="199"/>
      <c r="F4381" s="199"/>
      <c r="G4381" s="199"/>
      <c r="H4381" s="199"/>
      <c r="I4381" s="200"/>
    </row>
    <row r="4382" spans="1:15" x14ac:dyDescent="0.2">
      <c r="A4382" s="252"/>
      <c r="B4382" s="253"/>
      <c r="C4382" s="254"/>
      <c r="D4382" s="254"/>
      <c r="E4382" s="254"/>
      <c r="F4382" s="255" t="s">
        <v>208</v>
      </c>
      <c r="G4382" s="435"/>
      <c r="H4382" s="254"/>
      <c r="I4382" s="634">
        <f>+I4371+I4376+I4380</f>
        <v>201.81</v>
      </c>
      <c r="O4382" s="198"/>
    </row>
    <row r="4383" spans="1:15" x14ac:dyDescent="0.2">
      <c r="A4383" s="256"/>
      <c r="B4383" s="257"/>
      <c r="C4383" s="258"/>
      <c r="D4383" s="258"/>
      <c r="E4383" s="258"/>
      <c r="F4383" s="259" t="s">
        <v>209</v>
      </c>
      <c r="G4383" s="260"/>
      <c r="H4383" s="258"/>
      <c r="I4383" s="635">
        <v>150</v>
      </c>
    </row>
    <row r="4384" spans="1:15" ht="27.75" customHeight="1" x14ac:dyDescent="0.2">
      <c r="A4384" s="237"/>
      <c r="B4384" s="261"/>
      <c r="C4384" s="245"/>
      <c r="D4384" s="245"/>
      <c r="E4384" s="245"/>
      <c r="F4384" s="262" t="s">
        <v>232</v>
      </c>
      <c r="G4384" s="244"/>
      <c r="H4384" s="245"/>
      <c r="I4384" s="633">
        <f>TRUNC(I4382/I4383,2)</f>
        <v>1.34</v>
      </c>
    </row>
    <row r="4385" spans="1:17" x14ac:dyDescent="0.2">
      <c r="A4385" s="867"/>
      <c r="B4385" s="233"/>
      <c r="C4385" s="199"/>
      <c r="D4385" s="199"/>
      <c r="E4385" s="199"/>
      <c r="F4385" s="263"/>
      <c r="G4385" s="199"/>
      <c r="H4385" s="199"/>
      <c r="I4385" s="264"/>
    </row>
    <row r="4386" spans="1:17" x14ac:dyDescent="0.2">
      <c r="A4386" s="246" t="s">
        <v>210</v>
      </c>
      <c r="B4386" s="247" t="s">
        <v>60</v>
      </c>
      <c r="C4386" s="247" t="s">
        <v>211</v>
      </c>
      <c r="D4386" s="247" t="s">
        <v>233</v>
      </c>
      <c r="E4386" s="1276" t="s">
        <v>91</v>
      </c>
      <c r="F4386" s="1274"/>
      <c r="G4386" s="1275"/>
      <c r="H4386" s="1276" t="s">
        <v>198</v>
      </c>
      <c r="I4386" s="1275"/>
    </row>
    <row r="4387" spans="1:17" x14ac:dyDescent="0.2">
      <c r="A4387" s="199"/>
      <c r="B4387" s="233"/>
      <c r="C4387" s="199"/>
      <c r="D4387" s="199"/>
      <c r="E4387" s="199"/>
      <c r="F4387" s="234" t="s">
        <v>212</v>
      </c>
      <c r="G4387" s="244"/>
      <c r="H4387" s="245"/>
      <c r="I4387" s="434"/>
    </row>
    <row r="4388" spans="1:17" x14ac:dyDescent="0.2">
      <c r="A4388" s="199"/>
      <c r="B4388" s="233"/>
      <c r="C4388" s="199"/>
      <c r="D4388" s="199"/>
      <c r="E4388" s="199"/>
      <c r="F4388" s="199"/>
      <c r="G4388" s="269"/>
      <c r="H4388" s="199"/>
      <c r="I4388" s="200"/>
    </row>
    <row r="4389" spans="1:17" x14ac:dyDescent="0.2">
      <c r="A4389" s="270" t="s">
        <v>213</v>
      </c>
      <c r="B4389" s="247" t="s">
        <v>60</v>
      </c>
      <c r="C4389" s="247" t="s">
        <v>211</v>
      </c>
      <c r="D4389" s="866" t="s">
        <v>233</v>
      </c>
      <c r="E4389" s="1271" t="s">
        <v>91</v>
      </c>
      <c r="F4389" s="1272"/>
      <c r="G4389" s="1273"/>
      <c r="H4389" s="1274" t="s">
        <v>198</v>
      </c>
      <c r="I4389" s="1275"/>
      <c r="J4389" s="451"/>
      <c r="K4389" s="451"/>
      <c r="L4389" s="198"/>
      <c r="M4389" s="198"/>
      <c r="N4389" s="198"/>
    </row>
    <row r="4390" spans="1:17" x14ac:dyDescent="0.2">
      <c r="A4390" s="452"/>
      <c r="B4390" s="453"/>
      <c r="C4390" s="453"/>
      <c r="D4390" s="454"/>
      <c r="E4390" s="455"/>
      <c r="F4390" s="456"/>
      <c r="G4390" s="457"/>
      <c r="H4390" s="458"/>
      <c r="I4390" s="459"/>
    </row>
    <row r="4391" spans="1:17" x14ac:dyDescent="0.2">
      <c r="A4391" s="201"/>
      <c r="B4391" s="271"/>
      <c r="C4391" s="201"/>
      <c r="D4391" s="201"/>
      <c r="E4391" s="201"/>
      <c r="F4391" s="272" t="s">
        <v>214</v>
      </c>
      <c r="G4391" s="260"/>
      <c r="H4391" s="273"/>
      <c r="I4391" s="436">
        <f>SUM(I4390:I4390)</f>
        <v>0</v>
      </c>
    </row>
    <row r="4392" spans="1:17" x14ac:dyDescent="0.2">
      <c r="A4392" s="201"/>
      <c r="B4392" s="271"/>
      <c r="C4392" s="201"/>
      <c r="D4392" s="201"/>
      <c r="E4392" s="201"/>
      <c r="F4392" s="201"/>
      <c r="G4392" s="201"/>
      <c r="H4392" s="201"/>
      <c r="I4392" s="201"/>
    </row>
    <row r="4393" spans="1:17" x14ac:dyDescent="0.2">
      <c r="A4393" s="274" t="s">
        <v>215</v>
      </c>
      <c r="B4393" s="275" t="s">
        <v>60</v>
      </c>
      <c r="C4393" s="275" t="s">
        <v>211</v>
      </c>
      <c r="D4393" s="275" t="s">
        <v>216</v>
      </c>
      <c r="E4393" s="275" t="s">
        <v>217</v>
      </c>
      <c r="F4393" s="275" t="s">
        <v>218</v>
      </c>
      <c r="G4393" s="275" t="s">
        <v>96</v>
      </c>
      <c r="H4393" s="275" t="s">
        <v>91</v>
      </c>
      <c r="I4393" s="275" t="s">
        <v>219</v>
      </c>
      <c r="P4393" s="198"/>
      <c r="Q4393" s="198"/>
    </row>
    <row r="4394" spans="1:17" x14ac:dyDescent="0.2">
      <c r="A4394" s="201"/>
      <c r="B4394" s="271"/>
      <c r="C4394" s="201"/>
      <c r="D4394" s="201"/>
      <c r="E4394" s="201"/>
      <c r="F4394" s="272" t="s">
        <v>220</v>
      </c>
      <c r="G4394" s="244"/>
      <c r="H4394" s="279"/>
      <c r="I4394" s="438"/>
    </row>
    <row r="4395" spans="1:17" x14ac:dyDescent="0.2">
      <c r="A4395" s="201"/>
      <c r="B4395" s="271"/>
      <c r="C4395" s="201"/>
      <c r="D4395" s="201"/>
      <c r="E4395" s="201"/>
      <c r="F4395" s="201"/>
      <c r="G4395" s="201"/>
      <c r="H4395" s="201"/>
      <c r="I4395" s="202"/>
      <c r="J4395" s="446"/>
    </row>
    <row r="4396" spans="1:17" x14ac:dyDescent="0.2">
      <c r="A4396" s="280"/>
      <c r="B4396" s="281"/>
      <c r="C4396" s="282"/>
      <c r="D4396" s="282"/>
      <c r="E4396" s="282"/>
      <c r="F4396" s="283" t="s">
        <v>221</v>
      </c>
      <c r="G4396" s="280"/>
      <c r="H4396" s="254"/>
      <c r="I4396" s="634">
        <f>+I4384+I4387+I4391+I4394</f>
        <v>1.34</v>
      </c>
    </row>
    <row r="4397" spans="1:17" x14ac:dyDescent="0.2">
      <c r="A4397" s="260"/>
      <c r="B4397" s="284"/>
      <c r="C4397" s="273"/>
      <c r="D4397" s="273"/>
      <c r="E4397" s="273"/>
      <c r="F4397" s="285" t="str">
        <f>CONCATENATE($H$3," ",$I$3)</f>
        <v>BDI: 23,32</v>
      </c>
      <c r="G4397" s="439"/>
      <c r="H4397" s="258"/>
      <c r="I4397" s="635">
        <f>+ROUND(I4396*$I$4,2)</f>
        <v>0.31</v>
      </c>
      <c r="J4397" s="446"/>
    </row>
    <row r="4398" spans="1:17" x14ac:dyDescent="0.2">
      <c r="A4398" s="244"/>
      <c r="B4398" s="286"/>
      <c r="C4398" s="279"/>
      <c r="D4398" s="279"/>
      <c r="E4398" s="279"/>
      <c r="F4398" s="287" t="s">
        <v>222</v>
      </c>
      <c r="G4398" s="440"/>
      <c r="H4398" s="245"/>
      <c r="I4398" s="1017">
        <f>+I4396+I4397</f>
        <v>1.65</v>
      </c>
    </row>
    <row r="4399" spans="1:17" x14ac:dyDescent="0.2">
      <c r="A4399" s="1286" t="str">
        <f>$A$1</f>
        <v>COMPOSIÇÃO DE CUSTOS UNITÁRIOS</v>
      </c>
      <c r="B4399" s="1286"/>
      <c r="C4399" s="1286"/>
      <c r="D4399" s="1286"/>
      <c r="E4399" s="1286"/>
      <c r="F4399" s="1286"/>
      <c r="G4399" s="1286"/>
      <c r="H4399" s="1286"/>
      <c r="I4399" s="1286"/>
      <c r="J4399" s="451"/>
      <c r="K4399" s="451"/>
      <c r="L4399" s="198"/>
      <c r="M4399" s="198"/>
      <c r="N4399" s="198"/>
      <c r="O4399" s="198"/>
      <c r="P4399" s="198"/>
      <c r="Q4399" s="198"/>
    </row>
    <row r="4400" spans="1:17" x14ac:dyDescent="0.2">
      <c r="A4400" s="447" t="str">
        <f>$A$2</f>
        <v>Tabela Referencial de Preços - DER-ES</v>
      </c>
      <c r="B4400" s="448"/>
      <c r="C4400" s="449"/>
      <c r="D4400" s="449"/>
      <c r="E4400" s="449"/>
      <c r="F4400" s="449"/>
      <c r="G4400" s="449"/>
      <c r="H4400" s="449"/>
      <c r="I4400" s="450" t="str">
        <f>$I$2</f>
        <v>Data Base: Outubro/2018</v>
      </c>
      <c r="J4400" s="451">
        <v>40302</v>
      </c>
      <c r="K4400" s="451">
        <f>VLOOKUP("Preço Unitário Total",F4402:I4496,4,FALSE)</f>
        <v>68.28</v>
      </c>
      <c r="L4400" s="198">
        <f>VLOOKUP(J4400,'DER 10-18'!A:E,5,FALSE)</f>
        <v>0</v>
      </c>
      <c r="M4400" s="198" t="str">
        <f>VLOOKUP(J4400,'DER 10-18'!$A:$D,2,FALSE)</f>
        <v>Reaterro de cavas c/ compactação manual (apiloamento)</v>
      </c>
      <c r="N4400" s="198"/>
      <c r="O4400" s="198"/>
      <c r="P4400" s="198"/>
      <c r="Q4400" s="198"/>
    </row>
    <row r="4401" spans="1:17" x14ac:dyDescent="0.2">
      <c r="A4401" s="1287" t="str">
        <f>+CONCATENATE("Serviço: ",J4400," ",VLOOKUP(J4400,'DER 10-18'!$A:$D,2,FALSE))</f>
        <v>Serviço: 40302 Reaterro de cavas c/ compactação manual (apiloamento)</v>
      </c>
      <c r="B4401" s="1287"/>
      <c r="C4401" s="1287"/>
      <c r="D4401" s="1287"/>
      <c r="E4401" s="1287"/>
      <c r="F4401" s="1287"/>
      <c r="G4401" s="1287"/>
      <c r="H4401" s="1287"/>
      <c r="I4401" s="1287" t="str">
        <f>CONCATENATE("Unidade: ", VLOOKUP(J4400,'DER 10-18'!$A:$E,3,FALSE))</f>
        <v>Unidade: M3</v>
      </c>
      <c r="J4401" s="451"/>
      <c r="K4401" s="451"/>
      <c r="L4401" s="198"/>
      <c r="M4401" s="198"/>
      <c r="N4401" s="198"/>
      <c r="O4401" s="198"/>
      <c r="P4401" s="198"/>
      <c r="Q4401" s="198"/>
    </row>
    <row r="4402" spans="1:17" x14ac:dyDescent="0.2">
      <c r="A4402" s="1288"/>
      <c r="B4402" s="1288"/>
      <c r="C4402" s="1288"/>
      <c r="D4402" s="1288"/>
      <c r="E4402" s="1288"/>
      <c r="F4402" s="1288"/>
      <c r="G4402" s="1288"/>
      <c r="H4402" s="1288"/>
      <c r="I4402" s="1288"/>
      <c r="J4402" s="451"/>
      <c r="K4402" s="451"/>
      <c r="L4402" s="198"/>
      <c r="M4402" s="198"/>
      <c r="N4402" s="198"/>
      <c r="O4402" s="198"/>
      <c r="P4402" s="198"/>
      <c r="Q4402" s="198"/>
    </row>
    <row r="4403" spans="1:17" ht="22.5" x14ac:dyDescent="0.2">
      <c r="A4403" s="235" t="s">
        <v>192</v>
      </c>
      <c r="B4403" s="236" t="s">
        <v>60</v>
      </c>
      <c r="C4403" s="236" t="s">
        <v>193</v>
      </c>
      <c r="D4403" s="236" t="s">
        <v>194</v>
      </c>
      <c r="E4403" s="236" t="s">
        <v>195</v>
      </c>
      <c r="F4403" s="236" t="s">
        <v>196</v>
      </c>
      <c r="G4403" s="236" t="s">
        <v>197</v>
      </c>
      <c r="H4403" s="236" t="s">
        <v>91</v>
      </c>
      <c r="I4403" s="236" t="s">
        <v>198</v>
      </c>
    </row>
    <row r="4404" spans="1:17" x14ac:dyDescent="0.2">
      <c r="A4404" s="199"/>
      <c r="B4404" s="233"/>
      <c r="C4404" s="233"/>
      <c r="D4404" s="199"/>
      <c r="E4404" s="199"/>
      <c r="F4404" s="234" t="s">
        <v>199</v>
      </c>
      <c r="G4404" s="244"/>
      <c r="H4404" s="245"/>
      <c r="I4404" s="434"/>
    </row>
    <row r="4405" spans="1:17" x14ac:dyDescent="0.2">
      <c r="A4405" s="199"/>
      <c r="B4405" s="233"/>
      <c r="C4405" s="233"/>
      <c r="D4405" s="199"/>
      <c r="E4405" s="199"/>
      <c r="F4405" s="199"/>
      <c r="G4405" s="199"/>
      <c r="H4405" s="199"/>
      <c r="I4405" s="200"/>
    </row>
    <row r="4406" spans="1:17" x14ac:dyDescent="0.2">
      <c r="A4406" s="246" t="s">
        <v>200</v>
      </c>
      <c r="B4406" s="247" t="s">
        <v>60</v>
      </c>
      <c r="C4406" s="236" t="s">
        <v>1242</v>
      </c>
      <c r="D4406" s="247" t="s">
        <v>202</v>
      </c>
      <c r="E4406" s="1271" t="s">
        <v>91</v>
      </c>
      <c r="F4406" s="1272"/>
      <c r="G4406" s="1273"/>
      <c r="H4406" s="1276" t="s">
        <v>198</v>
      </c>
      <c r="I4406" s="1275"/>
    </row>
    <row r="4407" spans="1:17" x14ac:dyDescent="0.2">
      <c r="A4407" s="248" t="str">
        <f>VLOOKUP(B4407,m.o.!$A:$H,2,FALSE)</f>
        <v>Encarregado de O.A.C.</v>
      </c>
      <c r="B4407" s="238">
        <v>20060</v>
      </c>
      <c r="C4407" s="243">
        <f>VLOOKUP(B4407,m.o.!$A:$F,4,FALSE)</f>
        <v>2.2599999999999998</v>
      </c>
      <c r="D4407" s="243">
        <f>VLOOKUP(B4407,m.o.!$A:$G,7,FALSE)</f>
        <v>26.3</v>
      </c>
      <c r="E4407" s="260"/>
      <c r="F4407" s="258"/>
      <c r="G4407" s="300">
        <v>0.2</v>
      </c>
      <c r="H4407" s="244"/>
      <c r="I4407" s="249">
        <f t="shared" ref="I4407:I4408" si="52">TRUNC(D4407*G4407,2)</f>
        <v>5.26</v>
      </c>
    </row>
    <row r="4408" spans="1:17" x14ac:dyDescent="0.2">
      <c r="A4408" s="248" t="str">
        <f>VLOOKUP(B4408,m.o.!$A:$H,2,FALSE)</f>
        <v>Operário braçal</v>
      </c>
      <c r="B4408" s="238">
        <v>20107</v>
      </c>
      <c r="C4408" s="243">
        <f>VLOOKUP(B4408,m.o.!$A:$F,4,FALSE)</f>
        <v>1.02</v>
      </c>
      <c r="D4408" s="243">
        <f>VLOOKUP(B4408,m.o.!$A:$G,7,FALSE)</f>
        <v>11.87</v>
      </c>
      <c r="E4408" s="260"/>
      <c r="F4408" s="258"/>
      <c r="G4408" s="300">
        <v>4</v>
      </c>
      <c r="H4408" s="244"/>
      <c r="I4408" s="249">
        <f t="shared" si="52"/>
        <v>47.48</v>
      </c>
    </row>
    <row r="4409" spans="1:17" x14ac:dyDescent="0.2">
      <c r="A4409" s="199"/>
      <c r="B4409" s="233"/>
      <c r="C4409" s="233"/>
      <c r="D4409" s="199"/>
      <c r="E4409" s="199"/>
      <c r="F4409" s="234" t="s">
        <v>203</v>
      </c>
      <c r="G4409" s="244"/>
      <c r="H4409" s="245"/>
      <c r="I4409" s="434">
        <f>SUM(I4407:I4408)</f>
        <v>52.74</v>
      </c>
    </row>
    <row r="4410" spans="1:17" x14ac:dyDescent="0.2">
      <c r="A4410" s="199"/>
      <c r="B4410" s="233"/>
      <c r="C4410" s="233"/>
      <c r="D4410" s="199"/>
      <c r="E4410" s="199"/>
      <c r="F4410" s="199"/>
      <c r="G4410" s="199"/>
      <c r="H4410" s="199"/>
      <c r="I4410" s="200"/>
    </row>
    <row r="4411" spans="1:17" x14ac:dyDescent="0.2">
      <c r="A4411" s="250" t="s">
        <v>204</v>
      </c>
      <c r="B4411" s="247" t="s">
        <v>60</v>
      </c>
      <c r="C4411" s="866" t="s">
        <v>17</v>
      </c>
      <c r="D4411" s="247" t="s">
        <v>205</v>
      </c>
      <c r="E4411" s="247" t="s">
        <v>206</v>
      </c>
      <c r="F4411" s="247" t="s">
        <v>207</v>
      </c>
      <c r="G4411" s="1276" t="s">
        <v>96</v>
      </c>
      <c r="H4411" s="1274"/>
      <c r="I4411" s="1275"/>
    </row>
    <row r="4412" spans="1:17" x14ac:dyDescent="0.2">
      <c r="A4412" s="248" t="s">
        <v>142</v>
      </c>
      <c r="B4412" s="238">
        <v>2000</v>
      </c>
      <c r="C4412" s="243">
        <v>5</v>
      </c>
      <c r="D4412" s="239" t="s">
        <v>223</v>
      </c>
      <c r="E4412" s="251"/>
      <c r="F4412" s="251"/>
      <c r="G4412" s="244"/>
      <c r="H4412" s="245"/>
      <c r="I4412" s="249">
        <f>TRUNC(C4412/100*I4409,2)</f>
        <v>2.63</v>
      </c>
    </row>
    <row r="4413" spans="1:17" x14ac:dyDescent="0.2">
      <c r="A4413" s="199"/>
      <c r="B4413" s="233"/>
      <c r="C4413" s="199"/>
      <c r="D4413" s="199"/>
      <c r="E4413" s="199"/>
      <c r="F4413" s="234" t="s">
        <v>1170</v>
      </c>
      <c r="G4413" s="244"/>
      <c r="H4413" s="245"/>
      <c r="I4413" s="434">
        <f>I4412</f>
        <v>2.63</v>
      </c>
    </row>
    <row r="4414" spans="1:17" x14ac:dyDescent="0.2">
      <c r="A4414" s="199"/>
      <c r="B4414" s="233"/>
      <c r="C4414" s="199"/>
      <c r="D4414" s="199"/>
      <c r="E4414" s="199"/>
      <c r="F4414" s="199"/>
      <c r="G4414" s="199"/>
      <c r="H4414" s="199"/>
      <c r="I4414" s="200"/>
      <c r="O4414" s="198"/>
    </row>
    <row r="4415" spans="1:17" x14ac:dyDescent="0.2">
      <c r="A4415" s="252"/>
      <c r="B4415" s="253"/>
      <c r="C4415" s="254"/>
      <c r="D4415" s="254"/>
      <c r="E4415" s="254"/>
      <c r="F4415" s="255" t="s">
        <v>208</v>
      </c>
      <c r="G4415" s="435"/>
      <c r="H4415" s="254"/>
      <c r="I4415" s="634">
        <f>+I4404+I4409+I4413</f>
        <v>55.37</v>
      </c>
    </row>
    <row r="4416" spans="1:17" x14ac:dyDescent="0.2">
      <c r="A4416" s="256"/>
      <c r="B4416" s="257"/>
      <c r="C4416" s="258"/>
      <c r="D4416" s="258"/>
      <c r="E4416" s="258"/>
      <c r="F4416" s="259" t="s">
        <v>209</v>
      </c>
      <c r="G4416" s="260"/>
      <c r="H4416" s="258"/>
      <c r="I4416" s="635">
        <v>1</v>
      </c>
    </row>
    <row r="4417" spans="1:17" x14ac:dyDescent="0.2">
      <c r="A4417" s="237"/>
      <c r="B4417" s="261"/>
      <c r="C4417" s="245"/>
      <c r="D4417" s="245"/>
      <c r="E4417" s="245"/>
      <c r="F4417" s="262" t="s">
        <v>232</v>
      </c>
      <c r="G4417" s="244"/>
      <c r="H4417" s="245"/>
      <c r="I4417" s="633">
        <f>TRUNC(I4415/I4416,2)</f>
        <v>55.37</v>
      </c>
    </row>
    <row r="4418" spans="1:17" x14ac:dyDescent="0.2">
      <c r="A4418" s="867"/>
      <c r="B4418" s="233"/>
      <c r="C4418" s="199"/>
      <c r="D4418" s="199"/>
      <c r="E4418" s="199"/>
      <c r="F4418" s="263"/>
      <c r="G4418" s="199"/>
      <c r="H4418" s="199"/>
      <c r="I4418" s="264"/>
    </row>
    <row r="4419" spans="1:17" x14ac:dyDescent="0.2">
      <c r="A4419" s="246" t="s">
        <v>210</v>
      </c>
      <c r="B4419" s="247" t="s">
        <v>60</v>
      </c>
      <c r="C4419" s="247" t="s">
        <v>211</v>
      </c>
      <c r="D4419" s="247" t="s">
        <v>233</v>
      </c>
      <c r="E4419" s="1276" t="s">
        <v>91</v>
      </c>
      <c r="F4419" s="1274"/>
      <c r="G4419" s="1275"/>
      <c r="H4419" s="1276" t="s">
        <v>198</v>
      </c>
      <c r="I4419" s="1275"/>
    </row>
    <row r="4420" spans="1:17" x14ac:dyDescent="0.2">
      <c r="A4420" s="199"/>
      <c r="B4420" s="233"/>
      <c r="C4420" s="199"/>
      <c r="D4420" s="199"/>
      <c r="E4420" s="199"/>
      <c r="F4420" s="234" t="s">
        <v>212</v>
      </c>
      <c r="G4420" s="244"/>
      <c r="H4420" s="245"/>
      <c r="I4420" s="434"/>
    </row>
    <row r="4421" spans="1:17" x14ac:dyDescent="0.2">
      <c r="A4421" s="199"/>
      <c r="B4421" s="233"/>
      <c r="C4421" s="199"/>
      <c r="D4421" s="199"/>
      <c r="E4421" s="199"/>
      <c r="F4421" s="199"/>
      <c r="G4421" s="269"/>
      <c r="H4421" s="199"/>
      <c r="I4421" s="200"/>
    </row>
    <row r="4422" spans="1:17" x14ac:dyDescent="0.2">
      <c r="A4422" s="270" t="s">
        <v>213</v>
      </c>
      <c r="B4422" s="247" t="s">
        <v>60</v>
      </c>
      <c r="C4422" s="247" t="s">
        <v>211</v>
      </c>
      <c r="D4422" s="866" t="s">
        <v>233</v>
      </c>
      <c r="E4422" s="1271" t="s">
        <v>91</v>
      </c>
      <c r="F4422" s="1272"/>
      <c r="G4422" s="1273"/>
      <c r="H4422" s="1274" t="s">
        <v>198</v>
      </c>
      <c r="I4422" s="1275"/>
      <c r="J4422" s="451"/>
      <c r="K4422" s="451"/>
      <c r="L4422" s="198"/>
      <c r="M4422" s="198"/>
      <c r="N4422" s="198"/>
    </row>
    <row r="4423" spans="1:17" x14ac:dyDescent="0.2">
      <c r="A4423" s="452"/>
      <c r="B4423" s="453"/>
      <c r="C4423" s="453"/>
      <c r="D4423" s="454"/>
      <c r="E4423" s="455"/>
      <c r="F4423" s="456"/>
      <c r="G4423" s="457"/>
      <c r="H4423" s="458"/>
      <c r="I4423" s="459"/>
    </row>
    <row r="4424" spans="1:17" x14ac:dyDescent="0.2">
      <c r="A4424" s="201"/>
      <c r="B4424" s="271"/>
      <c r="C4424" s="201"/>
      <c r="D4424" s="201"/>
      <c r="E4424" s="201"/>
      <c r="F4424" s="272" t="s">
        <v>214</v>
      </c>
      <c r="G4424" s="260"/>
      <c r="H4424" s="273"/>
      <c r="I4424" s="436">
        <f>SUM(I4423:I4423)</f>
        <v>0</v>
      </c>
    </row>
    <row r="4425" spans="1:17" x14ac:dyDescent="0.2">
      <c r="A4425" s="201"/>
      <c r="B4425" s="271"/>
      <c r="C4425" s="201"/>
      <c r="D4425" s="201"/>
      <c r="E4425" s="201"/>
      <c r="F4425" s="201"/>
      <c r="G4425" s="201"/>
      <c r="H4425" s="201"/>
      <c r="I4425" s="201"/>
    </row>
    <row r="4426" spans="1:17" x14ac:dyDescent="0.2">
      <c r="A4426" s="274" t="s">
        <v>215</v>
      </c>
      <c r="B4426" s="275" t="s">
        <v>60</v>
      </c>
      <c r="C4426" s="275" t="s">
        <v>211</v>
      </c>
      <c r="D4426" s="275" t="s">
        <v>216</v>
      </c>
      <c r="E4426" s="275" t="s">
        <v>217</v>
      </c>
      <c r="F4426" s="275" t="s">
        <v>218</v>
      </c>
      <c r="G4426" s="275" t="s">
        <v>96</v>
      </c>
      <c r="H4426" s="275" t="s">
        <v>91</v>
      </c>
      <c r="I4426" s="275" t="s">
        <v>219</v>
      </c>
      <c r="P4426" s="198"/>
      <c r="Q4426" s="198"/>
    </row>
    <row r="4427" spans="1:17" x14ac:dyDescent="0.2">
      <c r="A4427" s="201"/>
      <c r="B4427" s="271"/>
      <c r="C4427" s="201"/>
      <c r="D4427" s="201"/>
      <c r="E4427" s="201"/>
      <c r="F4427" s="272" t="s">
        <v>220</v>
      </c>
      <c r="G4427" s="244"/>
      <c r="H4427" s="279"/>
      <c r="I4427" s="438"/>
    </row>
    <row r="4428" spans="1:17" x14ac:dyDescent="0.2">
      <c r="A4428" s="201"/>
      <c r="B4428" s="271"/>
      <c r="C4428" s="201"/>
      <c r="D4428" s="201"/>
      <c r="E4428" s="201"/>
      <c r="F4428" s="201"/>
      <c r="G4428" s="201"/>
      <c r="H4428" s="201"/>
      <c r="I4428" s="202"/>
      <c r="J4428" s="446"/>
    </row>
    <row r="4429" spans="1:17" x14ac:dyDescent="0.2">
      <c r="A4429" s="280"/>
      <c r="B4429" s="281"/>
      <c r="C4429" s="282"/>
      <c r="D4429" s="282"/>
      <c r="E4429" s="282"/>
      <c r="F4429" s="283" t="s">
        <v>221</v>
      </c>
      <c r="G4429" s="280"/>
      <c r="H4429" s="254"/>
      <c r="I4429" s="634">
        <f>+I4417+I4420+I4424+I4427</f>
        <v>55.37</v>
      </c>
    </row>
    <row r="4430" spans="1:17" x14ac:dyDescent="0.2">
      <c r="A4430" s="260"/>
      <c r="B4430" s="284"/>
      <c r="C4430" s="273"/>
      <c r="D4430" s="273"/>
      <c r="E4430" s="273"/>
      <c r="F4430" s="285" t="str">
        <f>CONCATENATE($H$3," ",$I$3)</f>
        <v>BDI: 23,32</v>
      </c>
      <c r="G4430" s="439"/>
      <c r="H4430" s="258"/>
      <c r="I4430" s="635">
        <f>+ROUND(I4429*$I$4,2)</f>
        <v>12.91</v>
      </c>
      <c r="J4430" s="446"/>
    </row>
    <row r="4431" spans="1:17" x14ac:dyDescent="0.2">
      <c r="A4431" s="244"/>
      <c r="B4431" s="286"/>
      <c r="C4431" s="279"/>
      <c r="D4431" s="279"/>
      <c r="E4431" s="279"/>
      <c r="F4431" s="287" t="s">
        <v>222</v>
      </c>
      <c r="G4431" s="440"/>
      <c r="H4431" s="245"/>
      <c r="I4431" s="1017">
        <f>+I4429+I4430</f>
        <v>68.28</v>
      </c>
    </row>
    <row r="4432" spans="1:17" x14ac:dyDescent="0.2">
      <c r="A4432" s="1286" t="str">
        <f>$A$1</f>
        <v>COMPOSIÇÃO DE CUSTOS UNITÁRIOS</v>
      </c>
      <c r="B4432" s="1286"/>
      <c r="C4432" s="1286"/>
      <c r="D4432" s="1286"/>
      <c r="E4432" s="1286"/>
      <c r="F4432" s="1286"/>
      <c r="G4432" s="1286"/>
      <c r="H4432" s="1286"/>
      <c r="I4432" s="1286"/>
      <c r="J4432" s="451"/>
      <c r="K4432" s="451"/>
      <c r="L4432" s="198"/>
      <c r="M4432" s="198"/>
      <c r="N4432" s="198"/>
      <c r="O4432" s="198"/>
      <c r="P4432" s="198"/>
      <c r="Q4432" s="198"/>
    </row>
    <row r="4433" spans="1:17" x14ac:dyDescent="0.2">
      <c r="A4433" s="447" t="str">
        <f>$A$2</f>
        <v>Tabela Referencial de Preços - DER-ES</v>
      </c>
      <c r="B4433" s="448"/>
      <c r="C4433" s="449"/>
      <c r="D4433" s="449"/>
      <c r="E4433" s="449"/>
      <c r="F4433" s="449"/>
      <c r="G4433" s="449"/>
      <c r="H4433" s="449"/>
      <c r="I4433" s="450" t="str">
        <f>$I$2</f>
        <v>Data Base: Outubro/2018</v>
      </c>
      <c r="J4433" s="451">
        <v>40256</v>
      </c>
      <c r="K4433" s="451">
        <f>VLOOKUP("Preço Unitário Total",F4435:I4496,4,FALSE)</f>
        <v>95.62</v>
      </c>
      <c r="L4433" s="198">
        <f>VLOOKUP(J4433,'DER 10-18'!A:E,5,FALSE)</f>
        <v>0</v>
      </c>
      <c r="M4433" s="198" t="str">
        <f>VLOOKUP(J4433,'DER 10-18'!$A:$D,2,FALSE)</f>
        <v>Escavação manual furos, valetas mat. 1ª cat. H= 0,00 a 1,50 m (dim. reduz.)</v>
      </c>
      <c r="N4433" s="198"/>
      <c r="O4433" s="198"/>
      <c r="P4433" s="198"/>
      <c r="Q4433" s="198"/>
    </row>
    <row r="4434" spans="1:17" x14ac:dyDescent="0.2">
      <c r="A4434" s="1287" t="str">
        <f>+CONCATENATE("Serviço: ",J4433," ",VLOOKUP(J4433,'DER 10-18'!$A:$D,2,FALSE))</f>
        <v>Serviço: 40256 Escavação manual furos, valetas mat. 1ª cat. H= 0,00 a 1,50 m (dim. reduz.)</v>
      </c>
      <c r="B4434" s="1287"/>
      <c r="C4434" s="1287"/>
      <c r="D4434" s="1287"/>
      <c r="E4434" s="1287"/>
      <c r="F4434" s="1287"/>
      <c r="G4434" s="1287"/>
      <c r="H4434" s="1287"/>
      <c r="I4434" s="1287" t="str">
        <f>CONCATENATE("Unidade: ", VLOOKUP(J4433,'DER 10-18'!$A:$E,3,FALSE))</f>
        <v>Unidade: M3</v>
      </c>
      <c r="J4434" s="451"/>
      <c r="K4434" s="451"/>
      <c r="L4434" s="198"/>
      <c r="M4434" s="198"/>
      <c r="N4434" s="198"/>
      <c r="O4434" s="198"/>
      <c r="P4434" s="198"/>
      <c r="Q4434" s="198"/>
    </row>
    <row r="4435" spans="1:17" x14ac:dyDescent="0.2">
      <c r="A4435" s="1288"/>
      <c r="B4435" s="1288"/>
      <c r="C4435" s="1288"/>
      <c r="D4435" s="1288"/>
      <c r="E4435" s="1288"/>
      <c r="F4435" s="1288"/>
      <c r="G4435" s="1288"/>
      <c r="H4435" s="1288"/>
      <c r="I4435" s="1288"/>
      <c r="J4435" s="451"/>
      <c r="K4435" s="451"/>
      <c r="L4435" s="198"/>
      <c r="M4435" s="198"/>
      <c r="N4435" s="198"/>
      <c r="O4435" s="198"/>
      <c r="P4435" s="198"/>
      <c r="Q4435" s="198"/>
    </row>
    <row r="4436" spans="1:17" ht="22.5" x14ac:dyDescent="0.2">
      <c r="A4436" s="235" t="s">
        <v>192</v>
      </c>
      <c r="B4436" s="236" t="s">
        <v>60</v>
      </c>
      <c r="C4436" s="236" t="s">
        <v>193</v>
      </c>
      <c r="D4436" s="236" t="s">
        <v>194</v>
      </c>
      <c r="E4436" s="236" t="s">
        <v>195</v>
      </c>
      <c r="F4436" s="236" t="s">
        <v>196</v>
      </c>
      <c r="G4436" s="236" t="s">
        <v>197</v>
      </c>
      <c r="H4436" s="236" t="s">
        <v>91</v>
      </c>
      <c r="I4436" s="236" t="s">
        <v>198</v>
      </c>
    </row>
    <row r="4437" spans="1:17" x14ac:dyDescent="0.2">
      <c r="A4437" s="199"/>
      <c r="B4437" s="233"/>
      <c r="C4437" s="233"/>
      <c r="D4437" s="199"/>
      <c r="E4437" s="199"/>
      <c r="F4437" s="234" t="s">
        <v>199</v>
      </c>
      <c r="G4437" s="244"/>
      <c r="H4437" s="245"/>
      <c r="I4437" s="434"/>
    </row>
    <row r="4438" spans="1:17" x14ac:dyDescent="0.2">
      <c r="A4438" s="199"/>
      <c r="B4438" s="233"/>
      <c r="C4438" s="233"/>
      <c r="D4438" s="199"/>
      <c r="E4438" s="199"/>
      <c r="F4438" s="199"/>
      <c r="G4438" s="199"/>
      <c r="H4438" s="199"/>
      <c r="I4438" s="200"/>
    </row>
    <row r="4439" spans="1:17" x14ac:dyDescent="0.2">
      <c r="A4439" s="246" t="s">
        <v>200</v>
      </c>
      <c r="B4439" s="247" t="s">
        <v>60</v>
      </c>
      <c r="C4439" s="236" t="s">
        <v>1242</v>
      </c>
      <c r="D4439" s="247" t="s">
        <v>202</v>
      </c>
      <c r="E4439" s="1271" t="s">
        <v>91</v>
      </c>
      <c r="F4439" s="1272"/>
      <c r="G4439" s="1273"/>
      <c r="H4439" s="1276" t="s">
        <v>198</v>
      </c>
      <c r="I4439" s="1275"/>
    </row>
    <row r="4440" spans="1:17" x14ac:dyDescent="0.2">
      <c r="A4440" s="248" t="str">
        <f>VLOOKUP(B4440,m.o.!$A:$H,2,FALSE)</f>
        <v>Encarregado de O.A.C.</v>
      </c>
      <c r="B4440" s="238">
        <v>20060</v>
      </c>
      <c r="C4440" s="243">
        <f>VLOOKUP(B4440,m.o.!$A:$F,4,FALSE)</f>
        <v>2.2599999999999998</v>
      </c>
      <c r="D4440" s="243">
        <f>VLOOKUP(B4440,m.o.!$A:$G,7,FALSE)</f>
        <v>26.3</v>
      </c>
      <c r="E4440" s="260"/>
      <c r="F4440" s="258"/>
      <c r="G4440" s="300">
        <v>0.1</v>
      </c>
      <c r="H4440" s="244"/>
      <c r="I4440" s="249">
        <f t="shared" ref="I4440:I4441" si="53">TRUNC(D4440*G4440,2)</f>
        <v>2.63</v>
      </c>
    </row>
    <row r="4441" spans="1:17" x14ac:dyDescent="0.2">
      <c r="A4441" s="248" t="str">
        <f>VLOOKUP(B4441,m.o.!$A:$H,2,FALSE)</f>
        <v>Operário braçal</v>
      </c>
      <c r="B4441" s="238">
        <v>20107</v>
      </c>
      <c r="C4441" s="243">
        <f>VLOOKUP(B4441,m.o.!$A:$F,4,FALSE)</f>
        <v>1.02</v>
      </c>
      <c r="D4441" s="243">
        <f>VLOOKUP(B4441,m.o.!$A:$G,7,FALSE)</f>
        <v>11.87</v>
      </c>
      <c r="E4441" s="260"/>
      <c r="F4441" s="258"/>
      <c r="G4441" s="300">
        <v>6</v>
      </c>
      <c r="H4441" s="244"/>
      <c r="I4441" s="249">
        <f t="shared" si="53"/>
        <v>71.22</v>
      </c>
    </row>
    <row r="4442" spans="1:17" x14ac:dyDescent="0.2">
      <c r="A4442" s="199"/>
      <c r="B4442" s="233"/>
      <c r="C4442" s="233"/>
      <c r="D4442" s="199"/>
      <c r="E4442" s="199"/>
      <c r="F4442" s="234" t="s">
        <v>203</v>
      </c>
      <c r="G4442" s="244"/>
      <c r="H4442" s="245"/>
      <c r="I4442" s="434">
        <f>SUM(I4440:I4441)</f>
        <v>73.849999999999994</v>
      </c>
    </row>
    <row r="4443" spans="1:17" x14ac:dyDescent="0.2">
      <c r="A4443" s="199"/>
      <c r="B4443" s="233"/>
      <c r="C4443" s="233"/>
      <c r="D4443" s="199"/>
      <c r="E4443" s="199"/>
      <c r="F4443" s="199"/>
      <c r="G4443" s="199"/>
      <c r="H4443" s="199"/>
      <c r="I4443" s="200"/>
    </row>
    <row r="4444" spans="1:17" x14ac:dyDescent="0.2">
      <c r="A4444" s="250" t="s">
        <v>204</v>
      </c>
      <c r="B4444" s="247" t="s">
        <v>60</v>
      </c>
      <c r="C4444" s="866" t="s">
        <v>17</v>
      </c>
      <c r="D4444" s="247" t="s">
        <v>205</v>
      </c>
      <c r="E4444" s="247" t="s">
        <v>206</v>
      </c>
      <c r="F4444" s="247" t="s">
        <v>207</v>
      </c>
      <c r="G4444" s="1276" t="s">
        <v>96</v>
      </c>
      <c r="H4444" s="1274"/>
      <c r="I4444" s="1275"/>
    </row>
    <row r="4445" spans="1:17" x14ac:dyDescent="0.2">
      <c r="A4445" s="248" t="s">
        <v>142</v>
      </c>
      <c r="B4445" s="238">
        <v>2000</v>
      </c>
      <c r="C4445" s="243">
        <v>5</v>
      </c>
      <c r="D4445" s="239" t="s">
        <v>223</v>
      </c>
      <c r="E4445" s="251"/>
      <c r="F4445" s="251"/>
      <c r="G4445" s="244"/>
      <c r="H4445" s="245"/>
      <c r="I4445" s="249">
        <f>TRUNC(C4445/100*I4442,2)</f>
        <v>3.69</v>
      </c>
    </row>
    <row r="4446" spans="1:17" x14ac:dyDescent="0.2">
      <c r="A4446" s="199"/>
      <c r="B4446" s="233"/>
      <c r="C4446" s="199"/>
      <c r="D4446" s="199"/>
      <c r="E4446" s="199"/>
      <c r="F4446" s="234" t="s">
        <v>1170</v>
      </c>
      <c r="G4446" s="244"/>
      <c r="H4446" s="245"/>
      <c r="I4446" s="434">
        <f>I4445</f>
        <v>3.69</v>
      </c>
    </row>
    <row r="4447" spans="1:17" x14ac:dyDescent="0.2">
      <c r="A4447" s="199"/>
      <c r="B4447" s="233"/>
      <c r="C4447" s="199"/>
      <c r="D4447" s="199"/>
      <c r="E4447" s="199"/>
      <c r="F4447" s="199"/>
      <c r="G4447" s="199"/>
      <c r="H4447" s="199"/>
      <c r="I4447" s="200"/>
      <c r="O4447" s="198"/>
    </row>
    <row r="4448" spans="1:17" x14ac:dyDescent="0.2">
      <c r="A4448" s="252"/>
      <c r="B4448" s="253"/>
      <c r="C4448" s="254"/>
      <c r="D4448" s="254"/>
      <c r="E4448" s="254"/>
      <c r="F4448" s="255" t="s">
        <v>208</v>
      </c>
      <c r="G4448" s="435"/>
      <c r="H4448" s="254"/>
      <c r="I4448" s="634">
        <f>+I4437+I4442+I4446</f>
        <v>77.540000000000006</v>
      </c>
    </row>
    <row r="4449" spans="1:17" x14ac:dyDescent="0.2">
      <c r="A4449" s="256"/>
      <c r="B4449" s="257"/>
      <c r="C4449" s="258"/>
      <c r="D4449" s="258"/>
      <c r="E4449" s="258"/>
      <c r="F4449" s="259" t="s">
        <v>209</v>
      </c>
      <c r="G4449" s="260"/>
      <c r="H4449" s="258"/>
      <c r="I4449" s="635">
        <v>1</v>
      </c>
    </row>
    <row r="4450" spans="1:17" x14ac:dyDescent="0.2">
      <c r="A4450" s="237"/>
      <c r="B4450" s="261"/>
      <c r="C4450" s="245"/>
      <c r="D4450" s="245"/>
      <c r="E4450" s="245"/>
      <c r="F4450" s="262" t="s">
        <v>232</v>
      </c>
      <c r="G4450" s="244"/>
      <c r="H4450" s="245"/>
      <c r="I4450" s="633">
        <f>TRUNC(I4448/I4449,2)</f>
        <v>77.540000000000006</v>
      </c>
    </row>
    <row r="4451" spans="1:17" x14ac:dyDescent="0.2">
      <c r="A4451" s="867"/>
      <c r="B4451" s="233"/>
      <c r="C4451" s="199"/>
      <c r="D4451" s="199"/>
      <c r="E4451" s="199"/>
      <c r="F4451" s="263"/>
      <c r="G4451" s="199"/>
      <c r="H4451" s="199"/>
      <c r="I4451" s="264"/>
    </row>
    <row r="4452" spans="1:17" x14ac:dyDescent="0.2">
      <c r="A4452" s="246" t="s">
        <v>210</v>
      </c>
      <c r="B4452" s="247" t="s">
        <v>60</v>
      </c>
      <c r="C4452" s="247" t="s">
        <v>211</v>
      </c>
      <c r="D4452" s="247" t="s">
        <v>233</v>
      </c>
      <c r="E4452" s="1276" t="s">
        <v>91</v>
      </c>
      <c r="F4452" s="1274"/>
      <c r="G4452" s="1275"/>
      <c r="H4452" s="1276" t="s">
        <v>198</v>
      </c>
      <c r="I4452" s="1275"/>
    </row>
    <row r="4453" spans="1:17" x14ac:dyDescent="0.2">
      <c r="A4453" s="199"/>
      <c r="B4453" s="233"/>
      <c r="C4453" s="199"/>
      <c r="D4453" s="199"/>
      <c r="E4453" s="199"/>
      <c r="F4453" s="234" t="s">
        <v>212</v>
      </c>
      <c r="G4453" s="244"/>
      <c r="H4453" s="245"/>
      <c r="I4453" s="434"/>
    </row>
    <row r="4454" spans="1:17" x14ac:dyDescent="0.2">
      <c r="A4454" s="199"/>
      <c r="B4454" s="233"/>
      <c r="C4454" s="199"/>
      <c r="D4454" s="199"/>
      <c r="E4454" s="199"/>
      <c r="F4454" s="199"/>
      <c r="G4454" s="269"/>
      <c r="H4454" s="199"/>
      <c r="I4454" s="200"/>
    </row>
    <row r="4455" spans="1:17" x14ac:dyDescent="0.2">
      <c r="A4455" s="270" t="s">
        <v>213</v>
      </c>
      <c r="B4455" s="247" t="s">
        <v>60</v>
      </c>
      <c r="C4455" s="247" t="s">
        <v>211</v>
      </c>
      <c r="D4455" s="866" t="s">
        <v>233</v>
      </c>
      <c r="E4455" s="1271" t="s">
        <v>91</v>
      </c>
      <c r="F4455" s="1272"/>
      <c r="G4455" s="1273"/>
      <c r="H4455" s="1274" t="s">
        <v>198</v>
      </c>
      <c r="I4455" s="1275"/>
      <c r="J4455" s="451"/>
      <c r="K4455" s="451"/>
      <c r="L4455" s="198"/>
      <c r="M4455" s="198"/>
      <c r="N4455" s="198"/>
    </row>
    <row r="4456" spans="1:17" x14ac:dyDescent="0.2">
      <c r="A4456" s="452"/>
      <c r="B4456" s="453"/>
      <c r="C4456" s="453"/>
      <c r="D4456" s="454"/>
      <c r="E4456" s="455"/>
      <c r="F4456" s="456"/>
      <c r="G4456" s="457"/>
      <c r="H4456" s="458"/>
      <c r="I4456" s="459"/>
    </row>
    <row r="4457" spans="1:17" x14ac:dyDescent="0.2">
      <c r="A4457" s="201"/>
      <c r="B4457" s="271"/>
      <c r="C4457" s="201"/>
      <c r="D4457" s="201"/>
      <c r="E4457" s="201"/>
      <c r="F4457" s="272" t="s">
        <v>214</v>
      </c>
      <c r="G4457" s="260"/>
      <c r="H4457" s="273"/>
      <c r="I4457" s="436">
        <f>SUM(I4456:I4456)</f>
        <v>0</v>
      </c>
    </row>
    <row r="4458" spans="1:17" x14ac:dyDescent="0.2">
      <c r="A4458" s="201"/>
      <c r="B4458" s="271"/>
      <c r="C4458" s="201"/>
      <c r="D4458" s="201"/>
      <c r="E4458" s="201"/>
      <c r="F4458" s="201"/>
      <c r="G4458" s="201"/>
      <c r="H4458" s="201"/>
      <c r="I4458" s="201"/>
    </row>
    <row r="4459" spans="1:17" x14ac:dyDescent="0.2">
      <c r="A4459" s="274" t="s">
        <v>215</v>
      </c>
      <c r="B4459" s="275" t="s">
        <v>60</v>
      </c>
      <c r="C4459" s="275" t="s">
        <v>211</v>
      </c>
      <c r="D4459" s="275" t="s">
        <v>216</v>
      </c>
      <c r="E4459" s="275" t="s">
        <v>217</v>
      </c>
      <c r="F4459" s="275" t="s">
        <v>218</v>
      </c>
      <c r="G4459" s="275" t="s">
        <v>96</v>
      </c>
      <c r="H4459" s="275" t="s">
        <v>91</v>
      </c>
      <c r="I4459" s="275" t="s">
        <v>219</v>
      </c>
      <c r="P4459" s="198"/>
      <c r="Q4459" s="198"/>
    </row>
    <row r="4460" spans="1:17" x14ac:dyDescent="0.2">
      <c r="A4460" s="201"/>
      <c r="B4460" s="271"/>
      <c r="C4460" s="201"/>
      <c r="D4460" s="201"/>
      <c r="E4460" s="201"/>
      <c r="F4460" s="272" t="s">
        <v>220</v>
      </c>
      <c r="G4460" s="244"/>
      <c r="H4460" s="279"/>
      <c r="I4460" s="438"/>
    </row>
    <row r="4461" spans="1:17" x14ac:dyDescent="0.2">
      <c r="A4461" s="201"/>
      <c r="B4461" s="271"/>
      <c r="C4461" s="201"/>
      <c r="D4461" s="201"/>
      <c r="E4461" s="201"/>
      <c r="F4461" s="201"/>
      <c r="G4461" s="201"/>
      <c r="H4461" s="201"/>
      <c r="I4461" s="202"/>
      <c r="J4461" s="446"/>
    </row>
    <row r="4462" spans="1:17" x14ac:dyDescent="0.2">
      <c r="A4462" s="280"/>
      <c r="B4462" s="281"/>
      <c r="C4462" s="282"/>
      <c r="D4462" s="282"/>
      <c r="E4462" s="282"/>
      <c r="F4462" s="283" t="s">
        <v>221</v>
      </c>
      <c r="G4462" s="280"/>
      <c r="H4462" s="254"/>
      <c r="I4462" s="634">
        <f>+I4450+I4453+I4457+I4460</f>
        <v>77.540000000000006</v>
      </c>
    </row>
    <row r="4463" spans="1:17" x14ac:dyDescent="0.2">
      <c r="A4463" s="260"/>
      <c r="B4463" s="284"/>
      <c r="C4463" s="273"/>
      <c r="D4463" s="273"/>
      <c r="E4463" s="273"/>
      <c r="F4463" s="285" t="str">
        <f>CONCATENATE($H$3," ",$I$3)</f>
        <v>BDI: 23,32</v>
      </c>
      <c r="G4463" s="439"/>
      <c r="H4463" s="258"/>
      <c r="I4463" s="635">
        <f>+ROUND(I4462*$I$4,2)</f>
        <v>18.079999999999998</v>
      </c>
      <c r="J4463" s="446"/>
    </row>
    <row r="4464" spans="1:17" x14ac:dyDescent="0.2">
      <c r="A4464" s="244"/>
      <c r="B4464" s="286"/>
      <c r="C4464" s="279"/>
      <c r="D4464" s="279"/>
      <c r="E4464" s="279"/>
      <c r="F4464" s="287" t="s">
        <v>222</v>
      </c>
      <c r="G4464" s="440"/>
      <c r="H4464" s="245"/>
      <c r="I4464" s="1017">
        <f>+I4462+I4463</f>
        <v>95.62</v>
      </c>
    </row>
    <row r="4465" spans="1:17" x14ac:dyDescent="0.2">
      <c r="A4465" s="1286" t="str">
        <f>$A$1</f>
        <v>COMPOSIÇÃO DE CUSTOS UNITÁRIOS</v>
      </c>
      <c r="B4465" s="1286"/>
      <c r="C4465" s="1286"/>
      <c r="D4465" s="1286"/>
      <c r="E4465" s="1286"/>
      <c r="F4465" s="1286"/>
      <c r="G4465" s="1286"/>
      <c r="H4465" s="1286"/>
      <c r="I4465" s="1286"/>
      <c r="J4465" s="451"/>
      <c r="K4465" s="451"/>
      <c r="L4465" s="198"/>
      <c r="M4465" s="198"/>
      <c r="N4465" s="198"/>
      <c r="O4465" s="198"/>
      <c r="P4465" s="198"/>
      <c r="Q4465" s="198"/>
    </row>
    <row r="4466" spans="1:17" x14ac:dyDescent="0.2">
      <c r="A4466" s="447" t="str">
        <f>$A$2</f>
        <v>Tabela Referencial de Preços - DER-ES</v>
      </c>
      <c r="B4466" s="448"/>
      <c r="C4466" s="449"/>
      <c r="D4466" s="449"/>
      <c r="E4466" s="449"/>
      <c r="F4466" s="449"/>
      <c r="G4466" s="449"/>
      <c r="H4466" s="449"/>
      <c r="I4466" s="450" t="str">
        <f>$I$2</f>
        <v>Data Base: Outubro/2018</v>
      </c>
      <c r="J4466" s="451">
        <v>42878</v>
      </c>
      <c r="K4466" s="451">
        <f>VLOOKUP("Preço Unitário Total",F4468:I4496,4,FALSE)</f>
        <v>5719.74</v>
      </c>
      <c r="L4466" s="198">
        <f>VLOOKUP(J4466,'DER 10-18'!A:E,5,FALSE)</f>
        <v>0</v>
      </c>
      <c r="M4466" s="198" t="str">
        <f>VLOOKUP(J4466,'DER 10-18'!$A:$D,2,FALSE)</f>
        <v>Aluguel de automóvel VW/ Gol (flex) 1,6 ou equivalente, exclusive motorista e combustível</v>
      </c>
      <c r="N4466" s="198"/>
      <c r="O4466" s="198"/>
      <c r="P4466" s="198"/>
      <c r="Q4466" s="198"/>
    </row>
    <row r="4467" spans="1:17" x14ac:dyDescent="0.2">
      <c r="A4467" s="1287" t="str">
        <f>+CONCATENATE("Serviço: ",J4466," ",VLOOKUP(J4466,'DER 10-18'!$A:$D,2,FALSE))</f>
        <v>Serviço: 42878 Aluguel de automóvel VW/ Gol (flex) 1,6 ou equivalente, exclusive motorista e combustível</v>
      </c>
      <c r="B4467" s="1287"/>
      <c r="C4467" s="1287"/>
      <c r="D4467" s="1287"/>
      <c r="E4467" s="1287"/>
      <c r="F4467" s="1287"/>
      <c r="G4467" s="1287"/>
      <c r="H4467" s="1287"/>
      <c r="I4467" s="1287" t="str">
        <f>CONCATENATE("Unidade: ", VLOOKUP(J4466,'DER 10-18'!$A:$E,3,FALSE))</f>
        <v>Unidade: Mes</v>
      </c>
      <c r="J4467" s="451"/>
      <c r="K4467" s="451"/>
      <c r="L4467" s="198"/>
      <c r="M4467" s="198"/>
      <c r="N4467" s="198"/>
      <c r="O4467" s="198"/>
      <c r="P4467" s="198"/>
      <c r="Q4467" s="198"/>
    </row>
    <row r="4468" spans="1:17" x14ac:dyDescent="0.2">
      <c r="A4468" s="1288"/>
      <c r="B4468" s="1288"/>
      <c r="C4468" s="1288"/>
      <c r="D4468" s="1288"/>
      <c r="E4468" s="1288"/>
      <c r="F4468" s="1288"/>
      <c r="G4468" s="1288"/>
      <c r="H4468" s="1288"/>
      <c r="I4468" s="1288"/>
      <c r="J4468" s="451"/>
      <c r="K4468" s="451"/>
      <c r="L4468" s="198"/>
      <c r="M4468" s="198"/>
      <c r="N4468" s="198"/>
      <c r="O4468" s="198"/>
      <c r="P4468" s="198"/>
      <c r="Q4468" s="198"/>
    </row>
    <row r="4469" spans="1:17" ht="22.5" x14ac:dyDescent="0.2">
      <c r="A4469" s="235" t="s">
        <v>192</v>
      </c>
      <c r="B4469" s="236" t="s">
        <v>60</v>
      </c>
      <c r="C4469" s="236" t="s">
        <v>193</v>
      </c>
      <c r="D4469" s="236" t="s">
        <v>194</v>
      </c>
      <c r="E4469" s="236" t="s">
        <v>195</v>
      </c>
      <c r="F4469" s="236" t="s">
        <v>196</v>
      </c>
      <c r="G4469" s="236" t="s">
        <v>197</v>
      </c>
      <c r="H4469" s="236" t="s">
        <v>91</v>
      </c>
      <c r="I4469" s="236" t="s">
        <v>198</v>
      </c>
    </row>
    <row r="4470" spans="1:17" x14ac:dyDescent="0.2">
      <c r="A4470" s="199"/>
      <c r="B4470" s="233"/>
      <c r="C4470" s="233"/>
      <c r="D4470" s="199"/>
      <c r="E4470" s="199"/>
      <c r="F4470" s="234" t="s">
        <v>199</v>
      </c>
      <c r="G4470" s="244"/>
      <c r="H4470" s="245"/>
      <c r="I4470" s="434"/>
    </row>
    <row r="4471" spans="1:17" x14ac:dyDescent="0.2">
      <c r="A4471" s="199"/>
      <c r="B4471" s="233"/>
      <c r="C4471" s="233"/>
      <c r="D4471" s="199"/>
      <c r="E4471" s="199"/>
      <c r="F4471" s="199"/>
      <c r="G4471" s="199"/>
      <c r="H4471" s="199"/>
      <c r="I4471" s="200"/>
    </row>
    <row r="4472" spans="1:17" x14ac:dyDescent="0.2">
      <c r="A4472" s="246" t="s">
        <v>200</v>
      </c>
      <c r="B4472" s="247" t="s">
        <v>60</v>
      </c>
      <c r="C4472" s="236" t="s">
        <v>1242</v>
      </c>
      <c r="D4472" s="247" t="s">
        <v>202</v>
      </c>
      <c r="E4472" s="1271" t="s">
        <v>91</v>
      </c>
      <c r="F4472" s="1272"/>
      <c r="G4472" s="1273"/>
      <c r="H4472" s="1276" t="s">
        <v>198</v>
      </c>
      <c r="I4472" s="1275"/>
    </row>
    <row r="4473" spans="1:17" x14ac:dyDescent="0.2">
      <c r="A4473" s="199"/>
      <c r="B4473" s="233"/>
      <c r="C4473" s="233"/>
      <c r="D4473" s="199"/>
      <c r="E4473" s="199"/>
      <c r="F4473" s="234" t="s">
        <v>203</v>
      </c>
      <c r="G4473" s="244"/>
      <c r="H4473" s="245"/>
      <c r="I4473" s="434"/>
    </row>
    <row r="4474" spans="1:17" x14ac:dyDescent="0.2">
      <c r="A4474" s="199"/>
      <c r="B4474" s="233"/>
      <c r="C4474" s="233"/>
      <c r="D4474" s="199"/>
      <c r="E4474" s="199"/>
      <c r="F4474" s="199"/>
      <c r="G4474" s="199"/>
      <c r="H4474" s="199"/>
      <c r="I4474" s="200"/>
    </row>
    <row r="4475" spans="1:17" x14ac:dyDescent="0.2">
      <c r="A4475" s="250" t="s">
        <v>204</v>
      </c>
      <c r="B4475" s="247" t="s">
        <v>60</v>
      </c>
      <c r="C4475" s="866" t="s">
        <v>17</v>
      </c>
      <c r="D4475" s="247" t="s">
        <v>205</v>
      </c>
      <c r="E4475" s="247" t="s">
        <v>206</v>
      </c>
      <c r="F4475" s="247" t="s">
        <v>207</v>
      </c>
      <c r="G4475" s="1276" t="s">
        <v>96</v>
      </c>
      <c r="H4475" s="1274"/>
      <c r="I4475" s="1275"/>
    </row>
    <row r="4476" spans="1:17" x14ac:dyDescent="0.2">
      <c r="A4476" s="199"/>
      <c r="B4476" s="233"/>
      <c r="C4476" s="199"/>
      <c r="D4476" s="199"/>
      <c r="E4476" s="199"/>
      <c r="F4476" s="234" t="s">
        <v>1170</v>
      </c>
      <c r="G4476" s="244"/>
      <c r="H4476" s="245"/>
      <c r="I4476" s="434"/>
    </row>
    <row r="4477" spans="1:17" x14ac:dyDescent="0.2">
      <c r="A4477" s="199"/>
      <c r="B4477" s="233"/>
      <c r="C4477" s="199"/>
      <c r="D4477" s="199"/>
      <c r="E4477" s="199"/>
      <c r="F4477" s="199"/>
      <c r="G4477" s="199"/>
      <c r="H4477" s="199"/>
      <c r="I4477" s="200"/>
    </row>
    <row r="4478" spans="1:17" x14ac:dyDescent="0.2">
      <c r="A4478" s="252"/>
      <c r="B4478" s="253"/>
      <c r="C4478" s="254"/>
      <c r="D4478" s="254"/>
      <c r="E4478" s="254"/>
      <c r="F4478" s="255" t="s">
        <v>208</v>
      </c>
      <c r="G4478" s="435"/>
      <c r="H4478" s="254"/>
      <c r="I4478" s="634">
        <f>+I4470+I4473+I4476</f>
        <v>0</v>
      </c>
    </row>
    <row r="4479" spans="1:17" x14ac:dyDescent="0.2">
      <c r="A4479" s="256"/>
      <c r="B4479" s="257"/>
      <c r="C4479" s="258"/>
      <c r="D4479" s="258"/>
      <c r="E4479" s="258"/>
      <c r="F4479" s="259" t="s">
        <v>209</v>
      </c>
      <c r="G4479" s="260"/>
      <c r="H4479" s="258"/>
      <c r="I4479" s="635">
        <v>1</v>
      </c>
    </row>
    <row r="4480" spans="1:17" x14ac:dyDescent="0.2">
      <c r="A4480" s="237"/>
      <c r="B4480" s="261"/>
      <c r="C4480" s="245"/>
      <c r="D4480" s="245"/>
      <c r="E4480" s="245"/>
      <c r="F4480" s="262" t="s">
        <v>232</v>
      </c>
      <c r="G4480" s="244"/>
      <c r="H4480" s="245"/>
      <c r="I4480" s="633">
        <f>TRUNC(I4478/I4479,2)</f>
        <v>0</v>
      </c>
    </row>
    <row r="4481" spans="1:17" x14ac:dyDescent="0.2">
      <c r="A4481" s="867"/>
      <c r="B4481" s="233"/>
      <c r="C4481" s="199"/>
      <c r="D4481" s="199"/>
      <c r="E4481" s="199"/>
      <c r="F4481" s="263"/>
      <c r="G4481" s="199"/>
      <c r="H4481" s="199"/>
      <c r="I4481" s="264"/>
    </row>
    <row r="4482" spans="1:17" x14ac:dyDescent="0.2">
      <c r="A4482" s="246" t="s">
        <v>210</v>
      </c>
      <c r="B4482" s="247" t="s">
        <v>60</v>
      </c>
      <c r="C4482" s="247" t="s">
        <v>211</v>
      </c>
      <c r="D4482" s="247" t="s">
        <v>233</v>
      </c>
      <c r="E4482" s="1276" t="s">
        <v>91</v>
      </c>
      <c r="F4482" s="1274"/>
      <c r="G4482" s="1275"/>
      <c r="H4482" s="1276" t="s">
        <v>198</v>
      </c>
      <c r="I4482" s="1275"/>
    </row>
    <row r="4483" spans="1:17" ht="33.75" x14ac:dyDescent="0.2">
      <c r="A4483" s="265" t="str">
        <f>VLOOKUP(B4483,mat.!$A:$D,2,FALSE)</f>
        <v>Aluguel mensal de veículos tipo Gol 1.6, exclusive motorista e combustível</v>
      </c>
      <c r="B4483" s="238">
        <v>10585</v>
      </c>
      <c r="C4483" s="266" t="str">
        <f>VLOOKUP(B4483,mat.!$A:$D,3,FALSE)</f>
        <v>Mes</v>
      </c>
      <c r="D4483" s="267">
        <f>VLOOKUP(B4483,mat.!$A:$D,4,FALSE)</f>
        <v>2263.13</v>
      </c>
      <c r="E4483" s="260"/>
      <c r="F4483" s="258"/>
      <c r="G4483" s="300">
        <v>1</v>
      </c>
      <c r="H4483" s="260"/>
      <c r="I4483" s="249">
        <f t="shared" ref="I4483" si="54">TRUNC(D4483*G4483,2)</f>
        <v>2263.13</v>
      </c>
    </row>
    <row r="4484" spans="1:17" x14ac:dyDescent="0.2">
      <c r="A4484" s="265" t="str">
        <f>VLOOKUP(B4484,mat.!$A:$D,2,FALSE)</f>
        <v>Gasolina</v>
      </c>
      <c r="B4484" s="238">
        <v>10859</v>
      </c>
      <c r="C4484" s="266" t="str">
        <f>VLOOKUP(B4484,mat.!$A:$D,3,FALSE)</f>
        <v>L</v>
      </c>
      <c r="D4484" s="267">
        <f>VLOOKUP(B4484,mat.!$A:$D,4,FALSE)</f>
        <v>4.75</v>
      </c>
      <c r="E4484" s="260"/>
      <c r="F4484" s="258"/>
      <c r="G4484" s="300">
        <v>500</v>
      </c>
      <c r="H4484" s="260"/>
      <c r="I4484" s="268">
        <f>TRUNC(D4484*G4484,2)</f>
        <v>2375</v>
      </c>
    </row>
    <row r="4485" spans="1:17" x14ac:dyDescent="0.2">
      <c r="A4485" s="199"/>
      <c r="B4485" s="233"/>
      <c r="C4485" s="199"/>
      <c r="D4485" s="199"/>
      <c r="E4485" s="199"/>
      <c r="F4485" s="234" t="s">
        <v>212</v>
      </c>
      <c r="G4485" s="244"/>
      <c r="H4485" s="245"/>
      <c r="I4485" s="434">
        <f>SUM(I4483:I4484)</f>
        <v>4638.13</v>
      </c>
    </row>
    <row r="4486" spans="1:17" x14ac:dyDescent="0.2">
      <c r="A4486" s="199"/>
      <c r="B4486" s="233"/>
      <c r="C4486" s="199"/>
      <c r="D4486" s="199"/>
      <c r="E4486" s="199"/>
      <c r="F4486" s="199"/>
      <c r="G4486" s="269"/>
      <c r="H4486" s="199"/>
      <c r="I4486" s="200"/>
    </row>
    <row r="4487" spans="1:17" x14ac:dyDescent="0.2">
      <c r="A4487" s="270" t="s">
        <v>213</v>
      </c>
      <c r="B4487" s="247" t="s">
        <v>60</v>
      </c>
      <c r="C4487" s="247" t="s">
        <v>211</v>
      </c>
      <c r="D4487" s="866" t="s">
        <v>233</v>
      </c>
      <c r="E4487" s="1271" t="s">
        <v>91</v>
      </c>
      <c r="F4487" s="1272"/>
      <c r="G4487" s="1273"/>
      <c r="H4487" s="1274" t="s">
        <v>198</v>
      </c>
      <c r="I4487" s="1275"/>
      <c r="J4487" s="451"/>
      <c r="K4487" s="451"/>
      <c r="L4487" s="198"/>
      <c r="M4487" s="198"/>
      <c r="N4487" s="198"/>
    </row>
    <row r="4488" spans="1:17" x14ac:dyDescent="0.2">
      <c r="A4488" s="452"/>
      <c r="B4488" s="453"/>
      <c r="C4488" s="453"/>
      <c r="D4488" s="454"/>
      <c r="E4488" s="455"/>
      <c r="F4488" s="456"/>
      <c r="G4488" s="457"/>
      <c r="H4488" s="458"/>
      <c r="I4488" s="459"/>
    </row>
    <row r="4489" spans="1:17" x14ac:dyDescent="0.2">
      <c r="A4489" s="201"/>
      <c r="B4489" s="271"/>
      <c r="C4489" s="201"/>
      <c r="D4489" s="201"/>
      <c r="E4489" s="201"/>
      <c r="F4489" s="272" t="s">
        <v>214</v>
      </c>
      <c r="G4489" s="260"/>
      <c r="H4489" s="273"/>
      <c r="I4489" s="436">
        <f>SUM(I4488:I4488)</f>
        <v>0</v>
      </c>
    </row>
    <row r="4490" spans="1:17" x14ac:dyDescent="0.2">
      <c r="A4490" s="201"/>
      <c r="B4490" s="271"/>
      <c r="C4490" s="201"/>
      <c r="D4490" s="201"/>
      <c r="E4490" s="201"/>
      <c r="F4490" s="201"/>
      <c r="G4490" s="201"/>
      <c r="H4490" s="201"/>
      <c r="I4490" s="201"/>
    </row>
    <row r="4491" spans="1:17" x14ac:dyDescent="0.2">
      <c r="A4491" s="274" t="s">
        <v>215</v>
      </c>
      <c r="B4491" s="275" t="s">
        <v>60</v>
      </c>
      <c r="C4491" s="275" t="s">
        <v>211</v>
      </c>
      <c r="D4491" s="275" t="s">
        <v>216</v>
      </c>
      <c r="E4491" s="275" t="s">
        <v>217</v>
      </c>
      <c r="F4491" s="275" t="s">
        <v>218</v>
      </c>
      <c r="G4491" s="275" t="s">
        <v>96</v>
      </c>
      <c r="H4491" s="275" t="s">
        <v>91</v>
      </c>
      <c r="I4491" s="275" t="s">
        <v>219</v>
      </c>
    </row>
    <row r="4492" spans="1:17" x14ac:dyDescent="0.2">
      <c r="A4492" s="201"/>
      <c r="B4492" s="271"/>
      <c r="C4492" s="201"/>
      <c r="D4492" s="201"/>
      <c r="E4492" s="201"/>
      <c r="F4492" s="272" t="s">
        <v>220</v>
      </c>
      <c r="G4492" s="244"/>
      <c r="H4492" s="279"/>
      <c r="I4492" s="438"/>
      <c r="P4492" s="198"/>
      <c r="Q4492" s="198"/>
    </row>
    <row r="4493" spans="1:17" x14ac:dyDescent="0.2">
      <c r="A4493" s="201"/>
      <c r="B4493" s="271"/>
      <c r="C4493" s="201"/>
      <c r="D4493" s="201"/>
      <c r="E4493" s="201"/>
      <c r="F4493" s="201"/>
      <c r="G4493" s="201"/>
      <c r="H4493" s="201"/>
      <c r="I4493" s="202"/>
      <c r="J4493" s="446"/>
    </row>
    <row r="4494" spans="1:17" x14ac:dyDescent="0.2">
      <c r="A4494" s="280"/>
      <c r="B4494" s="281"/>
      <c r="C4494" s="282"/>
      <c r="D4494" s="282"/>
      <c r="E4494" s="282"/>
      <c r="F4494" s="283" t="s">
        <v>221</v>
      </c>
      <c r="G4494" s="280"/>
      <c r="H4494" s="254"/>
      <c r="I4494" s="634">
        <f>+I4480+I4485+I4489+I4492</f>
        <v>4638.13</v>
      </c>
    </row>
    <row r="4495" spans="1:17" x14ac:dyDescent="0.2">
      <c r="A4495" s="260"/>
      <c r="B4495" s="284"/>
      <c r="C4495" s="273"/>
      <c r="D4495" s="273"/>
      <c r="E4495" s="273"/>
      <c r="F4495" s="285" t="str">
        <f>CONCATENATE($H$3," ",$I$3)</f>
        <v>BDI: 23,32</v>
      </c>
      <c r="G4495" s="439"/>
      <c r="H4495" s="258"/>
      <c r="I4495" s="635">
        <f>+ROUND(I4494*$I$4,2)</f>
        <v>1081.6099999999999</v>
      </c>
      <c r="J4495" s="446"/>
    </row>
    <row r="4496" spans="1:17" x14ac:dyDescent="0.2">
      <c r="A4496" s="244"/>
      <c r="B4496" s="286"/>
      <c r="C4496" s="279"/>
      <c r="D4496" s="279"/>
      <c r="E4496" s="279"/>
      <c r="F4496" s="287" t="s">
        <v>222</v>
      </c>
      <c r="G4496" s="440"/>
      <c r="H4496" s="245"/>
      <c r="I4496" s="1017">
        <f>+I4494+I4495</f>
        <v>5719.74</v>
      </c>
    </row>
    <row r="4497" spans="1:13" x14ac:dyDescent="0.2">
      <c r="A4497" s="1277" t="str">
        <f>$A$1</f>
        <v>COMPOSIÇÃO DE CUSTOS UNITÁRIOS</v>
      </c>
      <c r="B4497" s="1277"/>
      <c r="C4497" s="1277"/>
      <c r="D4497" s="1277"/>
      <c r="E4497" s="1277"/>
      <c r="F4497" s="1277"/>
      <c r="G4497" s="1277"/>
      <c r="H4497" s="1277"/>
      <c r="I4497" s="1277"/>
    </row>
    <row r="4498" spans="1:13" x14ac:dyDescent="0.2">
      <c r="A4498" s="232" t="str">
        <f>$A$2</f>
        <v>Tabela Referencial de Preços - DER-ES</v>
      </c>
      <c r="B4498" s="233"/>
      <c r="C4498" s="199"/>
      <c r="D4498" s="199"/>
      <c r="E4498" s="199"/>
      <c r="F4498" s="199"/>
      <c r="G4498" s="199"/>
      <c r="H4498" s="199"/>
      <c r="I4498" s="234" t="str">
        <f>$I$2</f>
        <v>Data Base: Outubro/2018</v>
      </c>
    </row>
    <row r="4499" spans="1:13" x14ac:dyDescent="0.2">
      <c r="A4499" s="1278" t="str">
        <f>+CONCATENATE("Serviço: ",J4499," ",VLOOKUP(J4499,'DER 10-18'!$A:$D,2,FALSE))</f>
        <v>Serviço: 40258 Escavação manual em mat. 1ª cat. H= 0,00 a 1,50 m</v>
      </c>
      <c r="B4499" s="1278"/>
      <c r="C4499" s="1278"/>
      <c r="D4499" s="1278"/>
      <c r="E4499" s="1278"/>
      <c r="F4499" s="1278"/>
      <c r="G4499" s="1278"/>
      <c r="H4499" s="1278"/>
      <c r="I4499" s="1278" t="str">
        <f>CONCATENATE("Unidade: ", VLOOKUP(J4499,'DER 10-18'!$A:$E,3,FALSE))</f>
        <v>Unidade: M3</v>
      </c>
      <c r="J4499" s="433">
        <v>40258</v>
      </c>
      <c r="K4499" s="433">
        <f>VLOOKUP("Preço Unitário Total",F4500:I5168,4,FALSE)</f>
        <v>64.88</v>
      </c>
      <c r="L4499" s="302">
        <f>VLOOKUP(J4499,'DER 10-18'!A:E,5,FALSE)</f>
        <v>0</v>
      </c>
      <c r="M4499" s="302" t="str">
        <f>VLOOKUP(J4499,'DER 10-18'!$A:$D,2,FALSE)</f>
        <v>Escavação manual em mat. 1ª cat. H= 0,00 a 1,50 m</v>
      </c>
    </row>
    <row r="4500" spans="1:13" x14ac:dyDescent="0.2">
      <c r="A4500" s="1279"/>
      <c r="B4500" s="1279"/>
      <c r="C4500" s="1279"/>
      <c r="D4500" s="1279"/>
      <c r="E4500" s="1279"/>
      <c r="F4500" s="1279"/>
      <c r="G4500" s="1279"/>
      <c r="H4500" s="1279"/>
      <c r="I4500" s="1279"/>
    </row>
    <row r="4501" spans="1:13" ht="22.5" x14ac:dyDescent="0.2">
      <c r="A4501" s="235" t="s">
        <v>192</v>
      </c>
      <c r="B4501" s="236" t="s">
        <v>60</v>
      </c>
      <c r="C4501" s="236" t="s">
        <v>193</v>
      </c>
      <c r="D4501" s="236" t="s">
        <v>194</v>
      </c>
      <c r="E4501" s="236" t="s">
        <v>195</v>
      </c>
      <c r="F4501" s="236" t="s">
        <v>196</v>
      </c>
      <c r="G4501" s="236" t="s">
        <v>197</v>
      </c>
      <c r="H4501" s="236" t="s">
        <v>91</v>
      </c>
      <c r="I4501" s="236" t="s">
        <v>198</v>
      </c>
    </row>
    <row r="4502" spans="1:13" x14ac:dyDescent="0.2">
      <c r="A4502" s="199"/>
      <c r="B4502" s="233"/>
      <c r="C4502" s="233"/>
      <c r="D4502" s="199"/>
      <c r="E4502" s="199"/>
      <c r="F4502" s="234" t="s">
        <v>199</v>
      </c>
      <c r="G4502" s="244"/>
      <c r="H4502" s="245"/>
      <c r="I4502" s="434"/>
    </row>
    <row r="4503" spans="1:13" x14ac:dyDescent="0.2">
      <c r="A4503" s="199"/>
      <c r="B4503" s="233"/>
      <c r="C4503" s="233"/>
      <c r="D4503" s="199"/>
      <c r="E4503" s="199"/>
      <c r="F4503" s="199"/>
      <c r="G4503" s="199"/>
      <c r="H4503" s="199"/>
      <c r="I4503" s="200"/>
    </row>
    <row r="4504" spans="1:13" x14ac:dyDescent="0.2">
      <c r="A4504" s="246" t="s">
        <v>200</v>
      </c>
      <c r="B4504" s="247" t="s">
        <v>60</v>
      </c>
      <c r="C4504" s="236" t="s">
        <v>1242</v>
      </c>
      <c r="D4504" s="247" t="s">
        <v>202</v>
      </c>
      <c r="E4504" s="1271" t="s">
        <v>91</v>
      </c>
      <c r="F4504" s="1272"/>
      <c r="G4504" s="1273"/>
      <c r="H4504" s="1276" t="s">
        <v>198</v>
      </c>
      <c r="I4504" s="1275"/>
    </row>
    <row r="4505" spans="1:13" x14ac:dyDescent="0.2">
      <c r="A4505" s="248" t="str">
        <f>VLOOKUP(B4505,m.o.!$A:$H,2,FALSE)</f>
        <v>Encarregado de O.A.C.</v>
      </c>
      <c r="B4505" s="238">
        <v>20060</v>
      </c>
      <c r="C4505" s="243">
        <f>VLOOKUP(B4505,m.o.!$A:$F,4,FALSE)</f>
        <v>2.2599999999999998</v>
      </c>
      <c r="D4505" s="243">
        <f>VLOOKUP(B4505,m.o.!$A:$G,7,FALSE)</f>
        <v>26.3</v>
      </c>
      <c r="E4505" s="260"/>
      <c r="F4505" s="258"/>
      <c r="G4505" s="300">
        <v>0.1</v>
      </c>
      <c r="H4505" s="244"/>
      <c r="I4505" s="249">
        <f t="shared" ref="I4505:I4506" si="55">TRUNC(D4505*G4505,2)</f>
        <v>2.63</v>
      </c>
    </row>
    <row r="4506" spans="1:13" x14ac:dyDescent="0.2">
      <c r="A4506" s="248" t="str">
        <f>VLOOKUP(B4506,m.o.!$A:$H,2,FALSE)</f>
        <v>Operário braçal</v>
      </c>
      <c r="B4506" s="238">
        <v>20107</v>
      </c>
      <c r="C4506" s="243">
        <f>VLOOKUP(B4506,m.o.!$A:$F,4,FALSE)</f>
        <v>1.02</v>
      </c>
      <c r="D4506" s="243">
        <f>VLOOKUP(B4506,m.o.!$A:$G,7,FALSE)</f>
        <v>11.87</v>
      </c>
      <c r="E4506" s="260"/>
      <c r="F4506" s="258"/>
      <c r="G4506" s="300">
        <v>4</v>
      </c>
      <c r="H4506" s="244"/>
      <c r="I4506" s="249">
        <f t="shared" si="55"/>
        <v>47.48</v>
      </c>
    </row>
    <row r="4507" spans="1:13" x14ac:dyDescent="0.2">
      <c r="A4507" s="199"/>
      <c r="B4507" s="233"/>
      <c r="C4507" s="233"/>
      <c r="D4507" s="199"/>
      <c r="E4507" s="199"/>
      <c r="F4507" s="234" t="s">
        <v>203</v>
      </c>
      <c r="G4507" s="244"/>
      <c r="H4507" s="245"/>
      <c r="I4507" s="434">
        <f>SUM(I4505:I4506)</f>
        <v>50.11</v>
      </c>
    </row>
    <row r="4508" spans="1:13" x14ac:dyDescent="0.2">
      <c r="A4508" s="199"/>
      <c r="B4508" s="233"/>
      <c r="C4508" s="233"/>
      <c r="D4508" s="199"/>
      <c r="E4508" s="199"/>
      <c r="F4508" s="199"/>
      <c r="G4508" s="199"/>
      <c r="H4508" s="199"/>
      <c r="I4508" s="200"/>
    </row>
    <row r="4509" spans="1:13" x14ac:dyDescent="0.2">
      <c r="A4509" s="250" t="s">
        <v>204</v>
      </c>
      <c r="B4509" s="247" t="s">
        <v>60</v>
      </c>
      <c r="C4509" s="866" t="s">
        <v>17</v>
      </c>
      <c r="D4509" s="247" t="s">
        <v>205</v>
      </c>
      <c r="E4509" s="247" t="s">
        <v>206</v>
      </c>
      <c r="F4509" s="247" t="s">
        <v>207</v>
      </c>
      <c r="G4509" s="1276" t="s">
        <v>96</v>
      </c>
      <c r="H4509" s="1274"/>
      <c r="I4509" s="1275"/>
    </row>
    <row r="4510" spans="1:13" x14ac:dyDescent="0.2">
      <c r="A4510" s="248" t="s">
        <v>142</v>
      </c>
      <c r="B4510" s="238">
        <v>2000</v>
      </c>
      <c r="C4510" s="243">
        <v>5</v>
      </c>
      <c r="D4510" s="239" t="s">
        <v>223</v>
      </c>
      <c r="E4510" s="251"/>
      <c r="F4510" s="251"/>
      <c r="G4510" s="244"/>
      <c r="H4510" s="245"/>
      <c r="I4510" s="249">
        <f>TRUNC(C4510/100*I4507,2)</f>
        <v>2.5</v>
      </c>
    </row>
    <row r="4511" spans="1:13" x14ac:dyDescent="0.2">
      <c r="A4511" s="199"/>
      <c r="B4511" s="233"/>
      <c r="C4511" s="199"/>
      <c r="D4511" s="199"/>
      <c r="E4511" s="199"/>
      <c r="F4511" s="234" t="s">
        <v>1170</v>
      </c>
      <c r="G4511" s="244"/>
      <c r="H4511" s="245"/>
      <c r="I4511" s="434">
        <f>SUM(I4510)</f>
        <v>2.5</v>
      </c>
    </row>
    <row r="4512" spans="1:13" x14ac:dyDescent="0.2">
      <c r="A4512" s="199"/>
      <c r="B4512" s="233"/>
      <c r="C4512" s="199"/>
      <c r="D4512" s="199"/>
      <c r="E4512" s="199"/>
      <c r="F4512" s="199"/>
      <c r="G4512" s="199"/>
      <c r="H4512" s="199"/>
      <c r="I4512" s="200"/>
    </row>
    <row r="4513" spans="1:17" x14ac:dyDescent="0.2">
      <c r="A4513" s="252"/>
      <c r="B4513" s="253"/>
      <c r="C4513" s="254"/>
      <c r="D4513" s="254"/>
      <c r="E4513" s="254"/>
      <c r="F4513" s="255" t="s">
        <v>208</v>
      </c>
      <c r="G4513" s="435"/>
      <c r="H4513" s="254"/>
      <c r="I4513" s="634">
        <f>+I4502+I4507+I4511</f>
        <v>52.61</v>
      </c>
    </row>
    <row r="4514" spans="1:17" x14ac:dyDescent="0.2">
      <c r="A4514" s="256"/>
      <c r="B4514" s="257"/>
      <c r="C4514" s="258"/>
      <c r="D4514" s="258"/>
      <c r="E4514" s="258"/>
      <c r="F4514" s="259" t="s">
        <v>209</v>
      </c>
      <c r="G4514" s="260"/>
      <c r="H4514" s="258"/>
      <c r="I4514" s="635">
        <v>1</v>
      </c>
    </row>
    <row r="4515" spans="1:17" x14ac:dyDescent="0.2">
      <c r="A4515" s="237"/>
      <c r="B4515" s="261"/>
      <c r="C4515" s="245"/>
      <c r="D4515" s="245"/>
      <c r="E4515" s="245"/>
      <c r="F4515" s="262" t="s">
        <v>232</v>
      </c>
      <c r="G4515" s="244"/>
      <c r="H4515" s="245"/>
      <c r="I4515" s="633">
        <f>TRUNC(I4513/I4514,2)</f>
        <v>52.61</v>
      </c>
    </row>
    <row r="4516" spans="1:17" x14ac:dyDescent="0.2">
      <c r="A4516" s="867"/>
      <c r="B4516" s="233"/>
      <c r="C4516" s="199"/>
      <c r="D4516" s="199"/>
      <c r="E4516" s="199"/>
      <c r="F4516" s="263"/>
      <c r="G4516" s="199"/>
      <c r="H4516" s="199"/>
      <c r="I4516" s="264"/>
    </row>
    <row r="4517" spans="1:17" x14ac:dyDescent="0.2">
      <c r="A4517" s="246" t="s">
        <v>210</v>
      </c>
      <c r="B4517" s="247" t="s">
        <v>60</v>
      </c>
      <c r="C4517" s="247" t="s">
        <v>211</v>
      </c>
      <c r="D4517" s="247" t="s">
        <v>233</v>
      </c>
      <c r="E4517" s="1276" t="s">
        <v>91</v>
      </c>
      <c r="F4517" s="1274"/>
      <c r="G4517" s="1275"/>
      <c r="H4517" s="1276" t="s">
        <v>198</v>
      </c>
      <c r="I4517" s="1275"/>
    </row>
    <row r="4518" spans="1:17" x14ac:dyDescent="0.2">
      <c r="A4518" s="199"/>
      <c r="B4518" s="233"/>
      <c r="C4518" s="199"/>
      <c r="D4518" s="199"/>
      <c r="E4518" s="199"/>
      <c r="F4518" s="234" t="s">
        <v>212</v>
      </c>
      <c r="G4518" s="244"/>
      <c r="H4518" s="245"/>
      <c r="I4518" s="434"/>
    </row>
    <row r="4519" spans="1:17" x14ac:dyDescent="0.2">
      <c r="A4519" s="199"/>
      <c r="B4519" s="233"/>
      <c r="C4519" s="199"/>
      <c r="D4519" s="199"/>
      <c r="E4519" s="199"/>
      <c r="F4519" s="199"/>
      <c r="G4519" s="269"/>
      <c r="H4519" s="199"/>
      <c r="I4519" s="200"/>
    </row>
    <row r="4520" spans="1:17" x14ac:dyDescent="0.2">
      <c r="A4520" s="270" t="s">
        <v>213</v>
      </c>
      <c r="B4520" s="247" t="s">
        <v>60</v>
      </c>
      <c r="C4520" s="247" t="s">
        <v>211</v>
      </c>
      <c r="D4520" s="866" t="s">
        <v>233</v>
      </c>
      <c r="E4520" s="1271" t="s">
        <v>91</v>
      </c>
      <c r="F4520" s="1272"/>
      <c r="G4520" s="1273"/>
      <c r="H4520" s="1274" t="s">
        <v>198</v>
      </c>
      <c r="I4520" s="1275"/>
    </row>
    <row r="4521" spans="1:17" x14ac:dyDescent="0.2">
      <c r="A4521" s="452"/>
      <c r="B4521" s="453"/>
      <c r="C4521" s="453"/>
      <c r="D4521" s="454"/>
      <c r="E4521" s="455"/>
      <c r="F4521" s="456"/>
      <c r="G4521" s="457"/>
      <c r="H4521" s="458"/>
      <c r="I4521" s="459"/>
      <c r="J4521" s="451"/>
      <c r="K4521" s="451"/>
      <c r="L4521" s="198"/>
      <c r="M4521" s="198"/>
      <c r="N4521" s="198"/>
      <c r="O4521" s="198"/>
      <c r="P4521" s="198"/>
      <c r="Q4521" s="198"/>
    </row>
    <row r="4522" spans="1:17" x14ac:dyDescent="0.2">
      <c r="A4522" s="201"/>
      <c r="B4522" s="271"/>
      <c r="C4522" s="201"/>
      <c r="D4522" s="201"/>
      <c r="E4522" s="201"/>
      <c r="F4522" s="272" t="s">
        <v>214</v>
      </c>
      <c r="G4522" s="260"/>
      <c r="H4522" s="273"/>
      <c r="I4522" s="436">
        <f>SUM(I4521:I4521)</f>
        <v>0</v>
      </c>
    </row>
    <row r="4523" spans="1:17" x14ac:dyDescent="0.2">
      <c r="A4523" s="201"/>
      <c r="B4523" s="271"/>
      <c r="C4523" s="201"/>
      <c r="D4523" s="201"/>
      <c r="E4523" s="201"/>
      <c r="F4523" s="201"/>
      <c r="G4523" s="201"/>
      <c r="H4523" s="201"/>
      <c r="I4523" s="201"/>
    </row>
    <row r="4524" spans="1:17" x14ac:dyDescent="0.2">
      <c r="A4524" s="274" t="s">
        <v>215</v>
      </c>
      <c r="B4524" s="275" t="s">
        <v>60</v>
      </c>
      <c r="C4524" s="275" t="s">
        <v>211</v>
      </c>
      <c r="D4524" s="275" t="s">
        <v>216</v>
      </c>
      <c r="E4524" s="275" t="s">
        <v>217</v>
      </c>
      <c r="F4524" s="275" t="s">
        <v>218</v>
      </c>
      <c r="G4524" s="275" t="s">
        <v>96</v>
      </c>
      <c r="H4524" s="275" t="s">
        <v>91</v>
      </c>
      <c r="I4524" s="275" t="s">
        <v>219</v>
      </c>
    </row>
    <row r="4525" spans="1:17" x14ac:dyDescent="0.2">
      <c r="A4525" s="201"/>
      <c r="B4525" s="271"/>
      <c r="C4525" s="201"/>
      <c r="D4525" s="201"/>
      <c r="E4525" s="201"/>
      <c r="F4525" s="272" t="s">
        <v>220</v>
      </c>
      <c r="G4525" s="244"/>
      <c r="H4525" s="279"/>
      <c r="I4525" s="438"/>
    </row>
    <row r="4526" spans="1:17" x14ac:dyDescent="0.2">
      <c r="A4526" s="201"/>
      <c r="B4526" s="271"/>
      <c r="C4526" s="201"/>
      <c r="D4526" s="201"/>
      <c r="E4526" s="201"/>
      <c r="F4526" s="201"/>
      <c r="G4526" s="201"/>
      <c r="H4526" s="201"/>
      <c r="I4526" s="202"/>
    </row>
    <row r="4527" spans="1:17" x14ac:dyDescent="0.2">
      <c r="A4527" s="280"/>
      <c r="B4527" s="281"/>
      <c r="C4527" s="282"/>
      <c r="D4527" s="282"/>
      <c r="E4527" s="282"/>
      <c r="F4527" s="283" t="s">
        <v>221</v>
      </c>
      <c r="G4527" s="280"/>
      <c r="H4527" s="254"/>
      <c r="I4527" s="634">
        <f>+I4515+I4518+I4522+I4525</f>
        <v>52.61</v>
      </c>
      <c r="J4527" s="446"/>
    </row>
    <row r="4528" spans="1:17" x14ac:dyDescent="0.2">
      <c r="A4528" s="260"/>
      <c r="B4528" s="284"/>
      <c r="C4528" s="273"/>
      <c r="D4528" s="273"/>
      <c r="E4528" s="273"/>
      <c r="F4528" s="285" t="str">
        <f>CONCATENATE($H$3," ",$I$3)</f>
        <v>BDI: 23,32</v>
      </c>
      <c r="G4528" s="439"/>
      <c r="H4528" s="258"/>
      <c r="I4528" s="635">
        <f>+ROUND(I4527*$I$4,2)</f>
        <v>12.27</v>
      </c>
    </row>
    <row r="4529" spans="1:13" x14ac:dyDescent="0.2">
      <c r="A4529" s="244"/>
      <c r="B4529" s="286"/>
      <c r="C4529" s="279"/>
      <c r="D4529" s="279"/>
      <c r="E4529" s="279"/>
      <c r="F4529" s="287" t="s">
        <v>222</v>
      </c>
      <c r="G4529" s="440"/>
      <c r="H4529" s="245"/>
      <c r="I4529" s="1017">
        <f>+I4527+I4528</f>
        <v>64.88</v>
      </c>
      <c r="J4529" s="446"/>
    </row>
    <row r="4530" spans="1:13" x14ac:dyDescent="0.2">
      <c r="A4530" s="1277" t="str">
        <f>$A$1</f>
        <v>COMPOSIÇÃO DE CUSTOS UNITÁRIOS</v>
      </c>
      <c r="B4530" s="1277"/>
      <c r="C4530" s="1277"/>
      <c r="D4530" s="1277"/>
      <c r="E4530" s="1277"/>
      <c r="F4530" s="1277"/>
      <c r="G4530" s="1277"/>
      <c r="H4530" s="1277"/>
      <c r="I4530" s="1277"/>
    </row>
    <row r="4531" spans="1:13" x14ac:dyDescent="0.2">
      <c r="A4531" s="232" t="str">
        <f>$A$2</f>
        <v>Tabela Referencial de Preços - DER-ES</v>
      </c>
      <c r="B4531" s="233"/>
      <c r="C4531" s="199"/>
      <c r="D4531" s="199"/>
      <c r="E4531" s="199"/>
      <c r="F4531" s="199"/>
      <c r="G4531" s="199"/>
      <c r="H4531" s="199"/>
      <c r="I4531" s="234" t="str">
        <f>$I$2</f>
        <v>Data Base: Outubro/2018</v>
      </c>
    </row>
    <row r="4532" spans="1:13" x14ac:dyDescent="0.2">
      <c r="A4532" s="1278" t="str">
        <f>+CONCATENATE("Serviço: ",J4532," ",VLOOKUP(J4532,'DER 10-18'!$A:$D,2,FALSE))</f>
        <v>Serviço: 40300 Apiloamento manual</v>
      </c>
      <c r="B4532" s="1278"/>
      <c r="C4532" s="1278"/>
      <c r="D4532" s="1278"/>
      <c r="E4532" s="1278"/>
      <c r="F4532" s="1278"/>
      <c r="G4532" s="1278"/>
      <c r="H4532" s="1278"/>
      <c r="I4532" s="1278" t="str">
        <f>CONCATENATE("Unidade: ", VLOOKUP(J4532,'DER 10-18'!$A:$E,3,FALSE))</f>
        <v>Unidade: M3</v>
      </c>
      <c r="J4532" s="433">
        <v>40300</v>
      </c>
      <c r="K4532" s="433">
        <f>VLOOKUP("Preço Unitário Total",F4533:I5168,4,FALSE)</f>
        <v>52.92</v>
      </c>
      <c r="L4532" s="302">
        <f>VLOOKUP(J4532,'DER 10-18'!A:E,5,FALSE)</f>
        <v>0</v>
      </c>
      <c r="M4532" s="302" t="str">
        <f>VLOOKUP(J4532,'DER 10-18'!$A:$D,2,FALSE)</f>
        <v>Apiloamento manual</v>
      </c>
    </row>
    <row r="4533" spans="1:13" x14ac:dyDescent="0.2">
      <c r="A4533" s="1279"/>
      <c r="B4533" s="1279"/>
      <c r="C4533" s="1279"/>
      <c r="D4533" s="1279"/>
      <c r="E4533" s="1279"/>
      <c r="F4533" s="1279"/>
      <c r="G4533" s="1279"/>
      <c r="H4533" s="1279"/>
      <c r="I4533" s="1279"/>
    </row>
    <row r="4534" spans="1:13" ht="22.5" x14ac:dyDescent="0.2">
      <c r="A4534" s="235" t="s">
        <v>192</v>
      </c>
      <c r="B4534" s="236" t="s">
        <v>60</v>
      </c>
      <c r="C4534" s="236" t="s">
        <v>193</v>
      </c>
      <c r="D4534" s="236" t="s">
        <v>194</v>
      </c>
      <c r="E4534" s="236" t="s">
        <v>195</v>
      </c>
      <c r="F4534" s="236" t="s">
        <v>196</v>
      </c>
      <c r="G4534" s="236" t="s">
        <v>197</v>
      </c>
      <c r="H4534" s="236" t="s">
        <v>91</v>
      </c>
      <c r="I4534" s="236" t="s">
        <v>198</v>
      </c>
    </row>
    <row r="4535" spans="1:13" x14ac:dyDescent="0.2">
      <c r="A4535" s="199"/>
      <c r="B4535" s="233"/>
      <c r="C4535" s="233"/>
      <c r="D4535" s="199"/>
      <c r="E4535" s="199"/>
      <c r="F4535" s="234" t="s">
        <v>199</v>
      </c>
      <c r="G4535" s="244"/>
      <c r="H4535" s="245"/>
      <c r="I4535" s="434"/>
    </row>
    <row r="4536" spans="1:13" x14ac:dyDescent="0.2">
      <c r="A4536" s="199"/>
      <c r="B4536" s="233"/>
      <c r="C4536" s="233"/>
      <c r="D4536" s="199"/>
      <c r="E4536" s="199"/>
      <c r="F4536" s="199"/>
      <c r="G4536" s="199"/>
      <c r="H4536" s="199"/>
      <c r="I4536" s="200"/>
    </row>
    <row r="4537" spans="1:13" x14ac:dyDescent="0.2">
      <c r="A4537" s="246" t="s">
        <v>200</v>
      </c>
      <c r="B4537" s="247" t="s">
        <v>60</v>
      </c>
      <c r="C4537" s="236" t="s">
        <v>1242</v>
      </c>
      <c r="D4537" s="247" t="s">
        <v>202</v>
      </c>
      <c r="E4537" s="1271" t="s">
        <v>91</v>
      </c>
      <c r="F4537" s="1272"/>
      <c r="G4537" s="1273"/>
      <c r="H4537" s="1276" t="s">
        <v>198</v>
      </c>
      <c r="I4537" s="1275"/>
    </row>
    <row r="4538" spans="1:13" x14ac:dyDescent="0.2">
      <c r="A4538" s="248" t="str">
        <f>VLOOKUP(B4538,m.o.!$A:$H,2,FALSE)</f>
        <v>Encarregado de O.A.C.</v>
      </c>
      <c r="B4538" s="238">
        <v>20060</v>
      </c>
      <c r="C4538" s="243">
        <f>VLOOKUP(B4538,m.o.!$A:$F,4,FALSE)</f>
        <v>2.2599999999999998</v>
      </c>
      <c r="D4538" s="243">
        <f>VLOOKUP(B4538,m.o.!$A:$G,7,FALSE)</f>
        <v>26.3</v>
      </c>
      <c r="E4538" s="260"/>
      <c r="F4538" s="258"/>
      <c r="G4538" s="300">
        <v>0.2</v>
      </c>
      <c r="H4538" s="244"/>
      <c r="I4538" s="249">
        <f t="shared" ref="I4538:I4539" si="56">TRUNC(D4538*G4538,2)</f>
        <v>5.26</v>
      </c>
    </row>
    <row r="4539" spans="1:13" x14ac:dyDescent="0.2">
      <c r="A4539" s="248" t="str">
        <f>VLOOKUP(B4539,m.o.!$A:$H,2,FALSE)</f>
        <v>Operário braçal</v>
      </c>
      <c r="B4539" s="238">
        <v>20107</v>
      </c>
      <c r="C4539" s="243">
        <f>VLOOKUP(B4539,m.o.!$A:$F,4,FALSE)</f>
        <v>1.02</v>
      </c>
      <c r="D4539" s="243">
        <f>VLOOKUP(B4539,m.o.!$A:$G,7,FALSE)</f>
        <v>11.87</v>
      </c>
      <c r="E4539" s="260"/>
      <c r="F4539" s="258"/>
      <c r="G4539" s="300">
        <v>3</v>
      </c>
      <c r="H4539" s="244"/>
      <c r="I4539" s="249">
        <f t="shared" si="56"/>
        <v>35.61</v>
      </c>
    </row>
    <row r="4540" spans="1:13" x14ac:dyDescent="0.2">
      <c r="A4540" s="199"/>
      <c r="B4540" s="233"/>
      <c r="C4540" s="233"/>
      <c r="D4540" s="199"/>
      <c r="E4540" s="199"/>
      <c r="F4540" s="234" t="s">
        <v>203</v>
      </c>
      <c r="G4540" s="244"/>
      <c r="H4540" s="245"/>
      <c r="I4540" s="434">
        <f>SUM(I4538:I4539)</f>
        <v>40.869999999999997</v>
      </c>
    </row>
    <row r="4541" spans="1:13" x14ac:dyDescent="0.2">
      <c r="A4541" s="199"/>
      <c r="B4541" s="233"/>
      <c r="C4541" s="233"/>
      <c r="D4541" s="199"/>
      <c r="E4541" s="199"/>
      <c r="F4541" s="199"/>
      <c r="G4541" s="199"/>
      <c r="H4541" s="199"/>
      <c r="I4541" s="200"/>
    </row>
    <row r="4542" spans="1:13" x14ac:dyDescent="0.2">
      <c r="A4542" s="250" t="s">
        <v>204</v>
      </c>
      <c r="B4542" s="247" t="s">
        <v>60</v>
      </c>
      <c r="C4542" s="866" t="s">
        <v>17</v>
      </c>
      <c r="D4542" s="247" t="s">
        <v>205</v>
      </c>
      <c r="E4542" s="247" t="s">
        <v>206</v>
      </c>
      <c r="F4542" s="247" t="s">
        <v>207</v>
      </c>
      <c r="G4542" s="1276" t="s">
        <v>96</v>
      </c>
      <c r="H4542" s="1274"/>
      <c r="I4542" s="1275"/>
    </row>
    <row r="4543" spans="1:13" x14ac:dyDescent="0.2">
      <c r="A4543" s="248" t="s">
        <v>142</v>
      </c>
      <c r="B4543" s="238">
        <v>2000</v>
      </c>
      <c r="C4543" s="243">
        <v>5</v>
      </c>
      <c r="D4543" s="239" t="s">
        <v>223</v>
      </c>
      <c r="E4543" s="251"/>
      <c r="F4543" s="251"/>
      <c r="G4543" s="244"/>
      <c r="H4543" s="245"/>
      <c r="I4543" s="249">
        <f>TRUNC(C4543/100*I4540,2)</f>
        <v>2.04</v>
      </c>
    </row>
    <row r="4544" spans="1:13" x14ac:dyDescent="0.2">
      <c r="A4544" s="199"/>
      <c r="B4544" s="233"/>
      <c r="C4544" s="199"/>
      <c r="D4544" s="199"/>
      <c r="E4544" s="199"/>
      <c r="F4544" s="234" t="s">
        <v>1170</v>
      </c>
      <c r="G4544" s="244"/>
      <c r="H4544" s="245"/>
      <c r="I4544" s="434">
        <f>SUM(I4543)</f>
        <v>2.04</v>
      </c>
    </row>
    <row r="4545" spans="1:17" x14ac:dyDescent="0.2">
      <c r="A4545" s="199"/>
      <c r="B4545" s="233"/>
      <c r="C4545" s="199"/>
      <c r="D4545" s="199"/>
      <c r="E4545" s="199"/>
      <c r="F4545" s="199"/>
      <c r="G4545" s="199"/>
      <c r="H4545" s="199"/>
      <c r="I4545" s="200"/>
    </row>
    <row r="4546" spans="1:17" x14ac:dyDescent="0.2">
      <c r="A4546" s="252"/>
      <c r="B4546" s="253"/>
      <c r="C4546" s="254"/>
      <c r="D4546" s="254"/>
      <c r="E4546" s="254"/>
      <c r="F4546" s="255" t="s">
        <v>208</v>
      </c>
      <c r="G4546" s="435"/>
      <c r="H4546" s="254"/>
      <c r="I4546" s="634">
        <f>+I4535+I4540+I4544</f>
        <v>42.91</v>
      </c>
    </row>
    <row r="4547" spans="1:17" x14ac:dyDescent="0.2">
      <c r="A4547" s="256"/>
      <c r="B4547" s="257"/>
      <c r="C4547" s="258"/>
      <c r="D4547" s="258"/>
      <c r="E4547" s="258"/>
      <c r="F4547" s="259" t="s">
        <v>209</v>
      </c>
      <c r="G4547" s="260"/>
      <c r="H4547" s="258"/>
      <c r="I4547" s="635">
        <v>1</v>
      </c>
    </row>
    <row r="4548" spans="1:17" x14ac:dyDescent="0.2">
      <c r="A4548" s="237"/>
      <c r="B4548" s="261"/>
      <c r="C4548" s="245"/>
      <c r="D4548" s="245"/>
      <c r="E4548" s="245"/>
      <c r="F4548" s="262" t="s">
        <v>232</v>
      </c>
      <c r="G4548" s="244"/>
      <c r="H4548" s="245"/>
      <c r="I4548" s="633">
        <f>TRUNC(I4546/I4547,2)</f>
        <v>42.91</v>
      </c>
    </row>
    <row r="4549" spans="1:17" x14ac:dyDescent="0.2">
      <c r="A4549" s="867"/>
      <c r="B4549" s="233"/>
      <c r="C4549" s="199"/>
      <c r="D4549" s="199"/>
      <c r="E4549" s="199"/>
      <c r="F4549" s="263"/>
      <c r="G4549" s="199"/>
      <c r="H4549" s="199"/>
      <c r="I4549" s="264"/>
    </row>
    <row r="4550" spans="1:17" x14ac:dyDescent="0.2">
      <c r="A4550" s="246" t="s">
        <v>210</v>
      </c>
      <c r="B4550" s="247" t="s">
        <v>60</v>
      </c>
      <c r="C4550" s="247" t="s">
        <v>211</v>
      </c>
      <c r="D4550" s="247" t="s">
        <v>233</v>
      </c>
      <c r="E4550" s="1276" t="s">
        <v>91</v>
      </c>
      <c r="F4550" s="1274"/>
      <c r="G4550" s="1275"/>
      <c r="H4550" s="1276" t="s">
        <v>198</v>
      </c>
      <c r="I4550" s="1275"/>
    </row>
    <row r="4551" spans="1:17" x14ac:dyDescent="0.2">
      <c r="A4551" s="199"/>
      <c r="B4551" s="233"/>
      <c r="C4551" s="199"/>
      <c r="D4551" s="199"/>
      <c r="E4551" s="199"/>
      <c r="F4551" s="234" t="s">
        <v>212</v>
      </c>
      <c r="G4551" s="244"/>
      <c r="H4551" s="245"/>
      <c r="I4551" s="434"/>
    </row>
    <row r="4552" spans="1:17" x14ac:dyDescent="0.2">
      <c r="A4552" s="199"/>
      <c r="B4552" s="233"/>
      <c r="C4552" s="199"/>
      <c r="D4552" s="199"/>
      <c r="E4552" s="199"/>
      <c r="F4552" s="199"/>
      <c r="G4552" s="269"/>
      <c r="H4552" s="199"/>
      <c r="I4552" s="200"/>
    </row>
    <row r="4553" spans="1:17" x14ac:dyDescent="0.2">
      <c r="A4553" s="270" t="s">
        <v>213</v>
      </c>
      <c r="B4553" s="247" t="s">
        <v>60</v>
      </c>
      <c r="C4553" s="247" t="s">
        <v>211</v>
      </c>
      <c r="D4553" s="866" t="s">
        <v>233</v>
      </c>
      <c r="E4553" s="1271" t="s">
        <v>91</v>
      </c>
      <c r="F4553" s="1272"/>
      <c r="G4553" s="1273"/>
      <c r="H4553" s="1274" t="s">
        <v>198</v>
      </c>
      <c r="I4553" s="1275"/>
    </row>
    <row r="4554" spans="1:17" x14ac:dyDescent="0.2">
      <c r="A4554" s="452"/>
      <c r="B4554" s="453"/>
      <c r="C4554" s="453"/>
      <c r="D4554" s="454"/>
      <c r="E4554" s="455"/>
      <c r="F4554" s="456"/>
      <c r="G4554" s="457"/>
      <c r="H4554" s="458"/>
      <c r="I4554" s="459"/>
      <c r="J4554" s="451"/>
      <c r="K4554" s="451"/>
      <c r="L4554" s="198"/>
      <c r="M4554" s="198"/>
      <c r="N4554" s="198"/>
      <c r="O4554" s="198"/>
      <c r="P4554" s="198"/>
      <c r="Q4554" s="198"/>
    </row>
    <row r="4555" spans="1:17" x14ac:dyDescent="0.2">
      <c r="A4555" s="201"/>
      <c r="B4555" s="271"/>
      <c r="C4555" s="201"/>
      <c r="D4555" s="201"/>
      <c r="E4555" s="201"/>
      <c r="F4555" s="272" t="s">
        <v>214</v>
      </c>
      <c r="G4555" s="260"/>
      <c r="H4555" s="273"/>
      <c r="I4555" s="436">
        <f>SUM(I4554:I4554)</f>
        <v>0</v>
      </c>
    </row>
    <row r="4556" spans="1:17" x14ac:dyDescent="0.2">
      <c r="A4556" s="201"/>
      <c r="B4556" s="271"/>
      <c r="C4556" s="201"/>
      <c r="D4556" s="201"/>
      <c r="E4556" s="201"/>
      <c r="F4556" s="201"/>
      <c r="G4556" s="201"/>
      <c r="H4556" s="201"/>
      <c r="I4556" s="201"/>
    </row>
    <row r="4557" spans="1:17" x14ac:dyDescent="0.2">
      <c r="A4557" s="274" t="s">
        <v>215</v>
      </c>
      <c r="B4557" s="275" t="s">
        <v>60</v>
      </c>
      <c r="C4557" s="275" t="s">
        <v>211</v>
      </c>
      <c r="D4557" s="275" t="s">
        <v>216</v>
      </c>
      <c r="E4557" s="275" t="s">
        <v>217</v>
      </c>
      <c r="F4557" s="275" t="s">
        <v>218</v>
      </c>
      <c r="G4557" s="275" t="s">
        <v>96</v>
      </c>
      <c r="H4557" s="275" t="s">
        <v>91</v>
      </c>
      <c r="I4557" s="275" t="s">
        <v>219</v>
      </c>
    </row>
    <row r="4558" spans="1:17" x14ac:dyDescent="0.2">
      <c r="A4558" s="201"/>
      <c r="B4558" s="271"/>
      <c r="C4558" s="201"/>
      <c r="D4558" s="201"/>
      <c r="E4558" s="201"/>
      <c r="F4558" s="272" t="s">
        <v>220</v>
      </c>
      <c r="G4558" s="244"/>
      <c r="H4558" s="279"/>
      <c r="I4558" s="438"/>
    </row>
    <row r="4559" spans="1:17" x14ac:dyDescent="0.2">
      <c r="A4559" s="201"/>
      <c r="B4559" s="271"/>
      <c r="C4559" s="201"/>
      <c r="D4559" s="201"/>
      <c r="E4559" s="201"/>
      <c r="F4559" s="201"/>
      <c r="G4559" s="201"/>
      <c r="H4559" s="201"/>
      <c r="I4559" s="202"/>
    </row>
    <row r="4560" spans="1:17" x14ac:dyDescent="0.2">
      <c r="A4560" s="280"/>
      <c r="B4560" s="281"/>
      <c r="C4560" s="282"/>
      <c r="D4560" s="282"/>
      <c r="E4560" s="282"/>
      <c r="F4560" s="283" t="s">
        <v>221</v>
      </c>
      <c r="G4560" s="280"/>
      <c r="H4560" s="254"/>
      <c r="I4560" s="634">
        <f>+I4548+I4551+I4555+I4558</f>
        <v>42.91</v>
      </c>
      <c r="J4560" s="446"/>
    </row>
    <row r="4561" spans="1:13" x14ac:dyDescent="0.2">
      <c r="A4561" s="260"/>
      <c r="B4561" s="284"/>
      <c r="C4561" s="273"/>
      <c r="D4561" s="273"/>
      <c r="E4561" s="273"/>
      <c r="F4561" s="285" t="str">
        <f>CONCATENATE($H$3," ",$I$3)</f>
        <v>BDI: 23,32</v>
      </c>
      <c r="G4561" s="439"/>
      <c r="H4561" s="258"/>
      <c r="I4561" s="635">
        <f>+ROUND(I4560*$I$4,2)</f>
        <v>10.01</v>
      </c>
    </row>
    <row r="4562" spans="1:13" x14ac:dyDescent="0.2">
      <c r="A4562" s="244"/>
      <c r="B4562" s="286"/>
      <c r="C4562" s="279"/>
      <c r="D4562" s="279"/>
      <c r="E4562" s="279"/>
      <c r="F4562" s="287" t="s">
        <v>222</v>
      </c>
      <c r="G4562" s="440"/>
      <c r="H4562" s="245"/>
      <c r="I4562" s="1017">
        <f>+I4560+I4561</f>
        <v>52.92</v>
      </c>
      <c r="J4562" s="446"/>
    </row>
    <row r="4563" spans="1:13" x14ac:dyDescent="0.2">
      <c r="A4563" s="1277" t="str">
        <f>$A$1</f>
        <v>COMPOSIÇÃO DE CUSTOS UNITÁRIOS</v>
      </c>
      <c r="B4563" s="1277"/>
      <c r="C4563" s="1277"/>
      <c r="D4563" s="1277"/>
      <c r="E4563" s="1277"/>
      <c r="F4563" s="1277"/>
      <c r="G4563" s="1277"/>
      <c r="H4563" s="1277"/>
      <c r="I4563" s="1277"/>
    </row>
    <row r="4564" spans="1:13" x14ac:dyDescent="0.2">
      <c r="A4564" s="232" t="str">
        <f>$A$2</f>
        <v>Tabela Referencial de Preços - DER-ES</v>
      </c>
      <c r="B4564" s="233"/>
      <c r="C4564" s="199"/>
      <c r="D4564" s="199"/>
      <c r="E4564" s="199"/>
      <c r="F4564" s="199"/>
      <c r="G4564" s="199"/>
      <c r="H4564" s="199"/>
      <c r="I4564" s="234" t="str">
        <f>$I$2</f>
        <v>Data Base: Outubro/2018</v>
      </c>
    </row>
    <row r="4565" spans="1:13" x14ac:dyDescent="0.2">
      <c r="A4565" s="1278" t="str">
        <f>+CONCATENATE("Serviço: ",J4565," ",VLOOKUP(J4565,'DER 10-18'!$A:$D,2,FALSE))</f>
        <v>Serviço: 40317 Forma especial de madeira para sarjeta (gabarito), inclusive fornecimento e transporte da madeira</v>
      </c>
      <c r="B4565" s="1278"/>
      <c r="C4565" s="1278"/>
      <c r="D4565" s="1278"/>
      <c r="E4565" s="1278"/>
      <c r="F4565" s="1278"/>
      <c r="G4565" s="1278"/>
      <c r="H4565" s="1278"/>
      <c r="I4565" s="1278" t="str">
        <f>CONCATENATE("Unidade: ", VLOOKUP(J4565,'DER 10-18'!$A:$E,3,FALSE))</f>
        <v>Unidade: M2</v>
      </c>
      <c r="J4565" s="433">
        <v>40317</v>
      </c>
      <c r="K4565" s="433">
        <f>VLOOKUP("Preço Unitário Total",F4566:I4886,4,FALSE)</f>
        <v>63.67</v>
      </c>
      <c r="L4565" s="302" t="str">
        <f>VLOOKUP(J4565,'DER 10-18'!$A:$E,5,FALSE)</f>
        <v>A incluir</v>
      </c>
      <c r="M4565" s="302" t="str">
        <f>VLOOKUP(J4565,'DER 10-18'!$A:$D,2,FALSE)</f>
        <v>Forma especial de madeira para sarjeta (gabarito), inclusive fornecimento e transporte da madeira</v>
      </c>
    </row>
    <row r="4566" spans="1:13" x14ac:dyDescent="0.2">
      <c r="A4566" s="1279"/>
      <c r="B4566" s="1279"/>
      <c r="C4566" s="1279"/>
      <c r="D4566" s="1279"/>
      <c r="E4566" s="1279"/>
      <c r="F4566" s="1279"/>
      <c r="G4566" s="1279"/>
      <c r="H4566" s="1279"/>
      <c r="I4566" s="1279"/>
    </row>
    <row r="4567" spans="1:13" ht="22.5" x14ac:dyDescent="0.2">
      <c r="A4567" s="235" t="s">
        <v>192</v>
      </c>
      <c r="B4567" s="236" t="s">
        <v>60</v>
      </c>
      <c r="C4567" s="236" t="s">
        <v>193</v>
      </c>
      <c r="D4567" s="236" t="s">
        <v>194</v>
      </c>
      <c r="E4567" s="236" t="s">
        <v>195</v>
      </c>
      <c r="F4567" s="236" t="s">
        <v>196</v>
      </c>
      <c r="G4567" s="236" t="s">
        <v>197</v>
      </c>
      <c r="H4567" s="236" t="s">
        <v>91</v>
      </c>
      <c r="I4567" s="236" t="s">
        <v>198</v>
      </c>
    </row>
    <row r="4568" spans="1:13" x14ac:dyDescent="0.2">
      <c r="A4568" s="237" t="str">
        <f>VLOOKUP(B4568,equip.!$A:$G,2,FALSE)</f>
        <v>Serra circular (WEG) ou equivalente</v>
      </c>
      <c r="B4568" s="238">
        <v>30073</v>
      </c>
      <c r="C4568" s="239" t="str">
        <f>VLOOKUP(B4568,equip.!$A$1:$G$240,3,FALSE)</f>
        <v>M</v>
      </c>
      <c r="D4568" s="240">
        <v>0.5</v>
      </c>
      <c r="E4568" s="205">
        <v>0.5</v>
      </c>
      <c r="F4568" s="241">
        <f>VLOOKUP(B4568,equip.!$A:$G,6,FALSE)</f>
        <v>18.22</v>
      </c>
      <c r="G4568" s="241">
        <f>VLOOKUP(B4568,equip.!$A:$G,7,FALSE)</f>
        <v>14.81</v>
      </c>
      <c r="H4568" s="242">
        <v>1</v>
      </c>
      <c r="I4568" s="243">
        <f>TRUNC(D4568*F4568*H4568+E4568*G4568*H4568,2)</f>
        <v>16.510000000000002</v>
      </c>
    </row>
    <row r="4569" spans="1:13" x14ac:dyDescent="0.2">
      <c r="A4569" s="199"/>
      <c r="B4569" s="233"/>
      <c r="C4569" s="233"/>
      <c r="D4569" s="199"/>
      <c r="E4569" s="199"/>
      <c r="F4569" s="234" t="s">
        <v>199</v>
      </c>
      <c r="G4569" s="244"/>
      <c r="H4569" s="245"/>
      <c r="I4569" s="434">
        <f>SUM(I4568:I4568)</f>
        <v>16.510000000000002</v>
      </c>
    </row>
    <row r="4570" spans="1:13" x14ac:dyDescent="0.2">
      <c r="A4570" s="199"/>
      <c r="B4570" s="233"/>
      <c r="C4570" s="233"/>
      <c r="D4570" s="199"/>
      <c r="E4570" s="199"/>
      <c r="F4570" s="199"/>
      <c r="G4570" s="199"/>
      <c r="H4570" s="199"/>
      <c r="I4570" s="200"/>
    </row>
    <row r="4571" spans="1:13" x14ac:dyDescent="0.2">
      <c r="A4571" s="246" t="s">
        <v>200</v>
      </c>
      <c r="B4571" s="247" t="s">
        <v>60</v>
      </c>
      <c r="C4571" s="236" t="s">
        <v>1242</v>
      </c>
      <c r="D4571" s="247" t="s">
        <v>202</v>
      </c>
      <c r="E4571" s="1271" t="s">
        <v>91</v>
      </c>
      <c r="F4571" s="1272"/>
      <c r="G4571" s="1273"/>
      <c r="H4571" s="1276" t="s">
        <v>198</v>
      </c>
      <c r="I4571" s="1275"/>
    </row>
    <row r="4572" spans="1:13" x14ac:dyDescent="0.2">
      <c r="A4572" s="248" t="str">
        <f>VLOOKUP(B4572,m.o.!$A:$H,2,FALSE)</f>
        <v>Carpinteiro de O.A.C.</v>
      </c>
      <c r="B4572" s="238">
        <v>20038</v>
      </c>
      <c r="C4572" s="243">
        <f>VLOOKUP(B4572,m.o.!$A:$F,4,FALSE)</f>
        <v>1.24</v>
      </c>
      <c r="D4572" s="243">
        <f>VLOOKUP(B4572,m.o.!$A:$G,7,FALSE)</f>
        <v>14.43</v>
      </c>
      <c r="E4572" s="260"/>
      <c r="F4572" s="258"/>
      <c r="G4572" s="300">
        <v>1</v>
      </c>
      <c r="H4572" s="244"/>
      <c r="I4572" s="249">
        <f>TRUNC(D4572*G4572,2)</f>
        <v>14.43</v>
      </c>
    </row>
    <row r="4573" spans="1:13" x14ac:dyDescent="0.2">
      <c r="A4573" s="248" t="str">
        <f>VLOOKUP(B4573,m.o.!$A:$H,2,FALSE)</f>
        <v>Servente</v>
      </c>
      <c r="B4573" s="238">
        <v>20002</v>
      </c>
      <c r="C4573" s="243">
        <f>VLOOKUP(B4573,m.o.!$A:$F,4,FALSE)</f>
        <v>1</v>
      </c>
      <c r="D4573" s="243">
        <f>VLOOKUP(B4573,m.o.!$A:$G,7,FALSE)</f>
        <v>11.64</v>
      </c>
      <c r="E4573" s="244"/>
      <c r="F4573" s="245"/>
      <c r="G4573" s="441">
        <v>1</v>
      </c>
      <c r="H4573" s="244"/>
      <c r="I4573" s="249">
        <f>TRUNC(D4573*G4573,2)</f>
        <v>11.64</v>
      </c>
    </row>
    <row r="4574" spans="1:13" x14ac:dyDescent="0.2">
      <c r="A4574" s="199"/>
      <c r="B4574" s="233"/>
      <c r="C4574" s="233"/>
      <c r="D4574" s="199"/>
      <c r="E4574" s="199"/>
      <c r="F4574" s="234" t="s">
        <v>203</v>
      </c>
      <c r="G4574" s="244"/>
      <c r="H4574" s="245"/>
      <c r="I4574" s="434">
        <f>SUM(I4572:I4573)</f>
        <v>26.07</v>
      </c>
    </row>
    <row r="4575" spans="1:13" x14ac:dyDescent="0.2">
      <c r="A4575" s="199"/>
      <c r="B4575" s="233"/>
      <c r="C4575" s="233"/>
      <c r="D4575" s="199"/>
      <c r="E4575" s="199"/>
      <c r="F4575" s="199"/>
      <c r="G4575" s="199"/>
      <c r="H4575" s="199"/>
      <c r="I4575" s="200"/>
    </row>
    <row r="4576" spans="1:13" x14ac:dyDescent="0.2">
      <c r="A4576" s="250" t="s">
        <v>204</v>
      </c>
      <c r="B4576" s="247" t="s">
        <v>60</v>
      </c>
      <c r="C4576" s="866" t="s">
        <v>17</v>
      </c>
      <c r="D4576" s="247" t="s">
        <v>205</v>
      </c>
      <c r="E4576" s="247" t="s">
        <v>206</v>
      </c>
      <c r="F4576" s="247" t="s">
        <v>207</v>
      </c>
      <c r="G4576" s="1276" t="s">
        <v>96</v>
      </c>
      <c r="H4576" s="1274"/>
      <c r="I4576" s="1275"/>
    </row>
    <row r="4577" spans="1:11" x14ac:dyDescent="0.2">
      <c r="A4577" s="248" t="s">
        <v>142</v>
      </c>
      <c r="B4577" s="238">
        <v>2000</v>
      </c>
      <c r="C4577" s="243">
        <v>5</v>
      </c>
      <c r="D4577" s="239" t="s">
        <v>223</v>
      </c>
      <c r="E4577" s="251"/>
      <c r="F4577" s="251"/>
      <c r="G4577" s="244"/>
      <c r="H4577" s="245"/>
      <c r="I4577" s="249">
        <f>TRUNC(C4577/100*I4574,2)</f>
        <v>1.3</v>
      </c>
      <c r="K4577" s="302"/>
    </row>
    <row r="4578" spans="1:11" x14ac:dyDescent="0.2">
      <c r="A4578" s="199"/>
      <c r="B4578" s="233"/>
      <c r="C4578" s="199"/>
      <c r="D4578" s="199"/>
      <c r="E4578" s="199"/>
      <c r="F4578" s="234" t="s">
        <v>1170</v>
      </c>
      <c r="G4578" s="244"/>
      <c r="H4578" s="245"/>
      <c r="I4578" s="434">
        <f>SUM(I4577)</f>
        <v>1.3</v>
      </c>
      <c r="K4578" s="302"/>
    </row>
    <row r="4579" spans="1:11" x14ac:dyDescent="0.2">
      <c r="A4579" s="199"/>
      <c r="B4579" s="233"/>
      <c r="C4579" s="199"/>
      <c r="D4579" s="199"/>
      <c r="E4579" s="199"/>
      <c r="F4579" s="199"/>
      <c r="G4579" s="199"/>
      <c r="H4579" s="199"/>
      <c r="I4579" s="200"/>
      <c r="K4579" s="302"/>
    </row>
    <row r="4580" spans="1:11" x14ac:dyDescent="0.2">
      <c r="A4580" s="252"/>
      <c r="B4580" s="253"/>
      <c r="C4580" s="254"/>
      <c r="D4580" s="254"/>
      <c r="E4580" s="254"/>
      <c r="F4580" s="255" t="s">
        <v>208</v>
      </c>
      <c r="G4580" s="435"/>
      <c r="H4580" s="254"/>
      <c r="I4580" s="634">
        <f>+I4569+I4574+I4578</f>
        <v>43.88</v>
      </c>
      <c r="K4580" s="302"/>
    </row>
    <row r="4581" spans="1:11" x14ac:dyDescent="0.2">
      <c r="A4581" s="256"/>
      <c r="B4581" s="257"/>
      <c r="C4581" s="258"/>
      <c r="D4581" s="258"/>
      <c r="E4581" s="258"/>
      <c r="F4581" s="259" t="s">
        <v>209</v>
      </c>
      <c r="G4581" s="260"/>
      <c r="H4581" s="258"/>
      <c r="I4581" s="635">
        <v>3</v>
      </c>
      <c r="K4581" s="302"/>
    </row>
    <row r="4582" spans="1:11" x14ac:dyDescent="0.2">
      <c r="A4582" s="237"/>
      <c r="B4582" s="261"/>
      <c r="C4582" s="245"/>
      <c r="D4582" s="245"/>
      <c r="E4582" s="245"/>
      <c r="F4582" s="262" t="s">
        <v>232</v>
      </c>
      <c r="G4582" s="244"/>
      <c r="H4582" s="245"/>
      <c r="I4582" s="633">
        <f>TRUNC(I4580/I4581,2)</f>
        <v>14.62</v>
      </c>
      <c r="K4582" s="302"/>
    </row>
    <row r="4583" spans="1:11" x14ac:dyDescent="0.2">
      <c r="A4583" s="867"/>
      <c r="B4583" s="233"/>
      <c r="C4583" s="199"/>
      <c r="D4583" s="199"/>
      <c r="E4583" s="199"/>
      <c r="F4583" s="263"/>
      <c r="G4583" s="199"/>
      <c r="H4583" s="199"/>
      <c r="I4583" s="264"/>
      <c r="K4583" s="302"/>
    </row>
    <row r="4584" spans="1:11" x14ac:dyDescent="0.2">
      <c r="A4584" s="246" t="s">
        <v>210</v>
      </c>
      <c r="B4584" s="247" t="s">
        <v>60</v>
      </c>
      <c r="C4584" s="247" t="s">
        <v>211</v>
      </c>
      <c r="D4584" s="247" t="s">
        <v>233</v>
      </c>
      <c r="E4584" s="1276" t="s">
        <v>91</v>
      </c>
      <c r="F4584" s="1274"/>
      <c r="G4584" s="1275"/>
      <c r="H4584" s="1276" t="s">
        <v>198</v>
      </c>
      <c r="I4584" s="1275"/>
      <c r="K4584" s="302"/>
    </row>
    <row r="4585" spans="1:11" x14ac:dyDescent="0.2">
      <c r="A4585" s="265" t="str">
        <f>VLOOKUP(B4585,mat.!$A:$D,2,FALSE)</f>
        <v>Prego 18 X 24</v>
      </c>
      <c r="B4585" s="238">
        <v>10135</v>
      </c>
      <c r="C4585" s="266" t="str">
        <f>VLOOKUP(B4585,mat.!$A:$D,3,FALSE)</f>
        <v>kg</v>
      </c>
      <c r="D4585" s="267">
        <f>VLOOKUP(B4585,mat.!$A:$D,4,FALSE)</f>
        <v>10.54</v>
      </c>
      <c r="E4585" s="260"/>
      <c r="F4585" s="258"/>
      <c r="G4585" s="300">
        <v>0.2</v>
      </c>
      <c r="H4585" s="260"/>
      <c r="I4585" s="268">
        <f>TRUNC(D4585*G4585,2)</f>
        <v>2.1</v>
      </c>
      <c r="J4585" s="302"/>
      <c r="K4585" s="302"/>
    </row>
    <row r="4586" spans="1:11" x14ac:dyDescent="0.2">
      <c r="A4586" s="265" t="str">
        <f>VLOOKUP(B4586,mat.!$A:$D,2,FALSE)</f>
        <v>Taipá de 1ª com 2,5 cm</v>
      </c>
      <c r="B4586" s="238">
        <v>10057</v>
      </c>
      <c r="C4586" s="266" t="str">
        <f>VLOOKUP(B4586,mat.!$A:$D,3,FALSE)</f>
        <v>m3</v>
      </c>
      <c r="D4586" s="267">
        <f>VLOOKUP(B4586,mat.!$A:$D,4,FALSE)</f>
        <v>1246.67</v>
      </c>
      <c r="E4586" s="260"/>
      <c r="F4586" s="258"/>
      <c r="G4586" s="441">
        <v>2.75E-2</v>
      </c>
      <c r="H4586" s="260"/>
      <c r="I4586" s="268">
        <f>TRUNC(D4586*G4586,2)</f>
        <v>34.28</v>
      </c>
      <c r="K4586" s="302"/>
    </row>
    <row r="4587" spans="1:11" x14ac:dyDescent="0.2">
      <c r="A4587" s="199"/>
      <c r="B4587" s="233"/>
      <c r="C4587" s="199"/>
      <c r="D4587" s="199"/>
      <c r="E4587" s="199"/>
      <c r="F4587" s="234" t="s">
        <v>212</v>
      </c>
      <c r="G4587" s="244"/>
      <c r="H4587" s="245"/>
      <c r="I4587" s="434">
        <f>SUM(I4585:I4586)</f>
        <v>36.380000000000003</v>
      </c>
      <c r="K4587" s="302"/>
    </row>
    <row r="4588" spans="1:11" x14ac:dyDescent="0.2">
      <c r="A4588" s="199"/>
      <c r="B4588" s="233"/>
      <c r="C4588" s="199"/>
      <c r="D4588" s="199"/>
      <c r="E4588" s="199"/>
      <c r="F4588" s="199"/>
      <c r="G4588" s="269"/>
      <c r="H4588" s="199"/>
      <c r="I4588" s="200"/>
      <c r="K4588" s="302"/>
    </row>
    <row r="4589" spans="1:11" x14ac:dyDescent="0.2">
      <c r="A4589" s="270" t="s">
        <v>213</v>
      </c>
      <c r="B4589" s="247" t="s">
        <v>60</v>
      </c>
      <c r="C4589" s="247" t="s">
        <v>211</v>
      </c>
      <c r="D4589" s="866" t="s">
        <v>233</v>
      </c>
      <c r="E4589" s="1271" t="s">
        <v>91</v>
      </c>
      <c r="F4589" s="1272"/>
      <c r="G4589" s="1273"/>
      <c r="H4589" s="1274" t="s">
        <v>198</v>
      </c>
      <c r="I4589" s="1275"/>
      <c r="K4589" s="302"/>
    </row>
    <row r="4590" spans="1:11" x14ac:dyDescent="0.2">
      <c r="A4590" s="248"/>
      <c r="B4590" s="266"/>
      <c r="C4590" s="238"/>
      <c r="D4590" s="243"/>
      <c r="E4590" s="244"/>
      <c r="F4590" s="245"/>
      <c r="G4590" s="445"/>
      <c r="H4590" s="244"/>
      <c r="I4590" s="268"/>
      <c r="K4590" s="302"/>
    </row>
    <row r="4591" spans="1:11" x14ac:dyDescent="0.2">
      <c r="A4591" s="201"/>
      <c r="B4591" s="271"/>
      <c r="C4591" s="201"/>
      <c r="D4591" s="201"/>
      <c r="E4591" s="201"/>
      <c r="F4591" s="272" t="s">
        <v>214</v>
      </c>
      <c r="G4591" s="260"/>
      <c r="H4591" s="273"/>
      <c r="I4591" s="436">
        <f>SUM(I4588:I4590)</f>
        <v>0</v>
      </c>
      <c r="K4591" s="302"/>
    </row>
    <row r="4592" spans="1:11" x14ac:dyDescent="0.2">
      <c r="A4592" s="201"/>
      <c r="B4592" s="271"/>
      <c r="C4592" s="201"/>
      <c r="D4592" s="201"/>
      <c r="E4592" s="201"/>
      <c r="F4592" s="201"/>
      <c r="G4592" s="201"/>
      <c r="H4592" s="201"/>
      <c r="I4592" s="201"/>
      <c r="K4592" s="302"/>
    </row>
    <row r="4593" spans="1:13" x14ac:dyDescent="0.2">
      <c r="A4593" s="274" t="s">
        <v>215</v>
      </c>
      <c r="B4593" s="275" t="s">
        <v>60</v>
      </c>
      <c r="C4593" s="275" t="s">
        <v>211</v>
      </c>
      <c r="D4593" s="275" t="s">
        <v>216</v>
      </c>
      <c r="E4593" s="275" t="s">
        <v>217</v>
      </c>
      <c r="F4593" s="275" t="s">
        <v>218</v>
      </c>
      <c r="G4593" s="275" t="s">
        <v>96</v>
      </c>
      <c r="H4593" s="275" t="s">
        <v>91</v>
      </c>
      <c r="I4593" s="275" t="s">
        <v>219</v>
      </c>
    </row>
    <row r="4594" spans="1:13" x14ac:dyDescent="0.2">
      <c r="A4594" s="248" t="str">
        <f>VLOOKUP(B4594,tranp.!$A:$J,2,FALSE)</f>
        <v>Transp. de Taipá de 1ª com 2,5 cm</v>
      </c>
      <c r="B4594" s="238">
        <v>1115</v>
      </c>
      <c r="C4594" s="238" t="str">
        <f>VLOOKUP(B4594,tranp.!$A:$J,3,FALSE)</f>
        <v xml:space="preserve"> t  </v>
      </c>
      <c r="D4594" s="437" t="str">
        <f>VLOOKUP(B4594,tranp.!$A:$J,4,FALSE)</f>
        <v>0,676XP + 0,703XR</v>
      </c>
      <c r="E4594" s="277">
        <f>VLOOKUP(J4594,Ocor.!$B:$F,4,FALSE)</f>
        <v>37.200000000000003</v>
      </c>
      <c r="F4594" s="277">
        <f>VLOOKUP(J4594,Ocor.!$B:$F,5,FALSE)</f>
        <v>5.6</v>
      </c>
      <c r="G4594" s="243">
        <f>TRUNC(VLOOKUP(B4594,tranp.!$A:$J,5,FALSE)*E4594+VLOOKUP(B4594,tranp.!$A:$J,6,FALSE)*F4594+VLOOKUP(B4594,tranp.!$A:$J,7,FALSE),2)</f>
        <v>29.08</v>
      </c>
      <c r="H4594" s="278">
        <v>2.1999999999999999E-2</v>
      </c>
      <c r="I4594" s="243">
        <f>TRUNC(G4594*H4594,2)</f>
        <v>0.63</v>
      </c>
      <c r="J4594" s="433" t="s">
        <v>121</v>
      </c>
    </row>
    <row r="4595" spans="1:13" x14ac:dyDescent="0.2">
      <c r="A4595" s="201"/>
      <c r="B4595" s="271"/>
      <c r="C4595" s="201"/>
      <c r="D4595" s="201"/>
      <c r="E4595" s="201"/>
      <c r="F4595" s="272" t="s">
        <v>220</v>
      </c>
      <c r="G4595" s="244"/>
      <c r="H4595" s="279"/>
      <c r="I4595" s="438">
        <f>SUM(I4594:I4594)</f>
        <v>0.63</v>
      </c>
    </row>
    <row r="4596" spans="1:13" x14ac:dyDescent="0.2">
      <c r="A4596" s="201"/>
      <c r="B4596" s="271"/>
      <c r="C4596" s="201"/>
      <c r="D4596" s="201"/>
      <c r="E4596" s="201"/>
      <c r="F4596" s="201"/>
      <c r="G4596" s="201"/>
      <c r="H4596" s="201"/>
      <c r="I4596" s="202"/>
    </row>
    <row r="4597" spans="1:13" x14ac:dyDescent="0.2">
      <c r="A4597" s="280"/>
      <c r="B4597" s="281"/>
      <c r="C4597" s="282"/>
      <c r="D4597" s="282"/>
      <c r="E4597" s="282"/>
      <c r="F4597" s="283" t="s">
        <v>221</v>
      </c>
      <c r="G4597" s="280"/>
      <c r="H4597" s="254"/>
      <c r="I4597" s="634">
        <f>+I4582+I4587+I4591+I4595</f>
        <v>51.63</v>
      </c>
      <c r="J4597" s="446"/>
    </row>
    <row r="4598" spans="1:13" x14ac:dyDescent="0.2">
      <c r="A4598" s="260"/>
      <c r="B4598" s="284"/>
      <c r="C4598" s="273"/>
      <c r="D4598" s="273"/>
      <c r="E4598" s="273"/>
      <c r="F4598" s="285" t="str">
        <f>CONCATENATE($H$3," ",$I$3)</f>
        <v>BDI: 23,32</v>
      </c>
      <c r="G4598" s="439"/>
      <c r="H4598" s="258"/>
      <c r="I4598" s="635">
        <f>+ROUND(I4597*$I$4,2)</f>
        <v>12.04</v>
      </c>
    </row>
    <row r="4599" spans="1:13" x14ac:dyDescent="0.2">
      <c r="A4599" s="244"/>
      <c r="B4599" s="286"/>
      <c r="C4599" s="279"/>
      <c r="D4599" s="279"/>
      <c r="E4599" s="279"/>
      <c r="F4599" s="287" t="s">
        <v>222</v>
      </c>
      <c r="G4599" s="440"/>
      <c r="H4599" s="245"/>
      <c r="I4599" s="1017">
        <f>+I4597+I4598</f>
        <v>63.67</v>
      </c>
    </row>
    <row r="4600" spans="1:13" x14ac:dyDescent="0.2">
      <c r="A4600" s="1277" t="str">
        <f>$A$1</f>
        <v>COMPOSIÇÃO DE CUSTOS UNITÁRIOS</v>
      </c>
      <c r="B4600" s="1277"/>
      <c r="C4600" s="1277"/>
      <c r="D4600" s="1277"/>
      <c r="E4600" s="1277"/>
      <c r="F4600" s="1277"/>
      <c r="G4600" s="1277"/>
      <c r="H4600" s="1277"/>
      <c r="I4600" s="1277"/>
    </row>
    <row r="4601" spans="1:13" x14ac:dyDescent="0.2">
      <c r="A4601" s="232" t="str">
        <f>$A$2</f>
        <v>Tabela Referencial de Preços - DER-ES</v>
      </c>
      <c r="B4601" s="233"/>
      <c r="C4601" s="199"/>
      <c r="D4601" s="199"/>
      <c r="E4601" s="199"/>
      <c r="F4601" s="199"/>
      <c r="G4601" s="199"/>
      <c r="H4601" s="199"/>
      <c r="I4601" s="234" t="str">
        <f>$I$2</f>
        <v>Data Base: Outubro/2018</v>
      </c>
    </row>
    <row r="4602" spans="1:13" x14ac:dyDescent="0.2">
      <c r="A4602" s="1278" t="str">
        <f>+CONCATENATE("Serviço: ",J4602," ",VLOOKUP(J4602,'DER 10-18'!$A:$D,2,FALSE))</f>
        <v>Serviço: 40343 Alvenaria de pedra de mão argamassada (argamassa cimento areia 1:4), inclusive transporte da pedra</v>
      </c>
      <c r="B4602" s="1278"/>
      <c r="C4602" s="1278"/>
      <c r="D4602" s="1278"/>
      <c r="E4602" s="1278"/>
      <c r="F4602" s="1278"/>
      <c r="G4602" s="1278"/>
      <c r="H4602" s="1278"/>
      <c r="I4602" s="1278" t="str">
        <f>CONCATENATE("Unidade: ", VLOOKUP(J4602,'DER 10-18'!$A:$E,3,FALSE))</f>
        <v>Unidade: M3</v>
      </c>
      <c r="J4602" s="433">
        <v>40343</v>
      </c>
      <c r="K4602" s="433">
        <f>VLOOKUP("Preço Unitário Total",F4603:I4925,4,FALSE)</f>
        <v>402.13</v>
      </c>
      <c r="L4602" s="302" t="str">
        <f>VLOOKUP(J4602,'DER 10-18'!$A:$E,5,FALSE)</f>
        <v>A incluir</v>
      </c>
      <c r="M4602" s="302" t="str">
        <f>VLOOKUP(J4602,'DER 10-18'!$A:$D,2,FALSE)</f>
        <v>Alvenaria de pedra de mão argamassada (argamassa cimento areia 1:4), inclusive transporte da pedra</v>
      </c>
    </row>
    <row r="4603" spans="1:13" x14ac:dyDescent="0.2">
      <c r="A4603" s="1279"/>
      <c r="B4603" s="1279"/>
      <c r="C4603" s="1279"/>
      <c r="D4603" s="1279"/>
      <c r="E4603" s="1279"/>
      <c r="F4603" s="1279"/>
      <c r="G4603" s="1279"/>
      <c r="H4603" s="1279"/>
      <c r="I4603" s="1279"/>
    </row>
    <row r="4604" spans="1:13" ht="22.5" x14ac:dyDescent="0.2">
      <c r="A4604" s="235" t="s">
        <v>192</v>
      </c>
      <c r="B4604" s="236" t="s">
        <v>60</v>
      </c>
      <c r="C4604" s="236" t="s">
        <v>193</v>
      </c>
      <c r="D4604" s="236" t="s">
        <v>194</v>
      </c>
      <c r="E4604" s="236" t="s">
        <v>195</v>
      </c>
      <c r="F4604" s="236" t="s">
        <v>196</v>
      </c>
      <c r="G4604" s="236" t="s">
        <v>197</v>
      </c>
      <c r="H4604" s="236" t="s">
        <v>91</v>
      </c>
      <c r="I4604" s="236" t="s">
        <v>198</v>
      </c>
    </row>
    <row r="4605" spans="1:13" x14ac:dyDescent="0.2">
      <c r="A4605" s="237"/>
      <c r="B4605" s="238"/>
      <c r="C4605" s="239"/>
      <c r="D4605" s="240"/>
      <c r="E4605" s="205"/>
      <c r="F4605" s="241"/>
      <c r="G4605" s="241"/>
      <c r="H4605" s="242"/>
      <c r="I4605" s="243"/>
    </row>
    <row r="4606" spans="1:13" x14ac:dyDescent="0.2">
      <c r="A4606" s="199"/>
      <c r="B4606" s="233"/>
      <c r="C4606" s="233"/>
      <c r="D4606" s="199"/>
      <c r="E4606" s="199"/>
      <c r="F4606" s="234" t="s">
        <v>199</v>
      </c>
      <c r="G4606" s="244"/>
      <c r="H4606" s="245"/>
      <c r="I4606" s="434">
        <f>SUM(I4605:I4605)</f>
        <v>0</v>
      </c>
    </row>
    <row r="4607" spans="1:13" x14ac:dyDescent="0.2">
      <c r="A4607" s="199"/>
      <c r="B4607" s="233"/>
      <c r="C4607" s="233"/>
      <c r="D4607" s="199"/>
      <c r="E4607" s="199"/>
      <c r="F4607" s="199"/>
      <c r="G4607" s="199"/>
      <c r="H4607" s="199"/>
      <c r="I4607" s="200"/>
    </row>
    <row r="4608" spans="1:13" x14ac:dyDescent="0.2">
      <c r="A4608" s="246" t="s">
        <v>200</v>
      </c>
      <c r="B4608" s="247" t="s">
        <v>60</v>
      </c>
      <c r="C4608" s="236" t="s">
        <v>1242</v>
      </c>
      <c r="D4608" s="247" t="s">
        <v>202</v>
      </c>
      <c r="E4608" s="1271" t="s">
        <v>91</v>
      </c>
      <c r="F4608" s="1272"/>
      <c r="G4608" s="1273"/>
      <c r="H4608" s="1276" t="s">
        <v>198</v>
      </c>
      <c r="I4608" s="1275"/>
    </row>
    <row r="4609" spans="1:11" x14ac:dyDescent="0.2">
      <c r="A4609" s="248" t="str">
        <f>VLOOKUP(B4609,m.o.!$A:$H,2,FALSE)</f>
        <v>Encarregado de O.A.C.</v>
      </c>
      <c r="B4609" s="238">
        <v>20060</v>
      </c>
      <c r="C4609" s="243">
        <f>VLOOKUP(B4609,m.o.!$A:$F,4,FALSE)</f>
        <v>2.2599999999999998</v>
      </c>
      <c r="D4609" s="243">
        <f>VLOOKUP(B4609,m.o.!$A:$G,7,FALSE)</f>
        <v>26.3</v>
      </c>
      <c r="E4609" s="260"/>
      <c r="F4609" s="258"/>
      <c r="G4609" s="300">
        <v>0.1</v>
      </c>
      <c r="H4609" s="244"/>
      <c r="I4609" s="249">
        <f>TRUNC(D4609*G4609,2)</f>
        <v>2.63</v>
      </c>
    </row>
    <row r="4610" spans="1:11" x14ac:dyDescent="0.2">
      <c r="A4610" s="248" t="str">
        <f>VLOOKUP(B4610,m.o.!$A:$H,2,FALSE)</f>
        <v>Operário braçal</v>
      </c>
      <c r="B4610" s="238">
        <v>20107</v>
      </c>
      <c r="C4610" s="243">
        <f>VLOOKUP(B4610,m.o.!$A:$F,4,FALSE)</f>
        <v>1.02</v>
      </c>
      <c r="D4610" s="243">
        <f>VLOOKUP(B4610,m.o.!$A:$G,7,FALSE)</f>
        <v>11.87</v>
      </c>
      <c r="E4610" s="260"/>
      <c r="F4610" s="258"/>
      <c r="G4610" s="300">
        <v>10</v>
      </c>
      <c r="H4610" s="244"/>
      <c r="I4610" s="249">
        <f>TRUNC(D4610*G4610,2)</f>
        <v>118.7</v>
      </c>
    </row>
    <row r="4611" spans="1:11" x14ac:dyDescent="0.2">
      <c r="A4611" s="248" t="str">
        <f>VLOOKUP(B4611,m.o.!$A:$H,2,FALSE)</f>
        <v>Pedreiro de O.A.C.</v>
      </c>
      <c r="B4611" s="238">
        <v>20109</v>
      </c>
      <c r="C4611" s="243">
        <f>VLOOKUP(B4611,m.o.!$A:$F,4,FALSE)</f>
        <v>1.24</v>
      </c>
      <c r="D4611" s="243">
        <f>VLOOKUP(B4611,m.o.!$A:$G,7,FALSE)</f>
        <v>14.43</v>
      </c>
      <c r="E4611" s="244"/>
      <c r="F4611" s="245"/>
      <c r="G4611" s="441">
        <v>2</v>
      </c>
      <c r="H4611" s="244"/>
      <c r="I4611" s="249">
        <f>TRUNC(D4611*G4611,2)</f>
        <v>28.86</v>
      </c>
    </row>
    <row r="4612" spans="1:11" x14ac:dyDescent="0.2">
      <c r="A4612" s="199"/>
      <c r="B4612" s="233"/>
      <c r="C4612" s="233"/>
      <c r="D4612" s="199"/>
      <c r="E4612" s="199"/>
      <c r="F4612" s="234" t="s">
        <v>203</v>
      </c>
      <c r="G4612" s="244"/>
      <c r="H4612" s="245"/>
      <c r="I4612" s="434">
        <f>SUM(I4609:I4611)</f>
        <v>150.19</v>
      </c>
    </row>
    <row r="4613" spans="1:11" x14ac:dyDescent="0.2">
      <c r="A4613" s="199"/>
      <c r="B4613" s="233"/>
      <c r="C4613" s="233"/>
      <c r="D4613" s="199"/>
      <c r="E4613" s="199"/>
      <c r="F4613" s="199"/>
      <c r="G4613" s="199"/>
      <c r="H4613" s="199"/>
      <c r="I4613" s="200"/>
    </row>
    <row r="4614" spans="1:11" x14ac:dyDescent="0.2">
      <c r="A4614" s="250" t="s">
        <v>204</v>
      </c>
      <c r="B4614" s="247" t="s">
        <v>60</v>
      </c>
      <c r="C4614" s="866" t="s">
        <v>17</v>
      </c>
      <c r="D4614" s="247" t="s">
        <v>205</v>
      </c>
      <c r="E4614" s="247" t="s">
        <v>206</v>
      </c>
      <c r="F4614" s="247" t="s">
        <v>207</v>
      </c>
      <c r="G4614" s="1276" t="s">
        <v>96</v>
      </c>
      <c r="H4614" s="1274"/>
      <c r="I4614" s="1275"/>
    </row>
    <row r="4615" spans="1:11" x14ac:dyDescent="0.2">
      <c r="A4615" s="248" t="s">
        <v>142</v>
      </c>
      <c r="B4615" s="238">
        <v>2000</v>
      </c>
      <c r="C4615" s="243">
        <v>5</v>
      </c>
      <c r="D4615" s="239" t="s">
        <v>223</v>
      </c>
      <c r="E4615" s="251"/>
      <c r="F4615" s="251"/>
      <c r="G4615" s="244"/>
      <c r="H4615" s="245"/>
      <c r="I4615" s="249">
        <f>TRUNC(C4615/100*I4612,2)</f>
        <v>7.5</v>
      </c>
      <c r="K4615" s="302"/>
    </row>
    <row r="4616" spans="1:11" x14ac:dyDescent="0.2">
      <c r="A4616" s="199"/>
      <c r="B4616" s="233"/>
      <c r="C4616" s="199"/>
      <c r="D4616" s="199"/>
      <c r="E4616" s="199"/>
      <c r="F4616" s="234" t="s">
        <v>1170</v>
      </c>
      <c r="G4616" s="244"/>
      <c r="H4616" s="245"/>
      <c r="I4616" s="434">
        <f>SUM(I4615)</f>
        <v>7.5</v>
      </c>
      <c r="K4616" s="302"/>
    </row>
    <row r="4617" spans="1:11" x14ac:dyDescent="0.2">
      <c r="A4617" s="199"/>
      <c r="B4617" s="233"/>
      <c r="C4617" s="199"/>
      <c r="D4617" s="199"/>
      <c r="E4617" s="199"/>
      <c r="F4617" s="199"/>
      <c r="G4617" s="199"/>
      <c r="H4617" s="199"/>
      <c r="I4617" s="200"/>
      <c r="K4617" s="302"/>
    </row>
    <row r="4618" spans="1:11" x14ac:dyDescent="0.2">
      <c r="A4618" s="252"/>
      <c r="B4618" s="253"/>
      <c r="C4618" s="254"/>
      <c r="D4618" s="254"/>
      <c r="E4618" s="254"/>
      <c r="F4618" s="255" t="s">
        <v>208</v>
      </c>
      <c r="G4618" s="435"/>
      <c r="H4618" s="254"/>
      <c r="I4618" s="634">
        <f>+I4606+I4612+I4616</f>
        <v>157.69</v>
      </c>
      <c r="K4618" s="302"/>
    </row>
    <row r="4619" spans="1:11" x14ac:dyDescent="0.2">
      <c r="A4619" s="256"/>
      <c r="B4619" s="257"/>
      <c r="C4619" s="258"/>
      <c r="D4619" s="258"/>
      <c r="E4619" s="258"/>
      <c r="F4619" s="259" t="s">
        <v>209</v>
      </c>
      <c r="G4619" s="260"/>
      <c r="H4619" s="258"/>
      <c r="I4619" s="635">
        <v>1</v>
      </c>
      <c r="K4619" s="302"/>
    </row>
    <row r="4620" spans="1:11" x14ac:dyDescent="0.2">
      <c r="A4620" s="237"/>
      <c r="B4620" s="261"/>
      <c r="C4620" s="245"/>
      <c r="D4620" s="245"/>
      <c r="E4620" s="245"/>
      <c r="F4620" s="262" t="s">
        <v>232</v>
      </c>
      <c r="G4620" s="244"/>
      <c r="H4620" s="245"/>
      <c r="I4620" s="633">
        <f>TRUNC(I4618/I4619,2)</f>
        <v>157.69</v>
      </c>
      <c r="K4620" s="302"/>
    </row>
    <row r="4621" spans="1:11" x14ac:dyDescent="0.2">
      <c r="A4621" s="867"/>
      <c r="B4621" s="233"/>
      <c r="C4621" s="199"/>
      <c r="D4621" s="199"/>
      <c r="E4621" s="199"/>
      <c r="F4621" s="263"/>
      <c r="G4621" s="199"/>
      <c r="H4621" s="199"/>
      <c r="I4621" s="264"/>
      <c r="K4621" s="302"/>
    </row>
    <row r="4622" spans="1:11" x14ac:dyDescent="0.2">
      <c r="A4622" s="246" t="s">
        <v>210</v>
      </c>
      <c r="B4622" s="247" t="s">
        <v>60</v>
      </c>
      <c r="C4622" s="247" t="s">
        <v>211</v>
      </c>
      <c r="D4622" s="247" t="s">
        <v>233</v>
      </c>
      <c r="E4622" s="1276" t="s">
        <v>91</v>
      </c>
      <c r="F4622" s="1274"/>
      <c r="G4622" s="1275"/>
      <c r="H4622" s="1276" t="s">
        <v>198</v>
      </c>
      <c r="I4622" s="1275"/>
      <c r="K4622" s="302"/>
    </row>
    <row r="4623" spans="1:11" x14ac:dyDescent="0.2">
      <c r="A4623" s="265" t="str">
        <f>VLOOKUP(B4623,mat.!$A:$D,2,FALSE)</f>
        <v>Pedra de mao (incl. 0% IUM) s/ frete</v>
      </c>
      <c r="B4623" s="238">
        <v>10121</v>
      </c>
      <c r="C4623" s="266" t="str">
        <f>VLOOKUP(B4623,mat.!$A:$D,3,FALSE)</f>
        <v>m3</v>
      </c>
      <c r="D4623" s="267">
        <f>VLOOKUP(B4623,mat.!$A:$D,4,FALSE)</f>
        <v>45.57</v>
      </c>
      <c r="E4623" s="260"/>
      <c r="F4623" s="258"/>
      <c r="G4623" s="300">
        <v>0.75</v>
      </c>
      <c r="H4623" s="260"/>
      <c r="I4623" s="268">
        <f>TRUNC(D4623*G4623,2)</f>
        <v>34.17</v>
      </c>
      <c r="J4623" s="302"/>
      <c r="K4623" s="302"/>
    </row>
    <row r="4624" spans="1:11" x14ac:dyDescent="0.2">
      <c r="A4624" s="199"/>
      <c r="B4624" s="233"/>
      <c r="C4624" s="199"/>
      <c r="D4624" s="199"/>
      <c r="E4624" s="199"/>
      <c r="F4624" s="234" t="s">
        <v>212</v>
      </c>
      <c r="G4624" s="244"/>
      <c r="H4624" s="245"/>
      <c r="I4624" s="434">
        <f>SUM(I4623:I4623)</f>
        <v>34.17</v>
      </c>
      <c r="K4624" s="302"/>
    </row>
    <row r="4625" spans="1:13" x14ac:dyDescent="0.2">
      <c r="A4625" s="199"/>
      <c r="B4625" s="233"/>
      <c r="C4625" s="199"/>
      <c r="D4625" s="199"/>
      <c r="E4625" s="199"/>
      <c r="F4625" s="199"/>
      <c r="G4625" s="269"/>
      <c r="H4625" s="199"/>
      <c r="I4625" s="200"/>
      <c r="K4625" s="302"/>
    </row>
    <row r="4626" spans="1:13" x14ac:dyDescent="0.2">
      <c r="A4626" s="270" t="s">
        <v>213</v>
      </c>
      <c r="B4626" s="247" t="s">
        <v>60</v>
      </c>
      <c r="C4626" s="247" t="s">
        <v>211</v>
      </c>
      <c r="D4626" s="866" t="s">
        <v>233</v>
      </c>
      <c r="E4626" s="1271" t="s">
        <v>91</v>
      </c>
      <c r="F4626" s="1272"/>
      <c r="G4626" s="1273"/>
      <c r="H4626" s="1274" t="s">
        <v>198</v>
      </c>
      <c r="I4626" s="1275"/>
      <c r="K4626" s="302"/>
    </row>
    <row r="4627" spans="1:13" ht="22.5" x14ac:dyDescent="0.2">
      <c r="A4627" s="248" t="str">
        <f>VLOOKUP(B4627,'DER 10-18'!$A:$E,2,FALSE)</f>
        <v>Argamassa cimento e areia traço 1:4, tudo incluído</v>
      </c>
      <c r="B4627" s="238">
        <v>40348</v>
      </c>
      <c r="C4627" s="238" t="str">
        <f>VLOOKUP(B4627,'DER 10-18'!$A:$E,3,FALSE)</f>
        <v>M3</v>
      </c>
      <c r="D4627" s="243">
        <f>TRUNC(VLOOKUP(B4627,'DER 10-18'!$A:$F,6,FALSE)/(1+$I$4),2)</f>
        <v>405.1</v>
      </c>
      <c r="E4627" s="260"/>
      <c r="F4627" s="258"/>
      <c r="G4627" s="300">
        <v>0.25</v>
      </c>
      <c r="H4627" s="244"/>
      <c r="I4627" s="268">
        <f>TRUNC(D4627*G4627,2)</f>
        <v>101.27</v>
      </c>
      <c r="K4627" s="302"/>
    </row>
    <row r="4628" spans="1:13" x14ac:dyDescent="0.2">
      <c r="A4628" s="201"/>
      <c r="B4628" s="271"/>
      <c r="C4628" s="201"/>
      <c r="D4628" s="201"/>
      <c r="E4628" s="201"/>
      <c r="F4628" s="272" t="s">
        <v>214</v>
      </c>
      <c r="G4628" s="260"/>
      <c r="H4628" s="273"/>
      <c r="I4628" s="436">
        <f>SUM(I4625:I4627)</f>
        <v>101.27</v>
      </c>
      <c r="K4628" s="302"/>
    </row>
    <row r="4629" spans="1:13" x14ac:dyDescent="0.2">
      <c r="A4629" s="201"/>
      <c r="B4629" s="271"/>
      <c r="C4629" s="201"/>
      <c r="D4629" s="201"/>
      <c r="E4629" s="201"/>
      <c r="F4629" s="201"/>
      <c r="G4629" s="201"/>
      <c r="H4629" s="201"/>
      <c r="I4629" s="201"/>
      <c r="K4629" s="302"/>
    </row>
    <row r="4630" spans="1:13" x14ac:dyDescent="0.2">
      <c r="A4630" s="274" t="s">
        <v>215</v>
      </c>
      <c r="B4630" s="275" t="s">
        <v>60</v>
      </c>
      <c r="C4630" s="275" t="s">
        <v>211</v>
      </c>
      <c r="D4630" s="275" t="s">
        <v>216</v>
      </c>
      <c r="E4630" s="275" t="s">
        <v>217</v>
      </c>
      <c r="F4630" s="275" t="s">
        <v>218</v>
      </c>
      <c r="G4630" s="275" t="s">
        <v>96</v>
      </c>
      <c r="H4630" s="275" t="s">
        <v>91</v>
      </c>
      <c r="I4630" s="275" t="s">
        <v>219</v>
      </c>
    </row>
    <row r="4631" spans="1:13" ht="22.5" x14ac:dyDescent="0.2">
      <c r="A4631" s="248" t="str">
        <f>VLOOKUP(B4631,tranp.!$A:$J,2,FALSE)</f>
        <v>Transporte de Pedra de mao (incl. 0% IUM) s/ frete</v>
      </c>
      <c r="B4631" s="238">
        <v>1150</v>
      </c>
      <c r="C4631" s="238" t="str">
        <f>VLOOKUP(B4631,tranp.!$A:$J,3,FALSE)</f>
        <v xml:space="preserve"> t  </v>
      </c>
      <c r="D4631" s="437" t="str">
        <f>VLOOKUP(B4631,tranp.!$A:$J,4,FALSE)</f>
        <v>0,681XP + 0,710XR</v>
      </c>
      <c r="E4631" s="277">
        <f>VLOOKUP(J4631,Ocor.!$B:$F,4,FALSE)</f>
        <v>37.200000000000003</v>
      </c>
      <c r="F4631" s="277">
        <f>VLOOKUP(J4631,Ocor.!$B:$F,5,FALSE)</f>
        <v>5.6</v>
      </c>
      <c r="G4631" s="243">
        <f>TRUNC(VLOOKUP(B4631,tranp.!$A:$J,5,FALSE)*E4631+VLOOKUP(B4631,tranp.!$A:$J,6,FALSE)*F4631+VLOOKUP(B4631,tranp.!$A:$J,7,FALSE),2)</f>
        <v>29.3</v>
      </c>
      <c r="H4631" s="278">
        <v>1.125</v>
      </c>
      <c r="I4631" s="243">
        <f>TRUNC(G4631*H4631,2)</f>
        <v>32.96</v>
      </c>
      <c r="J4631" s="433" t="s">
        <v>121</v>
      </c>
    </row>
    <row r="4632" spans="1:13" x14ac:dyDescent="0.2">
      <c r="A4632" s="201"/>
      <c r="B4632" s="271"/>
      <c r="C4632" s="201"/>
      <c r="D4632" s="201"/>
      <c r="E4632" s="201"/>
      <c r="F4632" s="272" t="s">
        <v>220</v>
      </c>
      <c r="G4632" s="244"/>
      <c r="H4632" s="279"/>
      <c r="I4632" s="438">
        <f>SUM(I4631:I4631)</f>
        <v>32.96</v>
      </c>
    </row>
    <row r="4633" spans="1:13" x14ac:dyDescent="0.2">
      <c r="A4633" s="201"/>
      <c r="B4633" s="271"/>
      <c r="C4633" s="201"/>
      <c r="D4633" s="201"/>
      <c r="E4633" s="201"/>
      <c r="F4633" s="201"/>
      <c r="G4633" s="201"/>
      <c r="H4633" s="201"/>
      <c r="I4633" s="202"/>
    </row>
    <row r="4634" spans="1:13" x14ac:dyDescent="0.2">
      <c r="A4634" s="280"/>
      <c r="B4634" s="281"/>
      <c r="C4634" s="282"/>
      <c r="D4634" s="282"/>
      <c r="E4634" s="282"/>
      <c r="F4634" s="283" t="s">
        <v>221</v>
      </c>
      <c r="G4634" s="280"/>
      <c r="H4634" s="254"/>
      <c r="I4634" s="634">
        <f>+I4620+I4624+I4628+I4632</f>
        <v>326.08999999999997</v>
      </c>
      <c r="J4634" s="446"/>
    </row>
    <row r="4635" spans="1:13" x14ac:dyDescent="0.2">
      <c r="A4635" s="260"/>
      <c r="B4635" s="284"/>
      <c r="C4635" s="273"/>
      <c r="D4635" s="273"/>
      <c r="E4635" s="273"/>
      <c r="F4635" s="285" t="str">
        <f>CONCATENATE($H$3," ",$I$3)</f>
        <v>BDI: 23,32</v>
      </c>
      <c r="G4635" s="439"/>
      <c r="H4635" s="258"/>
      <c r="I4635" s="635">
        <f>+ROUND(I4634*$I$4,2)</f>
        <v>76.040000000000006</v>
      </c>
    </row>
    <row r="4636" spans="1:13" x14ac:dyDescent="0.2">
      <c r="A4636" s="244"/>
      <c r="B4636" s="286"/>
      <c r="C4636" s="279"/>
      <c r="D4636" s="279"/>
      <c r="E4636" s="279"/>
      <c r="F4636" s="287" t="s">
        <v>222</v>
      </c>
      <c r="G4636" s="440"/>
      <c r="H4636" s="245"/>
      <c r="I4636" s="1017">
        <f>+I4634+I4635</f>
        <v>402.13</v>
      </c>
    </row>
    <row r="4637" spans="1:13" x14ac:dyDescent="0.2">
      <c r="A4637" s="1277" t="str">
        <f>$A$1</f>
        <v>COMPOSIÇÃO DE CUSTOS UNITÁRIOS</v>
      </c>
      <c r="B4637" s="1277"/>
      <c r="C4637" s="1277"/>
      <c r="D4637" s="1277"/>
      <c r="E4637" s="1277"/>
      <c r="F4637" s="1277"/>
      <c r="G4637" s="1277"/>
      <c r="H4637" s="1277"/>
      <c r="I4637" s="1277"/>
    </row>
    <row r="4638" spans="1:13" x14ac:dyDescent="0.2">
      <c r="A4638" s="232" t="str">
        <f>$A$2</f>
        <v>Tabela Referencial de Preços - DER-ES</v>
      </c>
      <c r="B4638" s="233"/>
      <c r="C4638" s="199"/>
      <c r="D4638" s="199"/>
      <c r="E4638" s="199"/>
      <c r="F4638" s="199"/>
      <c r="G4638" s="199"/>
      <c r="H4638" s="199"/>
      <c r="I4638" s="234" t="str">
        <f>$I$2</f>
        <v>Data Base: Outubro/2018</v>
      </c>
    </row>
    <row r="4639" spans="1:13" x14ac:dyDescent="0.2">
      <c r="A4639" s="1287" t="str">
        <f>+CONCATENATE("Serviço: ",J4639," ",VLOOKUP(J4639,'DER 10-18'!$A:$D,2,FALSE))</f>
        <v>Serviço: 41404 Pintura em estrutura metálica com tinta epoxídica inclusive primer</v>
      </c>
      <c r="B4639" s="1287"/>
      <c r="C4639" s="1287"/>
      <c r="D4639" s="1287"/>
      <c r="E4639" s="1287"/>
      <c r="F4639" s="1287"/>
      <c r="G4639" s="1287"/>
      <c r="H4639" s="1287"/>
      <c r="I4639" s="1278" t="str">
        <f>CONCATENATE("Unidade: ", VLOOKUP(J4639,'DER 10-18'!$A:$E,3,FALSE))</f>
        <v>Unidade: M2</v>
      </c>
      <c r="J4639" s="451">
        <v>41404</v>
      </c>
      <c r="K4639" s="433">
        <f>VLOOKUP("Preço Unitário Total",F4640:I4962,4,FALSE)</f>
        <v>32.049999999999997</v>
      </c>
      <c r="L4639" s="302">
        <f>VLOOKUP(J4639,'DER 10-18'!$A:$E,5,FALSE)</f>
        <v>0</v>
      </c>
      <c r="M4639" s="302" t="str">
        <f>VLOOKUP(J4639,'DER 10-18'!$A:$D,2,FALSE)</f>
        <v>Pintura em estrutura metálica com tinta epoxídica inclusive primer</v>
      </c>
    </row>
    <row r="4640" spans="1:13" x14ac:dyDescent="0.2">
      <c r="A4640" s="1288"/>
      <c r="B4640" s="1288"/>
      <c r="C4640" s="1288"/>
      <c r="D4640" s="1288"/>
      <c r="E4640" s="1288"/>
      <c r="F4640" s="1288"/>
      <c r="G4640" s="1288"/>
      <c r="H4640" s="1288"/>
      <c r="I4640" s="1279"/>
    </row>
    <row r="4641" spans="1:11" ht="22.5" x14ac:dyDescent="0.2">
      <c r="A4641" s="235" t="s">
        <v>192</v>
      </c>
      <c r="B4641" s="236" t="s">
        <v>60</v>
      </c>
      <c r="C4641" s="236" t="s">
        <v>193</v>
      </c>
      <c r="D4641" s="236" t="s">
        <v>194</v>
      </c>
      <c r="E4641" s="236" t="s">
        <v>195</v>
      </c>
      <c r="F4641" s="236" t="s">
        <v>196</v>
      </c>
      <c r="G4641" s="236" t="s">
        <v>197</v>
      </c>
      <c r="H4641" s="236" t="s">
        <v>91</v>
      </c>
      <c r="I4641" s="236" t="s">
        <v>198</v>
      </c>
    </row>
    <row r="4642" spans="1:11" x14ac:dyDescent="0.2">
      <c r="A4642" s="237"/>
      <c r="B4642" s="238"/>
      <c r="C4642" s="239"/>
      <c r="D4642" s="240"/>
      <c r="E4642" s="205"/>
      <c r="F4642" s="241"/>
      <c r="G4642" s="241"/>
      <c r="H4642" s="242"/>
      <c r="I4642" s="243"/>
    </row>
    <row r="4643" spans="1:11" x14ac:dyDescent="0.2">
      <c r="A4643" s="199"/>
      <c r="B4643" s="233"/>
      <c r="C4643" s="233"/>
      <c r="D4643" s="199"/>
      <c r="E4643" s="199"/>
      <c r="F4643" s="234" t="s">
        <v>199</v>
      </c>
      <c r="G4643" s="244"/>
      <c r="H4643" s="245"/>
      <c r="I4643" s="434">
        <f>SUM(I4642:I4642)</f>
        <v>0</v>
      </c>
    </row>
    <row r="4644" spans="1:11" x14ac:dyDescent="0.2">
      <c r="A4644" s="199"/>
      <c r="B4644" s="233"/>
      <c r="C4644" s="233"/>
      <c r="D4644" s="199"/>
      <c r="E4644" s="199"/>
      <c r="F4644" s="199"/>
      <c r="G4644" s="199"/>
      <c r="H4644" s="199"/>
      <c r="I4644" s="200"/>
    </row>
    <row r="4645" spans="1:11" x14ac:dyDescent="0.2">
      <c r="A4645" s="246" t="s">
        <v>200</v>
      </c>
      <c r="B4645" s="247" t="s">
        <v>60</v>
      </c>
      <c r="C4645" s="236" t="s">
        <v>1242</v>
      </c>
      <c r="D4645" s="247" t="s">
        <v>202</v>
      </c>
      <c r="E4645" s="1271" t="s">
        <v>91</v>
      </c>
      <c r="F4645" s="1272"/>
      <c r="G4645" s="1273"/>
      <c r="H4645" s="1276" t="s">
        <v>198</v>
      </c>
      <c r="I4645" s="1275"/>
    </row>
    <row r="4646" spans="1:11" x14ac:dyDescent="0.2">
      <c r="A4646" s="248" t="str">
        <f>VLOOKUP(B4646,m.o.!$A:$H,2,FALSE)</f>
        <v>Pintor</v>
      </c>
      <c r="B4646" s="238">
        <v>20111</v>
      </c>
      <c r="C4646" s="243">
        <f>VLOOKUP(B4646,m.o.!$A:$F,4,FALSE)</f>
        <v>1.24</v>
      </c>
      <c r="D4646" s="243">
        <f>VLOOKUP(B4646,m.o.!$A:$G,7,FALSE)</f>
        <v>14.43</v>
      </c>
      <c r="E4646" s="260"/>
      <c r="F4646" s="258"/>
      <c r="G4646" s="300">
        <v>0.51</v>
      </c>
      <c r="H4646" s="244"/>
      <c r="I4646" s="249">
        <f>TRUNC(D4646*G4646,2)</f>
        <v>7.35</v>
      </c>
    </row>
    <row r="4647" spans="1:11" x14ac:dyDescent="0.2">
      <c r="A4647" s="248" t="str">
        <f>VLOOKUP(B4647,m.o.!$A:$H,2,FALSE)</f>
        <v>Servente</v>
      </c>
      <c r="B4647" s="238">
        <v>20002</v>
      </c>
      <c r="C4647" s="243">
        <f>VLOOKUP(B4647,m.o.!$A:$F,4,FALSE)</f>
        <v>1</v>
      </c>
      <c r="D4647" s="243">
        <f>VLOOKUP(B4647,m.o.!$A:$G,7,FALSE)</f>
        <v>11.64</v>
      </c>
      <c r="E4647" s="260"/>
      <c r="F4647" s="258"/>
      <c r="G4647" s="300">
        <v>0.255</v>
      </c>
      <c r="H4647" s="244"/>
      <c r="I4647" s="249">
        <f>TRUNC(D4647*G4647,2)</f>
        <v>2.96</v>
      </c>
    </row>
    <row r="4648" spans="1:11" x14ac:dyDescent="0.2">
      <c r="A4648" s="199"/>
      <c r="B4648" s="233"/>
      <c r="C4648" s="233"/>
      <c r="D4648" s="199"/>
      <c r="E4648" s="199"/>
      <c r="F4648" s="234" t="s">
        <v>203</v>
      </c>
      <c r="G4648" s="244"/>
      <c r="H4648" s="245"/>
      <c r="I4648" s="434">
        <f>SUM(I4646:I4647)</f>
        <v>10.31</v>
      </c>
    </row>
    <row r="4649" spans="1:11" x14ac:dyDescent="0.2">
      <c r="A4649" s="199"/>
      <c r="B4649" s="233"/>
      <c r="C4649" s="233"/>
      <c r="D4649" s="199"/>
      <c r="E4649" s="199"/>
      <c r="F4649" s="199"/>
      <c r="G4649" s="199"/>
      <c r="H4649" s="199"/>
      <c r="I4649" s="200"/>
    </row>
    <row r="4650" spans="1:11" x14ac:dyDescent="0.2">
      <c r="A4650" s="250" t="s">
        <v>204</v>
      </c>
      <c r="B4650" s="247" t="s">
        <v>60</v>
      </c>
      <c r="C4650" s="866" t="s">
        <v>17</v>
      </c>
      <c r="D4650" s="247" t="s">
        <v>205</v>
      </c>
      <c r="E4650" s="247" t="s">
        <v>206</v>
      </c>
      <c r="F4650" s="247" t="s">
        <v>207</v>
      </c>
      <c r="G4650" s="1276" t="s">
        <v>96</v>
      </c>
      <c r="H4650" s="1274"/>
      <c r="I4650" s="1275"/>
    </row>
    <row r="4651" spans="1:11" x14ac:dyDescent="0.2">
      <c r="A4651" s="248" t="s">
        <v>142</v>
      </c>
      <c r="B4651" s="238">
        <v>2000</v>
      </c>
      <c r="C4651" s="243">
        <v>5</v>
      </c>
      <c r="D4651" s="239" t="s">
        <v>223</v>
      </c>
      <c r="E4651" s="251"/>
      <c r="F4651" s="251"/>
      <c r="G4651" s="244"/>
      <c r="H4651" s="245"/>
      <c r="I4651" s="249">
        <f>TRUNC(C4651/100*I4648,2)</f>
        <v>0.51</v>
      </c>
      <c r="K4651" s="302"/>
    </row>
    <row r="4652" spans="1:11" x14ac:dyDescent="0.2">
      <c r="A4652" s="199"/>
      <c r="B4652" s="233"/>
      <c r="C4652" s="199"/>
      <c r="D4652" s="199"/>
      <c r="E4652" s="199"/>
      <c r="F4652" s="234" t="s">
        <v>1170</v>
      </c>
      <c r="G4652" s="244"/>
      <c r="H4652" s="245"/>
      <c r="I4652" s="434">
        <f>SUM(I4651)</f>
        <v>0.51</v>
      </c>
      <c r="K4652" s="302"/>
    </row>
    <row r="4653" spans="1:11" x14ac:dyDescent="0.2">
      <c r="A4653" s="199"/>
      <c r="B4653" s="233"/>
      <c r="C4653" s="199"/>
      <c r="D4653" s="199"/>
      <c r="E4653" s="199"/>
      <c r="F4653" s="199"/>
      <c r="G4653" s="199"/>
      <c r="H4653" s="199"/>
      <c r="I4653" s="200"/>
      <c r="K4653" s="302"/>
    </row>
    <row r="4654" spans="1:11" x14ac:dyDescent="0.2">
      <c r="A4654" s="252"/>
      <c r="B4654" s="253"/>
      <c r="C4654" s="254"/>
      <c r="D4654" s="254"/>
      <c r="E4654" s="254"/>
      <c r="F4654" s="255" t="s">
        <v>208</v>
      </c>
      <c r="G4654" s="435"/>
      <c r="H4654" s="254"/>
      <c r="I4654" s="634">
        <f>+I4643+I4648+I4652</f>
        <v>10.82</v>
      </c>
      <c r="K4654" s="302"/>
    </row>
    <row r="4655" spans="1:11" x14ac:dyDescent="0.2">
      <c r="A4655" s="256"/>
      <c r="B4655" s="257"/>
      <c r="C4655" s="258"/>
      <c r="D4655" s="258"/>
      <c r="E4655" s="258"/>
      <c r="F4655" s="259" t="s">
        <v>209</v>
      </c>
      <c r="G4655" s="260"/>
      <c r="H4655" s="258"/>
      <c r="I4655" s="635">
        <v>1</v>
      </c>
      <c r="K4655" s="302"/>
    </row>
    <row r="4656" spans="1:11" x14ac:dyDescent="0.2">
      <c r="A4656" s="237"/>
      <c r="B4656" s="261"/>
      <c r="C4656" s="245"/>
      <c r="D4656" s="245"/>
      <c r="E4656" s="245"/>
      <c r="F4656" s="262" t="s">
        <v>232</v>
      </c>
      <c r="G4656" s="244"/>
      <c r="H4656" s="245"/>
      <c r="I4656" s="633">
        <f>TRUNC(I4654/I4655,2)</f>
        <v>10.82</v>
      </c>
      <c r="K4656" s="302"/>
    </row>
    <row r="4657" spans="1:11" x14ac:dyDescent="0.2">
      <c r="A4657" s="867"/>
      <c r="B4657" s="233"/>
      <c r="C4657" s="199"/>
      <c r="D4657" s="199"/>
      <c r="E4657" s="199"/>
      <c r="F4657" s="263"/>
      <c r="G4657" s="199"/>
      <c r="H4657" s="199"/>
      <c r="I4657" s="264"/>
      <c r="K4657" s="302"/>
    </row>
    <row r="4658" spans="1:11" x14ac:dyDescent="0.2">
      <c r="A4658" s="246" t="s">
        <v>210</v>
      </c>
      <c r="B4658" s="247" t="s">
        <v>60</v>
      </c>
      <c r="C4658" s="247" t="s">
        <v>211</v>
      </c>
      <c r="D4658" s="247" t="s">
        <v>233</v>
      </c>
      <c r="E4658" s="1276" t="s">
        <v>91</v>
      </c>
      <c r="F4658" s="1274"/>
      <c r="G4658" s="1275"/>
      <c r="H4658" s="1276" t="s">
        <v>198</v>
      </c>
      <c r="I4658" s="1275"/>
      <c r="K4658" s="302"/>
    </row>
    <row r="4659" spans="1:11" ht="22.5" x14ac:dyDescent="0.2">
      <c r="A4659" s="265" t="str">
        <f>VLOOKUP(B4659,mat.!$A:$D,2,FALSE)</f>
        <v>Anti-óxido de base de resina alquídica modificada</v>
      </c>
      <c r="B4659" s="238">
        <v>10367</v>
      </c>
      <c r="C4659" s="266" t="str">
        <f>VLOOKUP(B4659,mat.!$A:$D,3,FALSE)</f>
        <v>GL</v>
      </c>
      <c r="D4659" s="267">
        <f>VLOOKUP(B4659,mat.!$A:$D,4,FALSE)</f>
        <v>113.52</v>
      </c>
      <c r="E4659" s="260"/>
      <c r="F4659" s="258"/>
      <c r="G4659" s="300">
        <v>0.04</v>
      </c>
      <c r="H4659" s="260"/>
      <c r="I4659" s="268">
        <f t="shared" ref="I4659:I4661" si="57">TRUNC(D4659*G4659,2)</f>
        <v>4.54</v>
      </c>
      <c r="K4659" s="302"/>
    </row>
    <row r="4660" spans="1:11" x14ac:dyDescent="0.2">
      <c r="A4660" s="265" t="str">
        <f>VLOOKUP(B4660,mat.!$A:$D,2,FALSE)</f>
        <v>Lixa d'água</v>
      </c>
      <c r="B4660" s="238">
        <v>10318</v>
      </c>
      <c r="C4660" s="266" t="str">
        <f>VLOOKUP(B4660,mat.!$A:$D,3,FALSE)</f>
        <v>Ud</v>
      </c>
      <c r="D4660" s="267">
        <f>VLOOKUP(B4660,mat.!$A:$D,4,FALSE)</f>
        <v>0.72</v>
      </c>
      <c r="E4660" s="260"/>
      <c r="F4660" s="258"/>
      <c r="G4660" s="300">
        <v>0.5</v>
      </c>
      <c r="H4660" s="260"/>
      <c r="I4660" s="268">
        <f t="shared" si="57"/>
        <v>0.36</v>
      </c>
      <c r="K4660" s="302"/>
    </row>
    <row r="4661" spans="1:11" x14ac:dyDescent="0.2">
      <c r="A4661" s="265" t="str">
        <f>VLOOKUP(B4661,mat.!$A:$D,2,FALSE)</f>
        <v>Solvente epoxi</v>
      </c>
      <c r="B4661" s="238">
        <v>10366</v>
      </c>
      <c r="C4661" s="266" t="str">
        <f>VLOOKUP(B4661,mat.!$A:$D,3,FALSE)</f>
        <v>GL</v>
      </c>
      <c r="D4661" s="267">
        <f>VLOOKUP(B4661,mat.!$A:$D,4,FALSE)</f>
        <v>115.96</v>
      </c>
      <c r="E4661" s="260"/>
      <c r="F4661" s="258"/>
      <c r="G4661" s="300">
        <v>7.0000000000000007E-2</v>
      </c>
      <c r="H4661" s="260"/>
      <c r="I4661" s="268">
        <f t="shared" si="57"/>
        <v>8.11</v>
      </c>
      <c r="K4661" s="302"/>
    </row>
    <row r="4662" spans="1:11" x14ac:dyDescent="0.2">
      <c r="A4662" s="265" t="str">
        <f>VLOOKUP(B4662,mat.!$A:$D,2,FALSE)</f>
        <v>Tinta epóxica isenta de solvente</v>
      </c>
      <c r="B4662" s="238">
        <v>10655</v>
      </c>
      <c r="C4662" s="266" t="str">
        <f>VLOOKUP(B4662,mat.!$A:$D,3,FALSE)</f>
        <v>kg</v>
      </c>
      <c r="D4662" s="267">
        <f>VLOOKUP(B4662,mat.!$A:$D,4,FALSE)</f>
        <v>27.01</v>
      </c>
      <c r="E4662" s="260"/>
      <c r="F4662" s="258"/>
      <c r="G4662" s="300">
        <v>0.08</v>
      </c>
      <c r="H4662" s="260"/>
      <c r="I4662" s="268">
        <f>TRUNC(D4662*G4662,2)</f>
        <v>2.16</v>
      </c>
      <c r="J4662" s="302"/>
      <c r="K4662" s="302"/>
    </row>
    <row r="4663" spans="1:11" x14ac:dyDescent="0.2">
      <c r="A4663" s="199"/>
      <c r="B4663" s="233"/>
      <c r="C4663" s="199"/>
      <c r="D4663" s="199"/>
      <c r="E4663" s="199"/>
      <c r="F4663" s="234" t="s">
        <v>212</v>
      </c>
      <c r="G4663" s="244"/>
      <c r="H4663" s="245"/>
      <c r="I4663" s="434">
        <f>SUM(I4659:I4662)</f>
        <v>15.17</v>
      </c>
      <c r="K4663" s="302"/>
    </row>
    <row r="4664" spans="1:11" x14ac:dyDescent="0.2">
      <c r="A4664" s="199"/>
      <c r="B4664" s="233"/>
      <c r="C4664" s="199"/>
      <c r="D4664" s="199"/>
      <c r="E4664" s="199"/>
      <c r="F4664" s="199"/>
      <c r="G4664" s="269"/>
      <c r="H4664" s="199"/>
      <c r="I4664" s="200"/>
      <c r="K4664" s="302"/>
    </row>
    <row r="4665" spans="1:11" x14ac:dyDescent="0.2">
      <c r="A4665" s="270" t="s">
        <v>213</v>
      </c>
      <c r="B4665" s="247" t="s">
        <v>60</v>
      </c>
      <c r="C4665" s="247" t="s">
        <v>211</v>
      </c>
      <c r="D4665" s="866" t="s">
        <v>233</v>
      </c>
      <c r="E4665" s="1271" t="s">
        <v>91</v>
      </c>
      <c r="F4665" s="1272"/>
      <c r="G4665" s="1273"/>
      <c r="H4665" s="1274" t="s">
        <v>198</v>
      </c>
      <c r="I4665" s="1275"/>
      <c r="K4665" s="302"/>
    </row>
    <row r="4666" spans="1:11" x14ac:dyDescent="0.2">
      <c r="A4666" s="248"/>
      <c r="B4666" s="238"/>
      <c r="C4666" s="238"/>
      <c r="D4666" s="243"/>
      <c r="E4666" s="260"/>
      <c r="F4666" s="258"/>
      <c r="G4666" s="300"/>
      <c r="H4666" s="244"/>
      <c r="I4666" s="268"/>
      <c r="K4666" s="302"/>
    </row>
    <row r="4667" spans="1:11" x14ac:dyDescent="0.2">
      <c r="A4667" s="201"/>
      <c r="B4667" s="271"/>
      <c r="C4667" s="201"/>
      <c r="D4667" s="201"/>
      <c r="E4667" s="201"/>
      <c r="F4667" s="272" t="s">
        <v>214</v>
      </c>
      <c r="G4667" s="260"/>
      <c r="H4667" s="273"/>
      <c r="I4667" s="436">
        <f>SUM(I4664:I4666)</f>
        <v>0</v>
      </c>
      <c r="K4667" s="302"/>
    </row>
    <row r="4668" spans="1:11" x14ac:dyDescent="0.2">
      <c r="A4668" s="201"/>
      <c r="B4668" s="271"/>
      <c r="C4668" s="201"/>
      <c r="D4668" s="201"/>
      <c r="E4668" s="201"/>
      <c r="F4668" s="201"/>
      <c r="G4668" s="201"/>
      <c r="H4668" s="201"/>
      <c r="I4668" s="201"/>
      <c r="K4668" s="302"/>
    </row>
    <row r="4669" spans="1:11" x14ac:dyDescent="0.2">
      <c r="A4669" s="274" t="s">
        <v>215</v>
      </c>
      <c r="B4669" s="275" t="s">
        <v>60</v>
      </c>
      <c r="C4669" s="275" t="s">
        <v>211</v>
      </c>
      <c r="D4669" s="275" t="s">
        <v>216</v>
      </c>
      <c r="E4669" s="275" t="s">
        <v>217</v>
      </c>
      <c r="F4669" s="275" t="s">
        <v>218</v>
      </c>
      <c r="G4669" s="275" t="s">
        <v>96</v>
      </c>
      <c r="H4669" s="275" t="s">
        <v>91</v>
      </c>
      <c r="I4669" s="275" t="s">
        <v>219</v>
      </c>
    </row>
    <row r="4670" spans="1:11" x14ac:dyDescent="0.2">
      <c r="A4670" s="248"/>
      <c r="B4670" s="238"/>
      <c r="C4670" s="238"/>
      <c r="D4670" s="437"/>
      <c r="E4670" s="277"/>
      <c r="F4670" s="277"/>
      <c r="G4670" s="243"/>
      <c r="H4670" s="278"/>
      <c r="I4670" s="243"/>
    </row>
    <row r="4671" spans="1:11" x14ac:dyDescent="0.2">
      <c r="A4671" s="201"/>
      <c r="B4671" s="271"/>
      <c r="C4671" s="201"/>
      <c r="D4671" s="201"/>
      <c r="E4671" s="201"/>
      <c r="F4671" s="272" t="s">
        <v>220</v>
      </c>
      <c r="G4671" s="244"/>
      <c r="H4671" s="279"/>
      <c r="I4671" s="438">
        <f>SUM(I4670:I4670)</f>
        <v>0</v>
      </c>
      <c r="K4671" s="302"/>
    </row>
    <row r="4672" spans="1:11" x14ac:dyDescent="0.2">
      <c r="A4672" s="201"/>
      <c r="B4672" s="271"/>
      <c r="C4672" s="201"/>
      <c r="D4672" s="201"/>
      <c r="E4672" s="201"/>
      <c r="F4672" s="201"/>
      <c r="G4672" s="201"/>
      <c r="H4672" s="201"/>
      <c r="I4672" s="202"/>
      <c r="K4672" s="302"/>
    </row>
    <row r="4673" spans="1:17" x14ac:dyDescent="0.2">
      <c r="A4673" s="280"/>
      <c r="B4673" s="281"/>
      <c r="C4673" s="282"/>
      <c r="D4673" s="282"/>
      <c r="E4673" s="282"/>
      <c r="F4673" s="283" t="s">
        <v>221</v>
      </c>
      <c r="G4673" s="280"/>
      <c r="H4673" s="254"/>
      <c r="I4673" s="634">
        <f>+I4656+I4663+I4667+I4671</f>
        <v>25.99</v>
      </c>
      <c r="J4673" s="446"/>
      <c r="K4673" s="302"/>
    </row>
    <row r="4674" spans="1:17" x14ac:dyDescent="0.2">
      <c r="A4674" s="260"/>
      <c r="B4674" s="284"/>
      <c r="C4674" s="273"/>
      <c r="D4674" s="273"/>
      <c r="E4674" s="273"/>
      <c r="F4674" s="285" t="str">
        <f>CONCATENATE($H$3," ",$I$3)</f>
        <v>BDI: 23,32</v>
      </c>
      <c r="G4674" s="439"/>
      <c r="H4674" s="258"/>
      <c r="I4674" s="635">
        <f>+ROUND(I4673*$I$4,2)</f>
        <v>6.06</v>
      </c>
      <c r="K4674" s="302"/>
    </row>
    <row r="4675" spans="1:17" x14ac:dyDescent="0.2">
      <c r="A4675" s="244"/>
      <c r="B4675" s="286"/>
      <c r="C4675" s="279"/>
      <c r="D4675" s="279"/>
      <c r="E4675" s="279"/>
      <c r="F4675" s="287" t="s">
        <v>222</v>
      </c>
      <c r="G4675" s="440"/>
      <c r="H4675" s="245"/>
      <c r="I4675" s="1017">
        <f>+I4673+I4674</f>
        <v>32.049999999999997</v>
      </c>
      <c r="K4675" s="302"/>
    </row>
    <row r="4676" spans="1:17" x14ac:dyDescent="0.2">
      <c r="A4676" s="1277" t="str">
        <f>$A$1</f>
        <v>COMPOSIÇÃO DE CUSTOS UNITÁRIOS</v>
      </c>
      <c r="B4676" s="1277"/>
      <c r="C4676" s="1277"/>
      <c r="D4676" s="1277"/>
      <c r="E4676" s="1277"/>
      <c r="F4676" s="1277"/>
      <c r="G4676" s="1277"/>
      <c r="H4676" s="1277"/>
      <c r="I4676" s="1277"/>
    </row>
    <row r="4677" spans="1:17" x14ac:dyDescent="0.2">
      <c r="A4677" s="232" t="str">
        <f>$A$2</f>
        <v>Tabela Referencial de Preços - DER-ES</v>
      </c>
      <c r="B4677" s="233"/>
      <c r="C4677" s="199"/>
      <c r="D4677" s="199"/>
      <c r="E4677" s="199"/>
      <c r="F4677" s="199"/>
      <c r="G4677" s="199"/>
      <c r="H4677" s="199"/>
      <c r="I4677" s="234" t="str">
        <f>$I$2</f>
        <v>Data Base: Outubro/2018</v>
      </c>
      <c r="J4677" s="433">
        <v>40316</v>
      </c>
      <c r="K4677" s="433">
        <f>VLOOKUP("Preço Unitário Total",F4679:I5243,4,FALSE)</f>
        <v>73.72</v>
      </c>
      <c r="L4677" s="302" t="str">
        <f>VLOOKUP(J4677,'DER 10-18'!A:E,5,FALSE)</f>
        <v>A incluir</v>
      </c>
      <c r="M4677" s="302" t="str">
        <f>VLOOKUP(J4677,'DER 10-18'!$A:$D,2,FALSE)</f>
        <v>Forma especial de madeira para meio fio, inclusive fornecimento e transporte das madeiras</v>
      </c>
    </row>
    <row r="4678" spans="1:17" x14ac:dyDescent="0.2">
      <c r="A4678" s="1278" t="str">
        <f>+CONCATENATE("Serviço: ",J4677," ",VLOOKUP(J4677,'DER 10-18'!$A:$D,2,FALSE))</f>
        <v>Serviço: 40316 Forma especial de madeira para meio fio, inclusive fornecimento e transporte das madeiras</v>
      </c>
      <c r="B4678" s="1278"/>
      <c r="C4678" s="1278"/>
      <c r="D4678" s="1278"/>
      <c r="E4678" s="1278"/>
      <c r="F4678" s="1278"/>
      <c r="G4678" s="1278"/>
      <c r="H4678" s="1278"/>
      <c r="I4678" s="1278" t="str">
        <f>CONCATENATE("Unidade: ", VLOOKUP(J4677,'DER 10-18'!$A:$E,3,FALSE))</f>
        <v>Unidade: M2</v>
      </c>
      <c r="O4678" s="198"/>
    </row>
    <row r="4679" spans="1:17" x14ac:dyDescent="0.2">
      <c r="A4679" s="1279"/>
      <c r="B4679" s="1279"/>
      <c r="C4679" s="1279"/>
      <c r="D4679" s="1279"/>
      <c r="E4679" s="1279"/>
      <c r="F4679" s="1279"/>
      <c r="G4679" s="1279"/>
      <c r="H4679" s="1279"/>
      <c r="I4679" s="1279"/>
    </row>
    <row r="4680" spans="1:17" ht="22.5" x14ac:dyDescent="0.2">
      <c r="A4680" s="235" t="s">
        <v>192</v>
      </c>
      <c r="B4680" s="236" t="s">
        <v>60</v>
      </c>
      <c r="C4680" s="236" t="s">
        <v>193</v>
      </c>
      <c r="D4680" s="236" t="s">
        <v>194</v>
      </c>
      <c r="E4680" s="236" t="s">
        <v>195</v>
      </c>
      <c r="F4680" s="236" t="s">
        <v>196</v>
      </c>
      <c r="G4680" s="236" t="s">
        <v>197</v>
      </c>
      <c r="H4680" s="236" t="s">
        <v>91</v>
      </c>
      <c r="I4680" s="236" t="s">
        <v>198</v>
      </c>
    </row>
    <row r="4681" spans="1:17" x14ac:dyDescent="0.2">
      <c r="A4681" s="237" t="str">
        <f>VLOOKUP(B4681,equip.!$A:$G,2,FALSE)</f>
        <v>Serra circular (WEG) ou equivalente</v>
      </c>
      <c r="B4681" s="238">
        <v>30073</v>
      </c>
      <c r="C4681" s="239" t="str">
        <f>VLOOKUP(B4681,equip.!$A$1:$G$239,3,FALSE)</f>
        <v>M</v>
      </c>
      <c r="D4681" s="240">
        <v>1</v>
      </c>
      <c r="E4681" s="205">
        <v>0</v>
      </c>
      <c r="F4681" s="241">
        <f>VLOOKUP(B4681,equip.!$A:$G,6,FALSE)</f>
        <v>18.22</v>
      </c>
      <c r="G4681" s="241">
        <f>VLOOKUP(B4681,equip.!$A:$G,7,FALSE)</f>
        <v>14.81</v>
      </c>
      <c r="H4681" s="242">
        <v>1</v>
      </c>
      <c r="I4681" s="243">
        <f>TRUNC(D4681*F4681*H4681+E4681*G4681*H4681,2)</f>
        <v>18.22</v>
      </c>
      <c r="P4681" s="198"/>
      <c r="Q4681" s="198"/>
    </row>
    <row r="4682" spans="1:17" x14ac:dyDescent="0.2">
      <c r="A4682" s="199"/>
      <c r="B4682" s="233"/>
      <c r="C4682" s="233"/>
      <c r="D4682" s="199"/>
      <c r="E4682" s="199"/>
      <c r="F4682" s="234" t="s">
        <v>199</v>
      </c>
      <c r="G4682" s="244"/>
      <c r="H4682" s="245"/>
      <c r="I4682" s="434">
        <f>SUM(I4681:I4681)</f>
        <v>18.22</v>
      </c>
    </row>
    <row r="4683" spans="1:17" x14ac:dyDescent="0.2">
      <c r="A4683" s="199"/>
      <c r="B4683" s="233"/>
      <c r="C4683" s="233"/>
      <c r="D4683" s="199"/>
      <c r="E4683" s="199"/>
      <c r="F4683" s="199"/>
      <c r="G4683" s="199"/>
      <c r="H4683" s="199"/>
      <c r="I4683" s="200"/>
    </row>
    <row r="4684" spans="1:17" x14ac:dyDescent="0.2">
      <c r="A4684" s="246" t="s">
        <v>200</v>
      </c>
      <c r="B4684" s="247" t="s">
        <v>60</v>
      </c>
      <c r="C4684" s="236" t="s">
        <v>1242</v>
      </c>
      <c r="D4684" s="247" t="s">
        <v>202</v>
      </c>
      <c r="E4684" s="1271" t="s">
        <v>91</v>
      </c>
      <c r="F4684" s="1272"/>
      <c r="G4684" s="1273"/>
      <c r="H4684" s="1276" t="s">
        <v>198</v>
      </c>
      <c r="I4684" s="1275"/>
    </row>
    <row r="4685" spans="1:17" x14ac:dyDescent="0.2">
      <c r="A4685" s="248" t="str">
        <f>VLOOKUP(B4685,m.o.!$A:$H,2,FALSE)</f>
        <v>Ajudante de carpinteiro</v>
      </c>
      <c r="B4685" s="238">
        <v>20039</v>
      </c>
      <c r="C4685" s="243">
        <f>VLOOKUP(B4685,m.o.!$A:$F,4,FALSE)</f>
        <v>1.01</v>
      </c>
      <c r="D4685" s="243">
        <f>VLOOKUP(B4685,m.o.!$A:$G,7,FALSE)</f>
        <v>11.75</v>
      </c>
      <c r="E4685" s="260"/>
      <c r="F4685" s="258"/>
      <c r="G4685" s="300">
        <v>2</v>
      </c>
      <c r="H4685" s="244"/>
      <c r="I4685" s="249">
        <f>TRUNC(D4685*G4685,2)</f>
        <v>23.5</v>
      </c>
    </row>
    <row r="4686" spans="1:17" x14ac:dyDescent="0.2">
      <c r="A4686" s="248" t="str">
        <f>VLOOKUP(B4686,m.o.!$A:$H,2,FALSE)</f>
        <v>Carpinteiro de O.A.C.</v>
      </c>
      <c r="B4686" s="238">
        <v>20038</v>
      </c>
      <c r="C4686" s="243">
        <f>VLOOKUP(B4686,m.o.!$A:$F,4,FALSE)</f>
        <v>1.24</v>
      </c>
      <c r="D4686" s="243">
        <f>VLOOKUP(B4686,m.o.!$A:$G,7,FALSE)</f>
        <v>14.43</v>
      </c>
      <c r="E4686" s="260"/>
      <c r="F4686" s="258"/>
      <c r="G4686" s="300">
        <v>1</v>
      </c>
      <c r="H4686" s="244"/>
      <c r="I4686" s="249">
        <f>TRUNC(D4686*G4686,2)</f>
        <v>14.43</v>
      </c>
      <c r="J4686" s="302"/>
      <c r="K4686" s="302"/>
    </row>
    <row r="4687" spans="1:17" x14ac:dyDescent="0.2">
      <c r="A4687" s="248" t="str">
        <f>VLOOKUP(B4687,m.o.!$A:$H,2,FALSE)</f>
        <v>Servente</v>
      </c>
      <c r="B4687" s="238">
        <v>20002</v>
      </c>
      <c r="C4687" s="243">
        <f>VLOOKUP(B4687,m.o.!$A:$F,4,FALSE)</f>
        <v>1</v>
      </c>
      <c r="D4687" s="243">
        <f>VLOOKUP(B4687,m.o.!$A:$G,7,FALSE)</f>
        <v>11.64</v>
      </c>
      <c r="E4687" s="260"/>
      <c r="F4687" s="258"/>
      <c r="G4687" s="300">
        <v>4</v>
      </c>
      <c r="H4687" s="244"/>
      <c r="I4687" s="249">
        <f>TRUNC(D4687*G4687,2)</f>
        <v>46.56</v>
      </c>
      <c r="J4687" s="302"/>
      <c r="K4687" s="302"/>
    </row>
    <row r="4688" spans="1:17" x14ac:dyDescent="0.2">
      <c r="A4688" s="199"/>
      <c r="B4688" s="233"/>
      <c r="C4688" s="233"/>
      <c r="D4688" s="199"/>
      <c r="E4688" s="199"/>
      <c r="F4688" s="234" t="s">
        <v>203</v>
      </c>
      <c r="G4688" s="244"/>
      <c r="H4688" s="245"/>
      <c r="I4688" s="434">
        <f>SUM(I4685:I4687)</f>
        <v>84.49</v>
      </c>
      <c r="J4688" s="302"/>
      <c r="K4688" s="302"/>
      <c r="P4688" s="198"/>
      <c r="Q4688" s="198"/>
    </row>
    <row r="4689" spans="1:17" x14ac:dyDescent="0.2">
      <c r="A4689" s="199"/>
      <c r="B4689" s="233"/>
      <c r="C4689" s="233"/>
      <c r="D4689" s="199"/>
      <c r="E4689" s="199"/>
      <c r="F4689" s="199"/>
      <c r="G4689" s="199"/>
      <c r="H4689" s="199"/>
      <c r="I4689" s="200"/>
      <c r="J4689" s="302"/>
      <c r="K4689" s="302"/>
      <c r="P4689" s="198"/>
      <c r="Q4689" s="198"/>
    </row>
    <row r="4690" spans="1:17" x14ac:dyDescent="0.2">
      <c r="A4690" s="250" t="s">
        <v>204</v>
      </c>
      <c r="B4690" s="247" t="s">
        <v>60</v>
      </c>
      <c r="C4690" s="866" t="s">
        <v>17</v>
      </c>
      <c r="D4690" s="247" t="s">
        <v>205</v>
      </c>
      <c r="E4690" s="247" t="s">
        <v>206</v>
      </c>
      <c r="F4690" s="247" t="s">
        <v>207</v>
      </c>
      <c r="G4690" s="1276" t="s">
        <v>96</v>
      </c>
      <c r="H4690" s="1274"/>
      <c r="I4690" s="1275"/>
      <c r="J4690" s="302"/>
      <c r="K4690" s="302"/>
    </row>
    <row r="4691" spans="1:17" x14ac:dyDescent="0.2">
      <c r="A4691" s="248" t="s">
        <v>142</v>
      </c>
      <c r="B4691" s="238">
        <v>2000</v>
      </c>
      <c r="C4691" s="243">
        <v>5</v>
      </c>
      <c r="D4691" s="239" t="s">
        <v>223</v>
      </c>
      <c r="E4691" s="251"/>
      <c r="F4691" s="251"/>
      <c r="G4691" s="244"/>
      <c r="H4691" s="245"/>
      <c r="I4691" s="249">
        <f>TRUNC(C4691/100*I4688,2)</f>
        <v>4.22</v>
      </c>
      <c r="J4691" s="302"/>
      <c r="K4691" s="302"/>
    </row>
    <row r="4692" spans="1:17" x14ac:dyDescent="0.2">
      <c r="A4692" s="199"/>
      <c r="B4692" s="233"/>
      <c r="C4692" s="199"/>
      <c r="D4692" s="199"/>
      <c r="E4692" s="199"/>
      <c r="F4692" s="234" t="s">
        <v>1170</v>
      </c>
      <c r="G4692" s="244"/>
      <c r="H4692" s="245"/>
      <c r="I4692" s="434">
        <f>SUM(I4691)</f>
        <v>4.22</v>
      </c>
      <c r="J4692" s="302"/>
      <c r="K4692" s="302"/>
    </row>
    <row r="4693" spans="1:17" x14ac:dyDescent="0.2">
      <c r="A4693" s="199"/>
      <c r="B4693" s="233"/>
      <c r="C4693" s="199"/>
      <c r="D4693" s="199"/>
      <c r="E4693" s="199"/>
      <c r="F4693" s="199"/>
      <c r="G4693" s="199"/>
      <c r="H4693" s="199"/>
      <c r="I4693" s="200"/>
      <c r="J4693" s="302"/>
      <c r="K4693" s="302"/>
    </row>
    <row r="4694" spans="1:17" x14ac:dyDescent="0.2">
      <c r="A4694" s="252"/>
      <c r="B4694" s="253"/>
      <c r="C4694" s="254"/>
      <c r="D4694" s="254"/>
      <c r="E4694" s="254"/>
      <c r="F4694" s="255" t="s">
        <v>208</v>
      </c>
      <c r="G4694" s="435"/>
      <c r="H4694" s="254"/>
      <c r="I4694" s="634">
        <f>+I4682+I4688+I4692</f>
        <v>106.93</v>
      </c>
      <c r="J4694" s="302"/>
      <c r="K4694" s="302"/>
    </row>
    <row r="4695" spans="1:17" x14ac:dyDescent="0.2">
      <c r="A4695" s="256"/>
      <c r="B4695" s="257"/>
      <c r="C4695" s="258"/>
      <c r="D4695" s="258"/>
      <c r="E4695" s="258"/>
      <c r="F4695" s="259" t="s">
        <v>209</v>
      </c>
      <c r="G4695" s="260"/>
      <c r="H4695" s="258"/>
      <c r="I4695" s="635">
        <v>5</v>
      </c>
      <c r="J4695" s="302"/>
      <c r="K4695" s="302"/>
    </row>
    <row r="4696" spans="1:17" x14ac:dyDescent="0.2">
      <c r="A4696" s="237"/>
      <c r="B4696" s="261"/>
      <c r="C4696" s="245"/>
      <c r="D4696" s="245"/>
      <c r="E4696" s="245"/>
      <c r="F4696" s="262" t="s">
        <v>232</v>
      </c>
      <c r="G4696" s="244"/>
      <c r="H4696" s="245"/>
      <c r="I4696" s="633">
        <f>TRUNC(I4694/I4695,2)</f>
        <v>21.38</v>
      </c>
      <c r="J4696" s="302"/>
      <c r="K4696" s="302"/>
    </row>
    <row r="4697" spans="1:17" x14ac:dyDescent="0.2">
      <c r="A4697" s="867"/>
      <c r="B4697" s="233"/>
      <c r="C4697" s="199"/>
      <c r="D4697" s="199"/>
      <c r="E4697" s="199"/>
      <c r="F4697" s="263"/>
      <c r="G4697" s="199"/>
      <c r="H4697" s="199"/>
      <c r="I4697" s="264"/>
      <c r="J4697" s="302"/>
      <c r="K4697" s="302"/>
    </row>
    <row r="4698" spans="1:17" x14ac:dyDescent="0.2">
      <c r="A4698" s="246" t="s">
        <v>210</v>
      </c>
      <c r="B4698" s="247" t="s">
        <v>60</v>
      </c>
      <c r="C4698" s="247" t="s">
        <v>211</v>
      </c>
      <c r="D4698" s="247" t="s">
        <v>233</v>
      </c>
      <c r="E4698" s="1276" t="s">
        <v>91</v>
      </c>
      <c r="F4698" s="1274"/>
      <c r="G4698" s="1275"/>
      <c r="H4698" s="1276" t="s">
        <v>198</v>
      </c>
      <c r="I4698" s="1275"/>
      <c r="J4698" s="302"/>
      <c r="K4698" s="302"/>
      <c r="N4698" s="198"/>
    </row>
    <row r="4699" spans="1:17" x14ac:dyDescent="0.2">
      <c r="A4699" s="265" t="str">
        <f>VLOOKUP(B4699,mat.!$A:$D,2,FALSE)</f>
        <v>Prego 18 X 24</v>
      </c>
      <c r="B4699" s="238">
        <v>10135</v>
      </c>
      <c r="C4699" s="266" t="str">
        <f>VLOOKUP(B4699,mat.!$A:$D,3,FALSE)</f>
        <v>kg</v>
      </c>
      <c r="D4699" s="267">
        <f>VLOOKUP(B4699,mat.!$A:$D,4,FALSE)</f>
        <v>10.54</v>
      </c>
      <c r="E4699" s="260"/>
      <c r="F4699" s="258"/>
      <c r="G4699" s="300">
        <v>0.2</v>
      </c>
      <c r="H4699" s="260"/>
      <c r="I4699" s="268">
        <f>TRUNC(D4699*G4699,2)</f>
        <v>2.1</v>
      </c>
      <c r="J4699" s="302"/>
      <c r="K4699" s="302"/>
      <c r="N4699" s="198"/>
    </row>
    <row r="4700" spans="1:17" x14ac:dyDescent="0.2">
      <c r="A4700" s="265" t="str">
        <f>VLOOKUP(B4700,mat.!$A:$D,2,FALSE)</f>
        <v>Ripão de 2,5 X 7.0 cm</v>
      </c>
      <c r="B4700" s="238">
        <v>10069</v>
      </c>
      <c r="C4700" s="266" t="str">
        <f>VLOOKUP(B4700,mat.!$A:$D,3,FALSE)</f>
        <v>m3</v>
      </c>
      <c r="D4700" s="267">
        <f>VLOOKUP(B4700,mat.!$A:$D,4,FALSE)</f>
        <v>1370.24</v>
      </c>
      <c r="E4700" s="260"/>
      <c r="F4700" s="258"/>
      <c r="G4700" s="300">
        <v>1E-3</v>
      </c>
      <c r="H4700" s="260"/>
      <c r="I4700" s="268">
        <f>TRUNC(D4700*G4700,2)</f>
        <v>1.37</v>
      </c>
      <c r="J4700" s="302"/>
      <c r="K4700" s="302"/>
      <c r="N4700" s="198"/>
    </row>
    <row r="4701" spans="1:17" x14ac:dyDescent="0.2">
      <c r="A4701" s="265" t="str">
        <f>VLOOKUP(B4701,mat.!$A:$D,2,FALSE)</f>
        <v>Taipá de 1ª com 2,5 cm</v>
      </c>
      <c r="B4701" s="238">
        <v>10057</v>
      </c>
      <c r="C4701" s="266" t="str">
        <f>VLOOKUP(B4701,mat.!$A:$D,3,FALSE)</f>
        <v>m3</v>
      </c>
      <c r="D4701" s="267">
        <f>VLOOKUP(B4701,mat.!$A:$D,4,FALSE)</f>
        <v>1246.67</v>
      </c>
      <c r="E4701" s="260"/>
      <c r="F4701" s="258"/>
      <c r="G4701" s="300">
        <v>2.75E-2</v>
      </c>
      <c r="H4701" s="260"/>
      <c r="I4701" s="268">
        <f>TRUNC(D4701*G4701,2)</f>
        <v>34.28</v>
      </c>
      <c r="J4701" s="302"/>
      <c r="K4701" s="302"/>
      <c r="N4701" s="198"/>
    </row>
    <row r="4702" spans="1:17" x14ac:dyDescent="0.2">
      <c r="A4702" s="199"/>
      <c r="B4702" s="233"/>
      <c r="C4702" s="199"/>
      <c r="D4702" s="199"/>
      <c r="E4702" s="199"/>
      <c r="F4702" s="234" t="s">
        <v>212</v>
      </c>
      <c r="G4702" s="244"/>
      <c r="H4702" s="245"/>
      <c r="I4702" s="434">
        <f>SUM(I4699:I4701)</f>
        <v>37.75</v>
      </c>
      <c r="N4702" s="198"/>
    </row>
    <row r="4703" spans="1:17" x14ac:dyDescent="0.2">
      <c r="A4703" s="199"/>
      <c r="B4703" s="233"/>
      <c r="C4703" s="199"/>
      <c r="D4703" s="199"/>
      <c r="E4703" s="199"/>
      <c r="F4703" s="199"/>
      <c r="G4703" s="269"/>
      <c r="H4703" s="199"/>
      <c r="I4703" s="200"/>
      <c r="J4703" s="451"/>
      <c r="K4703" s="451"/>
      <c r="L4703" s="198"/>
      <c r="M4703" s="198"/>
    </row>
    <row r="4704" spans="1:17" x14ac:dyDescent="0.2">
      <c r="A4704" s="467" t="s">
        <v>213</v>
      </c>
      <c r="B4704" s="468" t="s">
        <v>60</v>
      </c>
      <c r="C4704" s="468" t="s">
        <v>211</v>
      </c>
      <c r="D4704" s="869" t="s">
        <v>233</v>
      </c>
      <c r="E4704" s="1281" t="s">
        <v>91</v>
      </c>
      <c r="F4704" s="1282"/>
      <c r="G4704" s="1283"/>
      <c r="H4704" s="1284" t="s">
        <v>198</v>
      </c>
      <c r="I4704" s="1285"/>
    </row>
    <row r="4705" spans="1:15" x14ac:dyDescent="0.2">
      <c r="A4705" s="201"/>
      <c r="B4705" s="271"/>
      <c r="C4705" s="201"/>
      <c r="D4705" s="201"/>
      <c r="E4705" s="201"/>
      <c r="F4705" s="272" t="s">
        <v>214</v>
      </c>
      <c r="G4705" s="260"/>
      <c r="H4705" s="273"/>
      <c r="I4705" s="436"/>
    </row>
    <row r="4706" spans="1:15" x14ac:dyDescent="0.2">
      <c r="A4706" s="201"/>
      <c r="B4706" s="271"/>
      <c r="C4706" s="201"/>
      <c r="D4706" s="201"/>
      <c r="E4706" s="201"/>
      <c r="F4706" s="201"/>
      <c r="G4706" s="201"/>
      <c r="H4706" s="201"/>
      <c r="I4706" s="201"/>
    </row>
    <row r="4707" spans="1:15" x14ac:dyDescent="0.2">
      <c r="A4707" s="274" t="s">
        <v>215</v>
      </c>
      <c r="B4707" s="275" t="s">
        <v>60</v>
      </c>
      <c r="C4707" s="275" t="s">
        <v>211</v>
      </c>
      <c r="D4707" s="275" t="s">
        <v>216</v>
      </c>
      <c r="E4707" s="275" t="s">
        <v>217</v>
      </c>
      <c r="F4707" s="275" t="s">
        <v>218</v>
      </c>
      <c r="G4707" s="275" t="s">
        <v>96</v>
      </c>
      <c r="H4707" s="275" t="s">
        <v>91</v>
      </c>
      <c r="I4707" s="275" t="s">
        <v>219</v>
      </c>
      <c r="J4707" s="433" t="s">
        <v>121</v>
      </c>
    </row>
    <row r="4708" spans="1:15" x14ac:dyDescent="0.2">
      <c r="A4708" s="265" t="str">
        <f>VLOOKUP(B4708,tranp.!A:D,2,FALSE)</f>
        <v>Transp. de Ripao de 2.5 X 7.0 cm</v>
      </c>
      <c r="B4708" s="238">
        <v>1116</v>
      </c>
      <c r="C4708" s="238" t="str">
        <f>VLOOKUP(B4708,tranp.!$A:$J,3,FALSE)</f>
        <v xml:space="preserve"> t  </v>
      </c>
      <c r="D4708" s="437" t="str">
        <f>VLOOKUP(B4708,tranp.!$A:$J,4,FALSE)</f>
        <v>0,676XP + 0,703XR</v>
      </c>
      <c r="E4708" s="277">
        <f>VLOOKUP(J4707,Ocor.!$B:$F,4,FALSE)</f>
        <v>37.200000000000003</v>
      </c>
      <c r="F4708" s="277">
        <f>VLOOKUP(J4707,Ocor.!$B:$F,5,FALSE)</f>
        <v>5.6</v>
      </c>
      <c r="G4708" s="243">
        <f>TRUNC(VLOOKUP(B4708,tranp.!$A:$J,5,FALSE)*E4708+VLOOKUP(B4708,tranp.!$A:$J,6,FALSE)*F4708+VLOOKUP(B4708,tranp.!$A:$J,7,FALSE),2)</f>
        <v>29.08</v>
      </c>
      <c r="H4708" s="278">
        <v>8.0000000000000004E-4</v>
      </c>
      <c r="I4708" s="243">
        <f>TRUNC(G4708*H4708,2)</f>
        <v>0.02</v>
      </c>
      <c r="J4708" s="433" t="s">
        <v>121</v>
      </c>
      <c r="K4708" s="451"/>
      <c r="L4708" s="198"/>
      <c r="M4708" s="198"/>
    </row>
    <row r="4709" spans="1:15" x14ac:dyDescent="0.2">
      <c r="A4709" s="265" t="str">
        <f>VLOOKUP(B4709,tranp.!A:D,2,FALSE)</f>
        <v>Transp. de Taipá de 1ª com 2,5 cm</v>
      </c>
      <c r="B4709" s="453">
        <v>1115</v>
      </c>
      <c r="C4709" s="453" t="str">
        <f>VLOOKUP(B4709,tranp.!$A:$J,3,FALSE)</f>
        <v xml:space="preserve"> t  </v>
      </c>
      <c r="D4709" s="518" t="str">
        <f>VLOOKUP(B4709,tranp.!$A:$J,4,FALSE)</f>
        <v>0,676XP + 0,703XR</v>
      </c>
      <c r="E4709" s="519">
        <f>VLOOKUP(J4708,Ocor.!$B:$F,4,FALSE)</f>
        <v>37.200000000000003</v>
      </c>
      <c r="F4709" s="519">
        <f>VLOOKUP(J4708,Ocor.!$B:$F,5,FALSE)</f>
        <v>5.6</v>
      </c>
      <c r="G4709" s="454">
        <f>TRUNC(VLOOKUP(B4709,tranp.!$A:$J,5,FALSE)*E4709+VLOOKUP(B4709,tranp.!$A:$J,6,FALSE)*F4709+VLOOKUP(B4709,tranp.!$A:$J,7,FALSE),2)</f>
        <v>29.08</v>
      </c>
      <c r="H4709" s="520">
        <v>2.1999999999999999E-2</v>
      </c>
      <c r="I4709" s="454">
        <f>TRUNC(G4709*H4709,2)</f>
        <v>0.63</v>
      </c>
    </row>
    <row r="4710" spans="1:15" x14ac:dyDescent="0.2">
      <c r="A4710" s="201"/>
      <c r="B4710" s="271"/>
      <c r="C4710" s="201"/>
      <c r="D4710" s="201"/>
      <c r="E4710" s="201"/>
      <c r="F4710" s="272" t="s">
        <v>220</v>
      </c>
      <c r="G4710" s="244"/>
      <c r="H4710" s="279"/>
      <c r="I4710" s="438">
        <f>SUM(I4708:I4709)</f>
        <v>0.65</v>
      </c>
    </row>
    <row r="4711" spans="1:15" x14ac:dyDescent="0.2">
      <c r="A4711" s="201"/>
      <c r="B4711" s="271"/>
      <c r="C4711" s="201"/>
      <c r="D4711" s="201"/>
      <c r="E4711" s="201"/>
      <c r="F4711" s="201"/>
      <c r="G4711" s="201"/>
      <c r="H4711" s="201"/>
      <c r="I4711" s="202"/>
    </row>
    <row r="4712" spans="1:15" x14ac:dyDescent="0.2">
      <c r="A4712" s="280"/>
      <c r="B4712" s="281"/>
      <c r="C4712" s="282"/>
      <c r="D4712" s="282"/>
      <c r="E4712" s="282"/>
      <c r="F4712" s="283" t="s">
        <v>221</v>
      </c>
      <c r="G4712" s="280"/>
      <c r="H4712" s="254"/>
      <c r="I4712" s="634">
        <f>+I4696+I4702+I4705+I4710</f>
        <v>59.78</v>
      </c>
    </row>
    <row r="4713" spans="1:15" x14ac:dyDescent="0.2">
      <c r="A4713" s="260"/>
      <c r="B4713" s="284"/>
      <c r="C4713" s="273"/>
      <c r="D4713" s="273"/>
      <c r="E4713" s="273"/>
      <c r="F4713" s="285" t="str">
        <f>CONCATENATE($H$3," ",$I$3)</f>
        <v>BDI: 23,32</v>
      </c>
      <c r="G4713" s="439"/>
      <c r="H4713" s="258"/>
      <c r="I4713" s="635">
        <f>+ROUND(I4712*$I$4,2)</f>
        <v>13.94</v>
      </c>
    </row>
    <row r="4714" spans="1:15" x14ac:dyDescent="0.2">
      <c r="A4714" s="244"/>
      <c r="B4714" s="286"/>
      <c r="C4714" s="279"/>
      <c r="D4714" s="279"/>
      <c r="E4714" s="279"/>
      <c r="F4714" s="287" t="s">
        <v>222</v>
      </c>
      <c r="G4714" s="440"/>
      <c r="H4714" s="245"/>
      <c r="I4714" s="1017">
        <f>+I4712+I4713</f>
        <v>73.72</v>
      </c>
    </row>
    <row r="4715" spans="1:15" x14ac:dyDescent="0.2">
      <c r="A4715" s="1277" t="str">
        <f>$A$1</f>
        <v>COMPOSIÇÃO DE CUSTOS UNITÁRIOS</v>
      </c>
      <c r="B4715" s="1277"/>
      <c r="C4715" s="1277"/>
      <c r="D4715" s="1277"/>
      <c r="E4715" s="1277"/>
      <c r="F4715" s="1277"/>
      <c r="G4715" s="1277"/>
      <c r="H4715" s="1277"/>
      <c r="I4715" s="1277"/>
    </row>
    <row r="4716" spans="1:15" x14ac:dyDescent="0.2">
      <c r="A4716" s="232" t="str">
        <f>$A$2</f>
        <v>Tabela Referencial de Preços - DER-ES</v>
      </c>
      <c r="B4716" s="233"/>
      <c r="C4716" s="199"/>
      <c r="D4716" s="199"/>
      <c r="E4716" s="199"/>
      <c r="F4716" s="199"/>
      <c r="G4716" s="199"/>
      <c r="H4716" s="199"/>
      <c r="I4716" s="234" t="str">
        <f>$I$2</f>
        <v>Data Base: Outubro/2018</v>
      </c>
      <c r="J4716" s="433">
        <v>40364</v>
      </c>
      <c r="K4716" s="433">
        <f>VLOOKUP("Preço Unitário Total",F4718:I5282,4,FALSE)</f>
        <v>708.62</v>
      </c>
      <c r="L4716" s="302" t="str">
        <f>VLOOKUP(J4716,'DER 10-18'!A:E,5,FALSE)</f>
        <v>A incluir</v>
      </c>
      <c r="M4716" s="302" t="str">
        <f>VLOOKUP(J4716,'DER 10-18'!$A:$D,2,FALSE)</f>
        <v>Concreto estrutural fck = 30,0 MPa, tudo incluído</v>
      </c>
    </row>
    <row r="4717" spans="1:15" x14ac:dyDescent="0.2">
      <c r="A4717" s="1278" t="str">
        <f>+CONCATENATE("Serviço: ",J4716," ",VLOOKUP(J4716,'DER 10-18'!$A:$D,2,FALSE))</f>
        <v>Serviço: 40364 Concreto estrutural fck = 30,0 MPa, tudo incluído</v>
      </c>
      <c r="B4717" s="1278"/>
      <c r="C4717" s="1278"/>
      <c r="D4717" s="1278"/>
      <c r="E4717" s="1278"/>
      <c r="F4717" s="1278"/>
      <c r="G4717" s="1278"/>
      <c r="H4717" s="1278"/>
      <c r="I4717" s="1278" t="str">
        <f>CONCATENATE("Unidade: ", VLOOKUP(J4716,'DER 10-18'!$A:$E,3,FALSE))</f>
        <v>Unidade: M3</v>
      </c>
      <c r="O4717" s="198"/>
    </row>
    <row r="4718" spans="1:15" x14ac:dyDescent="0.2">
      <c r="A4718" s="1279"/>
      <c r="B4718" s="1279"/>
      <c r="C4718" s="1279"/>
      <c r="D4718" s="1279"/>
      <c r="E4718" s="1279"/>
      <c r="F4718" s="1279"/>
      <c r="G4718" s="1279"/>
      <c r="H4718" s="1279"/>
      <c r="I4718" s="1279"/>
    </row>
    <row r="4719" spans="1:15" ht="22.5" x14ac:dyDescent="0.2">
      <c r="A4719" s="235" t="s">
        <v>192</v>
      </c>
      <c r="B4719" s="236" t="s">
        <v>60</v>
      </c>
      <c r="C4719" s="236" t="s">
        <v>193</v>
      </c>
      <c r="D4719" s="236" t="s">
        <v>194</v>
      </c>
      <c r="E4719" s="236" t="s">
        <v>195</v>
      </c>
      <c r="F4719" s="236" t="s">
        <v>196</v>
      </c>
      <c r="G4719" s="236" t="s">
        <v>197</v>
      </c>
      <c r="H4719" s="236" t="s">
        <v>91</v>
      </c>
      <c r="I4719" s="236" t="s">
        <v>198</v>
      </c>
    </row>
    <row r="4720" spans="1:15" ht="22.5" x14ac:dyDescent="0.2">
      <c r="A4720" s="237" t="str">
        <f>VLOOKUP(B4720,equip.!$A:$G,2,FALSE)</f>
        <v>Betoneira 600 l com carregador (elétrica)</v>
      </c>
      <c r="B4720" s="238">
        <v>30070</v>
      </c>
      <c r="C4720" s="239">
        <f>VLOOKUP(B4720,equip.!$A$1:$G$239,3,FALSE)</f>
        <v>0</v>
      </c>
      <c r="D4720" s="240">
        <v>1</v>
      </c>
      <c r="E4720" s="205">
        <v>0</v>
      </c>
      <c r="F4720" s="241">
        <f>VLOOKUP(B4720,equip.!$A:$G,6,FALSE)</f>
        <v>24.55</v>
      </c>
      <c r="G4720" s="241">
        <f>VLOOKUP(B4720,equip.!$A:$G,7,FALSE)</f>
        <v>19.8</v>
      </c>
      <c r="H4720" s="242">
        <v>1</v>
      </c>
      <c r="I4720" s="243">
        <f t="shared" ref="I4720:I4722" si="58">TRUNC(D4720*F4720*H4720+E4720*G4720*H4720,2)</f>
        <v>24.55</v>
      </c>
    </row>
    <row r="4721" spans="1:17" x14ac:dyDescent="0.2">
      <c r="A4721" s="237" t="str">
        <f>VLOOKUP(B4721,equip.!$A:$G,2,FALSE)</f>
        <v>Carrinho de mão</v>
      </c>
      <c r="B4721" s="238">
        <v>30076</v>
      </c>
      <c r="C4721" s="239">
        <f>VLOOKUP(B4721,equip.!$A$1:$G$239,3,FALSE)</f>
        <v>0</v>
      </c>
      <c r="D4721" s="240">
        <v>1</v>
      </c>
      <c r="E4721" s="205">
        <v>0</v>
      </c>
      <c r="F4721" s="241">
        <f>VLOOKUP(B4721,equip.!$A:$G,6,FALSE)</f>
        <v>0.18</v>
      </c>
      <c r="G4721" s="241">
        <f>VLOOKUP(B4721,equip.!$A:$G,7,FALSE)</f>
        <v>0.12</v>
      </c>
      <c r="H4721" s="242">
        <v>3</v>
      </c>
      <c r="I4721" s="243">
        <f t="shared" si="58"/>
        <v>0.54</v>
      </c>
    </row>
    <row r="4722" spans="1:17" ht="33.75" x14ac:dyDescent="0.2">
      <c r="A4722" s="237" t="str">
        <f>VLOOKUP(B4722,equip.!$A:$G,2,FALSE)</f>
        <v>Vibrador de imersao AA67 c/ mangote, marca de referência ATLAS COPCO ou equivalente</v>
      </c>
      <c r="B4722" s="238">
        <v>30071</v>
      </c>
      <c r="C4722" s="239">
        <f>VLOOKUP(B4722,equip.!$A$1:$G$239,3,FALSE)</f>
        <v>0</v>
      </c>
      <c r="D4722" s="240">
        <v>1</v>
      </c>
      <c r="E4722" s="205">
        <v>0</v>
      </c>
      <c r="F4722" s="241">
        <f>VLOOKUP(B4722,equip.!$A:$G,6,FALSE)</f>
        <v>15.14</v>
      </c>
      <c r="G4722" s="241">
        <f>VLOOKUP(B4722,equip.!$A:$G,7,FALSE)</f>
        <v>12.3</v>
      </c>
      <c r="H4722" s="242">
        <v>2</v>
      </c>
      <c r="I4722" s="243">
        <f t="shared" si="58"/>
        <v>30.28</v>
      </c>
    </row>
    <row r="4723" spans="1:17" x14ac:dyDescent="0.2">
      <c r="A4723" s="199"/>
      <c r="B4723" s="233"/>
      <c r="C4723" s="233"/>
      <c r="D4723" s="199"/>
      <c r="E4723" s="199"/>
      <c r="F4723" s="234" t="s">
        <v>199</v>
      </c>
      <c r="G4723" s="244"/>
      <c r="H4723" s="245"/>
      <c r="I4723" s="434">
        <f>SUM(I4720:I4722)</f>
        <v>55.37</v>
      </c>
    </row>
    <row r="4724" spans="1:17" x14ac:dyDescent="0.2">
      <c r="A4724" s="199"/>
      <c r="B4724" s="233"/>
      <c r="C4724" s="233"/>
      <c r="D4724" s="199"/>
      <c r="E4724" s="199"/>
      <c r="F4724" s="199"/>
      <c r="G4724" s="199"/>
      <c r="H4724" s="199"/>
      <c r="I4724" s="200"/>
    </row>
    <row r="4725" spans="1:17" x14ac:dyDescent="0.2">
      <c r="A4725" s="246" t="s">
        <v>200</v>
      </c>
      <c r="B4725" s="247" t="s">
        <v>60</v>
      </c>
      <c r="C4725" s="236" t="s">
        <v>1242</v>
      </c>
      <c r="D4725" s="247" t="s">
        <v>202</v>
      </c>
      <c r="E4725" s="1271" t="s">
        <v>91</v>
      </c>
      <c r="F4725" s="1272"/>
      <c r="G4725" s="1273"/>
      <c r="H4725" s="1276" t="s">
        <v>198</v>
      </c>
      <c r="I4725" s="1275"/>
    </row>
    <row r="4726" spans="1:17" x14ac:dyDescent="0.2">
      <c r="A4726" s="248" t="str">
        <f>VLOOKUP(B4726,m.o.!$A:$H,2,FALSE)</f>
        <v>Encarregado de O.A.C.</v>
      </c>
      <c r="B4726" s="238">
        <v>20060</v>
      </c>
      <c r="C4726" s="243">
        <f>VLOOKUP(B4726,m.o.!$A:$F,4,FALSE)</f>
        <v>2.2599999999999998</v>
      </c>
      <c r="D4726" s="243">
        <f>VLOOKUP(B4726,m.o.!$A:$G,7,FALSE)</f>
        <v>26.3</v>
      </c>
      <c r="E4726" s="260"/>
      <c r="F4726" s="258"/>
      <c r="G4726" s="300">
        <v>1</v>
      </c>
      <c r="H4726" s="244"/>
      <c r="I4726" s="249">
        <f>TRUNC(D4726*G4726,2)</f>
        <v>26.3</v>
      </c>
    </row>
    <row r="4727" spans="1:17" x14ac:dyDescent="0.2">
      <c r="A4727" s="248" t="str">
        <f>VLOOKUP(B4727,m.o.!$A:$H,2,FALSE)</f>
        <v>Operário braçal</v>
      </c>
      <c r="B4727" s="238">
        <v>20107</v>
      </c>
      <c r="C4727" s="243">
        <f>VLOOKUP(B4727,m.o.!$A:$F,4,FALSE)</f>
        <v>1.02</v>
      </c>
      <c r="D4727" s="243">
        <f>VLOOKUP(B4727,m.o.!$A:$G,7,FALSE)</f>
        <v>11.87</v>
      </c>
      <c r="E4727" s="260"/>
      <c r="F4727" s="258"/>
      <c r="G4727" s="300">
        <v>10</v>
      </c>
      <c r="H4727" s="244"/>
      <c r="I4727" s="249">
        <f>TRUNC(D4727*G4727,2)</f>
        <v>118.7</v>
      </c>
      <c r="J4727" s="302"/>
      <c r="K4727" s="302"/>
    </row>
    <row r="4728" spans="1:17" x14ac:dyDescent="0.2">
      <c r="A4728" s="248" t="str">
        <f>VLOOKUP(B4728,m.o.!$A:$H,2,FALSE)</f>
        <v>Pedreiro de O.A.C.</v>
      </c>
      <c r="B4728" s="238">
        <v>20109</v>
      </c>
      <c r="C4728" s="243">
        <f>VLOOKUP(B4728,m.o.!$A:$F,4,FALSE)</f>
        <v>1.24</v>
      </c>
      <c r="D4728" s="243">
        <f>VLOOKUP(B4728,m.o.!$A:$G,7,FALSE)</f>
        <v>14.43</v>
      </c>
      <c r="E4728" s="260"/>
      <c r="F4728" s="258"/>
      <c r="G4728" s="300">
        <v>2</v>
      </c>
      <c r="H4728" s="244"/>
      <c r="I4728" s="249">
        <f>TRUNC(D4728*G4728,2)</f>
        <v>28.86</v>
      </c>
      <c r="J4728" s="302"/>
      <c r="K4728" s="302"/>
    </row>
    <row r="4729" spans="1:17" x14ac:dyDescent="0.2">
      <c r="A4729" s="199"/>
      <c r="B4729" s="233"/>
      <c r="C4729" s="233"/>
      <c r="D4729" s="199"/>
      <c r="E4729" s="199"/>
      <c r="F4729" s="234" t="s">
        <v>203</v>
      </c>
      <c r="G4729" s="244"/>
      <c r="H4729" s="245"/>
      <c r="I4729" s="434">
        <f>SUM(I4726:I4728)</f>
        <v>173.86</v>
      </c>
      <c r="J4729" s="302"/>
      <c r="K4729" s="302"/>
      <c r="P4729" s="198"/>
      <c r="Q4729" s="198"/>
    </row>
    <row r="4730" spans="1:17" x14ac:dyDescent="0.2">
      <c r="A4730" s="199"/>
      <c r="B4730" s="233"/>
      <c r="C4730" s="233"/>
      <c r="D4730" s="199"/>
      <c r="E4730" s="199"/>
      <c r="F4730" s="199"/>
      <c r="G4730" s="199"/>
      <c r="H4730" s="199"/>
      <c r="I4730" s="200"/>
      <c r="J4730" s="302"/>
      <c r="K4730" s="302"/>
      <c r="P4730" s="198"/>
      <c r="Q4730" s="198"/>
    </row>
    <row r="4731" spans="1:17" x14ac:dyDescent="0.2">
      <c r="A4731" s="250" t="s">
        <v>204</v>
      </c>
      <c r="B4731" s="247" t="s">
        <v>60</v>
      </c>
      <c r="C4731" s="866" t="s">
        <v>17</v>
      </c>
      <c r="D4731" s="247" t="s">
        <v>205</v>
      </c>
      <c r="E4731" s="247" t="s">
        <v>206</v>
      </c>
      <c r="F4731" s="247" t="s">
        <v>207</v>
      </c>
      <c r="G4731" s="1276" t="s">
        <v>96</v>
      </c>
      <c r="H4731" s="1274"/>
      <c r="I4731" s="1275"/>
      <c r="J4731" s="302"/>
      <c r="K4731" s="302"/>
    </row>
    <row r="4732" spans="1:17" x14ac:dyDescent="0.2">
      <c r="A4732" s="248" t="s">
        <v>142</v>
      </c>
      <c r="B4732" s="238">
        <v>2000</v>
      </c>
      <c r="C4732" s="243">
        <v>5</v>
      </c>
      <c r="D4732" s="239" t="s">
        <v>223</v>
      </c>
      <c r="E4732" s="251"/>
      <c r="F4732" s="251"/>
      <c r="G4732" s="244"/>
      <c r="H4732" s="245"/>
      <c r="I4732" s="249">
        <f>TRUNC(C4732/100*I4729,2)</f>
        <v>8.69</v>
      </c>
      <c r="J4732" s="302"/>
      <c r="K4732" s="302"/>
    </row>
    <row r="4733" spans="1:17" x14ac:dyDescent="0.2">
      <c r="A4733" s="199"/>
      <c r="B4733" s="233"/>
      <c r="C4733" s="199"/>
      <c r="D4733" s="199"/>
      <c r="E4733" s="199"/>
      <c r="F4733" s="234" t="s">
        <v>1170</v>
      </c>
      <c r="G4733" s="244"/>
      <c r="H4733" s="245"/>
      <c r="I4733" s="434">
        <f>SUM(I4732)</f>
        <v>8.69</v>
      </c>
      <c r="J4733" s="302"/>
      <c r="K4733" s="302"/>
    </row>
    <row r="4734" spans="1:17" x14ac:dyDescent="0.2">
      <c r="A4734" s="199"/>
      <c r="B4734" s="233"/>
      <c r="C4734" s="199"/>
      <c r="D4734" s="199"/>
      <c r="E4734" s="199"/>
      <c r="F4734" s="199"/>
      <c r="G4734" s="199"/>
      <c r="H4734" s="199"/>
      <c r="I4734" s="200"/>
      <c r="J4734" s="302"/>
      <c r="K4734" s="302"/>
    </row>
    <row r="4735" spans="1:17" x14ac:dyDescent="0.2">
      <c r="A4735" s="252"/>
      <c r="B4735" s="253"/>
      <c r="C4735" s="254"/>
      <c r="D4735" s="254"/>
      <c r="E4735" s="254"/>
      <c r="F4735" s="255" t="s">
        <v>208</v>
      </c>
      <c r="G4735" s="435"/>
      <c r="H4735" s="254"/>
      <c r="I4735" s="634">
        <f>+I4723+I4729+I4733</f>
        <v>237.92</v>
      </c>
      <c r="J4735" s="302"/>
      <c r="K4735" s="302"/>
    </row>
    <row r="4736" spans="1:17" x14ac:dyDescent="0.2">
      <c r="A4736" s="256"/>
      <c r="B4736" s="257"/>
      <c r="C4736" s="258"/>
      <c r="D4736" s="258"/>
      <c r="E4736" s="258"/>
      <c r="F4736" s="259" t="s">
        <v>209</v>
      </c>
      <c r="G4736" s="260"/>
      <c r="H4736" s="258"/>
      <c r="I4736" s="635">
        <v>1</v>
      </c>
      <c r="J4736" s="302"/>
      <c r="K4736" s="302"/>
    </row>
    <row r="4737" spans="1:14" x14ac:dyDescent="0.2">
      <c r="A4737" s="237"/>
      <c r="B4737" s="261"/>
      <c r="C4737" s="245"/>
      <c r="D4737" s="245"/>
      <c r="E4737" s="245"/>
      <c r="F4737" s="262" t="s">
        <v>232</v>
      </c>
      <c r="G4737" s="244"/>
      <c r="H4737" s="245"/>
      <c r="I4737" s="633">
        <f>TRUNC(I4735/I4736,2)</f>
        <v>237.92</v>
      </c>
      <c r="J4737" s="302"/>
      <c r="K4737" s="302"/>
    </row>
    <row r="4738" spans="1:14" x14ac:dyDescent="0.2">
      <c r="A4738" s="867"/>
      <c r="B4738" s="233"/>
      <c r="C4738" s="199"/>
      <c r="D4738" s="199"/>
      <c r="E4738" s="199"/>
      <c r="F4738" s="263"/>
      <c r="G4738" s="199"/>
      <c r="H4738" s="199"/>
      <c r="I4738" s="264"/>
      <c r="J4738" s="302"/>
      <c r="K4738" s="302"/>
    </row>
    <row r="4739" spans="1:14" x14ac:dyDescent="0.2">
      <c r="A4739" s="246" t="s">
        <v>210</v>
      </c>
      <c r="B4739" s="247" t="s">
        <v>60</v>
      </c>
      <c r="C4739" s="247" t="s">
        <v>211</v>
      </c>
      <c r="D4739" s="247" t="s">
        <v>233</v>
      </c>
      <c r="E4739" s="1276" t="s">
        <v>91</v>
      </c>
      <c r="F4739" s="1274"/>
      <c r="G4739" s="1275"/>
      <c r="H4739" s="1276" t="s">
        <v>198</v>
      </c>
      <c r="I4739" s="1275"/>
      <c r="J4739" s="302"/>
      <c r="K4739" s="302"/>
      <c r="N4739" s="198"/>
    </row>
    <row r="4740" spans="1:14" ht="22.5" x14ac:dyDescent="0.2">
      <c r="A4740" s="265" t="str">
        <f>VLOOKUP(B4740,mat.!$A:$D,2,FALSE)</f>
        <v>Areia grossa jazida com carregamento mecânico</v>
      </c>
      <c r="B4740" s="238">
        <v>10109</v>
      </c>
      <c r="C4740" s="266" t="str">
        <f>VLOOKUP(B4740,mat.!$A:$D,3,FALSE)</f>
        <v>m3</v>
      </c>
      <c r="D4740" s="267">
        <f>VLOOKUP(B4740,mat.!$A:$D,4,FALSE)</f>
        <v>64.22</v>
      </c>
      <c r="E4740" s="260"/>
      <c r="F4740" s="258"/>
      <c r="G4740" s="300">
        <v>0.54179999999999995</v>
      </c>
      <c r="H4740" s="260"/>
      <c r="I4740" s="268">
        <f>TRUNC(D4740*G4740,2)</f>
        <v>34.79</v>
      </c>
      <c r="J4740" s="302"/>
      <c r="K4740" s="302"/>
      <c r="N4740" s="198"/>
    </row>
    <row r="4741" spans="1:14" x14ac:dyDescent="0.2">
      <c r="A4741" s="265" t="str">
        <f>VLOOKUP(B4741,mat.!$A:$D,2,FALSE)</f>
        <v>Cimento CP III</v>
      </c>
      <c r="B4741" s="238">
        <v>10092</v>
      </c>
      <c r="C4741" s="266" t="str">
        <f>VLOOKUP(B4741,mat.!$A:$D,3,FALSE)</f>
        <v>kg</v>
      </c>
      <c r="D4741" s="267">
        <f>VLOOKUP(B4741,mat.!$A:$D,4,FALSE)</f>
        <v>0.38</v>
      </c>
      <c r="E4741" s="260"/>
      <c r="F4741" s="258"/>
      <c r="G4741" s="300">
        <v>504</v>
      </c>
      <c r="H4741" s="260"/>
      <c r="I4741" s="268">
        <f>TRUNC(D4741*G4741,2)</f>
        <v>191.52</v>
      </c>
      <c r="J4741" s="302"/>
      <c r="K4741" s="302"/>
      <c r="N4741" s="198"/>
    </row>
    <row r="4742" spans="1:14" x14ac:dyDescent="0.2">
      <c r="A4742" s="265" t="str">
        <f>VLOOKUP(B4742,mat.!$A:$D,2,FALSE)</f>
        <v>Pedra britada p/ concreto, sem frete</v>
      </c>
      <c r="B4742" s="238">
        <v>10125</v>
      </c>
      <c r="C4742" s="266" t="str">
        <f>VLOOKUP(B4742,mat.!$A:$D,3,FALSE)</f>
        <v>m3</v>
      </c>
      <c r="D4742" s="267">
        <f>VLOOKUP(B4742,mat.!$A:$D,4,FALSE)</f>
        <v>60.76</v>
      </c>
      <c r="E4742" s="260"/>
      <c r="F4742" s="258"/>
      <c r="G4742" s="300">
        <v>0.77700000000000002</v>
      </c>
      <c r="H4742" s="260"/>
      <c r="I4742" s="268">
        <f>TRUNC(D4742*G4742,2)</f>
        <v>47.21</v>
      </c>
      <c r="J4742" s="302"/>
      <c r="K4742" s="302"/>
      <c r="N4742" s="198"/>
    </row>
    <row r="4743" spans="1:14" x14ac:dyDescent="0.2">
      <c r="A4743" s="199"/>
      <c r="B4743" s="233"/>
      <c r="C4743" s="199"/>
      <c r="D4743" s="199"/>
      <c r="E4743" s="199"/>
      <c r="F4743" s="234" t="s">
        <v>212</v>
      </c>
      <c r="G4743" s="244"/>
      <c r="H4743" s="245"/>
      <c r="I4743" s="434">
        <f>SUM(I4740:I4742)</f>
        <v>273.52</v>
      </c>
      <c r="N4743" s="198"/>
    </row>
    <row r="4744" spans="1:14" x14ac:dyDescent="0.2">
      <c r="A4744" s="199"/>
      <c r="B4744" s="233"/>
      <c r="C4744" s="199"/>
      <c r="D4744" s="199"/>
      <c r="E4744" s="199"/>
      <c r="F4744" s="199"/>
      <c r="G4744" s="269"/>
      <c r="H4744" s="199"/>
      <c r="I4744" s="200"/>
      <c r="J4744" s="451"/>
      <c r="K4744" s="451"/>
      <c r="L4744" s="198"/>
      <c r="M4744" s="198"/>
    </row>
    <row r="4745" spans="1:14" x14ac:dyDescent="0.2">
      <c r="A4745" s="467" t="s">
        <v>213</v>
      </c>
      <c r="B4745" s="468" t="s">
        <v>60</v>
      </c>
      <c r="C4745" s="468" t="s">
        <v>211</v>
      </c>
      <c r="D4745" s="869" t="s">
        <v>233</v>
      </c>
      <c r="E4745" s="1281" t="s">
        <v>91</v>
      </c>
      <c r="F4745" s="1282"/>
      <c r="G4745" s="1283"/>
      <c r="H4745" s="1284" t="s">
        <v>198</v>
      </c>
      <c r="I4745" s="1285"/>
    </row>
    <row r="4746" spans="1:14" x14ac:dyDescent="0.2">
      <c r="A4746" s="201"/>
      <c r="B4746" s="271"/>
      <c r="C4746" s="201"/>
      <c r="D4746" s="201"/>
      <c r="E4746" s="201"/>
      <c r="F4746" s="272" t="s">
        <v>214</v>
      </c>
      <c r="G4746" s="260"/>
      <c r="H4746" s="273"/>
      <c r="I4746" s="436"/>
    </row>
    <row r="4747" spans="1:14" x14ac:dyDescent="0.2">
      <c r="A4747" s="201"/>
      <c r="B4747" s="271"/>
      <c r="C4747" s="201"/>
      <c r="D4747" s="201"/>
      <c r="E4747" s="201"/>
      <c r="F4747" s="201"/>
      <c r="G4747" s="201"/>
      <c r="H4747" s="201"/>
      <c r="I4747" s="201"/>
    </row>
    <row r="4748" spans="1:14" x14ac:dyDescent="0.2">
      <c r="A4748" s="274" t="s">
        <v>215</v>
      </c>
      <c r="B4748" s="275" t="s">
        <v>60</v>
      </c>
      <c r="C4748" s="275" t="s">
        <v>211</v>
      </c>
      <c r="D4748" s="275" t="s">
        <v>216</v>
      </c>
      <c r="E4748" s="275" t="s">
        <v>217</v>
      </c>
      <c r="F4748" s="275" t="s">
        <v>218</v>
      </c>
      <c r="G4748" s="275" t="s">
        <v>96</v>
      </c>
      <c r="H4748" s="275" t="s">
        <v>91</v>
      </c>
      <c r="I4748" s="275" t="s">
        <v>219</v>
      </c>
    </row>
    <row r="4749" spans="1:14" ht="22.5" x14ac:dyDescent="0.2">
      <c r="A4749" s="265" t="str">
        <f>VLOOKUP(B4749,tranp.!A:D,2,FALSE)</f>
        <v>Transp. de Areia grossa jazida c/ carreg.mecânico</v>
      </c>
      <c r="B4749" s="238">
        <v>1026</v>
      </c>
      <c r="C4749" s="238" t="str">
        <f>VLOOKUP(B4749,tranp.!$A:$J,3,FALSE)</f>
        <v xml:space="preserve"> t  </v>
      </c>
      <c r="D4749" s="437" t="str">
        <f>VLOOKUP(B4749,tranp.!$A:$J,4,FALSE)</f>
        <v>0,681XP + 0,710XR + 2,841</v>
      </c>
      <c r="E4749" s="277">
        <f>VLOOKUP(J4749,Ocor.!$B:$F,4,FALSE)</f>
        <v>10</v>
      </c>
      <c r="F4749" s="277">
        <f>VLOOKUP(J4749,Ocor.!$B:$F,5,FALSE)</f>
        <v>5.6</v>
      </c>
      <c r="G4749" s="243">
        <f>TRUNC(VLOOKUP(B4749,tranp.!$A:$J,5,FALSE)*E4749+VLOOKUP(B4749,tranp.!$A:$J,6,FALSE)*F4749+VLOOKUP(B4749,tranp.!$A:$J,7,FALSE),2)</f>
        <v>13.62</v>
      </c>
      <c r="H4749" s="278">
        <v>0.81269999999999998</v>
      </c>
      <c r="I4749" s="243">
        <f>TRUNC(G4749*H4749,2)</f>
        <v>11.06</v>
      </c>
      <c r="J4749" s="433" t="s">
        <v>115</v>
      </c>
    </row>
    <row r="4750" spans="1:14" x14ac:dyDescent="0.2">
      <c r="A4750" s="265" t="str">
        <f>VLOOKUP(B4750,tranp.!A:D,2,FALSE)</f>
        <v>Transp. de Cimento</v>
      </c>
      <c r="B4750" s="238">
        <v>1153</v>
      </c>
      <c r="C4750" s="238" t="str">
        <f>VLOOKUP(B4750,tranp.!$A:$J,3,FALSE)</f>
        <v xml:space="preserve"> t  </v>
      </c>
      <c r="D4750" s="437" t="str">
        <f>VLOOKUP(B4750,tranp.!$A:$J,4,FALSE)</f>
        <v>0,676XP + 0,703XR</v>
      </c>
      <c r="E4750" s="277">
        <f>VLOOKUP(J4750,Ocor.!$B:$F,4,FALSE)</f>
        <v>37.200000000000003</v>
      </c>
      <c r="F4750" s="277">
        <f>VLOOKUP(J4750,Ocor.!$B:$F,5,FALSE)</f>
        <v>5.6</v>
      </c>
      <c r="G4750" s="243">
        <f>TRUNC(VLOOKUP(B4750,tranp.!$A:$J,5,FALSE)*E4750+VLOOKUP(B4750,tranp.!$A:$J,6,FALSE)*F4750+VLOOKUP(B4750,tranp.!$A:$J,7,FALSE),2)</f>
        <v>29.08</v>
      </c>
      <c r="H4750" s="278">
        <v>0.504</v>
      </c>
      <c r="I4750" s="243">
        <f>TRUNC(G4750*H4750,2)</f>
        <v>14.65</v>
      </c>
      <c r="J4750" s="433" t="s">
        <v>174</v>
      </c>
      <c r="K4750" s="451"/>
      <c r="L4750" s="198"/>
      <c r="M4750" s="198"/>
    </row>
    <row r="4751" spans="1:14" ht="22.5" x14ac:dyDescent="0.2">
      <c r="A4751" s="265" t="str">
        <f>VLOOKUP(B4751,tranp.!A:D,2,FALSE)</f>
        <v>Transp. de Pedra britada p/ concreto</v>
      </c>
      <c r="B4751" s="453">
        <v>1162</v>
      </c>
      <c r="C4751" s="453" t="str">
        <f>VLOOKUP(B4751,tranp.!$A:$J,3,FALSE)</f>
        <v xml:space="preserve"> t  </v>
      </c>
      <c r="D4751" s="518" t="str">
        <f>VLOOKUP(B4751,tranp.!$A:$J,4,FALSE)</f>
        <v>0,681XP + 0,710XR + 2,841</v>
      </c>
      <c r="E4751" s="277">
        <f>VLOOKUP(J4751,Ocor.!$B:$F,4,FALSE)</f>
        <v>37.200000000000003</v>
      </c>
      <c r="F4751" s="277">
        <f>VLOOKUP(J4751,Ocor.!$B:$F,5,FALSE)</f>
        <v>5.6</v>
      </c>
      <c r="G4751" s="454">
        <f>TRUNC(VLOOKUP(B4751,tranp.!$A:$J,5,FALSE)*E4751+VLOOKUP(B4751,tranp.!$A:$J,6,FALSE)*F4751+VLOOKUP(B4751,tranp.!$A:$J,7,FALSE),2)</f>
        <v>32.15</v>
      </c>
      <c r="H4751" s="520">
        <v>1.1655</v>
      </c>
      <c r="I4751" s="454">
        <f>TRUNC(G4751*H4751,2)</f>
        <v>37.47</v>
      </c>
      <c r="J4751" s="433" t="s">
        <v>113</v>
      </c>
    </row>
    <row r="4752" spans="1:14" x14ac:dyDescent="0.2">
      <c r="A4752" s="201"/>
      <c r="B4752" s="271"/>
      <c r="C4752" s="201"/>
      <c r="D4752" s="201"/>
      <c r="E4752" s="201"/>
      <c r="F4752" s="272" t="s">
        <v>220</v>
      </c>
      <c r="G4752" s="244"/>
      <c r="H4752" s="279"/>
      <c r="I4752" s="438">
        <f>SUM(I4749:I4751)</f>
        <v>63.18</v>
      </c>
    </row>
    <row r="4753" spans="1:17" x14ac:dyDescent="0.2">
      <c r="A4753" s="201"/>
      <c r="B4753" s="271"/>
      <c r="C4753" s="201"/>
      <c r="D4753" s="201"/>
      <c r="E4753" s="201"/>
      <c r="F4753" s="201"/>
      <c r="G4753" s="201"/>
      <c r="H4753" s="201"/>
      <c r="I4753" s="202"/>
    </row>
    <row r="4754" spans="1:17" x14ac:dyDescent="0.2">
      <c r="A4754" s="280"/>
      <c r="B4754" s="281"/>
      <c r="C4754" s="282"/>
      <c r="D4754" s="282"/>
      <c r="E4754" s="282"/>
      <c r="F4754" s="283" t="s">
        <v>221</v>
      </c>
      <c r="G4754" s="280"/>
      <c r="H4754" s="254"/>
      <c r="I4754" s="634">
        <f>+I4737+I4743+I4746+I4752</f>
        <v>574.62</v>
      </c>
    </row>
    <row r="4755" spans="1:17" x14ac:dyDescent="0.2">
      <c r="A4755" s="260"/>
      <c r="B4755" s="284"/>
      <c r="C4755" s="273"/>
      <c r="D4755" s="273"/>
      <c r="E4755" s="273"/>
      <c r="F4755" s="285" t="str">
        <f>CONCATENATE($H$3," ",$I$3)</f>
        <v>BDI: 23,32</v>
      </c>
      <c r="G4755" s="439"/>
      <c r="H4755" s="258"/>
      <c r="I4755" s="635">
        <f>+ROUND(I4754*$I$4,2)</f>
        <v>134</v>
      </c>
    </row>
    <row r="4756" spans="1:17" x14ac:dyDescent="0.2">
      <c r="A4756" s="244"/>
      <c r="B4756" s="286"/>
      <c r="C4756" s="279"/>
      <c r="D4756" s="279"/>
      <c r="E4756" s="279"/>
      <c r="F4756" s="287" t="s">
        <v>222</v>
      </c>
      <c r="G4756" s="440"/>
      <c r="H4756" s="245"/>
      <c r="I4756" s="1017">
        <f>+I4754+I4755</f>
        <v>708.62</v>
      </c>
    </row>
    <row r="4757" spans="1:17" x14ac:dyDescent="0.2">
      <c r="A4757" s="1277" t="str">
        <f>$A$1</f>
        <v>COMPOSIÇÃO DE CUSTOS UNITÁRIOS</v>
      </c>
      <c r="B4757" s="1277"/>
      <c r="C4757" s="1277"/>
      <c r="D4757" s="1277"/>
      <c r="E4757" s="1277"/>
      <c r="F4757" s="1277"/>
      <c r="G4757" s="1277"/>
      <c r="H4757" s="1277"/>
      <c r="I4757" s="1277"/>
    </row>
    <row r="4758" spans="1:17" x14ac:dyDescent="0.2">
      <c r="A4758" s="232" t="str">
        <f>$A$2</f>
        <v>Tabela Referencial de Preços - DER-ES</v>
      </c>
      <c r="B4758" s="233"/>
      <c r="C4758" s="199"/>
      <c r="D4758" s="199"/>
      <c r="E4758" s="199"/>
      <c r="F4758" s="199"/>
      <c r="G4758" s="199"/>
      <c r="H4758" s="199"/>
      <c r="I4758" s="234" t="str">
        <f>$I$2</f>
        <v>Data Base: Outubro/2018</v>
      </c>
      <c r="J4758" s="433">
        <v>40304</v>
      </c>
      <c r="K4758" s="433">
        <f>VLOOKUP("Preço Unitário Total",F4760:I5324,4,FALSE)</f>
        <v>82.58</v>
      </c>
      <c r="L4758" s="302" t="str">
        <f>VLOOKUP(J4758,'DER 10-18'!A:E,5,FALSE)</f>
        <v>A incluir</v>
      </c>
      <c r="M4758" s="302" t="str">
        <f>VLOOKUP(J4758,'DER 10-18'!$A:$D,2,FALSE)</f>
        <v>Reaterro com areia, tudo incluído</v>
      </c>
    </row>
    <row r="4759" spans="1:17" x14ac:dyDescent="0.2">
      <c r="A4759" s="1278" t="str">
        <f>+CONCATENATE("Serviço: ",J4758," ",VLOOKUP(J4758,'DER 10-18'!$A:$D,2,FALSE))</f>
        <v>Serviço: 40304 Reaterro com areia, tudo incluído</v>
      </c>
      <c r="B4759" s="1278"/>
      <c r="C4759" s="1278"/>
      <c r="D4759" s="1278"/>
      <c r="E4759" s="1278"/>
      <c r="F4759" s="1278"/>
      <c r="G4759" s="1278"/>
      <c r="H4759" s="1278"/>
      <c r="I4759" s="1278" t="str">
        <f>CONCATENATE("Unidade: ", VLOOKUP(J4758,'DER 10-18'!$A:$E,3,FALSE))</f>
        <v>Unidade: M3</v>
      </c>
      <c r="O4759" s="198"/>
    </row>
    <row r="4760" spans="1:17" x14ac:dyDescent="0.2">
      <c r="A4760" s="1279"/>
      <c r="B4760" s="1279"/>
      <c r="C4760" s="1279"/>
      <c r="D4760" s="1279"/>
      <c r="E4760" s="1279"/>
      <c r="F4760" s="1279"/>
      <c r="G4760" s="1279"/>
      <c r="H4760" s="1279"/>
      <c r="I4760" s="1279"/>
    </row>
    <row r="4761" spans="1:17" ht="22.5" x14ac:dyDescent="0.2">
      <c r="A4761" s="235" t="s">
        <v>192</v>
      </c>
      <c r="B4761" s="236" t="s">
        <v>60</v>
      </c>
      <c r="C4761" s="236" t="s">
        <v>193</v>
      </c>
      <c r="D4761" s="236" t="s">
        <v>194</v>
      </c>
      <c r="E4761" s="236" t="s">
        <v>195</v>
      </c>
      <c r="F4761" s="236" t="s">
        <v>196</v>
      </c>
      <c r="G4761" s="236" t="s">
        <v>197</v>
      </c>
      <c r="H4761" s="236" t="s">
        <v>91</v>
      </c>
      <c r="I4761" s="236" t="s">
        <v>198</v>
      </c>
    </row>
    <row r="4762" spans="1:17" ht="33.75" x14ac:dyDescent="0.2">
      <c r="A4762" s="237" t="str">
        <f>VLOOKUP(B4762,equip.!$A:$G,2,FALSE)</f>
        <v>Retroescavadeira MF 86 TM (MASSEY FERGUSSON) ou equivalente</v>
      </c>
      <c r="B4762" s="238">
        <v>30029</v>
      </c>
      <c r="C4762" s="239" t="str">
        <f>VLOOKUP(B4762,equip.!$A$1:$G$239,3,FALSE)</f>
        <v>M</v>
      </c>
      <c r="D4762" s="240">
        <v>0.2</v>
      </c>
      <c r="E4762" s="205">
        <v>0.8</v>
      </c>
      <c r="F4762" s="241">
        <f>VLOOKUP(B4762,equip.!$A:$G,6,FALSE)</f>
        <v>106.71</v>
      </c>
      <c r="G4762" s="241">
        <f>VLOOKUP(B4762,equip.!$A:$G,7,FALSE)</f>
        <v>41.33</v>
      </c>
      <c r="H4762" s="242">
        <v>1</v>
      </c>
      <c r="I4762" s="243">
        <f t="shared" ref="I4762" si="59">TRUNC(D4762*F4762*H4762+E4762*G4762*H4762,2)</f>
        <v>54.4</v>
      </c>
    </row>
    <row r="4763" spans="1:17" x14ac:dyDescent="0.2">
      <c r="A4763" s="199"/>
      <c r="B4763" s="233"/>
      <c r="C4763" s="233"/>
      <c r="D4763" s="199"/>
      <c r="E4763" s="199"/>
      <c r="F4763" s="234" t="s">
        <v>199</v>
      </c>
      <c r="G4763" s="244"/>
      <c r="H4763" s="245"/>
      <c r="I4763" s="434">
        <f>SUM(I4762:I4762)</f>
        <v>54.4</v>
      </c>
    </row>
    <row r="4764" spans="1:17" x14ac:dyDescent="0.2">
      <c r="A4764" s="199"/>
      <c r="B4764" s="233"/>
      <c r="C4764" s="233"/>
      <c r="D4764" s="199"/>
      <c r="E4764" s="199"/>
      <c r="F4764" s="199"/>
      <c r="G4764" s="199"/>
      <c r="H4764" s="199"/>
      <c r="I4764" s="200"/>
    </row>
    <row r="4765" spans="1:17" x14ac:dyDescent="0.2">
      <c r="A4765" s="246" t="s">
        <v>200</v>
      </c>
      <c r="B4765" s="247" t="s">
        <v>60</v>
      </c>
      <c r="C4765" s="236" t="s">
        <v>1242</v>
      </c>
      <c r="D4765" s="247" t="s">
        <v>202</v>
      </c>
      <c r="E4765" s="1271" t="s">
        <v>91</v>
      </c>
      <c r="F4765" s="1272"/>
      <c r="G4765" s="1273"/>
      <c r="H4765" s="1276" t="s">
        <v>198</v>
      </c>
      <c r="I4765" s="1275"/>
    </row>
    <row r="4766" spans="1:17" x14ac:dyDescent="0.2">
      <c r="A4766" s="248" t="str">
        <f>VLOOKUP(B4766,m.o.!$A:$H,2,FALSE)</f>
        <v>Encarregado de terraplenagem</v>
      </c>
      <c r="B4766" s="238">
        <v>20067</v>
      </c>
      <c r="C4766" s="243">
        <f>VLOOKUP(B4766,m.o.!$A:$F,4,FALSE)</f>
        <v>2.35</v>
      </c>
      <c r="D4766" s="243">
        <f>VLOOKUP(B4766,m.o.!$A:$G,7,FALSE)</f>
        <v>27.35</v>
      </c>
      <c r="E4766" s="260"/>
      <c r="F4766" s="258"/>
      <c r="G4766" s="300">
        <v>0.2</v>
      </c>
      <c r="H4766" s="244"/>
      <c r="I4766" s="249">
        <f>TRUNC(D4766*G4766,2)</f>
        <v>5.47</v>
      </c>
    </row>
    <row r="4767" spans="1:17" x14ac:dyDescent="0.2">
      <c r="A4767" s="248" t="str">
        <f>VLOOKUP(B4767,m.o.!$A:$H,2,FALSE)</f>
        <v>Servente</v>
      </c>
      <c r="B4767" s="238">
        <v>20002</v>
      </c>
      <c r="C4767" s="243">
        <f>VLOOKUP(B4767,m.o.!$A:$F,4,FALSE)</f>
        <v>1</v>
      </c>
      <c r="D4767" s="243">
        <f>VLOOKUP(B4767,m.o.!$A:$G,7,FALSE)</f>
        <v>11.64</v>
      </c>
      <c r="E4767" s="260"/>
      <c r="F4767" s="258"/>
      <c r="G4767" s="300">
        <v>2.2000000000000002</v>
      </c>
      <c r="H4767" s="244"/>
      <c r="I4767" s="249">
        <f>TRUNC(D4767*G4767,2)</f>
        <v>25.6</v>
      </c>
      <c r="J4767" s="302"/>
      <c r="K4767" s="302"/>
    </row>
    <row r="4768" spans="1:17" x14ac:dyDescent="0.2">
      <c r="A4768" s="199"/>
      <c r="B4768" s="233"/>
      <c r="C4768" s="233"/>
      <c r="D4768" s="199"/>
      <c r="E4768" s="199"/>
      <c r="F4768" s="234" t="s">
        <v>203</v>
      </c>
      <c r="G4768" s="244"/>
      <c r="H4768" s="245"/>
      <c r="I4768" s="434">
        <f>SUM(I4766:I4767)</f>
        <v>31.07</v>
      </c>
      <c r="J4768" s="302"/>
      <c r="K4768" s="302"/>
      <c r="P4768" s="198"/>
      <c r="Q4768" s="198"/>
    </row>
    <row r="4769" spans="1:17" x14ac:dyDescent="0.2">
      <c r="A4769" s="199"/>
      <c r="B4769" s="233"/>
      <c r="C4769" s="233"/>
      <c r="D4769" s="199"/>
      <c r="E4769" s="199"/>
      <c r="F4769" s="199"/>
      <c r="G4769" s="199"/>
      <c r="H4769" s="199"/>
      <c r="I4769" s="200"/>
      <c r="J4769" s="302"/>
      <c r="K4769" s="302"/>
      <c r="P4769" s="198"/>
      <c r="Q4769" s="198"/>
    </row>
    <row r="4770" spans="1:17" x14ac:dyDescent="0.2">
      <c r="A4770" s="250" t="s">
        <v>204</v>
      </c>
      <c r="B4770" s="247" t="s">
        <v>60</v>
      </c>
      <c r="C4770" s="866" t="s">
        <v>17</v>
      </c>
      <c r="D4770" s="247" t="s">
        <v>205</v>
      </c>
      <c r="E4770" s="247" t="s">
        <v>206</v>
      </c>
      <c r="F4770" s="247" t="s">
        <v>207</v>
      </c>
      <c r="G4770" s="1276" t="s">
        <v>96</v>
      </c>
      <c r="H4770" s="1274"/>
      <c r="I4770" s="1275"/>
      <c r="J4770" s="302"/>
      <c r="K4770" s="302"/>
    </row>
    <row r="4771" spans="1:17" x14ac:dyDescent="0.2">
      <c r="A4771" s="248" t="s">
        <v>142</v>
      </c>
      <c r="B4771" s="238">
        <v>2000</v>
      </c>
      <c r="C4771" s="243">
        <v>5</v>
      </c>
      <c r="D4771" s="239" t="s">
        <v>223</v>
      </c>
      <c r="E4771" s="251"/>
      <c r="F4771" s="251"/>
      <c r="G4771" s="244"/>
      <c r="H4771" s="245"/>
      <c r="I4771" s="249">
        <f>TRUNC(C4771/100*I4768,2)</f>
        <v>1.55</v>
      </c>
      <c r="J4771" s="302"/>
      <c r="K4771" s="302"/>
    </row>
    <row r="4772" spans="1:17" x14ac:dyDescent="0.2">
      <c r="A4772" s="199"/>
      <c r="B4772" s="233"/>
      <c r="C4772" s="199"/>
      <c r="D4772" s="199"/>
      <c r="E4772" s="199"/>
      <c r="F4772" s="234" t="s">
        <v>1170</v>
      </c>
      <c r="G4772" s="244"/>
      <c r="H4772" s="245"/>
      <c r="I4772" s="434">
        <f>SUM(I4771)</f>
        <v>1.55</v>
      </c>
      <c r="J4772" s="302"/>
      <c r="K4772" s="302"/>
    </row>
    <row r="4773" spans="1:17" x14ac:dyDescent="0.2">
      <c r="A4773" s="199"/>
      <c r="B4773" s="233"/>
      <c r="C4773" s="199"/>
      <c r="D4773" s="199"/>
      <c r="E4773" s="199"/>
      <c r="F4773" s="199"/>
      <c r="G4773" s="199"/>
      <c r="H4773" s="199"/>
      <c r="I4773" s="200"/>
      <c r="J4773" s="302"/>
      <c r="K4773" s="302"/>
    </row>
    <row r="4774" spans="1:17" x14ac:dyDescent="0.2">
      <c r="A4774" s="252"/>
      <c r="B4774" s="253"/>
      <c r="C4774" s="254"/>
      <c r="D4774" s="254"/>
      <c r="E4774" s="254"/>
      <c r="F4774" s="255" t="s">
        <v>208</v>
      </c>
      <c r="G4774" s="435"/>
      <c r="H4774" s="254"/>
      <c r="I4774" s="634">
        <f>+I4763+I4768+I4772</f>
        <v>87.02</v>
      </c>
      <c r="J4774" s="302"/>
      <c r="K4774" s="302"/>
    </row>
    <row r="4775" spans="1:17" x14ac:dyDescent="0.2">
      <c r="A4775" s="256"/>
      <c r="B4775" s="257"/>
      <c r="C4775" s="258"/>
      <c r="D4775" s="258"/>
      <c r="E4775" s="258"/>
      <c r="F4775" s="259" t="s">
        <v>209</v>
      </c>
      <c r="G4775" s="260"/>
      <c r="H4775" s="258"/>
      <c r="I4775" s="635">
        <v>16</v>
      </c>
      <c r="J4775" s="302"/>
      <c r="K4775" s="302"/>
    </row>
    <row r="4776" spans="1:17" x14ac:dyDescent="0.2">
      <c r="A4776" s="237"/>
      <c r="B4776" s="261"/>
      <c r="C4776" s="245"/>
      <c r="D4776" s="245"/>
      <c r="E4776" s="245"/>
      <c r="F4776" s="262" t="s">
        <v>232</v>
      </c>
      <c r="G4776" s="244"/>
      <c r="H4776" s="245"/>
      <c r="I4776" s="633">
        <f>TRUNC(I4774/I4775,2)</f>
        <v>5.43</v>
      </c>
      <c r="J4776" s="302"/>
      <c r="K4776" s="302"/>
    </row>
    <row r="4777" spans="1:17" x14ac:dyDescent="0.2">
      <c r="A4777" s="867"/>
      <c r="B4777" s="233"/>
      <c r="C4777" s="199"/>
      <c r="D4777" s="199"/>
      <c r="E4777" s="199"/>
      <c r="F4777" s="263"/>
      <c r="G4777" s="199"/>
      <c r="H4777" s="199"/>
      <c r="I4777" s="264"/>
      <c r="J4777" s="302"/>
      <c r="K4777" s="302"/>
    </row>
    <row r="4778" spans="1:17" x14ac:dyDescent="0.2">
      <c r="A4778" s="246" t="s">
        <v>210</v>
      </c>
      <c r="B4778" s="247" t="s">
        <v>60</v>
      </c>
      <c r="C4778" s="247" t="s">
        <v>211</v>
      </c>
      <c r="D4778" s="247" t="s">
        <v>233</v>
      </c>
      <c r="E4778" s="1276" t="s">
        <v>91</v>
      </c>
      <c r="F4778" s="1274"/>
      <c r="G4778" s="1275"/>
      <c r="H4778" s="1276" t="s">
        <v>198</v>
      </c>
      <c r="I4778" s="1275"/>
      <c r="J4778" s="302"/>
      <c r="K4778" s="302"/>
      <c r="N4778" s="198"/>
    </row>
    <row r="4779" spans="1:17" ht="22.5" x14ac:dyDescent="0.2">
      <c r="A4779" s="265" t="str">
        <f>VLOOKUP(B4779,mat.!$A:$D,2,FALSE)</f>
        <v>Areia suja jazida com carregamento mecânico</v>
      </c>
      <c r="B4779" s="238">
        <v>10111</v>
      </c>
      <c r="C4779" s="266" t="str">
        <f>VLOOKUP(B4779,mat.!$A:$D,3,FALSE)</f>
        <v>m3</v>
      </c>
      <c r="D4779" s="267">
        <f>VLOOKUP(B4779,mat.!$A:$D,4,FALSE)</f>
        <v>41.1</v>
      </c>
      <c r="E4779" s="260"/>
      <c r="F4779" s="258"/>
      <c r="G4779" s="300">
        <v>1</v>
      </c>
      <c r="H4779" s="260"/>
      <c r="I4779" s="268">
        <f>TRUNC(D4779*G4779,2)</f>
        <v>41.1</v>
      </c>
      <c r="J4779" s="302"/>
      <c r="K4779" s="302"/>
      <c r="N4779" s="198"/>
    </row>
    <row r="4780" spans="1:17" x14ac:dyDescent="0.2">
      <c r="A4780" s="199"/>
      <c r="B4780" s="233"/>
      <c r="C4780" s="199"/>
      <c r="D4780" s="199"/>
      <c r="E4780" s="199"/>
      <c r="F4780" s="234" t="s">
        <v>212</v>
      </c>
      <c r="G4780" s="244"/>
      <c r="H4780" s="245"/>
      <c r="I4780" s="434">
        <f>SUM(I4779:I4779)</f>
        <v>41.1</v>
      </c>
      <c r="N4780" s="198"/>
    </row>
    <row r="4781" spans="1:17" x14ac:dyDescent="0.2">
      <c r="A4781" s="199"/>
      <c r="B4781" s="233"/>
      <c r="C4781" s="199"/>
      <c r="D4781" s="199"/>
      <c r="E4781" s="199"/>
      <c r="F4781" s="199"/>
      <c r="G4781" s="269"/>
      <c r="H4781" s="199"/>
      <c r="I4781" s="200"/>
      <c r="J4781" s="451"/>
      <c r="K4781" s="451"/>
      <c r="L4781" s="198"/>
      <c r="M4781" s="198"/>
    </row>
    <row r="4782" spans="1:17" x14ac:dyDescent="0.2">
      <c r="A4782" s="467" t="s">
        <v>213</v>
      </c>
      <c r="B4782" s="468" t="s">
        <v>60</v>
      </c>
      <c r="C4782" s="468" t="s">
        <v>211</v>
      </c>
      <c r="D4782" s="869" t="s">
        <v>233</v>
      </c>
      <c r="E4782" s="1281" t="s">
        <v>91</v>
      </c>
      <c r="F4782" s="1282"/>
      <c r="G4782" s="1283"/>
      <c r="H4782" s="1284" t="s">
        <v>198</v>
      </c>
      <c r="I4782" s="1285"/>
    </row>
    <row r="4783" spans="1:17" x14ac:dyDescent="0.2">
      <c r="A4783" s="201"/>
      <c r="B4783" s="271"/>
      <c r="C4783" s="201"/>
      <c r="D4783" s="201"/>
      <c r="E4783" s="201"/>
      <c r="F4783" s="272" t="s">
        <v>214</v>
      </c>
      <c r="G4783" s="260"/>
      <c r="H4783" s="273"/>
      <c r="I4783" s="436"/>
    </row>
    <row r="4784" spans="1:17" x14ac:dyDescent="0.2">
      <c r="A4784" s="201"/>
      <c r="B4784" s="271"/>
      <c r="C4784" s="201"/>
      <c r="D4784" s="201"/>
      <c r="E4784" s="201"/>
      <c r="F4784" s="201"/>
      <c r="G4784" s="201"/>
      <c r="H4784" s="201"/>
      <c r="I4784" s="201"/>
    </row>
    <row r="4785" spans="1:15" x14ac:dyDescent="0.2">
      <c r="A4785" s="274" t="s">
        <v>215</v>
      </c>
      <c r="B4785" s="275" t="s">
        <v>60</v>
      </c>
      <c r="C4785" s="275" t="s">
        <v>211</v>
      </c>
      <c r="D4785" s="275" t="s">
        <v>216</v>
      </c>
      <c r="E4785" s="275" t="s">
        <v>217</v>
      </c>
      <c r="F4785" s="275" t="s">
        <v>218</v>
      </c>
      <c r="G4785" s="275" t="s">
        <v>96</v>
      </c>
      <c r="H4785" s="275" t="s">
        <v>91</v>
      </c>
      <c r="I4785" s="275" t="s">
        <v>219</v>
      </c>
    </row>
    <row r="4786" spans="1:15" ht="22.5" x14ac:dyDescent="0.2">
      <c r="A4786" s="265" t="str">
        <f>VLOOKUP(B4786,tranp.!A:D,2,FALSE)</f>
        <v>Transporte de areia suja jazida c/ carregamento mecânico</v>
      </c>
      <c r="B4786" s="238">
        <v>1093</v>
      </c>
      <c r="C4786" s="238" t="str">
        <f>VLOOKUP(B4786,tranp.!$A:$J,3,FALSE)</f>
        <v xml:space="preserve"> t  </v>
      </c>
      <c r="D4786" s="437" t="str">
        <f>VLOOKUP(B4786,tranp.!$A:$J,4,FALSE)</f>
        <v>0,681XP + 0,710XR + 2,841</v>
      </c>
      <c r="E4786" s="277">
        <f>VLOOKUP(J4786,Ocor.!$B:$F,4,FALSE)</f>
        <v>10</v>
      </c>
      <c r="F4786" s="277">
        <f>VLOOKUP(J4786,Ocor.!$B:$F,5,FALSE)</f>
        <v>5.6</v>
      </c>
      <c r="G4786" s="243">
        <f>TRUNC(VLOOKUP(B4786,tranp.!$A:$J,5,FALSE)*E4786+VLOOKUP(B4786,tranp.!$A:$J,6,FALSE)*F4786+VLOOKUP(B4786,tranp.!$A:$J,7,FALSE),2)</f>
        <v>13.62</v>
      </c>
      <c r="H4786" s="278">
        <v>1.5</v>
      </c>
      <c r="I4786" s="243">
        <f>TRUNC(G4786*H4786,2)</f>
        <v>20.43</v>
      </c>
      <c r="J4786" s="433" t="s">
        <v>115</v>
      </c>
    </row>
    <row r="4787" spans="1:15" x14ac:dyDescent="0.2">
      <c r="A4787" s="201"/>
      <c r="B4787" s="271"/>
      <c r="C4787" s="201"/>
      <c r="D4787" s="201"/>
      <c r="E4787" s="201"/>
      <c r="F4787" s="272" t="s">
        <v>220</v>
      </c>
      <c r="G4787" s="244"/>
      <c r="H4787" s="279"/>
      <c r="I4787" s="438">
        <f>SUM(I4786:I4786)</f>
        <v>20.43</v>
      </c>
    </row>
    <row r="4788" spans="1:15" x14ac:dyDescent="0.2">
      <c r="A4788" s="201"/>
      <c r="B4788" s="271"/>
      <c r="C4788" s="201"/>
      <c r="D4788" s="201"/>
      <c r="E4788" s="201"/>
      <c r="F4788" s="201"/>
      <c r="G4788" s="201"/>
      <c r="H4788" s="201"/>
      <c r="I4788" s="202"/>
    </row>
    <row r="4789" spans="1:15" x14ac:dyDescent="0.2">
      <c r="A4789" s="280"/>
      <c r="B4789" s="281"/>
      <c r="C4789" s="282"/>
      <c r="D4789" s="282"/>
      <c r="E4789" s="282"/>
      <c r="F4789" s="283" t="s">
        <v>221</v>
      </c>
      <c r="G4789" s="280"/>
      <c r="H4789" s="254"/>
      <c r="I4789" s="634">
        <f>+I4776+I4780+I4783+I4787</f>
        <v>66.959999999999994</v>
      </c>
    </row>
    <row r="4790" spans="1:15" x14ac:dyDescent="0.2">
      <c r="A4790" s="260"/>
      <c r="B4790" s="284"/>
      <c r="C4790" s="273"/>
      <c r="D4790" s="273"/>
      <c r="E4790" s="273"/>
      <c r="F4790" s="285" t="str">
        <f>CONCATENATE($H$3," ",$I$3)</f>
        <v>BDI: 23,32</v>
      </c>
      <c r="G4790" s="439"/>
      <c r="H4790" s="258"/>
      <c r="I4790" s="635">
        <f>+ROUND(I4789*$I$4,2)</f>
        <v>15.62</v>
      </c>
    </row>
    <row r="4791" spans="1:15" x14ac:dyDescent="0.2">
      <c r="A4791" s="244"/>
      <c r="B4791" s="286"/>
      <c r="C4791" s="279"/>
      <c r="D4791" s="279"/>
      <c r="E4791" s="279"/>
      <c r="F4791" s="287" t="s">
        <v>222</v>
      </c>
      <c r="G4791" s="440"/>
      <c r="H4791" s="245"/>
      <c r="I4791" s="1017">
        <f>+I4789+I4790</f>
        <v>82.58</v>
      </c>
    </row>
    <row r="4792" spans="1:15" x14ac:dyDescent="0.2">
      <c r="A4792" s="1277" t="str">
        <f>$A$1</f>
        <v>COMPOSIÇÃO DE CUSTOS UNITÁRIOS</v>
      </c>
      <c r="B4792" s="1277"/>
      <c r="C4792" s="1277"/>
      <c r="D4792" s="1277"/>
      <c r="E4792" s="1277"/>
      <c r="F4792" s="1277"/>
      <c r="G4792" s="1277"/>
      <c r="H4792" s="1277"/>
      <c r="I4792" s="1277"/>
    </row>
    <row r="4793" spans="1:15" x14ac:dyDescent="0.2">
      <c r="A4793" s="232" t="str">
        <f>$A$2</f>
        <v>Tabela Referencial de Preços - DER-ES</v>
      </c>
      <c r="B4793" s="233"/>
      <c r="C4793" s="199"/>
      <c r="D4793" s="199"/>
      <c r="E4793" s="199"/>
      <c r="F4793" s="199"/>
      <c r="G4793" s="199"/>
      <c r="H4793" s="199"/>
      <c r="I4793" s="234" t="str">
        <f>$I$2</f>
        <v>Data Base: Outubro/2018</v>
      </c>
      <c r="J4793" s="433">
        <v>40311</v>
      </c>
      <c r="K4793" s="433">
        <f>VLOOKUP("Preço Unitário Total",F4795:I5359,4,FALSE)</f>
        <v>111.22</v>
      </c>
      <c r="L4793" s="302" t="str">
        <f>VLOOKUP(J4793,'DER 10-18'!A:E,5,FALSE)</f>
        <v>A incluir</v>
      </c>
      <c r="M4793" s="302" t="str">
        <f>VLOOKUP(J4793,'DER 10-18'!$A:$D,2,FALSE)</f>
        <v>Formas planas de madeira com 01 (um) reaproveitamento, inclusive fornecimento e transporte das madeiras</v>
      </c>
    </row>
    <row r="4794" spans="1:15" x14ac:dyDescent="0.2">
      <c r="A4794" s="1278" t="str">
        <f>+CONCATENATE("Serviço: ",J4793," ",VLOOKUP(J4793,'DER 10-18'!$A:$D,2,FALSE))</f>
        <v>Serviço: 40311 Formas planas de madeira com 01 (um) reaproveitamento, inclusive fornecimento e transporte das madeiras</v>
      </c>
      <c r="B4794" s="1278"/>
      <c r="C4794" s="1278"/>
      <c r="D4794" s="1278"/>
      <c r="E4794" s="1278"/>
      <c r="F4794" s="1278"/>
      <c r="G4794" s="1278"/>
      <c r="H4794" s="1278"/>
      <c r="I4794" s="1278" t="str">
        <f>CONCATENATE("Unidade: ", VLOOKUP(J4793,'DER 10-18'!$A:$E,3,FALSE))</f>
        <v>Unidade: M2</v>
      </c>
      <c r="O4794" s="198"/>
    </row>
    <row r="4795" spans="1:15" x14ac:dyDescent="0.2">
      <c r="A4795" s="1279"/>
      <c r="B4795" s="1279"/>
      <c r="C4795" s="1279"/>
      <c r="D4795" s="1279"/>
      <c r="E4795" s="1279"/>
      <c r="F4795" s="1279"/>
      <c r="G4795" s="1279"/>
      <c r="H4795" s="1279"/>
      <c r="I4795" s="1279"/>
    </row>
    <row r="4796" spans="1:15" ht="22.5" x14ac:dyDescent="0.2">
      <c r="A4796" s="235" t="s">
        <v>192</v>
      </c>
      <c r="B4796" s="236" t="s">
        <v>60</v>
      </c>
      <c r="C4796" s="236" t="s">
        <v>193</v>
      </c>
      <c r="D4796" s="236" t="s">
        <v>194</v>
      </c>
      <c r="E4796" s="236" t="s">
        <v>195</v>
      </c>
      <c r="F4796" s="236" t="s">
        <v>196</v>
      </c>
      <c r="G4796" s="236" t="s">
        <v>197</v>
      </c>
      <c r="H4796" s="236" t="s">
        <v>91</v>
      </c>
      <c r="I4796" s="236" t="s">
        <v>198</v>
      </c>
    </row>
    <row r="4797" spans="1:15" x14ac:dyDescent="0.2">
      <c r="A4797" s="237" t="str">
        <f>VLOOKUP(B4797,equip.!$A:$G,2,FALSE)</f>
        <v>Serra circular (WEG) ou equivalente</v>
      </c>
      <c r="B4797" s="238">
        <v>30073</v>
      </c>
      <c r="C4797" s="239" t="str">
        <f>VLOOKUP(B4797,equip.!$A$1:$G$239,3,FALSE)</f>
        <v>M</v>
      </c>
      <c r="D4797" s="240">
        <v>0.35</v>
      </c>
      <c r="E4797" s="205">
        <v>0.65</v>
      </c>
      <c r="F4797" s="241">
        <f>VLOOKUP(B4797,equip.!$A:$G,6,FALSE)</f>
        <v>18.22</v>
      </c>
      <c r="G4797" s="241">
        <f>VLOOKUP(B4797,equip.!$A:$G,7,FALSE)</f>
        <v>14.81</v>
      </c>
      <c r="H4797" s="242">
        <v>1</v>
      </c>
      <c r="I4797" s="243">
        <f t="shared" ref="I4797" si="60">TRUNC(D4797*F4797*H4797+E4797*G4797*H4797,2)</f>
        <v>16</v>
      </c>
    </row>
    <row r="4798" spans="1:15" x14ac:dyDescent="0.2">
      <c r="A4798" s="199"/>
      <c r="B4798" s="233"/>
      <c r="C4798" s="233"/>
      <c r="D4798" s="199"/>
      <c r="E4798" s="199"/>
      <c r="F4798" s="234" t="s">
        <v>199</v>
      </c>
      <c r="G4798" s="244"/>
      <c r="H4798" s="245"/>
      <c r="I4798" s="434">
        <f>SUM(I4797:I4797)</f>
        <v>16</v>
      </c>
    </row>
    <row r="4799" spans="1:15" x14ac:dyDescent="0.2">
      <c r="A4799" s="199"/>
      <c r="B4799" s="233"/>
      <c r="C4799" s="233"/>
      <c r="D4799" s="199"/>
      <c r="E4799" s="199"/>
      <c r="F4799" s="199"/>
      <c r="G4799" s="199"/>
      <c r="H4799" s="199"/>
      <c r="I4799" s="200"/>
    </row>
    <row r="4800" spans="1:15" x14ac:dyDescent="0.2">
      <c r="A4800" s="246" t="s">
        <v>200</v>
      </c>
      <c r="B4800" s="247" t="s">
        <v>60</v>
      </c>
      <c r="C4800" s="236" t="s">
        <v>1242</v>
      </c>
      <c r="D4800" s="247" t="s">
        <v>202</v>
      </c>
      <c r="E4800" s="1271" t="s">
        <v>91</v>
      </c>
      <c r="F4800" s="1272"/>
      <c r="G4800" s="1273"/>
      <c r="H4800" s="1276" t="s">
        <v>198</v>
      </c>
      <c r="I4800" s="1275"/>
    </row>
    <row r="4801" spans="1:17" x14ac:dyDescent="0.2">
      <c r="A4801" s="248" t="str">
        <f>VLOOKUP(B4801,m.o.!$A:$H,2,FALSE)</f>
        <v>Carpinteiro de O.A.C.</v>
      </c>
      <c r="B4801" s="238">
        <v>20038</v>
      </c>
      <c r="C4801" s="243">
        <f>VLOOKUP(B4801,m.o.!$A:$F,4,FALSE)</f>
        <v>1.24</v>
      </c>
      <c r="D4801" s="243">
        <f>VLOOKUP(B4801,m.o.!$A:$G,7,FALSE)</f>
        <v>14.43</v>
      </c>
      <c r="E4801" s="260"/>
      <c r="F4801" s="258"/>
      <c r="G4801" s="300">
        <v>0.7</v>
      </c>
      <c r="H4801" s="244"/>
      <c r="I4801" s="249">
        <f>TRUNC(D4801*G4801,2)</f>
        <v>10.1</v>
      </c>
    </row>
    <row r="4802" spans="1:17" x14ac:dyDescent="0.2">
      <c r="A4802" s="248" t="str">
        <f>VLOOKUP(B4802,m.o.!$A:$H,2,FALSE)</f>
        <v>Operário braçal</v>
      </c>
      <c r="B4802" s="238">
        <v>20107</v>
      </c>
      <c r="C4802" s="243">
        <f>VLOOKUP(B4802,m.o.!$A:$F,4,FALSE)</f>
        <v>1.02</v>
      </c>
      <c r="D4802" s="243">
        <f>VLOOKUP(B4802,m.o.!$A:$G,7,FALSE)</f>
        <v>11.87</v>
      </c>
      <c r="E4802" s="260"/>
      <c r="F4802" s="258"/>
      <c r="G4802" s="300">
        <v>1.61</v>
      </c>
      <c r="H4802" s="244"/>
      <c r="I4802" s="249">
        <f>TRUNC(D4802*G4802,2)</f>
        <v>19.11</v>
      </c>
      <c r="J4802" s="302"/>
      <c r="K4802" s="302"/>
    </row>
    <row r="4803" spans="1:17" x14ac:dyDescent="0.2">
      <c r="A4803" s="199"/>
      <c r="B4803" s="233"/>
      <c r="C4803" s="233"/>
      <c r="D4803" s="199"/>
      <c r="E4803" s="199"/>
      <c r="F4803" s="234" t="s">
        <v>203</v>
      </c>
      <c r="G4803" s="244"/>
      <c r="H4803" s="245"/>
      <c r="I4803" s="434">
        <f>SUM(I4801:I4802)</f>
        <v>29.21</v>
      </c>
      <c r="J4803" s="302"/>
      <c r="K4803" s="302"/>
      <c r="P4803" s="198"/>
      <c r="Q4803" s="198"/>
    </row>
    <row r="4804" spans="1:17" x14ac:dyDescent="0.2">
      <c r="A4804" s="199"/>
      <c r="B4804" s="233"/>
      <c r="C4804" s="233"/>
      <c r="D4804" s="199"/>
      <c r="E4804" s="199"/>
      <c r="F4804" s="199"/>
      <c r="G4804" s="199"/>
      <c r="H4804" s="199"/>
      <c r="I4804" s="200"/>
      <c r="J4804" s="302"/>
      <c r="K4804" s="302"/>
      <c r="P4804" s="198"/>
      <c r="Q4804" s="198"/>
    </row>
    <row r="4805" spans="1:17" x14ac:dyDescent="0.2">
      <c r="A4805" s="250" t="s">
        <v>204</v>
      </c>
      <c r="B4805" s="247" t="s">
        <v>60</v>
      </c>
      <c r="C4805" s="866" t="s">
        <v>17</v>
      </c>
      <c r="D4805" s="247" t="s">
        <v>205</v>
      </c>
      <c r="E4805" s="247" t="s">
        <v>206</v>
      </c>
      <c r="F4805" s="247" t="s">
        <v>207</v>
      </c>
      <c r="G4805" s="1276" t="s">
        <v>96</v>
      </c>
      <c r="H4805" s="1274"/>
      <c r="I4805" s="1275"/>
      <c r="J4805" s="302"/>
      <c r="K4805" s="302"/>
    </row>
    <row r="4806" spans="1:17" x14ac:dyDescent="0.2">
      <c r="A4806" s="248" t="s">
        <v>142</v>
      </c>
      <c r="B4806" s="238">
        <v>2000</v>
      </c>
      <c r="C4806" s="243">
        <v>5</v>
      </c>
      <c r="D4806" s="239" t="s">
        <v>223</v>
      </c>
      <c r="E4806" s="251"/>
      <c r="F4806" s="251"/>
      <c r="G4806" s="244"/>
      <c r="H4806" s="245"/>
      <c r="I4806" s="249">
        <f>TRUNC(C4806/100*I4803,2)</f>
        <v>1.46</v>
      </c>
      <c r="J4806" s="302"/>
      <c r="K4806" s="302"/>
    </row>
    <row r="4807" spans="1:17" x14ac:dyDescent="0.2">
      <c r="A4807" s="199"/>
      <c r="B4807" s="233"/>
      <c r="C4807" s="199"/>
      <c r="D4807" s="199"/>
      <c r="E4807" s="199"/>
      <c r="F4807" s="234" t="s">
        <v>1170</v>
      </c>
      <c r="G4807" s="244"/>
      <c r="H4807" s="245"/>
      <c r="I4807" s="434">
        <f>SUM(I4806)</f>
        <v>1.46</v>
      </c>
      <c r="J4807" s="302"/>
      <c r="K4807" s="302"/>
    </row>
    <row r="4808" spans="1:17" x14ac:dyDescent="0.2">
      <c r="A4808" s="199"/>
      <c r="B4808" s="233"/>
      <c r="C4808" s="199"/>
      <c r="D4808" s="199"/>
      <c r="E4808" s="199"/>
      <c r="F4808" s="199"/>
      <c r="G4808" s="199"/>
      <c r="H4808" s="199"/>
      <c r="I4808" s="200"/>
      <c r="J4808" s="302"/>
      <c r="K4808" s="302"/>
    </row>
    <row r="4809" spans="1:17" x14ac:dyDescent="0.2">
      <c r="A4809" s="252"/>
      <c r="B4809" s="253"/>
      <c r="C4809" s="254"/>
      <c r="D4809" s="254"/>
      <c r="E4809" s="254"/>
      <c r="F4809" s="255" t="s">
        <v>208</v>
      </c>
      <c r="G4809" s="435"/>
      <c r="H4809" s="254"/>
      <c r="I4809" s="634">
        <f>+I4798+I4803+I4807</f>
        <v>46.67</v>
      </c>
      <c r="J4809" s="302"/>
      <c r="K4809" s="302"/>
    </row>
    <row r="4810" spans="1:17" x14ac:dyDescent="0.2">
      <c r="A4810" s="256"/>
      <c r="B4810" s="257"/>
      <c r="C4810" s="258"/>
      <c r="D4810" s="258"/>
      <c r="E4810" s="258"/>
      <c r="F4810" s="259" t="s">
        <v>209</v>
      </c>
      <c r="G4810" s="260"/>
      <c r="H4810" s="258"/>
      <c r="I4810" s="635">
        <v>1</v>
      </c>
      <c r="J4810" s="302"/>
      <c r="K4810" s="302"/>
    </row>
    <row r="4811" spans="1:17" x14ac:dyDescent="0.2">
      <c r="A4811" s="237"/>
      <c r="B4811" s="261"/>
      <c r="C4811" s="245"/>
      <c r="D4811" s="245"/>
      <c r="E4811" s="245"/>
      <c r="F4811" s="262" t="s">
        <v>232</v>
      </c>
      <c r="G4811" s="244"/>
      <c r="H4811" s="245"/>
      <c r="I4811" s="633">
        <f>TRUNC(I4809/I4810,2)</f>
        <v>46.67</v>
      </c>
      <c r="J4811" s="302"/>
      <c r="K4811" s="302"/>
    </row>
    <row r="4812" spans="1:17" x14ac:dyDescent="0.2">
      <c r="A4812" s="867"/>
      <c r="B4812" s="233"/>
      <c r="C4812" s="199"/>
      <c r="D4812" s="199"/>
      <c r="E4812" s="199"/>
      <c r="F4812" s="263"/>
      <c r="G4812" s="199"/>
      <c r="H4812" s="199"/>
      <c r="I4812" s="264"/>
      <c r="J4812" s="302"/>
      <c r="K4812" s="302"/>
    </row>
    <row r="4813" spans="1:17" x14ac:dyDescent="0.2">
      <c r="A4813" s="246" t="s">
        <v>210</v>
      </c>
      <c r="B4813" s="247" t="s">
        <v>60</v>
      </c>
      <c r="C4813" s="247" t="s">
        <v>211</v>
      </c>
      <c r="D4813" s="247" t="s">
        <v>233</v>
      </c>
      <c r="E4813" s="1276" t="s">
        <v>91</v>
      </c>
      <c r="F4813" s="1274"/>
      <c r="G4813" s="1275"/>
      <c r="H4813" s="1276" t="s">
        <v>198</v>
      </c>
      <c r="I4813" s="1275"/>
      <c r="J4813" s="302"/>
      <c r="K4813" s="302"/>
      <c r="N4813" s="198"/>
    </row>
    <row r="4814" spans="1:17" x14ac:dyDescent="0.2">
      <c r="A4814" s="265" t="str">
        <f>VLOOKUP(B4814,mat.!$A:$D,2,FALSE)</f>
        <v>Caibros 7 X 7 cm (pontalete)</v>
      </c>
      <c r="B4814" s="238">
        <v>10066</v>
      </c>
      <c r="C4814" s="266" t="str">
        <f>VLOOKUP(B4814,mat.!$A:$D,3,FALSE)</f>
        <v>M3</v>
      </c>
      <c r="D4814" s="267">
        <f>VLOOKUP(B4814,mat.!$A:$D,4,FALSE)</f>
        <v>1616</v>
      </c>
      <c r="E4814" s="260"/>
      <c r="F4814" s="258"/>
      <c r="G4814" s="300">
        <v>4.1999999999999997E-3</v>
      </c>
      <c r="H4814" s="260"/>
      <c r="I4814" s="268">
        <f t="shared" ref="I4814:I4816" si="61">TRUNC(D4814*G4814,2)</f>
        <v>6.78</v>
      </c>
      <c r="J4814" s="302"/>
      <c r="K4814" s="302"/>
      <c r="N4814" s="198"/>
    </row>
    <row r="4815" spans="1:17" x14ac:dyDescent="0.2">
      <c r="A4815" s="265" t="str">
        <f>VLOOKUP(B4815,mat.!$A:$D,2,FALSE)</f>
        <v>Prego 18 X 24</v>
      </c>
      <c r="B4815" s="238">
        <v>10135</v>
      </c>
      <c r="C4815" s="266" t="str">
        <f>VLOOKUP(B4815,mat.!$A:$D,3,FALSE)</f>
        <v>kg</v>
      </c>
      <c r="D4815" s="267">
        <f>VLOOKUP(B4815,mat.!$A:$D,4,FALSE)</f>
        <v>10.54</v>
      </c>
      <c r="E4815" s="260"/>
      <c r="F4815" s="258"/>
      <c r="G4815" s="300">
        <v>0.2</v>
      </c>
      <c r="H4815" s="260"/>
      <c r="I4815" s="268">
        <f t="shared" si="61"/>
        <v>2.1</v>
      </c>
      <c r="J4815" s="302"/>
      <c r="K4815" s="302"/>
      <c r="N4815" s="198"/>
    </row>
    <row r="4816" spans="1:17" x14ac:dyDescent="0.2">
      <c r="A4816" s="265" t="str">
        <f>VLOOKUP(B4816,mat.!$A:$D,2,FALSE)</f>
        <v>Sarrafo 10 X 2,5 cm</v>
      </c>
      <c r="B4816" s="238">
        <v>10067</v>
      </c>
      <c r="C4816" s="266" t="str">
        <f>VLOOKUP(B4816,mat.!$A:$D,3,FALSE)</f>
        <v>M3</v>
      </c>
      <c r="D4816" s="267">
        <f>VLOOKUP(B4816,mat.!$A:$D,4,FALSE)</f>
        <v>1012</v>
      </c>
      <c r="E4816" s="260"/>
      <c r="F4816" s="258"/>
      <c r="G4816" s="300">
        <v>3.0000000000000001E-3</v>
      </c>
      <c r="H4816" s="260"/>
      <c r="I4816" s="268">
        <f t="shared" si="61"/>
        <v>3.03</v>
      </c>
      <c r="J4816" s="302"/>
      <c r="K4816" s="302"/>
      <c r="N4816" s="198"/>
    </row>
    <row r="4817" spans="1:14" x14ac:dyDescent="0.2">
      <c r="A4817" s="265" t="str">
        <f>VLOOKUP(B4817,mat.!$A:$D,2,FALSE)</f>
        <v>Tábuas de 2,5 cm (Não Aparelhada)</v>
      </c>
      <c r="B4817" s="238">
        <v>10065</v>
      </c>
      <c r="C4817" s="266" t="str">
        <f>VLOOKUP(B4817,mat.!$A:$D,3,FALSE)</f>
        <v>M3</v>
      </c>
      <c r="D4817" s="267">
        <f>VLOOKUP(B4817,mat.!$A:$D,4,FALSE)</f>
        <v>1884</v>
      </c>
      <c r="E4817" s="260"/>
      <c r="F4817" s="258"/>
      <c r="G4817" s="300">
        <v>1.6500000000000001E-2</v>
      </c>
      <c r="H4817" s="260"/>
      <c r="I4817" s="268">
        <f>TRUNC(D4817*G4817,2)</f>
        <v>31.08</v>
      </c>
      <c r="J4817" s="302"/>
      <c r="K4817" s="302"/>
      <c r="N4817" s="198"/>
    </row>
    <row r="4818" spans="1:14" x14ac:dyDescent="0.2">
      <c r="A4818" s="199"/>
      <c r="B4818" s="233"/>
      <c r="C4818" s="199"/>
      <c r="D4818" s="199"/>
      <c r="E4818" s="199"/>
      <c r="F4818" s="234" t="s">
        <v>212</v>
      </c>
      <c r="G4818" s="244"/>
      <c r="H4818" s="245"/>
      <c r="I4818" s="434">
        <f>SUM(I4814:I4817)</f>
        <v>42.99</v>
      </c>
      <c r="N4818" s="198"/>
    </row>
    <row r="4819" spans="1:14" x14ac:dyDescent="0.2">
      <c r="A4819" s="199"/>
      <c r="B4819" s="233"/>
      <c r="C4819" s="199"/>
      <c r="D4819" s="199"/>
      <c r="E4819" s="199"/>
      <c r="F4819" s="199"/>
      <c r="G4819" s="269"/>
      <c r="H4819" s="199"/>
      <c r="I4819" s="200"/>
      <c r="J4819" s="451"/>
      <c r="K4819" s="451"/>
      <c r="L4819" s="198"/>
      <c r="M4819" s="198"/>
    </row>
    <row r="4820" spans="1:14" x14ac:dyDescent="0.2">
      <c r="A4820" s="467" t="s">
        <v>213</v>
      </c>
      <c r="B4820" s="468" t="s">
        <v>60</v>
      </c>
      <c r="C4820" s="468" t="s">
        <v>211</v>
      </c>
      <c r="D4820" s="869" t="s">
        <v>233</v>
      </c>
      <c r="E4820" s="1281" t="s">
        <v>91</v>
      </c>
      <c r="F4820" s="1282"/>
      <c r="G4820" s="1283"/>
      <c r="H4820" s="1284" t="s">
        <v>198</v>
      </c>
      <c r="I4820" s="1285"/>
    </row>
    <row r="4821" spans="1:14" x14ac:dyDescent="0.2">
      <c r="A4821" s="201"/>
      <c r="B4821" s="271"/>
      <c r="C4821" s="201"/>
      <c r="D4821" s="201"/>
      <c r="E4821" s="201"/>
      <c r="F4821" s="272" t="s">
        <v>214</v>
      </c>
      <c r="G4821" s="260"/>
      <c r="H4821" s="273"/>
      <c r="I4821" s="436"/>
    </row>
    <row r="4822" spans="1:14" x14ac:dyDescent="0.2">
      <c r="A4822" s="201"/>
      <c r="B4822" s="271"/>
      <c r="C4822" s="201"/>
      <c r="D4822" s="201"/>
      <c r="E4822" s="201"/>
      <c r="F4822" s="201"/>
      <c r="G4822" s="201"/>
      <c r="H4822" s="201"/>
      <c r="I4822" s="201"/>
    </row>
    <row r="4823" spans="1:14" x14ac:dyDescent="0.2">
      <c r="A4823" s="274" t="s">
        <v>215</v>
      </c>
      <c r="B4823" s="275" t="s">
        <v>60</v>
      </c>
      <c r="C4823" s="275" t="s">
        <v>211</v>
      </c>
      <c r="D4823" s="275" t="s">
        <v>216</v>
      </c>
      <c r="E4823" s="275" t="s">
        <v>217</v>
      </c>
      <c r="F4823" s="275" t="s">
        <v>218</v>
      </c>
      <c r="G4823" s="275" t="s">
        <v>96</v>
      </c>
      <c r="H4823" s="275" t="s">
        <v>91</v>
      </c>
      <c r="I4823" s="275" t="s">
        <v>219</v>
      </c>
    </row>
    <row r="4824" spans="1:14" ht="22.5" x14ac:dyDescent="0.2">
      <c r="A4824" s="265" t="str">
        <f>VLOOKUP(B4824,tranp.!A:D,2,FALSE)</f>
        <v>Transporte de Caibros 8 X 8 cm (pontalete)</v>
      </c>
      <c r="B4824" s="238">
        <v>1095</v>
      </c>
      <c r="C4824" s="238" t="str">
        <f>VLOOKUP(B4824,tranp.!$A:$J,3,FALSE)</f>
        <v xml:space="preserve"> t  </v>
      </c>
      <c r="D4824" s="437" t="str">
        <f>VLOOKUP(B4824,tranp.!$A:$J,4,FALSE)</f>
        <v>0,676XP + 0,703XR</v>
      </c>
      <c r="E4824" s="277">
        <f>VLOOKUP(J4824,Ocor.!$B:$F,4,FALSE)</f>
        <v>37.200000000000003</v>
      </c>
      <c r="F4824" s="277">
        <f>VLOOKUP(J4824,Ocor.!$B:$F,5,FALSE)</f>
        <v>5.6</v>
      </c>
      <c r="G4824" s="243">
        <f>TRUNC(VLOOKUP(B4824,tranp.!$A:$J,5,FALSE)*E4824+VLOOKUP(B4824,tranp.!$A:$J,6,FALSE)*F4824+VLOOKUP(B4824,tranp.!$A:$J,7,FALSE),2)</f>
        <v>29.08</v>
      </c>
      <c r="H4824" s="278">
        <v>3.3E-3</v>
      </c>
      <c r="I4824" s="243">
        <f t="shared" ref="I4824:I4825" si="62">TRUNC(G4824*H4824,2)</f>
        <v>0.09</v>
      </c>
      <c r="J4824" s="433" t="s">
        <v>121</v>
      </c>
    </row>
    <row r="4825" spans="1:14" x14ac:dyDescent="0.2">
      <c r="A4825" s="265" t="str">
        <f>VLOOKUP(B4825,tranp.!A:D,2,FALSE)</f>
        <v>Transporte de Sarrafo 10 X 2,5 cm</v>
      </c>
      <c r="B4825" s="238">
        <v>1096</v>
      </c>
      <c r="C4825" s="238" t="str">
        <f>VLOOKUP(B4825,tranp.!$A:$J,3,FALSE)</f>
        <v xml:space="preserve"> t  </v>
      </c>
      <c r="D4825" s="437" t="str">
        <f>VLOOKUP(B4825,tranp.!$A:$J,4,FALSE)</f>
        <v>0,676XP + 0,703XR</v>
      </c>
      <c r="E4825" s="277">
        <f>VLOOKUP(J4825,Ocor.!$B:$F,4,FALSE)</f>
        <v>37.200000000000003</v>
      </c>
      <c r="F4825" s="277">
        <f>VLOOKUP(J4825,Ocor.!$B:$F,5,FALSE)</f>
        <v>5.6</v>
      </c>
      <c r="G4825" s="243">
        <f>TRUNC(VLOOKUP(B4825,tranp.!$A:$J,5,FALSE)*E4825+VLOOKUP(B4825,tranp.!$A:$J,6,FALSE)*F4825+VLOOKUP(B4825,tranp.!$A:$J,7,FALSE),2)</f>
        <v>29.08</v>
      </c>
      <c r="H4825" s="278">
        <v>2.3999999999999998E-3</v>
      </c>
      <c r="I4825" s="243">
        <f t="shared" si="62"/>
        <v>0.06</v>
      </c>
      <c r="J4825" s="433" t="s">
        <v>121</v>
      </c>
    </row>
    <row r="4826" spans="1:14" x14ac:dyDescent="0.2">
      <c r="A4826" s="265" t="str">
        <f>VLOOKUP(B4826,tranp.!A:D,2,FALSE)</f>
        <v>Transporte de Tábuas de 2,5 cm</v>
      </c>
      <c r="B4826" s="238">
        <v>1094</v>
      </c>
      <c r="C4826" s="238" t="str">
        <f>VLOOKUP(B4826,tranp.!$A:$J,3,FALSE)</f>
        <v xml:space="preserve"> t  </v>
      </c>
      <c r="D4826" s="437" t="str">
        <f>VLOOKUP(B4826,tranp.!$A:$J,4,FALSE)</f>
        <v>0,676XP + 0,703XR</v>
      </c>
      <c r="E4826" s="277">
        <f>VLOOKUP(J4826,Ocor.!$B:$F,4,FALSE)</f>
        <v>37.200000000000003</v>
      </c>
      <c r="F4826" s="277">
        <f>VLOOKUP(J4826,Ocor.!$B:$F,5,FALSE)</f>
        <v>5.6</v>
      </c>
      <c r="G4826" s="243">
        <f>TRUNC(VLOOKUP(B4826,tranp.!$A:$J,5,FALSE)*E4826+VLOOKUP(B4826,tranp.!$A:$J,6,FALSE)*F4826+VLOOKUP(B4826,tranp.!$A:$J,7,FALSE),2)</f>
        <v>29.08</v>
      </c>
      <c r="H4826" s="278">
        <v>1.32E-2</v>
      </c>
      <c r="I4826" s="243">
        <f>TRUNC(G4826*H4826,2)</f>
        <v>0.38</v>
      </c>
      <c r="J4826" s="433" t="s">
        <v>121</v>
      </c>
    </row>
    <row r="4827" spans="1:14" x14ac:dyDescent="0.2">
      <c r="A4827" s="201"/>
      <c r="B4827" s="271"/>
      <c r="C4827" s="201"/>
      <c r="D4827" s="201"/>
      <c r="E4827" s="201"/>
      <c r="F4827" s="272" t="s">
        <v>220</v>
      </c>
      <c r="G4827" s="244"/>
      <c r="H4827" s="279"/>
      <c r="I4827" s="438">
        <f>SUM(I4824:I4826)</f>
        <v>0.53</v>
      </c>
    </row>
    <row r="4828" spans="1:14" x14ac:dyDescent="0.2">
      <c r="A4828" s="201"/>
      <c r="B4828" s="271"/>
      <c r="C4828" s="201"/>
      <c r="D4828" s="201"/>
      <c r="E4828" s="201"/>
      <c r="F4828" s="201"/>
      <c r="G4828" s="201"/>
      <c r="H4828" s="201"/>
      <c r="I4828" s="202"/>
    </row>
    <row r="4829" spans="1:14" x14ac:dyDescent="0.2">
      <c r="A4829" s="280"/>
      <c r="B4829" s="281"/>
      <c r="C4829" s="282"/>
      <c r="D4829" s="282"/>
      <c r="E4829" s="282"/>
      <c r="F4829" s="283" t="s">
        <v>221</v>
      </c>
      <c r="G4829" s="280"/>
      <c r="H4829" s="254"/>
      <c r="I4829" s="634">
        <f>+I4811+I4818+I4821+I4827</f>
        <v>90.19</v>
      </c>
    </row>
    <row r="4830" spans="1:14" x14ac:dyDescent="0.2">
      <c r="A4830" s="260"/>
      <c r="B4830" s="284"/>
      <c r="C4830" s="273"/>
      <c r="D4830" s="273"/>
      <c r="E4830" s="273"/>
      <c r="F4830" s="285" t="str">
        <f>CONCATENATE($H$3," ",$I$3)</f>
        <v>BDI: 23,32</v>
      </c>
      <c r="G4830" s="439"/>
      <c r="H4830" s="258"/>
      <c r="I4830" s="635">
        <f>+ROUND(I4829*$I$4,2)</f>
        <v>21.03</v>
      </c>
    </row>
    <row r="4831" spans="1:14" x14ac:dyDescent="0.2">
      <c r="A4831" s="244"/>
      <c r="B4831" s="286"/>
      <c r="C4831" s="279"/>
      <c r="D4831" s="279"/>
      <c r="E4831" s="279"/>
      <c r="F4831" s="287" t="s">
        <v>222</v>
      </c>
      <c r="G4831" s="440"/>
      <c r="H4831" s="245"/>
      <c r="I4831" s="1017">
        <f>+I4829+I4830</f>
        <v>111.22</v>
      </c>
    </row>
    <row r="4832" spans="1:14" x14ac:dyDescent="0.2">
      <c r="A4832" s="1280" t="str">
        <f>$A$1</f>
        <v>COMPOSIÇÃO DE CUSTOS UNITÁRIOS</v>
      </c>
      <c r="B4832" s="1280"/>
      <c r="C4832" s="1280"/>
      <c r="D4832" s="1280"/>
      <c r="E4832" s="1280"/>
      <c r="F4832" s="1280"/>
      <c r="G4832" s="1280"/>
      <c r="H4832" s="1280"/>
      <c r="I4832" s="1280"/>
    </row>
    <row r="4833" spans="1:13" x14ac:dyDescent="0.2">
      <c r="A4833" s="232" t="str">
        <f>$A$2</f>
        <v>Tabela Referencial de Preços - DER-ES</v>
      </c>
      <c r="B4833" s="233"/>
      <c r="C4833" s="199"/>
      <c r="D4833" s="199"/>
      <c r="E4833" s="199"/>
      <c r="F4833" s="199"/>
      <c r="G4833" s="199"/>
      <c r="H4833" s="199"/>
      <c r="I4833" s="234" t="str">
        <f>$I$2</f>
        <v>Data Base: Outubro/2018</v>
      </c>
    </row>
    <row r="4834" spans="1:13" x14ac:dyDescent="0.2">
      <c r="A4834" s="1278" t="str">
        <f>+CONCATENATE("Serviço: ",J4834," ",VLOOKUP(J4834,'DER 10-18'!$A:$D,2,FALSE))</f>
        <v>Serviço: 42475 Concreto estrutural fck = 10,0 MPa, inclusive transportes areia, cimento e pedra britada</v>
      </c>
      <c r="B4834" s="1278"/>
      <c r="C4834" s="1278"/>
      <c r="D4834" s="1278"/>
      <c r="E4834" s="1278"/>
      <c r="F4834" s="1278"/>
      <c r="G4834" s="1278"/>
      <c r="H4834" s="1278"/>
      <c r="I4834" s="1278" t="str">
        <f>CONCATENATE("Unidade: ", VLOOKUP(J4834,'DER 10-18'!$A:$E,3,FALSE))</f>
        <v>Unidade: M3</v>
      </c>
      <c r="J4834" s="433">
        <v>42475</v>
      </c>
      <c r="K4834" s="433">
        <f>VLOOKUP("Preço Unitário Total",F4835:I5120,4,FALSE)</f>
        <v>603.48</v>
      </c>
      <c r="L4834" s="302" t="str">
        <f>VLOOKUP(J4834,'DER 10-18'!A:E,5,FALSE)</f>
        <v>A incluir</v>
      </c>
      <c r="M4834" s="302" t="str">
        <f>VLOOKUP(J4834,'DER 10-18'!$A:$D,2,FALSE)</f>
        <v>Concreto estrutural fck = 10,0 MPa, inclusive transportes areia, cimento e pedra britada</v>
      </c>
    </row>
    <row r="4835" spans="1:13" x14ac:dyDescent="0.2">
      <c r="A4835" s="1279"/>
      <c r="B4835" s="1279"/>
      <c r="C4835" s="1279"/>
      <c r="D4835" s="1279"/>
      <c r="E4835" s="1279"/>
      <c r="F4835" s="1279"/>
      <c r="G4835" s="1279"/>
      <c r="H4835" s="1279"/>
      <c r="I4835" s="1279"/>
    </row>
    <row r="4836" spans="1:13" ht="22.5" x14ac:dyDescent="0.2">
      <c r="A4836" s="235" t="s">
        <v>192</v>
      </c>
      <c r="B4836" s="236" t="s">
        <v>60</v>
      </c>
      <c r="C4836" s="236" t="s">
        <v>193</v>
      </c>
      <c r="D4836" s="236" t="s">
        <v>194</v>
      </c>
      <c r="E4836" s="236" t="s">
        <v>195</v>
      </c>
      <c r="F4836" s="236" t="s">
        <v>196</v>
      </c>
      <c r="G4836" s="236" t="s">
        <v>197</v>
      </c>
      <c r="H4836" s="236" t="s">
        <v>91</v>
      </c>
      <c r="I4836" s="236" t="s">
        <v>198</v>
      </c>
    </row>
    <row r="4837" spans="1:13" ht="22.5" x14ac:dyDescent="0.2">
      <c r="A4837" s="237" t="str">
        <f>VLOOKUP(B4837,equip.!$A:$G,2,FALSE)</f>
        <v>Betoneira 600 l com carregador (elétrica)</v>
      </c>
      <c r="B4837" s="238">
        <v>30070</v>
      </c>
      <c r="C4837" s="239">
        <f>VLOOKUP(B4837,equip.!$A$1:$G$240,3,FALSE)</f>
        <v>0</v>
      </c>
      <c r="D4837" s="240">
        <v>1</v>
      </c>
      <c r="E4837" s="205">
        <v>0</v>
      </c>
      <c r="F4837" s="241">
        <f>VLOOKUP(B4837,equip.!$A:$G,6,FALSE)</f>
        <v>24.55</v>
      </c>
      <c r="G4837" s="241">
        <f>VLOOKUP(B4837,equip.!$A:$G,7,FALSE)</f>
        <v>19.8</v>
      </c>
      <c r="H4837" s="242">
        <v>1</v>
      </c>
      <c r="I4837" s="243">
        <f>TRUNC(D4837*F4837*H4837+E4837*G4837*H4837,2)</f>
        <v>24.55</v>
      </c>
    </row>
    <row r="4838" spans="1:13" x14ac:dyDescent="0.2">
      <c r="A4838" s="237" t="str">
        <f>VLOOKUP(B4838,equip.!$A:$G,2,FALSE)</f>
        <v>Carrinho de mão</v>
      </c>
      <c r="B4838" s="238">
        <v>30076</v>
      </c>
      <c r="C4838" s="239">
        <f>VLOOKUP(B4838,equip.!$A$1:$G$240,3,FALSE)</f>
        <v>0</v>
      </c>
      <c r="D4838" s="240">
        <v>1</v>
      </c>
      <c r="E4838" s="205">
        <v>0</v>
      </c>
      <c r="F4838" s="241">
        <f>VLOOKUP(B4838,equip.!$A:$G,6,FALSE)</f>
        <v>0.18</v>
      </c>
      <c r="G4838" s="241">
        <f>VLOOKUP(B4838,equip.!$A:$G,7,FALSE)</f>
        <v>0.12</v>
      </c>
      <c r="H4838" s="242">
        <v>3</v>
      </c>
      <c r="I4838" s="243">
        <f>TRUNC(D4838*F4838*H4838+E4838*G4838*H4838,2)</f>
        <v>0.54</v>
      </c>
    </row>
    <row r="4839" spans="1:13" ht="33.75" x14ac:dyDescent="0.2">
      <c r="A4839" s="237" t="str">
        <f>VLOOKUP(B4839,equip.!$A:$G,2,FALSE)</f>
        <v>Vibrador de imersao AA67 c/ mangote, marca de referência ATLAS COPCO ou equivalente</v>
      </c>
      <c r="B4839" s="238">
        <v>30071</v>
      </c>
      <c r="C4839" s="239">
        <f>VLOOKUP(B4839,equip.!$A$1:$G$240,3,FALSE)</f>
        <v>0</v>
      </c>
      <c r="D4839" s="240">
        <v>1</v>
      </c>
      <c r="E4839" s="205">
        <v>0</v>
      </c>
      <c r="F4839" s="241">
        <f>VLOOKUP(B4839,equip.!$A:$G,6,FALSE)</f>
        <v>15.14</v>
      </c>
      <c r="G4839" s="241">
        <f>VLOOKUP(B4839,equip.!$A:$G,7,FALSE)</f>
        <v>12.3</v>
      </c>
      <c r="H4839" s="242">
        <v>2</v>
      </c>
      <c r="I4839" s="243">
        <f>TRUNC(D4839*F4839*H4839+E4839*G4839*H4839,2)</f>
        <v>30.28</v>
      </c>
      <c r="J4839" s="302"/>
      <c r="K4839" s="302"/>
    </row>
    <row r="4840" spans="1:13" x14ac:dyDescent="0.2">
      <c r="A4840" s="199"/>
      <c r="B4840" s="233"/>
      <c r="C4840" s="233"/>
      <c r="D4840" s="199"/>
      <c r="E4840" s="199"/>
      <c r="F4840" s="234" t="s">
        <v>199</v>
      </c>
      <c r="G4840" s="244"/>
      <c r="H4840" s="245"/>
      <c r="I4840" s="434">
        <f>SUM(I4837:I4839)</f>
        <v>55.37</v>
      </c>
      <c r="J4840" s="302"/>
      <c r="K4840" s="302"/>
    </row>
    <row r="4841" spans="1:13" x14ac:dyDescent="0.2">
      <c r="A4841" s="199"/>
      <c r="B4841" s="233"/>
      <c r="C4841" s="233"/>
      <c r="D4841" s="199"/>
      <c r="E4841" s="199"/>
      <c r="F4841" s="199"/>
      <c r="G4841" s="199"/>
      <c r="H4841" s="199"/>
      <c r="I4841" s="200"/>
      <c r="J4841" s="302"/>
      <c r="K4841" s="302"/>
    </row>
    <row r="4842" spans="1:13" x14ac:dyDescent="0.2">
      <c r="A4842" s="246" t="s">
        <v>200</v>
      </c>
      <c r="B4842" s="247" t="s">
        <v>60</v>
      </c>
      <c r="C4842" s="236" t="s">
        <v>1242</v>
      </c>
      <c r="D4842" s="247" t="s">
        <v>202</v>
      </c>
      <c r="E4842" s="1276" t="s">
        <v>91</v>
      </c>
      <c r="F4842" s="1274"/>
      <c r="G4842" s="1275"/>
      <c r="H4842" s="1276" t="s">
        <v>198</v>
      </c>
      <c r="I4842" s="1275"/>
      <c r="J4842" s="302"/>
      <c r="K4842" s="302"/>
    </row>
    <row r="4843" spans="1:13" x14ac:dyDescent="0.2">
      <c r="A4843" s="248" t="str">
        <f>VLOOKUP(B4843,m.o.!$A:$H,2,FALSE)</f>
        <v>Encarregado de O.A.C.</v>
      </c>
      <c r="B4843" s="238">
        <v>20060</v>
      </c>
      <c r="C4843" s="243">
        <f>VLOOKUP(B4843,m.o.!$A:$F,4,FALSE)</f>
        <v>2.2599999999999998</v>
      </c>
      <c r="D4843" s="243">
        <f>VLOOKUP(B4843,m.o.!$A:$G,7,FALSE)</f>
        <v>26.3</v>
      </c>
      <c r="E4843" s="260"/>
      <c r="F4843" s="258"/>
      <c r="G4843" s="300">
        <v>1</v>
      </c>
      <c r="H4843" s="244"/>
      <c r="I4843" s="249">
        <f>TRUNC(D4843*G4843,2)</f>
        <v>26.3</v>
      </c>
      <c r="J4843" s="302"/>
      <c r="K4843" s="302"/>
    </row>
    <row r="4844" spans="1:13" x14ac:dyDescent="0.2">
      <c r="A4844" s="248" t="str">
        <f>VLOOKUP(B4844,m.o.!$A:$H,2,FALSE)</f>
        <v>Operário braçal</v>
      </c>
      <c r="B4844" s="238">
        <v>20107</v>
      </c>
      <c r="C4844" s="243">
        <f>VLOOKUP(B4844,m.o.!$A:$F,4,FALSE)</f>
        <v>1.02</v>
      </c>
      <c r="D4844" s="243">
        <f>VLOOKUP(B4844,m.o.!$A:$G,7,FALSE)</f>
        <v>11.87</v>
      </c>
      <c r="E4844" s="244"/>
      <c r="F4844" s="245"/>
      <c r="G4844" s="441">
        <v>10</v>
      </c>
      <c r="H4844" s="244"/>
      <c r="I4844" s="249">
        <f>TRUNC(D4844*G4844,2)</f>
        <v>118.7</v>
      </c>
      <c r="J4844" s="302"/>
      <c r="K4844" s="302"/>
    </row>
    <row r="4845" spans="1:13" x14ac:dyDescent="0.2">
      <c r="A4845" s="265" t="str">
        <f>VLOOKUP(B4845,m.o.!$A:$H,2,FALSE)</f>
        <v>Pedreiro de O.A.C.</v>
      </c>
      <c r="B4845" s="238">
        <v>20109</v>
      </c>
      <c r="C4845" s="267">
        <f>VLOOKUP(B4845,m.o.!$A:$F,4,FALSE)</f>
        <v>1.24</v>
      </c>
      <c r="D4845" s="267">
        <f>VLOOKUP(B4845,m.o.!$A:$G,7,FALSE)</f>
        <v>14.43</v>
      </c>
      <c r="E4845" s="260"/>
      <c r="F4845" s="258"/>
      <c r="G4845" s="441">
        <v>2</v>
      </c>
      <c r="H4845" s="260"/>
      <c r="I4845" s="268">
        <f>TRUNC(D4845*G4845,2)</f>
        <v>28.86</v>
      </c>
      <c r="J4845" s="302"/>
      <c r="K4845" s="302"/>
    </row>
    <row r="4846" spans="1:13" x14ac:dyDescent="0.2">
      <c r="A4846" s="199"/>
      <c r="B4846" s="233"/>
      <c r="C4846" s="233"/>
      <c r="D4846" s="199"/>
      <c r="E4846" s="199"/>
      <c r="F4846" s="234" t="s">
        <v>203</v>
      </c>
      <c r="G4846" s="244"/>
      <c r="H4846" s="245"/>
      <c r="I4846" s="434">
        <f>SUM(I4843:I4845)</f>
        <v>173.86</v>
      </c>
      <c r="J4846" s="302"/>
      <c r="K4846" s="302"/>
    </row>
    <row r="4847" spans="1:13" x14ac:dyDescent="0.2">
      <c r="A4847" s="199"/>
      <c r="B4847" s="233"/>
      <c r="C4847" s="233"/>
      <c r="D4847" s="199"/>
      <c r="E4847" s="199"/>
      <c r="F4847" s="199"/>
      <c r="G4847" s="199"/>
      <c r="H4847" s="199"/>
      <c r="I4847" s="200"/>
      <c r="J4847" s="302"/>
      <c r="K4847" s="302"/>
    </row>
    <row r="4848" spans="1:13" x14ac:dyDescent="0.2">
      <c r="A4848" s="250" t="s">
        <v>204</v>
      </c>
      <c r="B4848" s="247" t="s">
        <v>60</v>
      </c>
      <c r="C4848" s="866" t="s">
        <v>17</v>
      </c>
      <c r="D4848" s="247" t="s">
        <v>205</v>
      </c>
      <c r="E4848" s="247" t="s">
        <v>206</v>
      </c>
      <c r="F4848" s="247" t="s">
        <v>207</v>
      </c>
      <c r="G4848" s="1276" t="s">
        <v>96</v>
      </c>
      <c r="H4848" s="1274"/>
      <c r="I4848" s="1275"/>
      <c r="J4848" s="302"/>
      <c r="K4848" s="302"/>
    </row>
    <row r="4849" spans="1:11" x14ac:dyDescent="0.2">
      <c r="A4849" s="248" t="s">
        <v>142</v>
      </c>
      <c r="B4849" s="238">
        <v>2000</v>
      </c>
      <c r="C4849" s="243">
        <v>5</v>
      </c>
      <c r="D4849" s="239" t="s">
        <v>223</v>
      </c>
      <c r="E4849" s="251"/>
      <c r="F4849" s="251"/>
      <c r="G4849" s="244"/>
      <c r="H4849" s="245"/>
      <c r="I4849" s="249">
        <f>TRUNC(C4849/100*I4846,2)</f>
        <v>8.69</v>
      </c>
      <c r="J4849" s="302"/>
      <c r="K4849" s="302"/>
    </row>
    <row r="4850" spans="1:11" x14ac:dyDescent="0.2">
      <c r="A4850" s="199"/>
      <c r="B4850" s="233"/>
      <c r="C4850" s="199"/>
      <c r="D4850" s="199"/>
      <c r="E4850" s="199"/>
      <c r="F4850" s="234" t="s">
        <v>1170</v>
      </c>
      <c r="G4850" s="244"/>
      <c r="H4850" s="245"/>
      <c r="I4850" s="434">
        <f>SUM(I4849)</f>
        <v>8.69</v>
      </c>
      <c r="J4850" s="302"/>
      <c r="K4850" s="302"/>
    </row>
    <row r="4851" spans="1:11" x14ac:dyDescent="0.2">
      <c r="A4851" s="199"/>
      <c r="B4851" s="233"/>
      <c r="C4851" s="199"/>
      <c r="D4851" s="199"/>
      <c r="E4851" s="199"/>
      <c r="F4851" s="199"/>
      <c r="G4851" s="199"/>
      <c r="H4851" s="199"/>
      <c r="I4851" s="200"/>
      <c r="J4851" s="302"/>
      <c r="K4851" s="302"/>
    </row>
    <row r="4852" spans="1:11" x14ac:dyDescent="0.2">
      <c r="A4852" s="252"/>
      <c r="B4852" s="253"/>
      <c r="C4852" s="254"/>
      <c r="D4852" s="254"/>
      <c r="E4852" s="254"/>
      <c r="F4852" s="255" t="s">
        <v>208</v>
      </c>
      <c r="G4852" s="435"/>
      <c r="H4852" s="254"/>
      <c r="I4852" s="634">
        <f>+I4840+I4846+I4850</f>
        <v>237.92</v>
      </c>
      <c r="J4852" s="302"/>
      <c r="K4852" s="302"/>
    </row>
    <row r="4853" spans="1:11" x14ac:dyDescent="0.2">
      <c r="A4853" s="256"/>
      <c r="B4853" s="257"/>
      <c r="C4853" s="258"/>
      <c r="D4853" s="258"/>
      <c r="E4853" s="258"/>
      <c r="F4853" s="259" t="s">
        <v>209</v>
      </c>
      <c r="G4853" s="260"/>
      <c r="H4853" s="258"/>
      <c r="I4853" s="635">
        <v>1</v>
      </c>
      <c r="J4853" s="302"/>
      <c r="K4853" s="302"/>
    </row>
    <row r="4854" spans="1:11" x14ac:dyDescent="0.2">
      <c r="A4854" s="237"/>
      <c r="B4854" s="261"/>
      <c r="C4854" s="245"/>
      <c r="D4854" s="245"/>
      <c r="E4854" s="245"/>
      <c r="F4854" s="262" t="s">
        <v>232</v>
      </c>
      <c r="G4854" s="244"/>
      <c r="H4854" s="245"/>
      <c r="I4854" s="633">
        <f>TRUNC(I4852/I4853,2)</f>
        <v>237.92</v>
      </c>
      <c r="J4854" s="302"/>
      <c r="K4854" s="302"/>
    </row>
    <row r="4855" spans="1:11" x14ac:dyDescent="0.2">
      <c r="A4855" s="867"/>
      <c r="B4855" s="233"/>
      <c r="C4855" s="199"/>
      <c r="D4855" s="199"/>
      <c r="E4855" s="199"/>
      <c r="F4855" s="263"/>
      <c r="G4855" s="199"/>
      <c r="H4855" s="199"/>
      <c r="I4855" s="264"/>
      <c r="K4855" s="302"/>
    </row>
    <row r="4856" spans="1:11" x14ac:dyDescent="0.2">
      <c r="A4856" s="246" t="s">
        <v>210</v>
      </c>
      <c r="B4856" s="247" t="s">
        <v>60</v>
      </c>
      <c r="C4856" s="247" t="s">
        <v>211</v>
      </c>
      <c r="D4856" s="247" t="s">
        <v>233</v>
      </c>
      <c r="E4856" s="1276" t="s">
        <v>91</v>
      </c>
      <c r="F4856" s="1274"/>
      <c r="G4856" s="1275"/>
      <c r="H4856" s="1276" t="s">
        <v>198</v>
      </c>
      <c r="I4856" s="1275"/>
      <c r="K4856" s="302"/>
    </row>
    <row r="4857" spans="1:11" ht="22.5" x14ac:dyDescent="0.2">
      <c r="A4857" s="265" t="str">
        <f>VLOOKUP(B4857,mat.!$A:$D,2,FALSE)</f>
        <v>Areia grossa jazida com carregamento mecânico</v>
      </c>
      <c r="B4857" s="238">
        <v>10109</v>
      </c>
      <c r="C4857" s="266" t="str">
        <f>VLOOKUP(B4857,mat.!$A:$D,3,FALSE)</f>
        <v>m3</v>
      </c>
      <c r="D4857" s="267">
        <f>VLOOKUP(B4857,mat.!$A:$D,4,FALSE)</f>
        <v>64.22</v>
      </c>
      <c r="E4857" s="260"/>
      <c r="F4857" s="258"/>
      <c r="G4857" s="300">
        <v>0.69</v>
      </c>
      <c r="H4857" s="260"/>
      <c r="I4857" s="268">
        <f>TRUNC(D4857*G4857,2)</f>
        <v>44.31</v>
      </c>
      <c r="K4857" s="302"/>
    </row>
    <row r="4858" spans="1:11" x14ac:dyDescent="0.2">
      <c r="A4858" s="265" t="str">
        <f>VLOOKUP(B4858,mat.!$A:$D,2,FALSE)</f>
        <v>Cimento CP III</v>
      </c>
      <c r="B4858" s="238">
        <v>10092</v>
      </c>
      <c r="C4858" s="266" t="str">
        <f>VLOOKUP(B4858,mat.!$A:$D,3,FALSE)</f>
        <v>kg</v>
      </c>
      <c r="D4858" s="267">
        <f>VLOOKUP(B4858,mat.!$A:$D,4,FALSE)</f>
        <v>0.38</v>
      </c>
      <c r="E4858" s="260"/>
      <c r="F4858" s="258"/>
      <c r="G4858" s="441">
        <v>262</v>
      </c>
      <c r="H4858" s="260"/>
      <c r="I4858" s="268">
        <f>TRUNC(D4858*G4858,2)</f>
        <v>99.56</v>
      </c>
      <c r="K4858" s="302"/>
    </row>
    <row r="4859" spans="1:11" x14ac:dyDescent="0.2">
      <c r="A4859" s="265" t="str">
        <f>VLOOKUP(B4859,mat.!$A:$D,2,FALSE)</f>
        <v>Pedra britada p/ concreto, sem frete</v>
      </c>
      <c r="B4859" s="238">
        <v>10125</v>
      </c>
      <c r="C4859" s="266" t="str">
        <f>VLOOKUP(B4859,mat.!$A:$D,3,FALSE)</f>
        <v>m3</v>
      </c>
      <c r="D4859" s="267">
        <f>VLOOKUP(B4859,mat.!$A:$D,4,FALSE)</f>
        <v>60.76</v>
      </c>
      <c r="E4859" s="260"/>
      <c r="F4859" s="258"/>
      <c r="G4859" s="441">
        <v>0.78800000000000003</v>
      </c>
      <c r="H4859" s="260"/>
      <c r="I4859" s="268">
        <f>TRUNC(D4859*G4859,2)</f>
        <v>47.87</v>
      </c>
      <c r="K4859" s="302"/>
    </row>
    <row r="4860" spans="1:11" x14ac:dyDescent="0.2">
      <c r="A4860" s="199"/>
      <c r="B4860" s="233"/>
      <c r="C4860" s="199"/>
      <c r="D4860" s="199"/>
      <c r="E4860" s="199"/>
      <c r="F4860" s="234" t="s">
        <v>212</v>
      </c>
      <c r="G4860" s="244"/>
      <c r="H4860" s="245"/>
      <c r="I4860" s="434">
        <f>SUM(I4857:I4859)</f>
        <v>191.74</v>
      </c>
      <c r="K4860" s="302"/>
    </row>
    <row r="4861" spans="1:11" x14ac:dyDescent="0.2">
      <c r="A4861" s="199"/>
      <c r="B4861" s="233"/>
      <c r="C4861" s="199"/>
      <c r="D4861" s="199"/>
      <c r="E4861" s="199"/>
      <c r="F4861" s="199"/>
      <c r="G4861" s="269"/>
      <c r="H4861" s="199"/>
      <c r="I4861" s="200"/>
      <c r="K4861" s="302"/>
    </row>
    <row r="4862" spans="1:11" x14ac:dyDescent="0.2">
      <c r="A4862" s="270" t="s">
        <v>213</v>
      </c>
      <c r="B4862" s="247" t="s">
        <v>60</v>
      </c>
      <c r="C4862" s="247" t="s">
        <v>211</v>
      </c>
      <c r="D4862" s="866" t="s">
        <v>233</v>
      </c>
      <c r="E4862" s="1276" t="s">
        <v>91</v>
      </c>
      <c r="F4862" s="1274"/>
      <c r="G4862" s="1275"/>
      <c r="H4862" s="1276" t="s">
        <v>198</v>
      </c>
      <c r="I4862" s="1275"/>
      <c r="K4862" s="302"/>
    </row>
    <row r="4863" spans="1:11" x14ac:dyDescent="0.2">
      <c r="A4863" s="248"/>
      <c r="B4863" s="238"/>
      <c r="C4863" s="238"/>
      <c r="D4863" s="243"/>
      <c r="E4863" s="260"/>
      <c r="F4863" s="258"/>
      <c r="G4863" s="300"/>
      <c r="H4863" s="244"/>
      <c r="I4863" s="268"/>
      <c r="J4863" s="302"/>
      <c r="K4863" s="302"/>
    </row>
    <row r="4864" spans="1:11" x14ac:dyDescent="0.2">
      <c r="A4864" s="201"/>
      <c r="B4864" s="271"/>
      <c r="C4864" s="201"/>
      <c r="D4864" s="201"/>
      <c r="E4864" s="201"/>
      <c r="F4864" s="272" t="s">
        <v>214</v>
      </c>
      <c r="G4864" s="260"/>
      <c r="H4864" s="273"/>
      <c r="I4864" s="436">
        <f>SUM(I4863:I4863)</f>
        <v>0</v>
      </c>
      <c r="K4864" s="302"/>
    </row>
    <row r="4865" spans="1:17" x14ac:dyDescent="0.2">
      <c r="A4865" s="201"/>
      <c r="B4865" s="271"/>
      <c r="C4865" s="201"/>
      <c r="D4865" s="201"/>
      <c r="E4865" s="201"/>
      <c r="F4865" s="201"/>
      <c r="G4865" s="201"/>
      <c r="H4865" s="201"/>
      <c r="I4865" s="201"/>
      <c r="K4865" s="302"/>
    </row>
    <row r="4866" spans="1:17" x14ac:dyDescent="0.2">
      <c r="A4866" s="274" t="s">
        <v>215</v>
      </c>
      <c r="B4866" s="275" t="s">
        <v>60</v>
      </c>
      <c r="C4866" s="275" t="s">
        <v>211</v>
      </c>
      <c r="D4866" s="275" t="s">
        <v>216</v>
      </c>
      <c r="E4866" s="275" t="s">
        <v>217</v>
      </c>
      <c r="F4866" s="275" t="s">
        <v>218</v>
      </c>
      <c r="G4866" s="275" t="s">
        <v>96</v>
      </c>
      <c r="H4866" s="275" t="s">
        <v>91</v>
      </c>
      <c r="I4866" s="275" t="s">
        <v>219</v>
      </c>
      <c r="K4866" s="302"/>
    </row>
    <row r="4867" spans="1:17" ht="22.5" x14ac:dyDescent="0.2">
      <c r="A4867" s="265" t="str">
        <f>VLOOKUP(B4867,tranp.!A:D,2,FALSE)</f>
        <v>Transp. de Areia grossa jazida c/ carreg.mecânico</v>
      </c>
      <c r="B4867" s="238">
        <v>1026</v>
      </c>
      <c r="C4867" s="238" t="str">
        <f>VLOOKUP(B4867,tranp.!$A:$J,3,FALSE)</f>
        <v xml:space="preserve"> t  </v>
      </c>
      <c r="D4867" s="276" t="str">
        <f>VLOOKUP(B4867,tranp.!$A:$J,4,FALSE)</f>
        <v>0,681XP + 0,710XR + 2,841</v>
      </c>
      <c r="E4867" s="277">
        <f>VLOOKUP(J4867,Ocor.!$B:$F,4,FALSE)</f>
        <v>10</v>
      </c>
      <c r="F4867" s="277">
        <f>VLOOKUP(J4867,Ocor.!$B:$F,5,FALSE)</f>
        <v>5.6</v>
      </c>
      <c r="G4867" s="243">
        <f>TRUNC(VLOOKUP(B4867,tranp.!$A:$J,5,FALSE)*E4867+VLOOKUP(B4867,tranp.!$A:$J,6,FALSE)*F4867+VLOOKUP(B4867,tranp.!$A:$J,7,FALSE),2)</f>
        <v>13.62</v>
      </c>
      <c r="H4867" s="278">
        <v>1.0349999999999999</v>
      </c>
      <c r="I4867" s="243">
        <f>TRUNC(G4867*H4867,2)</f>
        <v>14.09</v>
      </c>
      <c r="J4867" s="433" t="s">
        <v>115</v>
      </c>
      <c r="K4867" s="302"/>
    </row>
    <row r="4868" spans="1:17" x14ac:dyDescent="0.2">
      <c r="A4868" s="265" t="str">
        <f>VLOOKUP(B4868,tranp.!A:D,2,FALSE)</f>
        <v>Transp. de Cimento</v>
      </c>
      <c r="B4868" s="238">
        <v>1153</v>
      </c>
      <c r="C4868" s="238" t="str">
        <f>VLOOKUP(B4868,tranp.!$A:$J,3,FALSE)</f>
        <v xml:space="preserve"> t  </v>
      </c>
      <c r="D4868" s="276" t="str">
        <f>VLOOKUP(B4868,tranp.!$A:$J,4,FALSE)</f>
        <v>0,676XP + 0,703XR</v>
      </c>
      <c r="E4868" s="277">
        <f>VLOOKUP(J4868,Ocor.!$B:$F,4,FALSE)</f>
        <v>37.200000000000003</v>
      </c>
      <c r="F4868" s="277">
        <f>VLOOKUP(J4868,Ocor.!$B:$F,5,FALSE)</f>
        <v>5.6</v>
      </c>
      <c r="G4868" s="243">
        <f>TRUNC(VLOOKUP(B4868,tranp.!$A:$J,5,FALSE)*E4868+VLOOKUP(B4868,tranp.!$A:$J,6,FALSE)*F4868+VLOOKUP(B4868,tranp.!$A:$J,7,FALSE),2)</f>
        <v>29.08</v>
      </c>
      <c r="H4868" s="278">
        <v>0.26200000000000001</v>
      </c>
      <c r="I4868" s="243">
        <f>TRUNC(G4868*H4868,2)</f>
        <v>7.61</v>
      </c>
      <c r="J4868" s="433" t="s">
        <v>174</v>
      </c>
      <c r="K4868" s="302"/>
    </row>
    <row r="4869" spans="1:17" ht="22.5" x14ac:dyDescent="0.2">
      <c r="A4869" s="265" t="str">
        <f>VLOOKUP(B4869,tranp.!A:D,2,FALSE)</f>
        <v>Transp. de Pedra britada p/ concreto</v>
      </c>
      <c r="B4869" s="238">
        <v>1162</v>
      </c>
      <c r="C4869" s="238" t="str">
        <f>VLOOKUP(B4869,tranp.!$A:$J,3,FALSE)</f>
        <v xml:space="preserve"> t  </v>
      </c>
      <c r="D4869" s="276" t="str">
        <f>VLOOKUP(B4869,tranp.!$A:$J,4,FALSE)</f>
        <v>0,681XP + 0,710XR + 2,841</v>
      </c>
      <c r="E4869" s="277">
        <f>VLOOKUP(J4869,Ocor.!$B:$F,4,FALSE)</f>
        <v>37.200000000000003</v>
      </c>
      <c r="F4869" s="277">
        <f>VLOOKUP(J4869,Ocor.!$B:$F,5,FALSE)</f>
        <v>5.6</v>
      </c>
      <c r="G4869" s="243">
        <f>TRUNC(VLOOKUP(B4869,tranp.!$A:$J,5,FALSE)*E4869+VLOOKUP(B4869,tranp.!$A:$J,6,FALSE)*F4869+VLOOKUP(B4869,tranp.!$A:$J,7,FALSE),2)</f>
        <v>32.15</v>
      </c>
      <c r="H4869" s="278">
        <v>1.1819999999999999</v>
      </c>
      <c r="I4869" s="243">
        <f>TRUNC(G4869*H4869,2)</f>
        <v>38</v>
      </c>
      <c r="J4869" s="433" t="s">
        <v>113</v>
      </c>
      <c r="K4869" s="302"/>
    </row>
    <row r="4870" spans="1:17" x14ac:dyDescent="0.2">
      <c r="A4870" s="201"/>
      <c r="B4870" s="271"/>
      <c r="C4870" s="201"/>
      <c r="D4870" s="201"/>
      <c r="E4870" s="201"/>
      <c r="F4870" s="272" t="s">
        <v>220</v>
      </c>
      <c r="G4870" s="244"/>
      <c r="H4870" s="279"/>
      <c r="I4870" s="438">
        <f>SUM(I4867:I4869)</f>
        <v>59.7</v>
      </c>
      <c r="K4870" s="302"/>
    </row>
    <row r="4871" spans="1:17" x14ac:dyDescent="0.2">
      <c r="A4871" s="201"/>
      <c r="B4871" s="271"/>
      <c r="C4871" s="201"/>
      <c r="D4871" s="201"/>
      <c r="E4871" s="201"/>
      <c r="F4871" s="201"/>
      <c r="G4871" s="201"/>
      <c r="H4871" s="201"/>
      <c r="I4871" s="202"/>
    </row>
    <row r="4872" spans="1:17" x14ac:dyDescent="0.2">
      <c r="A4872" s="280"/>
      <c r="B4872" s="281"/>
      <c r="C4872" s="282"/>
      <c r="D4872" s="282"/>
      <c r="E4872" s="282"/>
      <c r="F4872" s="283" t="s">
        <v>221</v>
      </c>
      <c r="G4872" s="280"/>
      <c r="H4872" s="254"/>
      <c r="I4872" s="634">
        <f>+I4854+I4860+I4864+I4870</f>
        <v>489.36</v>
      </c>
      <c r="K4872" s="446"/>
    </row>
    <row r="4873" spans="1:17" x14ac:dyDescent="0.2">
      <c r="A4873" s="260"/>
      <c r="B4873" s="284"/>
      <c r="C4873" s="273"/>
      <c r="D4873" s="273"/>
      <c r="E4873" s="273"/>
      <c r="F4873" s="285" t="str">
        <f>CONCATENATE($H$3," ",$I$3)</f>
        <v>BDI: 23,32</v>
      </c>
      <c r="G4873" s="439"/>
      <c r="H4873" s="258"/>
      <c r="I4873" s="635">
        <f>+ROUND(I4872*$I$4,2)</f>
        <v>114.12</v>
      </c>
    </row>
    <row r="4874" spans="1:17" x14ac:dyDescent="0.2">
      <c r="A4874" s="244"/>
      <c r="B4874" s="286"/>
      <c r="C4874" s="279"/>
      <c r="D4874" s="279"/>
      <c r="E4874" s="279"/>
      <c r="F4874" s="287" t="s">
        <v>222</v>
      </c>
      <c r="G4874" s="440"/>
      <c r="H4874" s="245"/>
      <c r="I4874" s="1017">
        <f>+I4872+I4873</f>
        <v>603.48</v>
      </c>
    </row>
    <row r="4875" spans="1:17" x14ac:dyDescent="0.2">
      <c r="A4875" s="1286" t="str">
        <f>$A$1</f>
        <v>COMPOSIÇÃO DE CUSTOS UNITÁRIOS</v>
      </c>
      <c r="B4875" s="1286"/>
      <c r="C4875" s="1286"/>
      <c r="D4875" s="1286"/>
      <c r="E4875" s="1286"/>
      <c r="F4875" s="1286"/>
      <c r="G4875" s="1286"/>
      <c r="H4875" s="1286"/>
      <c r="I4875" s="1286"/>
      <c r="J4875" s="451"/>
      <c r="K4875" s="451"/>
      <c r="L4875" s="198"/>
      <c r="M4875" s="198"/>
      <c r="N4875" s="198"/>
      <c r="O4875" s="198"/>
      <c r="P4875" s="198"/>
      <c r="Q4875" s="198"/>
    </row>
    <row r="4876" spans="1:17" x14ac:dyDescent="0.2">
      <c r="A4876" s="232" t="str">
        <f>$A$2</f>
        <v>Tabela Referencial de Preços - DER-ES</v>
      </c>
      <c r="B4876" s="233"/>
      <c r="C4876" s="199"/>
      <c r="D4876" s="199"/>
      <c r="E4876" s="199"/>
      <c r="F4876" s="199"/>
      <c r="G4876" s="199"/>
      <c r="H4876" s="199"/>
      <c r="I4876" s="234" t="str">
        <f>$I$2</f>
        <v>Data Base: Outubro/2018</v>
      </c>
    </row>
    <row r="4877" spans="1:17" x14ac:dyDescent="0.2">
      <c r="A4877" s="1278" t="str">
        <f>+CONCATENATE("Serviço: ",J4877," ",VLOOKUP(J4877,'DER 10-18'!$A:$D,2,FALSE))</f>
        <v>Serviço: 40328 Escoramento e cimbramento (bueiro celular), inclusive fornecimento e transportes das madeiras</v>
      </c>
      <c r="B4877" s="1278"/>
      <c r="C4877" s="1278"/>
      <c r="D4877" s="1278"/>
      <c r="E4877" s="1278"/>
      <c r="F4877" s="1278"/>
      <c r="G4877" s="1278"/>
      <c r="H4877" s="1278"/>
      <c r="I4877" s="1278" t="str">
        <f>CONCATENATE("Unidade: ", VLOOKUP(J4877,'DER 10-18'!$A:$E,3,FALSE))</f>
        <v>Unidade: M3</v>
      </c>
      <c r="J4877" s="433">
        <v>40328</v>
      </c>
      <c r="K4877" s="433">
        <f>VLOOKUP("Preço Unitário Total",F4878:I4925,4,FALSE)</f>
        <v>120.34</v>
      </c>
      <c r="L4877" s="302" t="str">
        <f>VLOOKUP(J4877,'DER 10-18'!A:E,5,FALSE)</f>
        <v>A incluir</v>
      </c>
      <c r="M4877" s="302" t="str">
        <f>VLOOKUP(J4877,'DER 10-18'!$A:$D,2,FALSE)</f>
        <v>Escoramento e cimbramento (bueiro celular), inclusive fornecimento e transportes das madeiras</v>
      </c>
    </row>
    <row r="4878" spans="1:17" x14ac:dyDescent="0.2">
      <c r="A4878" s="1279"/>
      <c r="B4878" s="1279"/>
      <c r="C4878" s="1279"/>
      <c r="D4878" s="1279"/>
      <c r="E4878" s="1279"/>
      <c r="F4878" s="1279"/>
      <c r="G4878" s="1279"/>
      <c r="H4878" s="1279"/>
      <c r="I4878" s="1279"/>
    </row>
    <row r="4879" spans="1:17" ht="22.5" x14ac:dyDescent="0.2">
      <c r="A4879" s="235" t="s">
        <v>192</v>
      </c>
      <c r="B4879" s="236" t="s">
        <v>60</v>
      </c>
      <c r="C4879" s="236" t="s">
        <v>193</v>
      </c>
      <c r="D4879" s="236" t="s">
        <v>194</v>
      </c>
      <c r="E4879" s="236" t="s">
        <v>195</v>
      </c>
      <c r="F4879" s="236" t="s">
        <v>196</v>
      </c>
      <c r="G4879" s="236" t="s">
        <v>197</v>
      </c>
      <c r="H4879" s="236" t="s">
        <v>91</v>
      </c>
      <c r="I4879" s="236" t="s">
        <v>198</v>
      </c>
    </row>
    <row r="4880" spans="1:17" x14ac:dyDescent="0.2">
      <c r="A4880" s="237" t="str">
        <f>VLOOKUP(B4880,equip.!$A:$G,2,FALSE)</f>
        <v>Serra circular (WEG) ou equivalente</v>
      </c>
      <c r="B4880" s="238">
        <v>30073</v>
      </c>
      <c r="C4880" s="239" t="str">
        <f>VLOOKUP(B4880,equip.!$A$1:$G$240,3,FALSE)</f>
        <v>M</v>
      </c>
      <c r="D4880" s="240">
        <v>0.5</v>
      </c>
      <c r="E4880" s="205">
        <v>0.5</v>
      </c>
      <c r="F4880" s="241">
        <f>VLOOKUP(B4880,equip.!$A:$G,6,FALSE)</f>
        <v>18.22</v>
      </c>
      <c r="G4880" s="241">
        <f>VLOOKUP(B4880,equip.!$A:$G,7,FALSE)</f>
        <v>14.81</v>
      </c>
      <c r="H4880" s="242">
        <v>1</v>
      </c>
      <c r="I4880" s="243">
        <f t="shared" ref="I4880" si="63">TRUNC(D4880*F4880*H4880+E4880*G4880*H4880,2)</f>
        <v>16.510000000000002</v>
      </c>
    </row>
    <row r="4881" spans="1:9" x14ac:dyDescent="0.2">
      <c r="A4881" s="199"/>
      <c r="B4881" s="233"/>
      <c r="C4881" s="233"/>
      <c r="D4881" s="199"/>
      <c r="E4881" s="199"/>
      <c r="F4881" s="234" t="s">
        <v>199</v>
      </c>
      <c r="G4881" s="244"/>
      <c r="H4881" s="245"/>
      <c r="I4881" s="434">
        <f>SUM(I4880:I4880)</f>
        <v>16.510000000000002</v>
      </c>
    </row>
    <row r="4882" spans="1:9" x14ac:dyDescent="0.2">
      <c r="A4882" s="199"/>
      <c r="B4882" s="233"/>
      <c r="C4882" s="233"/>
      <c r="D4882" s="199"/>
      <c r="E4882" s="199"/>
      <c r="F4882" s="199"/>
      <c r="G4882" s="199"/>
      <c r="H4882" s="199"/>
      <c r="I4882" s="200"/>
    </row>
    <row r="4883" spans="1:9" x14ac:dyDescent="0.2">
      <c r="A4883" s="246" t="s">
        <v>200</v>
      </c>
      <c r="B4883" s="247" t="s">
        <v>60</v>
      </c>
      <c r="C4883" s="236" t="s">
        <v>1242</v>
      </c>
      <c r="D4883" s="247" t="s">
        <v>202</v>
      </c>
      <c r="E4883" s="1271" t="s">
        <v>91</v>
      </c>
      <c r="F4883" s="1272"/>
      <c r="G4883" s="1273"/>
      <c r="H4883" s="1276" t="s">
        <v>198</v>
      </c>
      <c r="I4883" s="1275"/>
    </row>
    <row r="4884" spans="1:9" x14ac:dyDescent="0.2">
      <c r="A4884" s="248" t="str">
        <f>VLOOKUP(B4884,m.o.!$A:$H,2,FALSE)</f>
        <v>Ajudante de carpinteiro</v>
      </c>
      <c r="B4884" s="238">
        <v>20039</v>
      </c>
      <c r="C4884" s="243">
        <f>VLOOKUP(B4884,m.o.!$A:$F,4,FALSE)</f>
        <v>1.01</v>
      </c>
      <c r="D4884" s="243">
        <f>VLOOKUP(B4884,m.o.!$A:$G,7,FALSE)</f>
        <v>11.75</v>
      </c>
      <c r="E4884" s="260"/>
      <c r="F4884" s="258"/>
      <c r="G4884" s="300">
        <v>2</v>
      </c>
      <c r="H4884" s="244"/>
      <c r="I4884" s="249">
        <f t="shared" ref="I4884:I4886" si="64">TRUNC(D4884*G4884,2)</f>
        <v>23.5</v>
      </c>
    </row>
    <row r="4885" spans="1:9" x14ac:dyDescent="0.2">
      <c r="A4885" s="248" t="str">
        <f>VLOOKUP(B4885,m.o.!$A:$H,2,FALSE)</f>
        <v>Carpinteiro de O.A.E.</v>
      </c>
      <c r="B4885" s="238">
        <v>20040</v>
      </c>
      <c r="C4885" s="243">
        <f>VLOOKUP(B4885,m.o.!$A:$F,4,FALSE)</f>
        <v>1.65</v>
      </c>
      <c r="D4885" s="243">
        <f>VLOOKUP(B4885,m.o.!$A:$G,7,FALSE)</f>
        <v>19.2</v>
      </c>
      <c r="E4885" s="260"/>
      <c r="F4885" s="258"/>
      <c r="G4885" s="300">
        <v>1</v>
      </c>
      <c r="H4885" s="244"/>
      <c r="I4885" s="249">
        <f t="shared" si="64"/>
        <v>19.2</v>
      </c>
    </row>
    <row r="4886" spans="1:9" x14ac:dyDescent="0.2">
      <c r="A4886" s="248" t="str">
        <f>VLOOKUP(B4886,m.o.!$A:$H,2,FALSE)</f>
        <v>Encarregado O.A.E.</v>
      </c>
      <c r="B4886" s="238">
        <v>20062</v>
      </c>
      <c r="C4886" s="243">
        <f>VLOOKUP(B4886,m.o.!$A:$F,4,FALSE)</f>
        <v>2.2599999999999998</v>
      </c>
      <c r="D4886" s="243">
        <f>VLOOKUP(B4886,m.o.!$A:$G,7,FALSE)</f>
        <v>26.3</v>
      </c>
      <c r="E4886" s="260"/>
      <c r="F4886" s="258"/>
      <c r="G4886" s="300">
        <v>0.1</v>
      </c>
      <c r="H4886" s="244"/>
      <c r="I4886" s="249">
        <f t="shared" si="64"/>
        <v>2.63</v>
      </c>
    </row>
    <row r="4887" spans="1:9" x14ac:dyDescent="0.2">
      <c r="A4887" s="199"/>
      <c r="B4887" s="233"/>
      <c r="C4887" s="233"/>
      <c r="D4887" s="199"/>
      <c r="E4887" s="199"/>
      <c r="F4887" s="234" t="s">
        <v>203</v>
      </c>
      <c r="G4887" s="244"/>
      <c r="H4887" s="245"/>
      <c r="I4887" s="434">
        <f>SUM(I4884:I4886)</f>
        <v>45.33</v>
      </c>
    </row>
    <row r="4888" spans="1:9" x14ac:dyDescent="0.2">
      <c r="A4888" s="199"/>
      <c r="B4888" s="233"/>
      <c r="C4888" s="233"/>
      <c r="D4888" s="199"/>
      <c r="E4888" s="199"/>
      <c r="F4888" s="199"/>
      <c r="G4888" s="199"/>
      <c r="H4888" s="199"/>
      <c r="I4888" s="200"/>
    </row>
    <row r="4889" spans="1:9" x14ac:dyDescent="0.2">
      <c r="A4889" s="250" t="s">
        <v>204</v>
      </c>
      <c r="B4889" s="247" t="s">
        <v>60</v>
      </c>
      <c r="C4889" s="866" t="s">
        <v>17</v>
      </c>
      <c r="D4889" s="247" t="s">
        <v>205</v>
      </c>
      <c r="E4889" s="247" t="s">
        <v>206</v>
      </c>
      <c r="F4889" s="247" t="s">
        <v>207</v>
      </c>
      <c r="G4889" s="1276" t="s">
        <v>96</v>
      </c>
      <c r="H4889" s="1274"/>
      <c r="I4889" s="1275"/>
    </row>
    <row r="4890" spans="1:9" x14ac:dyDescent="0.2">
      <c r="A4890" s="248" t="s">
        <v>142</v>
      </c>
      <c r="B4890" s="238">
        <v>2000</v>
      </c>
      <c r="C4890" s="243">
        <v>5</v>
      </c>
      <c r="D4890" s="239" t="s">
        <v>223</v>
      </c>
      <c r="E4890" s="251"/>
      <c r="F4890" s="251"/>
      <c r="G4890" s="244"/>
      <c r="H4890" s="245"/>
      <c r="I4890" s="249">
        <f>TRUNC(C4890/100*I4887,2)</f>
        <v>2.2599999999999998</v>
      </c>
    </row>
    <row r="4891" spans="1:9" x14ac:dyDescent="0.2">
      <c r="A4891" s="199"/>
      <c r="B4891" s="233"/>
      <c r="C4891" s="199"/>
      <c r="D4891" s="199"/>
      <c r="E4891" s="199"/>
      <c r="F4891" s="234" t="s">
        <v>1170</v>
      </c>
      <c r="G4891" s="244"/>
      <c r="H4891" s="245"/>
      <c r="I4891" s="434">
        <f>I4890</f>
        <v>2.2599999999999998</v>
      </c>
    </row>
    <row r="4892" spans="1:9" x14ac:dyDescent="0.2">
      <c r="A4892" s="199"/>
      <c r="B4892" s="233"/>
      <c r="C4892" s="199"/>
      <c r="D4892" s="199"/>
      <c r="E4892" s="199"/>
      <c r="F4892" s="199"/>
      <c r="G4892" s="199"/>
      <c r="H4892" s="199"/>
      <c r="I4892" s="200"/>
    </row>
    <row r="4893" spans="1:9" x14ac:dyDescent="0.2">
      <c r="A4893" s="252"/>
      <c r="B4893" s="253"/>
      <c r="C4893" s="254"/>
      <c r="D4893" s="254"/>
      <c r="E4893" s="254"/>
      <c r="F4893" s="255" t="s">
        <v>208</v>
      </c>
      <c r="G4893" s="435"/>
      <c r="H4893" s="254"/>
      <c r="I4893" s="634">
        <f>+I4881+I4887+I4891</f>
        <v>64.099999999999994</v>
      </c>
    </row>
    <row r="4894" spans="1:9" x14ac:dyDescent="0.2">
      <c r="A4894" s="256"/>
      <c r="B4894" s="257"/>
      <c r="C4894" s="258"/>
      <c r="D4894" s="258"/>
      <c r="E4894" s="258"/>
      <c r="F4894" s="259" t="s">
        <v>209</v>
      </c>
      <c r="G4894" s="260"/>
      <c r="H4894" s="258"/>
      <c r="I4894" s="635">
        <v>1</v>
      </c>
    </row>
    <row r="4895" spans="1:9" x14ac:dyDescent="0.2">
      <c r="A4895" s="237"/>
      <c r="B4895" s="261"/>
      <c r="C4895" s="245"/>
      <c r="D4895" s="245"/>
      <c r="E4895" s="245"/>
      <c r="F4895" s="262" t="s">
        <v>232</v>
      </c>
      <c r="G4895" s="244"/>
      <c r="H4895" s="245"/>
      <c r="I4895" s="633">
        <f>TRUNC(I4893/I4894,2)</f>
        <v>64.099999999999994</v>
      </c>
    </row>
    <row r="4896" spans="1:9" x14ac:dyDescent="0.2">
      <c r="A4896" s="867"/>
      <c r="B4896" s="233"/>
      <c r="C4896" s="199"/>
      <c r="D4896" s="199"/>
      <c r="E4896" s="199"/>
      <c r="F4896" s="263"/>
      <c r="G4896" s="199"/>
      <c r="H4896" s="199"/>
      <c r="I4896" s="264"/>
    </row>
    <row r="4897" spans="1:10" x14ac:dyDescent="0.2">
      <c r="A4897" s="246" t="s">
        <v>210</v>
      </c>
      <c r="B4897" s="247" t="s">
        <v>60</v>
      </c>
      <c r="C4897" s="247" t="s">
        <v>211</v>
      </c>
      <c r="D4897" s="247" t="s">
        <v>233</v>
      </c>
      <c r="E4897" s="1276" t="s">
        <v>91</v>
      </c>
      <c r="F4897" s="1274"/>
      <c r="G4897" s="1275"/>
      <c r="H4897" s="1276" t="s">
        <v>198</v>
      </c>
      <c r="I4897" s="1275"/>
    </row>
    <row r="4898" spans="1:10" ht="22.5" x14ac:dyDescent="0.2">
      <c r="A4898" s="265" t="str">
        <f>VLOOKUP(B4898,mat.!$A:$D,2,FALSE)</f>
        <v>Escoras de eucalipto (4,00m - D=0,10m)</v>
      </c>
      <c r="B4898" s="238">
        <v>10073</v>
      </c>
      <c r="C4898" s="266" t="str">
        <f>VLOOKUP(B4898,mat.!$A:$D,3,FALSE)</f>
        <v>DZ</v>
      </c>
      <c r="D4898" s="267">
        <f>VLOOKUP(B4898,mat.!$A:$D,4,FALSE)</f>
        <v>60.38</v>
      </c>
      <c r="E4898" s="260"/>
      <c r="F4898" s="258"/>
      <c r="G4898" s="300">
        <v>8.3299999999999999E-2</v>
      </c>
      <c r="H4898" s="260"/>
      <c r="I4898" s="268">
        <f t="shared" ref="I4898:I4899" si="65">TRUNC(D4898*G4898,2)</f>
        <v>5.0199999999999996</v>
      </c>
    </row>
    <row r="4899" spans="1:10" x14ac:dyDescent="0.2">
      <c r="A4899" s="265" t="str">
        <f>VLOOKUP(B4899,mat.!$A:$D,2,FALSE)</f>
        <v>Prego 18 X 24</v>
      </c>
      <c r="B4899" s="238">
        <v>10135</v>
      </c>
      <c r="C4899" s="266" t="str">
        <f>VLOOKUP(B4899,mat.!$A:$D,3,FALSE)</f>
        <v>kg</v>
      </c>
      <c r="D4899" s="267">
        <f>VLOOKUP(B4899,mat.!$A:$D,4,FALSE)</f>
        <v>10.54</v>
      </c>
      <c r="E4899" s="260"/>
      <c r="F4899" s="258"/>
      <c r="G4899" s="300">
        <v>0.2</v>
      </c>
      <c r="H4899" s="260"/>
      <c r="I4899" s="268">
        <f t="shared" si="65"/>
        <v>2.1</v>
      </c>
    </row>
    <row r="4900" spans="1:10" x14ac:dyDescent="0.2">
      <c r="A4900" s="265" t="str">
        <f>VLOOKUP(B4900,mat.!$A:$D,2,FALSE)</f>
        <v>Sarrafo 10 X 2,5 cm</v>
      </c>
      <c r="B4900" s="238">
        <v>10067</v>
      </c>
      <c r="C4900" s="266" t="str">
        <f>VLOOKUP(B4900,mat.!$A:$D,3,FALSE)</f>
        <v>M3</v>
      </c>
      <c r="D4900" s="267">
        <f>VLOOKUP(B4900,mat.!$A:$D,4,FALSE)</f>
        <v>1012</v>
      </c>
      <c r="E4900" s="260"/>
      <c r="F4900" s="258"/>
      <c r="G4900" s="300">
        <v>1.0999999999999999E-2</v>
      </c>
      <c r="H4900" s="260"/>
      <c r="I4900" s="268">
        <f>TRUNC(D4900*G4900,2)</f>
        <v>11.13</v>
      </c>
    </row>
    <row r="4901" spans="1:10" x14ac:dyDescent="0.2">
      <c r="A4901" s="265" t="str">
        <f>VLOOKUP(B4901,mat.!$A:$D,2,FALSE)</f>
        <v>Taipá de 1ª com 2,5 cm</v>
      </c>
      <c r="B4901" s="238">
        <v>10057</v>
      </c>
      <c r="C4901" s="266" t="str">
        <f>VLOOKUP(B4901,mat.!$A:$D,3,FALSE)</f>
        <v>m3</v>
      </c>
      <c r="D4901" s="267">
        <f>VLOOKUP(B4901,mat.!$A:$D,4,FALSE)</f>
        <v>1246.67</v>
      </c>
      <c r="E4901" s="260"/>
      <c r="F4901" s="258"/>
      <c r="G4901" s="300">
        <v>1.0999999999999999E-2</v>
      </c>
      <c r="H4901" s="260"/>
      <c r="I4901" s="268">
        <f>TRUNC(D4901*G4901,2)</f>
        <v>13.71</v>
      </c>
    </row>
    <row r="4902" spans="1:10" x14ac:dyDescent="0.2">
      <c r="A4902" s="199"/>
      <c r="B4902" s="233"/>
      <c r="C4902" s="199"/>
      <c r="D4902" s="199"/>
      <c r="E4902" s="199"/>
      <c r="F4902" s="234" t="s">
        <v>212</v>
      </c>
      <c r="G4902" s="244"/>
      <c r="H4902" s="245"/>
      <c r="I4902" s="434">
        <f>SUM(I4898:I4901)</f>
        <v>31.96</v>
      </c>
    </row>
    <row r="4903" spans="1:10" x14ac:dyDescent="0.2">
      <c r="A4903" s="199"/>
      <c r="B4903" s="233"/>
      <c r="C4903" s="199"/>
      <c r="D4903" s="199"/>
      <c r="E4903" s="199"/>
      <c r="F4903" s="199"/>
      <c r="G4903" s="269"/>
      <c r="H4903" s="199"/>
      <c r="I4903" s="200"/>
    </row>
    <row r="4904" spans="1:10" x14ac:dyDescent="0.2">
      <c r="A4904" s="270" t="s">
        <v>213</v>
      </c>
      <c r="B4904" s="247" t="s">
        <v>60</v>
      </c>
      <c r="C4904" s="247" t="s">
        <v>211</v>
      </c>
      <c r="D4904" s="866" t="s">
        <v>233</v>
      </c>
      <c r="E4904" s="1271" t="s">
        <v>91</v>
      </c>
      <c r="F4904" s="1272"/>
      <c r="G4904" s="1273"/>
      <c r="H4904" s="1274" t="s">
        <v>198</v>
      </c>
      <c r="I4904" s="1275"/>
    </row>
    <row r="4905" spans="1:10" x14ac:dyDescent="0.2">
      <c r="A4905" s="201"/>
      <c r="B4905" s="271"/>
      <c r="C4905" s="201"/>
      <c r="D4905" s="201"/>
      <c r="E4905" s="201"/>
      <c r="F4905" s="272" t="s">
        <v>214</v>
      </c>
      <c r="G4905" s="260"/>
      <c r="H4905" s="273"/>
      <c r="I4905" s="436"/>
    </row>
    <row r="4906" spans="1:10" x14ac:dyDescent="0.2">
      <c r="A4906" s="201"/>
      <c r="B4906" s="271"/>
      <c r="C4906" s="201"/>
      <c r="D4906" s="201"/>
      <c r="E4906" s="201"/>
      <c r="F4906" s="201"/>
      <c r="G4906" s="201"/>
      <c r="H4906" s="201"/>
      <c r="I4906" s="201"/>
    </row>
    <row r="4907" spans="1:10" x14ac:dyDescent="0.2">
      <c r="A4907" s="274" t="s">
        <v>215</v>
      </c>
      <c r="B4907" s="275" t="s">
        <v>60</v>
      </c>
      <c r="C4907" s="275" t="s">
        <v>211</v>
      </c>
      <c r="D4907" s="275" t="s">
        <v>216</v>
      </c>
      <c r="E4907" s="275" t="s">
        <v>217</v>
      </c>
      <c r="F4907" s="275" t="s">
        <v>218</v>
      </c>
      <c r="G4907" s="275" t="s">
        <v>96</v>
      </c>
      <c r="H4907" s="275" t="s">
        <v>91</v>
      </c>
      <c r="I4907" s="275" t="s">
        <v>219</v>
      </c>
    </row>
    <row r="4908" spans="1:10" x14ac:dyDescent="0.2">
      <c r="A4908" s="248" t="str">
        <f>VLOOKUP(B4908,tranp.!$A:$J,2,FALSE)</f>
        <v>Transp. de Madeira roliça</v>
      </c>
      <c r="B4908" s="238">
        <v>1168</v>
      </c>
      <c r="C4908" s="238" t="str">
        <f>VLOOKUP(B4908,tranp.!$A:$J,3,FALSE)</f>
        <v xml:space="preserve"> t  </v>
      </c>
      <c r="D4908" s="437" t="str">
        <f>VLOOKUP(B4908,tranp.!$A:$J,4,FALSE)</f>
        <v>0,676XP + 0,703XR</v>
      </c>
      <c r="E4908" s="277">
        <f>VLOOKUP(J4908,Ocor.!$B:$F,4,FALSE)</f>
        <v>37.200000000000003</v>
      </c>
      <c r="F4908" s="277">
        <f>VLOOKUP(J4908,Ocor.!$B:$F,5,FALSE)</f>
        <v>5.6</v>
      </c>
      <c r="G4908" s="243">
        <f>TRUNC(VLOOKUP(B4908,tranp.!$A:$J,5,FALSE)*E4908+VLOOKUP(B4908,tranp.!$A:$J,6,FALSE)*F4908+VLOOKUP(B4908,tranp.!$A:$J,7,FALSE),2)</f>
        <v>29.08</v>
      </c>
      <c r="H4908" s="278">
        <v>3.1E-2</v>
      </c>
      <c r="I4908" s="243">
        <f t="shared" ref="I4908:I4909" si="66">TRUNC(G4908*H4908,2)</f>
        <v>0.9</v>
      </c>
      <c r="J4908" s="433" t="s">
        <v>121</v>
      </c>
    </row>
    <row r="4909" spans="1:10" x14ac:dyDescent="0.2">
      <c r="A4909" s="248" t="str">
        <f>VLOOKUP(B4909,tranp.!$A:$J,2,FALSE)</f>
        <v>Transporte de Sarrafo 10 X 2,5 cm</v>
      </c>
      <c r="B4909" s="238">
        <v>1096</v>
      </c>
      <c r="C4909" s="238" t="str">
        <f>VLOOKUP(B4909,tranp.!$A:$J,3,FALSE)</f>
        <v xml:space="preserve"> t  </v>
      </c>
      <c r="D4909" s="437" t="str">
        <f>VLOOKUP(B4909,tranp.!$A:$J,4,FALSE)</f>
        <v>0,676XP + 0,703XR</v>
      </c>
      <c r="E4909" s="277">
        <f>VLOOKUP(J4909,Ocor.!$B:$F,4,FALSE)</f>
        <v>37.200000000000003</v>
      </c>
      <c r="F4909" s="277">
        <f>VLOOKUP(J4909,Ocor.!$B:$F,5,FALSE)</f>
        <v>5.6</v>
      </c>
      <c r="G4909" s="243">
        <f>TRUNC(VLOOKUP(B4909,tranp.!$A:$J,5,FALSE)*E4909+VLOOKUP(B4909,tranp.!$A:$J,6,FALSE)*F4909+VLOOKUP(B4909,tranp.!$A:$J,7,FALSE),2)</f>
        <v>29.08</v>
      </c>
      <c r="H4909" s="278">
        <v>1.0999999999999999E-2</v>
      </c>
      <c r="I4909" s="243">
        <f t="shared" si="66"/>
        <v>0.31</v>
      </c>
      <c r="J4909" s="433" t="s">
        <v>121</v>
      </c>
    </row>
    <row r="4910" spans="1:10" x14ac:dyDescent="0.2">
      <c r="A4910" s="248" t="str">
        <f>VLOOKUP(B4910,tranp.!$A:$J,2,FALSE)</f>
        <v>Transp. de Taipá de 1ª com 2,5 cm</v>
      </c>
      <c r="B4910" s="238">
        <v>1115</v>
      </c>
      <c r="C4910" s="238" t="str">
        <f>VLOOKUP(B4910,tranp.!$A:$J,3,FALSE)</f>
        <v xml:space="preserve"> t  </v>
      </c>
      <c r="D4910" s="437" t="str">
        <f>VLOOKUP(B4910,tranp.!$A:$J,4,FALSE)</f>
        <v>0,676XP + 0,703XR</v>
      </c>
      <c r="E4910" s="277">
        <f>VLOOKUP(J4910,Ocor.!$B:$F,4,FALSE)</f>
        <v>37.200000000000003</v>
      </c>
      <c r="F4910" s="277">
        <f>VLOOKUP(J4910,Ocor.!$B:$F,5,FALSE)</f>
        <v>5.6</v>
      </c>
      <c r="G4910" s="243">
        <f>TRUNC(VLOOKUP(B4910,tranp.!$A:$J,5,FALSE)*E4910+VLOOKUP(B4910,tranp.!$A:$J,6,FALSE)*F4910+VLOOKUP(B4910,tranp.!$A:$J,7,FALSE),2)</f>
        <v>29.08</v>
      </c>
      <c r="H4910" s="278">
        <v>1.0999999999999999E-2</v>
      </c>
      <c r="I4910" s="243">
        <f>TRUNC(G4910*H4910,2)</f>
        <v>0.31</v>
      </c>
      <c r="J4910" s="433" t="s">
        <v>121</v>
      </c>
    </row>
    <row r="4911" spans="1:10" x14ac:dyDescent="0.2">
      <c r="A4911" s="201"/>
      <c r="B4911" s="271"/>
      <c r="C4911" s="201"/>
      <c r="D4911" s="201"/>
      <c r="E4911" s="201"/>
      <c r="F4911" s="272" t="s">
        <v>220</v>
      </c>
      <c r="G4911" s="244"/>
      <c r="H4911" s="279"/>
      <c r="I4911" s="434">
        <f>SUM(I4908:I4910)</f>
        <v>1.52</v>
      </c>
    </row>
    <row r="4912" spans="1:10" x14ac:dyDescent="0.2">
      <c r="A4912" s="201"/>
      <c r="B4912" s="271"/>
      <c r="C4912" s="201"/>
      <c r="D4912" s="201"/>
      <c r="E4912" s="201"/>
      <c r="F4912" s="201"/>
      <c r="G4912" s="201"/>
      <c r="H4912" s="201"/>
      <c r="I4912" s="202"/>
    </row>
    <row r="4913" spans="1:10" x14ac:dyDescent="0.2">
      <c r="A4913" s="280"/>
      <c r="B4913" s="281"/>
      <c r="C4913" s="282"/>
      <c r="D4913" s="282"/>
      <c r="E4913" s="282"/>
      <c r="F4913" s="283" t="s">
        <v>221</v>
      </c>
      <c r="G4913" s="280"/>
      <c r="H4913" s="254"/>
      <c r="I4913" s="634">
        <f>+I4895+I4902+I4905+I4911</f>
        <v>97.58</v>
      </c>
      <c r="J4913" s="446"/>
    </row>
    <row r="4914" spans="1:10" x14ac:dyDescent="0.2">
      <c r="A4914" s="260"/>
      <c r="B4914" s="284"/>
      <c r="C4914" s="273"/>
      <c r="D4914" s="273"/>
      <c r="E4914" s="273"/>
      <c r="F4914" s="285" t="str">
        <f>CONCATENATE($H$3," ",$I$3)</f>
        <v>BDI: 23,32</v>
      </c>
      <c r="G4914" s="439"/>
      <c r="H4914" s="258"/>
      <c r="I4914" s="635">
        <f>+ROUND(I4913*$I$4,2)</f>
        <v>22.76</v>
      </c>
    </row>
    <row r="4915" spans="1:10" x14ac:dyDescent="0.2">
      <c r="A4915" s="244"/>
      <c r="B4915" s="286"/>
      <c r="C4915" s="279"/>
      <c r="D4915" s="279"/>
      <c r="E4915" s="279"/>
      <c r="F4915" s="287" t="s">
        <v>222</v>
      </c>
      <c r="G4915" s="440"/>
      <c r="H4915" s="245"/>
      <c r="I4915" s="1017">
        <f>+I4913+I4914</f>
        <v>120.34</v>
      </c>
      <c r="J4915" s="446"/>
    </row>
  </sheetData>
  <mergeCells count="1311">
    <mergeCell ref="E4842:G4842"/>
    <mergeCell ref="H4856:I4856"/>
    <mergeCell ref="E4862:G4862"/>
    <mergeCell ref="H4862:I4862"/>
    <mergeCell ref="A4875:I4875"/>
    <mergeCell ref="A4877:H4878"/>
    <mergeCell ref="I4877:I4878"/>
    <mergeCell ref="E4883:G4883"/>
    <mergeCell ref="H4883:I4883"/>
    <mergeCell ref="G4889:I4889"/>
    <mergeCell ref="H4842:I4842"/>
    <mergeCell ref="G4848:I4848"/>
    <mergeCell ref="E4856:G4856"/>
    <mergeCell ref="E4897:G4897"/>
    <mergeCell ref="H4897:I4897"/>
    <mergeCell ref="E4904:G4904"/>
    <mergeCell ref="H4904:I4904"/>
    <mergeCell ref="A4637:I4637"/>
    <mergeCell ref="A4639:H4640"/>
    <mergeCell ref="I4639:I4640"/>
    <mergeCell ref="G4576:I4576"/>
    <mergeCell ref="A4602:H4603"/>
    <mergeCell ref="I4602:I4603"/>
    <mergeCell ref="H4778:I4778"/>
    <mergeCell ref="A4792:I4792"/>
    <mergeCell ref="A4794:H4795"/>
    <mergeCell ref="I4794:I4795"/>
    <mergeCell ref="E4800:G4800"/>
    <mergeCell ref="H4800:I4800"/>
    <mergeCell ref="E4645:G4645"/>
    <mergeCell ref="H4645:I4645"/>
    <mergeCell ref="G4650:I4650"/>
    <mergeCell ref="E4658:G4658"/>
    <mergeCell ref="H4658:I4658"/>
    <mergeCell ref="E4665:G4665"/>
    <mergeCell ref="H4665:I4665"/>
    <mergeCell ref="A4676:I4676"/>
    <mergeCell ref="A4678:H4679"/>
    <mergeCell ref="I4678:I4679"/>
    <mergeCell ref="G4690:I4690"/>
    <mergeCell ref="E4782:G4782"/>
    <mergeCell ref="H4782:I4782"/>
    <mergeCell ref="I4759:I4760"/>
    <mergeCell ref="H4765:I4765"/>
    <mergeCell ref="G4770:I4770"/>
    <mergeCell ref="E4778:G4778"/>
    <mergeCell ref="E4626:G4626"/>
    <mergeCell ref="H4626:I4626"/>
    <mergeCell ref="E4338:G4338"/>
    <mergeCell ref="H4338:I4338"/>
    <mergeCell ref="A4209:I4209"/>
    <mergeCell ref="A4211:H4212"/>
    <mergeCell ref="I4211:I4212"/>
    <mergeCell ref="E4219:G4219"/>
    <mergeCell ref="H4219:I4219"/>
    <mergeCell ref="G4225:I4225"/>
    <mergeCell ref="E4233:G4233"/>
    <mergeCell ref="H4233:I4233"/>
    <mergeCell ref="E4319:G4319"/>
    <mergeCell ref="H4319:I4319"/>
    <mergeCell ref="A4331:I4331"/>
    <mergeCell ref="A4333:H4334"/>
    <mergeCell ref="I4333:I4334"/>
    <mergeCell ref="E4279:G4279"/>
    <mergeCell ref="H4279:I4279"/>
    <mergeCell ref="A4291:I4291"/>
    <mergeCell ref="A4293:H4294"/>
    <mergeCell ref="I4293:I4294"/>
    <mergeCell ref="E4299:G4299"/>
    <mergeCell ref="H4299:I4299"/>
    <mergeCell ref="G4304:I4304"/>
    <mergeCell ref="E4312:G4312"/>
    <mergeCell ref="H4312:I4312"/>
    <mergeCell ref="G4149:I4149"/>
    <mergeCell ref="E4161:G4161"/>
    <mergeCell ref="H4161:I4161"/>
    <mergeCell ref="A4172:I4172"/>
    <mergeCell ref="A4174:H4175"/>
    <mergeCell ref="I4174:I4175"/>
    <mergeCell ref="E4182:G4182"/>
    <mergeCell ref="H4182:I4182"/>
    <mergeCell ref="G4186:I4186"/>
    <mergeCell ref="E4194:G4194"/>
    <mergeCell ref="H4194:I4194"/>
    <mergeCell ref="E4198:G4198"/>
    <mergeCell ref="H4198:I4198"/>
    <mergeCell ref="E4260:G4260"/>
    <mergeCell ref="H4260:I4260"/>
    <mergeCell ref="G4265:I4265"/>
    <mergeCell ref="E4273:G4273"/>
    <mergeCell ref="H4273:I4273"/>
    <mergeCell ref="E4239:G4239"/>
    <mergeCell ref="H4239:I4239"/>
    <mergeCell ref="A4252:I4252"/>
    <mergeCell ref="A4254:H4255"/>
    <mergeCell ref="I4254:I4255"/>
    <mergeCell ref="G4077:I4077"/>
    <mergeCell ref="E4089:G4089"/>
    <mergeCell ref="H4089:I4089"/>
    <mergeCell ref="A4100:I4100"/>
    <mergeCell ref="A4102:H4103"/>
    <mergeCell ref="I4102:I4103"/>
    <mergeCell ref="E4085:G4085"/>
    <mergeCell ref="H4085:I4085"/>
    <mergeCell ref="E4108:G4108"/>
    <mergeCell ref="H4108:I4108"/>
    <mergeCell ref="G4113:I4113"/>
    <mergeCell ref="E4125:G4125"/>
    <mergeCell ref="H4125:I4125"/>
    <mergeCell ref="A4136:I4136"/>
    <mergeCell ref="A4138:H4139"/>
    <mergeCell ref="I4138:I4139"/>
    <mergeCell ref="E4144:G4144"/>
    <mergeCell ref="H4144:I4144"/>
    <mergeCell ref="E4010:G4010"/>
    <mergeCell ref="H4010:I4010"/>
    <mergeCell ref="A4021:I4021"/>
    <mergeCell ref="A4023:H4024"/>
    <mergeCell ref="I4023:I4024"/>
    <mergeCell ref="E4031:G4031"/>
    <mergeCell ref="H4031:I4031"/>
    <mergeCell ref="G4037:I4037"/>
    <mergeCell ref="E4045:G4045"/>
    <mergeCell ref="H4045:I4045"/>
    <mergeCell ref="E4051:G4051"/>
    <mergeCell ref="H4051:I4051"/>
    <mergeCell ref="A4064:I4064"/>
    <mergeCell ref="A4066:H4067"/>
    <mergeCell ref="I4066:I4067"/>
    <mergeCell ref="E4072:G4072"/>
    <mergeCell ref="H4072:I4072"/>
    <mergeCell ref="I3748:I3749"/>
    <mergeCell ref="E3829:G3829"/>
    <mergeCell ref="H3829:I3829"/>
    <mergeCell ref="E3792:G3792"/>
    <mergeCell ref="H3792:I3792"/>
    <mergeCell ref="G3796:I3796"/>
    <mergeCell ref="E3803:G3803"/>
    <mergeCell ref="H3803:I3803"/>
    <mergeCell ref="E3806:G3806"/>
    <mergeCell ref="H3806:I3806"/>
    <mergeCell ref="A3817:I3817"/>
    <mergeCell ref="A3819:H3820"/>
    <mergeCell ref="I3819:I3820"/>
    <mergeCell ref="G3836:I3836"/>
    <mergeCell ref="E3844:G3844"/>
    <mergeCell ref="E3893:G3893"/>
    <mergeCell ref="H3893:I3893"/>
    <mergeCell ref="E3854:G3854"/>
    <mergeCell ref="H3854:I3854"/>
    <mergeCell ref="E3873:G3873"/>
    <mergeCell ref="H3873:I3873"/>
    <mergeCell ref="G3878:I3878"/>
    <mergeCell ref="E3886:G3886"/>
    <mergeCell ref="H3886:I3886"/>
    <mergeCell ref="A3865:I3865"/>
    <mergeCell ref="A3867:H3868"/>
    <mergeCell ref="I3867:I3868"/>
    <mergeCell ref="A3675:I3675"/>
    <mergeCell ref="A3677:H3678"/>
    <mergeCell ref="I3677:I3678"/>
    <mergeCell ref="E3683:G3683"/>
    <mergeCell ref="H3683:I3683"/>
    <mergeCell ref="G3687:I3687"/>
    <mergeCell ref="E3695:G3695"/>
    <mergeCell ref="H3695:I3695"/>
    <mergeCell ref="E3699:G3699"/>
    <mergeCell ref="H3699:I3699"/>
    <mergeCell ref="G3760:I3760"/>
    <mergeCell ref="E3768:G3768"/>
    <mergeCell ref="H3768:I3768"/>
    <mergeCell ref="E3772:G3772"/>
    <mergeCell ref="H3772:I3772"/>
    <mergeCell ref="A3783:I3783"/>
    <mergeCell ref="A3785:H3786"/>
    <mergeCell ref="I3785:I3786"/>
    <mergeCell ref="A3710:I3710"/>
    <mergeCell ref="A3712:H3713"/>
    <mergeCell ref="I3712:I3713"/>
    <mergeCell ref="E3718:G3718"/>
    <mergeCell ref="H3718:I3718"/>
    <mergeCell ref="G3723:I3723"/>
    <mergeCell ref="E3731:G3731"/>
    <mergeCell ref="H3731:I3731"/>
    <mergeCell ref="E3735:G3735"/>
    <mergeCell ref="H3735:I3735"/>
    <mergeCell ref="E3755:G3755"/>
    <mergeCell ref="H3755:I3755"/>
    <mergeCell ref="A3746:I3746"/>
    <mergeCell ref="A3748:H3749"/>
    <mergeCell ref="G3415:I3415"/>
    <mergeCell ref="E3423:G3423"/>
    <mergeCell ref="H3423:I3423"/>
    <mergeCell ref="A3439:I3439"/>
    <mergeCell ref="A3441:H3442"/>
    <mergeCell ref="I3441:I3442"/>
    <mergeCell ref="E3449:G3449"/>
    <mergeCell ref="H3449:I3449"/>
    <mergeCell ref="G3455:I3455"/>
    <mergeCell ref="E3463:G3463"/>
    <mergeCell ref="H3463:I3463"/>
    <mergeCell ref="E3471:G3471"/>
    <mergeCell ref="H3471:I3471"/>
    <mergeCell ref="A3485:I3485"/>
    <mergeCell ref="A3572:H3573"/>
    <mergeCell ref="I3572:I3573"/>
    <mergeCell ref="E3578:G3578"/>
    <mergeCell ref="H3578:I3578"/>
    <mergeCell ref="A3487:H3488"/>
    <mergeCell ref="I3487:I3488"/>
    <mergeCell ref="E3493:G3493"/>
    <mergeCell ref="H3493:I3493"/>
    <mergeCell ref="G3498:I3498"/>
    <mergeCell ref="E3506:G3506"/>
    <mergeCell ref="H3506:I3506"/>
    <mergeCell ref="E3513:G3513"/>
    <mergeCell ref="H3513:I3513"/>
    <mergeCell ref="A3527:I3527"/>
    <mergeCell ref="A3529:H3530"/>
    <mergeCell ref="I3529:I3530"/>
    <mergeCell ref="E3537:G3537"/>
    <mergeCell ref="E3557:G3557"/>
    <mergeCell ref="A3402:I3402"/>
    <mergeCell ref="A3404:H3405"/>
    <mergeCell ref="I3404:I3405"/>
    <mergeCell ref="E3410:G3410"/>
    <mergeCell ref="H3410:I3410"/>
    <mergeCell ref="E3317:G3317"/>
    <mergeCell ref="H3317:I3317"/>
    <mergeCell ref="A3329:I3329"/>
    <mergeCell ref="A3331:H3332"/>
    <mergeCell ref="I3331:I3332"/>
    <mergeCell ref="E3337:G3337"/>
    <mergeCell ref="H3337:I3337"/>
    <mergeCell ref="E3355:G3355"/>
    <mergeCell ref="H3355:I3355"/>
    <mergeCell ref="A3366:I3366"/>
    <mergeCell ref="A3368:H3369"/>
    <mergeCell ref="I3368:I3369"/>
    <mergeCell ref="I3295:I3296"/>
    <mergeCell ref="E3282:G3282"/>
    <mergeCell ref="H3282:I3282"/>
    <mergeCell ref="E3301:G3301"/>
    <mergeCell ref="H3301:I3301"/>
    <mergeCell ref="G3305:I3305"/>
    <mergeCell ref="E3313:G3313"/>
    <mergeCell ref="H3313:I3313"/>
    <mergeCell ref="E3374:G3374"/>
    <mergeCell ref="H3374:I3374"/>
    <mergeCell ref="G3378:I3378"/>
    <mergeCell ref="E3386:G3386"/>
    <mergeCell ref="H3386:I3386"/>
    <mergeCell ref="E3391:G3391"/>
    <mergeCell ref="H3391:I3391"/>
    <mergeCell ref="G3342:I3342"/>
    <mergeCell ref="E3350:G3350"/>
    <mergeCell ref="H3350:I3350"/>
    <mergeCell ref="A3293:I3293"/>
    <mergeCell ref="A3295:H3296"/>
    <mergeCell ref="E3092:G3092"/>
    <mergeCell ref="H3092:I3092"/>
    <mergeCell ref="E3056:G3056"/>
    <mergeCell ref="H3056:I3056"/>
    <mergeCell ref="A3067:I3067"/>
    <mergeCell ref="A3069:H3070"/>
    <mergeCell ref="I3069:I3070"/>
    <mergeCell ref="E3075:G3075"/>
    <mergeCell ref="H3075:I3075"/>
    <mergeCell ref="G3080:I3080"/>
    <mergeCell ref="E3088:G3088"/>
    <mergeCell ref="H3088:I3088"/>
    <mergeCell ref="H3149:I3149"/>
    <mergeCell ref="G3154:I3154"/>
    <mergeCell ref="E3162:G3162"/>
    <mergeCell ref="H3162:I3162"/>
    <mergeCell ref="E3168:G3168"/>
    <mergeCell ref="H3168:I3168"/>
    <mergeCell ref="A3103:I3103"/>
    <mergeCell ref="A3105:H3106"/>
    <mergeCell ref="I3105:I3106"/>
    <mergeCell ref="E3111:G3111"/>
    <mergeCell ref="H3111:I3111"/>
    <mergeCell ref="G3116:I3116"/>
    <mergeCell ref="E3124:G3124"/>
    <mergeCell ref="H3124:I3124"/>
    <mergeCell ref="E3129:G3129"/>
    <mergeCell ref="H3129:I3129"/>
    <mergeCell ref="A3141:I3141"/>
    <mergeCell ref="A3143:H3144"/>
    <mergeCell ref="I3143:I3144"/>
    <mergeCell ref="E3149:G3149"/>
    <mergeCell ref="A2999:H3000"/>
    <mergeCell ref="I2999:I3000"/>
    <mergeCell ref="E3005:G3005"/>
    <mergeCell ref="H3005:I3005"/>
    <mergeCell ref="G2939:I2939"/>
    <mergeCell ref="E2947:G2947"/>
    <mergeCell ref="H2947:I2947"/>
    <mergeCell ref="E2951:G2951"/>
    <mergeCell ref="H2951:I2951"/>
    <mergeCell ref="G3009:I3009"/>
    <mergeCell ref="E3017:G3017"/>
    <mergeCell ref="H3017:I3017"/>
    <mergeCell ref="E3021:G3021"/>
    <mergeCell ref="H3021:I3021"/>
    <mergeCell ref="A3032:I3032"/>
    <mergeCell ref="A3034:H3035"/>
    <mergeCell ref="I3034:I3035"/>
    <mergeCell ref="A2962:I2962"/>
    <mergeCell ref="A2964:H2965"/>
    <mergeCell ref="I2964:I2965"/>
    <mergeCell ref="E2970:G2970"/>
    <mergeCell ref="H2970:I2970"/>
    <mergeCell ref="G2974:I2974"/>
    <mergeCell ref="E2982:G2982"/>
    <mergeCell ref="H2982:I2982"/>
    <mergeCell ref="A2894:H2895"/>
    <mergeCell ref="I2894:I2895"/>
    <mergeCell ref="E2900:G2900"/>
    <mergeCell ref="H2900:I2900"/>
    <mergeCell ref="G2904:I2904"/>
    <mergeCell ref="E2912:G2912"/>
    <mergeCell ref="H2912:I2912"/>
    <mergeCell ref="E2916:G2916"/>
    <mergeCell ref="H2916:I2916"/>
    <mergeCell ref="A2927:I2927"/>
    <mergeCell ref="A2929:H2930"/>
    <mergeCell ref="I2929:I2930"/>
    <mergeCell ref="E2935:G2935"/>
    <mergeCell ref="H2935:I2935"/>
    <mergeCell ref="E2986:G2986"/>
    <mergeCell ref="H2986:I2986"/>
    <mergeCell ref="A2997:I2997"/>
    <mergeCell ref="H2829:I2829"/>
    <mergeCell ref="G2834:I2834"/>
    <mergeCell ref="E2842:G2842"/>
    <mergeCell ref="H2842:I2842"/>
    <mergeCell ref="E2846:G2846"/>
    <mergeCell ref="H2846:I2846"/>
    <mergeCell ref="A2857:I2857"/>
    <mergeCell ref="A2859:H2860"/>
    <mergeCell ref="I2859:I2860"/>
    <mergeCell ref="E2865:G2865"/>
    <mergeCell ref="H2865:I2865"/>
    <mergeCell ref="G2869:I2869"/>
    <mergeCell ref="E2877:G2877"/>
    <mergeCell ref="H2877:I2877"/>
    <mergeCell ref="E2881:G2881"/>
    <mergeCell ref="H2881:I2881"/>
    <mergeCell ref="A2892:I2892"/>
    <mergeCell ref="A2603:I2603"/>
    <mergeCell ref="A2605:H2606"/>
    <mergeCell ref="I2605:I2606"/>
    <mergeCell ref="E2611:G2611"/>
    <mergeCell ref="H2611:I2611"/>
    <mergeCell ref="G2614:I2614"/>
    <mergeCell ref="E2621:G2621"/>
    <mergeCell ref="H2621:I2621"/>
    <mergeCell ref="A2748:I2748"/>
    <mergeCell ref="A2750:H2751"/>
    <mergeCell ref="I2750:I2751"/>
    <mergeCell ref="E2756:G2756"/>
    <mergeCell ref="H2756:I2756"/>
    <mergeCell ref="G2761:I2761"/>
    <mergeCell ref="E2769:G2769"/>
    <mergeCell ref="H2769:I2769"/>
    <mergeCell ref="E2773:G2773"/>
    <mergeCell ref="H2773:I2773"/>
    <mergeCell ref="E2646:G2646"/>
    <mergeCell ref="H2646:I2646"/>
    <mergeCell ref="G2652:I2652"/>
    <mergeCell ref="E2660:G2660"/>
    <mergeCell ref="H2660:I2660"/>
    <mergeCell ref="E2664:G2664"/>
    <mergeCell ref="H2664:I2664"/>
    <mergeCell ref="A2675:I2675"/>
    <mergeCell ref="A2677:H2678"/>
    <mergeCell ref="I2677:I2678"/>
    <mergeCell ref="E2683:G2683"/>
    <mergeCell ref="H2683:I2683"/>
    <mergeCell ref="G2689:I2689"/>
    <mergeCell ref="E2697:G2697"/>
    <mergeCell ref="E2534:G2534"/>
    <mergeCell ref="H2534:I2534"/>
    <mergeCell ref="G2540:I2540"/>
    <mergeCell ref="E2548:G2548"/>
    <mergeCell ref="H2548:I2548"/>
    <mergeCell ref="E2552:G2552"/>
    <mergeCell ref="H2552:I2552"/>
    <mergeCell ref="A2566:I2566"/>
    <mergeCell ref="A2568:H2569"/>
    <mergeCell ref="I2568:I2569"/>
    <mergeCell ref="E2574:G2574"/>
    <mergeCell ref="H2574:I2574"/>
    <mergeCell ref="G2580:I2580"/>
    <mergeCell ref="E2588:G2588"/>
    <mergeCell ref="H2588:I2588"/>
    <mergeCell ref="E2592:G2592"/>
    <mergeCell ref="H2592:I2592"/>
    <mergeCell ref="E2475:G2475"/>
    <mergeCell ref="H2475:I2475"/>
    <mergeCell ref="E2479:G2479"/>
    <mergeCell ref="H2479:I2479"/>
    <mergeCell ref="A2490:I2490"/>
    <mergeCell ref="A2492:H2493"/>
    <mergeCell ref="I2492:I2493"/>
    <mergeCell ref="E2498:G2498"/>
    <mergeCell ref="H2498:I2498"/>
    <mergeCell ref="G2503:I2503"/>
    <mergeCell ref="E2511:G2511"/>
    <mergeCell ref="H2511:I2511"/>
    <mergeCell ref="E2515:G2515"/>
    <mergeCell ref="H2515:I2515"/>
    <mergeCell ref="A2526:I2526"/>
    <mergeCell ref="A2528:H2529"/>
    <mergeCell ref="I2528:I2529"/>
    <mergeCell ref="H145:I145"/>
    <mergeCell ref="E149:G149"/>
    <mergeCell ref="E186:G186"/>
    <mergeCell ref="H186:I186"/>
    <mergeCell ref="E182:G182"/>
    <mergeCell ref="H149:I149"/>
    <mergeCell ref="A160:I160"/>
    <mergeCell ref="H1824:I1824"/>
    <mergeCell ref="E1947:G1947"/>
    <mergeCell ref="E4121:G4121"/>
    <mergeCell ref="H4121:I4121"/>
    <mergeCell ref="E4157:G4157"/>
    <mergeCell ref="H4157:I4157"/>
    <mergeCell ref="A119:I119"/>
    <mergeCell ref="A121:H122"/>
    <mergeCell ref="I121:I122"/>
    <mergeCell ref="E132:G132"/>
    <mergeCell ref="H132:I132"/>
    <mergeCell ref="G137:I137"/>
    <mergeCell ref="E145:G145"/>
    <mergeCell ref="A162:H163"/>
    <mergeCell ref="I162:I163"/>
    <mergeCell ref="E168:G168"/>
    <mergeCell ref="H168:I168"/>
    <mergeCell ref="G174:I174"/>
    <mergeCell ref="H224:I224"/>
    <mergeCell ref="A267:I267"/>
    <mergeCell ref="A269:H270"/>
    <mergeCell ref="E2366:G2366"/>
    <mergeCell ref="H2366:I2366"/>
    <mergeCell ref="A2378:I2378"/>
    <mergeCell ref="A2380:H2381"/>
    <mergeCell ref="H108:I108"/>
    <mergeCell ref="A1:I1"/>
    <mergeCell ref="A78:I78"/>
    <mergeCell ref="A80:H81"/>
    <mergeCell ref="A5:I5"/>
    <mergeCell ref="A7:H8"/>
    <mergeCell ref="I7:I8"/>
    <mergeCell ref="E13:G13"/>
    <mergeCell ref="H13:I13"/>
    <mergeCell ref="G18:I18"/>
    <mergeCell ref="E26:G26"/>
    <mergeCell ref="H26:I26"/>
    <mergeCell ref="E30:G30"/>
    <mergeCell ref="H30:I30"/>
    <mergeCell ref="E63:G63"/>
    <mergeCell ref="H63:I63"/>
    <mergeCell ref="A41:I41"/>
    <mergeCell ref="E91:G91"/>
    <mergeCell ref="H91:I91"/>
    <mergeCell ref="G55:I55"/>
    <mergeCell ref="I80:I81"/>
    <mergeCell ref="E67:G67"/>
    <mergeCell ref="H67:I67"/>
    <mergeCell ref="A43:H44"/>
    <mergeCell ref="I43:I44"/>
    <mergeCell ref="E50:G50"/>
    <mergeCell ref="H50:I50"/>
    <mergeCell ref="G96:I96"/>
    <mergeCell ref="E104:G104"/>
    <mergeCell ref="H104:I104"/>
    <mergeCell ref="E108:G108"/>
    <mergeCell ref="A300:I300"/>
    <mergeCell ref="E1402:G1402"/>
    <mergeCell ref="E1824:G1824"/>
    <mergeCell ref="H758:I758"/>
    <mergeCell ref="E683:G683"/>
    <mergeCell ref="H683:I683"/>
    <mergeCell ref="E537:G537"/>
    <mergeCell ref="H537:I537"/>
    <mergeCell ref="A550:I550"/>
    <mergeCell ref="A552:H553"/>
    <mergeCell ref="I552:I553"/>
    <mergeCell ref="A772:I772"/>
    <mergeCell ref="A774:H775"/>
    <mergeCell ref="I774:I775"/>
    <mergeCell ref="E779:G779"/>
    <mergeCell ref="H779:I779"/>
    <mergeCell ref="G782:I782"/>
    <mergeCell ref="E789:G789"/>
    <mergeCell ref="H789:I789"/>
    <mergeCell ref="E792:G792"/>
    <mergeCell ref="H792:I792"/>
    <mergeCell ref="A806:I806"/>
    <mergeCell ref="A808:H809"/>
    <mergeCell ref="A989:I989"/>
    <mergeCell ref="G1701:I1701"/>
    <mergeCell ref="H1402:I1402"/>
    <mergeCell ref="E1189:G1189"/>
    <mergeCell ref="H1189:I1189"/>
    <mergeCell ref="G1194:I1194"/>
    <mergeCell ref="E1202:G1202"/>
    <mergeCell ref="H1202:I1202"/>
    <mergeCell ref="E1206:G1206"/>
    <mergeCell ref="A202:H203"/>
    <mergeCell ref="I202:I203"/>
    <mergeCell ref="E208:G208"/>
    <mergeCell ref="H208:I208"/>
    <mergeCell ref="G212:I212"/>
    <mergeCell ref="E220:G220"/>
    <mergeCell ref="H220:I220"/>
    <mergeCell ref="E224:G224"/>
    <mergeCell ref="H290:I290"/>
    <mergeCell ref="E290:G290"/>
    <mergeCell ref="A236:I236"/>
    <mergeCell ref="A238:H239"/>
    <mergeCell ref="I238:I239"/>
    <mergeCell ref="E243:G243"/>
    <mergeCell ref="H243:I243"/>
    <mergeCell ref="G246:I246"/>
    <mergeCell ref="E253:G253"/>
    <mergeCell ref="H253:I253"/>
    <mergeCell ref="E256:G256"/>
    <mergeCell ref="H256:I256"/>
    <mergeCell ref="H286:I286"/>
    <mergeCell ref="I269:I270"/>
    <mergeCell ref="E274:G274"/>
    <mergeCell ref="H274:I274"/>
    <mergeCell ref="G278:I278"/>
    <mergeCell ref="E286:G286"/>
    <mergeCell ref="H1206:I1206"/>
    <mergeCell ref="A1221:I1221"/>
    <mergeCell ref="A1223:H1224"/>
    <mergeCell ref="E745:G745"/>
    <mergeCell ref="H745:I745"/>
    <mergeCell ref="E938:G938"/>
    <mergeCell ref="H938:I938"/>
    <mergeCell ref="A952:I952"/>
    <mergeCell ref="A954:H955"/>
    <mergeCell ref="H182:I182"/>
    <mergeCell ref="A302:H303"/>
    <mergeCell ref="I302:I303"/>
    <mergeCell ref="E308:G308"/>
    <mergeCell ref="H308:I308"/>
    <mergeCell ref="G312:I312"/>
    <mergeCell ref="E320:G320"/>
    <mergeCell ref="H320:I320"/>
    <mergeCell ref="E324:G324"/>
    <mergeCell ref="H324:I324"/>
    <mergeCell ref="A372:I372"/>
    <mergeCell ref="A374:H375"/>
    <mergeCell ref="I374:I375"/>
    <mergeCell ref="E380:G380"/>
    <mergeCell ref="H380:I380"/>
    <mergeCell ref="A200:I200"/>
    <mergeCell ref="I954:I955"/>
    <mergeCell ref="E960:G960"/>
    <mergeCell ref="H960:I960"/>
    <mergeCell ref="G965:I965"/>
    <mergeCell ref="E973:G973"/>
    <mergeCell ref="H973:I973"/>
    <mergeCell ref="E977:G977"/>
    <mergeCell ref="E904:G904"/>
    <mergeCell ref="H904:I904"/>
    <mergeCell ref="E826:G826"/>
    <mergeCell ref="H826:I826"/>
    <mergeCell ref="E830:G830"/>
    <mergeCell ref="H830:I830"/>
    <mergeCell ref="A845:I845"/>
    <mergeCell ref="A847:H848"/>
    <mergeCell ref="I847:I848"/>
    <mergeCell ref="E853:G853"/>
    <mergeCell ref="H853:I853"/>
    <mergeCell ref="G857:I857"/>
    <mergeCell ref="E865:G865"/>
    <mergeCell ref="H865:I865"/>
    <mergeCell ref="E869:G869"/>
    <mergeCell ref="H869:I869"/>
    <mergeCell ref="A884:I884"/>
    <mergeCell ref="A886:H887"/>
    <mergeCell ref="I886:I887"/>
    <mergeCell ref="G894:I894"/>
    <mergeCell ref="E901:G901"/>
    <mergeCell ref="H901:I901"/>
    <mergeCell ref="E891:G891"/>
    <mergeCell ref="H891:I891"/>
    <mergeCell ref="E1166:G1166"/>
    <mergeCell ref="H1166:I1166"/>
    <mergeCell ref="A1181:I1181"/>
    <mergeCell ref="A1183:H1184"/>
    <mergeCell ref="I1183:I1184"/>
    <mergeCell ref="E1054:G1054"/>
    <mergeCell ref="H1054:I1054"/>
    <mergeCell ref="A1069:I1069"/>
    <mergeCell ref="A1071:H1072"/>
    <mergeCell ref="I1071:I1072"/>
    <mergeCell ref="E1077:G1077"/>
    <mergeCell ref="H1077:I1077"/>
    <mergeCell ref="G1082:I1082"/>
    <mergeCell ref="E1090:G1090"/>
    <mergeCell ref="H1090:I1090"/>
    <mergeCell ref="E1094:G1094"/>
    <mergeCell ref="H1094:I1094"/>
    <mergeCell ref="A1108:I1108"/>
    <mergeCell ref="A1110:H1111"/>
    <mergeCell ref="I1110:I1111"/>
    <mergeCell ref="E1116:G1116"/>
    <mergeCell ref="H1116:I1116"/>
    <mergeCell ref="E1129:G1129"/>
    <mergeCell ref="H1129:I1129"/>
    <mergeCell ref="H1170:I1170"/>
    <mergeCell ref="E1170:G1170"/>
    <mergeCell ref="G1121:I1121"/>
    <mergeCell ref="E1133:G1133"/>
    <mergeCell ref="H1133:I1133"/>
    <mergeCell ref="A1146:I1146"/>
    <mergeCell ref="A1148:H1149"/>
    <mergeCell ref="I1148:I1149"/>
    <mergeCell ref="I1223:I1224"/>
    <mergeCell ref="E1229:G1229"/>
    <mergeCell ref="H1229:I1229"/>
    <mergeCell ref="G1235:I1235"/>
    <mergeCell ref="E1243:G1243"/>
    <mergeCell ref="H1243:I1243"/>
    <mergeCell ref="E1249:G1249"/>
    <mergeCell ref="H1249:I1249"/>
    <mergeCell ref="A444:I444"/>
    <mergeCell ref="A446:H447"/>
    <mergeCell ref="I446:I447"/>
    <mergeCell ref="E452:G452"/>
    <mergeCell ref="H452:I452"/>
    <mergeCell ref="G456:I456"/>
    <mergeCell ref="E464:G464"/>
    <mergeCell ref="H464:I464"/>
    <mergeCell ref="A336:I336"/>
    <mergeCell ref="A338:H339"/>
    <mergeCell ref="E344:G344"/>
    <mergeCell ref="H344:I344"/>
    <mergeCell ref="G348:I348"/>
    <mergeCell ref="E356:G356"/>
    <mergeCell ref="H356:I356"/>
    <mergeCell ref="E360:G360"/>
    <mergeCell ref="H360:I360"/>
    <mergeCell ref="E396:G396"/>
    <mergeCell ref="H396:I396"/>
    <mergeCell ref="A408:I408"/>
    <mergeCell ref="A410:H411"/>
    <mergeCell ref="I338:I339"/>
    <mergeCell ref="G384:I384"/>
    <mergeCell ref="E392:G392"/>
    <mergeCell ref="H392:I392"/>
    <mergeCell ref="H432:I432"/>
    <mergeCell ref="A480:I480"/>
    <mergeCell ref="A482:H483"/>
    <mergeCell ref="I482:I483"/>
    <mergeCell ref="E488:G488"/>
    <mergeCell ref="H488:I488"/>
    <mergeCell ref="G492:I492"/>
    <mergeCell ref="E500:G500"/>
    <mergeCell ref="H500:I500"/>
    <mergeCell ref="E504:G504"/>
    <mergeCell ref="H504:I504"/>
    <mergeCell ref="A516:I516"/>
    <mergeCell ref="A518:H519"/>
    <mergeCell ref="I518:I519"/>
    <mergeCell ref="E524:G524"/>
    <mergeCell ref="H524:I524"/>
    <mergeCell ref="E468:G468"/>
    <mergeCell ref="H468:I468"/>
    <mergeCell ref="I410:I411"/>
    <mergeCell ref="E416:G416"/>
    <mergeCell ref="H416:I416"/>
    <mergeCell ref="G420:I420"/>
    <mergeCell ref="E428:G428"/>
    <mergeCell ref="H428:I428"/>
    <mergeCell ref="E432:G432"/>
    <mergeCell ref="G527:I527"/>
    <mergeCell ref="E534:G534"/>
    <mergeCell ref="H534:I534"/>
    <mergeCell ref="G562:I562"/>
    <mergeCell ref="E570:G570"/>
    <mergeCell ref="H570:I570"/>
    <mergeCell ref="E574:G574"/>
    <mergeCell ref="H574:I574"/>
    <mergeCell ref="A588:I588"/>
    <mergeCell ref="A590:H591"/>
    <mergeCell ref="I590:I591"/>
    <mergeCell ref="E596:G596"/>
    <mergeCell ref="H596:I596"/>
    <mergeCell ref="G600:I600"/>
    <mergeCell ref="E608:G608"/>
    <mergeCell ref="H608:I608"/>
    <mergeCell ref="E612:G612"/>
    <mergeCell ref="H612:I612"/>
    <mergeCell ref="E558:G558"/>
    <mergeCell ref="H558:I558"/>
    <mergeCell ref="A626:I626"/>
    <mergeCell ref="A628:H629"/>
    <mergeCell ref="I628:I629"/>
    <mergeCell ref="E634:G634"/>
    <mergeCell ref="H634:I634"/>
    <mergeCell ref="G638:I638"/>
    <mergeCell ref="E646:G646"/>
    <mergeCell ref="H646:I646"/>
    <mergeCell ref="E650:G650"/>
    <mergeCell ref="H650:I650"/>
    <mergeCell ref="A663:I663"/>
    <mergeCell ref="A665:H666"/>
    <mergeCell ref="I665:I666"/>
    <mergeCell ref="E671:G671"/>
    <mergeCell ref="H671:I671"/>
    <mergeCell ref="G675:I675"/>
    <mergeCell ref="E687:G687"/>
    <mergeCell ref="H687:I687"/>
    <mergeCell ref="A738:I738"/>
    <mergeCell ref="A740:H741"/>
    <mergeCell ref="I740:I741"/>
    <mergeCell ref="A700:I700"/>
    <mergeCell ref="A702:H703"/>
    <mergeCell ref="I702:I703"/>
    <mergeCell ref="E708:G708"/>
    <mergeCell ref="H708:I708"/>
    <mergeCell ref="G712:I712"/>
    <mergeCell ref="E720:G720"/>
    <mergeCell ref="H720:I720"/>
    <mergeCell ref="E724:G724"/>
    <mergeCell ref="H724:I724"/>
    <mergeCell ref="I808:I809"/>
    <mergeCell ref="E814:G814"/>
    <mergeCell ref="H814:I814"/>
    <mergeCell ref="G818:I818"/>
    <mergeCell ref="G748:I748"/>
    <mergeCell ref="E755:G755"/>
    <mergeCell ref="H755:I755"/>
    <mergeCell ref="E758:G758"/>
    <mergeCell ref="E1154:G1154"/>
    <mergeCell ref="H1154:I1154"/>
    <mergeCell ref="G1158:I1158"/>
    <mergeCell ref="E1010:G1010"/>
    <mergeCell ref="H1010:I1010"/>
    <mergeCell ref="A918:I918"/>
    <mergeCell ref="A920:H921"/>
    <mergeCell ref="I920:I921"/>
    <mergeCell ref="E925:G925"/>
    <mergeCell ref="H925:I925"/>
    <mergeCell ref="G928:I928"/>
    <mergeCell ref="E935:G935"/>
    <mergeCell ref="H935:I935"/>
    <mergeCell ref="E997:G997"/>
    <mergeCell ref="H997:I997"/>
    <mergeCell ref="G1002:I1002"/>
    <mergeCell ref="E1014:G1014"/>
    <mergeCell ref="H1014:I1014"/>
    <mergeCell ref="A1030:I1030"/>
    <mergeCell ref="A1032:H1033"/>
    <mergeCell ref="I1032:I1033"/>
    <mergeCell ref="E1038:G1038"/>
    <mergeCell ref="H1038:I1038"/>
    <mergeCell ref="G1042:I1042"/>
    <mergeCell ref="E1050:G1050"/>
    <mergeCell ref="H1050:I1050"/>
    <mergeCell ref="A991:H992"/>
    <mergeCell ref="I991:I992"/>
    <mergeCell ref="H977:I977"/>
    <mergeCell ref="A1263:I1263"/>
    <mergeCell ref="A1265:H1266"/>
    <mergeCell ref="I1265:I1266"/>
    <mergeCell ref="E1270:G1270"/>
    <mergeCell ref="H1270:I1270"/>
    <mergeCell ref="G1274:I1274"/>
    <mergeCell ref="E1281:G1281"/>
    <mergeCell ref="H1281:I1281"/>
    <mergeCell ref="E1284:G1284"/>
    <mergeCell ref="H1284:I1284"/>
    <mergeCell ref="A1297:I1297"/>
    <mergeCell ref="A1299:H1300"/>
    <mergeCell ref="I1299:I1300"/>
    <mergeCell ref="E1304:G1304"/>
    <mergeCell ref="H1304:I1304"/>
    <mergeCell ref="G1307:I1307"/>
    <mergeCell ref="E1314:G1314"/>
    <mergeCell ref="H1314:I1314"/>
    <mergeCell ref="E1317:G1317"/>
    <mergeCell ref="H1317:I1317"/>
    <mergeCell ref="A1331:I1331"/>
    <mergeCell ref="A1333:H1334"/>
    <mergeCell ref="I1333:I1334"/>
    <mergeCell ref="E1345:G1345"/>
    <mergeCell ref="H1345:I1345"/>
    <mergeCell ref="G1350:I1350"/>
    <mergeCell ref="E1358:G1358"/>
    <mergeCell ref="H1358:I1358"/>
    <mergeCell ref="E1362:G1362"/>
    <mergeCell ref="H1362:I1362"/>
    <mergeCell ref="A1375:H1376"/>
    <mergeCell ref="I1375:I1376"/>
    <mergeCell ref="E1388:G1388"/>
    <mergeCell ref="H1388:I1388"/>
    <mergeCell ref="G1394:I1394"/>
    <mergeCell ref="A1373:I1373"/>
    <mergeCell ref="E1406:G1406"/>
    <mergeCell ref="H1406:I1406"/>
    <mergeCell ref="A1417:I1417"/>
    <mergeCell ref="A1419:H1420"/>
    <mergeCell ref="I1419:I1420"/>
    <mergeCell ref="E1432:G1432"/>
    <mergeCell ref="H1432:I1432"/>
    <mergeCell ref="G1438:I1438"/>
    <mergeCell ref="E1446:G1446"/>
    <mergeCell ref="H1446:I1446"/>
    <mergeCell ref="E1450:G1450"/>
    <mergeCell ref="H1450:I1450"/>
    <mergeCell ref="A1460:I1460"/>
    <mergeCell ref="A1462:H1463"/>
    <mergeCell ref="I1462:I1463"/>
    <mergeCell ref="E1472:G1472"/>
    <mergeCell ref="H1472:I1472"/>
    <mergeCell ref="G1478:I1478"/>
    <mergeCell ref="E1486:G1486"/>
    <mergeCell ref="H1486:I1486"/>
    <mergeCell ref="E1490:G1490"/>
    <mergeCell ref="H1490:I1490"/>
    <mergeCell ref="A1499:I1499"/>
    <mergeCell ref="A1501:H1502"/>
    <mergeCell ref="I1501:I1502"/>
    <mergeCell ref="E1510:G1510"/>
    <mergeCell ref="H1510:I1510"/>
    <mergeCell ref="G1515:I1515"/>
    <mergeCell ref="E1523:G1523"/>
    <mergeCell ref="H1523:I1523"/>
    <mergeCell ref="E1526:G1526"/>
    <mergeCell ref="H1526:I1526"/>
    <mergeCell ref="A1535:I1535"/>
    <mergeCell ref="A1537:H1538"/>
    <mergeCell ref="I1537:I1538"/>
    <mergeCell ref="E1550:G1550"/>
    <mergeCell ref="H1550:I1550"/>
    <mergeCell ref="G1555:I1555"/>
    <mergeCell ref="E1563:G1563"/>
    <mergeCell ref="H1563:I1563"/>
    <mergeCell ref="E1568:G1568"/>
    <mergeCell ref="H1568:I1568"/>
    <mergeCell ref="A1580:I1580"/>
    <mergeCell ref="A1582:H1583"/>
    <mergeCell ref="I1582:I1583"/>
    <mergeCell ref="E1587:G1587"/>
    <mergeCell ref="H1587:I1587"/>
    <mergeCell ref="G1590:I1590"/>
    <mergeCell ref="E1599:G1599"/>
    <mergeCell ref="H1599:I1599"/>
    <mergeCell ref="E1603:G1603"/>
    <mergeCell ref="H1603:I1603"/>
    <mergeCell ref="A1612:I1612"/>
    <mergeCell ref="A1614:H1615"/>
    <mergeCell ref="I1614:I1615"/>
    <mergeCell ref="E1624:G1624"/>
    <mergeCell ref="H1624:I1624"/>
    <mergeCell ref="G1630:I1630"/>
    <mergeCell ref="E1638:G1638"/>
    <mergeCell ref="H1638:I1638"/>
    <mergeCell ref="E1644:G1644"/>
    <mergeCell ref="H1644:I1644"/>
    <mergeCell ref="A1657:I1657"/>
    <mergeCell ref="A1659:H1660"/>
    <mergeCell ref="I1659:I1660"/>
    <mergeCell ref="E1665:G1665"/>
    <mergeCell ref="H1665:I1665"/>
    <mergeCell ref="G1669:I1669"/>
    <mergeCell ref="E1677:G1677"/>
    <mergeCell ref="H1677:I1677"/>
    <mergeCell ref="E1681:G1681"/>
    <mergeCell ref="H1681:I1681"/>
    <mergeCell ref="A1691:I1691"/>
    <mergeCell ref="A1693:H1694"/>
    <mergeCell ref="I1693:I1694"/>
    <mergeCell ref="E1698:G1698"/>
    <mergeCell ref="H1698:I1698"/>
    <mergeCell ref="E1708:G1708"/>
    <mergeCell ref="H1708:I1708"/>
    <mergeCell ref="E1712:G1712"/>
    <mergeCell ref="H1712:I1712"/>
    <mergeCell ref="A1720:I1720"/>
    <mergeCell ref="A1722:H1723"/>
    <mergeCell ref="I1722:I1723"/>
    <mergeCell ref="E1727:G1727"/>
    <mergeCell ref="H1727:I1727"/>
    <mergeCell ref="G1730:I1730"/>
    <mergeCell ref="E1737:G1737"/>
    <mergeCell ref="H1737:I1737"/>
    <mergeCell ref="E1741:G1741"/>
    <mergeCell ref="H1741:I1741"/>
    <mergeCell ref="A1749:I1749"/>
    <mergeCell ref="A1751:H1752"/>
    <mergeCell ref="I1751:I1752"/>
    <mergeCell ref="E1757:G1757"/>
    <mergeCell ref="H1757:I1757"/>
    <mergeCell ref="G1761:I1761"/>
    <mergeCell ref="E1769:G1769"/>
    <mergeCell ref="H1769:I1769"/>
    <mergeCell ref="E1773:G1773"/>
    <mergeCell ref="H1773:I1773"/>
    <mergeCell ref="A1783:I1783"/>
    <mergeCell ref="A1785:H1786"/>
    <mergeCell ref="I1785:I1786"/>
    <mergeCell ref="E1791:G1791"/>
    <mergeCell ref="H1791:I1791"/>
    <mergeCell ref="G1795:I1795"/>
    <mergeCell ref="E1803:G1803"/>
    <mergeCell ref="H1803:I1803"/>
    <mergeCell ref="E1807:G1807"/>
    <mergeCell ref="H1807:I1807"/>
    <mergeCell ref="A1817:I1817"/>
    <mergeCell ref="A1819:H1820"/>
    <mergeCell ref="I1819:I1820"/>
    <mergeCell ref="G1829:I1829"/>
    <mergeCell ref="E1843:G1843"/>
    <mergeCell ref="H1843:I1843"/>
    <mergeCell ref="A1856:I1856"/>
    <mergeCell ref="A1858:H1859"/>
    <mergeCell ref="I1858:I1859"/>
    <mergeCell ref="E1864:G1864"/>
    <mergeCell ref="H1864:I1864"/>
    <mergeCell ref="G1869:I1869"/>
    <mergeCell ref="E1877:G1877"/>
    <mergeCell ref="H1877:I1877"/>
    <mergeCell ref="E1881:G1881"/>
    <mergeCell ref="H1881:I1881"/>
    <mergeCell ref="A1892:I1892"/>
    <mergeCell ref="A1894:H1895"/>
    <mergeCell ref="I1894:I1895"/>
    <mergeCell ref="E1900:G1900"/>
    <mergeCell ref="H1900:I1900"/>
    <mergeCell ref="E1837:G1837"/>
    <mergeCell ref="H1837:I1837"/>
    <mergeCell ref="G1906:I1906"/>
    <mergeCell ref="E1914:G1914"/>
    <mergeCell ref="H1914:I1914"/>
    <mergeCell ref="E1923:G1923"/>
    <mergeCell ref="H1923:I1923"/>
    <mergeCell ref="A1938:I1938"/>
    <mergeCell ref="A1940:H1941"/>
    <mergeCell ref="I1940:I1941"/>
    <mergeCell ref="G1952:I1952"/>
    <mergeCell ref="E1960:G1960"/>
    <mergeCell ref="H1960:I1960"/>
    <mergeCell ref="E1966:G1966"/>
    <mergeCell ref="H1966:I1966"/>
    <mergeCell ref="A1979:I1979"/>
    <mergeCell ref="A1981:H1982"/>
    <mergeCell ref="I1981:I1982"/>
    <mergeCell ref="E1990:G1990"/>
    <mergeCell ref="H1990:I1990"/>
    <mergeCell ref="H1947:I1947"/>
    <mergeCell ref="G1995:I1995"/>
    <mergeCell ref="E2003:G2003"/>
    <mergeCell ref="H2003:I2003"/>
    <mergeCell ref="E2010:G2010"/>
    <mergeCell ref="H2010:I2010"/>
    <mergeCell ref="A2019:I2019"/>
    <mergeCell ref="A2021:H2022"/>
    <mergeCell ref="I2021:I2022"/>
    <mergeCell ref="E2029:G2029"/>
    <mergeCell ref="H2029:I2029"/>
    <mergeCell ref="G2035:I2035"/>
    <mergeCell ref="E2043:G2043"/>
    <mergeCell ref="H2043:I2043"/>
    <mergeCell ref="E2048:G2048"/>
    <mergeCell ref="H2048:I2048"/>
    <mergeCell ref="A2059:I2059"/>
    <mergeCell ref="A2061:H2062"/>
    <mergeCell ref="I2061:I2062"/>
    <mergeCell ref="E2069:G2069"/>
    <mergeCell ref="H2069:I2069"/>
    <mergeCell ref="G2075:I2075"/>
    <mergeCell ref="E2082:G2082"/>
    <mergeCell ref="H2082:I2082"/>
    <mergeCell ref="E2087:G2087"/>
    <mergeCell ref="H2087:I2087"/>
    <mergeCell ref="A2096:I2096"/>
    <mergeCell ref="A2098:H2099"/>
    <mergeCell ref="I2098:I2099"/>
    <mergeCell ref="E2106:G2106"/>
    <mergeCell ref="H2106:I2106"/>
    <mergeCell ref="G2112:I2112"/>
    <mergeCell ref="E2119:G2119"/>
    <mergeCell ref="H2119:I2119"/>
    <mergeCell ref="E2124:G2124"/>
    <mergeCell ref="H2124:I2124"/>
    <mergeCell ref="A2133:I2133"/>
    <mergeCell ref="A2135:H2136"/>
    <mergeCell ref="I2135:I2136"/>
    <mergeCell ref="G2150:I2150"/>
    <mergeCell ref="E2158:G2158"/>
    <mergeCell ref="H2158:I2158"/>
    <mergeCell ref="E2171:G2171"/>
    <mergeCell ref="H2171:I2171"/>
    <mergeCell ref="A2182:I2182"/>
    <mergeCell ref="A2184:H2185"/>
    <mergeCell ref="I2184:I2185"/>
    <mergeCell ref="E2190:G2190"/>
    <mergeCell ref="H2190:I2190"/>
    <mergeCell ref="G2196:I2196"/>
    <mergeCell ref="E2208:G2208"/>
    <mergeCell ref="H2208:I2208"/>
    <mergeCell ref="A2219:I2219"/>
    <mergeCell ref="H2144:I2144"/>
    <mergeCell ref="E2144:G2144"/>
    <mergeCell ref="A2221:H2222"/>
    <mergeCell ref="I2221:I2222"/>
    <mergeCell ref="E2227:G2227"/>
    <mergeCell ref="H2227:I2227"/>
    <mergeCell ref="G2231:I2231"/>
    <mergeCell ref="E2239:G2239"/>
    <mergeCell ref="H2239:I2239"/>
    <mergeCell ref="E2243:G2243"/>
    <mergeCell ref="H2243:I2243"/>
    <mergeCell ref="E2204:G2204"/>
    <mergeCell ref="H2204:I2204"/>
    <mergeCell ref="A2254:I2254"/>
    <mergeCell ref="A2256:H2257"/>
    <mergeCell ref="I2256:I2257"/>
    <mergeCell ref="E2262:G2262"/>
    <mergeCell ref="H2262:I2262"/>
    <mergeCell ref="G2267:I2267"/>
    <mergeCell ref="E2275:G2275"/>
    <mergeCell ref="H2275:I2275"/>
    <mergeCell ref="E2280:G2280"/>
    <mergeCell ref="H2280:I2280"/>
    <mergeCell ref="A2292:I2292"/>
    <mergeCell ref="A2294:H2295"/>
    <mergeCell ref="I2294:I2295"/>
    <mergeCell ref="E2303:G2303"/>
    <mergeCell ref="H2303:I2303"/>
    <mergeCell ref="G2310:I2310"/>
    <mergeCell ref="E2318:G2318"/>
    <mergeCell ref="H2318:I2318"/>
    <mergeCell ref="E2331:G2331"/>
    <mergeCell ref="H2331:I2331"/>
    <mergeCell ref="A2342:I2342"/>
    <mergeCell ref="A2344:H2345"/>
    <mergeCell ref="I2344:I2345"/>
    <mergeCell ref="E2350:G2350"/>
    <mergeCell ref="H2350:I2350"/>
    <mergeCell ref="G2354:I2354"/>
    <mergeCell ref="E2362:G2362"/>
    <mergeCell ref="H2362:I2362"/>
    <mergeCell ref="G2431:I2431"/>
    <mergeCell ref="E2439:G2439"/>
    <mergeCell ref="H2439:I2439"/>
    <mergeCell ref="E2443:G2443"/>
    <mergeCell ref="H2443:I2443"/>
    <mergeCell ref="A2453:I2453"/>
    <mergeCell ref="A2455:H2456"/>
    <mergeCell ref="I2455:I2456"/>
    <mergeCell ref="E2624:G2624"/>
    <mergeCell ref="H2624:I2624"/>
    <mergeCell ref="A2638:I2638"/>
    <mergeCell ref="A2640:H2641"/>
    <mergeCell ref="I2640:I2641"/>
    <mergeCell ref="I2380:I2381"/>
    <mergeCell ref="E2386:G2386"/>
    <mergeCell ref="H2386:I2386"/>
    <mergeCell ref="G2391:I2391"/>
    <mergeCell ref="E2399:G2399"/>
    <mergeCell ref="H2399:I2399"/>
    <mergeCell ref="E2405:G2405"/>
    <mergeCell ref="H2405:I2405"/>
    <mergeCell ref="A2417:I2417"/>
    <mergeCell ref="A2419:H2420"/>
    <mergeCell ref="I2419:I2420"/>
    <mergeCell ref="E2426:G2426"/>
    <mergeCell ref="H2426:I2426"/>
    <mergeCell ref="E2461:G2461"/>
    <mergeCell ref="H2461:I2461"/>
    <mergeCell ref="G2467:I2467"/>
    <mergeCell ref="H2697:I2697"/>
    <mergeCell ref="E2701:G2701"/>
    <mergeCell ref="H2701:I2701"/>
    <mergeCell ref="A2712:I2712"/>
    <mergeCell ref="A2714:H2715"/>
    <mergeCell ref="I2714:I2715"/>
    <mergeCell ref="E2720:G2720"/>
    <mergeCell ref="H2720:I2720"/>
    <mergeCell ref="G2725:I2725"/>
    <mergeCell ref="E2733:G2733"/>
    <mergeCell ref="H2733:I2733"/>
    <mergeCell ref="E2737:G2737"/>
    <mergeCell ref="H2737:I2737"/>
    <mergeCell ref="E3040:G3040"/>
    <mergeCell ref="H3040:I3040"/>
    <mergeCell ref="G3044:I3044"/>
    <mergeCell ref="E3052:G3052"/>
    <mergeCell ref="H3052:I3052"/>
    <mergeCell ref="A2784:I2784"/>
    <mergeCell ref="A2786:H2787"/>
    <mergeCell ref="I2786:I2787"/>
    <mergeCell ref="E2793:G2793"/>
    <mergeCell ref="H2793:I2793"/>
    <mergeCell ref="G2798:I2798"/>
    <mergeCell ref="E2806:G2806"/>
    <mergeCell ref="H2806:I2806"/>
    <mergeCell ref="E2810:G2810"/>
    <mergeCell ref="H2810:I2810"/>
    <mergeCell ref="A2821:I2821"/>
    <mergeCell ref="A2823:H2824"/>
    <mergeCell ref="I2823:I2824"/>
    <mergeCell ref="E2829:G2829"/>
    <mergeCell ref="E3664:G3664"/>
    <mergeCell ref="H3664:I3664"/>
    <mergeCell ref="A3182:I3182"/>
    <mergeCell ref="A3184:H3185"/>
    <mergeCell ref="I3184:I3185"/>
    <mergeCell ref="E3190:G3190"/>
    <mergeCell ref="H3190:I3190"/>
    <mergeCell ref="G3194:I3194"/>
    <mergeCell ref="E3202:G3202"/>
    <mergeCell ref="H3202:I3202"/>
    <mergeCell ref="E3206:G3206"/>
    <mergeCell ref="H3206:I3206"/>
    <mergeCell ref="A3223:I3223"/>
    <mergeCell ref="A3225:H3226"/>
    <mergeCell ref="I3225:I3226"/>
    <mergeCell ref="E3231:G3231"/>
    <mergeCell ref="H3231:I3231"/>
    <mergeCell ref="E3428:G3428"/>
    <mergeCell ref="H3428:I3428"/>
    <mergeCell ref="G3235:I3235"/>
    <mergeCell ref="E3243:G3243"/>
    <mergeCell ref="H3243:I3243"/>
    <mergeCell ref="E3247:G3247"/>
    <mergeCell ref="H3247:I3247"/>
    <mergeCell ref="A3258:I3258"/>
    <mergeCell ref="A3260:H3261"/>
    <mergeCell ref="I3260:I3261"/>
    <mergeCell ref="E3266:G3266"/>
    <mergeCell ref="H3266:I3266"/>
    <mergeCell ref="G3270:I3270"/>
    <mergeCell ref="E3278:G3278"/>
    <mergeCell ref="H3278:I3278"/>
    <mergeCell ref="E3965:G3965"/>
    <mergeCell ref="H3965:I3965"/>
    <mergeCell ref="H3557:I3557"/>
    <mergeCell ref="A3570:I3570"/>
    <mergeCell ref="H3844:I3844"/>
    <mergeCell ref="H3537:I3537"/>
    <mergeCell ref="G3543:I3543"/>
    <mergeCell ref="E3551:G3551"/>
    <mergeCell ref="H3551:I3551"/>
    <mergeCell ref="G3582:I3582"/>
    <mergeCell ref="E3590:G3590"/>
    <mergeCell ref="H3590:I3590"/>
    <mergeCell ref="E3594:G3594"/>
    <mergeCell ref="H3594:I3594"/>
    <mergeCell ref="A3605:I3605"/>
    <mergeCell ref="A3607:H3608"/>
    <mergeCell ref="I3607:I3608"/>
    <mergeCell ref="E3613:G3613"/>
    <mergeCell ref="H3613:I3613"/>
    <mergeCell ref="G3617:I3617"/>
    <mergeCell ref="E3625:G3625"/>
    <mergeCell ref="H3625:I3625"/>
    <mergeCell ref="E3629:G3629"/>
    <mergeCell ref="H3629:I3629"/>
    <mergeCell ref="A3640:I3640"/>
    <mergeCell ref="A3642:H3643"/>
    <mergeCell ref="I3642:I3643"/>
    <mergeCell ref="E3648:G3648"/>
    <mergeCell ref="H3648:I3648"/>
    <mergeCell ref="G3652:I3652"/>
    <mergeCell ref="E3660:G3660"/>
    <mergeCell ref="H3660:I3660"/>
    <mergeCell ref="E3972:G3972"/>
    <mergeCell ref="H3972:I3972"/>
    <mergeCell ref="A3906:I3906"/>
    <mergeCell ref="A3985:I3985"/>
    <mergeCell ref="A3987:H3988"/>
    <mergeCell ref="I3987:I3988"/>
    <mergeCell ref="E3993:G3993"/>
    <mergeCell ref="H3993:I3993"/>
    <mergeCell ref="G3998:I3998"/>
    <mergeCell ref="E4006:G4006"/>
    <mergeCell ref="H4006:I4006"/>
    <mergeCell ref="G4343:I4343"/>
    <mergeCell ref="E4351:G4351"/>
    <mergeCell ref="H4351:I4351"/>
    <mergeCell ref="E4356:G4356"/>
    <mergeCell ref="H4356:I4356"/>
    <mergeCell ref="A4366:I4366"/>
    <mergeCell ref="A3908:H3909"/>
    <mergeCell ref="I3908:I3909"/>
    <mergeCell ref="E3914:G3914"/>
    <mergeCell ref="H3914:I3914"/>
    <mergeCell ref="G3919:I3919"/>
    <mergeCell ref="E3927:G3927"/>
    <mergeCell ref="H3927:I3927"/>
    <mergeCell ref="E3932:G3932"/>
    <mergeCell ref="H3932:I3932"/>
    <mergeCell ref="A3944:I3944"/>
    <mergeCell ref="A3946:H3947"/>
    <mergeCell ref="I3946:I3947"/>
    <mergeCell ref="E3952:G3952"/>
    <mergeCell ref="H3952:I3952"/>
    <mergeCell ref="G3957:I3957"/>
    <mergeCell ref="A4368:H4369"/>
    <mergeCell ref="I4368:I4369"/>
    <mergeCell ref="E4373:G4373"/>
    <mergeCell ref="H4373:I4373"/>
    <mergeCell ref="G4378:I4378"/>
    <mergeCell ref="E4386:G4386"/>
    <mergeCell ref="H4386:I4386"/>
    <mergeCell ref="E4487:G4487"/>
    <mergeCell ref="H4487:I4487"/>
    <mergeCell ref="E4571:G4571"/>
    <mergeCell ref="H4571:I4571"/>
    <mergeCell ref="A4432:I4432"/>
    <mergeCell ref="A4434:H4435"/>
    <mergeCell ref="I4434:I4435"/>
    <mergeCell ref="E4452:G4452"/>
    <mergeCell ref="H4452:I4452"/>
    <mergeCell ref="E4389:G4389"/>
    <mergeCell ref="H4389:I4389"/>
    <mergeCell ref="A4399:I4399"/>
    <mergeCell ref="A4401:H4402"/>
    <mergeCell ref="I4401:I4402"/>
    <mergeCell ref="E4406:G4406"/>
    <mergeCell ref="H4406:I4406"/>
    <mergeCell ref="G4411:I4411"/>
    <mergeCell ref="E4419:G4419"/>
    <mergeCell ref="H4419:I4419"/>
    <mergeCell ref="E4422:G4422"/>
    <mergeCell ref="H4422:I4422"/>
    <mergeCell ref="E4439:G4439"/>
    <mergeCell ref="H4439:I4439"/>
    <mergeCell ref="G4444:I4444"/>
    <mergeCell ref="E4455:G4455"/>
    <mergeCell ref="H4455:I4455"/>
    <mergeCell ref="A4465:I4465"/>
    <mergeCell ref="A4467:H4468"/>
    <mergeCell ref="I4467:I4468"/>
    <mergeCell ref="E4472:G4472"/>
    <mergeCell ref="H4472:I4472"/>
    <mergeCell ref="G4475:I4475"/>
    <mergeCell ref="E4482:G4482"/>
    <mergeCell ref="H4482:I4482"/>
    <mergeCell ref="A4497:I4497"/>
    <mergeCell ref="A4499:H4500"/>
    <mergeCell ref="I4499:I4500"/>
    <mergeCell ref="E4504:G4504"/>
    <mergeCell ref="H4504:I4504"/>
    <mergeCell ref="G4509:I4509"/>
    <mergeCell ref="E4517:G4517"/>
    <mergeCell ref="H4517:I4517"/>
    <mergeCell ref="A4832:I4832"/>
    <mergeCell ref="A4834:H4835"/>
    <mergeCell ref="I4834:I4835"/>
    <mergeCell ref="E4684:G4684"/>
    <mergeCell ref="H4684:I4684"/>
    <mergeCell ref="E4698:G4698"/>
    <mergeCell ref="H4698:I4698"/>
    <mergeCell ref="E4704:G4704"/>
    <mergeCell ref="H4704:I4704"/>
    <mergeCell ref="A4715:I4715"/>
    <mergeCell ref="A4717:H4718"/>
    <mergeCell ref="I4717:I4718"/>
    <mergeCell ref="E4725:G4725"/>
    <mergeCell ref="H4725:I4725"/>
    <mergeCell ref="E4745:G4745"/>
    <mergeCell ref="H4745:I4745"/>
    <mergeCell ref="A4757:I4757"/>
    <mergeCell ref="A4759:H4760"/>
    <mergeCell ref="G4731:I4731"/>
    <mergeCell ref="E4739:G4739"/>
    <mergeCell ref="H4739:I4739"/>
    <mergeCell ref="G4805:I4805"/>
    <mergeCell ref="E4813:G4813"/>
    <mergeCell ref="H4813:I4813"/>
    <mergeCell ref="E4820:G4820"/>
    <mergeCell ref="H4820:I4820"/>
    <mergeCell ref="E4765:G4765"/>
    <mergeCell ref="E4520:G4520"/>
    <mergeCell ref="H4520:I4520"/>
    <mergeCell ref="E4584:G4584"/>
    <mergeCell ref="H4584:I4584"/>
    <mergeCell ref="E4589:G4589"/>
    <mergeCell ref="H4589:I4589"/>
    <mergeCell ref="A4600:I4600"/>
    <mergeCell ref="E4608:G4608"/>
    <mergeCell ref="H4608:I4608"/>
    <mergeCell ref="G4614:I4614"/>
    <mergeCell ref="E4622:G4622"/>
    <mergeCell ref="H4622:I4622"/>
    <mergeCell ref="A4530:I4530"/>
    <mergeCell ref="A4532:H4533"/>
    <mergeCell ref="I4532:I4533"/>
    <mergeCell ref="E4537:G4537"/>
    <mergeCell ref="H4537:I4537"/>
    <mergeCell ref="G4542:I4542"/>
    <mergeCell ref="E4550:G4550"/>
    <mergeCell ref="H4550:I4550"/>
    <mergeCell ref="E4553:G4553"/>
    <mergeCell ref="H4553:I4553"/>
    <mergeCell ref="A4563:I4563"/>
    <mergeCell ref="A4565:H4566"/>
    <mergeCell ref="I4565:I4566"/>
  </mergeCells>
  <dataValidations disablePrompts="1" count="1">
    <dataValidation type="list" allowBlank="1" showInputMessage="1" showErrorMessage="1" sqref="J3222 J3181 J2052">
      <formula1>$B$79:$B$97</formula1>
    </dataValidation>
  </dataValidations>
  <printOptions horizontalCentered="1"/>
  <pageMargins left="0.98425196850393704" right="0.98425196850393704" top="0.98425196850393704" bottom="0.98425196850393704" header="0.51181102362204722" footer="0.51181102362204722"/>
  <pageSetup paperSize="9" scale="72" firstPageNumber="193" fitToHeight="0" orientation="portrait" useFirstPageNumber="1" horizontalDpi="2400" verticalDpi="2400" r:id="rId1"/>
  <rowBreaks count="131" manualBreakCount="131">
    <brk id="4" max="8" man="1"/>
    <brk id="40" max="16383" man="1"/>
    <brk id="77" max="16383" man="1"/>
    <brk id="118" max="16383" man="1"/>
    <brk id="159" max="16383" man="1"/>
    <brk id="199" max="16383" man="1"/>
    <brk id="235" max="16383" man="1"/>
    <brk id="266" max="8" man="1"/>
    <brk id="299" max="8" man="1"/>
    <brk id="335" max="8" man="1"/>
    <brk id="371" max="8" man="1"/>
    <brk id="407" max="16383" man="1"/>
    <brk id="443" max="8" man="1"/>
    <brk id="479" max="8" man="1"/>
    <brk id="515" max="8" man="1"/>
    <brk id="549" max="8" man="1"/>
    <brk id="587" max="8" man="1"/>
    <brk id="625" max="8" man="1"/>
    <brk id="662" max="8" man="1"/>
    <brk id="699" max="16383" man="1"/>
    <brk id="737" max="8" man="1"/>
    <brk id="771" max="8" man="1"/>
    <brk id="805" max="8" man="1"/>
    <brk id="844" max="8" man="1"/>
    <brk id="883" max="8" man="1"/>
    <brk id="917" max="8" man="1"/>
    <brk id="951" max="8" man="1"/>
    <brk id="988" max="8" man="1"/>
    <brk id="1029" max="8" man="1"/>
    <brk id="1068" max="8" man="1"/>
    <brk id="1107" max="8" man="1"/>
    <brk id="1145" max="8" man="1"/>
    <brk id="1180" max="8" man="1"/>
    <brk id="1220" max="8" man="1"/>
    <brk id="1262" max="8" man="1"/>
    <brk id="1296" max="8" man="1"/>
    <brk id="1330" max="8" man="1"/>
    <brk id="1372" max="16383" man="1"/>
    <brk id="1416" max="8" man="1"/>
    <brk id="1459" max="8" man="1"/>
    <brk id="1498" max="8" man="1"/>
    <brk id="1534" max="8" man="1"/>
    <brk id="1579" max="8" man="1"/>
    <brk id="1611" max="8" man="1"/>
    <brk id="1656" max="8" man="1"/>
    <brk id="1690" max="8" man="1"/>
    <brk id="1719" max="8" man="1"/>
    <brk id="1748" max="8" man="1"/>
    <brk id="1782" max="8" man="1"/>
    <brk id="1816" max="8" man="1"/>
    <brk id="1855" max="8" man="1"/>
    <brk id="1891" max="8" man="1"/>
    <brk id="1937" max="8" man="1"/>
    <brk id="1978" max="8" man="1"/>
    <brk id="2018" max="8" man="1"/>
    <brk id="2058" max="8" man="1"/>
    <brk id="2095" max="8" man="1"/>
    <brk id="2132" max="8" man="1"/>
    <brk id="2181" max="8" man="1"/>
    <brk id="2218" max="8" man="1"/>
    <brk id="2253" max="8" man="1"/>
    <brk id="2290" max="8" man="1"/>
    <brk id="2341" max="16383" man="1"/>
    <brk id="2377" max="8" man="1"/>
    <brk id="2416" max="8" man="1"/>
    <brk id="2452" max="8" man="1"/>
    <brk id="2489" max="8" man="1"/>
    <brk id="2525" max="8" man="1"/>
    <brk id="2565" max="8" man="1"/>
    <brk id="2602" max="8" man="1"/>
    <brk id="2637" max="8" man="1"/>
    <brk id="2674" max="8" man="1"/>
    <brk id="2711" max="8" man="1"/>
    <brk id="2747" max="8" man="1"/>
    <brk id="2783" max="8" man="1"/>
    <brk id="2820" max="8" man="1"/>
    <brk id="2856" max="8" man="1"/>
    <brk id="2891" max="8" man="1"/>
    <brk id="2926" max="8" man="1"/>
    <brk id="2961" max="8" man="1"/>
    <brk id="2996" max="8" man="1"/>
    <brk id="3031" max="8" man="1"/>
    <brk id="3066" max="8" man="1"/>
    <brk id="3102" max="8" man="1"/>
    <brk id="3140" max="8" man="1"/>
    <brk id="3180" max="8" man="1"/>
    <brk id="3221" max="8" man="1"/>
    <brk id="3257" max="8" man="1"/>
    <brk id="3292" max="8" man="1"/>
    <brk id="3327" max="8" man="1"/>
    <brk id="3365" max="8" man="1"/>
    <brk id="3401" max="8" man="1"/>
    <brk id="3438" max="8" man="1"/>
    <brk id="3484" max="8" man="1"/>
    <brk id="3525" max="8" man="1"/>
    <brk id="3569" max="8" man="1"/>
    <brk id="3604" max="8" man="1"/>
    <brk id="3639" max="8" man="1"/>
    <brk id="3674" max="8" man="1"/>
    <brk id="3709" max="8" man="1"/>
    <brk id="3745" max="8" man="1"/>
    <brk id="3782" max="8" man="1"/>
    <brk id="3816" max="8" man="1"/>
    <brk id="3864" max="8" man="1"/>
    <brk id="3905" max="8" man="1"/>
    <brk id="3943" max="8" man="1"/>
    <brk id="3984" max="8" man="1"/>
    <brk id="4020" max="8" man="1"/>
    <brk id="4063" max="8" man="1"/>
    <brk id="4099" max="8" man="1"/>
    <brk id="4135" max="8" man="1"/>
    <brk id="4171" max="8" man="1"/>
    <brk id="4208" max="8" man="1"/>
    <brk id="4251" max="8" man="1"/>
    <brk id="4290" max="8" man="1"/>
    <brk id="4330" max="8" man="1"/>
    <brk id="4365" max="8" man="1"/>
    <brk id="4398" max="8" man="1"/>
    <brk id="4431" max="8" man="1"/>
    <brk id="4464" max="8" man="1"/>
    <brk id="4496" max="8" man="1"/>
    <brk id="4529" max="8" man="1"/>
    <brk id="4562" max="8" man="1"/>
    <brk id="4599" max="8" man="1"/>
    <brk id="4636" max="8" man="1"/>
    <brk id="4675" max="8" man="1"/>
    <brk id="4714" max="8" man="1"/>
    <brk id="4756" max="8" man="1"/>
    <brk id="4791" max="8" man="1"/>
    <brk id="4831" max="8" man="1"/>
    <brk id="4874" max="8" man="1"/>
  </rowBreaks>
  <colBreaks count="1" manualBreakCount="1">
    <brk id="9" max="1048575" man="1"/>
  </colBreaks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>
          <x14:formula1>
            <xm:f>[6]Ocor.!#REF!</xm:f>
          </x14:formula1>
          <xm:sqref>J4707:J4708 J4748 J4785 J4823</xm:sqref>
        </x14:dataValidation>
        <x14:dataValidation type="list" allowBlank="1" showInputMessage="1" showErrorMessage="1">
          <x14:formula1>
            <xm:f>[7]Ocor.!#REF!</xm:f>
          </x14:formula1>
          <xm:sqref>J4670</xm:sqref>
        </x14:dataValidation>
        <x14:dataValidation type="list" allowBlank="1" showInputMessage="1" showErrorMessage="1">
          <x14:formula1>
            <xm:f>[8]Ocor.!#REF!</xm:f>
          </x14:formula1>
          <xm:sqref>J1253:J1254 J1932 J4867:J4869</xm:sqref>
        </x14:dataValidation>
        <x14:dataValidation type="list" allowBlank="1" showInputMessage="1" showErrorMessage="1">
          <x14:formula1>
            <xm:f>[1]Ocor.!#REF!</xm:f>
          </x14:formula1>
          <xm:sqref>J193 J230 J2519 J4824:J4826 J1366 J1848:J1850 J878 J982 J3976:J3978 J4594 J3739 J3475:J3479 J4284:J4285 J3359 J3433 J293 J839 J1023 J1063 J1102 J1140 J1255:J1257 J1454 J1648:J1650 J1685 J1811 J1885 J2212:J2213 J1970:J1972 J2410:J2411 J2669 J2706 J2742 J2778 J2814 J2850 J3096 J3135 J3172:J3174 J3251 J3286 J3321 J3396 J3517:J3519 J3561:J3563 J3897:J3899 J3936:J3937 J4014 J4055:J4057 J4202 J4243:J4245 J4323:J4325 J4631 J4749:J4751 J4786 J1778 J2597 J2560 J366 J4908:J4910 J510 J1175 J1411 J1573:J1574</xm:sqref>
        </x14:dataValidation>
        <x14:dataValidation type="list" allowBlank="1" showInputMessage="1" showErrorMessage="1">
          <x14:formula1>
            <xm:f>[9]Ocor.!#REF!</xm:f>
          </x14:formula1>
          <xm:sqref>J1215 J112 J474 J3395 J4129 J438 J402 J4283 J3432 J34 J71 J153 J696:J698 J4165 J3858 J732 J657 J330 J4093 J2446 J3777 J3810 J582 J620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9"/>
  <sheetViews>
    <sheetView showGridLines="0" view="pageBreakPreview" topLeftCell="A2" zoomScaleNormal="100" zoomScaleSheetLayoutView="100" workbookViewId="0">
      <selection activeCell="I509" sqref="I509"/>
    </sheetView>
  </sheetViews>
  <sheetFormatPr defaultRowHeight="14.25" x14ac:dyDescent="0.2"/>
  <cols>
    <col min="1" max="1" width="21" style="302" customWidth="1"/>
    <col min="2" max="2" width="9" style="302"/>
    <col min="3" max="3" width="10" style="302" bestFit="1" customWidth="1"/>
    <col min="4" max="4" width="9" style="302" customWidth="1"/>
    <col min="5" max="6" width="9" style="302"/>
    <col min="7" max="7" width="7.375" style="302" customWidth="1"/>
    <col min="8" max="8" width="8.625" style="302" customWidth="1"/>
    <col min="9" max="9" width="12.625" style="302" customWidth="1"/>
    <col min="10" max="10" width="13.375" style="22" bestFit="1" customWidth="1"/>
    <col min="11" max="11" width="6.875" style="22" customWidth="1"/>
    <col min="12" max="16" width="9" style="372"/>
    <col min="17" max="18" width="9" style="302"/>
    <col min="19" max="19" width="11.75" style="302" bestFit="1" customWidth="1"/>
    <col min="20" max="16384" width="9" style="302"/>
  </cols>
  <sheetData>
    <row r="1" spans="1:13" hidden="1" x14ac:dyDescent="0.2">
      <c r="A1" s="1277" t="s">
        <v>229</v>
      </c>
      <c r="B1" s="1277"/>
      <c r="C1" s="1277"/>
      <c r="D1" s="1277"/>
      <c r="E1" s="1277"/>
      <c r="F1" s="1277"/>
      <c r="G1" s="1277"/>
      <c r="H1" s="1277"/>
      <c r="I1" s="1277"/>
    </row>
    <row r="2" spans="1:13" x14ac:dyDescent="0.2">
      <c r="A2" s="232" t="s">
        <v>1528</v>
      </c>
      <c r="B2" s="233"/>
      <c r="C2" s="199"/>
      <c r="D2" s="199"/>
      <c r="E2" s="199"/>
      <c r="F2" s="199"/>
      <c r="G2" s="199"/>
      <c r="H2" s="199"/>
      <c r="I2" s="234" t="str">
        <f>'Compos DER'!I2</f>
        <v>Data Base: Outubro/2018</v>
      </c>
    </row>
    <row r="3" spans="1:13" x14ac:dyDescent="0.2">
      <c r="A3" s="232"/>
      <c r="B3" s="233"/>
      <c r="C3" s="199"/>
      <c r="D3" s="199"/>
      <c r="E3" s="199"/>
      <c r="F3" s="199"/>
      <c r="G3" s="199"/>
      <c r="H3" s="199" t="s">
        <v>1210</v>
      </c>
      <c r="I3" s="733" t="str">
        <f>'Compos DER'!I3</f>
        <v>23,32</v>
      </c>
    </row>
    <row r="4" spans="1:13" x14ac:dyDescent="0.2">
      <c r="A4" s="232"/>
      <c r="B4" s="233"/>
      <c r="C4" s="199"/>
      <c r="D4" s="199"/>
      <c r="E4" s="199"/>
      <c r="F4" s="199"/>
      <c r="G4" s="199"/>
      <c r="H4" s="199"/>
      <c r="I4" s="567">
        <f>'Compos DER'!I4</f>
        <v>0.23319999999999999</v>
      </c>
    </row>
    <row r="5" spans="1:13" x14ac:dyDescent="0.2">
      <c r="A5" s="1277" t="str">
        <f>$A$1</f>
        <v>COMPOSIÇÃO DE CUSTOS UNITÁRIOS</v>
      </c>
      <c r="B5" s="1277"/>
      <c r="C5" s="1277"/>
      <c r="D5" s="1277"/>
      <c r="E5" s="1277"/>
      <c r="F5" s="1277"/>
      <c r="G5" s="1277"/>
      <c r="H5" s="1277"/>
      <c r="I5" s="1277"/>
    </row>
    <row r="6" spans="1:13" x14ac:dyDescent="0.2">
      <c r="A6" s="232" t="str">
        <f>$A$2</f>
        <v>Tabela Referencial de Preços - DER-ES - sem desoneração</v>
      </c>
      <c r="B6" s="233"/>
      <c r="C6" s="199"/>
      <c r="D6" s="199"/>
      <c r="E6" s="199"/>
      <c r="F6" s="199"/>
      <c r="G6" s="199"/>
      <c r="H6" s="199"/>
      <c r="I6" s="234" t="str">
        <f>$I$2</f>
        <v>Data Base: Outubro/2018</v>
      </c>
    </row>
    <row r="7" spans="1:13" ht="14.25" customHeight="1" x14ac:dyDescent="0.2">
      <c r="A7" s="1278" t="str">
        <f>+CONCATENATE("Serviço: ",J7," ",L7)</f>
        <v>Serviço: LG-001 Administração local</v>
      </c>
      <c r="B7" s="1278"/>
      <c r="C7" s="1278"/>
      <c r="D7" s="1278"/>
      <c r="E7" s="1278"/>
      <c r="F7" s="1278"/>
      <c r="G7" s="1278"/>
      <c r="H7" s="1278"/>
      <c r="I7" s="1278" t="str">
        <f>CONCATENATE("Unidade: ", M7)</f>
        <v>Unidade: vb</v>
      </c>
      <c r="J7" s="373" t="s">
        <v>1069</v>
      </c>
      <c r="K7" s="22">
        <f>VLOOKUP("Preço Unitário Total",F8:I43,4,FALSE)</f>
        <v>354358.59</v>
      </c>
      <c r="L7" s="790" t="s">
        <v>1054</v>
      </c>
      <c r="M7" s="790" t="s">
        <v>1821</v>
      </c>
    </row>
    <row r="8" spans="1:13" x14ac:dyDescent="0.2">
      <c r="A8" s="1279"/>
      <c r="B8" s="1279"/>
      <c r="C8" s="1279"/>
      <c r="D8" s="1279"/>
      <c r="E8" s="1279"/>
      <c r="F8" s="1279"/>
      <c r="G8" s="1279"/>
      <c r="H8" s="1279"/>
      <c r="I8" s="1279"/>
    </row>
    <row r="9" spans="1:13" ht="22.5" x14ac:dyDescent="0.2">
      <c r="A9" s="235" t="s">
        <v>192</v>
      </c>
      <c r="B9" s="236" t="s">
        <v>60</v>
      </c>
      <c r="C9" s="236" t="s">
        <v>193</v>
      </c>
      <c r="D9" s="236" t="s">
        <v>194</v>
      </c>
      <c r="E9" s="236" t="s">
        <v>195</v>
      </c>
      <c r="F9" s="236" t="s">
        <v>196</v>
      </c>
      <c r="G9" s="236" t="s">
        <v>197</v>
      </c>
      <c r="H9" s="236" t="s">
        <v>91</v>
      </c>
      <c r="I9" s="236" t="s">
        <v>198</v>
      </c>
    </row>
    <row r="10" spans="1:13" x14ac:dyDescent="0.2">
      <c r="A10" s="237"/>
      <c r="B10" s="238"/>
      <c r="C10" s="239"/>
      <c r="D10" s="240"/>
      <c r="E10" s="205"/>
      <c r="F10" s="241"/>
      <c r="G10" s="241"/>
      <c r="H10" s="242"/>
      <c r="I10" s="243"/>
    </row>
    <row r="11" spans="1:13" x14ac:dyDescent="0.2">
      <c r="A11" s="199"/>
      <c r="B11" s="233"/>
      <c r="C11" s="233"/>
      <c r="D11" s="199"/>
      <c r="E11" s="199"/>
      <c r="F11" s="234" t="s">
        <v>199</v>
      </c>
      <c r="G11" s="244"/>
      <c r="H11" s="245"/>
      <c r="I11" s="434">
        <f>SUM(I10:I10)</f>
        <v>0</v>
      </c>
    </row>
    <row r="12" spans="1:13" x14ac:dyDescent="0.2">
      <c r="A12" s="199"/>
      <c r="B12" s="233"/>
      <c r="C12" s="233"/>
      <c r="D12" s="199"/>
      <c r="E12" s="199"/>
      <c r="F12" s="199"/>
      <c r="G12" s="199"/>
      <c r="H12" s="199"/>
      <c r="I12" s="200"/>
    </row>
    <row r="13" spans="1:13" x14ac:dyDescent="0.2">
      <c r="A13" s="246" t="s">
        <v>200</v>
      </c>
      <c r="B13" s="247" t="s">
        <v>60</v>
      </c>
      <c r="C13" s="236" t="s">
        <v>201</v>
      </c>
      <c r="D13" s="247" t="s">
        <v>202</v>
      </c>
      <c r="E13" s="1271" t="s">
        <v>91</v>
      </c>
      <c r="F13" s="1272"/>
      <c r="G13" s="1273"/>
      <c r="H13" s="1276" t="s">
        <v>198</v>
      </c>
      <c r="I13" s="1275"/>
    </row>
    <row r="14" spans="1:13" x14ac:dyDescent="0.2">
      <c r="A14" s="248" t="str">
        <f>VLOOKUP(B14,m.o.!$A:$H,2,FALSE)</f>
        <v>Engenheiro junior</v>
      </c>
      <c r="B14" s="238">
        <v>20070</v>
      </c>
      <c r="C14" s="243" t="str">
        <f>VLOOKUP(B14,m.o.!$A:$F,3,FALSE)</f>
        <v>Mes</v>
      </c>
      <c r="D14" s="243">
        <f>VLOOKUP(B14,m.o.!$A:$F,5,FALSE)</f>
        <v>8690.41</v>
      </c>
      <c r="E14" s="260"/>
      <c r="F14" s="258"/>
      <c r="G14" s="300">
        <v>1</v>
      </c>
      <c r="H14" s="244"/>
      <c r="I14" s="249">
        <f t="shared" ref="I14:I16" si="0">ROUND(D14*G14,2)</f>
        <v>8690.41</v>
      </c>
    </row>
    <row r="15" spans="1:13" x14ac:dyDescent="0.2">
      <c r="A15" s="248" t="str">
        <f>VLOOKUP(B15,m.o.!$A:$H,2,FALSE)</f>
        <v>Vigia</v>
      </c>
      <c r="B15" s="238">
        <v>20019</v>
      </c>
      <c r="C15" s="243" t="str">
        <f>VLOOKUP(B15,m.o.!$A:$F,3,FALSE)</f>
        <v>h</v>
      </c>
      <c r="D15" s="243">
        <f>VLOOKUP(B15,m.o.!$A:$G,7,FALSE)</f>
        <v>11.64</v>
      </c>
      <c r="E15" s="260"/>
      <c r="F15" s="258"/>
      <c r="G15" s="300">
        <v>220</v>
      </c>
      <c r="H15" s="244"/>
      <c r="I15" s="249">
        <f t="shared" si="0"/>
        <v>2560.8000000000002</v>
      </c>
    </row>
    <row r="16" spans="1:13" x14ac:dyDescent="0.2">
      <c r="A16" s="248" t="str">
        <f>VLOOKUP(B16,m.o.!$A:$H,2,FALSE)</f>
        <v>Técnico de nível médio</v>
      </c>
      <c r="B16" s="238">
        <v>20008</v>
      </c>
      <c r="C16" s="243" t="str">
        <f>VLOOKUP(B16,m.o.!$A:$F,3,FALSE)</f>
        <v>Mes</v>
      </c>
      <c r="D16" s="243">
        <f>VLOOKUP(B16,m.o.!$A:$F,5,FALSE)</f>
        <v>2834.03</v>
      </c>
      <c r="E16" s="260"/>
      <c r="F16" s="258"/>
      <c r="G16" s="300">
        <v>1</v>
      </c>
      <c r="H16" s="244"/>
      <c r="I16" s="249">
        <f t="shared" si="0"/>
        <v>2834.03</v>
      </c>
    </row>
    <row r="17" spans="1:11" x14ac:dyDescent="0.2">
      <c r="A17" s="199"/>
      <c r="B17" s="233"/>
      <c r="C17" s="233"/>
      <c r="D17" s="199"/>
      <c r="E17" s="199"/>
      <c r="F17" s="234" t="s">
        <v>203</v>
      </c>
      <c r="G17" s="244"/>
      <c r="H17" s="245"/>
      <c r="I17" s="434">
        <f>SUM(I14:I16)</f>
        <v>14085.24</v>
      </c>
      <c r="J17" s="372"/>
      <c r="K17" s="372"/>
    </row>
    <row r="18" spans="1:11" x14ac:dyDescent="0.2">
      <c r="A18" s="199"/>
      <c r="B18" s="233"/>
      <c r="C18" s="233"/>
      <c r="D18" s="199"/>
      <c r="E18" s="199"/>
      <c r="F18" s="199"/>
      <c r="G18" s="199"/>
      <c r="H18" s="199"/>
      <c r="I18" s="200"/>
    </row>
    <row r="19" spans="1:11" x14ac:dyDescent="0.2">
      <c r="A19" s="250" t="s">
        <v>204</v>
      </c>
      <c r="B19" s="247" t="s">
        <v>60</v>
      </c>
      <c r="C19" s="792" t="s">
        <v>17</v>
      </c>
      <c r="D19" s="247" t="s">
        <v>205</v>
      </c>
      <c r="E19" s="247" t="s">
        <v>206</v>
      </c>
      <c r="F19" s="247" t="s">
        <v>207</v>
      </c>
      <c r="G19" s="1276" t="s">
        <v>96</v>
      </c>
      <c r="H19" s="1274"/>
      <c r="I19" s="1275"/>
    </row>
    <row r="20" spans="1:11" x14ac:dyDescent="0.2">
      <c r="A20" s="248"/>
      <c r="B20" s="238"/>
      <c r="C20" s="243"/>
      <c r="D20" s="239"/>
      <c r="E20" s="251"/>
      <c r="F20" s="251"/>
      <c r="G20" s="244"/>
      <c r="H20" s="245"/>
      <c r="I20" s="249"/>
    </row>
    <row r="21" spans="1:11" x14ac:dyDescent="0.2">
      <c r="A21" s="199"/>
      <c r="B21" s="233"/>
      <c r="C21" s="199"/>
      <c r="D21" s="199"/>
      <c r="E21" s="199"/>
      <c r="F21" s="234" t="s">
        <v>1170</v>
      </c>
      <c r="G21" s="244"/>
      <c r="H21" s="245"/>
      <c r="I21" s="434">
        <f>SUM(I20)</f>
        <v>0</v>
      </c>
    </row>
    <row r="22" spans="1:11" x14ac:dyDescent="0.2">
      <c r="A22" s="199"/>
      <c r="B22" s="233"/>
      <c r="C22" s="199"/>
      <c r="D22" s="199"/>
      <c r="E22" s="199"/>
      <c r="F22" s="199"/>
      <c r="G22" s="199"/>
      <c r="H22" s="199"/>
      <c r="I22" s="200"/>
    </row>
    <row r="23" spans="1:11" x14ac:dyDescent="0.2">
      <c r="A23" s="252"/>
      <c r="B23" s="253"/>
      <c r="C23" s="254"/>
      <c r="D23" s="254"/>
      <c r="E23" s="254"/>
      <c r="F23" s="255" t="s">
        <v>208</v>
      </c>
      <c r="G23" s="435"/>
      <c r="H23" s="254"/>
      <c r="I23" s="634">
        <f>+I11+I17+I21</f>
        <v>14085.24</v>
      </c>
    </row>
    <row r="24" spans="1:11" x14ac:dyDescent="0.2">
      <c r="A24" s="256"/>
      <c r="B24" s="257"/>
      <c r="C24" s="258"/>
      <c r="D24" s="258"/>
      <c r="E24" s="258"/>
      <c r="F24" s="259" t="s">
        <v>209</v>
      </c>
      <c r="G24" s="260"/>
      <c r="H24" s="258"/>
      <c r="I24" s="635">
        <f>1/K24</f>
        <v>0.05</v>
      </c>
      <c r="J24" s="377" t="s">
        <v>1024</v>
      </c>
      <c r="K24" s="378">
        <v>19</v>
      </c>
    </row>
    <row r="25" spans="1:11" x14ac:dyDescent="0.2">
      <c r="A25" s="237"/>
      <c r="B25" s="261"/>
      <c r="C25" s="245"/>
      <c r="D25" s="245"/>
      <c r="E25" s="245"/>
      <c r="F25" s="262" t="s">
        <v>232</v>
      </c>
      <c r="G25" s="244"/>
      <c r="H25" s="245"/>
      <c r="I25" s="633">
        <f>ROUND(I23/I24,2)</f>
        <v>281704.8</v>
      </c>
    </row>
    <row r="26" spans="1:11" x14ac:dyDescent="0.2">
      <c r="A26" s="793"/>
      <c r="B26" s="233"/>
      <c r="C26" s="199"/>
      <c r="D26" s="199"/>
      <c r="E26" s="199"/>
      <c r="F26" s="263"/>
      <c r="G26" s="199"/>
      <c r="H26" s="199"/>
      <c r="I26" s="264"/>
    </row>
    <row r="27" spans="1:11" x14ac:dyDescent="0.2">
      <c r="A27" s="246" t="s">
        <v>210</v>
      </c>
      <c r="B27" s="247" t="s">
        <v>60</v>
      </c>
      <c r="C27" s="247" t="s">
        <v>211</v>
      </c>
      <c r="D27" s="247" t="s">
        <v>233</v>
      </c>
      <c r="E27" s="1276" t="s">
        <v>91</v>
      </c>
      <c r="F27" s="1274"/>
      <c r="G27" s="1275"/>
      <c r="H27" s="1276" t="s">
        <v>198</v>
      </c>
      <c r="I27" s="1275"/>
    </row>
    <row r="28" spans="1:11" ht="23.25" customHeight="1" x14ac:dyDescent="0.2">
      <c r="A28" s="265" t="str">
        <f>VLOOKUP(B28,mat.!$A:$D,2,FALSE)</f>
        <v>Aluguel mensal de mobiliário - escritório</v>
      </c>
      <c r="B28" s="238">
        <v>10582</v>
      </c>
      <c r="C28" s="266" t="str">
        <f>VLOOKUP(B28,mat.!$A:$D,3,FALSE)</f>
        <v>Mes</v>
      </c>
      <c r="D28" s="267">
        <f>VLOOKUP(B28,mat.!$A:$D,4,FALSE)</f>
        <v>756.55</v>
      </c>
      <c r="E28" s="260"/>
      <c r="F28" s="258"/>
      <c r="G28" s="300">
        <v>1</v>
      </c>
      <c r="H28" s="260"/>
      <c r="I28" s="268">
        <f t="shared" ref="I28:I29" si="1">+D28*G28</f>
        <v>756.55</v>
      </c>
    </row>
    <row r="29" spans="1:11" ht="21" customHeight="1" x14ac:dyDescent="0.2">
      <c r="A29" s="265" t="str">
        <f>VLOOKUP(B29,mat.!$A:$D,2,FALSE)</f>
        <v>Aluguel computador com : Processador 2,80 GHz , Memória RAM 4,00 GB, Sistema Operacional 32 Bits, Windows com Pacote Office</v>
      </c>
      <c r="B29" s="238">
        <v>10591</v>
      </c>
      <c r="C29" s="266" t="str">
        <f>VLOOKUP(B29,mat.!$A:$D,3,FALSE)</f>
        <v>Mes</v>
      </c>
      <c r="D29" s="267">
        <f>VLOOKUP(B29,mat.!$A:$D,4,FALSE)</f>
        <v>249.36</v>
      </c>
      <c r="E29" s="260"/>
      <c r="F29" s="258"/>
      <c r="G29" s="300">
        <v>1</v>
      </c>
      <c r="H29" s="260"/>
      <c r="I29" s="268">
        <f t="shared" si="1"/>
        <v>249.36</v>
      </c>
    </row>
    <row r="30" spans="1:11" x14ac:dyDescent="0.2">
      <c r="A30" s="265"/>
      <c r="B30" s="238"/>
      <c r="C30" s="266"/>
      <c r="D30" s="267"/>
      <c r="E30" s="260"/>
      <c r="F30" s="258"/>
      <c r="G30" s="300"/>
      <c r="H30" s="260"/>
      <c r="I30" s="268"/>
    </row>
    <row r="31" spans="1:11" x14ac:dyDescent="0.2">
      <c r="A31" s="199"/>
      <c r="B31" s="233"/>
      <c r="C31" s="199"/>
      <c r="D31" s="199"/>
      <c r="E31" s="199"/>
      <c r="F31" s="234" t="s">
        <v>212</v>
      </c>
      <c r="G31" s="244"/>
      <c r="H31" s="245"/>
      <c r="I31" s="434">
        <f>SUM(I28:I30)</f>
        <v>1005.91</v>
      </c>
    </row>
    <row r="32" spans="1:11" x14ac:dyDescent="0.2">
      <c r="A32" s="199"/>
      <c r="B32" s="233"/>
      <c r="C32" s="199"/>
      <c r="D32" s="199"/>
      <c r="E32" s="199"/>
      <c r="F32" s="199"/>
      <c r="G32" s="269"/>
      <c r="H32" s="199"/>
      <c r="I32" s="200"/>
    </row>
    <row r="33" spans="1:14" x14ac:dyDescent="0.2">
      <c r="A33" s="270" t="s">
        <v>213</v>
      </c>
      <c r="B33" s="247" t="s">
        <v>60</v>
      </c>
      <c r="C33" s="247" t="s">
        <v>211</v>
      </c>
      <c r="D33" s="792" t="s">
        <v>233</v>
      </c>
      <c r="E33" s="1271" t="s">
        <v>91</v>
      </c>
      <c r="F33" s="1272"/>
      <c r="G33" s="1273"/>
      <c r="H33" s="1276" t="s">
        <v>64</v>
      </c>
      <c r="I33" s="1275"/>
      <c r="N33" s="376"/>
    </row>
    <row r="34" spans="1:14" ht="45" x14ac:dyDescent="0.2">
      <c r="A34" s="248" t="str">
        <f>VLOOKUP(B34,'DER 10-18'!$A:$E,2,FALSE)</f>
        <v>Aluguel de automóvel VW/ Gol (flex) 1,6 ou equivalente, exclusive motorista e combustível</v>
      </c>
      <c r="B34" s="238">
        <v>42878</v>
      </c>
      <c r="C34" s="238" t="str">
        <f>VLOOKUP(B34,'DER 10-18'!$A:$E,3,FALSE)</f>
        <v>Mes</v>
      </c>
      <c r="D34" s="243">
        <f>ROUND(VLOOKUP(B34,'DER 10-18'!$A:$F,6,FALSE)/1.2332,2)</f>
        <v>4638.13</v>
      </c>
      <c r="E34" s="791"/>
      <c r="F34" s="792"/>
      <c r="G34" s="300">
        <v>1</v>
      </c>
      <c r="H34" s="303"/>
      <c r="I34" s="268">
        <f>ROUND(D34*G34,2)</f>
        <v>4638.13</v>
      </c>
      <c r="N34" s="376"/>
    </row>
    <row r="35" spans="1:14" x14ac:dyDescent="0.2">
      <c r="A35" s="201"/>
      <c r="B35" s="271"/>
      <c r="C35" s="201"/>
      <c r="D35" s="201"/>
      <c r="E35" s="201"/>
      <c r="F35" s="272" t="s">
        <v>214</v>
      </c>
      <c r="G35" s="260"/>
      <c r="H35" s="273"/>
      <c r="I35" s="436">
        <f>SUM(I34:I34)</f>
        <v>4638.13</v>
      </c>
    </row>
    <row r="36" spans="1:14" x14ac:dyDescent="0.2">
      <c r="A36" s="201"/>
      <c r="B36" s="271"/>
      <c r="C36" s="201"/>
      <c r="D36" s="201"/>
      <c r="E36" s="201"/>
      <c r="F36" s="201"/>
      <c r="G36" s="201"/>
      <c r="H36" s="201"/>
      <c r="I36" s="201"/>
    </row>
    <row r="37" spans="1:14" x14ac:dyDescent="0.2">
      <c r="A37" s="274" t="s">
        <v>215</v>
      </c>
      <c r="B37" s="275" t="s">
        <v>60</v>
      </c>
      <c r="C37" s="275" t="s">
        <v>211</v>
      </c>
      <c r="D37" s="275" t="s">
        <v>216</v>
      </c>
      <c r="E37" s="275" t="s">
        <v>217</v>
      </c>
      <c r="F37" s="275" t="s">
        <v>218</v>
      </c>
      <c r="G37" s="275" t="s">
        <v>96</v>
      </c>
      <c r="H37" s="275" t="s">
        <v>91</v>
      </c>
      <c r="I37" s="275" t="s">
        <v>219</v>
      </c>
    </row>
    <row r="38" spans="1:14" x14ac:dyDescent="0.2">
      <c r="A38" s="248"/>
      <c r="B38" s="238"/>
      <c r="C38" s="238"/>
      <c r="D38" s="276"/>
      <c r="E38" s="277"/>
      <c r="F38" s="277"/>
      <c r="G38" s="243"/>
      <c r="H38" s="278"/>
      <c r="I38" s="243"/>
      <c r="K38" s="375"/>
    </row>
    <row r="39" spans="1:14" x14ac:dyDescent="0.2">
      <c r="A39" s="201"/>
      <c r="B39" s="271"/>
      <c r="C39" s="201"/>
      <c r="D39" s="201"/>
      <c r="E39" s="201"/>
      <c r="F39" s="272" t="s">
        <v>220</v>
      </c>
      <c r="G39" s="244"/>
      <c r="H39" s="279"/>
      <c r="I39" s="438">
        <f>SUM(I38:I38)</f>
        <v>0</v>
      </c>
    </row>
    <row r="40" spans="1:14" x14ac:dyDescent="0.2">
      <c r="A40" s="201"/>
      <c r="B40" s="271"/>
      <c r="C40" s="201"/>
      <c r="D40" s="201"/>
      <c r="E40" s="201"/>
      <c r="F40" s="201"/>
      <c r="G40" s="201"/>
      <c r="H40" s="201"/>
      <c r="I40" s="202"/>
    </row>
    <row r="41" spans="1:14" x14ac:dyDescent="0.2">
      <c r="A41" s="280"/>
      <c r="B41" s="281"/>
      <c r="C41" s="282"/>
      <c r="D41" s="282"/>
      <c r="E41" s="282"/>
      <c r="F41" s="283" t="s">
        <v>221</v>
      </c>
      <c r="G41" s="280"/>
      <c r="H41" s="254"/>
      <c r="I41" s="634">
        <f>+I25+I31+I35+I39</f>
        <v>287348.84000000003</v>
      </c>
    </row>
    <row r="42" spans="1:14" x14ac:dyDescent="0.2">
      <c r="A42" s="260"/>
      <c r="B42" s="284"/>
      <c r="C42" s="273"/>
      <c r="D42" s="273"/>
      <c r="E42" s="273"/>
      <c r="F42" s="285" t="str">
        <f>CONCATENATE($H$3," ",$I$3)</f>
        <v>BDI: 23,32</v>
      </c>
      <c r="G42" s="439"/>
      <c r="H42" s="258"/>
      <c r="I42" s="635">
        <f>+ROUND(I41*$I$4,2)</f>
        <v>67009.75</v>
      </c>
    </row>
    <row r="43" spans="1:14" x14ac:dyDescent="0.2">
      <c r="A43" s="244"/>
      <c r="B43" s="286"/>
      <c r="C43" s="279"/>
      <c r="D43" s="279"/>
      <c r="E43" s="279"/>
      <c r="F43" s="287" t="s">
        <v>222</v>
      </c>
      <c r="G43" s="440"/>
      <c r="H43" s="245"/>
      <c r="I43" s="1017">
        <f>+I41+I42</f>
        <v>354358.59</v>
      </c>
      <c r="J43" s="379"/>
    </row>
    <row r="44" spans="1:14" x14ac:dyDescent="0.2">
      <c r="A44" s="1277" t="s">
        <v>229</v>
      </c>
      <c r="B44" s="1277"/>
      <c r="C44" s="1277"/>
      <c r="D44" s="1277"/>
      <c r="E44" s="1277"/>
      <c r="F44" s="1277"/>
      <c r="G44" s="1277"/>
      <c r="H44" s="1277"/>
      <c r="I44" s="1277"/>
    </row>
    <row r="45" spans="1:14" x14ac:dyDescent="0.2">
      <c r="A45" s="232" t="str">
        <f>$A$2</f>
        <v>Tabela Referencial de Preços - DER-ES - sem desoneração</v>
      </c>
      <c r="B45" s="233"/>
      <c r="C45" s="199"/>
      <c r="D45" s="199"/>
      <c r="E45" s="199"/>
      <c r="F45" s="199"/>
      <c r="G45" s="199"/>
      <c r="H45" s="199"/>
      <c r="I45" s="234" t="str">
        <f>$I$2</f>
        <v>Data Base: Outubro/2018</v>
      </c>
    </row>
    <row r="46" spans="1:14" ht="14.25" customHeight="1" x14ac:dyDescent="0.2">
      <c r="A46" s="1278" t="str">
        <f>+CONCATENATE("Serviço: ",J46," ",L46)</f>
        <v>Serviço: LG-002 Equipe de Topografia</v>
      </c>
      <c r="B46" s="1278"/>
      <c r="C46" s="1278"/>
      <c r="D46" s="1278"/>
      <c r="E46" s="1278"/>
      <c r="F46" s="1278"/>
      <c r="G46" s="1278"/>
      <c r="H46" s="1278"/>
      <c r="I46" s="1278" t="str">
        <f>CONCATENATE("Unidade: ", M46)</f>
        <v>Unidade: mês</v>
      </c>
      <c r="J46" s="373" t="s">
        <v>1904</v>
      </c>
      <c r="K46" s="22">
        <f>VLOOKUP("Preço Unitário Total",F47:I81,4,FALSE)</f>
        <v>16896.169999999998</v>
      </c>
      <c r="L46" s="790" t="s">
        <v>1168</v>
      </c>
      <c r="M46" s="419" t="s">
        <v>158</v>
      </c>
    </row>
    <row r="47" spans="1:14" x14ac:dyDescent="0.2">
      <c r="A47" s="1279"/>
      <c r="B47" s="1279"/>
      <c r="C47" s="1279"/>
      <c r="D47" s="1279"/>
      <c r="E47" s="1279"/>
      <c r="F47" s="1279"/>
      <c r="G47" s="1279"/>
      <c r="H47" s="1279"/>
      <c r="I47" s="1279"/>
    </row>
    <row r="48" spans="1:14" ht="22.5" x14ac:dyDescent="0.2">
      <c r="A48" s="235" t="s">
        <v>192</v>
      </c>
      <c r="B48" s="236" t="s">
        <v>60</v>
      </c>
      <c r="C48" s="236" t="s">
        <v>193</v>
      </c>
      <c r="D48" s="236" t="s">
        <v>194</v>
      </c>
      <c r="E48" s="236" t="s">
        <v>195</v>
      </c>
      <c r="F48" s="236" t="s">
        <v>196</v>
      </c>
      <c r="G48" s="236" t="s">
        <v>197</v>
      </c>
      <c r="H48" s="236" t="s">
        <v>91</v>
      </c>
      <c r="I48" s="236" t="s">
        <v>198</v>
      </c>
    </row>
    <row r="49" spans="1:9" x14ac:dyDescent="0.2">
      <c r="A49" s="237"/>
      <c r="B49" s="238"/>
      <c r="C49" s="239"/>
      <c r="D49" s="240"/>
      <c r="E49" s="205"/>
      <c r="F49" s="241"/>
      <c r="G49" s="241"/>
      <c r="H49" s="242"/>
      <c r="I49" s="243"/>
    </row>
    <row r="50" spans="1:9" x14ac:dyDescent="0.2">
      <c r="A50" s="199"/>
      <c r="B50" s="233"/>
      <c r="C50" s="233"/>
      <c r="D50" s="199"/>
      <c r="E50" s="199"/>
      <c r="F50" s="234" t="s">
        <v>199</v>
      </c>
      <c r="G50" s="244"/>
      <c r="H50" s="245"/>
      <c r="I50" s="434">
        <f>SUM(I49:I49)</f>
        <v>0</v>
      </c>
    </row>
    <row r="51" spans="1:9" x14ac:dyDescent="0.2">
      <c r="A51" s="199"/>
      <c r="B51" s="233"/>
      <c r="C51" s="233"/>
      <c r="D51" s="199"/>
      <c r="E51" s="199"/>
      <c r="F51" s="199"/>
      <c r="G51" s="199"/>
      <c r="H51" s="199"/>
      <c r="I51" s="200"/>
    </row>
    <row r="52" spans="1:9" x14ac:dyDescent="0.2">
      <c r="A52" s="246" t="s">
        <v>200</v>
      </c>
      <c r="B52" s="247" t="s">
        <v>60</v>
      </c>
      <c r="C52" s="236" t="s">
        <v>201</v>
      </c>
      <c r="D52" s="247" t="s">
        <v>202</v>
      </c>
      <c r="E52" s="1271" t="s">
        <v>91</v>
      </c>
      <c r="F52" s="1272"/>
      <c r="G52" s="1273"/>
      <c r="H52" s="1276" t="s">
        <v>198</v>
      </c>
      <c r="I52" s="1275"/>
    </row>
    <row r="53" spans="1:9" x14ac:dyDescent="0.2">
      <c r="A53" s="248" t="str">
        <f>VLOOKUP(B53,m.o.!$A:$H,2,FALSE)</f>
        <v>Auxiliar de topografia</v>
      </c>
      <c r="B53" s="238">
        <v>20029</v>
      </c>
      <c r="C53" s="243" t="str">
        <f>VLOOKUP(B53,m.o.!$A:$F,3,FALSE)</f>
        <v>Mes</v>
      </c>
      <c r="D53" s="243">
        <f>VLOOKUP(B53,m.o.!$A:$F,5,FALSE)</f>
        <v>2117.19</v>
      </c>
      <c r="E53" s="260"/>
      <c r="F53" s="258"/>
      <c r="G53" s="300">
        <v>1</v>
      </c>
      <c r="H53" s="244"/>
      <c r="I53" s="249">
        <f>ROUND(D53*G53,2)</f>
        <v>2117.19</v>
      </c>
    </row>
    <row r="54" spans="1:9" x14ac:dyDescent="0.2">
      <c r="A54" s="248" t="str">
        <f>VLOOKUP(B54,m.o.!$A:$H,2,FALSE)</f>
        <v>Topógrafo chefe</v>
      </c>
      <c r="B54" s="238">
        <v>20016</v>
      </c>
      <c r="C54" s="243" t="str">
        <f>VLOOKUP(B54,m.o.!$A:$F,3,FALSE)</f>
        <v>Mes</v>
      </c>
      <c r="D54" s="243">
        <f>VLOOKUP(B54,m.o.!$A:$F,5,FALSE)</f>
        <v>4668.95</v>
      </c>
      <c r="E54" s="260"/>
      <c r="F54" s="258"/>
      <c r="G54" s="300">
        <v>1</v>
      </c>
      <c r="H54" s="244"/>
      <c r="I54" s="249">
        <f>ROUND(D54*G54,2)</f>
        <v>4668.95</v>
      </c>
    </row>
    <row r="55" spans="1:9" x14ac:dyDescent="0.2">
      <c r="A55" s="199"/>
      <c r="B55" s="233"/>
      <c r="C55" s="233"/>
      <c r="D55" s="199"/>
      <c r="E55" s="199"/>
      <c r="F55" s="234" t="s">
        <v>203</v>
      </c>
      <c r="G55" s="244"/>
      <c r="H55" s="245"/>
      <c r="I55" s="434">
        <f>SUM(I53:I54)</f>
        <v>6786.14</v>
      </c>
    </row>
    <row r="56" spans="1:9" x14ac:dyDescent="0.2">
      <c r="A56" s="199"/>
      <c r="B56" s="233"/>
      <c r="C56" s="233"/>
      <c r="D56" s="199"/>
      <c r="E56" s="199"/>
      <c r="F56" s="199"/>
      <c r="G56" s="199"/>
      <c r="H56" s="199"/>
      <c r="I56" s="200"/>
    </row>
    <row r="57" spans="1:9" x14ac:dyDescent="0.2">
      <c r="A57" s="250" t="s">
        <v>204</v>
      </c>
      <c r="B57" s="247" t="s">
        <v>60</v>
      </c>
      <c r="C57" s="792" t="s">
        <v>17</v>
      </c>
      <c r="D57" s="247" t="s">
        <v>205</v>
      </c>
      <c r="E57" s="247" t="s">
        <v>206</v>
      </c>
      <c r="F57" s="247" t="s">
        <v>207</v>
      </c>
      <c r="G57" s="1276" t="s">
        <v>96</v>
      </c>
      <c r="H57" s="1274"/>
      <c r="I57" s="1275"/>
    </row>
    <row r="58" spans="1:9" x14ac:dyDescent="0.2">
      <c r="A58" s="248"/>
      <c r="B58" s="238"/>
      <c r="C58" s="243"/>
      <c r="D58" s="239"/>
      <c r="E58" s="251"/>
      <c r="F58" s="251"/>
      <c r="G58" s="244"/>
      <c r="H58" s="245"/>
      <c r="I58" s="249"/>
    </row>
    <row r="59" spans="1:9" x14ac:dyDescent="0.2">
      <c r="A59" s="199"/>
      <c r="B59" s="233"/>
      <c r="C59" s="199"/>
      <c r="D59" s="199"/>
      <c r="E59" s="199"/>
      <c r="F59" s="234" t="s">
        <v>1170</v>
      </c>
      <c r="G59" s="244"/>
      <c r="H59" s="245"/>
      <c r="I59" s="434">
        <f>SUM(I58)</f>
        <v>0</v>
      </c>
    </row>
    <row r="60" spans="1:9" x14ac:dyDescent="0.2">
      <c r="A60" s="199"/>
      <c r="B60" s="233"/>
      <c r="C60" s="199"/>
      <c r="D60" s="199"/>
      <c r="E60" s="199"/>
      <c r="F60" s="199"/>
      <c r="G60" s="199"/>
      <c r="H60" s="199"/>
      <c r="I60" s="200"/>
    </row>
    <row r="61" spans="1:9" x14ac:dyDescent="0.2">
      <c r="A61" s="252"/>
      <c r="B61" s="253"/>
      <c r="C61" s="254"/>
      <c r="D61" s="254"/>
      <c r="E61" s="254"/>
      <c r="F61" s="255" t="s">
        <v>208</v>
      </c>
      <c r="G61" s="435"/>
      <c r="H61" s="254"/>
      <c r="I61" s="634">
        <f>+I50+I55+I59</f>
        <v>6786.14</v>
      </c>
    </row>
    <row r="62" spans="1:9" x14ac:dyDescent="0.2">
      <c r="A62" s="256"/>
      <c r="B62" s="257"/>
      <c r="C62" s="258"/>
      <c r="D62" s="258"/>
      <c r="E62" s="258"/>
      <c r="F62" s="259" t="s">
        <v>209</v>
      </c>
      <c r="G62" s="260"/>
      <c r="H62" s="258"/>
      <c r="I62" s="635">
        <v>1</v>
      </c>
    </row>
    <row r="63" spans="1:9" x14ac:dyDescent="0.2">
      <c r="A63" s="237"/>
      <c r="B63" s="261"/>
      <c r="C63" s="245"/>
      <c r="D63" s="245"/>
      <c r="E63" s="245"/>
      <c r="F63" s="262" t="s">
        <v>232</v>
      </c>
      <c r="G63" s="244"/>
      <c r="H63" s="245"/>
      <c r="I63" s="633">
        <f>ROUND(I61/I62,2)</f>
        <v>6786.14</v>
      </c>
    </row>
    <row r="64" spans="1:9" x14ac:dyDescent="0.2">
      <c r="A64" s="793"/>
      <c r="B64" s="233"/>
      <c r="C64" s="199"/>
      <c r="D64" s="199"/>
      <c r="E64" s="199"/>
      <c r="F64" s="263"/>
      <c r="G64" s="199"/>
      <c r="H64" s="199"/>
      <c r="I64" s="264"/>
    </row>
    <row r="65" spans="1:14" x14ac:dyDescent="0.2">
      <c r="A65" s="246" t="s">
        <v>210</v>
      </c>
      <c r="B65" s="247" t="s">
        <v>60</v>
      </c>
      <c r="C65" s="247" t="s">
        <v>211</v>
      </c>
      <c r="D65" s="247" t="s">
        <v>233</v>
      </c>
      <c r="E65" s="1276" t="s">
        <v>91</v>
      </c>
      <c r="F65" s="1274"/>
      <c r="G65" s="1275"/>
      <c r="H65" s="1276" t="s">
        <v>64</v>
      </c>
      <c r="I65" s="1275"/>
    </row>
    <row r="66" spans="1:14" x14ac:dyDescent="0.2">
      <c r="A66" s="248" t="s">
        <v>1236</v>
      </c>
      <c r="B66" s="238">
        <v>10425</v>
      </c>
      <c r="C66" s="238" t="s">
        <v>62</v>
      </c>
      <c r="D66" s="243">
        <f>mat.!D247</f>
        <v>903.03</v>
      </c>
      <c r="E66" s="244"/>
      <c r="F66" s="245"/>
      <c r="G66" s="445">
        <v>1</v>
      </c>
      <c r="H66" s="244"/>
      <c r="I66" s="268">
        <f>ROUND(D66*G66,2)</f>
        <v>903.03</v>
      </c>
      <c r="J66" s="374"/>
    </row>
    <row r="67" spans="1:14" x14ac:dyDescent="0.2">
      <c r="A67" s="248" t="s">
        <v>1237</v>
      </c>
      <c r="B67" s="238">
        <v>10420</v>
      </c>
      <c r="C67" s="238" t="s">
        <v>62</v>
      </c>
      <c r="D67" s="454">
        <v>321.27</v>
      </c>
      <c r="E67" s="244"/>
      <c r="F67" s="245"/>
      <c r="G67" s="445">
        <v>1</v>
      </c>
      <c r="H67" s="244"/>
      <c r="I67" s="268">
        <f>ROUND(D67*G67,2)</f>
        <v>321.27</v>
      </c>
      <c r="J67" s="374"/>
      <c r="L67" s="372" t="s">
        <v>3272</v>
      </c>
    </row>
    <row r="68" spans="1:14" x14ac:dyDescent="0.2">
      <c r="A68" s="199"/>
      <c r="B68" s="233"/>
      <c r="C68" s="199"/>
      <c r="D68" s="199"/>
      <c r="E68" s="199"/>
      <c r="F68" s="234" t="s">
        <v>212</v>
      </c>
      <c r="G68" s="244"/>
      <c r="H68" s="245"/>
      <c r="I68" s="434">
        <f>SUM(I66:I67)</f>
        <v>1224.3</v>
      </c>
    </row>
    <row r="69" spans="1:14" x14ac:dyDescent="0.2">
      <c r="A69" s="199"/>
      <c r="B69" s="233"/>
      <c r="C69" s="199"/>
      <c r="D69" s="199"/>
      <c r="E69" s="199"/>
      <c r="F69" s="199"/>
      <c r="G69" s="269"/>
      <c r="H69" s="199"/>
      <c r="I69" s="200"/>
    </row>
    <row r="70" spans="1:14" x14ac:dyDescent="0.2">
      <c r="A70" s="270" t="s">
        <v>213</v>
      </c>
      <c r="B70" s="247" t="s">
        <v>60</v>
      </c>
      <c r="C70" s="247" t="s">
        <v>211</v>
      </c>
      <c r="D70" s="792" t="s">
        <v>233</v>
      </c>
      <c r="E70" s="1271" t="s">
        <v>91</v>
      </c>
      <c r="F70" s="1272"/>
      <c r="G70" s="1273"/>
      <c r="H70" s="1276" t="s">
        <v>64</v>
      </c>
      <c r="I70" s="1275"/>
      <c r="L70" s="22"/>
      <c r="M70" s="22"/>
      <c r="N70" s="22"/>
    </row>
    <row r="71" spans="1:14" ht="22.5" x14ac:dyDescent="0.2">
      <c r="A71" s="248" t="s">
        <v>1235</v>
      </c>
      <c r="B71" s="238">
        <v>42888</v>
      </c>
      <c r="C71" s="238" t="str">
        <f>VLOOKUP(B71,'DER 10-18'!$A:$E,3,FALSE)</f>
        <v>Mes</v>
      </c>
      <c r="D71" s="243">
        <f>ROUND(VLOOKUP(B71,'DER 10-18'!$A:$F,6,FALSE)/1.2332,2)</f>
        <v>5690.64</v>
      </c>
      <c r="E71" s="244"/>
      <c r="F71" s="245"/>
      <c r="G71" s="445">
        <v>1</v>
      </c>
      <c r="H71" s="244"/>
      <c r="I71" s="268">
        <f>ROUND(D71*G71,2)</f>
        <v>5690.64</v>
      </c>
      <c r="J71" s="374"/>
    </row>
    <row r="72" spans="1:14" x14ac:dyDescent="0.2">
      <c r="A72" s="201"/>
      <c r="B72" s="271"/>
      <c r="C72" s="201"/>
      <c r="D72" s="201"/>
      <c r="E72" s="201"/>
      <c r="F72" s="272" t="s">
        <v>214</v>
      </c>
      <c r="G72" s="260"/>
      <c r="H72" s="273"/>
      <c r="I72" s="627">
        <f>SUM(I71:I71)</f>
        <v>5690.64</v>
      </c>
    </row>
    <row r="73" spans="1:14" x14ac:dyDescent="0.2">
      <c r="A73" s="201"/>
      <c r="B73" s="271"/>
      <c r="C73" s="201"/>
      <c r="D73" s="201"/>
      <c r="E73" s="201"/>
      <c r="F73" s="201"/>
      <c r="G73" s="201"/>
      <c r="H73" s="201"/>
      <c r="I73" s="201"/>
    </row>
    <row r="74" spans="1:14" x14ac:dyDescent="0.2">
      <c r="A74" s="274" t="s">
        <v>215</v>
      </c>
      <c r="B74" s="275" t="s">
        <v>60</v>
      </c>
      <c r="C74" s="275" t="s">
        <v>211</v>
      </c>
      <c r="D74" s="275" t="s">
        <v>216</v>
      </c>
      <c r="E74" s="275" t="s">
        <v>217</v>
      </c>
      <c r="F74" s="275" t="s">
        <v>218</v>
      </c>
      <c r="G74" s="275" t="s">
        <v>96</v>
      </c>
      <c r="H74" s="275" t="s">
        <v>91</v>
      </c>
      <c r="I74" s="275" t="s">
        <v>219</v>
      </c>
    </row>
    <row r="75" spans="1:14" x14ac:dyDescent="0.2">
      <c r="A75" s="248"/>
      <c r="B75" s="238"/>
      <c r="C75" s="238"/>
      <c r="D75" s="276"/>
      <c r="E75" s="277"/>
      <c r="F75" s="277"/>
      <c r="G75" s="243"/>
      <c r="H75" s="278"/>
      <c r="I75" s="243"/>
      <c r="K75" s="375"/>
    </row>
    <row r="76" spans="1:14" x14ac:dyDescent="0.2">
      <c r="A76" s="201"/>
      <c r="B76" s="271"/>
      <c r="C76" s="201"/>
      <c r="D76" s="201"/>
      <c r="E76" s="201"/>
      <c r="F76" s="272" t="s">
        <v>220</v>
      </c>
      <c r="G76" s="244"/>
      <c r="H76" s="279"/>
      <c r="I76" s="438">
        <f>SUM(I75:I75)</f>
        <v>0</v>
      </c>
    </row>
    <row r="77" spans="1:14" x14ac:dyDescent="0.2">
      <c r="A77" s="201"/>
      <c r="B77" s="271"/>
      <c r="C77" s="201"/>
      <c r="D77" s="201"/>
      <c r="E77" s="201"/>
      <c r="F77" s="201"/>
      <c r="G77" s="201"/>
      <c r="H77" s="201"/>
      <c r="I77" s="202"/>
    </row>
    <row r="78" spans="1:14" x14ac:dyDescent="0.2">
      <c r="A78" s="280"/>
      <c r="B78" s="281"/>
      <c r="C78" s="282"/>
      <c r="D78" s="282"/>
      <c r="E78" s="282"/>
      <c r="F78" s="283" t="s">
        <v>221</v>
      </c>
      <c r="G78" s="280"/>
      <c r="H78" s="254"/>
      <c r="I78" s="634">
        <f>+I63+I68+I72+I76</f>
        <v>13701.08</v>
      </c>
    </row>
    <row r="79" spans="1:14" x14ac:dyDescent="0.2">
      <c r="A79" s="260"/>
      <c r="B79" s="284"/>
      <c r="C79" s="273"/>
      <c r="D79" s="273"/>
      <c r="E79" s="273"/>
      <c r="F79" s="285" t="str">
        <f>CONCATENATE($H$3," ",$I$3)</f>
        <v>BDI: 23,32</v>
      </c>
      <c r="G79" s="439"/>
      <c r="H79" s="258"/>
      <c r="I79" s="635">
        <f>+ROUND(I78*$I$4,2)</f>
        <v>3195.09</v>
      </c>
    </row>
    <row r="80" spans="1:14" x14ac:dyDescent="0.2">
      <c r="A80" s="244"/>
      <c r="B80" s="286"/>
      <c r="C80" s="279"/>
      <c r="D80" s="279"/>
      <c r="E80" s="279"/>
      <c r="F80" s="287" t="s">
        <v>222</v>
      </c>
      <c r="G80" s="440"/>
      <c r="H80" s="245"/>
      <c r="I80" s="1017">
        <f>+I78+I79</f>
        <v>16896.169999999998</v>
      </c>
    </row>
    <row r="81" spans="1:13" x14ac:dyDescent="0.2">
      <c r="A81" s="1277" t="s">
        <v>229</v>
      </c>
      <c r="B81" s="1277"/>
      <c r="C81" s="1277"/>
      <c r="D81" s="1277"/>
      <c r="E81" s="1277"/>
      <c r="F81" s="1277"/>
      <c r="G81" s="1277"/>
      <c r="H81" s="1277"/>
      <c r="I81" s="1277"/>
    </row>
    <row r="82" spans="1:13" x14ac:dyDescent="0.2">
      <c r="A82" s="232" t="str">
        <f>$A$2</f>
        <v>Tabela Referencial de Preços - DER-ES - sem desoneração</v>
      </c>
      <c r="B82" s="233"/>
      <c r="C82" s="199"/>
      <c r="D82" s="199"/>
      <c r="E82" s="199"/>
      <c r="F82" s="199"/>
      <c r="G82" s="199"/>
      <c r="H82" s="199"/>
      <c r="I82" s="234" t="str">
        <f>$I$2</f>
        <v>Data Base: Outubro/2018</v>
      </c>
    </row>
    <row r="83" spans="1:13" ht="14.25" customHeight="1" x14ac:dyDescent="0.2">
      <c r="A83" s="1278" t="str">
        <f>+CONCATENATE("Serviço: ",J83," ",L83)</f>
        <v>Serviço: LG-003 Equipe de Laboratório</v>
      </c>
      <c r="B83" s="1278"/>
      <c r="C83" s="1278"/>
      <c r="D83" s="1278"/>
      <c r="E83" s="1278"/>
      <c r="F83" s="1278"/>
      <c r="G83" s="1278"/>
      <c r="H83" s="1278"/>
      <c r="I83" s="1278" t="str">
        <f>CONCATENATE("Unidade: ", M83)</f>
        <v>Unidade: mês</v>
      </c>
      <c r="J83" s="373" t="s">
        <v>1083</v>
      </c>
      <c r="K83" s="22">
        <f>VLOOKUP("Preço Unitário Total",F84:I116,4,FALSE)</f>
        <v>18415.41</v>
      </c>
      <c r="L83" s="790" t="s">
        <v>1169</v>
      </c>
      <c r="M83" s="419" t="s">
        <v>158</v>
      </c>
    </row>
    <row r="84" spans="1:13" x14ac:dyDescent="0.2">
      <c r="A84" s="1279"/>
      <c r="B84" s="1279"/>
      <c r="C84" s="1279"/>
      <c r="D84" s="1279"/>
      <c r="E84" s="1279"/>
      <c r="F84" s="1279"/>
      <c r="G84" s="1279"/>
      <c r="H84" s="1279"/>
      <c r="I84" s="1279"/>
    </row>
    <row r="85" spans="1:13" ht="22.5" x14ac:dyDescent="0.2">
      <c r="A85" s="235" t="s">
        <v>192</v>
      </c>
      <c r="B85" s="236" t="s">
        <v>60</v>
      </c>
      <c r="C85" s="236" t="s">
        <v>193</v>
      </c>
      <c r="D85" s="236" t="s">
        <v>194</v>
      </c>
      <c r="E85" s="236" t="s">
        <v>195</v>
      </c>
      <c r="F85" s="236" t="s">
        <v>196</v>
      </c>
      <c r="G85" s="236" t="s">
        <v>197</v>
      </c>
      <c r="H85" s="236" t="s">
        <v>91</v>
      </c>
      <c r="I85" s="236" t="s">
        <v>198</v>
      </c>
    </row>
    <row r="86" spans="1:13" x14ac:dyDescent="0.2">
      <c r="A86" s="237"/>
      <c r="B86" s="238"/>
      <c r="C86" s="239"/>
      <c r="D86" s="240"/>
      <c r="E86" s="205"/>
      <c r="F86" s="241"/>
      <c r="G86" s="241"/>
      <c r="H86" s="242"/>
      <c r="I86" s="243"/>
    </row>
    <row r="87" spans="1:13" x14ac:dyDescent="0.2">
      <c r="A87" s="199"/>
      <c r="B87" s="233"/>
      <c r="C87" s="233"/>
      <c r="D87" s="199"/>
      <c r="E87" s="199"/>
      <c r="F87" s="234" t="s">
        <v>199</v>
      </c>
      <c r="G87" s="244"/>
      <c r="H87" s="245"/>
      <c r="I87" s="434">
        <f>SUM(I86:I86)</f>
        <v>0</v>
      </c>
    </row>
    <row r="88" spans="1:13" x14ac:dyDescent="0.2">
      <c r="A88" s="199"/>
      <c r="B88" s="233"/>
      <c r="C88" s="233"/>
      <c r="D88" s="199"/>
      <c r="E88" s="199"/>
      <c r="F88" s="199"/>
      <c r="G88" s="199"/>
      <c r="H88" s="199"/>
      <c r="I88" s="200"/>
    </row>
    <row r="89" spans="1:13" x14ac:dyDescent="0.2">
      <c r="A89" s="246" t="s">
        <v>200</v>
      </c>
      <c r="B89" s="247" t="s">
        <v>60</v>
      </c>
      <c r="C89" s="236" t="s">
        <v>201</v>
      </c>
      <c r="D89" s="247" t="s">
        <v>202</v>
      </c>
      <c r="E89" s="1271" t="s">
        <v>91</v>
      </c>
      <c r="F89" s="1272"/>
      <c r="G89" s="1273"/>
      <c r="H89" s="1276" t="s">
        <v>198</v>
      </c>
      <c r="I89" s="1275"/>
    </row>
    <row r="90" spans="1:13" x14ac:dyDescent="0.2">
      <c r="A90" s="248" t="str">
        <f>VLOOKUP(B90,m.o.!$A:$H,2,FALSE)</f>
        <v>Auxiliar de laboratório</v>
      </c>
      <c r="B90" s="238">
        <v>20026</v>
      </c>
      <c r="C90" s="243" t="str">
        <f>VLOOKUP(B90,m.o.!$A:$F,3,FALSE)</f>
        <v>Mes</v>
      </c>
      <c r="D90" s="243">
        <f>VLOOKUP(B90,m.o.!$A:$F,5,FALSE)</f>
        <v>2117.19</v>
      </c>
      <c r="E90" s="260"/>
      <c r="F90" s="258"/>
      <c r="G90" s="300">
        <v>1</v>
      </c>
      <c r="H90" s="244"/>
      <c r="I90" s="249">
        <f>ROUND(D90*G90,2)</f>
        <v>2117.19</v>
      </c>
    </row>
    <row r="91" spans="1:13" x14ac:dyDescent="0.2">
      <c r="A91" s="248" t="str">
        <f>VLOOKUP(B91,m.o.!$A:$H,2,FALSE)</f>
        <v>Laboratorista chefe</v>
      </c>
      <c r="B91" s="238">
        <v>20091</v>
      </c>
      <c r="C91" s="243" t="str">
        <f>VLOOKUP(B91,m.o.!$A:$F,3,FALSE)</f>
        <v>Mes</v>
      </c>
      <c r="D91" s="243">
        <f>VLOOKUP(B91,m.o.!$A:$F,5,FALSE)</f>
        <v>4668.95</v>
      </c>
      <c r="E91" s="260"/>
      <c r="F91" s="258"/>
      <c r="G91" s="300">
        <v>1</v>
      </c>
      <c r="H91" s="244"/>
      <c r="I91" s="249">
        <f>ROUND(D91*G91,2)</f>
        <v>4668.95</v>
      </c>
    </row>
    <row r="92" spans="1:13" x14ac:dyDescent="0.2">
      <c r="A92" s="199"/>
      <c r="B92" s="233"/>
      <c r="C92" s="233"/>
      <c r="D92" s="199"/>
      <c r="E92" s="199"/>
      <c r="F92" s="234" t="s">
        <v>203</v>
      </c>
      <c r="G92" s="244"/>
      <c r="H92" s="245"/>
      <c r="I92" s="434">
        <f>SUM(I90:I91)</f>
        <v>6786.14</v>
      </c>
    </row>
    <row r="93" spans="1:13" x14ac:dyDescent="0.2">
      <c r="A93" s="199"/>
      <c r="B93" s="233"/>
      <c r="C93" s="233"/>
      <c r="D93" s="199"/>
      <c r="E93" s="199"/>
      <c r="F93" s="199"/>
      <c r="G93" s="199"/>
      <c r="H93" s="199"/>
      <c r="I93" s="200"/>
    </row>
    <row r="94" spans="1:13" x14ac:dyDescent="0.2">
      <c r="A94" s="250" t="s">
        <v>204</v>
      </c>
      <c r="B94" s="247" t="s">
        <v>60</v>
      </c>
      <c r="C94" s="792" t="s">
        <v>17</v>
      </c>
      <c r="D94" s="247" t="s">
        <v>205</v>
      </c>
      <c r="E94" s="247" t="s">
        <v>206</v>
      </c>
      <c r="F94" s="247" t="s">
        <v>207</v>
      </c>
      <c r="G94" s="1276" t="s">
        <v>96</v>
      </c>
      <c r="H94" s="1274"/>
      <c r="I94" s="1275"/>
    </row>
    <row r="95" spans="1:13" x14ac:dyDescent="0.2">
      <c r="A95" s="248"/>
      <c r="B95" s="238"/>
      <c r="C95" s="243"/>
      <c r="D95" s="239"/>
      <c r="E95" s="251"/>
      <c r="F95" s="251"/>
      <c r="G95" s="244"/>
      <c r="H95" s="245"/>
      <c r="I95" s="249"/>
    </row>
    <row r="96" spans="1:13" x14ac:dyDescent="0.2">
      <c r="A96" s="199"/>
      <c r="B96" s="233"/>
      <c r="C96" s="199"/>
      <c r="D96" s="199"/>
      <c r="E96" s="199"/>
      <c r="F96" s="234" t="s">
        <v>1170</v>
      </c>
      <c r="G96" s="244"/>
      <c r="H96" s="245"/>
      <c r="I96" s="434">
        <f>SUM(I95)</f>
        <v>0</v>
      </c>
    </row>
    <row r="97" spans="1:14" x14ac:dyDescent="0.2">
      <c r="A97" s="199"/>
      <c r="B97" s="233"/>
      <c r="C97" s="199"/>
      <c r="D97" s="199"/>
      <c r="E97" s="199"/>
      <c r="F97" s="199"/>
      <c r="G97" s="199"/>
      <c r="H97" s="199"/>
      <c r="I97" s="200"/>
    </row>
    <row r="98" spans="1:14" x14ac:dyDescent="0.2">
      <c r="A98" s="252"/>
      <c r="B98" s="253"/>
      <c r="C98" s="254"/>
      <c r="D98" s="254"/>
      <c r="E98" s="254"/>
      <c r="F98" s="255" t="s">
        <v>208</v>
      </c>
      <c r="G98" s="435"/>
      <c r="H98" s="254"/>
      <c r="I98" s="634">
        <f>+I87+I92+I96</f>
        <v>6786.14</v>
      </c>
    </row>
    <row r="99" spans="1:14" x14ac:dyDescent="0.2">
      <c r="A99" s="256"/>
      <c r="B99" s="257"/>
      <c r="C99" s="258"/>
      <c r="D99" s="258"/>
      <c r="E99" s="258"/>
      <c r="F99" s="259" t="s">
        <v>209</v>
      </c>
      <c r="G99" s="260"/>
      <c r="H99" s="258"/>
      <c r="I99" s="635">
        <v>1</v>
      </c>
    </row>
    <row r="100" spans="1:14" x14ac:dyDescent="0.2">
      <c r="A100" s="237"/>
      <c r="B100" s="261"/>
      <c r="C100" s="245"/>
      <c r="D100" s="245"/>
      <c r="E100" s="245"/>
      <c r="F100" s="262" t="s">
        <v>232</v>
      </c>
      <c r="G100" s="244"/>
      <c r="H100" s="245"/>
      <c r="I100" s="633">
        <f>ROUND(I98/I99,2)</f>
        <v>6786.14</v>
      </c>
    </row>
    <row r="101" spans="1:14" x14ac:dyDescent="0.2">
      <c r="A101" s="793"/>
      <c r="B101" s="233"/>
      <c r="C101" s="199"/>
      <c r="D101" s="199"/>
      <c r="E101" s="199"/>
      <c r="F101" s="263"/>
      <c r="G101" s="199"/>
      <c r="H101" s="199"/>
      <c r="I101" s="264"/>
    </row>
    <row r="102" spans="1:14" x14ac:dyDescent="0.2">
      <c r="A102" s="246" t="s">
        <v>210</v>
      </c>
      <c r="B102" s="247" t="s">
        <v>60</v>
      </c>
      <c r="C102" s="247" t="s">
        <v>211</v>
      </c>
      <c r="D102" s="247" t="s">
        <v>233</v>
      </c>
      <c r="E102" s="1276" t="s">
        <v>91</v>
      </c>
      <c r="F102" s="1274"/>
      <c r="G102" s="1275"/>
      <c r="H102" s="1276" t="s">
        <v>64</v>
      </c>
      <c r="I102" s="1275"/>
    </row>
    <row r="103" spans="1:14" ht="22.5" x14ac:dyDescent="0.2">
      <c r="A103" s="265" t="s">
        <v>1165</v>
      </c>
      <c r="B103" s="238">
        <v>10588</v>
      </c>
      <c r="C103" s="266" t="s">
        <v>158</v>
      </c>
      <c r="D103" s="267">
        <f>mat.!D37</f>
        <v>2456.25</v>
      </c>
      <c r="E103" s="244"/>
      <c r="F103" s="245"/>
      <c r="G103" s="445">
        <v>1</v>
      </c>
      <c r="H103" s="260"/>
      <c r="I103" s="268">
        <f>ROUND(D103*G103,2)</f>
        <v>2456.25</v>
      </c>
    </row>
    <row r="104" spans="1:14" x14ac:dyDescent="0.2">
      <c r="A104" s="199"/>
      <c r="B104" s="233"/>
      <c r="C104" s="199"/>
      <c r="D104" s="199"/>
      <c r="E104" s="199"/>
      <c r="F104" s="234" t="s">
        <v>212</v>
      </c>
      <c r="G104" s="244"/>
      <c r="H104" s="245"/>
      <c r="I104" s="434">
        <f>SUM(I103:I103)</f>
        <v>2456.25</v>
      </c>
    </row>
    <row r="105" spans="1:14" x14ac:dyDescent="0.2">
      <c r="A105" s="199"/>
      <c r="B105" s="233"/>
      <c r="C105" s="199"/>
      <c r="D105" s="199"/>
      <c r="E105" s="199"/>
      <c r="F105" s="199"/>
      <c r="G105" s="269"/>
      <c r="H105" s="199"/>
      <c r="I105" s="200"/>
    </row>
    <row r="106" spans="1:14" x14ac:dyDescent="0.2">
      <c r="A106" s="270" t="s">
        <v>213</v>
      </c>
      <c r="B106" s="247" t="s">
        <v>60</v>
      </c>
      <c r="C106" s="247" t="s">
        <v>211</v>
      </c>
      <c r="D106" s="792" t="s">
        <v>233</v>
      </c>
      <c r="E106" s="1271" t="s">
        <v>91</v>
      </c>
      <c r="F106" s="1272"/>
      <c r="G106" s="1273"/>
      <c r="H106" s="1276" t="s">
        <v>64</v>
      </c>
      <c r="I106" s="1275"/>
      <c r="L106" s="22"/>
      <c r="M106" s="22"/>
      <c r="N106" s="22"/>
    </row>
    <row r="107" spans="1:14" ht="22.5" x14ac:dyDescent="0.2">
      <c r="A107" s="248" t="s">
        <v>1235</v>
      </c>
      <c r="B107" s="238">
        <v>42888</v>
      </c>
      <c r="C107" s="238" t="s">
        <v>62</v>
      </c>
      <c r="D107" s="243">
        <f>ROUND(VLOOKUP(B107,'DER 10-18'!$A:$F,6,FALSE)/1.2332,2)</f>
        <v>5690.64</v>
      </c>
      <c r="E107" s="244"/>
      <c r="F107" s="245"/>
      <c r="G107" s="445">
        <v>1</v>
      </c>
      <c r="H107" s="244"/>
      <c r="I107" s="268">
        <f>ROUND(D107*G107,2)</f>
        <v>5690.64</v>
      </c>
      <c r="J107" s="374">
        <f>VLOOKUP(B107,'DER 10-18'!$A:$E,5,FALSE)</f>
        <v>0</v>
      </c>
    </row>
    <row r="108" spans="1:14" x14ac:dyDescent="0.2">
      <c r="A108" s="201"/>
      <c r="B108" s="271"/>
      <c r="C108" s="201"/>
      <c r="D108" s="201"/>
      <c r="E108" s="201"/>
      <c r="F108" s="272" t="s">
        <v>214</v>
      </c>
      <c r="G108" s="260"/>
      <c r="H108" s="273"/>
      <c r="I108" s="436">
        <f>SUM(I107:I107)</f>
        <v>5690.64</v>
      </c>
    </row>
    <row r="109" spans="1:14" x14ac:dyDescent="0.2">
      <c r="A109" s="201"/>
      <c r="B109" s="271"/>
      <c r="C109" s="201"/>
      <c r="D109" s="201"/>
      <c r="E109" s="201"/>
      <c r="F109" s="201"/>
      <c r="G109" s="201"/>
      <c r="H109" s="201"/>
      <c r="I109" s="201"/>
    </row>
    <row r="110" spans="1:14" x14ac:dyDescent="0.2">
      <c r="A110" s="274" t="s">
        <v>215</v>
      </c>
      <c r="B110" s="275" t="s">
        <v>60</v>
      </c>
      <c r="C110" s="275" t="s">
        <v>211</v>
      </c>
      <c r="D110" s="275" t="s">
        <v>216</v>
      </c>
      <c r="E110" s="275" t="s">
        <v>217</v>
      </c>
      <c r="F110" s="275" t="s">
        <v>218</v>
      </c>
      <c r="G110" s="275" t="s">
        <v>96</v>
      </c>
      <c r="H110" s="275" t="s">
        <v>91</v>
      </c>
      <c r="I110" s="275" t="s">
        <v>219</v>
      </c>
    </row>
    <row r="111" spans="1:14" x14ac:dyDescent="0.2">
      <c r="A111" s="248"/>
      <c r="B111" s="238"/>
      <c r="C111" s="238"/>
      <c r="D111" s="276"/>
      <c r="E111" s="277"/>
      <c r="F111" s="277"/>
      <c r="G111" s="243"/>
      <c r="H111" s="278"/>
      <c r="I111" s="243"/>
      <c r="K111" s="375"/>
    </row>
    <row r="112" spans="1:14" x14ac:dyDescent="0.2">
      <c r="A112" s="201"/>
      <c r="B112" s="271"/>
      <c r="C112" s="201"/>
      <c r="D112" s="201"/>
      <c r="E112" s="201"/>
      <c r="F112" s="272" t="s">
        <v>220</v>
      </c>
      <c r="G112" s="244"/>
      <c r="H112" s="279"/>
      <c r="I112" s="438">
        <f>SUM(I111:I111)</f>
        <v>0</v>
      </c>
    </row>
    <row r="113" spans="1:13" x14ac:dyDescent="0.2">
      <c r="A113" s="201"/>
      <c r="B113" s="271"/>
      <c r="C113" s="201"/>
      <c r="D113" s="201"/>
      <c r="E113" s="201"/>
      <c r="F113" s="201"/>
      <c r="G113" s="201"/>
      <c r="H113" s="201"/>
      <c r="I113" s="202"/>
    </row>
    <row r="114" spans="1:13" x14ac:dyDescent="0.2">
      <c r="A114" s="280"/>
      <c r="B114" s="281"/>
      <c r="C114" s="282"/>
      <c r="D114" s="282"/>
      <c r="E114" s="282"/>
      <c r="F114" s="283" t="s">
        <v>221</v>
      </c>
      <c r="G114" s="280"/>
      <c r="H114" s="254"/>
      <c r="I114" s="634">
        <f>+I100+I104+I108+I112</f>
        <v>14933.03</v>
      </c>
    </row>
    <row r="115" spans="1:13" x14ac:dyDescent="0.2">
      <c r="A115" s="260"/>
      <c r="B115" s="284"/>
      <c r="C115" s="273"/>
      <c r="D115" s="273"/>
      <c r="E115" s="273"/>
      <c r="F115" s="285" t="str">
        <f>CONCATENATE($H$3," ",$I$3)</f>
        <v>BDI: 23,32</v>
      </c>
      <c r="G115" s="439"/>
      <c r="H115" s="258"/>
      <c r="I115" s="635">
        <f>+ROUND(I114*$I$4,2)</f>
        <v>3482.38</v>
      </c>
    </row>
    <row r="116" spans="1:13" x14ac:dyDescent="0.2">
      <c r="A116" s="244"/>
      <c r="B116" s="286"/>
      <c r="C116" s="279"/>
      <c r="D116" s="279"/>
      <c r="E116" s="279"/>
      <c r="F116" s="287" t="s">
        <v>222</v>
      </c>
      <c r="G116" s="440"/>
      <c r="H116" s="245"/>
      <c r="I116" s="1017">
        <f>+I114+I115</f>
        <v>18415.41</v>
      </c>
    </row>
    <row r="117" spans="1:13" x14ac:dyDescent="0.2">
      <c r="A117" s="1277" t="str">
        <f>$A$1</f>
        <v>COMPOSIÇÃO DE CUSTOS UNITÁRIOS</v>
      </c>
      <c r="B117" s="1277"/>
      <c r="C117" s="1277"/>
      <c r="D117" s="1277"/>
      <c r="E117" s="1277"/>
      <c r="F117" s="1277"/>
      <c r="G117" s="1277"/>
      <c r="H117" s="1277"/>
      <c r="I117" s="1277"/>
    </row>
    <row r="118" spans="1:13" x14ac:dyDescent="0.2">
      <c r="A118" s="232" t="str">
        <f>$A$2</f>
        <v>Tabela Referencial de Preços - DER-ES - sem desoneração</v>
      </c>
      <c r="B118" s="233"/>
      <c r="C118" s="199"/>
      <c r="D118" s="199"/>
      <c r="E118" s="199"/>
      <c r="F118" s="199"/>
      <c r="G118" s="199"/>
      <c r="H118" s="199"/>
      <c r="I118" s="234" t="str">
        <f>$I$2</f>
        <v>Data Base: Outubro/2018</v>
      </c>
    </row>
    <row r="119" spans="1:13" ht="14.25" customHeight="1" x14ac:dyDescent="0.2">
      <c r="A119" s="1278" t="str">
        <f>+CONCATENATE("Serviço: ",J119," ",L119)</f>
        <v>Serviço: LG-004 Estaca metálica, fornecimento, transporte, perdas, solda, emenda, corte e cravação de perfil metálico H 200 x 35,9 laminado</v>
      </c>
      <c r="B119" s="1278"/>
      <c r="C119" s="1278"/>
      <c r="D119" s="1278"/>
      <c r="E119" s="1278"/>
      <c r="F119" s="1278"/>
      <c r="G119" s="1278"/>
      <c r="H119" s="1278"/>
      <c r="I119" s="1278" t="str">
        <f>CONCATENATE("Unidade: ", M119)</f>
        <v>Unidade: m</v>
      </c>
      <c r="J119" s="373" t="s">
        <v>1097</v>
      </c>
      <c r="K119" s="22">
        <f>VLOOKUP("Preço Unitário Total",F120:I159,4,FALSE)</f>
        <v>408.79</v>
      </c>
      <c r="L119" s="790" t="s">
        <v>1408</v>
      </c>
      <c r="M119" s="790" t="s">
        <v>62</v>
      </c>
    </row>
    <row r="120" spans="1:13" x14ac:dyDescent="0.2">
      <c r="A120" s="1279"/>
      <c r="B120" s="1279"/>
      <c r="C120" s="1279"/>
      <c r="D120" s="1279"/>
      <c r="E120" s="1279"/>
      <c r="F120" s="1279"/>
      <c r="G120" s="1279"/>
      <c r="H120" s="1279"/>
      <c r="I120" s="1279"/>
    </row>
    <row r="121" spans="1:13" ht="22.5" x14ac:dyDescent="0.2">
      <c r="A121" s="235" t="s">
        <v>192</v>
      </c>
      <c r="B121" s="236" t="s">
        <v>60</v>
      </c>
      <c r="C121" s="236" t="s">
        <v>193</v>
      </c>
      <c r="D121" s="236" t="s">
        <v>194</v>
      </c>
      <c r="E121" s="236" t="s">
        <v>195</v>
      </c>
      <c r="F121" s="236" t="s">
        <v>196</v>
      </c>
      <c r="G121" s="236" t="s">
        <v>197</v>
      </c>
      <c r="H121" s="236" t="s">
        <v>91</v>
      </c>
      <c r="I121" s="236" t="s">
        <v>198</v>
      </c>
    </row>
    <row r="122" spans="1:13" x14ac:dyDescent="0.2">
      <c r="A122" s="237" t="str">
        <f>VLOOKUP(B122,equip.!$A:$G,2,FALSE)</f>
        <v>Bate-estaca (martelo 2.500 kg)</v>
      </c>
      <c r="B122" s="238">
        <v>30078</v>
      </c>
      <c r="C122" s="239" t="str">
        <f>VLOOKUP(B122,equip.!$A$1:$G$239,3,FALSE)</f>
        <v>M</v>
      </c>
      <c r="D122" s="240">
        <v>0.5</v>
      </c>
      <c r="E122" s="205">
        <v>0.5</v>
      </c>
      <c r="F122" s="241">
        <f>VLOOKUP(B122,equip.!$A:$G,6,FALSE)</f>
        <v>145.72</v>
      </c>
      <c r="G122" s="241">
        <f>VLOOKUP(B122,equip.!$A:$G,7,FALSE)</f>
        <v>57.73</v>
      </c>
      <c r="H122" s="242">
        <v>1</v>
      </c>
      <c r="I122" s="243">
        <f>TRUNC(D122*F122*H122+E122*G122*H122,2)</f>
        <v>101.72</v>
      </c>
    </row>
    <row r="123" spans="1:13" ht="33.75" x14ac:dyDescent="0.2">
      <c r="A123" s="237" t="str">
        <f>VLOOKUP(B123,equip.!$A:$G,2,FALSE)</f>
        <v>Esmerilhadeira Angular 7" marca de referência BOSCH - 1755 ou equivalente</v>
      </c>
      <c r="B123" s="238">
        <v>30098</v>
      </c>
      <c r="C123" s="239">
        <f>VLOOKUP(B123,equip.!$A$1:$G$239,3,FALSE)</f>
        <v>0</v>
      </c>
      <c r="D123" s="240">
        <v>0.2</v>
      </c>
      <c r="E123" s="205">
        <v>0.8</v>
      </c>
      <c r="F123" s="241">
        <f>VLOOKUP(B123,equip.!$A:$G,6,FALSE)</f>
        <v>24.25</v>
      </c>
      <c r="G123" s="241">
        <f>VLOOKUP(B123,equip.!$A:$G,7,FALSE)</f>
        <v>22.89</v>
      </c>
      <c r="H123" s="242">
        <v>1</v>
      </c>
      <c r="I123" s="243">
        <f t="shared" ref="I123:I125" si="2">TRUNC(D123*F123*H123+E123*G123*H123,2)</f>
        <v>23.16</v>
      </c>
    </row>
    <row r="124" spans="1:13" ht="22.5" x14ac:dyDescent="0.2">
      <c r="A124" s="237" t="str">
        <f>VLOOKUP(B124,equip.!$A:$G,2,FALSE)</f>
        <v>Grupo gerador GEHM 200/187 kva (HEIMER) ou equivalente</v>
      </c>
      <c r="B124" s="238">
        <v>30069</v>
      </c>
      <c r="C124" s="239" t="str">
        <f>VLOOKUP(B124,equip.!$A$1:$G$239,3,FALSE)</f>
        <v>M</v>
      </c>
      <c r="D124" s="240">
        <v>0.5</v>
      </c>
      <c r="E124" s="205">
        <v>0.5</v>
      </c>
      <c r="F124" s="241">
        <f>VLOOKUP(B124,equip.!$A:$G,6,FALSE)</f>
        <v>182.82</v>
      </c>
      <c r="G124" s="241">
        <f>VLOOKUP(B124,equip.!$A:$G,7,FALSE)</f>
        <v>20.87</v>
      </c>
      <c r="H124" s="242">
        <v>1</v>
      </c>
      <c r="I124" s="243">
        <f t="shared" si="2"/>
        <v>101.84</v>
      </c>
    </row>
    <row r="125" spans="1:13" ht="22.5" x14ac:dyDescent="0.2">
      <c r="A125" s="237" t="str">
        <f>VLOOKUP(B125,equip.!$A:$G,2,FALSE)</f>
        <v>Máquina de solda 425 A, pot=33A</v>
      </c>
      <c r="B125" s="238">
        <v>30082</v>
      </c>
      <c r="C125" s="239">
        <f>VLOOKUP(B125,equip.!$A$1:$G$239,3,FALSE)</f>
        <v>0</v>
      </c>
      <c r="D125" s="240">
        <v>0.2</v>
      </c>
      <c r="E125" s="205">
        <v>0.8</v>
      </c>
      <c r="F125" s="241">
        <f>VLOOKUP(B125,equip.!$A:$G,6,FALSE)</f>
        <v>44.91</v>
      </c>
      <c r="G125" s="241">
        <f>VLOOKUP(B125,equip.!$A:$G,7,FALSE)</f>
        <v>23.17</v>
      </c>
      <c r="H125" s="242">
        <v>1</v>
      </c>
      <c r="I125" s="243">
        <f t="shared" si="2"/>
        <v>27.51</v>
      </c>
    </row>
    <row r="126" spans="1:13" x14ac:dyDescent="0.2">
      <c r="A126" s="199"/>
      <c r="B126" s="233"/>
      <c r="C126" s="233"/>
      <c r="D126" s="199"/>
      <c r="E126" s="199"/>
      <c r="F126" s="234" t="s">
        <v>199</v>
      </c>
      <c r="G126" s="244"/>
      <c r="H126" s="245"/>
      <c r="I126" s="434">
        <f>SUM(I122:I125)</f>
        <v>254.23</v>
      </c>
    </row>
    <row r="127" spans="1:13" x14ac:dyDescent="0.2">
      <c r="A127" s="199"/>
      <c r="B127" s="233"/>
      <c r="C127" s="233"/>
      <c r="D127" s="199"/>
      <c r="E127" s="199"/>
      <c r="F127" s="199"/>
      <c r="G127" s="199"/>
      <c r="H127" s="199"/>
      <c r="I127" s="200"/>
    </row>
    <row r="128" spans="1:13" x14ac:dyDescent="0.2">
      <c r="A128" s="246" t="s">
        <v>200</v>
      </c>
      <c r="B128" s="247" t="s">
        <v>60</v>
      </c>
      <c r="C128" s="236" t="s">
        <v>201</v>
      </c>
      <c r="D128" s="247" t="s">
        <v>202</v>
      </c>
      <c r="E128" s="1271" t="s">
        <v>91</v>
      </c>
      <c r="F128" s="1272"/>
      <c r="G128" s="1273"/>
      <c r="H128" s="1276" t="s">
        <v>198</v>
      </c>
      <c r="I128" s="1275"/>
    </row>
    <row r="129" spans="1:11" x14ac:dyDescent="0.2">
      <c r="A129" s="248" t="str">
        <f>VLOOKUP(B129,m.o.!$A:$H,2,FALSE)</f>
        <v>Encarregado O.A.E.</v>
      </c>
      <c r="B129" s="238">
        <v>20062</v>
      </c>
      <c r="C129" s="243">
        <f>VLOOKUP(B129,m.o.!$A:$F,4,FALSE)</f>
        <v>2.2599999999999998</v>
      </c>
      <c r="D129" s="243">
        <f>VLOOKUP(B129,m.o.!$A:$G,7,FALSE)</f>
        <v>26.3</v>
      </c>
      <c r="E129" s="260"/>
      <c r="F129" s="258"/>
      <c r="G129" s="300">
        <v>0.1</v>
      </c>
      <c r="H129" s="244"/>
      <c r="I129" s="249">
        <f>ROUND(D129*G129,2)</f>
        <v>2.63</v>
      </c>
    </row>
    <row r="130" spans="1:11" x14ac:dyDescent="0.2">
      <c r="A130" s="248" t="str">
        <f>VLOOKUP(B130,m.o.!$A:$H,2,FALSE)</f>
        <v>Soldador</v>
      </c>
      <c r="B130" s="238">
        <v>20005</v>
      </c>
      <c r="C130" s="243">
        <f>VLOOKUP(B130,m.o.!$A:$F,4,FALSE)</f>
        <v>1.96</v>
      </c>
      <c r="D130" s="243">
        <f>VLOOKUP(B130,m.o.!$A:$G,7,FALSE)</f>
        <v>22.81</v>
      </c>
      <c r="E130" s="260"/>
      <c r="F130" s="258"/>
      <c r="G130" s="300">
        <v>0.17</v>
      </c>
      <c r="H130" s="244"/>
      <c r="I130" s="249">
        <f t="shared" ref="I130:I131" si="3">ROUND(D130*G130,2)</f>
        <v>3.88</v>
      </c>
    </row>
    <row r="131" spans="1:11" x14ac:dyDescent="0.2">
      <c r="A131" s="248" t="str">
        <f>VLOOKUP(B131,m.o.!$A:$H,2,FALSE)</f>
        <v>Servente</v>
      </c>
      <c r="B131" s="238">
        <v>20002</v>
      </c>
      <c r="C131" s="243">
        <f>VLOOKUP(B131,m.o.!$A:$F,4,FALSE)</f>
        <v>1</v>
      </c>
      <c r="D131" s="243">
        <f>VLOOKUP(B131,m.o.!$A:$G,7,FALSE)</f>
        <v>11.64</v>
      </c>
      <c r="E131" s="260"/>
      <c r="F131" s="258"/>
      <c r="G131" s="300">
        <v>0.33</v>
      </c>
      <c r="H131" s="244"/>
      <c r="I131" s="249">
        <f t="shared" si="3"/>
        <v>3.84</v>
      </c>
    </row>
    <row r="132" spans="1:11" x14ac:dyDescent="0.2">
      <c r="A132" s="199"/>
      <c r="B132" s="233"/>
      <c r="C132" s="233"/>
      <c r="D132" s="199"/>
      <c r="E132" s="199"/>
      <c r="F132" s="234" t="s">
        <v>203</v>
      </c>
      <c r="G132" s="244"/>
      <c r="H132" s="245"/>
      <c r="I132" s="434">
        <f>SUM(I129:I131)</f>
        <v>10.35</v>
      </c>
      <c r="J132" s="372"/>
      <c r="K132" s="372"/>
    </row>
    <row r="133" spans="1:11" x14ac:dyDescent="0.2">
      <c r="A133" s="199"/>
      <c r="B133" s="233"/>
      <c r="C133" s="233"/>
      <c r="D133" s="199"/>
      <c r="E133" s="199"/>
      <c r="F133" s="199"/>
      <c r="G133" s="199"/>
      <c r="H133" s="199"/>
      <c r="I133" s="200"/>
    </row>
    <row r="134" spans="1:11" x14ac:dyDescent="0.2">
      <c r="A134" s="250" t="s">
        <v>204</v>
      </c>
      <c r="B134" s="247" t="s">
        <v>60</v>
      </c>
      <c r="C134" s="792" t="s">
        <v>17</v>
      </c>
      <c r="D134" s="247" t="s">
        <v>205</v>
      </c>
      <c r="E134" s="247" t="s">
        <v>206</v>
      </c>
      <c r="F134" s="247" t="s">
        <v>207</v>
      </c>
      <c r="G134" s="1276" t="s">
        <v>96</v>
      </c>
      <c r="H134" s="1274"/>
      <c r="I134" s="1275"/>
    </row>
    <row r="135" spans="1:11" x14ac:dyDescent="0.2">
      <c r="A135" s="248"/>
      <c r="B135" s="238"/>
      <c r="C135" s="243"/>
      <c r="D135" s="239"/>
      <c r="E135" s="251"/>
      <c r="F135" s="251"/>
      <c r="G135" s="244"/>
      <c r="H135" s="245"/>
      <c r="I135" s="249"/>
    </row>
    <row r="136" spans="1:11" x14ac:dyDescent="0.2">
      <c r="A136" s="199"/>
      <c r="B136" s="233"/>
      <c r="C136" s="199"/>
      <c r="D136" s="199"/>
      <c r="E136" s="199"/>
      <c r="F136" s="234" t="s">
        <v>1170</v>
      </c>
      <c r="G136" s="244"/>
      <c r="H136" s="245"/>
      <c r="I136" s="434">
        <f>SUM(I135)</f>
        <v>0</v>
      </c>
    </row>
    <row r="137" spans="1:11" x14ac:dyDescent="0.2">
      <c r="A137" s="199"/>
      <c r="B137" s="233"/>
      <c r="C137" s="199"/>
      <c r="D137" s="199"/>
      <c r="E137" s="199"/>
      <c r="F137" s="199"/>
      <c r="G137" s="199"/>
      <c r="H137" s="199"/>
      <c r="I137" s="200"/>
    </row>
    <row r="138" spans="1:11" x14ac:dyDescent="0.2">
      <c r="A138" s="252"/>
      <c r="B138" s="253"/>
      <c r="C138" s="254"/>
      <c r="D138" s="254"/>
      <c r="E138" s="254"/>
      <c r="F138" s="255" t="s">
        <v>208</v>
      </c>
      <c r="G138" s="435"/>
      <c r="H138" s="254"/>
      <c r="I138" s="634">
        <f>+I126+I132+I136</f>
        <v>264.58</v>
      </c>
    </row>
    <row r="139" spans="1:11" x14ac:dyDescent="0.2">
      <c r="A139" s="256"/>
      <c r="B139" s="257"/>
      <c r="C139" s="258"/>
      <c r="D139" s="258"/>
      <c r="E139" s="258"/>
      <c r="F139" s="259" t="s">
        <v>209</v>
      </c>
      <c r="G139" s="260"/>
      <c r="H139" s="258"/>
      <c r="I139" s="635">
        <v>500</v>
      </c>
      <c r="J139" s="377" t="s">
        <v>1024</v>
      </c>
      <c r="K139" s="378">
        <v>8</v>
      </c>
    </row>
    <row r="140" spans="1:11" x14ac:dyDescent="0.2">
      <c r="A140" s="237"/>
      <c r="B140" s="261"/>
      <c r="C140" s="245"/>
      <c r="D140" s="245"/>
      <c r="E140" s="245"/>
      <c r="F140" s="262" t="s">
        <v>232</v>
      </c>
      <c r="G140" s="244"/>
      <c r="H140" s="245"/>
      <c r="I140" s="633">
        <f>ROUND(I138/I139,2)</f>
        <v>0.53</v>
      </c>
    </row>
    <row r="141" spans="1:11" x14ac:dyDescent="0.2">
      <c r="A141" s="793"/>
      <c r="B141" s="233"/>
      <c r="C141" s="199"/>
      <c r="D141" s="199"/>
      <c r="E141" s="199"/>
      <c r="F141" s="263"/>
      <c r="G141" s="199"/>
      <c r="H141" s="199"/>
      <c r="I141" s="264"/>
    </row>
    <row r="142" spans="1:11" x14ac:dyDescent="0.2">
      <c r="A142" s="246" t="s">
        <v>210</v>
      </c>
      <c r="B142" s="247" t="s">
        <v>60</v>
      </c>
      <c r="C142" s="247" t="s">
        <v>211</v>
      </c>
      <c r="D142" s="247" t="s">
        <v>233</v>
      </c>
      <c r="E142" s="1276" t="s">
        <v>91</v>
      </c>
      <c r="F142" s="1274"/>
      <c r="G142" s="1275"/>
      <c r="H142" s="1276" t="s">
        <v>198</v>
      </c>
      <c r="I142" s="1275"/>
    </row>
    <row r="143" spans="1:11" ht="23.25" customHeight="1" x14ac:dyDescent="0.2">
      <c r="A143" s="265" t="str">
        <f>VLOOKUP(B143,mat.!$A:$D,2,FALSE)</f>
        <v>Perfil metálico seção I</v>
      </c>
      <c r="B143" s="238">
        <v>10179</v>
      </c>
      <c r="C143" s="266" t="str">
        <f>VLOOKUP(B143,mat.!$A:$D,3,FALSE)</f>
        <v>kg</v>
      </c>
      <c r="D143" s="267">
        <f>VLOOKUP(B143,mat.!$A:$D,4,FALSE)</f>
        <v>5.51</v>
      </c>
      <c r="E143" s="260"/>
      <c r="F143" s="258"/>
      <c r="G143" s="300">
        <v>35.9</v>
      </c>
      <c r="H143" s="260"/>
      <c r="I143" s="268">
        <f>+D143*G143</f>
        <v>197.81</v>
      </c>
    </row>
    <row r="144" spans="1:11" ht="21" customHeight="1" x14ac:dyDescent="0.2">
      <c r="A144" s="265" t="str">
        <f>VLOOKUP(B144,mat.!$A:$D,2,FALSE)</f>
        <v>Eletrodo para soldas - OK 4804</v>
      </c>
      <c r="B144" s="238">
        <v>10185</v>
      </c>
      <c r="C144" s="266" t="str">
        <f>VLOOKUP(B144,mat.!$A:$D,3,FALSE)</f>
        <v>kg</v>
      </c>
      <c r="D144" s="267">
        <f>VLOOKUP(B144,mat.!$A:$D,4,FALSE)</f>
        <v>19</v>
      </c>
      <c r="E144" s="260"/>
      <c r="F144" s="258"/>
      <c r="G144" s="300">
        <v>0.2</v>
      </c>
      <c r="H144" s="260"/>
      <c r="I144" s="268">
        <f t="shared" ref="I144:I146" si="4">+D144*G144</f>
        <v>3.8</v>
      </c>
    </row>
    <row r="145" spans="1:14" ht="21" customHeight="1" x14ac:dyDescent="0.2">
      <c r="A145" s="265" t="str">
        <f>VLOOKUP(B145,mat.!$A:$D,2,FALSE)</f>
        <v>Acetileno</v>
      </c>
      <c r="B145" s="238">
        <v>10186</v>
      </c>
      <c r="C145" s="266" t="str">
        <f>VLOOKUP(B145,mat.!$A:$D,3,FALSE)</f>
        <v>kg</v>
      </c>
      <c r="D145" s="267">
        <f>VLOOKUP(B145,mat.!$A:$D,4,FALSE)</f>
        <v>25.8</v>
      </c>
      <c r="E145" s="260"/>
      <c r="F145" s="258"/>
      <c r="G145" s="300">
        <v>0.25</v>
      </c>
      <c r="H145" s="260"/>
      <c r="I145" s="268">
        <f t="shared" si="4"/>
        <v>6.45</v>
      </c>
    </row>
    <row r="146" spans="1:14" x14ac:dyDescent="0.2">
      <c r="A146" s="265" t="str">
        <f>VLOOKUP(B146,mat.!$A:$D,2,FALSE)</f>
        <v>Oxigênio</v>
      </c>
      <c r="B146" s="238">
        <v>10187</v>
      </c>
      <c r="C146" s="266" t="str">
        <f>VLOOKUP(B146,mat.!$A:$D,3,FALSE)</f>
        <v>M3</v>
      </c>
      <c r="D146" s="267">
        <f>VLOOKUP(B146,mat.!$A:$D,4,FALSE)</f>
        <v>8.26</v>
      </c>
      <c r="E146" s="260"/>
      <c r="F146" s="258"/>
      <c r="G146" s="300">
        <v>0.05</v>
      </c>
      <c r="H146" s="260"/>
      <c r="I146" s="268">
        <f t="shared" si="4"/>
        <v>0.41</v>
      </c>
    </row>
    <row r="147" spans="1:14" x14ac:dyDescent="0.2">
      <c r="A147" s="199"/>
      <c r="B147" s="233"/>
      <c r="C147" s="199"/>
      <c r="D147" s="199"/>
      <c r="E147" s="199"/>
      <c r="F147" s="234" t="s">
        <v>212</v>
      </c>
      <c r="G147" s="244"/>
      <c r="H147" s="245"/>
      <c r="I147" s="434">
        <f>SUM(I143:I146)</f>
        <v>208.47</v>
      </c>
    </row>
    <row r="148" spans="1:14" x14ac:dyDescent="0.2">
      <c r="A148" s="199"/>
      <c r="B148" s="233"/>
      <c r="C148" s="199"/>
      <c r="D148" s="199"/>
      <c r="E148" s="199"/>
      <c r="F148" s="199"/>
      <c r="G148" s="269"/>
      <c r="H148" s="199"/>
      <c r="I148" s="200"/>
    </row>
    <row r="149" spans="1:14" x14ac:dyDescent="0.2">
      <c r="A149" s="270" t="s">
        <v>213</v>
      </c>
      <c r="B149" s="247" t="s">
        <v>60</v>
      </c>
      <c r="C149" s="247" t="s">
        <v>211</v>
      </c>
      <c r="D149" s="792" t="s">
        <v>233</v>
      </c>
      <c r="E149" s="1271" t="s">
        <v>91</v>
      </c>
      <c r="F149" s="1272"/>
      <c r="G149" s="1273"/>
      <c r="H149" s="1276" t="s">
        <v>64</v>
      </c>
      <c r="I149" s="1275"/>
      <c r="N149" s="376"/>
    </row>
    <row r="150" spans="1:14" x14ac:dyDescent="0.2">
      <c r="A150" s="248"/>
      <c r="B150" s="238"/>
      <c r="C150" s="238"/>
      <c r="D150" s="243"/>
      <c r="E150" s="791"/>
      <c r="F150" s="792"/>
      <c r="G150" s="300"/>
      <c r="H150" s="303"/>
      <c r="I150" s="268"/>
      <c r="N150" s="376"/>
    </row>
    <row r="151" spans="1:14" x14ac:dyDescent="0.2">
      <c r="A151" s="201"/>
      <c r="B151" s="271"/>
      <c r="C151" s="201"/>
      <c r="D151" s="201"/>
      <c r="E151" s="201"/>
      <c r="F151" s="272" t="s">
        <v>214</v>
      </c>
      <c r="G151" s="260"/>
      <c r="H151" s="273"/>
      <c r="I151" s="436">
        <f>SUM(I150:I150)</f>
        <v>0</v>
      </c>
    </row>
    <row r="152" spans="1:14" x14ac:dyDescent="0.2">
      <c r="A152" s="201"/>
      <c r="B152" s="271"/>
      <c r="C152" s="201"/>
      <c r="D152" s="201"/>
      <c r="E152" s="201"/>
      <c r="F152" s="201"/>
      <c r="G152" s="201"/>
      <c r="H152" s="201"/>
      <c r="I152" s="201"/>
    </row>
    <row r="153" spans="1:14" x14ac:dyDescent="0.2">
      <c r="A153" s="274" t="s">
        <v>215</v>
      </c>
      <c r="B153" s="275" t="s">
        <v>60</v>
      </c>
      <c r="C153" s="275" t="s">
        <v>211</v>
      </c>
      <c r="D153" s="275" t="s">
        <v>216</v>
      </c>
      <c r="E153" s="275" t="s">
        <v>217</v>
      </c>
      <c r="F153" s="275" t="s">
        <v>218</v>
      </c>
      <c r="G153" s="275" t="s">
        <v>96</v>
      </c>
      <c r="H153" s="275" t="s">
        <v>91</v>
      </c>
      <c r="I153" s="275" t="s">
        <v>219</v>
      </c>
      <c r="J153" s="433" t="s">
        <v>124</v>
      </c>
    </row>
    <row r="154" spans="1:14" ht="22.5" x14ac:dyDescent="0.2">
      <c r="A154" s="265" t="str">
        <f>VLOOKUP(B154,tranp.!A:D,2,FALSE)</f>
        <v>TR-204-00 (Comercial - Carreta prancha)</v>
      </c>
      <c r="B154" s="453">
        <v>60005</v>
      </c>
      <c r="C154" s="453" t="str">
        <f>VLOOKUP(B154,tranp.!$A:$J,3,FALSE)</f>
        <v>T</v>
      </c>
      <c r="D154" s="518" t="str">
        <f>VLOOKUP(B154,tranp.!$A:$J,4,FALSE)</f>
        <v>1,126XP + 1,173XR</v>
      </c>
      <c r="E154" s="519">
        <f>VLOOKUP(J153,Ocor.!$B:$F,4,FALSE)</f>
        <v>159</v>
      </c>
      <c r="F154" s="519">
        <f>VLOOKUP(J153,Ocor.!$B:$F,5,FALSE)</f>
        <v>5.6</v>
      </c>
      <c r="G154" s="454">
        <f>TRUNC(VLOOKUP(B154,tranp.!$A:$J,5,FALSE)*E154+VLOOKUP(B154,tranp.!$A:$J,6,FALSE)*F154+VLOOKUP(B154,tranp.!$A:$J,7,FALSE),2)</f>
        <v>185.6</v>
      </c>
      <c r="H154" s="520">
        <v>0.66</v>
      </c>
      <c r="I154" s="454">
        <f>TRUNC(G154*H154,2)</f>
        <v>122.49</v>
      </c>
      <c r="J154" s="433"/>
      <c r="K154" s="375"/>
    </row>
    <row r="155" spans="1:14" x14ac:dyDescent="0.2">
      <c r="A155" s="201"/>
      <c r="B155" s="271"/>
      <c r="C155" s="201"/>
      <c r="D155" s="201"/>
      <c r="E155" s="201"/>
      <c r="F155" s="272" t="s">
        <v>220</v>
      </c>
      <c r="G155" s="244"/>
      <c r="H155" s="279"/>
      <c r="I155" s="438">
        <f>SUM(I154:I154)</f>
        <v>122.49</v>
      </c>
    </row>
    <row r="156" spans="1:14" x14ac:dyDescent="0.2">
      <c r="A156" s="201"/>
      <c r="B156" s="271"/>
      <c r="C156" s="201"/>
      <c r="D156" s="201"/>
      <c r="E156" s="201"/>
      <c r="F156" s="201"/>
      <c r="G156" s="201"/>
      <c r="H156" s="201"/>
      <c r="I156" s="202"/>
    </row>
    <row r="157" spans="1:14" x14ac:dyDescent="0.2">
      <c r="A157" s="280"/>
      <c r="B157" s="281"/>
      <c r="C157" s="282"/>
      <c r="D157" s="282"/>
      <c r="E157" s="282"/>
      <c r="F157" s="283" t="s">
        <v>221</v>
      </c>
      <c r="G157" s="280"/>
      <c r="H157" s="254"/>
      <c r="I157" s="634">
        <f>+I140+I147+I151+I155</f>
        <v>331.49</v>
      </c>
    </row>
    <row r="158" spans="1:14" x14ac:dyDescent="0.2">
      <c r="A158" s="260"/>
      <c r="B158" s="284"/>
      <c r="C158" s="273"/>
      <c r="D158" s="273"/>
      <c r="E158" s="273"/>
      <c r="F158" s="285" t="str">
        <f>CONCATENATE($H$3," ",$I$3)</f>
        <v>BDI: 23,32</v>
      </c>
      <c r="G158" s="439"/>
      <c r="H158" s="258"/>
      <c r="I158" s="635">
        <f>+ROUND(I157*$I$4,2)</f>
        <v>77.3</v>
      </c>
    </row>
    <row r="159" spans="1:14" x14ac:dyDescent="0.2">
      <c r="A159" s="244"/>
      <c r="B159" s="286"/>
      <c r="C159" s="279"/>
      <c r="D159" s="279"/>
      <c r="E159" s="279"/>
      <c r="F159" s="287" t="s">
        <v>222</v>
      </c>
      <c r="G159" s="440"/>
      <c r="H159" s="245"/>
      <c r="I159" s="1017">
        <f>+I157+I158</f>
        <v>408.79</v>
      </c>
      <c r="J159" s="379"/>
    </row>
    <row r="160" spans="1:14" x14ac:dyDescent="0.2">
      <c r="A160" s="1277" t="s">
        <v>229</v>
      </c>
      <c r="B160" s="1277"/>
      <c r="C160" s="1277"/>
      <c r="D160" s="1277"/>
      <c r="E160" s="1277"/>
      <c r="F160" s="1277"/>
      <c r="G160" s="1277"/>
      <c r="H160" s="1277"/>
      <c r="I160" s="1277"/>
    </row>
    <row r="161" spans="1:13" x14ac:dyDescent="0.2">
      <c r="A161" s="232" t="str">
        <f>$A$2</f>
        <v>Tabela Referencial de Preços - DER-ES - sem desoneração</v>
      </c>
      <c r="B161" s="233"/>
      <c r="C161" s="199"/>
      <c r="D161" s="199"/>
      <c r="E161" s="199"/>
      <c r="F161" s="199"/>
      <c r="G161" s="199"/>
      <c r="H161" s="199"/>
      <c r="I161" s="234" t="str">
        <f>$I$2</f>
        <v>Data Base: Outubro/2018</v>
      </c>
    </row>
    <row r="162" spans="1:13" ht="14.25" customHeight="1" x14ac:dyDescent="0.2">
      <c r="A162" s="1278" t="str">
        <f>+CONCATENATE("Serviço: ",J162," ",L162)</f>
        <v>Serviço: LG-005 Sistema termo-elástico para movimentação de juntas rodoviárias tipo Nafutekt</v>
      </c>
      <c r="B162" s="1278"/>
      <c r="C162" s="1278"/>
      <c r="D162" s="1278"/>
      <c r="E162" s="1278"/>
      <c r="F162" s="1278"/>
      <c r="G162" s="1278"/>
      <c r="H162" s="1278"/>
      <c r="I162" s="1278" t="str">
        <f>CONCATENATE("Unidade: ", M162)</f>
        <v>Unidade: m</v>
      </c>
      <c r="J162" s="373" t="s">
        <v>1098</v>
      </c>
      <c r="K162" s="22">
        <f>VLOOKUP("Preço Unitário Total",F163:I206,4,FALSE)</f>
        <v>3337.9</v>
      </c>
      <c r="L162" s="790" t="s">
        <v>1409</v>
      </c>
      <c r="M162" s="419" t="s">
        <v>62</v>
      </c>
    </row>
    <row r="163" spans="1:13" x14ac:dyDescent="0.2">
      <c r="A163" s="1279"/>
      <c r="B163" s="1279"/>
      <c r="C163" s="1279"/>
      <c r="D163" s="1279"/>
      <c r="E163" s="1279"/>
      <c r="F163" s="1279"/>
      <c r="G163" s="1279"/>
      <c r="H163" s="1279"/>
      <c r="I163" s="1279"/>
    </row>
    <row r="164" spans="1:13" ht="22.5" x14ac:dyDescent="0.2">
      <c r="A164" s="235" t="s">
        <v>192</v>
      </c>
      <c r="B164" s="236" t="s">
        <v>60</v>
      </c>
      <c r="C164" s="236" t="s">
        <v>193</v>
      </c>
      <c r="D164" s="236" t="s">
        <v>194</v>
      </c>
      <c r="E164" s="236" t="s">
        <v>195</v>
      </c>
      <c r="F164" s="236" t="s">
        <v>196</v>
      </c>
      <c r="G164" s="236" t="s">
        <v>197</v>
      </c>
      <c r="H164" s="236" t="s">
        <v>91</v>
      </c>
      <c r="I164" s="236" t="s">
        <v>198</v>
      </c>
    </row>
    <row r="165" spans="1:13" x14ac:dyDescent="0.2">
      <c r="A165" s="509" t="s">
        <v>983</v>
      </c>
      <c r="B165" s="238">
        <v>30125</v>
      </c>
      <c r="C165" s="239" t="s">
        <v>62</v>
      </c>
      <c r="D165" s="240">
        <v>0.8</v>
      </c>
      <c r="E165" s="205">
        <v>0.2</v>
      </c>
      <c r="F165" s="241">
        <v>128.30000000000001</v>
      </c>
      <c r="G165" s="241">
        <v>35.18</v>
      </c>
      <c r="H165" s="242">
        <v>1</v>
      </c>
      <c r="I165" s="243">
        <f>TRUNC(D165*F165*H165+E165*G165*H165,2)</f>
        <v>109.67</v>
      </c>
      <c r="L165" s="372" t="s">
        <v>3273</v>
      </c>
    </row>
    <row r="166" spans="1:13" ht="22.5" x14ac:dyDescent="0.2">
      <c r="A166" s="509" t="str">
        <f>VLOOKUP(B166,equip.!$A:$G,2,FALSE)</f>
        <v>Fresadora de pav. asfalt. W 1000 ou equivalente</v>
      </c>
      <c r="B166" s="238">
        <v>30042</v>
      </c>
      <c r="C166" s="239">
        <f>VLOOKUP(B166,equip.!$A$1:$G$239,3,FALSE)</f>
        <v>0</v>
      </c>
      <c r="D166" s="240">
        <v>0.3</v>
      </c>
      <c r="E166" s="205">
        <v>0.7</v>
      </c>
      <c r="F166" s="241">
        <f>VLOOKUP(B166,equip.!$A:$G,6,FALSE)</f>
        <v>611.63</v>
      </c>
      <c r="G166" s="241">
        <f>VLOOKUP(B166,equip.!$A:$G,7,FALSE)</f>
        <v>277.38</v>
      </c>
      <c r="H166" s="242">
        <v>1</v>
      </c>
      <c r="I166" s="243">
        <f t="shared" ref="I166:I168" si="5">TRUNC(D166*F166*H166+E166*G166*H166,2)</f>
        <v>377.65</v>
      </c>
    </row>
    <row r="167" spans="1:13" ht="22.5" x14ac:dyDescent="0.2">
      <c r="A167" s="509" t="str">
        <f>VLOOKUP(B167,equip.!$A:$G,2,FALSE)</f>
        <v>Grupo gerador GEHM 200/187 kva (HEIMER) ou equivalente</v>
      </c>
      <c r="B167" s="238">
        <v>30069</v>
      </c>
      <c r="C167" s="239" t="str">
        <f>VLOOKUP(B167,equip.!$A$1:$G$239,3,FALSE)</f>
        <v>M</v>
      </c>
      <c r="D167" s="240">
        <v>0.8</v>
      </c>
      <c r="E167" s="205">
        <v>0.2</v>
      </c>
      <c r="F167" s="241">
        <f>VLOOKUP(B167,equip.!$A:$G,6,FALSE)</f>
        <v>182.82</v>
      </c>
      <c r="G167" s="241">
        <f>VLOOKUP(B167,equip.!$A:$G,7,FALSE)</f>
        <v>20.87</v>
      </c>
      <c r="H167" s="242">
        <v>1</v>
      </c>
      <c r="I167" s="243">
        <f t="shared" si="5"/>
        <v>150.43</v>
      </c>
    </row>
    <row r="168" spans="1:13" ht="45" x14ac:dyDescent="0.2">
      <c r="A168" s="509" t="str">
        <f>VLOOKUP(B168,equip.!$A:$G,2,FALSE)</f>
        <v>Compactador manual LF-100 gasol marca de referência Honda asfal 500mm ou equivalente</v>
      </c>
      <c r="B168" s="238">
        <v>30075</v>
      </c>
      <c r="C168" s="239">
        <f>VLOOKUP(B168,equip.!$A$1:$G$239,3,FALSE)</f>
        <v>0</v>
      </c>
      <c r="D168" s="240">
        <v>0.3</v>
      </c>
      <c r="E168" s="205">
        <v>0.7</v>
      </c>
      <c r="F168" s="241">
        <f>VLOOKUP(B168,equip.!$A:$G,6,FALSE)</f>
        <v>14.38</v>
      </c>
      <c r="G168" s="241">
        <f>VLOOKUP(B168,equip.!$A:$G,7,FALSE)</f>
        <v>12.6</v>
      </c>
      <c r="H168" s="242">
        <v>1</v>
      </c>
      <c r="I168" s="243">
        <f t="shared" si="5"/>
        <v>13.13</v>
      </c>
    </row>
    <row r="169" spans="1:13" x14ac:dyDescent="0.2">
      <c r="A169" s="199"/>
      <c r="B169" s="233"/>
      <c r="C169" s="233"/>
      <c r="D169" s="199"/>
      <c r="E169" s="199"/>
      <c r="F169" s="234" t="s">
        <v>199</v>
      </c>
      <c r="G169" s="244"/>
      <c r="H169" s="245"/>
      <c r="I169" s="434">
        <f>SUM(I165:I168)</f>
        <v>650.88</v>
      </c>
    </row>
    <row r="170" spans="1:13" x14ac:dyDescent="0.2">
      <c r="A170" s="199"/>
      <c r="B170" s="233"/>
      <c r="C170" s="233"/>
      <c r="D170" s="199"/>
      <c r="E170" s="199"/>
      <c r="F170" s="199"/>
      <c r="G170" s="199"/>
      <c r="H170" s="199"/>
      <c r="I170" s="200"/>
    </row>
    <row r="171" spans="1:13" x14ac:dyDescent="0.2">
      <c r="A171" s="246" t="s">
        <v>200</v>
      </c>
      <c r="B171" s="247" t="s">
        <v>60</v>
      </c>
      <c r="C171" s="236" t="s">
        <v>201</v>
      </c>
      <c r="D171" s="247" t="s">
        <v>202</v>
      </c>
      <c r="E171" s="1271" t="s">
        <v>91</v>
      </c>
      <c r="F171" s="1272"/>
      <c r="G171" s="1273"/>
      <c r="H171" s="1276" t="s">
        <v>198</v>
      </c>
      <c r="I171" s="1275"/>
    </row>
    <row r="172" spans="1:13" x14ac:dyDescent="0.2">
      <c r="A172" s="248" t="str">
        <f>VLOOKUP(B172,m.o.!$A:$H,2,FALSE)</f>
        <v>Encarregado O.A.E.</v>
      </c>
      <c r="B172" s="238">
        <v>20062</v>
      </c>
      <c r="C172" s="243">
        <f>VLOOKUP(B172,m.o.!$A:$F,4,FALSE)</f>
        <v>2.2599999999999998</v>
      </c>
      <c r="D172" s="243">
        <f>VLOOKUP(B172,m.o.!$A:$G,7,FALSE)</f>
        <v>26.3</v>
      </c>
      <c r="E172" s="260"/>
      <c r="F172" s="258"/>
      <c r="G172" s="300">
        <v>1</v>
      </c>
      <c r="H172" s="244"/>
      <c r="I172" s="249">
        <f t="shared" ref="I172:I176" si="6">ROUND(D172*G172,2)</f>
        <v>26.3</v>
      </c>
    </row>
    <row r="173" spans="1:13" x14ac:dyDescent="0.2">
      <c r="A173" s="248" t="str">
        <f>VLOOKUP(B173,m.o.!$A:$H,2,FALSE)</f>
        <v>Ajudante de máquina</v>
      </c>
      <c r="B173" s="238">
        <v>20061</v>
      </c>
      <c r="C173" s="243">
        <f>VLOOKUP(B173,m.o.!$A:$F,4,FALSE)</f>
        <v>1.01</v>
      </c>
      <c r="D173" s="243">
        <f>VLOOKUP(B173,m.o.!$A:$G,7,FALSE)</f>
        <v>11.75</v>
      </c>
      <c r="E173" s="260"/>
      <c r="F173" s="258"/>
      <c r="G173" s="300">
        <v>2</v>
      </c>
      <c r="H173" s="244"/>
      <c r="I173" s="249">
        <f t="shared" si="6"/>
        <v>23.5</v>
      </c>
    </row>
    <row r="174" spans="1:13" x14ac:dyDescent="0.2">
      <c r="A174" s="248" t="str">
        <f>VLOOKUP(B174,m.o.!$A:$H,2,FALSE)</f>
        <v>Servente</v>
      </c>
      <c r="B174" s="238">
        <v>20002</v>
      </c>
      <c r="C174" s="243">
        <f>VLOOKUP(B174,m.o.!$A:$F,4,FALSE)</f>
        <v>1</v>
      </c>
      <c r="D174" s="243">
        <f>VLOOKUP(B174,m.o.!$A:$G,7,FALSE)</f>
        <v>11.64</v>
      </c>
      <c r="E174" s="260"/>
      <c r="F174" s="258"/>
      <c r="G174" s="300">
        <v>3</v>
      </c>
      <c r="H174" s="244"/>
      <c r="I174" s="249">
        <f t="shared" si="6"/>
        <v>34.92</v>
      </c>
    </row>
    <row r="175" spans="1:13" x14ac:dyDescent="0.2">
      <c r="A175" s="248" t="str">
        <f>VLOOKUP(B175,m.o.!$A:$H,2,FALSE)</f>
        <v>Compressorista</v>
      </c>
      <c r="B175" s="238">
        <v>20042</v>
      </c>
      <c r="C175" s="243">
        <f>VLOOKUP(B175,m.o.!$A:$F,4,FALSE)</f>
        <v>1.24</v>
      </c>
      <c r="D175" s="243">
        <f>VLOOKUP(B175,m.o.!$A:$G,7,FALSE)</f>
        <v>14.43</v>
      </c>
      <c r="E175" s="260"/>
      <c r="F175" s="258"/>
      <c r="G175" s="300">
        <v>1</v>
      </c>
      <c r="H175" s="244"/>
      <c r="I175" s="249">
        <f t="shared" si="6"/>
        <v>14.43</v>
      </c>
    </row>
    <row r="176" spans="1:13" x14ac:dyDescent="0.2">
      <c r="A176" s="248" t="str">
        <f>VLOOKUP(B176,m.o.!$A:$H,2,FALSE)</f>
        <v>Pedreiro de O.A.E.</v>
      </c>
      <c r="B176" s="238">
        <v>20110</v>
      </c>
      <c r="C176" s="243">
        <f>VLOOKUP(B176,m.o.!$A:$F,4,FALSE)</f>
        <v>1.65</v>
      </c>
      <c r="D176" s="243">
        <f>VLOOKUP(B176,m.o.!$A:$G,7,FALSE)</f>
        <v>19.2</v>
      </c>
      <c r="E176" s="260"/>
      <c r="F176" s="258"/>
      <c r="G176" s="300">
        <v>1</v>
      </c>
      <c r="H176" s="244"/>
      <c r="I176" s="249">
        <f t="shared" si="6"/>
        <v>19.2</v>
      </c>
    </row>
    <row r="177" spans="1:9" x14ac:dyDescent="0.2">
      <c r="A177" s="199"/>
      <c r="B177" s="233"/>
      <c r="C177" s="233"/>
      <c r="D177" s="199"/>
      <c r="E177" s="199"/>
      <c r="F177" s="234" t="s">
        <v>203</v>
      </c>
      <c r="G177" s="244"/>
      <c r="H177" s="245"/>
      <c r="I177" s="434">
        <f>SUM(I172:I176)</f>
        <v>118.35</v>
      </c>
    </row>
    <row r="178" spans="1:9" x14ac:dyDescent="0.2">
      <c r="A178" s="199"/>
      <c r="B178" s="233"/>
      <c r="C178" s="233"/>
      <c r="D178" s="199"/>
      <c r="E178" s="199"/>
      <c r="F178" s="199"/>
      <c r="G178" s="199"/>
      <c r="H178" s="199"/>
      <c r="I178" s="200"/>
    </row>
    <row r="179" spans="1:9" x14ac:dyDescent="0.2">
      <c r="A179" s="250" t="s">
        <v>204</v>
      </c>
      <c r="B179" s="247" t="s">
        <v>60</v>
      </c>
      <c r="C179" s="792" t="s">
        <v>17</v>
      </c>
      <c r="D179" s="247" t="s">
        <v>205</v>
      </c>
      <c r="E179" s="247" t="s">
        <v>206</v>
      </c>
      <c r="F179" s="247" t="s">
        <v>207</v>
      </c>
      <c r="G179" s="1276" t="s">
        <v>96</v>
      </c>
      <c r="H179" s="1274"/>
      <c r="I179" s="1275"/>
    </row>
    <row r="180" spans="1:9" x14ac:dyDescent="0.2">
      <c r="A180" s="248"/>
      <c r="B180" s="238"/>
      <c r="C180" s="243"/>
      <c r="D180" s="239"/>
      <c r="E180" s="251"/>
      <c r="F180" s="251"/>
      <c r="G180" s="244"/>
      <c r="H180" s="245"/>
      <c r="I180" s="249"/>
    </row>
    <row r="181" spans="1:9" x14ac:dyDescent="0.2">
      <c r="A181" s="199"/>
      <c r="B181" s="233"/>
      <c r="C181" s="199"/>
      <c r="D181" s="199"/>
      <c r="E181" s="199"/>
      <c r="F181" s="234" t="s">
        <v>1170</v>
      </c>
      <c r="G181" s="244"/>
      <c r="H181" s="245"/>
      <c r="I181" s="434">
        <f>SUM(I180)</f>
        <v>0</v>
      </c>
    </row>
    <row r="182" spans="1:9" x14ac:dyDescent="0.2">
      <c r="A182" s="199"/>
      <c r="B182" s="233"/>
      <c r="C182" s="199"/>
      <c r="D182" s="199"/>
      <c r="E182" s="199"/>
      <c r="F182" s="199"/>
      <c r="G182" s="199"/>
      <c r="H182" s="199"/>
      <c r="I182" s="200"/>
    </row>
    <row r="183" spans="1:9" x14ac:dyDescent="0.2">
      <c r="A183" s="252"/>
      <c r="B183" s="253"/>
      <c r="C183" s="254"/>
      <c r="D183" s="254"/>
      <c r="E183" s="254"/>
      <c r="F183" s="255" t="s">
        <v>208</v>
      </c>
      <c r="G183" s="435"/>
      <c r="H183" s="254"/>
      <c r="I183" s="634">
        <f>+I169+I177+I181</f>
        <v>769.23</v>
      </c>
    </row>
    <row r="184" spans="1:9" x14ac:dyDescent="0.2">
      <c r="A184" s="256"/>
      <c r="B184" s="257"/>
      <c r="C184" s="258"/>
      <c r="D184" s="258"/>
      <c r="E184" s="258"/>
      <c r="F184" s="259" t="s">
        <v>209</v>
      </c>
      <c r="G184" s="260"/>
      <c r="H184" s="258"/>
      <c r="I184" s="635">
        <v>0.33</v>
      </c>
    </row>
    <row r="185" spans="1:9" x14ac:dyDescent="0.2">
      <c r="A185" s="237"/>
      <c r="B185" s="261"/>
      <c r="C185" s="245"/>
      <c r="D185" s="245"/>
      <c r="E185" s="245"/>
      <c r="F185" s="262" t="s">
        <v>232</v>
      </c>
      <c r="G185" s="244"/>
      <c r="H185" s="245"/>
      <c r="I185" s="633">
        <f>ROUND(I183/I184,2)</f>
        <v>2331</v>
      </c>
    </row>
    <row r="186" spans="1:9" x14ac:dyDescent="0.2">
      <c r="A186" s="793"/>
      <c r="B186" s="233"/>
      <c r="C186" s="199"/>
      <c r="D186" s="199"/>
      <c r="E186" s="199"/>
      <c r="F186" s="263"/>
      <c r="G186" s="199"/>
      <c r="H186" s="199"/>
      <c r="I186" s="264"/>
    </row>
    <row r="187" spans="1:9" x14ac:dyDescent="0.2">
      <c r="A187" s="246" t="s">
        <v>210</v>
      </c>
      <c r="B187" s="247" t="s">
        <v>60</v>
      </c>
      <c r="C187" s="247" t="s">
        <v>211</v>
      </c>
      <c r="D187" s="247" t="s">
        <v>233</v>
      </c>
      <c r="E187" s="1276" t="s">
        <v>91</v>
      </c>
      <c r="F187" s="1274"/>
      <c r="G187" s="1275"/>
      <c r="H187" s="1276" t="s">
        <v>64</v>
      </c>
      <c r="I187" s="1275"/>
    </row>
    <row r="188" spans="1:9" ht="23.25" customHeight="1" x14ac:dyDescent="0.2">
      <c r="A188" s="265" t="s">
        <v>1410</v>
      </c>
      <c r="B188" s="238" t="s">
        <v>1006</v>
      </c>
      <c r="C188" s="266" t="s">
        <v>62</v>
      </c>
      <c r="D188" s="267">
        <v>54</v>
      </c>
      <c r="E188" s="260"/>
      <c r="F188" s="258"/>
      <c r="G188" s="300">
        <v>2</v>
      </c>
      <c r="H188" s="260"/>
      <c r="I188" s="268">
        <f>+D188*G188</f>
        <v>108</v>
      </c>
    </row>
    <row r="189" spans="1:9" ht="21" customHeight="1" x14ac:dyDescent="0.2">
      <c r="A189" s="265" t="s">
        <v>1411</v>
      </c>
      <c r="B189" s="238" t="s">
        <v>1006</v>
      </c>
      <c r="C189" s="266" t="s">
        <v>1240</v>
      </c>
      <c r="D189" s="267">
        <v>26</v>
      </c>
      <c r="E189" s="260"/>
      <c r="F189" s="258"/>
      <c r="G189" s="300">
        <v>1.4</v>
      </c>
      <c r="H189" s="260"/>
      <c r="I189" s="268">
        <f>+D189*G189</f>
        <v>36.4</v>
      </c>
    </row>
    <row r="190" spans="1:9" ht="21" customHeight="1" x14ac:dyDescent="0.2">
      <c r="A190" s="265" t="s">
        <v>1412</v>
      </c>
      <c r="B190" s="238" t="s">
        <v>1006</v>
      </c>
      <c r="C190" s="266" t="s">
        <v>1241</v>
      </c>
      <c r="D190" s="267">
        <v>165</v>
      </c>
      <c r="E190" s="260"/>
      <c r="F190" s="258"/>
      <c r="G190" s="300">
        <v>1.1000000000000001</v>
      </c>
      <c r="H190" s="260"/>
      <c r="I190" s="268">
        <f>+D190*G190</f>
        <v>181.5</v>
      </c>
    </row>
    <row r="191" spans="1:9" x14ac:dyDescent="0.2">
      <c r="A191" s="265" t="str">
        <f>VLOOKUP(B191,mat.!$A:$D,2,FALSE)</f>
        <v>Brita 0 (incl. 0% IUM) sem frete</v>
      </c>
      <c r="B191" s="238">
        <v>10113</v>
      </c>
      <c r="C191" s="266" t="str">
        <f>VLOOKUP(B191,mat.!$A:$D,3,FALSE)</f>
        <v>m3</v>
      </c>
      <c r="D191" s="267">
        <f>VLOOKUP(B191,mat.!$A:$D,4,FALSE)</f>
        <v>77.099999999999994</v>
      </c>
      <c r="E191" s="260"/>
      <c r="F191" s="258"/>
      <c r="G191" s="300">
        <v>0.03</v>
      </c>
      <c r="H191" s="260"/>
      <c r="I191" s="268">
        <f>+D191*G191</f>
        <v>2.31</v>
      </c>
    </row>
    <row r="192" spans="1:9" ht="27.75" customHeight="1" x14ac:dyDescent="0.2">
      <c r="A192" s="265" t="s">
        <v>1413</v>
      </c>
      <c r="B192" s="238" t="s">
        <v>1006</v>
      </c>
      <c r="C192" s="266" t="s">
        <v>1241</v>
      </c>
      <c r="D192" s="267">
        <v>254</v>
      </c>
      <c r="E192" s="260"/>
      <c r="F192" s="258"/>
      <c r="G192" s="300">
        <v>0.18</v>
      </c>
      <c r="H192" s="260"/>
      <c r="I192" s="268">
        <f t="shared" ref="I192:I193" si="7">+D192*G192</f>
        <v>45.72</v>
      </c>
    </row>
    <row r="193" spans="1:14" ht="24" customHeight="1" x14ac:dyDescent="0.2">
      <c r="A193" s="265" t="s">
        <v>1414</v>
      </c>
      <c r="B193" s="238" t="s">
        <v>1006</v>
      </c>
      <c r="C193" s="266" t="s">
        <v>58</v>
      </c>
      <c r="D193" s="267">
        <v>59</v>
      </c>
      <c r="E193" s="260"/>
      <c r="F193" s="258"/>
      <c r="G193" s="300">
        <v>0.03</v>
      </c>
      <c r="H193" s="260"/>
      <c r="I193" s="268">
        <f t="shared" si="7"/>
        <v>1.77</v>
      </c>
    </row>
    <row r="194" spans="1:14" x14ac:dyDescent="0.2">
      <c r="A194" s="199"/>
      <c r="B194" s="233"/>
      <c r="C194" s="199"/>
      <c r="D194" s="199"/>
      <c r="E194" s="199"/>
      <c r="F194" s="234" t="s">
        <v>212</v>
      </c>
      <c r="G194" s="244"/>
      <c r="H194" s="245"/>
      <c r="I194" s="434">
        <f>SUM(I188:I193)</f>
        <v>375.7</v>
      </c>
    </row>
    <row r="195" spans="1:14" x14ac:dyDescent="0.2">
      <c r="A195" s="199"/>
      <c r="B195" s="233"/>
      <c r="C195" s="199"/>
      <c r="D195" s="199"/>
      <c r="E195" s="199"/>
      <c r="F195" s="199"/>
      <c r="G195" s="269"/>
      <c r="H195" s="199"/>
      <c r="I195" s="200"/>
    </row>
    <row r="196" spans="1:14" x14ac:dyDescent="0.2">
      <c r="A196" s="270" t="s">
        <v>213</v>
      </c>
      <c r="B196" s="247" t="s">
        <v>60</v>
      </c>
      <c r="C196" s="247" t="s">
        <v>211</v>
      </c>
      <c r="D196" s="792" t="s">
        <v>233</v>
      </c>
      <c r="E196" s="1271" t="s">
        <v>91</v>
      </c>
      <c r="F196" s="1272"/>
      <c r="G196" s="1273"/>
      <c r="H196" s="1276" t="s">
        <v>64</v>
      </c>
      <c r="I196" s="1275"/>
      <c r="L196" s="22"/>
      <c r="M196" s="22"/>
      <c r="N196" s="22"/>
    </row>
    <row r="197" spans="1:14" x14ac:dyDescent="0.2">
      <c r="A197" s="248"/>
      <c r="B197" s="238"/>
      <c r="C197" s="238"/>
      <c r="D197" s="243"/>
      <c r="E197" s="244"/>
      <c r="F197" s="245"/>
      <c r="G197" s="445"/>
      <c r="H197" s="244"/>
      <c r="I197" s="268"/>
      <c r="J197" s="374"/>
    </row>
    <row r="198" spans="1:14" x14ac:dyDescent="0.2">
      <c r="A198" s="201"/>
      <c r="B198" s="271"/>
      <c r="C198" s="201"/>
      <c r="D198" s="201"/>
      <c r="E198" s="201"/>
      <c r="F198" s="272" t="s">
        <v>214</v>
      </c>
      <c r="G198" s="260"/>
      <c r="H198" s="273"/>
      <c r="I198" s="436">
        <f>SUM(I197:I197)</f>
        <v>0</v>
      </c>
    </row>
    <row r="199" spans="1:14" x14ac:dyDescent="0.2">
      <c r="A199" s="201"/>
      <c r="B199" s="271"/>
      <c r="C199" s="201"/>
      <c r="D199" s="201"/>
      <c r="E199" s="201"/>
      <c r="F199" s="201"/>
      <c r="G199" s="201"/>
      <c r="H199" s="201"/>
      <c r="I199" s="201"/>
    </row>
    <row r="200" spans="1:14" x14ac:dyDescent="0.2">
      <c r="A200" s="274" t="s">
        <v>215</v>
      </c>
      <c r="B200" s="275" t="s">
        <v>60</v>
      </c>
      <c r="C200" s="275" t="s">
        <v>211</v>
      </c>
      <c r="D200" s="275" t="s">
        <v>216</v>
      </c>
      <c r="E200" s="275" t="s">
        <v>217</v>
      </c>
      <c r="F200" s="275" t="s">
        <v>218</v>
      </c>
      <c r="G200" s="275" t="s">
        <v>96</v>
      </c>
      <c r="H200" s="275" t="s">
        <v>91</v>
      </c>
      <c r="I200" s="275" t="s">
        <v>219</v>
      </c>
      <c r="J200" s="433" t="s">
        <v>124</v>
      </c>
    </row>
    <row r="201" spans="1:14" x14ac:dyDescent="0.2">
      <c r="A201" s="265"/>
      <c r="B201" s="453"/>
      <c r="C201" s="453"/>
      <c r="D201" s="518"/>
      <c r="E201" s="519"/>
      <c r="F201" s="519"/>
      <c r="G201" s="454"/>
      <c r="H201" s="520"/>
      <c r="I201" s="454"/>
      <c r="J201" s="433"/>
      <c r="K201" s="375"/>
    </row>
    <row r="202" spans="1:14" x14ac:dyDescent="0.2">
      <c r="A202" s="201"/>
      <c r="B202" s="271"/>
      <c r="C202" s="201"/>
      <c r="D202" s="201"/>
      <c r="E202" s="201"/>
      <c r="F202" s="272" t="s">
        <v>220</v>
      </c>
      <c r="G202" s="244"/>
      <c r="H202" s="279"/>
      <c r="I202" s="438">
        <f>SUM(I201:I201)</f>
        <v>0</v>
      </c>
    </row>
    <row r="203" spans="1:14" x14ac:dyDescent="0.2">
      <c r="A203" s="201"/>
      <c r="B203" s="271"/>
      <c r="C203" s="201"/>
      <c r="D203" s="201"/>
      <c r="E203" s="201"/>
      <c r="F203" s="201"/>
      <c r="G203" s="201"/>
      <c r="H203" s="201"/>
      <c r="I203" s="202"/>
    </row>
    <row r="204" spans="1:14" x14ac:dyDescent="0.2">
      <c r="A204" s="280"/>
      <c r="B204" s="281"/>
      <c r="C204" s="282"/>
      <c r="D204" s="282"/>
      <c r="E204" s="282"/>
      <c r="F204" s="283" t="s">
        <v>221</v>
      </c>
      <c r="G204" s="280"/>
      <c r="H204" s="254"/>
      <c r="I204" s="634">
        <f>+I185+I194+I198+I202</f>
        <v>2706.7</v>
      </c>
    </row>
    <row r="205" spans="1:14" x14ac:dyDescent="0.2">
      <c r="A205" s="260"/>
      <c r="B205" s="284"/>
      <c r="C205" s="273"/>
      <c r="D205" s="273"/>
      <c r="E205" s="273"/>
      <c r="F205" s="285" t="str">
        <f>CONCATENATE($H$3," ",$I$3)</f>
        <v>BDI: 23,32</v>
      </c>
      <c r="G205" s="439"/>
      <c r="H205" s="258"/>
      <c r="I205" s="635">
        <f>+ROUND(I204*$I$4,2)</f>
        <v>631.20000000000005</v>
      </c>
    </row>
    <row r="206" spans="1:14" x14ac:dyDescent="0.2">
      <c r="A206" s="244"/>
      <c r="B206" s="286"/>
      <c r="C206" s="279"/>
      <c r="D206" s="279"/>
      <c r="E206" s="279"/>
      <c r="F206" s="287" t="s">
        <v>222</v>
      </c>
      <c r="G206" s="440"/>
      <c r="H206" s="245"/>
      <c r="I206" s="1017">
        <f>+I204+I205</f>
        <v>3337.9</v>
      </c>
    </row>
    <row r="207" spans="1:14" x14ac:dyDescent="0.2">
      <c r="A207" s="1277" t="s">
        <v>229</v>
      </c>
      <c r="B207" s="1277"/>
      <c r="C207" s="1277"/>
      <c r="D207" s="1277"/>
      <c r="E207" s="1277"/>
      <c r="F207" s="1277"/>
      <c r="G207" s="1277"/>
      <c r="H207" s="1277"/>
      <c r="I207" s="1277"/>
    </row>
    <row r="208" spans="1:14" x14ac:dyDescent="0.2">
      <c r="A208" s="232" t="str">
        <f>$A$2</f>
        <v>Tabela Referencial de Preços - DER-ES - sem desoneração</v>
      </c>
      <c r="B208" s="233"/>
      <c r="C208" s="199"/>
      <c r="D208" s="199"/>
      <c r="E208" s="199"/>
      <c r="F208" s="199"/>
      <c r="G208" s="199"/>
      <c r="H208" s="199"/>
      <c r="I208" s="234" t="str">
        <f>$I$2</f>
        <v>Data Base: Outubro/2018</v>
      </c>
    </row>
    <row r="209" spans="1:13" ht="14.25" customHeight="1" x14ac:dyDescent="0.2">
      <c r="A209" s="1278" t="str">
        <f>+CONCATENATE("Serviço: ",J209," ",L209)</f>
        <v>Serviço: LG-006 Tubo condutor de instalações sob passeio</v>
      </c>
      <c r="B209" s="1278"/>
      <c r="C209" s="1278"/>
      <c r="D209" s="1278"/>
      <c r="E209" s="1278"/>
      <c r="F209" s="1278"/>
      <c r="G209" s="1278"/>
      <c r="H209" s="1278"/>
      <c r="I209" s="1278" t="str">
        <f>CONCATENATE("Unidade: ", M209)</f>
        <v>Unidade: m</v>
      </c>
      <c r="J209" s="373" t="s">
        <v>1383</v>
      </c>
      <c r="K209" s="22">
        <f>VLOOKUP("Preço Unitário Total",F210:I246,4,FALSE)</f>
        <v>111.26</v>
      </c>
      <c r="L209" s="790" t="s">
        <v>1415</v>
      </c>
      <c r="M209" s="419" t="s">
        <v>62</v>
      </c>
    </row>
    <row r="210" spans="1:13" x14ac:dyDescent="0.2">
      <c r="A210" s="1279"/>
      <c r="B210" s="1279"/>
      <c r="C210" s="1279"/>
      <c r="D210" s="1279"/>
      <c r="E210" s="1279"/>
      <c r="F210" s="1279"/>
      <c r="G210" s="1279"/>
      <c r="H210" s="1279"/>
      <c r="I210" s="1279"/>
    </row>
    <row r="211" spans="1:13" ht="22.5" x14ac:dyDescent="0.2">
      <c r="A211" s="235" t="s">
        <v>192</v>
      </c>
      <c r="B211" s="236" t="s">
        <v>60</v>
      </c>
      <c r="C211" s="236" t="s">
        <v>193</v>
      </c>
      <c r="D211" s="236" t="s">
        <v>194</v>
      </c>
      <c r="E211" s="236" t="s">
        <v>195</v>
      </c>
      <c r="F211" s="236" t="s">
        <v>196</v>
      </c>
      <c r="G211" s="236" t="s">
        <v>197</v>
      </c>
      <c r="H211" s="236" t="s">
        <v>91</v>
      </c>
      <c r="I211" s="236" t="s">
        <v>198</v>
      </c>
    </row>
    <row r="212" spans="1:13" ht="22.5" x14ac:dyDescent="0.2">
      <c r="A212" s="237" t="str">
        <f>VLOOKUP(B212,equip.!$A:$G,2,FALSE)</f>
        <v>Furadeira elétrica de impacto BOSCH 1184 ou equivalente</v>
      </c>
      <c r="B212" s="238">
        <v>30094</v>
      </c>
      <c r="C212" s="239">
        <f>VLOOKUP(B212,equip.!$A$1:$G$239,3,FALSE)</f>
        <v>0</v>
      </c>
      <c r="D212" s="240">
        <v>0.8</v>
      </c>
      <c r="E212" s="205">
        <v>0.2</v>
      </c>
      <c r="F212" s="241">
        <f>VLOOKUP(B212,equip.!$A:$G,6,FALSE)</f>
        <v>18.84</v>
      </c>
      <c r="G212" s="241">
        <f>VLOOKUP(B212,equip.!$A:$G,7,FALSE)</f>
        <v>18.149999999999999</v>
      </c>
      <c r="H212" s="242">
        <v>1</v>
      </c>
      <c r="I212" s="243">
        <f>TRUNC(D212*F212*H212+E212*G212*H212,2)</f>
        <v>18.7</v>
      </c>
    </row>
    <row r="213" spans="1:13" x14ac:dyDescent="0.2">
      <c r="A213" s="199"/>
      <c r="B213" s="233"/>
      <c r="C213" s="233"/>
      <c r="D213" s="199"/>
      <c r="E213" s="199"/>
      <c r="F213" s="234" t="s">
        <v>199</v>
      </c>
      <c r="G213" s="244"/>
      <c r="H213" s="245"/>
      <c r="I213" s="434">
        <f>SUM(I212:I212)</f>
        <v>18.7</v>
      </c>
    </row>
    <row r="214" spans="1:13" x14ac:dyDescent="0.2">
      <c r="A214" s="199"/>
      <c r="B214" s="233"/>
      <c r="C214" s="233"/>
      <c r="D214" s="199"/>
      <c r="E214" s="199"/>
      <c r="F214" s="199"/>
      <c r="G214" s="199"/>
      <c r="H214" s="199"/>
      <c r="I214" s="200"/>
    </row>
    <row r="215" spans="1:13" x14ac:dyDescent="0.2">
      <c r="A215" s="246" t="s">
        <v>200</v>
      </c>
      <c r="B215" s="247" t="s">
        <v>60</v>
      </c>
      <c r="C215" s="236" t="s">
        <v>201</v>
      </c>
      <c r="D215" s="247" t="s">
        <v>202</v>
      </c>
      <c r="E215" s="1271" t="s">
        <v>91</v>
      </c>
      <c r="F215" s="1272"/>
      <c r="G215" s="1273"/>
      <c r="H215" s="1276" t="s">
        <v>198</v>
      </c>
      <c r="I215" s="1275"/>
    </row>
    <row r="216" spans="1:13" x14ac:dyDescent="0.2">
      <c r="A216" s="248" t="str">
        <f>VLOOKUP(B216,m.o.!$A:$H,2,FALSE)</f>
        <v>Encarregado O.A.E.</v>
      </c>
      <c r="B216" s="238">
        <v>20062</v>
      </c>
      <c r="C216" s="243">
        <f>VLOOKUP(B216,m.o.!$A:$F,4,FALSE)</f>
        <v>2.2599999999999998</v>
      </c>
      <c r="D216" s="243">
        <f>VLOOKUP(B216,m.o.!$A:$G,7,FALSE)</f>
        <v>26.3</v>
      </c>
      <c r="E216" s="260"/>
      <c r="F216" s="258"/>
      <c r="G216" s="300">
        <v>1</v>
      </c>
      <c r="H216" s="244"/>
      <c r="I216" s="249">
        <f>ROUND(D216*G216,2)</f>
        <v>26.3</v>
      </c>
    </row>
    <row r="217" spans="1:13" x14ac:dyDescent="0.2">
      <c r="A217" s="248" t="str">
        <f>VLOOKUP(B217,m.o.!$A:$H,2,FALSE)</f>
        <v>Servente</v>
      </c>
      <c r="B217" s="238">
        <v>20002</v>
      </c>
      <c r="C217" s="243">
        <f>VLOOKUP(B217,m.o.!$A:$F,4,FALSE)</f>
        <v>1</v>
      </c>
      <c r="D217" s="243">
        <f>VLOOKUP(B217,m.o.!$A:$G,7,FALSE)</f>
        <v>11.64</v>
      </c>
      <c r="E217" s="260"/>
      <c r="F217" s="258"/>
      <c r="G217" s="300">
        <v>1</v>
      </c>
      <c r="H217" s="244"/>
      <c r="I217" s="249">
        <f>ROUND(D217*G217,2)</f>
        <v>11.64</v>
      </c>
    </row>
    <row r="218" spans="1:13" x14ac:dyDescent="0.2">
      <c r="A218" s="248" t="str">
        <f>VLOOKUP(B218,m.o.!$A:$H,2,FALSE)</f>
        <v>Pedreiro de O.A.E.</v>
      </c>
      <c r="B218" s="238">
        <v>20110</v>
      </c>
      <c r="C218" s="243">
        <f>VLOOKUP(B218,m.o.!$A:$F,4,FALSE)</f>
        <v>1.65</v>
      </c>
      <c r="D218" s="243">
        <f>VLOOKUP(B218,m.o.!$A:$G,7,FALSE)</f>
        <v>19.2</v>
      </c>
      <c r="E218" s="260"/>
      <c r="F218" s="258"/>
      <c r="G218" s="300">
        <v>1</v>
      </c>
      <c r="H218" s="244"/>
      <c r="I218" s="249">
        <f>ROUND(D218*G218,2)</f>
        <v>19.2</v>
      </c>
    </row>
    <row r="219" spans="1:13" x14ac:dyDescent="0.2">
      <c r="A219" s="199"/>
      <c r="B219" s="233"/>
      <c r="C219" s="233"/>
      <c r="D219" s="199"/>
      <c r="E219" s="199"/>
      <c r="F219" s="234" t="s">
        <v>203</v>
      </c>
      <c r="G219" s="244"/>
      <c r="H219" s="245"/>
      <c r="I219" s="434">
        <f>SUM(I216:I218)</f>
        <v>57.14</v>
      </c>
    </row>
    <row r="220" spans="1:13" x14ac:dyDescent="0.2">
      <c r="A220" s="199"/>
      <c r="B220" s="233"/>
      <c r="C220" s="233"/>
      <c r="D220" s="199"/>
      <c r="E220" s="199"/>
      <c r="F220" s="199"/>
      <c r="G220" s="199"/>
      <c r="H220" s="199"/>
      <c r="I220" s="200"/>
    </row>
    <row r="221" spans="1:13" x14ac:dyDescent="0.2">
      <c r="A221" s="250" t="s">
        <v>204</v>
      </c>
      <c r="B221" s="247" t="s">
        <v>60</v>
      </c>
      <c r="C221" s="792" t="s">
        <v>17</v>
      </c>
      <c r="D221" s="247" t="s">
        <v>205</v>
      </c>
      <c r="E221" s="247" t="s">
        <v>206</v>
      </c>
      <c r="F221" s="247" t="s">
        <v>207</v>
      </c>
      <c r="G221" s="1276" t="s">
        <v>96</v>
      </c>
      <c r="H221" s="1274"/>
      <c r="I221" s="1275"/>
    </row>
    <row r="222" spans="1:13" x14ac:dyDescent="0.2">
      <c r="A222" s="248"/>
      <c r="B222" s="238"/>
      <c r="C222" s="243"/>
      <c r="D222" s="239"/>
      <c r="E222" s="251"/>
      <c r="F222" s="251"/>
      <c r="G222" s="244"/>
      <c r="H222" s="245"/>
      <c r="I222" s="249"/>
    </row>
    <row r="223" spans="1:13" x14ac:dyDescent="0.2">
      <c r="A223" s="199"/>
      <c r="B223" s="233"/>
      <c r="C223" s="199"/>
      <c r="D223" s="199"/>
      <c r="E223" s="199"/>
      <c r="F223" s="234" t="s">
        <v>1170</v>
      </c>
      <c r="G223" s="244"/>
      <c r="H223" s="245"/>
      <c r="I223" s="434">
        <f>SUM(I222)</f>
        <v>0</v>
      </c>
    </row>
    <row r="224" spans="1:13" x14ac:dyDescent="0.2">
      <c r="A224" s="199"/>
      <c r="B224" s="233"/>
      <c r="C224" s="199"/>
      <c r="D224" s="199"/>
      <c r="E224" s="199"/>
      <c r="F224" s="199"/>
      <c r="G224" s="199"/>
      <c r="H224" s="199"/>
      <c r="I224" s="200"/>
    </row>
    <row r="225" spans="1:14" x14ac:dyDescent="0.2">
      <c r="A225" s="252"/>
      <c r="B225" s="253"/>
      <c r="C225" s="254"/>
      <c r="D225" s="254"/>
      <c r="E225" s="254"/>
      <c r="F225" s="255" t="s">
        <v>208</v>
      </c>
      <c r="G225" s="435"/>
      <c r="H225" s="254"/>
      <c r="I225" s="634">
        <f>+I213+I219+I223</f>
        <v>75.84</v>
      </c>
    </row>
    <row r="226" spans="1:14" x14ac:dyDescent="0.2">
      <c r="A226" s="256"/>
      <c r="B226" s="257"/>
      <c r="C226" s="258"/>
      <c r="D226" s="258"/>
      <c r="E226" s="258"/>
      <c r="F226" s="259" t="s">
        <v>209</v>
      </c>
      <c r="G226" s="260"/>
      <c r="H226" s="258"/>
      <c r="I226" s="635">
        <v>1</v>
      </c>
    </row>
    <row r="227" spans="1:14" x14ac:dyDescent="0.2">
      <c r="A227" s="237"/>
      <c r="B227" s="261"/>
      <c r="C227" s="245"/>
      <c r="D227" s="245"/>
      <c r="E227" s="245"/>
      <c r="F227" s="262" t="s">
        <v>232</v>
      </c>
      <c r="G227" s="244"/>
      <c r="H227" s="245"/>
      <c r="I227" s="633">
        <f>ROUND(I225/I226,2)</f>
        <v>75.84</v>
      </c>
    </row>
    <row r="228" spans="1:14" x14ac:dyDescent="0.2">
      <c r="A228" s="793"/>
      <c r="B228" s="233"/>
      <c r="C228" s="199"/>
      <c r="D228" s="199"/>
      <c r="E228" s="199"/>
      <c r="F228" s="263"/>
      <c r="G228" s="199"/>
      <c r="H228" s="199"/>
      <c r="I228" s="264"/>
    </row>
    <row r="229" spans="1:14" x14ac:dyDescent="0.2">
      <c r="A229" s="246" t="s">
        <v>210</v>
      </c>
      <c r="B229" s="247" t="s">
        <v>60</v>
      </c>
      <c r="C229" s="247" t="s">
        <v>211</v>
      </c>
      <c r="D229" s="247" t="s">
        <v>233</v>
      </c>
      <c r="E229" s="1276" t="s">
        <v>91</v>
      </c>
      <c r="F229" s="1274"/>
      <c r="G229" s="1275"/>
      <c r="H229" s="1276" t="s">
        <v>64</v>
      </c>
      <c r="I229" s="1275"/>
    </row>
    <row r="230" spans="1:14" ht="22.5" x14ac:dyDescent="0.2">
      <c r="A230" s="265" t="str">
        <f>VLOOKUP(B230,mat.!$A:$D,2,FALSE)</f>
        <v>Bainha Plástica de PEAD (tubo de polietileno de alta densidade )</v>
      </c>
      <c r="B230" s="238">
        <v>10627</v>
      </c>
      <c r="C230" s="266" t="str">
        <f>VLOOKUP(B230,mat.!$A:$D,3,FALSE)</f>
        <v>M</v>
      </c>
      <c r="D230" s="267">
        <f>VLOOKUP(B230,mat.!$A:$D,4,FALSE)</f>
        <v>13.49</v>
      </c>
      <c r="E230" s="260"/>
      <c r="F230" s="258"/>
      <c r="G230" s="300">
        <v>1</v>
      </c>
      <c r="H230" s="260"/>
      <c r="I230" s="268">
        <f>+D230*G230</f>
        <v>13.49</v>
      </c>
    </row>
    <row r="231" spans="1:14" ht="22.5" x14ac:dyDescent="0.2">
      <c r="A231" s="265" t="str">
        <f>VLOOKUP(B231,mat.!$A:$D,2,FALSE)</f>
        <v>Bucha plástica com parafuso - 8 mm</v>
      </c>
      <c r="B231" s="238">
        <v>11005</v>
      </c>
      <c r="C231" s="266" t="str">
        <f>VLOOKUP(B231,mat.!$A:$D,3,FALSE)</f>
        <v>Ud</v>
      </c>
      <c r="D231" s="267">
        <f>VLOOKUP(B231,mat.!$A:$D,4,FALSE)</f>
        <v>0.28999999999999998</v>
      </c>
      <c r="E231" s="260"/>
      <c r="F231" s="258"/>
      <c r="G231" s="300">
        <v>2</v>
      </c>
      <c r="H231" s="260"/>
      <c r="I231" s="268">
        <f>+D231*G231</f>
        <v>0.57999999999999996</v>
      </c>
      <c r="J231" s="374"/>
    </row>
    <row r="232" spans="1:14" ht="22.5" x14ac:dyDescent="0.2">
      <c r="A232" s="265" t="str">
        <f>VLOOKUP(B232,mat.!$A:$D,2,FALSE)</f>
        <v>Abraçadeira para fixação de eletroduto diâm. 3/4"</v>
      </c>
      <c r="B232" s="238">
        <v>11013</v>
      </c>
      <c r="C232" s="266" t="str">
        <f>VLOOKUP(B232,mat.!$A:$D,3,FALSE)</f>
        <v>Ud</v>
      </c>
      <c r="D232" s="267">
        <f>VLOOKUP(B232,mat.!$A:$D,4,FALSE)</f>
        <v>0.31</v>
      </c>
      <c r="E232" s="260"/>
      <c r="F232" s="258"/>
      <c r="G232" s="300">
        <v>1</v>
      </c>
      <c r="H232" s="260"/>
      <c r="I232" s="268">
        <f>+D232*G232</f>
        <v>0.31</v>
      </c>
      <c r="J232" s="374"/>
    </row>
    <row r="233" spans="1:14" x14ac:dyDescent="0.2">
      <c r="A233" s="199"/>
      <c r="B233" s="233"/>
      <c r="C233" s="199"/>
      <c r="D233" s="199"/>
      <c r="E233" s="199"/>
      <c r="F233" s="234" t="s">
        <v>212</v>
      </c>
      <c r="G233" s="244"/>
      <c r="H233" s="245"/>
      <c r="I233" s="434">
        <f>SUM(I230:I232)</f>
        <v>14.38</v>
      </c>
    </row>
    <row r="234" spans="1:14" x14ac:dyDescent="0.2">
      <c r="A234" s="199"/>
      <c r="B234" s="233"/>
      <c r="C234" s="199"/>
      <c r="D234" s="199"/>
      <c r="E234" s="199"/>
      <c r="F234" s="199"/>
      <c r="G234" s="269"/>
      <c r="H234" s="199"/>
      <c r="I234" s="200"/>
    </row>
    <row r="235" spans="1:14" x14ac:dyDescent="0.2">
      <c r="A235" s="270" t="s">
        <v>213</v>
      </c>
      <c r="B235" s="247" t="s">
        <v>60</v>
      </c>
      <c r="C235" s="247" t="s">
        <v>211</v>
      </c>
      <c r="D235" s="792" t="s">
        <v>233</v>
      </c>
      <c r="E235" s="1271" t="s">
        <v>91</v>
      </c>
      <c r="F235" s="1272"/>
      <c r="G235" s="1273"/>
      <c r="H235" s="1276" t="s">
        <v>64</v>
      </c>
      <c r="I235" s="1275"/>
      <c r="L235" s="22"/>
      <c r="M235" s="22"/>
      <c r="N235" s="22"/>
    </row>
    <row r="236" spans="1:14" x14ac:dyDescent="0.2">
      <c r="A236" s="248"/>
      <c r="B236" s="238"/>
      <c r="C236" s="238"/>
      <c r="D236" s="243"/>
      <c r="E236" s="244"/>
      <c r="F236" s="245"/>
      <c r="G236" s="445"/>
      <c r="H236" s="244"/>
      <c r="I236" s="268"/>
      <c r="J236" s="374"/>
    </row>
    <row r="237" spans="1:14" x14ac:dyDescent="0.2">
      <c r="A237" s="201"/>
      <c r="B237" s="271"/>
      <c r="C237" s="201"/>
      <c r="D237" s="201"/>
      <c r="E237" s="201"/>
      <c r="F237" s="272" t="s">
        <v>214</v>
      </c>
      <c r="G237" s="260"/>
      <c r="H237" s="273"/>
      <c r="I237" s="627">
        <f>SUM(I236:I236)</f>
        <v>0</v>
      </c>
    </row>
    <row r="238" spans="1:14" x14ac:dyDescent="0.2">
      <c r="A238" s="201"/>
      <c r="B238" s="271"/>
      <c r="C238" s="201"/>
      <c r="D238" s="201"/>
      <c r="E238" s="201"/>
      <c r="F238" s="201"/>
      <c r="G238" s="201"/>
      <c r="H238" s="201"/>
      <c r="I238" s="201"/>
    </row>
    <row r="239" spans="1:14" x14ac:dyDescent="0.2">
      <c r="A239" s="274" t="s">
        <v>215</v>
      </c>
      <c r="B239" s="275" t="s">
        <v>60</v>
      </c>
      <c r="C239" s="275" t="s">
        <v>211</v>
      </c>
      <c r="D239" s="275" t="s">
        <v>216</v>
      </c>
      <c r="E239" s="275" t="s">
        <v>217</v>
      </c>
      <c r="F239" s="275" t="s">
        <v>218</v>
      </c>
      <c r="G239" s="275" t="s">
        <v>96</v>
      </c>
      <c r="H239" s="275" t="s">
        <v>91</v>
      </c>
      <c r="I239" s="275" t="s">
        <v>219</v>
      </c>
    </row>
    <row r="240" spans="1:14" x14ac:dyDescent="0.2">
      <c r="A240" s="248"/>
      <c r="B240" s="238"/>
      <c r="C240" s="238"/>
      <c r="D240" s="276"/>
      <c r="E240" s="277"/>
      <c r="F240" s="277"/>
      <c r="G240" s="243"/>
      <c r="H240" s="278"/>
      <c r="I240" s="243"/>
      <c r="K240" s="375"/>
    </row>
    <row r="241" spans="1:13" x14ac:dyDescent="0.2">
      <c r="A241" s="201"/>
      <c r="B241" s="271"/>
      <c r="C241" s="201"/>
      <c r="D241" s="201"/>
      <c r="E241" s="201"/>
      <c r="F241" s="272" t="s">
        <v>220</v>
      </c>
      <c r="G241" s="244"/>
      <c r="H241" s="279"/>
      <c r="I241" s="438">
        <f>SUM(I240:I240)</f>
        <v>0</v>
      </c>
    </row>
    <row r="242" spans="1:13" x14ac:dyDescent="0.2">
      <c r="A242" s="201"/>
      <c r="B242" s="271"/>
      <c r="C242" s="201"/>
      <c r="D242" s="201"/>
      <c r="E242" s="201"/>
      <c r="F242" s="201"/>
      <c r="G242" s="201"/>
      <c r="H242" s="201"/>
      <c r="I242" s="202"/>
    </row>
    <row r="243" spans="1:13" x14ac:dyDescent="0.2">
      <c r="A243" s="280"/>
      <c r="B243" s="281"/>
      <c r="C243" s="282"/>
      <c r="D243" s="282"/>
      <c r="E243" s="282"/>
      <c r="F243" s="283" t="s">
        <v>221</v>
      </c>
      <c r="G243" s="280"/>
      <c r="H243" s="254"/>
      <c r="I243" s="634">
        <f>+I227+I233+I237+I241</f>
        <v>90.22</v>
      </c>
    </row>
    <row r="244" spans="1:13" x14ac:dyDescent="0.2">
      <c r="A244" s="260"/>
      <c r="B244" s="284"/>
      <c r="C244" s="273"/>
      <c r="D244" s="273"/>
      <c r="E244" s="273"/>
      <c r="F244" s="285" t="str">
        <f>CONCATENATE($H$3," ",$I$3)</f>
        <v>BDI: 23,32</v>
      </c>
      <c r="G244" s="439"/>
      <c r="H244" s="258"/>
      <c r="I244" s="635">
        <f>+ROUND(I243*$I$4,2)</f>
        <v>21.04</v>
      </c>
    </row>
    <row r="245" spans="1:13" x14ac:dyDescent="0.2">
      <c r="A245" s="244"/>
      <c r="B245" s="286"/>
      <c r="C245" s="279"/>
      <c r="D245" s="279"/>
      <c r="E245" s="279"/>
      <c r="F245" s="287" t="s">
        <v>222</v>
      </c>
      <c r="G245" s="440"/>
      <c r="H245" s="245"/>
      <c r="I245" s="1017">
        <f>+I243+I244</f>
        <v>111.26</v>
      </c>
    </row>
    <row r="246" spans="1:13" x14ac:dyDescent="0.2">
      <c r="A246" s="1277" t="s">
        <v>229</v>
      </c>
      <c r="B246" s="1277"/>
      <c r="C246" s="1277"/>
      <c r="D246" s="1277"/>
      <c r="E246" s="1277"/>
      <c r="F246" s="1277"/>
      <c r="G246" s="1277"/>
      <c r="H246" s="1277"/>
      <c r="I246" s="1277"/>
    </row>
    <row r="247" spans="1:13" x14ac:dyDescent="0.2">
      <c r="A247" s="232" t="str">
        <f>$A$2</f>
        <v>Tabela Referencial de Preços - DER-ES - sem desoneração</v>
      </c>
      <c r="B247" s="233"/>
      <c r="C247" s="199"/>
      <c r="D247" s="199"/>
      <c r="E247" s="199"/>
      <c r="F247" s="199"/>
      <c r="G247" s="199"/>
      <c r="H247" s="199"/>
      <c r="I247" s="234" t="str">
        <f>$I$2</f>
        <v>Data Base: Outubro/2018</v>
      </c>
    </row>
    <row r="248" spans="1:13" ht="14.25" customHeight="1" x14ac:dyDescent="0.2">
      <c r="A248" s="1278" t="str">
        <f>+CONCATENATE("Serviço: ",J248," ",L248)</f>
        <v>Serviço: LG-007 Estrutura metálica em perfis laminados ASTM A36 (fornecimento, tratamento anti-corrosivo e montagem)</v>
      </c>
      <c r="B248" s="1278"/>
      <c r="C248" s="1278"/>
      <c r="D248" s="1278"/>
      <c r="E248" s="1278"/>
      <c r="F248" s="1278"/>
      <c r="G248" s="1278"/>
      <c r="H248" s="1278"/>
      <c r="I248" s="1278" t="str">
        <f>CONCATENATE("Unidade: ", M248)</f>
        <v>Unidade: kg</v>
      </c>
      <c r="J248" s="373" t="s">
        <v>1384</v>
      </c>
      <c r="K248" s="22">
        <f>VLOOKUP("Preço Unitário Total",F249:I284,4,FALSE)</f>
        <v>31.89</v>
      </c>
      <c r="L248" s="790" t="s">
        <v>1416</v>
      </c>
      <c r="M248" s="419" t="s">
        <v>58</v>
      </c>
    </row>
    <row r="249" spans="1:13" x14ac:dyDescent="0.2">
      <c r="A249" s="1279"/>
      <c r="B249" s="1279"/>
      <c r="C249" s="1279"/>
      <c r="D249" s="1279"/>
      <c r="E249" s="1279"/>
      <c r="F249" s="1279"/>
      <c r="G249" s="1279"/>
      <c r="H249" s="1279"/>
      <c r="I249" s="1279"/>
    </row>
    <row r="250" spans="1:13" ht="22.5" x14ac:dyDescent="0.2">
      <c r="A250" s="235" t="s">
        <v>192</v>
      </c>
      <c r="B250" s="236" t="s">
        <v>60</v>
      </c>
      <c r="C250" s="236" t="s">
        <v>193</v>
      </c>
      <c r="D250" s="236" t="s">
        <v>194</v>
      </c>
      <c r="E250" s="236" t="s">
        <v>195</v>
      </c>
      <c r="F250" s="236" t="s">
        <v>196</v>
      </c>
      <c r="G250" s="236" t="s">
        <v>197</v>
      </c>
      <c r="H250" s="236" t="s">
        <v>91</v>
      </c>
      <c r="I250" s="236" t="s">
        <v>198</v>
      </c>
    </row>
    <row r="251" spans="1:13" ht="22.5" x14ac:dyDescent="0.2">
      <c r="A251" s="237" t="str">
        <f>VLOOKUP(B251,equip.!$A:$G,2,FALSE)</f>
        <v>Máquina de solda 425 A, pot=33A</v>
      </c>
      <c r="B251" s="238">
        <v>30082</v>
      </c>
      <c r="C251" s="239">
        <f>VLOOKUP(B251,equip.!$A$1:$G$239,3,FALSE)</f>
        <v>0</v>
      </c>
      <c r="D251" s="240">
        <v>0.8</v>
      </c>
      <c r="E251" s="205">
        <v>0.2</v>
      </c>
      <c r="F251" s="241">
        <f>VLOOKUP(B251,equip.!$A:$G,6,FALSE)</f>
        <v>44.91</v>
      </c>
      <c r="G251" s="241">
        <f>VLOOKUP(B251,equip.!$A:$G,7,FALSE)</f>
        <v>23.17</v>
      </c>
      <c r="H251" s="242">
        <v>40</v>
      </c>
      <c r="I251" s="243">
        <f>TRUNC(D251*F251*H251+E251*G251*H251,2)</f>
        <v>1622.48</v>
      </c>
    </row>
    <row r="252" spans="1:13" ht="35.25" customHeight="1" x14ac:dyDescent="0.2">
      <c r="A252" s="237" t="str">
        <f>VLOOKUP(B252,equip.!$A:$G,2,FALSE)</f>
        <v>Esmerilhadeira Angular 7" marca de referência BOSCH - 1755 ou equivalente</v>
      </c>
      <c r="B252" s="238">
        <v>30098</v>
      </c>
      <c r="C252" s="239">
        <f>VLOOKUP(B252,equip.!$A$1:$G$239,3,FALSE)</f>
        <v>0</v>
      </c>
      <c r="D252" s="240">
        <v>0.8</v>
      </c>
      <c r="E252" s="205">
        <v>0.2</v>
      </c>
      <c r="F252" s="241">
        <f>VLOOKUP(B252,equip.!$A:$G,6,FALSE)</f>
        <v>24.25</v>
      </c>
      <c r="G252" s="241">
        <f>VLOOKUP(B252,equip.!$A:$G,7,FALSE)</f>
        <v>22.89</v>
      </c>
      <c r="H252" s="242">
        <v>40</v>
      </c>
      <c r="I252" s="243">
        <f>TRUNC(D252*F252*H252+E252*G252*H252,2)</f>
        <v>959.12</v>
      </c>
    </row>
    <row r="253" spans="1:13" x14ac:dyDescent="0.2">
      <c r="A253" s="199"/>
      <c r="B253" s="233"/>
      <c r="C253" s="233"/>
      <c r="D253" s="199"/>
      <c r="E253" s="199"/>
      <c r="F253" s="234" t="s">
        <v>199</v>
      </c>
      <c r="G253" s="244"/>
      <c r="H253" s="245"/>
      <c r="I253" s="434">
        <f>SUM(I251:I252)</f>
        <v>2581.6</v>
      </c>
    </row>
    <row r="254" spans="1:13" x14ac:dyDescent="0.2">
      <c r="A254" s="199"/>
      <c r="B254" s="233"/>
      <c r="C254" s="233"/>
      <c r="D254" s="199"/>
      <c r="E254" s="199"/>
      <c r="F254" s="199"/>
      <c r="G254" s="199"/>
      <c r="H254" s="199"/>
      <c r="I254" s="200"/>
    </row>
    <row r="255" spans="1:13" x14ac:dyDescent="0.2">
      <c r="A255" s="246" t="s">
        <v>200</v>
      </c>
      <c r="B255" s="247" t="s">
        <v>60</v>
      </c>
      <c r="C255" s="236" t="s">
        <v>201</v>
      </c>
      <c r="D255" s="247" t="s">
        <v>202</v>
      </c>
      <c r="E255" s="1271" t="s">
        <v>91</v>
      </c>
      <c r="F255" s="1272"/>
      <c r="G255" s="1273"/>
      <c r="H255" s="1276" t="s">
        <v>198</v>
      </c>
      <c r="I255" s="1275"/>
    </row>
    <row r="256" spans="1:13" x14ac:dyDescent="0.2">
      <c r="A256" s="248" t="str">
        <f>VLOOKUP(B256,m.o.!$A:$H,2,FALSE)</f>
        <v>Encarregado O.A.E.</v>
      </c>
      <c r="B256" s="238">
        <v>20062</v>
      </c>
      <c r="C256" s="243">
        <f>VLOOKUP(B256,m.o.!$A:$F,4,FALSE)</f>
        <v>2.2599999999999998</v>
      </c>
      <c r="D256" s="243">
        <f>VLOOKUP(B256,m.o.!$A:$G,7,FALSE)</f>
        <v>26.3</v>
      </c>
      <c r="E256" s="260"/>
      <c r="F256" s="258"/>
      <c r="G256" s="300">
        <v>1</v>
      </c>
      <c r="H256" s="244"/>
      <c r="I256" s="249">
        <f>ROUND(D256*G256,2)</f>
        <v>26.3</v>
      </c>
    </row>
    <row r="257" spans="1:10" x14ac:dyDescent="0.2">
      <c r="A257" s="248" t="str">
        <f>VLOOKUP(B257,m.o.!$A:$H,2,FALSE)</f>
        <v>Soldador</v>
      </c>
      <c r="B257" s="238">
        <v>20005</v>
      </c>
      <c r="C257" s="243">
        <f>VLOOKUP(B257,m.o.!$A:$F,4,FALSE)</f>
        <v>1.96</v>
      </c>
      <c r="D257" s="243">
        <f>VLOOKUP(B257,m.o.!$A:$G,7,FALSE)</f>
        <v>22.81</v>
      </c>
      <c r="E257" s="260"/>
      <c r="F257" s="258"/>
      <c r="G257" s="300">
        <v>2</v>
      </c>
      <c r="H257" s="244"/>
      <c r="I257" s="249">
        <f>ROUND(D257*G257,2)</f>
        <v>45.62</v>
      </c>
    </row>
    <row r="258" spans="1:10" x14ac:dyDescent="0.2">
      <c r="A258" s="248" t="str">
        <f>VLOOKUP(B258,m.o.!$A:$H,2,FALSE)</f>
        <v>Servente</v>
      </c>
      <c r="B258" s="238">
        <v>20002</v>
      </c>
      <c r="C258" s="243">
        <f>VLOOKUP(B258,m.o.!$A:$F,4,FALSE)</f>
        <v>1</v>
      </c>
      <c r="D258" s="243">
        <f>VLOOKUP(B258,m.o.!$A:$G,7,FALSE)</f>
        <v>11.64</v>
      </c>
      <c r="E258" s="260"/>
      <c r="F258" s="258"/>
      <c r="G258" s="300">
        <v>4</v>
      </c>
      <c r="H258" s="244"/>
      <c r="I258" s="249">
        <f>ROUND(D258*G258,2)</f>
        <v>46.56</v>
      </c>
    </row>
    <row r="259" spans="1:10" x14ac:dyDescent="0.2">
      <c r="A259" s="199"/>
      <c r="B259" s="233"/>
      <c r="C259" s="233"/>
      <c r="D259" s="199"/>
      <c r="E259" s="199"/>
      <c r="F259" s="234" t="s">
        <v>203</v>
      </c>
      <c r="G259" s="244"/>
      <c r="H259" s="245"/>
      <c r="I259" s="434">
        <f>SUM(I256:I258)</f>
        <v>118.48</v>
      </c>
    </row>
    <row r="260" spans="1:10" x14ac:dyDescent="0.2">
      <c r="A260" s="199"/>
      <c r="B260" s="233"/>
      <c r="C260" s="233"/>
      <c r="D260" s="199"/>
      <c r="E260" s="199"/>
      <c r="F260" s="199"/>
      <c r="G260" s="199"/>
      <c r="H260" s="199"/>
      <c r="I260" s="200"/>
    </row>
    <row r="261" spans="1:10" x14ac:dyDescent="0.2">
      <c r="A261" s="250" t="s">
        <v>204</v>
      </c>
      <c r="B261" s="247" t="s">
        <v>60</v>
      </c>
      <c r="C261" s="792" t="s">
        <v>17</v>
      </c>
      <c r="D261" s="247" t="s">
        <v>205</v>
      </c>
      <c r="E261" s="247" t="s">
        <v>206</v>
      </c>
      <c r="F261" s="247" t="s">
        <v>207</v>
      </c>
      <c r="G261" s="1276" t="s">
        <v>96</v>
      </c>
      <c r="H261" s="1274"/>
      <c r="I261" s="1275"/>
    </row>
    <row r="262" spans="1:10" x14ac:dyDescent="0.2">
      <c r="A262" s="248"/>
      <c r="B262" s="238"/>
      <c r="C262" s="243"/>
      <c r="D262" s="239"/>
      <c r="E262" s="251"/>
      <c r="F262" s="251"/>
      <c r="G262" s="244"/>
      <c r="H262" s="245"/>
      <c r="I262" s="249"/>
    </row>
    <row r="263" spans="1:10" x14ac:dyDescent="0.2">
      <c r="A263" s="199"/>
      <c r="B263" s="233"/>
      <c r="C263" s="199"/>
      <c r="D263" s="199"/>
      <c r="E263" s="199"/>
      <c r="F263" s="234" t="s">
        <v>1170</v>
      </c>
      <c r="G263" s="244"/>
      <c r="H263" s="245"/>
      <c r="I263" s="434">
        <f>SUM(I262)</f>
        <v>0</v>
      </c>
    </row>
    <row r="264" spans="1:10" x14ac:dyDescent="0.2">
      <c r="A264" s="199"/>
      <c r="B264" s="233"/>
      <c r="C264" s="199"/>
      <c r="D264" s="199"/>
      <c r="E264" s="199"/>
      <c r="F264" s="199"/>
      <c r="G264" s="199"/>
      <c r="H264" s="199"/>
      <c r="I264" s="200"/>
    </row>
    <row r="265" spans="1:10" x14ac:dyDescent="0.2">
      <c r="A265" s="252"/>
      <c r="B265" s="253"/>
      <c r="C265" s="254"/>
      <c r="D265" s="254"/>
      <c r="E265" s="254"/>
      <c r="F265" s="255" t="s">
        <v>208</v>
      </c>
      <c r="G265" s="435"/>
      <c r="H265" s="254"/>
      <c r="I265" s="634">
        <f>+I253+I259+I263</f>
        <v>2700.08</v>
      </c>
    </row>
    <row r="266" spans="1:10" x14ac:dyDescent="0.2">
      <c r="A266" s="256"/>
      <c r="B266" s="257"/>
      <c r="C266" s="258"/>
      <c r="D266" s="258"/>
      <c r="E266" s="258"/>
      <c r="F266" s="259" t="s">
        <v>209</v>
      </c>
      <c r="G266" s="260"/>
      <c r="H266" s="258"/>
      <c r="I266" s="635">
        <v>250</v>
      </c>
    </row>
    <row r="267" spans="1:10" x14ac:dyDescent="0.2">
      <c r="A267" s="237"/>
      <c r="B267" s="261"/>
      <c r="C267" s="245"/>
      <c r="D267" s="245"/>
      <c r="E267" s="245"/>
      <c r="F267" s="262" t="s">
        <v>232</v>
      </c>
      <c r="G267" s="244"/>
      <c r="H267" s="245"/>
      <c r="I267" s="633">
        <f>ROUND(I265/I266,2)</f>
        <v>10.8</v>
      </c>
    </row>
    <row r="268" spans="1:10" x14ac:dyDescent="0.2">
      <c r="A268" s="793"/>
      <c r="B268" s="233"/>
      <c r="C268" s="199"/>
      <c r="D268" s="199"/>
      <c r="E268" s="199"/>
      <c r="F268" s="263"/>
      <c r="G268" s="199"/>
      <c r="H268" s="199"/>
      <c r="I268" s="264"/>
    </row>
    <row r="269" spans="1:10" x14ac:dyDescent="0.2">
      <c r="A269" s="246" t="s">
        <v>210</v>
      </c>
      <c r="B269" s="247" t="s">
        <v>60</v>
      </c>
      <c r="C269" s="247" t="s">
        <v>211</v>
      </c>
      <c r="D269" s="247" t="s">
        <v>233</v>
      </c>
      <c r="E269" s="1276" t="s">
        <v>91</v>
      </c>
      <c r="F269" s="1274"/>
      <c r="G269" s="1275"/>
      <c r="H269" s="1276" t="s">
        <v>64</v>
      </c>
      <c r="I269" s="1275"/>
    </row>
    <row r="270" spans="1:10" x14ac:dyDescent="0.2">
      <c r="A270" s="265" t="str">
        <f>VLOOKUP(B270,mat.!$A:$D,2,FALSE)</f>
        <v>Perfil metálico seção I</v>
      </c>
      <c r="B270" s="238">
        <v>10179</v>
      </c>
      <c r="C270" s="266" t="str">
        <f>VLOOKUP(B270,mat.!$A:$D,3,FALSE)</f>
        <v>kg</v>
      </c>
      <c r="D270" s="267">
        <f>VLOOKUP(B270,mat.!$A:$D,4,FALSE)</f>
        <v>5.51</v>
      </c>
      <c r="E270" s="260"/>
      <c r="F270" s="258"/>
      <c r="G270" s="300">
        <v>1.1000000000000001</v>
      </c>
      <c r="H270" s="260"/>
      <c r="I270" s="268">
        <f t="shared" ref="I270:I271" si="8">+D270*G270</f>
        <v>6.06</v>
      </c>
    </row>
    <row r="271" spans="1:10" x14ac:dyDescent="0.2">
      <c r="A271" s="265" t="str">
        <f>VLOOKUP(B271,mat.!$A:$D,2,FALSE)</f>
        <v>Eletrodo para soldas - OK 4804</v>
      </c>
      <c r="B271" s="238">
        <v>10185</v>
      </c>
      <c r="C271" s="266" t="str">
        <f>VLOOKUP(B271,mat.!$A:$D,3,FALSE)</f>
        <v>kg</v>
      </c>
      <c r="D271" s="267">
        <f>VLOOKUP(B271,mat.!$A:$D,4,FALSE)</f>
        <v>19</v>
      </c>
      <c r="E271" s="260"/>
      <c r="F271" s="258"/>
      <c r="G271" s="300">
        <v>0.2</v>
      </c>
      <c r="H271" s="260"/>
      <c r="I271" s="268">
        <f t="shared" si="8"/>
        <v>3.8</v>
      </c>
      <c r="J271" s="374"/>
    </row>
    <row r="272" spans="1:10" x14ac:dyDescent="0.2">
      <c r="A272" s="199"/>
      <c r="B272" s="233"/>
      <c r="C272" s="199"/>
      <c r="D272" s="199"/>
      <c r="E272" s="199"/>
      <c r="F272" s="234" t="s">
        <v>212</v>
      </c>
      <c r="G272" s="244"/>
      <c r="H272" s="245"/>
      <c r="I272" s="434">
        <f>SUM(I270:I271)</f>
        <v>9.86</v>
      </c>
    </row>
    <row r="273" spans="1:14" x14ac:dyDescent="0.2">
      <c r="A273" s="199"/>
      <c r="B273" s="233"/>
      <c r="C273" s="199"/>
      <c r="D273" s="199"/>
      <c r="E273" s="199"/>
      <c r="F273" s="199"/>
      <c r="G273" s="269"/>
      <c r="H273" s="199"/>
      <c r="I273" s="200"/>
    </row>
    <row r="274" spans="1:14" x14ac:dyDescent="0.2">
      <c r="A274" s="270" t="s">
        <v>213</v>
      </c>
      <c r="B274" s="247" t="s">
        <v>60</v>
      </c>
      <c r="C274" s="247" t="s">
        <v>211</v>
      </c>
      <c r="D274" s="792" t="s">
        <v>233</v>
      </c>
      <c r="E274" s="1271" t="s">
        <v>91</v>
      </c>
      <c r="F274" s="1272"/>
      <c r="G274" s="1273"/>
      <c r="H274" s="1276" t="s">
        <v>64</v>
      </c>
      <c r="I274" s="1275"/>
      <c r="L274" s="22"/>
      <c r="M274" s="22"/>
      <c r="N274" s="22"/>
    </row>
    <row r="275" spans="1:14" ht="33.75" x14ac:dyDescent="0.2">
      <c r="A275" s="248" t="str">
        <f>VLOOKUP(B275,'DER 10-18'!$A:$E,2,FALSE)</f>
        <v>Pintura em estrutura metálica com tinta epoxídica inclusive primer</v>
      </c>
      <c r="B275" s="238">
        <v>41404</v>
      </c>
      <c r="C275" s="238" t="str">
        <f>VLOOKUP(B275,'DER 10-18'!$A:$E,3,FALSE)</f>
        <v>M2</v>
      </c>
      <c r="D275" s="243">
        <f>ROUND(VLOOKUP(B275,'DER 10-18'!$A:$F,6,FALSE)/1.2332,2)</f>
        <v>25.99</v>
      </c>
      <c r="E275" s="791"/>
      <c r="F275" s="792"/>
      <c r="G275" s="300">
        <v>0.2</v>
      </c>
      <c r="H275" s="303"/>
      <c r="I275" s="268">
        <f>ROUND(D275*G275,2)</f>
        <v>5.2</v>
      </c>
      <c r="N275" s="376"/>
    </row>
    <row r="276" spans="1:14" x14ac:dyDescent="0.2">
      <c r="A276" s="201"/>
      <c r="B276" s="271"/>
      <c r="C276" s="201"/>
      <c r="D276" s="201"/>
      <c r="E276" s="201"/>
      <c r="F276" s="272" t="s">
        <v>214</v>
      </c>
      <c r="G276" s="260"/>
      <c r="H276" s="273"/>
      <c r="I276" s="436">
        <f>SUM(I275:I275)</f>
        <v>5.2</v>
      </c>
    </row>
    <row r="277" spans="1:14" x14ac:dyDescent="0.2">
      <c r="A277" s="201"/>
      <c r="B277" s="271"/>
      <c r="C277" s="201"/>
      <c r="D277" s="201"/>
      <c r="E277" s="201"/>
      <c r="F277" s="201"/>
      <c r="G277" s="201"/>
      <c r="H277" s="201"/>
      <c r="I277" s="201"/>
    </row>
    <row r="278" spans="1:14" x14ac:dyDescent="0.2">
      <c r="A278" s="274" t="s">
        <v>215</v>
      </c>
      <c r="B278" s="275" t="s">
        <v>60</v>
      </c>
      <c r="C278" s="275" t="s">
        <v>211</v>
      </c>
      <c r="D278" s="275" t="s">
        <v>216</v>
      </c>
      <c r="E278" s="275" t="s">
        <v>217</v>
      </c>
      <c r="F278" s="275" t="s">
        <v>218</v>
      </c>
      <c r="G278" s="275" t="s">
        <v>96</v>
      </c>
      <c r="H278" s="275" t="s">
        <v>91</v>
      </c>
      <c r="I278" s="275" t="s">
        <v>219</v>
      </c>
    </row>
    <row r="279" spans="1:14" x14ac:dyDescent="0.2">
      <c r="A279" s="248"/>
      <c r="B279" s="238"/>
      <c r="C279" s="238"/>
      <c r="D279" s="276"/>
      <c r="E279" s="277"/>
      <c r="F279" s="277"/>
      <c r="G279" s="243"/>
      <c r="H279" s="278"/>
      <c r="I279" s="243"/>
      <c r="K279" s="375"/>
    </row>
    <row r="280" spans="1:14" x14ac:dyDescent="0.2">
      <c r="A280" s="201"/>
      <c r="B280" s="271"/>
      <c r="C280" s="201"/>
      <c r="D280" s="201"/>
      <c r="E280" s="201"/>
      <c r="F280" s="272" t="s">
        <v>220</v>
      </c>
      <c r="G280" s="244"/>
      <c r="H280" s="279"/>
      <c r="I280" s="438">
        <f>SUM(I279:I279)</f>
        <v>0</v>
      </c>
    </row>
    <row r="281" spans="1:14" x14ac:dyDescent="0.2">
      <c r="A281" s="201"/>
      <c r="B281" s="271"/>
      <c r="C281" s="201"/>
      <c r="D281" s="201"/>
      <c r="E281" s="201"/>
      <c r="F281" s="201"/>
      <c r="G281" s="201"/>
      <c r="H281" s="201"/>
      <c r="I281" s="202"/>
    </row>
    <row r="282" spans="1:14" x14ac:dyDescent="0.2">
      <c r="A282" s="280"/>
      <c r="B282" s="281"/>
      <c r="C282" s="282"/>
      <c r="D282" s="282"/>
      <c r="E282" s="282"/>
      <c r="F282" s="283" t="s">
        <v>221</v>
      </c>
      <c r="G282" s="280"/>
      <c r="H282" s="254"/>
      <c r="I282" s="634">
        <f>+I267+I272+I276+I280</f>
        <v>25.86</v>
      </c>
    </row>
    <row r="283" spans="1:14" x14ac:dyDescent="0.2">
      <c r="A283" s="260"/>
      <c r="B283" s="284"/>
      <c r="C283" s="273"/>
      <c r="D283" s="273"/>
      <c r="E283" s="273"/>
      <c r="F283" s="285" t="str">
        <f>CONCATENATE($H$3," ",$I$3)</f>
        <v>BDI: 23,32</v>
      </c>
      <c r="G283" s="439"/>
      <c r="H283" s="258"/>
      <c r="I283" s="635">
        <f>+ROUND(I282*$I$4,2)</f>
        <v>6.03</v>
      </c>
    </row>
    <row r="284" spans="1:14" x14ac:dyDescent="0.2">
      <c r="A284" s="244"/>
      <c r="B284" s="286"/>
      <c r="C284" s="279"/>
      <c r="D284" s="279"/>
      <c r="E284" s="279"/>
      <c r="F284" s="287" t="s">
        <v>222</v>
      </c>
      <c r="G284" s="440"/>
      <c r="H284" s="245"/>
      <c r="I284" s="1017">
        <f>+I282+I283</f>
        <v>31.89</v>
      </c>
    </row>
    <row r="285" spans="1:14" x14ac:dyDescent="0.2">
      <c r="A285" s="1277" t="s">
        <v>229</v>
      </c>
      <c r="B285" s="1277"/>
      <c r="C285" s="1277"/>
      <c r="D285" s="1277"/>
      <c r="E285" s="1277"/>
      <c r="F285" s="1277"/>
      <c r="G285" s="1277"/>
      <c r="H285" s="1277"/>
      <c r="I285" s="1277"/>
    </row>
    <row r="286" spans="1:14" x14ac:dyDescent="0.2">
      <c r="A286" s="232" t="str">
        <f>$A$2</f>
        <v>Tabela Referencial de Preços - DER-ES - sem desoneração</v>
      </c>
      <c r="B286" s="233"/>
      <c r="C286" s="199"/>
      <c r="D286" s="199"/>
      <c r="E286" s="199"/>
      <c r="F286" s="199"/>
      <c r="G286" s="199"/>
      <c r="H286" s="199"/>
      <c r="I286" s="234" t="str">
        <f>$I$2</f>
        <v>Data Base: Outubro/2018</v>
      </c>
    </row>
    <row r="287" spans="1:14" ht="14.25" customHeight="1" x14ac:dyDescent="0.2">
      <c r="A287" s="1278" t="str">
        <f>+CONCATENATE("Serviço: ",J287," ",L287)</f>
        <v>Serviço: LG-008 Estrutura metálica em perfis laminados tipo Histar (fornecimento, tratamento anti-corrosivo e montagem)</v>
      </c>
      <c r="B287" s="1278"/>
      <c r="C287" s="1278"/>
      <c r="D287" s="1278"/>
      <c r="E287" s="1278"/>
      <c r="F287" s="1278"/>
      <c r="G287" s="1278"/>
      <c r="H287" s="1278"/>
      <c r="I287" s="1278" t="str">
        <f>CONCATENATE("Unidade: ", M287)</f>
        <v>Unidade: kg</v>
      </c>
      <c r="J287" s="373" t="s">
        <v>1385</v>
      </c>
      <c r="K287" s="22">
        <f>VLOOKUP("Preço Unitário Total",F288:I323,4,FALSE)</f>
        <v>38.299999999999997</v>
      </c>
      <c r="L287" s="790" t="s">
        <v>1417</v>
      </c>
      <c r="M287" s="419" t="s">
        <v>58</v>
      </c>
    </row>
    <row r="288" spans="1:14" x14ac:dyDescent="0.2">
      <c r="A288" s="1279"/>
      <c r="B288" s="1279"/>
      <c r="C288" s="1279"/>
      <c r="D288" s="1279"/>
      <c r="E288" s="1279"/>
      <c r="F288" s="1279"/>
      <c r="G288" s="1279"/>
      <c r="H288" s="1279"/>
      <c r="I288" s="1279"/>
    </row>
    <row r="289" spans="1:9" ht="22.5" x14ac:dyDescent="0.2">
      <c r="A289" s="235" t="s">
        <v>192</v>
      </c>
      <c r="B289" s="236" t="s">
        <v>60</v>
      </c>
      <c r="C289" s="236" t="s">
        <v>193</v>
      </c>
      <c r="D289" s="236" t="s">
        <v>194</v>
      </c>
      <c r="E289" s="236" t="s">
        <v>195</v>
      </c>
      <c r="F289" s="236" t="s">
        <v>196</v>
      </c>
      <c r="G289" s="236" t="s">
        <v>197</v>
      </c>
      <c r="H289" s="236" t="s">
        <v>91</v>
      </c>
      <c r="I289" s="236" t="s">
        <v>198</v>
      </c>
    </row>
    <row r="290" spans="1:9" ht="22.5" x14ac:dyDescent="0.2">
      <c r="A290" s="237" t="str">
        <f>VLOOKUP(B290,equip.!$A:$G,2,FALSE)</f>
        <v>Máquina de solda 425 A, pot=33A</v>
      </c>
      <c r="B290" s="238">
        <v>30082</v>
      </c>
      <c r="C290" s="239">
        <f>VLOOKUP(B290,equip.!$A$1:$G$239,3,FALSE)</f>
        <v>0</v>
      </c>
      <c r="D290" s="240">
        <v>0.8</v>
      </c>
      <c r="E290" s="205">
        <v>0.2</v>
      </c>
      <c r="F290" s="241">
        <f>VLOOKUP(B290,equip.!$A:$G,6,FALSE)</f>
        <v>44.91</v>
      </c>
      <c r="G290" s="241">
        <f>VLOOKUP(B290,equip.!$A:$G,7,FALSE)</f>
        <v>23.17</v>
      </c>
      <c r="H290" s="242">
        <v>40</v>
      </c>
      <c r="I290" s="243">
        <f>TRUNC(D290*F290*H290+E290*G290*H290,2)</f>
        <v>1622.48</v>
      </c>
    </row>
    <row r="291" spans="1:9" ht="35.25" customHeight="1" x14ac:dyDescent="0.2">
      <c r="A291" s="237" t="str">
        <f>VLOOKUP(B291,equip.!$A:$G,2,FALSE)</f>
        <v>Esmerilhadeira Angular 7" marca de referência BOSCH - 1755 ou equivalente</v>
      </c>
      <c r="B291" s="238">
        <v>30098</v>
      </c>
      <c r="C291" s="239">
        <f>VLOOKUP(B291,equip.!$A$1:$G$239,3,FALSE)</f>
        <v>0</v>
      </c>
      <c r="D291" s="240">
        <v>0.8</v>
      </c>
      <c r="E291" s="205">
        <v>0.2</v>
      </c>
      <c r="F291" s="241">
        <f>VLOOKUP(B291,equip.!$A:$G,6,FALSE)</f>
        <v>24.25</v>
      </c>
      <c r="G291" s="241">
        <f>VLOOKUP(B291,equip.!$A:$G,7,FALSE)</f>
        <v>22.89</v>
      </c>
      <c r="H291" s="242">
        <v>40</v>
      </c>
      <c r="I291" s="243">
        <f>TRUNC(D291*F291*H291+E291*G291*H291,2)</f>
        <v>959.12</v>
      </c>
    </row>
    <row r="292" spans="1:9" x14ac:dyDescent="0.2">
      <c r="A292" s="199"/>
      <c r="B292" s="233"/>
      <c r="C292" s="233"/>
      <c r="D292" s="199"/>
      <c r="E292" s="199"/>
      <c r="F292" s="234" t="s">
        <v>199</v>
      </c>
      <c r="G292" s="244"/>
      <c r="H292" s="245"/>
      <c r="I292" s="434">
        <f>SUM(I290:I291)</f>
        <v>2581.6</v>
      </c>
    </row>
    <row r="293" spans="1:9" x14ac:dyDescent="0.2">
      <c r="A293" s="199"/>
      <c r="B293" s="233"/>
      <c r="C293" s="233"/>
      <c r="D293" s="199"/>
      <c r="E293" s="199"/>
      <c r="F293" s="199"/>
      <c r="G293" s="199"/>
      <c r="H293" s="199"/>
      <c r="I293" s="200"/>
    </row>
    <row r="294" spans="1:9" x14ac:dyDescent="0.2">
      <c r="A294" s="246" t="s">
        <v>200</v>
      </c>
      <c r="B294" s="247" t="s">
        <v>60</v>
      </c>
      <c r="C294" s="236" t="s">
        <v>201</v>
      </c>
      <c r="D294" s="247" t="s">
        <v>202</v>
      </c>
      <c r="E294" s="1271" t="s">
        <v>91</v>
      </c>
      <c r="F294" s="1272"/>
      <c r="G294" s="1273"/>
      <c r="H294" s="1276" t="s">
        <v>198</v>
      </c>
      <c r="I294" s="1275"/>
    </row>
    <row r="295" spans="1:9" x14ac:dyDescent="0.2">
      <c r="A295" s="248" t="str">
        <f>VLOOKUP(B295,m.o.!$A:$H,2,FALSE)</f>
        <v>Encarregado O.A.E.</v>
      </c>
      <c r="B295" s="238">
        <v>20062</v>
      </c>
      <c r="C295" s="243">
        <f>VLOOKUP(B295,m.o.!$A:$F,4,FALSE)</f>
        <v>2.2599999999999998</v>
      </c>
      <c r="D295" s="243">
        <f>VLOOKUP(B295,m.o.!$A:$G,7,FALSE)</f>
        <v>26.3</v>
      </c>
      <c r="E295" s="260"/>
      <c r="F295" s="258"/>
      <c r="G295" s="300">
        <v>1</v>
      </c>
      <c r="H295" s="244"/>
      <c r="I295" s="249">
        <f>ROUND(D295*G295,2)</f>
        <v>26.3</v>
      </c>
    </row>
    <row r="296" spans="1:9" x14ac:dyDescent="0.2">
      <c r="A296" s="248" t="str">
        <f>VLOOKUP(B296,m.o.!$A:$H,2,FALSE)</f>
        <v>Soldador</v>
      </c>
      <c r="B296" s="238">
        <v>20005</v>
      </c>
      <c r="C296" s="243">
        <f>VLOOKUP(B296,m.o.!$A:$F,4,FALSE)</f>
        <v>1.96</v>
      </c>
      <c r="D296" s="243">
        <f>VLOOKUP(B296,m.o.!$A:$G,7,FALSE)</f>
        <v>22.81</v>
      </c>
      <c r="E296" s="260"/>
      <c r="F296" s="258"/>
      <c r="G296" s="300">
        <v>2</v>
      </c>
      <c r="H296" s="244"/>
      <c r="I296" s="249">
        <f>ROUND(D296*G296,2)</f>
        <v>45.62</v>
      </c>
    </row>
    <row r="297" spans="1:9" x14ac:dyDescent="0.2">
      <c r="A297" s="248" t="str">
        <f>VLOOKUP(B297,m.o.!$A:$H,2,FALSE)</f>
        <v>Servente</v>
      </c>
      <c r="B297" s="238">
        <v>20002</v>
      </c>
      <c r="C297" s="243">
        <f>VLOOKUP(B297,m.o.!$A:$F,4,FALSE)</f>
        <v>1</v>
      </c>
      <c r="D297" s="243">
        <f>VLOOKUP(B297,m.o.!$A:$G,7,FALSE)</f>
        <v>11.64</v>
      </c>
      <c r="E297" s="260"/>
      <c r="F297" s="258"/>
      <c r="G297" s="300">
        <v>4</v>
      </c>
      <c r="H297" s="244"/>
      <c r="I297" s="249">
        <f>ROUND(D297*G297,2)</f>
        <v>46.56</v>
      </c>
    </row>
    <row r="298" spans="1:9" x14ac:dyDescent="0.2">
      <c r="A298" s="199"/>
      <c r="B298" s="233"/>
      <c r="C298" s="233"/>
      <c r="D298" s="199"/>
      <c r="E298" s="199"/>
      <c r="F298" s="234" t="s">
        <v>203</v>
      </c>
      <c r="G298" s="244"/>
      <c r="H298" s="245"/>
      <c r="I298" s="434">
        <f>SUM(I295:I297)</f>
        <v>118.48</v>
      </c>
    </row>
    <row r="299" spans="1:9" x14ac:dyDescent="0.2">
      <c r="A299" s="199"/>
      <c r="B299" s="233"/>
      <c r="C299" s="233"/>
      <c r="D299" s="199"/>
      <c r="E299" s="199"/>
      <c r="F299" s="199"/>
      <c r="G299" s="199"/>
      <c r="H299" s="199"/>
      <c r="I299" s="200"/>
    </row>
    <row r="300" spans="1:9" x14ac:dyDescent="0.2">
      <c r="A300" s="250" t="s">
        <v>204</v>
      </c>
      <c r="B300" s="247" t="s">
        <v>60</v>
      </c>
      <c r="C300" s="792" t="s">
        <v>17</v>
      </c>
      <c r="D300" s="247" t="s">
        <v>205</v>
      </c>
      <c r="E300" s="247" t="s">
        <v>206</v>
      </c>
      <c r="F300" s="247" t="s">
        <v>207</v>
      </c>
      <c r="G300" s="1276" t="s">
        <v>96</v>
      </c>
      <c r="H300" s="1274"/>
      <c r="I300" s="1275"/>
    </row>
    <row r="301" spans="1:9" x14ac:dyDescent="0.2">
      <c r="A301" s="248"/>
      <c r="B301" s="238"/>
      <c r="C301" s="243"/>
      <c r="D301" s="239"/>
      <c r="E301" s="251"/>
      <c r="F301" s="251"/>
      <c r="G301" s="244"/>
      <c r="H301" s="245"/>
      <c r="I301" s="249"/>
    </row>
    <row r="302" spans="1:9" x14ac:dyDescent="0.2">
      <c r="A302" s="199"/>
      <c r="B302" s="233"/>
      <c r="C302" s="199"/>
      <c r="D302" s="199"/>
      <c r="E302" s="199"/>
      <c r="F302" s="234" t="s">
        <v>1170</v>
      </c>
      <c r="G302" s="244"/>
      <c r="H302" s="245"/>
      <c r="I302" s="434">
        <f>SUM(I301)</f>
        <v>0</v>
      </c>
    </row>
    <row r="303" spans="1:9" x14ac:dyDescent="0.2">
      <c r="A303" s="199"/>
      <c r="B303" s="233"/>
      <c r="C303" s="199"/>
      <c r="D303" s="199"/>
      <c r="E303" s="199"/>
      <c r="F303" s="199"/>
      <c r="G303" s="199"/>
      <c r="H303" s="199"/>
      <c r="I303" s="200"/>
    </row>
    <row r="304" spans="1:9" x14ac:dyDescent="0.2">
      <c r="A304" s="252"/>
      <c r="B304" s="253"/>
      <c r="C304" s="254"/>
      <c r="D304" s="254"/>
      <c r="E304" s="254"/>
      <c r="F304" s="255" t="s">
        <v>208</v>
      </c>
      <c r="G304" s="435"/>
      <c r="H304" s="254"/>
      <c r="I304" s="634">
        <f>+I292+I298+I302</f>
        <v>2700.08</v>
      </c>
    </row>
    <row r="305" spans="1:14" x14ac:dyDescent="0.2">
      <c r="A305" s="256"/>
      <c r="B305" s="257"/>
      <c r="C305" s="258"/>
      <c r="D305" s="258"/>
      <c r="E305" s="258"/>
      <c r="F305" s="259" t="s">
        <v>209</v>
      </c>
      <c r="G305" s="260"/>
      <c r="H305" s="258"/>
      <c r="I305" s="635">
        <v>250</v>
      </c>
    </row>
    <row r="306" spans="1:14" x14ac:dyDescent="0.2">
      <c r="A306" s="237"/>
      <c r="B306" s="261"/>
      <c r="C306" s="245"/>
      <c r="D306" s="245"/>
      <c r="E306" s="245"/>
      <c r="F306" s="262" t="s">
        <v>232</v>
      </c>
      <c r="G306" s="244"/>
      <c r="H306" s="245"/>
      <c r="I306" s="633">
        <f>ROUND(I304/I305,2)</f>
        <v>10.8</v>
      </c>
    </row>
    <row r="307" spans="1:14" x14ac:dyDescent="0.2">
      <c r="A307" s="793"/>
      <c r="B307" s="233"/>
      <c r="C307" s="199"/>
      <c r="D307" s="199"/>
      <c r="E307" s="199"/>
      <c r="F307" s="263"/>
      <c r="G307" s="199"/>
      <c r="H307" s="199"/>
      <c r="I307" s="264"/>
    </row>
    <row r="308" spans="1:14" x14ac:dyDescent="0.2">
      <c r="A308" s="246" t="s">
        <v>210</v>
      </c>
      <c r="B308" s="247" t="s">
        <v>60</v>
      </c>
      <c r="C308" s="247" t="s">
        <v>211</v>
      </c>
      <c r="D308" s="247" t="s">
        <v>233</v>
      </c>
      <c r="E308" s="1276" t="s">
        <v>91</v>
      </c>
      <c r="F308" s="1274"/>
      <c r="G308" s="1275"/>
      <c r="H308" s="1276" t="s">
        <v>64</v>
      </c>
      <c r="I308" s="1275"/>
    </row>
    <row r="309" spans="1:14" x14ac:dyDescent="0.2">
      <c r="A309" s="265" t="str">
        <f>VLOOKUP(B309,mat.!$A:$D,2,FALSE)</f>
        <v>Perfil metálico seção I</v>
      </c>
      <c r="B309" s="238">
        <v>10179</v>
      </c>
      <c r="C309" s="266" t="str">
        <f>VLOOKUP(B309,mat.!$A:$D,3,FALSE)</f>
        <v>kg</v>
      </c>
      <c r="D309" s="267">
        <f>VLOOKUP(B309,mat.!$A:$D,4,FALSE)</f>
        <v>5.51</v>
      </c>
      <c r="E309" s="260"/>
      <c r="F309" s="258"/>
      <c r="G309" s="300">
        <v>1.1000000000000001</v>
      </c>
      <c r="H309" s="260"/>
      <c r="I309" s="268">
        <f t="shared" ref="I309:I310" si="9">+D309*G309</f>
        <v>6.06</v>
      </c>
    </row>
    <row r="310" spans="1:14" x14ac:dyDescent="0.2">
      <c r="A310" s="265" t="str">
        <f>VLOOKUP(B310,mat.!$A:$D,2,FALSE)</f>
        <v>Eletrodo para soldas - OK 4804</v>
      </c>
      <c r="B310" s="238">
        <v>10185</v>
      </c>
      <c r="C310" s="266" t="str">
        <f>VLOOKUP(B310,mat.!$A:$D,3,FALSE)</f>
        <v>kg</v>
      </c>
      <c r="D310" s="267">
        <f>VLOOKUP(B310,mat.!$A:$D,4,FALSE)</f>
        <v>19</v>
      </c>
      <c r="E310" s="260"/>
      <c r="F310" s="258"/>
      <c r="G310" s="300">
        <v>0.2</v>
      </c>
      <c r="H310" s="260"/>
      <c r="I310" s="268">
        <f t="shared" si="9"/>
        <v>3.8</v>
      </c>
      <c r="J310" s="374"/>
    </row>
    <row r="311" spans="1:14" x14ac:dyDescent="0.2">
      <c r="A311" s="199"/>
      <c r="B311" s="233"/>
      <c r="C311" s="199"/>
      <c r="D311" s="199"/>
      <c r="E311" s="199"/>
      <c r="F311" s="234" t="s">
        <v>212</v>
      </c>
      <c r="G311" s="244"/>
      <c r="H311" s="245"/>
      <c r="I311" s="434">
        <f>SUM(I309:I310)</f>
        <v>9.86</v>
      </c>
    </row>
    <row r="312" spans="1:14" x14ac:dyDescent="0.2">
      <c r="A312" s="199"/>
      <c r="B312" s="233"/>
      <c r="C312" s="199"/>
      <c r="D312" s="199"/>
      <c r="E312" s="199"/>
      <c r="F312" s="199"/>
      <c r="G312" s="269"/>
      <c r="H312" s="199"/>
      <c r="I312" s="200"/>
    </row>
    <row r="313" spans="1:14" x14ac:dyDescent="0.2">
      <c r="A313" s="270" t="s">
        <v>213</v>
      </c>
      <c r="B313" s="247" t="s">
        <v>60</v>
      </c>
      <c r="C313" s="247" t="s">
        <v>211</v>
      </c>
      <c r="D313" s="792" t="s">
        <v>233</v>
      </c>
      <c r="E313" s="1271" t="s">
        <v>91</v>
      </c>
      <c r="F313" s="1272"/>
      <c r="G313" s="1273"/>
      <c r="H313" s="1276" t="s">
        <v>64</v>
      </c>
      <c r="I313" s="1275"/>
      <c r="L313" s="22"/>
      <c r="M313" s="22"/>
      <c r="N313" s="22"/>
    </row>
    <row r="314" spans="1:14" ht="33.75" x14ac:dyDescent="0.2">
      <c r="A314" s="248" t="str">
        <f>VLOOKUP(B314,'DER 10-18'!$A:$E,2,FALSE)</f>
        <v>Pintura em estrutura metálica com tinta epoxídica inclusive primer</v>
      </c>
      <c r="B314" s="238">
        <v>41404</v>
      </c>
      <c r="C314" s="238" t="str">
        <f>VLOOKUP(B314,'DER 10-18'!$A:$E,3,FALSE)</f>
        <v>M2</v>
      </c>
      <c r="D314" s="243">
        <f>ROUND(VLOOKUP(B314,'DER 10-18'!$A:$F,6,FALSE)/1.2332,2)</f>
        <v>25.99</v>
      </c>
      <c r="E314" s="791"/>
      <c r="F314" s="792"/>
      <c r="G314" s="300">
        <v>0.4</v>
      </c>
      <c r="H314" s="303"/>
      <c r="I314" s="268">
        <f>ROUND(D314*G314,2)</f>
        <v>10.4</v>
      </c>
      <c r="N314" s="376"/>
    </row>
    <row r="315" spans="1:14" x14ac:dyDescent="0.2">
      <c r="A315" s="201"/>
      <c r="B315" s="271"/>
      <c r="C315" s="201"/>
      <c r="D315" s="201"/>
      <c r="E315" s="201"/>
      <c r="F315" s="272" t="s">
        <v>214</v>
      </c>
      <c r="G315" s="260"/>
      <c r="H315" s="273"/>
      <c r="I315" s="436">
        <f>SUM(I314:I314)</f>
        <v>10.4</v>
      </c>
    </row>
    <row r="316" spans="1:14" x14ac:dyDescent="0.2">
      <c r="A316" s="201"/>
      <c r="B316" s="271"/>
      <c r="C316" s="201"/>
      <c r="D316" s="201"/>
      <c r="E316" s="201"/>
      <c r="F316" s="201"/>
      <c r="G316" s="201"/>
      <c r="H316" s="201"/>
      <c r="I316" s="201"/>
    </row>
    <row r="317" spans="1:14" x14ac:dyDescent="0.2">
      <c r="A317" s="274" t="s">
        <v>215</v>
      </c>
      <c r="B317" s="275" t="s">
        <v>60</v>
      </c>
      <c r="C317" s="275" t="s">
        <v>211</v>
      </c>
      <c r="D317" s="275" t="s">
        <v>216</v>
      </c>
      <c r="E317" s="275" t="s">
        <v>217</v>
      </c>
      <c r="F317" s="275" t="s">
        <v>218</v>
      </c>
      <c r="G317" s="275" t="s">
        <v>96</v>
      </c>
      <c r="H317" s="275" t="s">
        <v>91</v>
      </c>
      <c r="I317" s="275" t="s">
        <v>219</v>
      </c>
    </row>
    <row r="318" spans="1:14" x14ac:dyDescent="0.2">
      <c r="A318" s="248"/>
      <c r="B318" s="238"/>
      <c r="C318" s="238"/>
      <c r="D318" s="276"/>
      <c r="E318" s="277"/>
      <c r="F318" s="277"/>
      <c r="G318" s="243"/>
      <c r="H318" s="278"/>
      <c r="I318" s="243"/>
      <c r="K318" s="375"/>
    </row>
    <row r="319" spans="1:14" x14ac:dyDescent="0.2">
      <c r="A319" s="201"/>
      <c r="B319" s="271"/>
      <c r="C319" s="201"/>
      <c r="D319" s="201"/>
      <c r="E319" s="201"/>
      <c r="F319" s="272" t="s">
        <v>220</v>
      </c>
      <c r="G319" s="244"/>
      <c r="H319" s="279"/>
      <c r="I319" s="438">
        <f>SUM(I318:I318)</f>
        <v>0</v>
      </c>
    </row>
    <row r="320" spans="1:14" x14ac:dyDescent="0.2">
      <c r="A320" s="201"/>
      <c r="B320" s="271"/>
      <c r="C320" s="201"/>
      <c r="D320" s="201"/>
      <c r="E320" s="201"/>
      <c r="F320" s="201"/>
      <c r="G320" s="201"/>
      <c r="H320" s="201"/>
      <c r="I320" s="202"/>
    </row>
    <row r="321" spans="1:13" x14ac:dyDescent="0.2">
      <c r="A321" s="280"/>
      <c r="B321" s="281"/>
      <c r="C321" s="282"/>
      <c r="D321" s="282"/>
      <c r="E321" s="282"/>
      <c r="F321" s="283" t="s">
        <v>221</v>
      </c>
      <c r="G321" s="280"/>
      <c r="H321" s="254"/>
      <c r="I321" s="634">
        <f>+I306+I311+I315+I319</f>
        <v>31.06</v>
      </c>
    </row>
    <row r="322" spans="1:13" x14ac:dyDescent="0.2">
      <c r="A322" s="260"/>
      <c r="B322" s="284"/>
      <c r="C322" s="273"/>
      <c r="D322" s="273"/>
      <c r="E322" s="273"/>
      <c r="F322" s="285" t="str">
        <f>CONCATENATE($H$3," ",$I$3)</f>
        <v>BDI: 23,32</v>
      </c>
      <c r="G322" s="439"/>
      <c r="H322" s="258"/>
      <c r="I322" s="635">
        <f>+ROUND(I321*$I$4,2)</f>
        <v>7.24</v>
      </c>
    </row>
    <row r="323" spans="1:13" x14ac:dyDescent="0.2">
      <c r="A323" s="244"/>
      <c r="B323" s="286"/>
      <c r="C323" s="279"/>
      <c r="D323" s="279"/>
      <c r="E323" s="279"/>
      <c r="F323" s="287" t="s">
        <v>222</v>
      </c>
      <c r="G323" s="440"/>
      <c r="H323" s="245"/>
      <c r="I323" s="1017">
        <f>+I321+I322</f>
        <v>38.299999999999997</v>
      </c>
    </row>
    <row r="324" spans="1:13" x14ac:dyDescent="0.2">
      <c r="A324" s="1277" t="s">
        <v>229</v>
      </c>
      <c r="B324" s="1277"/>
      <c r="C324" s="1277"/>
      <c r="D324" s="1277"/>
      <c r="E324" s="1277"/>
      <c r="F324" s="1277"/>
      <c r="G324" s="1277"/>
      <c r="H324" s="1277"/>
      <c r="I324" s="1277"/>
    </row>
    <row r="325" spans="1:13" x14ac:dyDescent="0.2">
      <c r="A325" s="232" t="str">
        <f>$A$2</f>
        <v>Tabela Referencial de Preços - DER-ES - sem desoneração</v>
      </c>
      <c r="B325" s="233"/>
      <c r="C325" s="199"/>
      <c r="D325" s="199"/>
      <c r="E325" s="199"/>
      <c r="F325" s="199"/>
      <c r="G325" s="199"/>
      <c r="H325" s="199"/>
      <c r="I325" s="234" t="str">
        <f>$I$2</f>
        <v>Data Base: Outubro/2018</v>
      </c>
    </row>
    <row r="326" spans="1:13" ht="14.25" customHeight="1" x14ac:dyDescent="0.2">
      <c r="A326" s="1278" t="str">
        <f>+CONCATENATE("Serviço: ",J326," ",L326)</f>
        <v>Serviço: LG-009 Estrutura metálica em perfis soldados em chapa USI SAC 50 (fornecimento, tratamento anti-corrosivo e montagem)</v>
      </c>
      <c r="B326" s="1278"/>
      <c r="C326" s="1278"/>
      <c r="D326" s="1278"/>
      <c r="E326" s="1278"/>
      <c r="F326" s="1278"/>
      <c r="G326" s="1278"/>
      <c r="H326" s="1278"/>
      <c r="I326" s="1278" t="str">
        <f>CONCATENATE("Unidade: ", M326)</f>
        <v>Unidade: kg</v>
      </c>
      <c r="J326" s="373" t="s">
        <v>1212</v>
      </c>
      <c r="K326" s="22">
        <f>VLOOKUP("Preço Unitário Total",F327:I362,4,FALSE)</f>
        <v>39.31</v>
      </c>
      <c r="L326" s="790" t="s">
        <v>1418</v>
      </c>
      <c r="M326" s="419" t="s">
        <v>58</v>
      </c>
    </row>
    <row r="327" spans="1:13" x14ac:dyDescent="0.2">
      <c r="A327" s="1279"/>
      <c r="B327" s="1279"/>
      <c r="C327" s="1279"/>
      <c r="D327" s="1279"/>
      <c r="E327" s="1279"/>
      <c r="F327" s="1279"/>
      <c r="G327" s="1279"/>
      <c r="H327" s="1279"/>
      <c r="I327" s="1279"/>
    </row>
    <row r="328" spans="1:13" ht="22.5" x14ac:dyDescent="0.2">
      <c r="A328" s="235" t="s">
        <v>192</v>
      </c>
      <c r="B328" s="236" t="s">
        <v>60</v>
      </c>
      <c r="C328" s="236" t="s">
        <v>193</v>
      </c>
      <c r="D328" s="236" t="s">
        <v>194</v>
      </c>
      <c r="E328" s="236" t="s">
        <v>195</v>
      </c>
      <c r="F328" s="236" t="s">
        <v>196</v>
      </c>
      <c r="G328" s="236" t="s">
        <v>197</v>
      </c>
      <c r="H328" s="236" t="s">
        <v>91</v>
      </c>
      <c r="I328" s="236" t="s">
        <v>198</v>
      </c>
    </row>
    <row r="329" spans="1:13" ht="22.5" x14ac:dyDescent="0.2">
      <c r="A329" s="237" t="str">
        <f>VLOOKUP(B329,equip.!$A:$G,2,FALSE)</f>
        <v>Máquina de solda 425 A, pot=33A</v>
      </c>
      <c r="B329" s="238">
        <v>30082</v>
      </c>
      <c r="C329" s="239">
        <f>VLOOKUP(B329,equip.!$A$1:$G$239,3,FALSE)</f>
        <v>0</v>
      </c>
      <c r="D329" s="240">
        <v>0.8</v>
      </c>
      <c r="E329" s="205">
        <v>0.2</v>
      </c>
      <c r="F329" s="241">
        <f>VLOOKUP(B329,equip.!$A:$G,6,FALSE)</f>
        <v>44.91</v>
      </c>
      <c r="G329" s="241">
        <f>VLOOKUP(B329,equip.!$A:$G,7,FALSE)</f>
        <v>23.17</v>
      </c>
      <c r="H329" s="242">
        <v>40</v>
      </c>
      <c r="I329" s="243">
        <f>TRUNC(D329*F329*H329+E329*G329*H329,2)</f>
        <v>1622.48</v>
      </c>
    </row>
    <row r="330" spans="1:13" ht="35.25" customHeight="1" x14ac:dyDescent="0.2">
      <c r="A330" s="237" t="str">
        <f>VLOOKUP(B330,equip.!$A:$G,2,FALSE)</f>
        <v>Esmerilhadeira Angular 7" marca de referência BOSCH - 1755 ou equivalente</v>
      </c>
      <c r="B330" s="238">
        <v>30098</v>
      </c>
      <c r="C330" s="239">
        <f>VLOOKUP(B330,equip.!$A$1:$G$239,3,FALSE)</f>
        <v>0</v>
      </c>
      <c r="D330" s="240">
        <v>0.8</v>
      </c>
      <c r="E330" s="205">
        <v>0.2</v>
      </c>
      <c r="F330" s="241">
        <f>VLOOKUP(B330,equip.!$A:$G,6,FALSE)</f>
        <v>24.25</v>
      </c>
      <c r="G330" s="241">
        <f>VLOOKUP(B330,equip.!$A:$G,7,FALSE)</f>
        <v>22.89</v>
      </c>
      <c r="H330" s="242">
        <v>40</v>
      </c>
      <c r="I330" s="243">
        <f>TRUNC(D330*F330*H330+E330*G330*H330,2)</f>
        <v>959.12</v>
      </c>
    </row>
    <row r="331" spans="1:13" x14ac:dyDescent="0.2">
      <c r="A331" s="199"/>
      <c r="B331" s="233"/>
      <c r="C331" s="233"/>
      <c r="D331" s="199"/>
      <c r="E331" s="199"/>
      <c r="F331" s="234" t="s">
        <v>199</v>
      </c>
      <c r="G331" s="244"/>
      <c r="H331" s="245"/>
      <c r="I331" s="434">
        <f>SUM(I329:I330)</f>
        <v>2581.6</v>
      </c>
    </row>
    <row r="332" spans="1:13" x14ac:dyDescent="0.2">
      <c r="A332" s="199"/>
      <c r="B332" s="233"/>
      <c r="C332" s="233"/>
      <c r="D332" s="199"/>
      <c r="E332" s="199"/>
      <c r="F332" s="199"/>
      <c r="G332" s="199"/>
      <c r="H332" s="199"/>
      <c r="I332" s="200"/>
    </row>
    <row r="333" spans="1:13" x14ac:dyDescent="0.2">
      <c r="A333" s="246" t="s">
        <v>200</v>
      </c>
      <c r="B333" s="247" t="s">
        <v>60</v>
      </c>
      <c r="C333" s="236" t="s">
        <v>201</v>
      </c>
      <c r="D333" s="247" t="s">
        <v>202</v>
      </c>
      <c r="E333" s="1271" t="s">
        <v>91</v>
      </c>
      <c r="F333" s="1272"/>
      <c r="G333" s="1273"/>
      <c r="H333" s="1276" t="s">
        <v>198</v>
      </c>
      <c r="I333" s="1275"/>
    </row>
    <row r="334" spans="1:13" x14ac:dyDescent="0.2">
      <c r="A334" s="248" t="str">
        <f>VLOOKUP(B334,m.o.!$A:$H,2,FALSE)</f>
        <v>Encarregado O.A.E.</v>
      </c>
      <c r="B334" s="238">
        <v>20062</v>
      </c>
      <c r="C334" s="243">
        <f>VLOOKUP(B334,m.o.!$A:$F,4,FALSE)</f>
        <v>2.2599999999999998</v>
      </c>
      <c r="D334" s="243">
        <f>VLOOKUP(B334,m.o.!$A:$G,7,FALSE)</f>
        <v>26.3</v>
      </c>
      <c r="E334" s="260"/>
      <c r="F334" s="258"/>
      <c r="G334" s="300">
        <v>1</v>
      </c>
      <c r="H334" s="244"/>
      <c r="I334" s="249">
        <f>ROUND(D334*G334,2)</f>
        <v>26.3</v>
      </c>
    </row>
    <row r="335" spans="1:13" x14ac:dyDescent="0.2">
      <c r="A335" s="248" t="str">
        <f>VLOOKUP(B335,m.o.!$A:$H,2,FALSE)</f>
        <v>Soldador</v>
      </c>
      <c r="B335" s="238">
        <v>20005</v>
      </c>
      <c r="C335" s="243">
        <f>VLOOKUP(B335,m.o.!$A:$F,4,FALSE)</f>
        <v>1.96</v>
      </c>
      <c r="D335" s="243">
        <f>VLOOKUP(B335,m.o.!$A:$G,7,FALSE)</f>
        <v>22.81</v>
      </c>
      <c r="E335" s="260"/>
      <c r="F335" s="258"/>
      <c r="G335" s="300">
        <v>2</v>
      </c>
      <c r="H335" s="244"/>
      <c r="I335" s="249">
        <f>ROUND(D335*G335,2)</f>
        <v>45.62</v>
      </c>
    </row>
    <row r="336" spans="1:13" x14ac:dyDescent="0.2">
      <c r="A336" s="248" t="str">
        <f>VLOOKUP(B336,m.o.!$A:$H,2,FALSE)</f>
        <v>Servente</v>
      </c>
      <c r="B336" s="238">
        <v>20002</v>
      </c>
      <c r="C336" s="243">
        <f>VLOOKUP(B336,m.o.!$A:$F,4,FALSE)</f>
        <v>1</v>
      </c>
      <c r="D336" s="243">
        <f>VLOOKUP(B336,m.o.!$A:$G,7,FALSE)</f>
        <v>11.64</v>
      </c>
      <c r="E336" s="260"/>
      <c r="F336" s="258"/>
      <c r="G336" s="300">
        <v>4</v>
      </c>
      <c r="H336" s="244"/>
      <c r="I336" s="249">
        <f>ROUND(D336*G336,2)</f>
        <v>46.56</v>
      </c>
    </row>
    <row r="337" spans="1:14" x14ac:dyDescent="0.2">
      <c r="A337" s="199"/>
      <c r="B337" s="233"/>
      <c r="C337" s="233"/>
      <c r="D337" s="199"/>
      <c r="E337" s="199"/>
      <c r="F337" s="234" t="s">
        <v>203</v>
      </c>
      <c r="G337" s="244"/>
      <c r="H337" s="245"/>
      <c r="I337" s="434">
        <f>SUM(I334:I336)</f>
        <v>118.48</v>
      </c>
    </row>
    <row r="338" spans="1:14" x14ac:dyDescent="0.2">
      <c r="A338" s="199"/>
      <c r="B338" s="233"/>
      <c r="C338" s="233"/>
      <c r="D338" s="199"/>
      <c r="E338" s="199"/>
      <c r="F338" s="199"/>
      <c r="G338" s="199"/>
      <c r="H338" s="199"/>
      <c r="I338" s="200"/>
    </row>
    <row r="339" spans="1:14" x14ac:dyDescent="0.2">
      <c r="A339" s="250" t="s">
        <v>204</v>
      </c>
      <c r="B339" s="247" t="s">
        <v>60</v>
      </c>
      <c r="C339" s="792" t="s">
        <v>17</v>
      </c>
      <c r="D339" s="247" t="s">
        <v>205</v>
      </c>
      <c r="E339" s="247" t="s">
        <v>206</v>
      </c>
      <c r="F339" s="247" t="s">
        <v>207</v>
      </c>
      <c r="G339" s="1276" t="s">
        <v>96</v>
      </c>
      <c r="H339" s="1274"/>
      <c r="I339" s="1275"/>
    </row>
    <row r="340" spans="1:14" x14ac:dyDescent="0.2">
      <c r="A340" s="248"/>
      <c r="B340" s="238"/>
      <c r="C340" s="243"/>
      <c r="D340" s="239"/>
      <c r="E340" s="251"/>
      <c r="F340" s="251"/>
      <c r="G340" s="244"/>
      <c r="H340" s="245"/>
      <c r="I340" s="249"/>
    </row>
    <row r="341" spans="1:14" x14ac:dyDescent="0.2">
      <c r="A341" s="199"/>
      <c r="B341" s="233"/>
      <c r="C341" s="199"/>
      <c r="D341" s="199"/>
      <c r="E341" s="199"/>
      <c r="F341" s="234" t="s">
        <v>1170</v>
      </c>
      <c r="G341" s="244"/>
      <c r="H341" s="245"/>
      <c r="I341" s="434">
        <f>SUM(I340)</f>
        <v>0</v>
      </c>
    </row>
    <row r="342" spans="1:14" x14ac:dyDescent="0.2">
      <c r="A342" s="199"/>
      <c r="B342" s="233"/>
      <c r="C342" s="199"/>
      <c r="D342" s="199"/>
      <c r="E342" s="199"/>
      <c r="F342" s="199"/>
      <c r="G342" s="199"/>
      <c r="H342" s="199"/>
      <c r="I342" s="200"/>
    </row>
    <row r="343" spans="1:14" x14ac:dyDescent="0.2">
      <c r="A343" s="252"/>
      <c r="B343" s="253"/>
      <c r="C343" s="254"/>
      <c r="D343" s="254"/>
      <c r="E343" s="254"/>
      <c r="F343" s="255" t="s">
        <v>208</v>
      </c>
      <c r="G343" s="435"/>
      <c r="H343" s="254"/>
      <c r="I343" s="634">
        <f>+I331+I337+I341</f>
        <v>2700.08</v>
      </c>
    </row>
    <row r="344" spans="1:14" x14ac:dyDescent="0.2">
      <c r="A344" s="256"/>
      <c r="B344" s="257"/>
      <c r="C344" s="258"/>
      <c r="D344" s="258"/>
      <c r="E344" s="258"/>
      <c r="F344" s="259" t="s">
        <v>209</v>
      </c>
      <c r="G344" s="260"/>
      <c r="H344" s="258"/>
      <c r="I344" s="635">
        <v>250</v>
      </c>
    </row>
    <row r="345" spans="1:14" x14ac:dyDescent="0.2">
      <c r="A345" s="237"/>
      <c r="B345" s="261"/>
      <c r="C345" s="245"/>
      <c r="D345" s="245"/>
      <c r="E345" s="245"/>
      <c r="F345" s="262" t="s">
        <v>232</v>
      </c>
      <c r="G345" s="244"/>
      <c r="H345" s="245"/>
      <c r="I345" s="633">
        <f>ROUND(I343/I344,2)</f>
        <v>10.8</v>
      </c>
    </row>
    <row r="346" spans="1:14" x14ac:dyDescent="0.2">
      <c r="A346" s="793"/>
      <c r="B346" s="233"/>
      <c r="C346" s="199"/>
      <c r="D346" s="199"/>
      <c r="E346" s="199"/>
      <c r="F346" s="263"/>
      <c r="G346" s="199"/>
      <c r="H346" s="199"/>
      <c r="I346" s="264"/>
    </row>
    <row r="347" spans="1:14" x14ac:dyDescent="0.2">
      <c r="A347" s="246" t="s">
        <v>210</v>
      </c>
      <c r="B347" s="247" t="s">
        <v>60</v>
      </c>
      <c r="C347" s="247" t="s">
        <v>211</v>
      </c>
      <c r="D347" s="247" t="s">
        <v>233</v>
      </c>
      <c r="E347" s="1276" t="s">
        <v>91</v>
      </c>
      <c r="F347" s="1274"/>
      <c r="G347" s="1275"/>
      <c r="H347" s="1276" t="s">
        <v>64</v>
      </c>
      <c r="I347" s="1275"/>
    </row>
    <row r="348" spans="1:14" x14ac:dyDescent="0.2">
      <c r="A348" s="265" t="str">
        <f>VLOOKUP(B348,mat.!$A:$D,2,FALSE)</f>
        <v>Chapa de aço 1/2"</v>
      </c>
      <c r="B348" s="238">
        <v>10168</v>
      </c>
      <c r="C348" s="266" t="str">
        <f>VLOOKUP(B348,mat.!$A:$D,3,FALSE)</f>
        <v>kg</v>
      </c>
      <c r="D348" s="267">
        <f>VLOOKUP(B348,mat.!$A:$D,4,FALSE)</f>
        <v>6.25</v>
      </c>
      <c r="E348" s="260"/>
      <c r="F348" s="258"/>
      <c r="G348" s="300">
        <v>1.1000000000000001</v>
      </c>
      <c r="H348" s="260"/>
      <c r="I348" s="268">
        <f>+D348*G348</f>
        <v>6.88</v>
      </c>
    </row>
    <row r="349" spans="1:14" x14ac:dyDescent="0.2">
      <c r="A349" s="265" t="str">
        <f>VLOOKUP(B349,mat.!$A:$D,2,FALSE)</f>
        <v>Eletrodo para soldas - OK 4804</v>
      </c>
      <c r="B349" s="238">
        <v>10185</v>
      </c>
      <c r="C349" s="266" t="str">
        <f>VLOOKUP(B349,mat.!$A:$D,3,FALSE)</f>
        <v>kg</v>
      </c>
      <c r="D349" s="267">
        <f>VLOOKUP(B349,mat.!$A:$D,4,FALSE)</f>
        <v>19</v>
      </c>
      <c r="E349" s="260"/>
      <c r="F349" s="258"/>
      <c r="G349" s="300">
        <v>0.2</v>
      </c>
      <c r="H349" s="260"/>
      <c r="I349" s="268">
        <f t="shared" ref="I349" si="10">+D349*G349</f>
        <v>3.8</v>
      </c>
      <c r="J349" s="374"/>
    </row>
    <row r="350" spans="1:14" x14ac:dyDescent="0.2">
      <c r="A350" s="199"/>
      <c r="B350" s="233"/>
      <c r="C350" s="199"/>
      <c r="D350" s="199"/>
      <c r="E350" s="199"/>
      <c r="F350" s="234" t="s">
        <v>212</v>
      </c>
      <c r="G350" s="244"/>
      <c r="H350" s="245"/>
      <c r="I350" s="434">
        <f>SUM(I348:I349)</f>
        <v>10.68</v>
      </c>
    </row>
    <row r="351" spans="1:14" x14ac:dyDescent="0.2">
      <c r="A351" s="199"/>
      <c r="B351" s="233"/>
      <c r="C351" s="199"/>
      <c r="D351" s="199"/>
      <c r="E351" s="199"/>
      <c r="F351" s="199"/>
      <c r="G351" s="269"/>
      <c r="H351" s="199"/>
      <c r="I351" s="200"/>
    </row>
    <row r="352" spans="1:14" x14ac:dyDescent="0.2">
      <c r="A352" s="270" t="s">
        <v>213</v>
      </c>
      <c r="B352" s="247" t="s">
        <v>60</v>
      </c>
      <c r="C352" s="247" t="s">
        <v>211</v>
      </c>
      <c r="D352" s="792" t="s">
        <v>233</v>
      </c>
      <c r="E352" s="1271" t="s">
        <v>91</v>
      </c>
      <c r="F352" s="1272"/>
      <c r="G352" s="1273"/>
      <c r="H352" s="1276" t="s">
        <v>64</v>
      </c>
      <c r="I352" s="1275"/>
      <c r="L352" s="22"/>
      <c r="M352" s="22"/>
      <c r="N352" s="22"/>
    </row>
    <row r="353" spans="1:14" ht="33.75" x14ac:dyDescent="0.2">
      <c r="A353" s="248" t="str">
        <f>VLOOKUP(B353,'DER 10-18'!$A:$E,2,FALSE)</f>
        <v>Pintura em estrutura metálica com tinta epoxídica inclusive primer</v>
      </c>
      <c r="B353" s="238">
        <v>41404</v>
      </c>
      <c r="C353" s="238" t="str">
        <f>VLOOKUP(B353,'DER 10-18'!$A:$E,3,FALSE)</f>
        <v>M2</v>
      </c>
      <c r="D353" s="243">
        <f>ROUND(VLOOKUP(B353,'DER 10-18'!$A:$F,6,FALSE)/1.2332,2)</f>
        <v>25.99</v>
      </c>
      <c r="E353" s="791"/>
      <c r="F353" s="792"/>
      <c r="G353" s="300">
        <v>0.4</v>
      </c>
      <c r="H353" s="303"/>
      <c r="I353" s="268">
        <f>ROUND(D353*G353,2)</f>
        <v>10.4</v>
      </c>
      <c r="N353" s="376"/>
    </row>
    <row r="354" spans="1:14" x14ac:dyDescent="0.2">
      <c r="A354" s="201"/>
      <c r="B354" s="271"/>
      <c r="C354" s="201"/>
      <c r="D354" s="201"/>
      <c r="E354" s="201"/>
      <c r="F354" s="272" t="s">
        <v>214</v>
      </c>
      <c r="G354" s="260"/>
      <c r="H354" s="273"/>
      <c r="I354" s="436">
        <f>SUM(I353:I353)</f>
        <v>10.4</v>
      </c>
    </row>
    <row r="355" spans="1:14" x14ac:dyDescent="0.2">
      <c r="A355" s="201"/>
      <c r="B355" s="271"/>
      <c r="C355" s="201"/>
      <c r="D355" s="201"/>
      <c r="E355" s="201"/>
      <c r="F355" s="201"/>
      <c r="G355" s="201"/>
      <c r="H355" s="201"/>
      <c r="I355" s="201"/>
    </row>
    <row r="356" spans="1:14" x14ac:dyDescent="0.2">
      <c r="A356" s="274" t="s">
        <v>215</v>
      </c>
      <c r="B356" s="275" t="s">
        <v>60</v>
      </c>
      <c r="C356" s="275" t="s">
        <v>211</v>
      </c>
      <c r="D356" s="275" t="s">
        <v>216</v>
      </c>
      <c r="E356" s="275" t="s">
        <v>217</v>
      </c>
      <c r="F356" s="275" t="s">
        <v>218</v>
      </c>
      <c r="G356" s="275" t="s">
        <v>96</v>
      </c>
      <c r="H356" s="275" t="s">
        <v>91</v>
      </c>
      <c r="I356" s="275" t="s">
        <v>219</v>
      </c>
    </row>
    <row r="357" spans="1:14" x14ac:dyDescent="0.2">
      <c r="A357" s="248"/>
      <c r="B357" s="238"/>
      <c r="C357" s="238"/>
      <c r="D357" s="276"/>
      <c r="E357" s="277"/>
      <c r="F357" s="277"/>
      <c r="G357" s="243"/>
      <c r="H357" s="278"/>
      <c r="I357" s="243"/>
      <c r="K357" s="375"/>
    </row>
    <row r="358" spans="1:14" x14ac:dyDescent="0.2">
      <c r="A358" s="201"/>
      <c r="B358" s="271"/>
      <c r="C358" s="201"/>
      <c r="D358" s="201"/>
      <c r="E358" s="201"/>
      <c r="F358" s="272" t="s">
        <v>220</v>
      </c>
      <c r="G358" s="244"/>
      <c r="H358" s="279"/>
      <c r="I358" s="438">
        <f>SUM(I357:I357)</f>
        <v>0</v>
      </c>
    </row>
    <row r="359" spans="1:14" x14ac:dyDescent="0.2">
      <c r="A359" s="201"/>
      <c r="B359" s="271"/>
      <c r="C359" s="201"/>
      <c r="D359" s="201"/>
      <c r="E359" s="201"/>
      <c r="F359" s="201"/>
      <c r="G359" s="201"/>
      <c r="H359" s="201"/>
      <c r="I359" s="202"/>
    </row>
    <row r="360" spans="1:14" x14ac:dyDescent="0.2">
      <c r="A360" s="280"/>
      <c r="B360" s="281"/>
      <c r="C360" s="282"/>
      <c r="D360" s="282"/>
      <c r="E360" s="282"/>
      <c r="F360" s="283" t="s">
        <v>221</v>
      </c>
      <c r="G360" s="280"/>
      <c r="H360" s="254"/>
      <c r="I360" s="634">
        <f>+I345+I350+I354+I358</f>
        <v>31.88</v>
      </c>
    </row>
    <row r="361" spans="1:14" x14ac:dyDescent="0.2">
      <c r="A361" s="260"/>
      <c r="B361" s="284"/>
      <c r="C361" s="273"/>
      <c r="D361" s="273"/>
      <c r="E361" s="273"/>
      <c r="F361" s="285" t="str">
        <f>CONCATENATE($H$3," ",$I$3)</f>
        <v>BDI: 23,32</v>
      </c>
      <c r="G361" s="439"/>
      <c r="H361" s="258"/>
      <c r="I361" s="635">
        <f>+ROUND(I360*$I$4,2)</f>
        <v>7.43</v>
      </c>
    </row>
    <row r="362" spans="1:14" x14ac:dyDescent="0.2">
      <c r="A362" s="244"/>
      <c r="B362" s="286"/>
      <c r="C362" s="279"/>
      <c r="D362" s="279"/>
      <c r="E362" s="279"/>
      <c r="F362" s="287" t="s">
        <v>222</v>
      </c>
      <c r="G362" s="440"/>
      <c r="H362" s="245"/>
      <c r="I362" s="1017">
        <f>+I360+I361</f>
        <v>39.31</v>
      </c>
    </row>
    <row r="363" spans="1:14" x14ac:dyDescent="0.2">
      <c r="A363" s="1277" t="s">
        <v>229</v>
      </c>
      <c r="B363" s="1277"/>
      <c r="C363" s="1277"/>
      <c r="D363" s="1277"/>
      <c r="E363" s="1277"/>
      <c r="F363" s="1277"/>
      <c r="G363" s="1277"/>
      <c r="H363" s="1277"/>
      <c r="I363" s="1277"/>
    </row>
    <row r="364" spans="1:14" x14ac:dyDescent="0.2">
      <c r="A364" s="232" t="str">
        <f>$A$2</f>
        <v>Tabela Referencial de Preços - DER-ES - sem desoneração</v>
      </c>
      <c r="B364" s="233"/>
      <c r="C364" s="199"/>
      <c r="D364" s="199"/>
      <c r="E364" s="199"/>
      <c r="F364" s="199"/>
      <c r="G364" s="199"/>
      <c r="H364" s="199"/>
      <c r="I364" s="234" t="str">
        <f>$I$2</f>
        <v>Data Base: Outubro/2018</v>
      </c>
    </row>
    <row r="365" spans="1:14" ht="14.25" customHeight="1" x14ac:dyDescent="0.2">
      <c r="A365" s="1278" t="str">
        <f>+CONCATENATE("Serviço: ",J365," ",L365)</f>
        <v>Serviço: LG-010 Envelopamento de BDTC diâmetro 1,00 m</v>
      </c>
      <c r="B365" s="1278"/>
      <c r="C365" s="1278"/>
      <c r="D365" s="1278"/>
      <c r="E365" s="1278"/>
      <c r="F365" s="1278"/>
      <c r="G365" s="1278"/>
      <c r="H365" s="1278"/>
      <c r="I365" s="1278" t="str">
        <f>CONCATENATE("Unidade: ", M365)</f>
        <v>Unidade: m</v>
      </c>
      <c r="J365" s="373" t="s">
        <v>1218</v>
      </c>
      <c r="K365" s="22">
        <f>VLOOKUP("Preço Unitário Total",F366:I397,4,FALSE)</f>
        <v>920.3</v>
      </c>
      <c r="L365" s="790" t="s">
        <v>1510</v>
      </c>
      <c r="M365" s="419" t="s">
        <v>62</v>
      </c>
    </row>
    <row r="366" spans="1:14" x14ac:dyDescent="0.2">
      <c r="A366" s="1279"/>
      <c r="B366" s="1279"/>
      <c r="C366" s="1279"/>
      <c r="D366" s="1279"/>
      <c r="E366" s="1279"/>
      <c r="F366" s="1279"/>
      <c r="G366" s="1279"/>
      <c r="H366" s="1279"/>
      <c r="I366" s="1279"/>
    </row>
    <row r="367" spans="1:14" ht="22.5" x14ac:dyDescent="0.2">
      <c r="A367" s="235" t="s">
        <v>192</v>
      </c>
      <c r="B367" s="236" t="s">
        <v>60</v>
      </c>
      <c r="C367" s="236" t="s">
        <v>193</v>
      </c>
      <c r="D367" s="236" t="s">
        <v>194</v>
      </c>
      <c r="E367" s="236" t="s">
        <v>195</v>
      </c>
      <c r="F367" s="236" t="s">
        <v>196</v>
      </c>
      <c r="G367" s="236" t="s">
        <v>197</v>
      </c>
      <c r="H367" s="236" t="s">
        <v>91</v>
      </c>
      <c r="I367" s="236" t="s">
        <v>198</v>
      </c>
    </row>
    <row r="368" spans="1:14" x14ac:dyDescent="0.2">
      <c r="A368" s="199"/>
      <c r="B368" s="233"/>
      <c r="C368" s="233"/>
      <c r="D368" s="199"/>
      <c r="E368" s="199"/>
      <c r="F368" s="234" t="s">
        <v>199</v>
      </c>
      <c r="G368" s="244"/>
      <c r="H368" s="245"/>
      <c r="I368" s="434"/>
    </row>
    <row r="369" spans="1:14" x14ac:dyDescent="0.2">
      <c r="A369" s="199"/>
      <c r="B369" s="233"/>
      <c r="C369" s="233"/>
      <c r="D369" s="199"/>
      <c r="E369" s="199"/>
      <c r="F369" s="199"/>
      <c r="G369" s="199"/>
      <c r="H369" s="199"/>
      <c r="I369" s="200"/>
    </row>
    <row r="370" spans="1:14" x14ac:dyDescent="0.2">
      <c r="A370" s="246" t="s">
        <v>200</v>
      </c>
      <c r="B370" s="247" t="s">
        <v>60</v>
      </c>
      <c r="C370" s="236" t="s">
        <v>201</v>
      </c>
      <c r="D370" s="247" t="s">
        <v>202</v>
      </c>
      <c r="E370" s="1271" t="s">
        <v>91</v>
      </c>
      <c r="F370" s="1272"/>
      <c r="G370" s="1273"/>
      <c r="H370" s="1276" t="s">
        <v>198</v>
      </c>
      <c r="I370" s="1275"/>
    </row>
    <row r="371" spans="1:14" x14ac:dyDescent="0.2">
      <c r="A371" s="199"/>
      <c r="B371" s="233"/>
      <c r="C371" s="233"/>
      <c r="D371" s="199"/>
      <c r="E371" s="199"/>
      <c r="F371" s="234" t="s">
        <v>203</v>
      </c>
      <c r="G371" s="244"/>
      <c r="H371" s="245"/>
      <c r="I371" s="434"/>
    </row>
    <row r="372" spans="1:14" x14ac:dyDescent="0.2">
      <c r="A372" s="199"/>
      <c r="B372" s="233"/>
      <c r="C372" s="233"/>
      <c r="D372" s="199"/>
      <c r="E372" s="199"/>
      <c r="F372" s="199"/>
      <c r="G372" s="199"/>
      <c r="H372" s="199"/>
      <c r="I372" s="200"/>
    </row>
    <row r="373" spans="1:14" x14ac:dyDescent="0.2">
      <c r="A373" s="250" t="s">
        <v>204</v>
      </c>
      <c r="B373" s="247" t="s">
        <v>60</v>
      </c>
      <c r="C373" s="792" t="s">
        <v>17</v>
      </c>
      <c r="D373" s="247" t="s">
        <v>205</v>
      </c>
      <c r="E373" s="247" t="s">
        <v>206</v>
      </c>
      <c r="F373" s="247" t="s">
        <v>207</v>
      </c>
      <c r="G373" s="1276" t="s">
        <v>96</v>
      </c>
      <c r="H373" s="1274"/>
      <c r="I373" s="1275"/>
    </row>
    <row r="374" spans="1:14" x14ac:dyDescent="0.2">
      <c r="A374" s="248"/>
      <c r="B374" s="238"/>
      <c r="C374" s="243"/>
      <c r="D374" s="239"/>
      <c r="E374" s="251"/>
      <c r="F374" s="251"/>
      <c r="G374" s="244"/>
      <c r="H374" s="245"/>
      <c r="I374" s="249"/>
    </row>
    <row r="375" spans="1:14" x14ac:dyDescent="0.2">
      <c r="A375" s="199"/>
      <c r="B375" s="233"/>
      <c r="C375" s="199"/>
      <c r="D375" s="199"/>
      <c r="E375" s="199"/>
      <c r="F375" s="234" t="s">
        <v>1170</v>
      </c>
      <c r="G375" s="244"/>
      <c r="H375" s="245"/>
      <c r="I375" s="434">
        <f>SUM(I374)</f>
        <v>0</v>
      </c>
    </row>
    <row r="376" spans="1:14" x14ac:dyDescent="0.2">
      <c r="A376" s="199"/>
      <c r="B376" s="233"/>
      <c r="C376" s="199"/>
      <c r="D376" s="199"/>
      <c r="E376" s="199"/>
      <c r="F376" s="199"/>
      <c r="G376" s="199"/>
      <c r="H376" s="199"/>
      <c r="I376" s="200"/>
    </row>
    <row r="377" spans="1:14" x14ac:dyDescent="0.2">
      <c r="A377" s="252"/>
      <c r="B377" s="253"/>
      <c r="C377" s="254"/>
      <c r="D377" s="254"/>
      <c r="E377" s="254"/>
      <c r="F377" s="255" t="s">
        <v>208</v>
      </c>
      <c r="G377" s="435"/>
      <c r="H377" s="254"/>
      <c r="I377" s="634">
        <f>+I368+I371+I375</f>
        <v>0</v>
      </c>
    </row>
    <row r="378" spans="1:14" x14ac:dyDescent="0.2">
      <c r="A378" s="256"/>
      <c r="B378" s="257"/>
      <c r="C378" s="258"/>
      <c r="D378" s="258"/>
      <c r="E378" s="258"/>
      <c r="F378" s="259" t="s">
        <v>209</v>
      </c>
      <c r="G378" s="260"/>
      <c r="H378" s="258"/>
      <c r="I378" s="635">
        <v>1</v>
      </c>
    </row>
    <row r="379" spans="1:14" x14ac:dyDescent="0.2">
      <c r="A379" s="237"/>
      <c r="B379" s="261"/>
      <c r="C379" s="245"/>
      <c r="D379" s="245"/>
      <c r="E379" s="245"/>
      <c r="F379" s="262" t="s">
        <v>232</v>
      </c>
      <c r="G379" s="244"/>
      <c r="H379" s="245"/>
      <c r="I379" s="633">
        <f>ROUND(I377/I378,2)</f>
        <v>0</v>
      </c>
    </row>
    <row r="380" spans="1:14" x14ac:dyDescent="0.2">
      <c r="A380" s="793"/>
      <c r="B380" s="233"/>
      <c r="C380" s="199"/>
      <c r="D380" s="199"/>
      <c r="E380" s="199"/>
      <c r="F380" s="263"/>
      <c r="G380" s="199"/>
      <c r="H380" s="199"/>
      <c r="I380" s="264"/>
    </row>
    <row r="381" spans="1:14" x14ac:dyDescent="0.2">
      <c r="A381" s="246" t="s">
        <v>210</v>
      </c>
      <c r="B381" s="247" t="s">
        <v>60</v>
      </c>
      <c r="C381" s="247" t="s">
        <v>211</v>
      </c>
      <c r="D381" s="247" t="s">
        <v>233</v>
      </c>
      <c r="E381" s="1276" t="s">
        <v>91</v>
      </c>
      <c r="F381" s="1274"/>
      <c r="G381" s="1275"/>
      <c r="H381" s="1276" t="s">
        <v>64</v>
      </c>
      <c r="I381" s="1275"/>
    </row>
    <row r="382" spans="1:14" x14ac:dyDescent="0.2">
      <c r="A382" s="199"/>
      <c r="B382" s="233"/>
      <c r="C382" s="199"/>
      <c r="D382" s="199"/>
      <c r="E382" s="199"/>
      <c r="F382" s="234" t="s">
        <v>212</v>
      </c>
      <c r="G382" s="244"/>
      <c r="H382" s="245"/>
      <c r="I382" s="434"/>
    </row>
    <row r="383" spans="1:14" x14ac:dyDescent="0.2">
      <c r="A383" s="199"/>
      <c r="B383" s="233"/>
      <c r="C383" s="199"/>
      <c r="D383" s="199"/>
      <c r="E383" s="199"/>
      <c r="F383" s="199"/>
      <c r="G383" s="269"/>
      <c r="H383" s="199"/>
      <c r="I383" s="200"/>
    </row>
    <row r="384" spans="1:14" x14ac:dyDescent="0.2">
      <c r="A384" s="270" t="s">
        <v>213</v>
      </c>
      <c r="B384" s="247" t="s">
        <v>60</v>
      </c>
      <c r="C384" s="247" t="s">
        <v>211</v>
      </c>
      <c r="D384" s="792" t="s">
        <v>233</v>
      </c>
      <c r="E384" s="1271" t="s">
        <v>91</v>
      </c>
      <c r="F384" s="1272"/>
      <c r="G384" s="1273"/>
      <c r="H384" s="1276" t="s">
        <v>64</v>
      </c>
      <c r="I384" s="1275"/>
      <c r="L384" s="22"/>
      <c r="M384" s="22"/>
      <c r="N384" s="22"/>
    </row>
    <row r="385" spans="1:14" ht="33.75" x14ac:dyDescent="0.2">
      <c r="A385" s="248" t="str">
        <f>VLOOKUP(B385,'DER 10-18'!$A:$E,2,FALSE)</f>
        <v>Aço CA-50, fornecimento, dobragem e colocação nas formas (preço médio das bitolas)</v>
      </c>
      <c r="B385" s="238">
        <v>40376</v>
      </c>
      <c r="C385" s="238" t="str">
        <f>VLOOKUP(B385,'DER 10-18'!$A:$E,3,FALSE)</f>
        <v>kg</v>
      </c>
      <c r="D385" s="243">
        <f>ROUND(VLOOKUP(B385,'DER 10-18'!$A:$F,6,FALSE)/1.2332,2)</f>
        <v>7.89</v>
      </c>
      <c r="E385" s="791"/>
      <c r="F385" s="792"/>
      <c r="G385" s="300">
        <v>26.15</v>
      </c>
      <c r="H385" s="303"/>
      <c r="I385" s="268">
        <f>ROUND(D385*G385,2)</f>
        <v>206.32</v>
      </c>
      <c r="L385" s="22"/>
      <c r="M385" s="22"/>
      <c r="N385" s="22"/>
    </row>
    <row r="386" spans="1:14" ht="22.5" x14ac:dyDescent="0.2">
      <c r="A386" s="248" t="str">
        <f>VLOOKUP(B386,'DER 10-18'!$A:$E,2,FALSE)</f>
        <v>Concreto estrutural fck = 30,0 MPa, tudo incluído</v>
      </c>
      <c r="B386" s="238">
        <v>40364</v>
      </c>
      <c r="C386" s="238" t="str">
        <f>VLOOKUP(B386,'DER 10-18'!$A:$E,3,FALSE)</f>
        <v>M3</v>
      </c>
      <c r="D386" s="243">
        <f>ROUND(VLOOKUP(B386,'DER 10-18'!$A:$F,6,FALSE)/1.2332,2)</f>
        <v>574.62</v>
      </c>
      <c r="E386" s="791"/>
      <c r="F386" s="792"/>
      <c r="G386" s="300">
        <v>0.74</v>
      </c>
      <c r="H386" s="303"/>
      <c r="I386" s="268">
        <f>ROUND(D386*G386,2)</f>
        <v>425.22</v>
      </c>
      <c r="L386" s="22"/>
      <c r="M386" s="22"/>
      <c r="N386" s="22"/>
    </row>
    <row r="387" spans="1:14" ht="27" customHeight="1" x14ac:dyDescent="0.2">
      <c r="A387" s="248" t="str">
        <f>VLOOKUP(B387,'DER 10-18'!$A:$E,2,FALSE)</f>
        <v>Reaterro com areia, tudo incluído</v>
      </c>
      <c r="B387" s="238">
        <v>40304</v>
      </c>
      <c r="C387" s="238" t="str">
        <f>VLOOKUP(B387,'DER 10-18'!$A:$E,3,FALSE)</f>
        <v>M3</v>
      </c>
      <c r="D387" s="243">
        <f>ROUND(VLOOKUP(B387,'DER 10-18'!$A:$F,6,FALSE)/1.2332,2)</f>
        <v>66.959999999999994</v>
      </c>
      <c r="E387" s="791"/>
      <c r="F387" s="792"/>
      <c r="G387" s="300">
        <v>1.33</v>
      </c>
      <c r="H387" s="303"/>
      <c r="I387" s="268">
        <f>ROUND(D387*G387,2)</f>
        <v>89.06</v>
      </c>
      <c r="L387" s="22"/>
      <c r="M387" s="22"/>
      <c r="N387" s="22"/>
    </row>
    <row r="388" spans="1:14" ht="45" x14ac:dyDescent="0.2">
      <c r="A388" s="248" t="str">
        <f>VLOOKUP(B388,'DER 10-18'!$A:$E,2,FALSE)</f>
        <v>Formas planas de madeira com 04 (quatro) reaproveitamentos, inclusive fornecimento e transporte das madeiras</v>
      </c>
      <c r="B388" s="238">
        <v>40313</v>
      </c>
      <c r="C388" s="238" t="str">
        <f>VLOOKUP(B388,'DER 10-18'!$A:$E,3,FALSE)</f>
        <v>M2</v>
      </c>
      <c r="D388" s="243">
        <f>ROUND(VLOOKUP(B388,'DER 10-18'!$A:$F,6,FALSE)/1.2332,2)</f>
        <v>64.180000000000007</v>
      </c>
      <c r="E388" s="791"/>
      <c r="F388" s="792"/>
      <c r="G388" s="300">
        <v>0.4</v>
      </c>
      <c r="H388" s="303"/>
      <c r="I388" s="268">
        <f>ROUND(D388*G388,2)</f>
        <v>25.67</v>
      </c>
      <c r="L388" s="22"/>
      <c r="M388" s="22"/>
      <c r="N388" s="22"/>
    </row>
    <row r="389" spans="1:14" x14ac:dyDescent="0.2">
      <c r="A389" s="201"/>
      <c r="B389" s="271"/>
      <c r="C389" s="201"/>
      <c r="D389" s="201"/>
      <c r="E389" s="201"/>
      <c r="F389" s="272" t="s">
        <v>214</v>
      </c>
      <c r="G389" s="260"/>
      <c r="H389" s="273"/>
      <c r="I389" s="436">
        <f>SUM(I385:I388)</f>
        <v>746.27</v>
      </c>
    </row>
    <row r="390" spans="1:14" x14ac:dyDescent="0.2">
      <c r="A390" s="201"/>
      <c r="B390" s="271"/>
      <c r="C390" s="201"/>
      <c r="D390" s="201"/>
      <c r="E390" s="201"/>
      <c r="F390" s="201"/>
      <c r="G390" s="201"/>
      <c r="H390" s="201"/>
      <c r="I390" s="201"/>
    </row>
    <row r="391" spans="1:14" x14ac:dyDescent="0.2">
      <c r="A391" s="274" t="s">
        <v>215</v>
      </c>
      <c r="B391" s="275" t="s">
        <v>60</v>
      </c>
      <c r="C391" s="275" t="s">
        <v>211</v>
      </c>
      <c r="D391" s="275" t="s">
        <v>216</v>
      </c>
      <c r="E391" s="275" t="s">
        <v>217</v>
      </c>
      <c r="F391" s="275" t="s">
        <v>218</v>
      </c>
      <c r="G391" s="275" t="s">
        <v>96</v>
      </c>
      <c r="H391" s="275" t="s">
        <v>91</v>
      </c>
      <c r="I391" s="275" t="s">
        <v>219</v>
      </c>
    </row>
    <row r="392" spans="1:14" x14ac:dyDescent="0.2">
      <c r="A392" s="248"/>
      <c r="B392" s="238"/>
      <c r="C392" s="238"/>
      <c r="D392" s="276"/>
      <c r="E392" s="277"/>
      <c r="F392" s="277"/>
      <c r="G392" s="243"/>
      <c r="H392" s="278"/>
      <c r="I392" s="243"/>
      <c r="K392" s="375"/>
    </row>
    <row r="393" spans="1:14" x14ac:dyDescent="0.2">
      <c r="A393" s="201"/>
      <c r="B393" s="271"/>
      <c r="C393" s="201"/>
      <c r="D393" s="201"/>
      <c r="E393" s="201"/>
      <c r="F393" s="272" t="s">
        <v>220</v>
      </c>
      <c r="G393" s="244"/>
      <c r="H393" s="279"/>
      <c r="I393" s="438">
        <f>SUM(I392:I392)</f>
        <v>0</v>
      </c>
    </row>
    <row r="394" spans="1:14" x14ac:dyDescent="0.2">
      <c r="A394" s="201"/>
      <c r="B394" s="271"/>
      <c r="C394" s="201"/>
      <c r="D394" s="201"/>
      <c r="E394" s="201"/>
      <c r="F394" s="201"/>
      <c r="G394" s="201"/>
      <c r="H394" s="201"/>
      <c r="I394" s="202"/>
    </row>
    <row r="395" spans="1:14" x14ac:dyDescent="0.2">
      <c r="A395" s="280"/>
      <c r="B395" s="281"/>
      <c r="C395" s="282"/>
      <c r="D395" s="282"/>
      <c r="E395" s="282"/>
      <c r="F395" s="283" t="s">
        <v>221</v>
      </c>
      <c r="G395" s="280"/>
      <c r="H395" s="254"/>
      <c r="I395" s="634">
        <f>+I379+I382+I389+I393</f>
        <v>746.27</v>
      </c>
    </row>
    <row r="396" spans="1:14" x14ac:dyDescent="0.2">
      <c r="A396" s="260"/>
      <c r="B396" s="284"/>
      <c r="C396" s="273"/>
      <c r="D396" s="273"/>
      <c r="E396" s="273"/>
      <c r="F396" s="285" t="str">
        <f>CONCATENATE($H$3," ",$I$3)</f>
        <v>BDI: 23,32</v>
      </c>
      <c r="G396" s="439"/>
      <c r="H396" s="258"/>
      <c r="I396" s="635">
        <f>+ROUND(I395*$I$4,2)</f>
        <v>174.03</v>
      </c>
    </row>
    <row r="397" spans="1:14" x14ac:dyDescent="0.2">
      <c r="A397" s="244"/>
      <c r="B397" s="286"/>
      <c r="C397" s="279"/>
      <c r="D397" s="279"/>
      <c r="E397" s="279"/>
      <c r="F397" s="287" t="s">
        <v>222</v>
      </c>
      <c r="G397" s="440"/>
      <c r="H397" s="245"/>
      <c r="I397" s="1017">
        <f>+I395+I396</f>
        <v>920.3</v>
      </c>
    </row>
    <row r="398" spans="1:14" x14ac:dyDescent="0.2">
      <c r="A398" s="1277" t="s">
        <v>229</v>
      </c>
      <c r="B398" s="1277"/>
      <c r="C398" s="1277"/>
      <c r="D398" s="1277"/>
      <c r="E398" s="1277"/>
      <c r="F398" s="1277"/>
      <c r="G398" s="1277"/>
      <c r="H398" s="1277"/>
      <c r="I398" s="1277"/>
    </row>
    <row r="399" spans="1:14" x14ac:dyDescent="0.2">
      <c r="A399" s="232" t="str">
        <f>$A$2</f>
        <v>Tabela Referencial de Preços - DER-ES - sem desoneração</v>
      </c>
      <c r="B399" s="233"/>
      <c r="C399" s="199"/>
      <c r="D399" s="199"/>
      <c r="E399" s="199"/>
      <c r="F399" s="199"/>
      <c r="G399" s="199"/>
      <c r="H399" s="199"/>
      <c r="I399" s="234" t="str">
        <f>$I$2</f>
        <v>Data Base: Outubro/2018</v>
      </c>
    </row>
    <row r="400" spans="1:14" ht="14.25" customHeight="1" x14ac:dyDescent="0.2">
      <c r="A400" s="1278" t="str">
        <f>+CONCATENATE("Serviço: ",J400," ",L400)</f>
        <v>Serviço: LG-011 Envelopamento de BDTC diâmetro 1,20 m</v>
      </c>
      <c r="B400" s="1278"/>
      <c r="C400" s="1278"/>
      <c r="D400" s="1278"/>
      <c r="E400" s="1278"/>
      <c r="F400" s="1278"/>
      <c r="G400" s="1278"/>
      <c r="H400" s="1278"/>
      <c r="I400" s="1278" t="str">
        <f>CONCATENATE("Unidade: ", M400)</f>
        <v>Unidade: m</v>
      </c>
      <c r="J400" s="373" t="s">
        <v>1509</v>
      </c>
      <c r="K400" s="22">
        <f>VLOOKUP("Preço Unitário Total",F401:I432,4,FALSE)</f>
        <v>1024.6400000000001</v>
      </c>
      <c r="L400" s="790" t="s">
        <v>1512</v>
      </c>
      <c r="M400" s="419" t="s">
        <v>62</v>
      </c>
    </row>
    <row r="401" spans="1:9" x14ac:dyDescent="0.2">
      <c r="A401" s="1279"/>
      <c r="B401" s="1279"/>
      <c r="C401" s="1279"/>
      <c r="D401" s="1279"/>
      <c r="E401" s="1279"/>
      <c r="F401" s="1279"/>
      <c r="G401" s="1279"/>
      <c r="H401" s="1279"/>
      <c r="I401" s="1279"/>
    </row>
    <row r="402" spans="1:9" ht="22.5" x14ac:dyDescent="0.2">
      <c r="A402" s="235" t="s">
        <v>192</v>
      </c>
      <c r="B402" s="236" t="s">
        <v>60</v>
      </c>
      <c r="C402" s="236" t="s">
        <v>193</v>
      </c>
      <c r="D402" s="236" t="s">
        <v>194</v>
      </c>
      <c r="E402" s="236" t="s">
        <v>195</v>
      </c>
      <c r="F402" s="236" t="s">
        <v>196</v>
      </c>
      <c r="G402" s="236" t="s">
        <v>197</v>
      </c>
      <c r="H402" s="236" t="s">
        <v>91</v>
      </c>
      <c r="I402" s="236" t="s">
        <v>198</v>
      </c>
    </row>
    <row r="403" spans="1:9" x14ac:dyDescent="0.2">
      <c r="A403" s="199"/>
      <c r="B403" s="233"/>
      <c r="C403" s="233"/>
      <c r="D403" s="199"/>
      <c r="E403" s="199"/>
      <c r="F403" s="234" t="s">
        <v>199</v>
      </c>
      <c r="G403" s="244"/>
      <c r="H403" s="245"/>
      <c r="I403" s="434"/>
    </row>
    <row r="404" spans="1:9" x14ac:dyDescent="0.2">
      <c r="A404" s="199"/>
      <c r="B404" s="233"/>
      <c r="C404" s="233"/>
      <c r="D404" s="199"/>
      <c r="E404" s="199"/>
      <c r="F404" s="199"/>
      <c r="G404" s="199"/>
      <c r="H404" s="199"/>
      <c r="I404" s="200"/>
    </row>
    <row r="405" spans="1:9" x14ac:dyDescent="0.2">
      <c r="A405" s="246" t="s">
        <v>200</v>
      </c>
      <c r="B405" s="247" t="s">
        <v>60</v>
      </c>
      <c r="C405" s="236" t="s">
        <v>201</v>
      </c>
      <c r="D405" s="247" t="s">
        <v>202</v>
      </c>
      <c r="E405" s="1271" t="s">
        <v>91</v>
      </c>
      <c r="F405" s="1272"/>
      <c r="G405" s="1273"/>
      <c r="H405" s="1276" t="s">
        <v>198</v>
      </c>
      <c r="I405" s="1275"/>
    </row>
    <row r="406" spans="1:9" x14ac:dyDescent="0.2">
      <c r="A406" s="199"/>
      <c r="B406" s="233"/>
      <c r="C406" s="233"/>
      <c r="D406" s="199"/>
      <c r="E406" s="199"/>
      <c r="F406" s="234" t="s">
        <v>203</v>
      </c>
      <c r="G406" s="244"/>
      <c r="H406" s="245"/>
      <c r="I406" s="434"/>
    </row>
    <row r="407" spans="1:9" x14ac:dyDescent="0.2">
      <c r="A407" s="199"/>
      <c r="B407" s="233"/>
      <c r="C407" s="233"/>
      <c r="D407" s="199"/>
      <c r="E407" s="199"/>
      <c r="F407" s="199"/>
      <c r="G407" s="199"/>
      <c r="H407" s="199"/>
      <c r="I407" s="200"/>
    </row>
    <row r="408" spans="1:9" x14ac:dyDescent="0.2">
      <c r="A408" s="250" t="s">
        <v>204</v>
      </c>
      <c r="B408" s="247" t="s">
        <v>60</v>
      </c>
      <c r="C408" s="792" t="s">
        <v>17</v>
      </c>
      <c r="D408" s="247" t="s">
        <v>205</v>
      </c>
      <c r="E408" s="247" t="s">
        <v>206</v>
      </c>
      <c r="F408" s="247" t="s">
        <v>207</v>
      </c>
      <c r="G408" s="1276" t="s">
        <v>96</v>
      </c>
      <c r="H408" s="1274"/>
      <c r="I408" s="1275"/>
    </row>
    <row r="409" spans="1:9" x14ac:dyDescent="0.2">
      <c r="A409" s="248"/>
      <c r="B409" s="238"/>
      <c r="C409" s="243"/>
      <c r="D409" s="239"/>
      <c r="E409" s="251"/>
      <c r="F409" s="251"/>
      <c r="G409" s="244"/>
      <c r="H409" s="245"/>
      <c r="I409" s="249"/>
    </row>
    <row r="410" spans="1:9" x14ac:dyDescent="0.2">
      <c r="A410" s="199"/>
      <c r="B410" s="233"/>
      <c r="C410" s="199"/>
      <c r="D410" s="199"/>
      <c r="E410" s="199"/>
      <c r="F410" s="234" t="s">
        <v>1170</v>
      </c>
      <c r="G410" s="244"/>
      <c r="H410" s="245"/>
      <c r="I410" s="434">
        <f>SUM(I409)</f>
        <v>0</v>
      </c>
    </row>
    <row r="411" spans="1:9" x14ac:dyDescent="0.2">
      <c r="A411" s="199"/>
      <c r="B411" s="233"/>
      <c r="C411" s="199"/>
      <c r="D411" s="199"/>
      <c r="E411" s="199"/>
      <c r="F411" s="199"/>
      <c r="G411" s="199"/>
      <c r="H411" s="199"/>
      <c r="I411" s="200"/>
    </row>
    <row r="412" spans="1:9" x14ac:dyDescent="0.2">
      <c r="A412" s="252"/>
      <c r="B412" s="253"/>
      <c r="C412" s="254"/>
      <c r="D412" s="254"/>
      <c r="E412" s="254"/>
      <c r="F412" s="255" t="s">
        <v>208</v>
      </c>
      <c r="G412" s="435"/>
      <c r="H412" s="254"/>
      <c r="I412" s="634">
        <f>+I403+I406+I410</f>
        <v>0</v>
      </c>
    </row>
    <row r="413" spans="1:9" x14ac:dyDescent="0.2">
      <c r="A413" s="256"/>
      <c r="B413" s="257"/>
      <c r="C413" s="258"/>
      <c r="D413" s="258"/>
      <c r="E413" s="258"/>
      <c r="F413" s="259" t="s">
        <v>209</v>
      </c>
      <c r="G413" s="260"/>
      <c r="H413" s="258"/>
      <c r="I413" s="635">
        <v>1</v>
      </c>
    </row>
    <row r="414" spans="1:9" x14ac:dyDescent="0.2">
      <c r="A414" s="237"/>
      <c r="B414" s="261"/>
      <c r="C414" s="245"/>
      <c r="D414" s="245"/>
      <c r="E414" s="245"/>
      <c r="F414" s="262" t="s">
        <v>232</v>
      </c>
      <c r="G414" s="244"/>
      <c r="H414" s="245"/>
      <c r="I414" s="633">
        <f>ROUND(I412/I413,2)</f>
        <v>0</v>
      </c>
    </row>
    <row r="415" spans="1:9" x14ac:dyDescent="0.2">
      <c r="A415" s="793"/>
      <c r="B415" s="233"/>
      <c r="C415" s="199"/>
      <c r="D415" s="199"/>
      <c r="E415" s="199"/>
      <c r="F415" s="263"/>
      <c r="G415" s="199"/>
      <c r="H415" s="199"/>
      <c r="I415" s="264"/>
    </row>
    <row r="416" spans="1:9" x14ac:dyDescent="0.2">
      <c r="A416" s="246" t="s">
        <v>210</v>
      </c>
      <c r="B416" s="247" t="s">
        <v>60</v>
      </c>
      <c r="C416" s="247" t="s">
        <v>211</v>
      </c>
      <c r="D416" s="247" t="s">
        <v>233</v>
      </c>
      <c r="E416" s="1276" t="s">
        <v>91</v>
      </c>
      <c r="F416" s="1274"/>
      <c r="G416" s="1275"/>
      <c r="H416" s="1276" t="s">
        <v>64</v>
      </c>
      <c r="I416" s="1275"/>
    </row>
    <row r="417" spans="1:14" x14ac:dyDescent="0.2">
      <c r="A417" s="199"/>
      <c r="B417" s="233"/>
      <c r="C417" s="199"/>
      <c r="D417" s="199"/>
      <c r="E417" s="199"/>
      <c r="F417" s="234" t="s">
        <v>212</v>
      </c>
      <c r="G417" s="244"/>
      <c r="H417" s="245"/>
      <c r="I417" s="434"/>
    </row>
    <row r="418" spans="1:14" x14ac:dyDescent="0.2">
      <c r="A418" s="199"/>
      <c r="B418" s="233"/>
      <c r="C418" s="199"/>
      <c r="D418" s="199"/>
      <c r="E418" s="199"/>
      <c r="F418" s="199"/>
      <c r="G418" s="269"/>
      <c r="H418" s="199"/>
      <c r="I418" s="200"/>
    </row>
    <row r="419" spans="1:14" x14ac:dyDescent="0.2">
      <c r="A419" s="270" t="s">
        <v>213</v>
      </c>
      <c r="B419" s="247" t="s">
        <v>60</v>
      </c>
      <c r="C419" s="247" t="s">
        <v>211</v>
      </c>
      <c r="D419" s="792" t="s">
        <v>233</v>
      </c>
      <c r="E419" s="1271" t="s">
        <v>91</v>
      </c>
      <c r="F419" s="1272"/>
      <c r="G419" s="1273"/>
      <c r="H419" s="1276" t="s">
        <v>64</v>
      </c>
      <c r="I419" s="1275"/>
      <c r="L419" s="22"/>
      <c r="M419" s="22"/>
      <c r="N419" s="22"/>
    </row>
    <row r="420" spans="1:14" ht="33.75" customHeight="1" x14ac:dyDescent="0.2">
      <c r="A420" s="248" t="str">
        <f>VLOOKUP(B420,'DER 10-18'!$A:$E,2,FALSE)</f>
        <v>Aço CA-50, fornecimento, dobragem e colocação nas formas (preço médio das bitolas)</v>
      </c>
      <c r="B420" s="238">
        <v>40376</v>
      </c>
      <c r="C420" s="238" t="str">
        <f>VLOOKUP(B420,'DER 10-18'!$A:$E,3,FALSE)</f>
        <v>kg</v>
      </c>
      <c r="D420" s="243">
        <f>ROUND(VLOOKUP(B420,'DER 10-18'!$A:$F,6,FALSE)/1.2332,2)</f>
        <v>7.89</v>
      </c>
      <c r="E420" s="791"/>
      <c r="F420" s="792"/>
      <c r="G420" s="300">
        <v>28.67</v>
      </c>
      <c r="H420" s="303"/>
      <c r="I420" s="268">
        <f t="shared" ref="I420:I423" si="11">ROUND(D420*G420,2)</f>
        <v>226.21</v>
      </c>
      <c r="L420" s="22"/>
      <c r="M420" s="22"/>
      <c r="N420" s="22"/>
    </row>
    <row r="421" spans="1:14" ht="22.5" x14ac:dyDescent="0.2">
      <c r="A421" s="248" t="str">
        <f>VLOOKUP(B421,'DER 10-18'!$A:$E,2,FALSE)</f>
        <v>Concreto estrutural fck = 30,0 MPa, tudo incluído</v>
      </c>
      <c r="B421" s="238">
        <v>40364</v>
      </c>
      <c r="C421" s="238" t="str">
        <f>VLOOKUP(B421,'DER 10-18'!$A:$E,3,FALSE)</f>
        <v>M3</v>
      </c>
      <c r="D421" s="243">
        <f>ROUND(VLOOKUP(B421,'DER 10-18'!$A:$F,6,FALSE)/1.2332,2)</f>
        <v>574.62</v>
      </c>
      <c r="E421" s="791"/>
      <c r="F421" s="792"/>
      <c r="G421" s="300">
        <v>0.82</v>
      </c>
      <c r="H421" s="303"/>
      <c r="I421" s="268">
        <f t="shared" si="11"/>
        <v>471.19</v>
      </c>
      <c r="L421" s="22"/>
      <c r="M421" s="22"/>
      <c r="N421" s="22"/>
    </row>
    <row r="422" spans="1:14" ht="27" customHeight="1" x14ac:dyDescent="0.2">
      <c r="A422" s="248" t="str">
        <f>VLOOKUP(B422,'DER 10-18'!$A:$E,2,FALSE)</f>
        <v>Reaterro com areia, tudo incluído</v>
      </c>
      <c r="B422" s="238">
        <v>40304</v>
      </c>
      <c r="C422" s="238" t="str">
        <f>VLOOKUP(B422,'DER 10-18'!$A:$E,3,FALSE)</f>
        <v>M3</v>
      </c>
      <c r="D422" s="243">
        <f>ROUND(VLOOKUP(B422,'DER 10-18'!$A:$F,6,FALSE)/1.2332,2)</f>
        <v>66.959999999999994</v>
      </c>
      <c r="E422" s="791"/>
      <c r="F422" s="792"/>
      <c r="G422" s="300">
        <v>1.61</v>
      </c>
      <c r="H422" s="303"/>
      <c r="I422" s="268">
        <f t="shared" si="11"/>
        <v>107.81</v>
      </c>
      <c r="L422" s="22"/>
      <c r="M422" s="22"/>
      <c r="N422" s="22"/>
    </row>
    <row r="423" spans="1:14" ht="45" x14ac:dyDescent="0.2">
      <c r="A423" s="248" t="str">
        <f>VLOOKUP(B423,'DER 10-18'!$A:$E,2,FALSE)</f>
        <v>Formas planas de madeira com 04 (quatro) reaproveitamentos, inclusive fornecimento e transporte das madeiras</v>
      </c>
      <c r="B423" s="238">
        <v>40313</v>
      </c>
      <c r="C423" s="238" t="str">
        <f>VLOOKUP(B423,'DER 10-18'!$A:$E,3,FALSE)</f>
        <v>M2</v>
      </c>
      <c r="D423" s="243">
        <f>ROUND(VLOOKUP(B423,'DER 10-18'!$A:$F,6,FALSE)/1.2332,2)</f>
        <v>64.180000000000007</v>
      </c>
      <c r="E423" s="791"/>
      <c r="F423" s="792"/>
      <c r="G423" s="300">
        <v>0.4</v>
      </c>
      <c r="H423" s="303"/>
      <c r="I423" s="268">
        <f t="shared" si="11"/>
        <v>25.67</v>
      </c>
      <c r="L423" s="22"/>
      <c r="M423" s="22"/>
      <c r="N423" s="22"/>
    </row>
    <row r="424" spans="1:14" x14ac:dyDescent="0.2">
      <c r="A424" s="201"/>
      <c r="B424" s="271"/>
      <c r="C424" s="201"/>
      <c r="D424" s="201"/>
      <c r="E424" s="201"/>
      <c r="F424" s="272" t="s">
        <v>214</v>
      </c>
      <c r="G424" s="260"/>
      <c r="H424" s="273"/>
      <c r="I424" s="436">
        <f>SUM(I420:I423)</f>
        <v>830.88</v>
      </c>
    </row>
    <row r="425" spans="1:14" x14ac:dyDescent="0.2">
      <c r="A425" s="201"/>
      <c r="B425" s="271"/>
      <c r="C425" s="201"/>
      <c r="D425" s="201"/>
      <c r="E425" s="201"/>
      <c r="F425" s="201"/>
      <c r="G425" s="201"/>
      <c r="H425" s="201"/>
      <c r="I425" s="201"/>
    </row>
    <row r="426" spans="1:14" x14ac:dyDescent="0.2">
      <c r="A426" s="274" t="s">
        <v>215</v>
      </c>
      <c r="B426" s="275" t="s">
        <v>60</v>
      </c>
      <c r="C426" s="275" t="s">
        <v>211</v>
      </c>
      <c r="D426" s="275" t="s">
        <v>216</v>
      </c>
      <c r="E426" s="275" t="s">
        <v>217</v>
      </c>
      <c r="F426" s="275" t="s">
        <v>218</v>
      </c>
      <c r="G426" s="275" t="s">
        <v>96</v>
      </c>
      <c r="H426" s="275" t="s">
        <v>91</v>
      </c>
      <c r="I426" s="275" t="s">
        <v>219</v>
      </c>
    </row>
    <row r="427" spans="1:14" x14ac:dyDescent="0.2">
      <c r="A427" s="248"/>
      <c r="B427" s="238"/>
      <c r="C427" s="238"/>
      <c r="D427" s="276"/>
      <c r="E427" s="277"/>
      <c r="F427" s="277"/>
      <c r="G427" s="243"/>
      <c r="H427" s="278"/>
      <c r="I427" s="243"/>
      <c r="K427" s="375"/>
    </row>
    <row r="428" spans="1:14" x14ac:dyDescent="0.2">
      <c r="A428" s="201"/>
      <c r="B428" s="271"/>
      <c r="C428" s="201"/>
      <c r="D428" s="201"/>
      <c r="E428" s="201"/>
      <c r="F428" s="272" t="s">
        <v>220</v>
      </c>
      <c r="G428" s="244"/>
      <c r="H428" s="279"/>
      <c r="I428" s="438">
        <f>SUM(I427:I427)</f>
        <v>0</v>
      </c>
    </row>
    <row r="429" spans="1:14" x14ac:dyDescent="0.2">
      <c r="A429" s="201"/>
      <c r="B429" s="271"/>
      <c r="C429" s="201"/>
      <c r="D429" s="201"/>
      <c r="E429" s="201"/>
      <c r="F429" s="201"/>
      <c r="G429" s="201"/>
      <c r="H429" s="201"/>
      <c r="I429" s="202"/>
    </row>
    <row r="430" spans="1:14" x14ac:dyDescent="0.2">
      <c r="A430" s="280"/>
      <c r="B430" s="281"/>
      <c r="C430" s="282"/>
      <c r="D430" s="282"/>
      <c r="E430" s="282"/>
      <c r="F430" s="283" t="s">
        <v>221</v>
      </c>
      <c r="G430" s="280"/>
      <c r="H430" s="254"/>
      <c r="I430" s="634">
        <f>+I414+I417+I424+I428</f>
        <v>830.88</v>
      </c>
    </row>
    <row r="431" spans="1:14" x14ac:dyDescent="0.2">
      <c r="A431" s="260"/>
      <c r="B431" s="284"/>
      <c r="C431" s="273"/>
      <c r="D431" s="273"/>
      <c r="E431" s="273"/>
      <c r="F431" s="285" t="str">
        <f>CONCATENATE($H$3," ",$I$3)</f>
        <v>BDI: 23,32</v>
      </c>
      <c r="G431" s="439"/>
      <c r="H431" s="258"/>
      <c r="I431" s="635">
        <f>+ROUND(I430*$I$4,2)</f>
        <v>193.76</v>
      </c>
    </row>
    <row r="432" spans="1:14" x14ac:dyDescent="0.2">
      <c r="A432" s="244"/>
      <c r="B432" s="286"/>
      <c r="C432" s="279"/>
      <c r="D432" s="279"/>
      <c r="E432" s="279"/>
      <c r="F432" s="287" t="s">
        <v>222</v>
      </c>
      <c r="G432" s="440"/>
      <c r="H432" s="245"/>
      <c r="I432" s="1017">
        <f>+I430+I431</f>
        <v>1024.6400000000001</v>
      </c>
    </row>
    <row r="433" spans="1:13" x14ac:dyDescent="0.2">
      <c r="A433" s="1277" t="s">
        <v>229</v>
      </c>
      <c r="B433" s="1277"/>
      <c r="C433" s="1277"/>
      <c r="D433" s="1277"/>
      <c r="E433" s="1277"/>
      <c r="F433" s="1277"/>
      <c r="G433" s="1277"/>
      <c r="H433" s="1277"/>
      <c r="I433" s="1277"/>
      <c r="M433" s="302"/>
    </row>
    <row r="434" spans="1:13" x14ac:dyDescent="0.2">
      <c r="A434" s="232" t="s">
        <v>230</v>
      </c>
      <c r="B434" s="233"/>
      <c r="C434" s="199"/>
      <c r="D434" s="199"/>
      <c r="E434" s="199"/>
      <c r="F434" s="199"/>
      <c r="G434" s="199"/>
      <c r="H434" s="199"/>
      <c r="I434" s="234" t="str">
        <f>$I$2</f>
        <v>Data Base: Outubro/2018</v>
      </c>
      <c r="M434" s="302"/>
    </row>
    <row r="435" spans="1:13" x14ac:dyDescent="0.2">
      <c r="A435" s="1278" t="str">
        <f>+CONCATENATE("Serviço: ",J435," ",L435)</f>
        <v>Serviço: LG-012 Descida d'agua para Cortes - DCD 02</v>
      </c>
      <c r="B435" s="1278"/>
      <c r="C435" s="1278"/>
      <c r="D435" s="1278"/>
      <c r="E435" s="1278"/>
      <c r="F435" s="1278"/>
      <c r="G435" s="1278"/>
      <c r="H435" s="1278"/>
      <c r="I435" s="1278" t="str">
        <f>CONCATENATE("Unidade: ", M435)</f>
        <v>Unidade: m</v>
      </c>
      <c r="J435" s="373" t="s">
        <v>1511</v>
      </c>
      <c r="K435" s="22">
        <f>VLOOKUP("Preço Unitário Total",F436:I657,4,FALSE)</f>
        <v>243.72</v>
      </c>
      <c r="L435" s="790" t="s">
        <v>1600</v>
      </c>
      <c r="M435" s="302" t="s">
        <v>62</v>
      </c>
    </row>
    <row r="436" spans="1:13" x14ac:dyDescent="0.2">
      <c r="A436" s="1279"/>
      <c r="B436" s="1279"/>
      <c r="C436" s="1279"/>
      <c r="D436" s="1279"/>
      <c r="E436" s="1279"/>
      <c r="F436" s="1279"/>
      <c r="G436" s="1279"/>
      <c r="H436" s="1279"/>
      <c r="I436" s="1279"/>
      <c r="M436" s="302"/>
    </row>
    <row r="437" spans="1:13" ht="22.5" x14ac:dyDescent="0.2">
      <c r="A437" s="235" t="s">
        <v>192</v>
      </c>
      <c r="B437" s="236" t="s">
        <v>60</v>
      </c>
      <c r="C437" s="236" t="s">
        <v>193</v>
      </c>
      <c r="D437" s="236" t="s">
        <v>194</v>
      </c>
      <c r="E437" s="236" t="s">
        <v>195</v>
      </c>
      <c r="F437" s="236" t="s">
        <v>196</v>
      </c>
      <c r="G437" s="236" t="s">
        <v>197</v>
      </c>
      <c r="H437" s="236" t="s">
        <v>91</v>
      </c>
      <c r="I437" s="236" t="s">
        <v>198</v>
      </c>
      <c r="J437" s="433"/>
      <c r="K437" s="433"/>
      <c r="L437" s="302"/>
      <c r="M437" s="302"/>
    </row>
    <row r="438" spans="1:13" x14ac:dyDescent="0.2">
      <c r="A438" s="199"/>
      <c r="B438" s="233"/>
      <c r="C438" s="233"/>
      <c r="D438" s="199"/>
      <c r="E438" s="199"/>
      <c r="F438" s="234" t="s">
        <v>199</v>
      </c>
      <c r="G438" s="244"/>
      <c r="H438" s="245"/>
      <c r="I438" s="434"/>
      <c r="J438" s="433"/>
      <c r="K438" s="433"/>
      <c r="L438" s="302"/>
      <c r="M438" s="302"/>
    </row>
    <row r="439" spans="1:13" x14ac:dyDescent="0.2">
      <c r="A439" s="199"/>
      <c r="B439" s="233"/>
      <c r="C439" s="233"/>
      <c r="D439" s="199"/>
      <c r="E439" s="199"/>
      <c r="F439" s="199"/>
      <c r="G439" s="199"/>
      <c r="H439" s="199"/>
      <c r="I439" s="200"/>
      <c r="J439" s="433"/>
      <c r="K439" s="433"/>
      <c r="L439" s="302"/>
      <c r="M439" s="302"/>
    </row>
    <row r="440" spans="1:13" x14ac:dyDescent="0.2">
      <c r="A440" s="246" t="s">
        <v>200</v>
      </c>
      <c r="B440" s="247" t="s">
        <v>60</v>
      </c>
      <c r="C440" s="236" t="s">
        <v>1242</v>
      </c>
      <c r="D440" s="247" t="s">
        <v>202</v>
      </c>
      <c r="E440" s="1271" t="s">
        <v>91</v>
      </c>
      <c r="F440" s="1272"/>
      <c r="G440" s="1273"/>
      <c r="H440" s="1276" t="s">
        <v>198</v>
      </c>
      <c r="I440" s="1275"/>
      <c r="J440" s="433"/>
      <c r="K440" s="433"/>
      <c r="L440" s="302"/>
      <c r="M440" s="302"/>
    </row>
    <row r="441" spans="1:13" x14ac:dyDescent="0.2">
      <c r="A441" s="248" t="str">
        <f>VLOOKUP(B441,[10]m.o.!$A:$G,2,FALSE)</f>
        <v>Encarregado de O.A.C.</v>
      </c>
      <c r="B441" s="238">
        <v>20060</v>
      </c>
      <c r="C441" s="243">
        <f>VLOOKUP(B441,m.o.!$A:$F,4,FALSE)</f>
        <v>2.2599999999999998</v>
      </c>
      <c r="D441" s="243">
        <f>VLOOKUP(B441,m.o.!$A:$G,7,FALSE)</f>
        <v>26.3</v>
      </c>
      <c r="E441" s="260"/>
      <c r="F441" s="258"/>
      <c r="G441" s="300">
        <v>0.5</v>
      </c>
      <c r="H441" s="244"/>
      <c r="I441" s="249">
        <f>TRUNC(D441*G441,2)</f>
        <v>13.15</v>
      </c>
      <c r="J441" s="433"/>
      <c r="K441" s="433"/>
      <c r="L441" s="302"/>
      <c r="M441" s="302"/>
    </row>
    <row r="442" spans="1:13" x14ac:dyDescent="0.2">
      <c r="A442" s="199"/>
      <c r="B442" s="233"/>
      <c r="C442" s="233"/>
      <c r="D442" s="199"/>
      <c r="E442" s="199"/>
      <c r="F442" s="234" t="s">
        <v>203</v>
      </c>
      <c r="G442" s="244"/>
      <c r="H442" s="245"/>
      <c r="I442" s="434">
        <f>SUM(I441:I441)</f>
        <v>13.15</v>
      </c>
      <c r="J442" s="433"/>
      <c r="K442" s="433"/>
      <c r="L442" s="302"/>
      <c r="M442" s="302"/>
    </row>
    <row r="443" spans="1:13" x14ac:dyDescent="0.2">
      <c r="A443" s="199"/>
      <c r="B443" s="233"/>
      <c r="C443" s="233"/>
      <c r="D443" s="199"/>
      <c r="E443" s="199"/>
      <c r="F443" s="199"/>
      <c r="G443" s="199"/>
      <c r="H443" s="199"/>
      <c r="I443" s="200"/>
      <c r="J443" s="433"/>
      <c r="K443" s="433"/>
      <c r="L443" s="302"/>
      <c r="M443" s="302"/>
    </row>
    <row r="444" spans="1:13" x14ac:dyDescent="0.2">
      <c r="A444" s="250" t="s">
        <v>204</v>
      </c>
      <c r="B444" s="247" t="s">
        <v>60</v>
      </c>
      <c r="C444" s="792" t="s">
        <v>17</v>
      </c>
      <c r="D444" s="247" t="s">
        <v>205</v>
      </c>
      <c r="E444" s="247" t="s">
        <v>206</v>
      </c>
      <c r="F444" s="247" t="s">
        <v>207</v>
      </c>
      <c r="G444" s="1276" t="s">
        <v>96</v>
      </c>
      <c r="H444" s="1274"/>
      <c r="I444" s="1275"/>
      <c r="J444" s="433"/>
      <c r="K444" s="433"/>
      <c r="L444" s="302"/>
      <c r="M444" s="302"/>
    </row>
    <row r="445" spans="1:13" x14ac:dyDescent="0.2">
      <c r="A445" s="199"/>
      <c r="B445" s="233"/>
      <c r="C445" s="199"/>
      <c r="D445" s="199"/>
      <c r="E445" s="199"/>
      <c r="F445" s="234" t="s">
        <v>1170</v>
      </c>
      <c r="G445" s="244"/>
      <c r="H445" s="245"/>
      <c r="I445" s="434"/>
      <c r="J445" s="433"/>
      <c r="K445" s="433"/>
      <c r="L445" s="302"/>
      <c r="M445" s="302"/>
    </row>
    <row r="446" spans="1:13" x14ac:dyDescent="0.2">
      <c r="A446" s="199"/>
      <c r="B446" s="233"/>
      <c r="C446" s="199"/>
      <c r="D446" s="199"/>
      <c r="E446" s="199"/>
      <c r="F446" s="199"/>
      <c r="G446" s="199"/>
      <c r="H446" s="199"/>
      <c r="I446" s="200"/>
      <c r="J446" s="433"/>
      <c r="K446" s="433"/>
      <c r="L446" s="302"/>
      <c r="M446" s="302"/>
    </row>
    <row r="447" spans="1:13" x14ac:dyDescent="0.2">
      <c r="A447" s="252"/>
      <c r="B447" s="253"/>
      <c r="C447" s="254"/>
      <c r="D447" s="254"/>
      <c r="E447" s="254"/>
      <c r="F447" s="255" t="s">
        <v>208</v>
      </c>
      <c r="G447" s="435"/>
      <c r="H447" s="254"/>
      <c r="I447" s="634">
        <f>+I438+I442+I445</f>
        <v>13.15</v>
      </c>
      <c r="J447" s="433"/>
      <c r="K447" s="433"/>
      <c r="L447" s="302"/>
      <c r="M447" s="302"/>
    </row>
    <row r="448" spans="1:13" x14ac:dyDescent="0.2">
      <c r="A448" s="256"/>
      <c r="B448" s="257"/>
      <c r="C448" s="258"/>
      <c r="D448" s="258"/>
      <c r="E448" s="258"/>
      <c r="F448" s="259" t="s">
        <v>209</v>
      </c>
      <c r="G448" s="260"/>
      <c r="H448" s="258"/>
      <c r="I448" s="635">
        <v>1</v>
      </c>
      <c r="J448" s="433"/>
      <c r="K448" s="433"/>
      <c r="L448" s="302"/>
      <c r="M448" s="302"/>
    </row>
    <row r="449" spans="1:13" x14ac:dyDescent="0.2">
      <c r="A449" s="237"/>
      <c r="B449" s="261"/>
      <c r="C449" s="245"/>
      <c r="D449" s="245"/>
      <c r="E449" s="245"/>
      <c r="F449" s="262" t="s">
        <v>232</v>
      </c>
      <c r="G449" s="244"/>
      <c r="H449" s="245"/>
      <c r="I449" s="633">
        <f>TRUNC(I447/I448,2)</f>
        <v>13.15</v>
      </c>
      <c r="J449" s="433"/>
      <c r="K449" s="433"/>
      <c r="L449" s="302"/>
      <c r="M449" s="302"/>
    </row>
    <row r="450" spans="1:13" x14ac:dyDescent="0.2">
      <c r="A450" s="793"/>
      <c r="B450" s="233"/>
      <c r="C450" s="199"/>
      <c r="D450" s="199"/>
      <c r="E450" s="199"/>
      <c r="F450" s="263"/>
      <c r="G450" s="199"/>
      <c r="H450" s="199"/>
      <c r="I450" s="264"/>
      <c r="J450" s="433"/>
      <c r="K450" s="433"/>
      <c r="L450" s="302"/>
      <c r="M450" s="302"/>
    </row>
    <row r="451" spans="1:13" x14ac:dyDescent="0.2">
      <c r="A451" s="246" t="s">
        <v>210</v>
      </c>
      <c r="B451" s="247" t="s">
        <v>60</v>
      </c>
      <c r="C451" s="247" t="s">
        <v>211</v>
      </c>
      <c r="D451" s="247" t="s">
        <v>233</v>
      </c>
      <c r="E451" s="1276" t="s">
        <v>91</v>
      </c>
      <c r="F451" s="1274"/>
      <c r="G451" s="1275"/>
      <c r="H451" s="1276" t="s">
        <v>198</v>
      </c>
      <c r="I451" s="1275"/>
      <c r="J451" s="433"/>
      <c r="K451" s="433"/>
      <c r="L451" s="302"/>
      <c r="M451" s="302"/>
    </row>
    <row r="452" spans="1:13" x14ac:dyDescent="0.2">
      <c r="A452" s="199"/>
      <c r="B452" s="233"/>
      <c r="C452" s="199"/>
      <c r="D452" s="199"/>
      <c r="E452" s="199"/>
      <c r="F452" s="234" t="s">
        <v>212</v>
      </c>
      <c r="G452" s="244"/>
      <c r="H452" s="245"/>
      <c r="I452" s="434"/>
      <c r="J452" s="433"/>
      <c r="K452" s="433"/>
      <c r="L452" s="302"/>
      <c r="M452" s="302"/>
    </row>
    <row r="453" spans="1:13" x14ac:dyDescent="0.2">
      <c r="A453" s="199"/>
      <c r="B453" s="233"/>
      <c r="C453" s="199"/>
      <c r="D453" s="199"/>
      <c r="E453" s="199"/>
      <c r="F453" s="199"/>
      <c r="G453" s="269"/>
      <c r="H453" s="199"/>
      <c r="I453" s="200"/>
      <c r="J453" s="433"/>
      <c r="K453" s="433"/>
      <c r="L453" s="302"/>
      <c r="M453" s="302"/>
    </row>
    <row r="454" spans="1:13" x14ac:dyDescent="0.2">
      <c r="A454" s="467" t="s">
        <v>213</v>
      </c>
      <c r="B454" s="468" t="s">
        <v>60</v>
      </c>
      <c r="C454" s="468" t="s">
        <v>211</v>
      </c>
      <c r="D454" s="794" t="s">
        <v>233</v>
      </c>
      <c r="E454" s="1281" t="s">
        <v>91</v>
      </c>
      <c r="F454" s="1282"/>
      <c r="G454" s="1283"/>
      <c r="H454" s="1284" t="s">
        <v>198</v>
      </c>
      <c r="I454" s="1285"/>
      <c r="J454" s="451"/>
      <c r="K454" s="451"/>
      <c r="L454" s="198"/>
      <c r="M454" s="198"/>
    </row>
    <row r="455" spans="1:13" ht="45" x14ac:dyDescent="0.2">
      <c r="A455" s="248" t="str">
        <f>VLOOKUP(B455,'DER 10-18'!$A:$E,2,FALSE)</f>
        <v>Formas planas de madeira sem reaproveitamento (forma perdida), inclusive fornecimento e transporte das madeiras</v>
      </c>
      <c r="B455" s="453">
        <v>40310</v>
      </c>
      <c r="C455" s="238" t="str">
        <f>VLOOKUP(B455,'DER 10-18'!$A:$E,3,FALSE)</f>
        <v>M2</v>
      </c>
      <c r="D455" s="243">
        <f>ROUND(VLOOKUP(B455,'DER 10-18'!$A:$F,6,FALSE)/1.2332,2)</f>
        <v>132.01</v>
      </c>
      <c r="E455" s="455"/>
      <c r="F455" s="456"/>
      <c r="G455" s="457">
        <v>0.16800000000000001</v>
      </c>
      <c r="H455" s="458"/>
      <c r="I455" s="459">
        <f>TRUNC(D455*G455,2)</f>
        <v>22.17</v>
      </c>
      <c r="J455" s="451"/>
      <c r="K455" s="451"/>
      <c r="L455" s="198"/>
      <c r="M455" s="198"/>
    </row>
    <row r="456" spans="1:13" ht="22.5" x14ac:dyDescent="0.2">
      <c r="A456" s="248" t="str">
        <f>VLOOKUP(B456,'DER 10-18'!$A:$E,2,FALSE)</f>
        <v>Concreto estrutural fck = 15,0 MPa, tudo incluído</v>
      </c>
      <c r="B456" s="453">
        <v>40358</v>
      </c>
      <c r="C456" s="238" t="str">
        <f>VLOOKUP(B456,'DER 10-18'!$A:$E,3,FALSE)</f>
        <v>M3</v>
      </c>
      <c r="D456" s="243">
        <f>ROUND(VLOOKUP(B456,'DER 10-18'!$A:$F,6,FALSE)/1.2332,2)</f>
        <v>523.21</v>
      </c>
      <c r="E456" s="455"/>
      <c r="F456" s="456"/>
      <c r="G456" s="457">
        <v>0.16800000000000001</v>
      </c>
      <c r="H456" s="458"/>
      <c r="I456" s="459">
        <f>TRUNC(D456*G456,2)</f>
        <v>87.89</v>
      </c>
      <c r="J456" s="451"/>
      <c r="K456" s="451"/>
      <c r="L456" s="198"/>
      <c r="M456" s="198"/>
    </row>
    <row r="457" spans="1:13" ht="33.75" x14ac:dyDescent="0.2">
      <c r="A457" s="248" t="str">
        <f>VLOOKUP(B457,'DER 10-18'!$A:$E,2,FALSE)</f>
        <v>Aço CA-50, fornecimento, dobragem e colocação nas formas (preço médio das bitolas)</v>
      </c>
      <c r="B457" s="453">
        <v>40376</v>
      </c>
      <c r="C457" s="238" t="str">
        <f>VLOOKUP(B457,'DER 10-18'!$A:$E,3,FALSE)</f>
        <v>kg</v>
      </c>
      <c r="D457" s="243">
        <f>ROUND(VLOOKUP(B457,'DER 10-18'!$A:$F,6,FALSE)/1.2332,2)</f>
        <v>7.89</v>
      </c>
      <c r="E457" s="455"/>
      <c r="F457" s="456"/>
      <c r="G457" s="457">
        <v>6.16</v>
      </c>
      <c r="H457" s="458"/>
      <c r="I457" s="459">
        <f>TRUNC(D457*G457,2)</f>
        <v>48.6</v>
      </c>
      <c r="J457" s="451"/>
      <c r="K457" s="451"/>
      <c r="L457" s="198"/>
      <c r="M457" s="198"/>
    </row>
    <row r="458" spans="1:13" ht="22.5" x14ac:dyDescent="0.2">
      <c r="A458" s="248" t="str">
        <f>VLOOKUP(B458,'DER 10-18'!$A:$E,2,FALSE)</f>
        <v>Escavação manual em mat. 1ª cat. H= 0,00 a 1,50 m</v>
      </c>
      <c r="B458" s="453">
        <v>40258</v>
      </c>
      <c r="C458" s="238" t="str">
        <f>VLOOKUP(B458,'DER 10-18'!$A:$E,3,FALSE)</f>
        <v>M3</v>
      </c>
      <c r="D458" s="243">
        <f>ROUND(VLOOKUP(B458,'DER 10-18'!$A:$F,6,FALSE)/1.2332,2)</f>
        <v>52.61</v>
      </c>
      <c r="E458" s="455"/>
      <c r="F458" s="456"/>
      <c r="G458" s="457">
        <v>0.45</v>
      </c>
      <c r="H458" s="458"/>
      <c r="I458" s="459">
        <f>TRUNC(D458*G458,2)</f>
        <v>23.67</v>
      </c>
      <c r="J458" s="451"/>
      <c r="K458" s="451"/>
      <c r="L458" s="198" t="s">
        <v>1601</v>
      </c>
      <c r="M458" s="198"/>
    </row>
    <row r="459" spans="1:13" x14ac:dyDescent="0.2">
      <c r="A459" s="452" t="s">
        <v>1602</v>
      </c>
      <c r="B459" s="805"/>
      <c r="C459" s="453" t="s">
        <v>69</v>
      </c>
      <c r="D459" s="454">
        <v>10.75</v>
      </c>
      <c r="E459" s="455"/>
      <c r="F459" s="456"/>
      <c r="G459" s="457">
        <v>0.2</v>
      </c>
      <c r="H459" s="458"/>
      <c r="I459" s="459">
        <f>TRUNC(D459*G459,2)</f>
        <v>2.15</v>
      </c>
      <c r="J459" s="451"/>
      <c r="K459" s="451"/>
      <c r="L459" s="198"/>
      <c r="M459" s="198"/>
    </row>
    <row r="460" spans="1:13" x14ac:dyDescent="0.2">
      <c r="A460" s="201"/>
      <c r="B460" s="271"/>
      <c r="C460" s="201"/>
      <c r="D460" s="201"/>
      <c r="E460" s="201"/>
      <c r="F460" s="272" t="s">
        <v>214</v>
      </c>
      <c r="G460" s="260"/>
      <c r="H460" s="273"/>
      <c r="I460" s="436">
        <f>SUM(I455:I459)</f>
        <v>184.48</v>
      </c>
      <c r="J460" s="433"/>
      <c r="K460" s="433"/>
      <c r="L460" s="302"/>
      <c r="M460" s="302"/>
    </row>
    <row r="461" spans="1:13" x14ac:dyDescent="0.2">
      <c r="A461" s="201"/>
      <c r="B461" s="271"/>
      <c r="C461" s="201"/>
      <c r="D461" s="201"/>
      <c r="E461" s="201"/>
      <c r="F461" s="201"/>
      <c r="G461" s="201"/>
      <c r="H461" s="201"/>
      <c r="I461" s="201"/>
      <c r="J461" s="433"/>
      <c r="K461" s="433"/>
      <c r="L461" s="302"/>
      <c r="M461" s="302"/>
    </row>
    <row r="462" spans="1:13" x14ac:dyDescent="0.2">
      <c r="A462" s="274" t="s">
        <v>215</v>
      </c>
      <c r="B462" s="275" t="s">
        <v>60</v>
      </c>
      <c r="C462" s="275" t="s">
        <v>211</v>
      </c>
      <c r="D462" s="275" t="s">
        <v>216</v>
      </c>
      <c r="E462" s="275" t="s">
        <v>217</v>
      </c>
      <c r="F462" s="275" t="s">
        <v>218</v>
      </c>
      <c r="G462" s="275" t="s">
        <v>96</v>
      </c>
      <c r="H462" s="275" t="s">
        <v>91</v>
      </c>
      <c r="I462" s="275" t="s">
        <v>219</v>
      </c>
      <c r="J462" s="433"/>
      <c r="K462" s="433"/>
      <c r="L462" s="302"/>
      <c r="M462" s="302"/>
    </row>
    <row r="463" spans="1:13" x14ac:dyDescent="0.2">
      <c r="A463" s="201"/>
      <c r="B463" s="271"/>
      <c r="C463" s="201"/>
      <c r="D463" s="201"/>
      <c r="E463" s="201"/>
      <c r="F463" s="272" t="s">
        <v>220</v>
      </c>
      <c r="G463" s="244"/>
      <c r="H463" s="279"/>
      <c r="I463" s="438"/>
      <c r="J463" s="433"/>
      <c r="K463" s="433"/>
      <c r="L463" s="302"/>
      <c r="M463" s="302"/>
    </row>
    <row r="464" spans="1:13" x14ac:dyDescent="0.2">
      <c r="A464" s="201"/>
      <c r="B464" s="271"/>
      <c r="C464" s="201"/>
      <c r="D464" s="201"/>
      <c r="E464" s="201"/>
      <c r="F464" s="201"/>
      <c r="G464" s="201"/>
      <c r="H464" s="201"/>
      <c r="I464" s="202"/>
      <c r="J464" s="433"/>
      <c r="K464" s="433"/>
      <c r="L464" s="302"/>
      <c r="M464" s="302"/>
    </row>
    <row r="465" spans="1:13" x14ac:dyDescent="0.2">
      <c r="A465" s="280"/>
      <c r="B465" s="281"/>
      <c r="C465" s="282"/>
      <c r="D465" s="282"/>
      <c r="E465" s="282"/>
      <c r="F465" s="283" t="s">
        <v>221</v>
      </c>
      <c r="G465" s="280"/>
      <c r="H465" s="254"/>
      <c r="I465" s="634">
        <f>+I449+I452+I460+I463</f>
        <v>197.63</v>
      </c>
      <c r="J465" s="433"/>
      <c r="K465" s="433"/>
      <c r="L465" s="302"/>
      <c r="M465" s="302"/>
    </row>
    <row r="466" spans="1:13" x14ac:dyDescent="0.2">
      <c r="A466" s="260"/>
      <c r="B466" s="284"/>
      <c r="C466" s="273"/>
      <c r="D466" s="273"/>
      <c r="E466" s="273"/>
      <c r="F466" s="285" t="str">
        <f>CONCATENATE($H$3," ",$I$3)</f>
        <v>BDI: 23,32</v>
      </c>
      <c r="G466" s="439"/>
      <c r="H466" s="258"/>
      <c r="I466" s="635">
        <f>+ROUND(I465*$I$4,2)</f>
        <v>46.09</v>
      </c>
      <c r="J466" s="433"/>
      <c r="K466" s="433"/>
      <c r="L466" s="302"/>
      <c r="M466" s="302"/>
    </row>
    <row r="467" spans="1:13" x14ac:dyDescent="0.2">
      <c r="A467" s="244"/>
      <c r="B467" s="286"/>
      <c r="C467" s="279"/>
      <c r="D467" s="279"/>
      <c r="E467" s="279"/>
      <c r="F467" s="287" t="s">
        <v>222</v>
      </c>
      <c r="G467" s="440"/>
      <c r="H467" s="245"/>
      <c r="I467" s="1017">
        <f>+I465+I466</f>
        <v>243.72</v>
      </c>
      <c r="J467" s="433"/>
      <c r="K467" s="433"/>
      <c r="L467" s="302"/>
      <c r="M467" s="302"/>
    </row>
    <row r="468" spans="1:13" x14ac:dyDescent="0.2">
      <c r="A468" s="1277" t="s">
        <v>229</v>
      </c>
      <c r="B468" s="1277"/>
      <c r="C468" s="1277"/>
      <c r="D468" s="1277"/>
      <c r="E468" s="1277"/>
      <c r="F468" s="1277"/>
      <c r="G468" s="1277"/>
      <c r="H468" s="1277"/>
      <c r="I468" s="1277"/>
    </row>
    <row r="469" spans="1:13" x14ac:dyDescent="0.2">
      <c r="A469" s="232" t="s">
        <v>230</v>
      </c>
      <c r="B469" s="233"/>
      <c r="C469" s="199"/>
      <c r="D469" s="199"/>
      <c r="E469" s="199"/>
      <c r="F469" s="199"/>
      <c r="G469" s="199"/>
      <c r="H469" s="199"/>
      <c r="I469" s="234" t="str">
        <f>$I$2</f>
        <v>Data Base: Outubro/2018</v>
      </c>
    </row>
    <row r="470" spans="1:13" x14ac:dyDescent="0.2">
      <c r="A470" s="1278" t="str">
        <f>+CONCATENATE("Serviço: ",J470," ",L470)</f>
        <v>Serviço: LG-013 Base mistura em peso 60% de brita graduada / 40% solo</v>
      </c>
      <c r="B470" s="1278"/>
      <c r="C470" s="1278"/>
      <c r="D470" s="1278"/>
      <c r="E470" s="1278"/>
      <c r="F470" s="1278"/>
      <c r="G470" s="1278"/>
      <c r="H470" s="1278"/>
      <c r="I470" s="1278" t="str">
        <f>CONCATENATE("Unidade: ", M470)</f>
        <v>Unidade: m³</v>
      </c>
      <c r="J470" s="373" t="s">
        <v>1566</v>
      </c>
      <c r="K470" s="22">
        <f>VLOOKUP("Preço Unitário Total",F471:I509,4,FALSE)</f>
        <v>120.02</v>
      </c>
      <c r="L470" s="790" t="s">
        <v>1603</v>
      </c>
      <c r="M470" s="419" t="s">
        <v>69</v>
      </c>
    </row>
    <row r="471" spans="1:13" x14ac:dyDescent="0.2">
      <c r="A471" s="1279"/>
      <c r="B471" s="1279"/>
      <c r="C471" s="1279"/>
      <c r="D471" s="1279"/>
      <c r="E471" s="1279"/>
      <c r="F471" s="1279"/>
      <c r="G471" s="1279"/>
      <c r="H471" s="1279"/>
      <c r="I471" s="1279"/>
    </row>
    <row r="472" spans="1:13" ht="22.5" x14ac:dyDescent="0.2">
      <c r="A472" s="235" t="s">
        <v>192</v>
      </c>
      <c r="B472" s="236" t="s">
        <v>60</v>
      </c>
      <c r="C472" s="236" t="s">
        <v>193</v>
      </c>
      <c r="D472" s="236" t="s">
        <v>194</v>
      </c>
      <c r="E472" s="236" t="s">
        <v>195</v>
      </c>
      <c r="F472" s="236" t="s">
        <v>196</v>
      </c>
      <c r="G472" s="236" t="s">
        <v>197</v>
      </c>
      <c r="H472" s="236" t="s">
        <v>91</v>
      </c>
      <c r="I472" s="236" t="s">
        <v>198</v>
      </c>
      <c r="J472" s="433"/>
      <c r="K472" s="433"/>
      <c r="L472" s="302"/>
      <c r="M472" s="302"/>
    </row>
    <row r="473" spans="1:13" ht="22.5" x14ac:dyDescent="0.2">
      <c r="A473" s="237" t="str">
        <f>VLOOKUP(B473,[10]equip.!$A:$G,2,FALSE)</f>
        <v>Caminhão tanque L 1319/48 PBT=12,9t (6.000L)</v>
      </c>
      <c r="B473" s="238">
        <v>30007</v>
      </c>
      <c r="C473" s="239" t="str">
        <f>VLOOKUP(B473,[10]equip.!$A$1:$G$240,3,FALSE)</f>
        <v>m</v>
      </c>
      <c r="D473" s="240">
        <v>1</v>
      </c>
      <c r="E473" s="205">
        <v>0</v>
      </c>
      <c r="F473" s="241">
        <f>VLOOKUP(B473,equip.!$A:$G,6,FALSE)</f>
        <v>155.91</v>
      </c>
      <c r="G473" s="241">
        <f>VLOOKUP(B473,equip.!$A:$G,7,FALSE)</f>
        <v>43.38</v>
      </c>
      <c r="H473" s="242">
        <v>1</v>
      </c>
      <c r="I473" s="243">
        <f>ROUND(D473*F473*H473+E473*G473*H473,2)</f>
        <v>155.91</v>
      </c>
      <c r="J473" s="433"/>
      <c r="K473" s="433"/>
      <c r="L473" s="302"/>
      <c r="M473" s="302"/>
    </row>
    <row r="474" spans="1:13" x14ac:dyDescent="0.2">
      <c r="A474" s="237" t="str">
        <f>VLOOKUP(B474,[10]equip.!$A:$G,2,FALSE)</f>
        <v>Conjunto moto bomba diam. 4"</v>
      </c>
      <c r="B474" s="238">
        <v>30080</v>
      </c>
      <c r="C474" s="239">
        <f>VLOOKUP(B474,[10]equip.!$A$1:$G$240,3,FALSE)</f>
        <v>0</v>
      </c>
      <c r="D474" s="240">
        <v>0.5</v>
      </c>
      <c r="E474" s="205">
        <v>0.5</v>
      </c>
      <c r="F474" s="241">
        <f>VLOOKUP(B474,equip.!$A:$G,6,FALSE)</f>
        <v>18.05</v>
      </c>
      <c r="G474" s="241">
        <f>VLOOKUP(B474,equip.!$A:$G,7,FALSE)</f>
        <v>12.15</v>
      </c>
      <c r="H474" s="242">
        <v>1</v>
      </c>
      <c r="I474" s="243">
        <f t="shared" ref="I474:I480" si="12">ROUND(D474*F474*H474+E474*G474*H474,2)</f>
        <v>15.1</v>
      </c>
      <c r="J474" s="433"/>
      <c r="K474" s="433"/>
      <c r="L474" s="302"/>
      <c r="M474" s="302"/>
    </row>
    <row r="475" spans="1:13" ht="22.5" x14ac:dyDescent="0.2">
      <c r="A475" s="237" t="str">
        <f>VLOOKUP(B475,[10]equip.!$A:$G,2,FALSE)</f>
        <v>Grade de disco GA-24x24 (TATU) ou equivalente</v>
      </c>
      <c r="B475" s="238">
        <v>30054</v>
      </c>
      <c r="C475" s="239">
        <f>VLOOKUP(B475,[10]equip.!$A$1:$G$240,3,FALSE)</f>
        <v>0</v>
      </c>
      <c r="D475" s="240">
        <v>0.7</v>
      </c>
      <c r="E475" s="205">
        <v>0.3</v>
      </c>
      <c r="F475" s="241">
        <f>VLOOKUP(B475,equip.!$A:$G,6,FALSE)</f>
        <v>15.59</v>
      </c>
      <c r="G475" s="241">
        <f>VLOOKUP(B475,equip.!$A:$G,7,FALSE)</f>
        <v>14.45</v>
      </c>
      <c r="H475" s="242">
        <v>2</v>
      </c>
      <c r="I475" s="243">
        <f t="shared" si="12"/>
        <v>30.5</v>
      </c>
      <c r="J475" s="433"/>
      <c r="K475" s="433"/>
      <c r="L475" s="302"/>
      <c r="M475" s="302"/>
    </row>
    <row r="476" spans="1:13" ht="33.75" x14ac:dyDescent="0.2">
      <c r="A476" s="237" t="str">
        <f>VLOOKUP(B476,[10]equip.!$A:$G,2,FALSE)</f>
        <v>Motoniveladora Caterpillar modelo 120K ( cab + ar + ríper) ou equivalente</v>
      </c>
      <c r="B476" s="238">
        <v>30022</v>
      </c>
      <c r="C476" s="239" t="str">
        <f>VLOOKUP(B476,[10]equip.!$A$1:$G$240,3,FALSE)</f>
        <v>m</v>
      </c>
      <c r="D476" s="240">
        <v>1</v>
      </c>
      <c r="E476" s="205">
        <v>0</v>
      </c>
      <c r="F476" s="241">
        <f>VLOOKUP(B476,equip.!$A:$G,6,FALSE)</f>
        <v>247.92</v>
      </c>
      <c r="G476" s="241">
        <f>VLOOKUP(B476,equip.!$A:$G,7,FALSE)</f>
        <v>83.72</v>
      </c>
      <c r="H476" s="242">
        <v>1</v>
      </c>
      <c r="I476" s="243">
        <f t="shared" si="12"/>
        <v>247.92</v>
      </c>
      <c r="J476" s="433"/>
      <c r="K476" s="433"/>
      <c r="L476" s="302"/>
      <c r="M476" s="302"/>
    </row>
    <row r="477" spans="1:13" ht="22.5" x14ac:dyDescent="0.2">
      <c r="A477" s="237" t="str">
        <f>VLOOKUP(B477,[10]equip.!$A:$G,2,FALSE)</f>
        <v>Rolo AP liso de aço CA 2505 STD Dynapac ou equivalente</v>
      </c>
      <c r="B477" s="238">
        <v>30038</v>
      </c>
      <c r="C477" s="239" t="str">
        <f>VLOOKUP(B477,[10]equip.!$A$1:$G$240,3,FALSE)</f>
        <v>m</v>
      </c>
      <c r="D477" s="240">
        <v>0.8</v>
      </c>
      <c r="E477" s="205">
        <v>0.2</v>
      </c>
      <c r="F477" s="241">
        <f>VLOOKUP(B477,equip.!$A:$G,6,FALSE)</f>
        <v>179.43</v>
      </c>
      <c r="G477" s="241">
        <f>VLOOKUP(B477,equip.!$A:$G,7,FALSE)</f>
        <v>53.86</v>
      </c>
      <c r="H477" s="242">
        <v>1</v>
      </c>
      <c r="I477" s="243">
        <f t="shared" si="12"/>
        <v>154.32</v>
      </c>
      <c r="J477" s="433"/>
      <c r="K477" s="433"/>
      <c r="L477" s="302"/>
      <c r="M477" s="302"/>
    </row>
    <row r="478" spans="1:13" ht="22.5" x14ac:dyDescent="0.2">
      <c r="A478" s="237" t="str">
        <f>VLOOKUP(B478,[10]equip.!$A:$G,2,FALSE)</f>
        <v>Rolo AP vib. patas 100 mm CA-25P (DYNAPAC) ou equivalente</v>
      </c>
      <c r="B478" s="238">
        <v>30040</v>
      </c>
      <c r="C478" s="239" t="str">
        <f>VLOOKUP(B478,[10]equip.!$A$1:$G$240,3,FALSE)</f>
        <v>m</v>
      </c>
      <c r="D478" s="240">
        <v>0.4</v>
      </c>
      <c r="E478" s="205">
        <v>0.6</v>
      </c>
      <c r="F478" s="241">
        <f>VLOOKUP(B478,equip.!$A:$G,6,FALSE)</f>
        <v>187.58</v>
      </c>
      <c r="G478" s="241">
        <f>VLOOKUP(B478,equip.!$A:$G,7,FALSE)</f>
        <v>58.07</v>
      </c>
      <c r="H478" s="242">
        <v>1</v>
      </c>
      <c r="I478" s="243">
        <f t="shared" si="12"/>
        <v>109.87</v>
      </c>
      <c r="J478" s="433"/>
      <c r="K478" s="433"/>
      <c r="L478" s="302"/>
      <c r="M478" s="302"/>
    </row>
    <row r="479" spans="1:13" ht="22.5" x14ac:dyDescent="0.2">
      <c r="A479" s="237" t="str">
        <f>VLOOKUP(B479,[10]equip.!$A:$G,2,FALSE)</f>
        <v>Rolo compactador de pneus CP 224, Dynapac ou equivalente</v>
      </c>
      <c r="B479" s="238">
        <v>30033</v>
      </c>
      <c r="C479" s="239">
        <f>VLOOKUP(B479,[10]equip.!$A$1:$G$240,3,FALSE)</f>
        <v>0</v>
      </c>
      <c r="D479" s="240">
        <v>0.5</v>
      </c>
      <c r="E479" s="205">
        <v>0.5</v>
      </c>
      <c r="F479" s="241">
        <f>VLOOKUP(B479,equip.!$A:$G,6,FALSE)</f>
        <v>192.45</v>
      </c>
      <c r="G479" s="241">
        <f>VLOOKUP(B479,equip.!$A:$G,7,FALSE)</f>
        <v>61.52</v>
      </c>
      <c r="H479" s="242">
        <v>1</v>
      </c>
      <c r="I479" s="243">
        <f t="shared" si="12"/>
        <v>126.99</v>
      </c>
      <c r="J479" s="433"/>
      <c r="K479" s="433"/>
      <c r="L479" s="302"/>
      <c r="M479" s="302"/>
    </row>
    <row r="480" spans="1:13" ht="33.75" x14ac:dyDescent="0.2">
      <c r="A480" s="237" t="str">
        <f>VLOOKUP(B480,[10]equip.!$A:$G,2,FALSE)</f>
        <v>Trator agrícola MF 297/4 -4 X 4 (MASSEY FERGUSSON) ou equivalente</v>
      </c>
      <c r="B480" s="238">
        <v>30030</v>
      </c>
      <c r="C480" s="239" t="str">
        <f>VLOOKUP(B480,[10]equip.!$A$1:$G$240,3,FALSE)</f>
        <v>m</v>
      </c>
      <c r="D480" s="240">
        <v>0.7</v>
      </c>
      <c r="E480" s="205">
        <v>0.3</v>
      </c>
      <c r="F480" s="241">
        <f>VLOOKUP(B480,equip.!$A:$G,6,FALSE)</f>
        <v>117.24</v>
      </c>
      <c r="G480" s="241">
        <f>VLOOKUP(B480,equip.!$A:$G,7,FALSE)</f>
        <v>30.29</v>
      </c>
      <c r="H480" s="242">
        <v>2</v>
      </c>
      <c r="I480" s="243">
        <f t="shared" si="12"/>
        <v>182.31</v>
      </c>
      <c r="J480" s="433"/>
      <c r="K480" s="433"/>
      <c r="L480" s="302"/>
      <c r="M480" s="302"/>
    </row>
    <row r="481" spans="1:13" x14ac:dyDescent="0.2">
      <c r="A481" s="199"/>
      <c r="B481" s="233"/>
      <c r="C481" s="233"/>
      <c r="D481" s="199"/>
      <c r="E481" s="199"/>
      <c r="F481" s="234" t="s">
        <v>199</v>
      </c>
      <c r="G481" s="244"/>
      <c r="H481" s="245"/>
      <c r="I481" s="434">
        <f>SUM(I473:I480)</f>
        <v>1022.92</v>
      </c>
      <c r="J481" s="433"/>
      <c r="K481" s="433"/>
      <c r="L481" s="302"/>
      <c r="M481" s="302"/>
    </row>
    <row r="482" spans="1:13" x14ac:dyDescent="0.2">
      <c r="A482" s="199"/>
      <c r="B482" s="233"/>
      <c r="C482" s="233"/>
      <c r="D482" s="199"/>
      <c r="E482" s="199"/>
      <c r="F482" s="199"/>
      <c r="G482" s="199"/>
      <c r="H482" s="199"/>
      <c r="I482" s="200"/>
      <c r="J482" s="433"/>
      <c r="K482" s="433"/>
      <c r="L482" s="302"/>
      <c r="M482" s="302"/>
    </row>
    <row r="483" spans="1:13" x14ac:dyDescent="0.2">
      <c r="A483" s="246" t="s">
        <v>200</v>
      </c>
      <c r="B483" s="247" t="s">
        <v>60</v>
      </c>
      <c r="C483" s="236" t="s">
        <v>1242</v>
      </c>
      <c r="D483" s="247" t="s">
        <v>202</v>
      </c>
      <c r="E483" s="1271" t="s">
        <v>91</v>
      </c>
      <c r="F483" s="1272"/>
      <c r="G483" s="1273"/>
      <c r="H483" s="1276" t="s">
        <v>198</v>
      </c>
      <c r="I483" s="1275"/>
      <c r="J483" s="433"/>
      <c r="K483" s="433"/>
      <c r="L483" s="302"/>
      <c r="M483" s="302"/>
    </row>
    <row r="484" spans="1:13" x14ac:dyDescent="0.2">
      <c r="A484" s="248" t="str">
        <f>VLOOKUP(B484,[10]m.o.!$A:$G,2,FALSE)</f>
        <v>Encarregado de pista</v>
      </c>
      <c r="B484" s="238">
        <v>20063</v>
      </c>
      <c r="C484" s="243">
        <f>VLOOKUP(B484,m.o.!$A:$F,4,FALSE)</f>
        <v>2.2599999999999998</v>
      </c>
      <c r="D484" s="243">
        <f>VLOOKUP(B484,m.o.!$A:$G,7,FALSE)</f>
        <v>26.3</v>
      </c>
      <c r="E484" s="260"/>
      <c r="F484" s="258"/>
      <c r="G484" s="300">
        <v>0.6</v>
      </c>
      <c r="H484" s="244"/>
      <c r="I484" s="249">
        <f>TRUNC(D484*G484,2)</f>
        <v>15.78</v>
      </c>
      <c r="J484" s="433"/>
      <c r="K484" s="433"/>
      <c r="L484" s="302"/>
      <c r="M484" s="302"/>
    </row>
    <row r="485" spans="1:13" x14ac:dyDescent="0.2">
      <c r="A485" s="248" t="str">
        <f>VLOOKUP(B485,[10]m.o.!$A:$G,2,FALSE)</f>
        <v>Greidista</v>
      </c>
      <c r="B485" s="238">
        <v>20088</v>
      </c>
      <c r="C485" s="243">
        <f>VLOOKUP(B485,m.o.!$A:$F,4,FALSE)</f>
        <v>1.24</v>
      </c>
      <c r="D485" s="243">
        <f>VLOOKUP(B485,m.o.!$A:$G,7,FALSE)</f>
        <v>14.43</v>
      </c>
      <c r="E485" s="260"/>
      <c r="F485" s="258"/>
      <c r="G485" s="300">
        <v>1</v>
      </c>
      <c r="H485" s="244"/>
      <c r="I485" s="249">
        <f t="shared" ref="I485:I486" si="13">TRUNC(D485*G485,2)</f>
        <v>14.43</v>
      </c>
      <c r="J485" s="433"/>
      <c r="K485" s="433"/>
      <c r="L485" s="302"/>
      <c r="M485" s="302"/>
    </row>
    <row r="486" spans="1:13" x14ac:dyDescent="0.2">
      <c r="A486" s="248" t="str">
        <f>VLOOKUP(B486,[10]m.o.!$A:$G,2,FALSE)</f>
        <v>Servente</v>
      </c>
      <c r="B486" s="238">
        <v>20002</v>
      </c>
      <c r="C486" s="243">
        <f>VLOOKUP(B486,m.o.!$A:$F,4,FALSE)</f>
        <v>1</v>
      </c>
      <c r="D486" s="243">
        <f>VLOOKUP(B486,m.o.!$A:$G,7,FALSE)</f>
        <v>11.64</v>
      </c>
      <c r="E486" s="260"/>
      <c r="F486" s="258"/>
      <c r="G486" s="300">
        <v>5</v>
      </c>
      <c r="H486" s="244"/>
      <c r="I486" s="249">
        <f t="shared" si="13"/>
        <v>58.2</v>
      </c>
      <c r="J486" s="433"/>
      <c r="K486" s="433"/>
      <c r="L486" s="302"/>
      <c r="M486" s="302"/>
    </row>
    <row r="487" spans="1:13" x14ac:dyDescent="0.2">
      <c r="A487" s="199"/>
      <c r="B487" s="233"/>
      <c r="C487" s="233"/>
      <c r="D487" s="199"/>
      <c r="E487" s="199"/>
      <c r="F487" s="234" t="s">
        <v>203</v>
      </c>
      <c r="G487" s="244"/>
      <c r="H487" s="245"/>
      <c r="I487" s="434">
        <f>SUM(I484:I486)</f>
        <v>88.41</v>
      </c>
      <c r="J487" s="433"/>
      <c r="K487" s="433"/>
      <c r="L487" s="302"/>
      <c r="M487" s="302"/>
    </row>
    <row r="488" spans="1:13" x14ac:dyDescent="0.2">
      <c r="A488" s="199"/>
      <c r="B488" s="233"/>
      <c r="C488" s="233"/>
      <c r="D488" s="199"/>
      <c r="E488" s="199"/>
      <c r="F488" s="199"/>
      <c r="G488" s="199"/>
      <c r="H488" s="199"/>
      <c r="I488" s="200"/>
      <c r="J488" s="433"/>
      <c r="K488" s="433"/>
      <c r="L488" s="302"/>
      <c r="M488" s="302"/>
    </row>
    <row r="489" spans="1:13" x14ac:dyDescent="0.2">
      <c r="A489" s="250" t="s">
        <v>204</v>
      </c>
      <c r="B489" s="247" t="s">
        <v>60</v>
      </c>
      <c r="C489" s="792" t="s">
        <v>17</v>
      </c>
      <c r="D489" s="247" t="s">
        <v>205</v>
      </c>
      <c r="E489" s="247" t="s">
        <v>206</v>
      </c>
      <c r="F489" s="247" t="s">
        <v>207</v>
      </c>
      <c r="G489" s="1276" t="s">
        <v>96</v>
      </c>
      <c r="H489" s="1274"/>
      <c r="I489" s="1275"/>
      <c r="J489" s="433"/>
      <c r="K489" s="433"/>
      <c r="L489" s="302"/>
      <c r="M489" s="302"/>
    </row>
    <row r="490" spans="1:13" x14ac:dyDescent="0.2">
      <c r="A490" s="199"/>
      <c r="B490" s="233"/>
      <c r="C490" s="199"/>
      <c r="D490" s="199"/>
      <c r="E490" s="199"/>
      <c r="F490" s="234" t="s">
        <v>1170</v>
      </c>
      <c r="G490" s="244"/>
      <c r="H490" s="245"/>
      <c r="I490" s="434"/>
      <c r="J490" s="433"/>
      <c r="K490" s="433"/>
      <c r="L490" s="302"/>
      <c r="M490" s="302"/>
    </row>
    <row r="491" spans="1:13" x14ac:dyDescent="0.2">
      <c r="A491" s="199"/>
      <c r="B491" s="233"/>
      <c r="C491" s="199"/>
      <c r="D491" s="199"/>
      <c r="E491" s="199"/>
      <c r="F491" s="199"/>
      <c r="G491" s="199"/>
      <c r="H491" s="199"/>
      <c r="I491" s="200"/>
      <c r="J491" s="433"/>
      <c r="K491" s="433"/>
      <c r="L491" s="302"/>
      <c r="M491" s="302"/>
    </row>
    <row r="492" spans="1:13" x14ac:dyDescent="0.2">
      <c r="A492" s="252"/>
      <c r="B492" s="253"/>
      <c r="C492" s="254"/>
      <c r="D492" s="254"/>
      <c r="E492" s="254"/>
      <c r="F492" s="255" t="s">
        <v>208</v>
      </c>
      <c r="G492" s="435"/>
      <c r="H492" s="254"/>
      <c r="I492" s="634">
        <f>+I481+I487+I490</f>
        <v>1111.33</v>
      </c>
      <c r="J492" s="433"/>
      <c r="K492" s="433"/>
      <c r="L492" s="302"/>
      <c r="M492" s="302"/>
    </row>
    <row r="493" spans="1:13" x14ac:dyDescent="0.2">
      <c r="A493" s="256"/>
      <c r="B493" s="257"/>
      <c r="C493" s="258"/>
      <c r="D493" s="258"/>
      <c r="E493" s="258"/>
      <c r="F493" s="259" t="s">
        <v>209</v>
      </c>
      <c r="G493" s="260"/>
      <c r="H493" s="258"/>
      <c r="I493" s="635">
        <v>60</v>
      </c>
      <c r="J493" s="433"/>
      <c r="K493" s="433"/>
      <c r="L493" s="302"/>
      <c r="M493" s="302"/>
    </row>
    <row r="494" spans="1:13" x14ac:dyDescent="0.2">
      <c r="A494" s="237"/>
      <c r="B494" s="261"/>
      <c r="C494" s="245"/>
      <c r="D494" s="245"/>
      <c r="E494" s="245"/>
      <c r="F494" s="262" t="s">
        <v>232</v>
      </c>
      <c r="G494" s="244"/>
      <c r="H494" s="245"/>
      <c r="I494" s="633">
        <f>ROUND(I492/I493,2)</f>
        <v>18.52</v>
      </c>
      <c r="J494" s="433"/>
      <c r="K494" s="433"/>
      <c r="L494" s="302"/>
      <c r="M494" s="302"/>
    </row>
    <row r="495" spans="1:13" x14ac:dyDescent="0.2">
      <c r="A495" s="793"/>
      <c r="B495" s="233"/>
      <c r="C495" s="199"/>
      <c r="D495" s="199"/>
      <c r="E495" s="199"/>
      <c r="F495" s="263"/>
      <c r="G495" s="199"/>
      <c r="H495" s="199"/>
      <c r="I495" s="264"/>
      <c r="J495" s="433"/>
      <c r="K495" s="433"/>
      <c r="L495" s="302"/>
      <c r="M495" s="302"/>
    </row>
    <row r="496" spans="1:13" x14ac:dyDescent="0.2">
      <c r="A496" s="246" t="s">
        <v>210</v>
      </c>
      <c r="B496" s="247" t="s">
        <v>60</v>
      </c>
      <c r="C496" s="247" t="s">
        <v>211</v>
      </c>
      <c r="D496" s="247" t="s">
        <v>233</v>
      </c>
      <c r="E496" s="1276" t="s">
        <v>91</v>
      </c>
      <c r="F496" s="1274"/>
      <c r="G496" s="1275"/>
      <c r="H496" s="1276" t="s">
        <v>198</v>
      </c>
      <c r="I496" s="1275"/>
      <c r="J496" s="433"/>
      <c r="K496" s="433"/>
      <c r="L496" s="302"/>
      <c r="M496" s="302"/>
    </row>
    <row r="497" spans="1:13" ht="22.5" x14ac:dyDescent="0.2">
      <c r="A497" s="265" t="str">
        <f>VLOOKUP(B497,[10]mat.!$A:$D,2,FALSE)</f>
        <v>Brita graduada, especificada sem pó, sem frete</v>
      </c>
      <c r="B497" s="238">
        <v>10119</v>
      </c>
      <c r="C497" s="266" t="str">
        <f>VLOOKUP(B497,[10]mat.!$A:$D,3,FALSE)</f>
        <v>m³</v>
      </c>
      <c r="D497" s="267">
        <f>VLOOKUP(B497,mat.!$A:$D,4,FALSE)</f>
        <v>49.19</v>
      </c>
      <c r="E497" s="260"/>
      <c r="F497" s="258"/>
      <c r="G497" s="300">
        <v>0.96</v>
      </c>
      <c r="H497" s="260"/>
      <c r="I497" s="268">
        <f>TRUNC(D497*G497,2)</f>
        <v>47.22</v>
      </c>
      <c r="J497" s="433"/>
      <c r="K497" s="433"/>
      <c r="L497" s="302"/>
      <c r="M497" s="302"/>
    </row>
    <row r="498" spans="1:13" x14ac:dyDescent="0.2">
      <c r="A498" s="199"/>
      <c r="B498" s="233"/>
      <c r="C498" s="199"/>
      <c r="D498" s="199"/>
      <c r="E498" s="199"/>
      <c r="F498" s="234" t="s">
        <v>212</v>
      </c>
      <c r="G498" s="244"/>
      <c r="H498" s="245"/>
      <c r="I498" s="434">
        <f>SUM(I497:I497)</f>
        <v>47.22</v>
      </c>
      <c r="J498" s="433"/>
      <c r="K498" s="433"/>
      <c r="L498" s="302"/>
      <c r="M498" s="302"/>
    </row>
    <row r="499" spans="1:13" x14ac:dyDescent="0.2">
      <c r="A499" s="199"/>
      <c r="B499" s="233"/>
      <c r="C499" s="199"/>
      <c r="D499" s="199"/>
      <c r="E499" s="199"/>
      <c r="F499" s="199"/>
      <c r="G499" s="269"/>
      <c r="H499" s="199"/>
      <c r="I499" s="200"/>
      <c r="J499" s="433"/>
      <c r="K499" s="433"/>
      <c r="L499" s="302"/>
      <c r="M499" s="302"/>
    </row>
    <row r="500" spans="1:13" x14ac:dyDescent="0.2">
      <c r="A500" s="467" t="s">
        <v>213</v>
      </c>
      <c r="B500" s="468" t="s">
        <v>60</v>
      </c>
      <c r="C500" s="468" t="s">
        <v>211</v>
      </c>
      <c r="D500" s="794" t="s">
        <v>233</v>
      </c>
      <c r="E500" s="1281" t="s">
        <v>91</v>
      </c>
      <c r="F500" s="1282"/>
      <c r="G500" s="1283"/>
      <c r="H500" s="1284" t="s">
        <v>198</v>
      </c>
      <c r="I500" s="1285"/>
      <c r="J500" s="451"/>
      <c r="K500" s="451"/>
      <c r="L500" s="198"/>
      <c r="M500" s="198"/>
    </row>
    <row r="501" spans="1:13" x14ac:dyDescent="0.2">
      <c r="A501" s="201"/>
      <c r="B501" s="271"/>
      <c r="C501" s="201"/>
      <c r="D501" s="201"/>
      <c r="E501" s="201"/>
      <c r="F501" s="272" t="s">
        <v>214</v>
      </c>
      <c r="G501" s="260"/>
      <c r="H501" s="273"/>
      <c r="I501" s="436"/>
      <c r="J501" s="433"/>
      <c r="K501" s="433"/>
      <c r="L501" s="302"/>
      <c r="M501" s="302"/>
    </row>
    <row r="502" spans="1:13" x14ac:dyDescent="0.2">
      <c r="A502" s="201"/>
      <c r="B502" s="271"/>
      <c r="C502" s="201"/>
      <c r="D502" s="201"/>
      <c r="E502" s="201"/>
      <c r="F502" s="201"/>
      <c r="G502" s="201"/>
      <c r="H502" s="201"/>
      <c r="I502" s="201"/>
      <c r="J502" s="433"/>
      <c r="K502" s="433"/>
      <c r="L502" s="302"/>
      <c r="M502" s="302"/>
    </row>
    <row r="503" spans="1:13" x14ac:dyDescent="0.2">
      <c r="A503" s="274" t="s">
        <v>215</v>
      </c>
      <c r="B503" s="275" t="s">
        <v>60</v>
      </c>
      <c r="C503" s="275" t="s">
        <v>211</v>
      </c>
      <c r="D503" s="275" t="s">
        <v>216</v>
      </c>
      <c r="E503" s="275" t="s">
        <v>217</v>
      </c>
      <c r="F503" s="275" t="s">
        <v>218</v>
      </c>
      <c r="G503" s="275" t="s">
        <v>96</v>
      </c>
      <c r="H503" s="275" t="s">
        <v>91</v>
      </c>
      <c r="I503" s="275" t="s">
        <v>219</v>
      </c>
      <c r="J503" s="433"/>
      <c r="K503" s="433"/>
      <c r="L503" s="302"/>
      <c r="M503" s="302"/>
    </row>
    <row r="504" spans="1:13" ht="36" customHeight="1" x14ac:dyDescent="0.2">
      <c r="A504" s="248" t="s">
        <v>1604</v>
      </c>
      <c r="B504" s="238">
        <v>60002</v>
      </c>
      <c r="C504" s="238" t="str">
        <f>VLOOKUP(B504,[10]tranp.!$A:$J,3,FALSE)</f>
        <v xml:space="preserve"> t  </v>
      </c>
      <c r="D504" s="518" t="str">
        <f>VLOOKUP(B504,tranp.!$A:$J,4,FALSE)</f>
        <v>0,681XP + 0,710XR + 2,841</v>
      </c>
      <c r="E504" s="277">
        <v>22.1</v>
      </c>
      <c r="F504" s="277">
        <v>5.7</v>
      </c>
      <c r="G504" s="454">
        <f>TRUNC(VLOOKUP(B504,tranp.!$A:$J,5,FALSE)*E504+VLOOKUP(B504,tranp.!$A:$J,6,FALSE)*F504+VLOOKUP(B504,tranp.!$A:$J,7,FALSE),2)</f>
        <v>21.93</v>
      </c>
      <c r="H504" s="278">
        <v>1.44</v>
      </c>
      <c r="I504" s="243">
        <f>ROUND(G504*H504,2)</f>
        <v>31.58</v>
      </c>
      <c r="J504" s="433" t="s">
        <v>1056</v>
      </c>
      <c r="K504" s="433"/>
      <c r="L504" s="302"/>
      <c r="M504" s="302"/>
    </row>
    <row r="505" spans="1:13" x14ac:dyDescent="0.2">
      <c r="A505" s="201"/>
      <c r="B505" s="271"/>
      <c r="C505" s="201"/>
      <c r="D505" s="201"/>
      <c r="E505" s="201"/>
      <c r="F505" s="272" t="s">
        <v>220</v>
      </c>
      <c r="G505" s="244"/>
      <c r="H505" s="279"/>
      <c r="I505" s="438">
        <f>SUM(I504:I504)</f>
        <v>31.58</v>
      </c>
      <c r="J505" s="433"/>
      <c r="K505" s="433"/>
      <c r="L505" s="302"/>
      <c r="M505" s="302"/>
    </row>
    <row r="506" spans="1:13" x14ac:dyDescent="0.2">
      <c r="A506" s="201"/>
      <c r="B506" s="271"/>
      <c r="C506" s="201"/>
      <c r="D506" s="201"/>
      <c r="E506" s="201"/>
      <c r="F506" s="201"/>
      <c r="G506" s="201"/>
      <c r="H506" s="201"/>
      <c r="I506" s="202"/>
      <c r="J506" s="433"/>
      <c r="K506" s="433"/>
      <c r="L506" s="302"/>
      <c r="M506" s="302"/>
    </row>
    <row r="507" spans="1:13" x14ac:dyDescent="0.2">
      <c r="A507" s="280"/>
      <c r="B507" s="281"/>
      <c r="C507" s="282"/>
      <c r="D507" s="282"/>
      <c r="E507" s="282"/>
      <c r="F507" s="283" t="s">
        <v>221</v>
      </c>
      <c r="G507" s="280"/>
      <c r="H507" s="254"/>
      <c r="I507" s="634">
        <f>+I494+I498+I501+I505</f>
        <v>97.32</v>
      </c>
      <c r="J507" s="446"/>
      <c r="K507" s="433"/>
      <c r="L507" s="302"/>
      <c r="M507" s="302"/>
    </row>
    <row r="508" spans="1:13" x14ac:dyDescent="0.2">
      <c r="A508" s="260"/>
      <c r="B508" s="284"/>
      <c r="C508" s="273"/>
      <c r="D508" s="273"/>
      <c r="E508" s="273"/>
      <c r="F508" s="285" t="str">
        <f>CONCATENATE($H$3," ",$I$3)</f>
        <v>BDI: 23,32</v>
      </c>
      <c r="G508" s="439"/>
      <c r="H508" s="258"/>
      <c r="I508" s="635">
        <f>+ROUND(I507*$I$4,2)</f>
        <v>22.7</v>
      </c>
      <c r="J508" s="433"/>
      <c r="K508" s="433"/>
      <c r="L508" s="302"/>
      <c r="M508" s="302"/>
    </row>
    <row r="509" spans="1:13" x14ac:dyDescent="0.2">
      <c r="A509" s="260"/>
      <c r="B509" s="284"/>
      <c r="C509" s="273"/>
      <c r="D509" s="273"/>
      <c r="E509" s="273"/>
      <c r="F509" s="285" t="s">
        <v>222</v>
      </c>
      <c r="G509" s="439"/>
      <c r="H509" s="258"/>
      <c r="I509" s="1020">
        <f>+I507+I508</f>
        <v>120.02</v>
      </c>
      <c r="J509" s="433"/>
      <c r="K509" s="433"/>
      <c r="L509" s="302"/>
      <c r="M509" s="302"/>
    </row>
  </sheetData>
  <autoFilter ref="L1:L43"/>
  <mergeCells count="131">
    <mergeCell ref="A468:I468"/>
    <mergeCell ref="A470:H471"/>
    <mergeCell ref="I470:I471"/>
    <mergeCell ref="E483:G483"/>
    <mergeCell ref="H483:I483"/>
    <mergeCell ref="G489:I489"/>
    <mergeCell ref="E496:G496"/>
    <mergeCell ref="H496:I496"/>
    <mergeCell ref="E500:G500"/>
    <mergeCell ref="H500:I500"/>
    <mergeCell ref="A433:I433"/>
    <mergeCell ref="A435:H436"/>
    <mergeCell ref="I435:I436"/>
    <mergeCell ref="E440:G440"/>
    <mergeCell ref="H440:I440"/>
    <mergeCell ref="G444:I444"/>
    <mergeCell ref="E451:G451"/>
    <mergeCell ref="H451:I451"/>
    <mergeCell ref="E454:G454"/>
    <mergeCell ref="H454:I454"/>
    <mergeCell ref="A398:I398"/>
    <mergeCell ref="A400:H401"/>
    <mergeCell ref="I400:I401"/>
    <mergeCell ref="E405:G405"/>
    <mergeCell ref="H405:I405"/>
    <mergeCell ref="G408:I408"/>
    <mergeCell ref="E416:G416"/>
    <mergeCell ref="H416:I416"/>
    <mergeCell ref="E419:G419"/>
    <mergeCell ref="H419:I419"/>
    <mergeCell ref="A363:I363"/>
    <mergeCell ref="A365:H366"/>
    <mergeCell ref="I365:I366"/>
    <mergeCell ref="E370:G370"/>
    <mergeCell ref="H370:I370"/>
    <mergeCell ref="G373:I373"/>
    <mergeCell ref="E381:G381"/>
    <mergeCell ref="H381:I381"/>
    <mergeCell ref="E384:G384"/>
    <mergeCell ref="H384:I384"/>
    <mergeCell ref="A1:I1"/>
    <mergeCell ref="G19:I19"/>
    <mergeCell ref="E27:G27"/>
    <mergeCell ref="H27:I27"/>
    <mergeCell ref="E33:G33"/>
    <mergeCell ref="H33:I33"/>
    <mergeCell ref="A5:I5"/>
    <mergeCell ref="A7:H8"/>
    <mergeCell ref="I7:I8"/>
    <mergeCell ref="E13:G13"/>
    <mergeCell ref="H13:I13"/>
    <mergeCell ref="A44:I44"/>
    <mergeCell ref="A46:H47"/>
    <mergeCell ref="I46:I47"/>
    <mergeCell ref="E52:G52"/>
    <mergeCell ref="H52:I52"/>
    <mergeCell ref="A160:I160"/>
    <mergeCell ref="G94:I94"/>
    <mergeCell ref="E102:G102"/>
    <mergeCell ref="H102:I102"/>
    <mergeCell ref="E106:G106"/>
    <mergeCell ref="H106:I106"/>
    <mergeCell ref="G57:I57"/>
    <mergeCell ref="E65:G65"/>
    <mergeCell ref="H65:I65"/>
    <mergeCell ref="E70:G70"/>
    <mergeCell ref="H70:I70"/>
    <mergeCell ref="A81:I81"/>
    <mergeCell ref="A83:H84"/>
    <mergeCell ref="I83:I84"/>
    <mergeCell ref="E89:G89"/>
    <mergeCell ref="H89:I89"/>
    <mergeCell ref="A117:I117"/>
    <mergeCell ref="A119:H120"/>
    <mergeCell ref="I119:I120"/>
    <mergeCell ref="E294:G294"/>
    <mergeCell ref="H294:I294"/>
    <mergeCell ref="G300:I300"/>
    <mergeCell ref="E255:G255"/>
    <mergeCell ref="H255:I255"/>
    <mergeCell ref="A246:I246"/>
    <mergeCell ref="A248:H249"/>
    <mergeCell ref="I248:I249"/>
    <mergeCell ref="G261:I261"/>
    <mergeCell ref="E269:G269"/>
    <mergeCell ref="H269:I269"/>
    <mergeCell ref="E274:G274"/>
    <mergeCell ref="H274:I274"/>
    <mergeCell ref="E128:G128"/>
    <mergeCell ref="H128:I128"/>
    <mergeCell ref="G134:I134"/>
    <mergeCell ref="E142:G142"/>
    <mergeCell ref="H142:I142"/>
    <mergeCell ref="E149:G149"/>
    <mergeCell ref="H149:I149"/>
    <mergeCell ref="A162:H163"/>
    <mergeCell ref="I162:I163"/>
    <mergeCell ref="E171:G171"/>
    <mergeCell ref="H171:I171"/>
    <mergeCell ref="G179:I179"/>
    <mergeCell ref="E187:G187"/>
    <mergeCell ref="H187:I187"/>
    <mergeCell ref="E196:G196"/>
    <mergeCell ref="H196:I196"/>
    <mergeCell ref="A207:I207"/>
    <mergeCell ref="A209:H210"/>
    <mergeCell ref="I209:I210"/>
    <mergeCell ref="E215:G215"/>
    <mergeCell ref="H215:I215"/>
    <mergeCell ref="G221:I221"/>
    <mergeCell ref="E229:G229"/>
    <mergeCell ref="H229:I229"/>
    <mergeCell ref="E235:G235"/>
    <mergeCell ref="H235:I235"/>
    <mergeCell ref="H352:I352"/>
    <mergeCell ref="E308:G308"/>
    <mergeCell ref="H308:I308"/>
    <mergeCell ref="E313:G313"/>
    <mergeCell ref="H313:I313"/>
    <mergeCell ref="A324:I324"/>
    <mergeCell ref="A326:H327"/>
    <mergeCell ref="I326:I327"/>
    <mergeCell ref="E333:G333"/>
    <mergeCell ref="H333:I333"/>
    <mergeCell ref="G339:I339"/>
    <mergeCell ref="E347:G347"/>
    <mergeCell ref="H347:I347"/>
    <mergeCell ref="E352:G352"/>
    <mergeCell ref="A285:I285"/>
    <mergeCell ref="A287:H288"/>
    <mergeCell ref="I287:I288"/>
  </mergeCells>
  <printOptions horizontalCentered="1"/>
  <pageMargins left="0.98425196850393704" right="0.98425196850393704" top="0.98425196850393704" bottom="0.98425196850393704" header="0.51181102362204722" footer="0.51181102362204722"/>
  <pageSetup paperSize="9" scale="70" firstPageNumber="275" fitToWidth="0" fitToHeight="0" orientation="portrait" useFirstPageNumber="1" horizontalDpi="2400" verticalDpi="2400" r:id="rId1"/>
  <rowBreaks count="13" manualBreakCount="13">
    <brk id="4" max="8" man="1"/>
    <brk id="43" max="8" man="1"/>
    <brk id="80" max="8" man="1"/>
    <brk id="116" max="8" man="1"/>
    <brk id="159" max="8" man="1"/>
    <brk id="206" max="8" man="1"/>
    <brk id="245" max="8" man="1"/>
    <brk id="284" max="8" man="1"/>
    <brk id="323" max="8" man="1"/>
    <brk id="362" max="8" man="1"/>
    <brk id="397" max="8" man="1"/>
    <brk id="432" max="8" man="1"/>
    <brk id="467" max="16383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[10]Ocor.!#REF!</xm:f>
          </x14:formula1>
          <xm:sqref>J504</xm:sqref>
        </x14:dataValidation>
        <x14:dataValidation type="list" allowBlank="1" showInputMessage="1" showErrorMessage="1">
          <x14:formula1>
            <xm:f>[11]Ocor.!#REF!</xm:f>
          </x14:formula1>
          <xm:sqref>J75 J111 J240 J279 J318 J357 J392 J427</xm:sqref>
        </x14:dataValidation>
        <x14:dataValidation type="list" allowBlank="1" showInputMessage="1" showErrorMessage="1">
          <x14:formula1>
            <xm:f>[1]Ocor.!#REF!</xm:f>
          </x14:formula1>
          <xm:sqref>J38 J153 J200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"/>
  <sheetViews>
    <sheetView tabSelected="1" view="pageBreakPreview" topLeftCell="A175" zoomScaleNormal="100" zoomScaleSheetLayoutView="100" workbookViewId="0">
      <selection activeCell="G201" sqref="G201"/>
    </sheetView>
  </sheetViews>
  <sheetFormatPr defaultColWidth="9" defaultRowHeight="15" x14ac:dyDescent="0.2"/>
  <cols>
    <col min="1" max="1" width="6.75" style="572" customWidth="1"/>
    <col min="2" max="2" width="8.625" style="572" customWidth="1"/>
    <col min="3" max="3" width="71.5" style="553" customWidth="1"/>
    <col min="4" max="4" width="6.25" style="572" bestFit="1" customWidth="1"/>
    <col min="5" max="5" width="10.5" style="616" customWidth="1"/>
    <col min="6" max="6" width="13.375" style="616" customWidth="1"/>
    <col min="7" max="7" width="14.75" style="616" bestFit="1" customWidth="1"/>
    <col min="8" max="8" width="14.75" style="616" customWidth="1"/>
    <col min="9" max="9" width="16.375" style="572" customWidth="1"/>
    <col min="10" max="10" width="23.25" style="572" customWidth="1"/>
    <col min="11" max="11" width="46.75" style="572" customWidth="1"/>
    <col min="12" max="12" width="36" style="572" customWidth="1"/>
    <col min="13" max="16384" width="9" style="572"/>
  </cols>
  <sheetData>
    <row r="1" spans="1:11" ht="19.5" x14ac:dyDescent="0.2">
      <c r="A1" s="1049" t="s">
        <v>3269</v>
      </c>
      <c r="B1" s="1049"/>
      <c r="C1" s="1049"/>
      <c r="D1" s="1049"/>
      <c r="E1" s="1049"/>
      <c r="F1" s="1049"/>
      <c r="G1" s="1049"/>
      <c r="H1" s="934"/>
    </row>
    <row r="2" spans="1:11" ht="15.75" x14ac:dyDescent="0.2">
      <c r="A2" s="1052" t="str">
        <f>+Memória!A2</f>
        <v>Trecho 06 - ES-162 - São Salvador - Divisa com Itapemirim (Nova Canaã) / Trecho 07 - Dois Corações - Comissão</v>
      </c>
      <c r="B2" s="1053"/>
      <c r="C2" s="1053"/>
      <c r="D2" s="1053"/>
      <c r="E2" s="1053"/>
      <c r="F2" s="1053"/>
      <c r="G2" s="1053"/>
      <c r="H2" s="935"/>
    </row>
    <row r="3" spans="1:11" s="587" customFormat="1" ht="12.75" x14ac:dyDescent="0.2">
      <c r="A3" s="1050" t="s">
        <v>5</v>
      </c>
      <c r="B3" s="1050"/>
      <c r="C3" s="1045" t="s">
        <v>12</v>
      </c>
      <c r="D3" s="1045" t="s">
        <v>13</v>
      </c>
      <c r="E3" s="1047" t="s">
        <v>6</v>
      </c>
      <c r="F3" s="1051" t="s">
        <v>1055</v>
      </c>
      <c r="G3" s="1051"/>
      <c r="H3" s="936"/>
    </row>
    <row r="4" spans="1:11" s="587" customFormat="1" ht="27.75" customHeight="1" x14ac:dyDescent="0.2">
      <c r="A4" s="736" t="s">
        <v>284</v>
      </c>
      <c r="B4" s="588" t="s">
        <v>11</v>
      </c>
      <c r="C4" s="1046"/>
      <c r="D4" s="1046"/>
      <c r="E4" s="1048"/>
      <c r="F4" s="735" t="s">
        <v>14</v>
      </c>
      <c r="G4" s="940" t="s">
        <v>15</v>
      </c>
      <c r="H4" s="994" t="s">
        <v>1832</v>
      </c>
      <c r="I4" s="994" t="s">
        <v>1831</v>
      </c>
      <c r="J4" s="994" t="s">
        <v>1829</v>
      </c>
      <c r="K4" s="996" t="s">
        <v>1830</v>
      </c>
    </row>
    <row r="5" spans="1:11" s="594" customFormat="1" ht="14.25" x14ac:dyDescent="0.2">
      <c r="A5" s="581">
        <v>1</v>
      </c>
      <c r="B5" s="589"/>
      <c r="C5" s="590" t="str">
        <f>VLOOKUP(A5,Memória!A:S,3,FALSE)</f>
        <v>TERRAPLENAGEM</v>
      </c>
      <c r="D5" s="591"/>
      <c r="E5" s="592"/>
      <c r="F5" s="593"/>
      <c r="G5" s="941"/>
      <c r="H5" s="994"/>
      <c r="I5" s="994"/>
      <c r="J5" s="994"/>
      <c r="K5" s="996"/>
    </row>
    <row r="6" spans="1:11" s="599" customFormat="1" x14ac:dyDescent="0.2">
      <c r="A6" s="582" t="s">
        <v>244</v>
      </c>
      <c r="B6" s="595"/>
      <c r="C6" s="596" t="str">
        <f>VLOOKUP(A6,Memória!A:S,3,FALSE)</f>
        <v>Serviços preliminares</v>
      </c>
      <c r="D6" s="597"/>
      <c r="E6" s="598"/>
      <c r="F6" s="598"/>
      <c r="G6" s="942"/>
      <c r="H6" s="995"/>
      <c r="I6" s="995"/>
      <c r="J6" s="995"/>
      <c r="K6" s="996"/>
    </row>
    <row r="7" spans="1:11" s="603" customFormat="1" ht="30" x14ac:dyDescent="0.2">
      <c r="A7" s="583" t="s">
        <v>1012</v>
      </c>
      <c r="B7" s="600">
        <f>VLOOKUP(A7,Memória!A:S,2,FALSE)</f>
        <v>40167</v>
      </c>
      <c r="C7" s="573" t="str">
        <f>VLOOKUP(A7,Memória!A:S,3,FALSE)</f>
        <v>Limpeza, desmatamento e destocamento de árvores com diâmetro até 15 cm, com trator de esteira</v>
      </c>
      <c r="D7" s="601" t="str">
        <f>VLOOKUP(A7,Memória!A:T,20,FALSE)</f>
        <v>M2</v>
      </c>
      <c r="E7" s="602">
        <f>VLOOKUP(A7,Memória!A:S,19,FALSE)</f>
        <v>61914.75</v>
      </c>
      <c r="F7" s="602">
        <f>IF(LEFT(B7,1)="l",VLOOKUP(B7,'Compos lug'!$J:$K,2,FALSE),IF(B7&gt;60000,VLOOKUP(A7,Memória!A:AB,22,FALSE),VLOOKUP(B7,'DER 10-18'!$A:$F,6,FALSE)))</f>
        <v>0.48</v>
      </c>
      <c r="G7" s="943">
        <f>TRUNC(E7*F7,2)</f>
        <v>29719.08</v>
      </c>
      <c r="H7" s="962">
        <v>0.48</v>
      </c>
      <c r="I7" s="963">
        <v>0.48</v>
      </c>
      <c r="J7" s="963">
        <f>F7-H7</f>
        <v>0</v>
      </c>
      <c r="K7" s="964"/>
    </row>
    <row r="8" spans="1:11" s="603" customFormat="1" x14ac:dyDescent="0.2">
      <c r="A8" s="583" t="s">
        <v>1013</v>
      </c>
      <c r="B8" s="600">
        <f>VLOOKUP(A8,Memória!A:S,2,FALSE)</f>
        <v>40230</v>
      </c>
      <c r="C8" s="573" t="str">
        <f>VLOOKUP(A8,Memória!A:S,3,FALSE)</f>
        <v>Escavação e carga de material de 1ª categoria com escavadeira</v>
      </c>
      <c r="D8" s="601" t="str">
        <f>VLOOKUP(A8,Memória!A:T,20,FALSE)</f>
        <v>M3</v>
      </c>
      <c r="E8" s="602">
        <f>VLOOKUP(A8,Memória!A:S,19,FALSE)</f>
        <v>190309.32</v>
      </c>
      <c r="F8" s="602">
        <f>IF(LEFT(B8,1)="l",VLOOKUP(B8,'Compos lug'!$J:$K,2,FALSE),IF(B8&gt;60000,VLOOKUP(A8,Memória!A:AB,22,FALSE),VLOOKUP(B8,'DER 10-18'!$A:$F,6,FALSE)))</f>
        <v>3.02</v>
      </c>
      <c r="G8" s="943">
        <f t="shared" ref="G8:G24" si="0">TRUNC(E8*F8,2)</f>
        <v>574734.14</v>
      </c>
      <c r="H8" s="965">
        <v>3.02</v>
      </c>
      <c r="I8" s="966">
        <v>3.02</v>
      </c>
      <c r="J8" s="966">
        <f t="shared" ref="J8:J10" si="1">F8-H8</f>
        <v>0</v>
      </c>
      <c r="K8" s="600"/>
    </row>
    <row r="9" spans="1:11" s="603" customFormat="1" ht="23.25" customHeight="1" x14ac:dyDescent="0.2">
      <c r="A9" s="583" t="s">
        <v>1014</v>
      </c>
      <c r="B9" s="600">
        <f>VLOOKUP(A9,Memória!A:S,2,FALSE)</f>
        <v>43340</v>
      </c>
      <c r="C9" s="573" t="str">
        <f>VLOOKUP(A9,Memória!A:S,3,FALSE)</f>
        <v>Compactação de aterros 100% P.I.</v>
      </c>
      <c r="D9" s="601" t="str">
        <f>VLOOKUP(A9,Memória!A:T,20,FALSE)</f>
        <v>M3</v>
      </c>
      <c r="E9" s="602">
        <f>VLOOKUP(A9,Memória!A:S,19,FALSE)</f>
        <v>58349.46</v>
      </c>
      <c r="F9" s="602">
        <f>IF(LEFT(B9,1)="l",VLOOKUP(B9,'Compos lug'!$J:$K,2,FALSE),IF(B9&gt;60000,VLOOKUP(A9,Memória!A:AB,22,FALSE),VLOOKUP(B9,'DER 10-18'!$A:$F,6,FALSE)))</f>
        <v>6.22</v>
      </c>
      <c r="G9" s="943">
        <f t="shared" si="0"/>
        <v>362933.64</v>
      </c>
      <c r="H9" s="965">
        <v>6.21</v>
      </c>
      <c r="I9" s="966">
        <v>6.22</v>
      </c>
      <c r="J9" s="966">
        <f t="shared" si="1"/>
        <v>0.01</v>
      </c>
      <c r="K9" s="601" t="s">
        <v>1833</v>
      </c>
    </row>
    <row r="10" spans="1:11" s="603" customFormat="1" ht="20.25" customHeight="1" x14ac:dyDescent="0.2">
      <c r="A10" s="583" t="s">
        <v>1015</v>
      </c>
      <c r="B10" s="600">
        <f>VLOOKUP(A10,Memória!A:S,2,FALSE)</f>
        <v>40228</v>
      </c>
      <c r="C10" s="573" t="str">
        <f>VLOOKUP(A10,Memória!A:S,3,FALSE)</f>
        <v>Compactação de aterros 100% PN</v>
      </c>
      <c r="D10" s="601" t="str">
        <f>VLOOKUP(A10,Memória!A:T,20,FALSE)</f>
        <v>M3</v>
      </c>
      <c r="E10" s="602">
        <f>VLOOKUP(A10,Memória!A:S,19,FALSE)</f>
        <v>87524.2</v>
      </c>
      <c r="F10" s="602">
        <f>IF(LEFT(B10,1)="l",VLOOKUP(B10,'Compos lug'!$J:$K,2,FALSE),IF(B10&gt;60000,VLOOKUP(A10,Memória!A:AB,22,FALSE),VLOOKUP(B10,'DER 10-18'!$A:$F,6,FALSE)))</f>
        <v>4.82</v>
      </c>
      <c r="G10" s="943">
        <f t="shared" si="0"/>
        <v>421866.64</v>
      </c>
      <c r="H10" s="965">
        <v>4.82</v>
      </c>
      <c r="I10" s="966">
        <v>4.82</v>
      </c>
      <c r="J10" s="966">
        <f t="shared" si="1"/>
        <v>0</v>
      </c>
      <c r="K10" s="601"/>
    </row>
    <row r="11" spans="1:11" s="603" customFormat="1" ht="39.75" customHeight="1" x14ac:dyDescent="0.2">
      <c r="A11" s="583" t="s">
        <v>1016</v>
      </c>
      <c r="B11" s="600">
        <f>VLOOKUP(A11,Memória!A:S,2,FALSE)</f>
        <v>60019</v>
      </c>
      <c r="C11" s="573" t="str">
        <f>VLOOKUP(A11,Memória!A:S,3,FALSE)</f>
        <v>LOCAL COM DMT ATÉ 3,0 KM (Caminhão basculante)1,085XP+1,198XR+1,904 (Incluindo BDI= 23,32%) -  XP=0.000 / XR=0.200 - Transporte de Material - DMT 200.0m</v>
      </c>
      <c r="D11" s="601" t="str">
        <f>VLOOKUP(A11,Memória!A:T,20,FALSE)</f>
        <v>T</v>
      </c>
      <c r="E11" s="602">
        <f>VLOOKUP(A11,Memória!A:S,19,FALSE)</f>
        <v>27457.25</v>
      </c>
      <c r="F11" s="602">
        <f>IF(LEFT(B11,1)="l",VLOOKUP(B11,'Compos lug'!$J:$K,2,FALSE),IF(B11&gt;60000,VLOOKUP(A11,Memória!A:AB,22,FALSE),VLOOKUP(B11,'DER 10-18'!$A:$F,6,FALSE)))</f>
        <v>2.14</v>
      </c>
      <c r="G11" s="943">
        <f t="shared" si="0"/>
        <v>58758.51</v>
      </c>
      <c r="H11" s="965"/>
      <c r="I11" s="966">
        <v>2.14</v>
      </c>
      <c r="J11" s="966">
        <f>F11-I11</f>
        <v>0</v>
      </c>
      <c r="K11" s="600"/>
    </row>
    <row r="12" spans="1:11" s="603" customFormat="1" ht="39.75" customHeight="1" x14ac:dyDescent="0.2">
      <c r="A12" s="583" t="s">
        <v>1017</v>
      </c>
      <c r="B12" s="600">
        <f>VLOOKUP(A12,Memória!A:S,2,FALSE)</f>
        <v>60019</v>
      </c>
      <c r="C12" s="573" t="str">
        <f>VLOOKUP(A12,Memória!A:S,3,FALSE)</f>
        <v>LOCAL COM DMT ATÉ 3,0 KM (Caminhão basculante)1,085XP+1,198XR+1,904 (Incluindo BDI= 23,32%) -  XP=0.000 / XR=0.400 - Transporte de Material - DMT 400.0m</v>
      </c>
      <c r="D12" s="601" t="str">
        <f>VLOOKUP(A12,Memória!A:T,20,FALSE)</f>
        <v>T</v>
      </c>
      <c r="E12" s="602">
        <f>VLOOKUP(A12,Memória!A:S,19,FALSE)</f>
        <v>33528.15</v>
      </c>
      <c r="F12" s="602">
        <f>IF(LEFT(B12,1)="l",VLOOKUP(B12,'Compos lug'!$J:$K,2,FALSE),IF(B12&gt;60000,VLOOKUP(A12,Memória!A:AB,22,FALSE),VLOOKUP(B12,'DER 10-18'!$A:$F,6,FALSE)))</f>
        <v>2.38</v>
      </c>
      <c r="G12" s="943">
        <f t="shared" si="0"/>
        <v>79796.990000000005</v>
      </c>
      <c r="H12" s="965"/>
      <c r="I12" s="966">
        <v>2.38</v>
      </c>
      <c r="J12" s="966">
        <f t="shared" ref="J12:J23" si="2">F12-I12</f>
        <v>0</v>
      </c>
      <c r="K12" s="600"/>
    </row>
    <row r="13" spans="1:11" s="603" customFormat="1" ht="39.75" customHeight="1" x14ac:dyDescent="0.2">
      <c r="A13" s="583" t="s">
        <v>1018</v>
      </c>
      <c r="B13" s="600">
        <f>VLOOKUP(A13,Memória!A:S,2,FALSE)</f>
        <v>60019</v>
      </c>
      <c r="C13" s="573" t="str">
        <f>VLOOKUP(A13,Memória!A:S,3,FALSE)</f>
        <v>LOCAL COM DMT ATÉ 3,0 KM (Caminhão basculante)1,085XP+1,198XR+1,904 (Incluindo BDI= 23,32%) -  XP=0.000 / XR=0.600 - Transporte de Material de 1ª Categoria - DMT 600.0m</v>
      </c>
      <c r="D13" s="601" t="str">
        <f>VLOOKUP(A13,Memória!A:T,20,FALSE)</f>
        <v>T</v>
      </c>
      <c r="E13" s="602">
        <f>VLOOKUP(A13,Memória!A:S,19,FALSE)</f>
        <v>7075.52</v>
      </c>
      <c r="F13" s="602">
        <f>IF(LEFT(B13,1)="l",VLOOKUP(B13,'Compos lug'!$J:$K,2,FALSE),IF(B13&gt;60000,VLOOKUP(A13,Memória!A:AB,22,FALSE),VLOOKUP(B13,'DER 10-18'!$A:$F,6,FALSE)))</f>
        <v>2.62</v>
      </c>
      <c r="G13" s="943">
        <f t="shared" si="0"/>
        <v>18537.86</v>
      </c>
      <c r="H13" s="965"/>
      <c r="I13" s="966">
        <v>2.62</v>
      </c>
      <c r="J13" s="966">
        <f t="shared" si="2"/>
        <v>0</v>
      </c>
      <c r="K13" s="600"/>
    </row>
    <row r="14" spans="1:11" s="603" customFormat="1" ht="39.75" customHeight="1" x14ac:dyDescent="0.2">
      <c r="A14" s="583" t="s">
        <v>1063</v>
      </c>
      <c r="B14" s="600">
        <f>VLOOKUP(A14,Memória!A:S,2,FALSE)</f>
        <v>60019</v>
      </c>
      <c r="C14" s="573" t="str">
        <f>VLOOKUP(A14,Memória!A:S,3,FALSE)</f>
        <v>LOCAL COM DMT ATÉ 3,0 KM (Caminhão basculante)1,085XP+1,198XR+1,904 (Incluindo BDI= 23,32%) -  XP=0.000 / XR=0.800 - Transporte de Material de 1ª Categoria - DMT 800.0m</v>
      </c>
      <c r="D14" s="601" t="str">
        <f>VLOOKUP(A14,Memória!A:T,20,FALSE)</f>
        <v>T</v>
      </c>
      <c r="E14" s="602">
        <f>VLOOKUP(A14,Memória!A:S,19,FALSE)</f>
        <v>22220.14</v>
      </c>
      <c r="F14" s="602">
        <f>IF(LEFT(B14,1)="l",VLOOKUP(B14,'Compos lug'!$J:$K,2,FALSE),IF(B14&gt;60000,VLOOKUP(A14,Memória!A:AB,22,FALSE),VLOOKUP(B14,'DER 10-18'!$A:$F,6,FALSE)))</f>
        <v>2.86</v>
      </c>
      <c r="G14" s="943">
        <f t="shared" si="0"/>
        <v>63549.599999999999</v>
      </c>
      <c r="H14" s="965"/>
      <c r="I14" s="966">
        <v>2.86</v>
      </c>
      <c r="J14" s="966">
        <f t="shared" si="2"/>
        <v>0</v>
      </c>
      <c r="K14" s="600"/>
    </row>
    <row r="15" spans="1:11" s="603" customFormat="1" ht="39.75" customHeight="1" x14ac:dyDescent="0.2">
      <c r="A15" s="583" t="s">
        <v>1064</v>
      </c>
      <c r="B15" s="600">
        <f>VLOOKUP(A15,Memória!A:S,2,FALSE)</f>
        <v>60019</v>
      </c>
      <c r="C15" s="573" t="str">
        <f>VLOOKUP(A15,Memória!A:S,3,FALSE)</f>
        <v>LOCAL COM DMT ATÉ 3,0 KM (Caminhão basculante)1,085XP+1,198XR+1,904 (Incluindo BDI= 23,32%) -  XP=0.000 / XR=1.000 - Transporte de Material de 1ª Categoria - DMT 1000.0m</v>
      </c>
      <c r="D15" s="601" t="str">
        <f>VLOOKUP(A15,Memória!A:T,20,FALSE)</f>
        <v>T</v>
      </c>
      <c r="E15" s="602">
        <f>VLOOKUP(A15,Memória!A:S,19,FALSE)</f>
        <v>134718.1</v>
      </c>
      <c r="F15" s="602">
        <f>IF(LEFT(B15,1)="l",VLOOKUP(B15,'Compos lug'!$J:$K,2,FALSE),IF(B15&gt;60000,VLOOKUP(A15,Memória!A:AB,22,FALSE),VLOOKUP(B15,'DER 10-18'!$A:$F,6,FALSE)))</f>
        <v>3.1</v>
      </c>
      <c r="G15" s="943">
        <f t="shared" si="0"/>
        <v>417626.11</v>
      </c>
      <c r="H15" s="965"/>
      <c r="I15" s="966">
        <v>3.1</v>
      </c>
      <c r="J15" s="966">
        <f t="shared" si="2"/>
        <v>0</v>
      </c>
      <c r="K15" s="600"/>
    </row>
    <row r="16" spans="1:11" s="603" customFormat="1" ht="39.75" customHeight="1" x14ac:dyDescent="0.2">
      <c r="A16" s="583" t="s">
        <v>1310</v>
      </c>
      <c r="B16" s="600">
        <f>VLOOKUP(A16,Memória!A:S,2,FALSE)</f>
        <v>60019</v>
      </c>
      <c r="C16" s="573" t="str">
        <f>VLOOKUP(A16,Memória!A:S,3,FALSE)</f>
        <v>LOCAL COM DMT ATÉ 3,0 KM (Caminhão basculante)1,085XP+1,198XR+1,904 (Incluindo BDI= 23,32%) -  XP=0.000 / XR=1.200 - Transporte de Material de 1ª Categoria - DMT 1200.0m</v>
      </c>
      <c r="D16" s="601" t="str">
        <f>VLOOKUP(A16,Memória!A:T,20,FALSE)</f>
        <v>T</v>
      </c>
      <c r="E16" s="602">
        <f>VLOOKUP(A16,Memória!A:S,19,FALSE)</f>
        <v>9543.1200000000008</v>
      </c>
      <c r="F16" s="602">
        <f>IF(LEFT(B16,1)="l",VLOOKUP(B16,'Compos lug'!$J:$K,2,FALSE),IF(B16&gt;60000,VLOOKUP(A16,Memória!A:AB,22,FALSE),VLOOKUP(B16,'DER 10-18'!$A:$F,6,FALSE)))</f>
        <v>3.34</v>
      </c>
      <c r="G16" s="943">
        <f t="shared" si="0"/>
        <v>31874.02</v>
      </c>
      <c r="H16" s="965"/>
      <c r="I16" s="966">
        <v>3.34</v>
      </c>
      <c r="J16" s="966">
        <f t="shared" si="2"/>
        <v>0</v>
      </c>
      <c r="K16" s="600"/>
    </row>
    <row r="17" spans="1:13" s="603" customFormat="1" ht="39.75" customHeight="1" x14ac:dyDescent="0.2">
      <c r="A17" s="583" t="s">
        <v>1311</v>
      </c>
      <c r="B17" s="600">
        <f>VLOOKUP(A17,Memória!A:S,2,FALSE)</f>
        <v>60019</v>
      </c>
      <c r="C17" s="573" t="str">
        <f>VLOOKUP(A17,Memória!A:S,3,FALSE)</f>
        <v>LOCAL COM DMT ATÉ 3,0 KM (Caminhão basculante)1,085XP+1,198XR+1,904 (Incluindo BDI= 23,32%) -  XP=0.000 / XR=1.400 - Transporte de Material de 1ª Categoria - DMT 1400.0m</v>
      </c>
      <c r="D17" s="601" t="str">
        <f>VLOOKUP(A17,Memória!A:T,20,FALSE)</f>
        <v>T</v>
      </c>
      <c r="E17" s="602">
        <f>VLOOKUP(A17,Memória!A:S,19,FALSE)</f>
        <v>2019.55</v>
      </c>
      <c r="F17" s="602">
        <f>IF(LEFT(B17,1)="l",VLOOKUP(B17,'Compos lug'!$J:$K,2,FALSE),IF(B17&gt;60000,VLOOKUP(A17,Memória!A:AB,22,FALSE),VLOOKUP(B17,'DER 10-18'!$A:$F,6,FALSE)))</f>
        <v>3.58</v>
      </c>
      <c r="G17" s="943">
        <f t="shared" si="0"/>
        <v>7229.98</v>
      </c>
      <c r="H17" s="965"/>
      <c r="I17" s="966">
        <v>3.58</v>
      </c>
      <c r="J17" s="966">
        <f t="shared" si="2"/>
        <v>0</v>
      </c>
      <c r="K17" s="600"/>
    </row>
    <row r="18" spans="1:13" s="603" customFormat="1" ht="39.75" customHeight="1" x14ac:dyDescent="0.2">
      <c r="A18" s="583" t="s">
        <v>1312</v>
      </c>
      <c r="B18" s="600">
        <f>VLOOKUP(A18,Memória!A:S,2,FALSE)</f>
        <v>60019</v>
      </c>
      <c r="C18" s="573" t="str">
        <f>VLOOKUP(A18,Memória!A:S,3,FALSE)</f>
        <v>LOCAL COM DMT ATÉ 3,0 KM (Caminhão basculante)1,085XP+1,198XR+1,904 (Incluindo BDI= 23,32%) -  XP=0.000 / XR=1.600 - Transporte de Material - DMT 1600.0m</v>
      </c>
      <c r="D18" s="601" t="str">
        <f>VLOOKUP(A18,Memória!A:T,20,FALSE)</f>
        <v>T</v>
      </c>
      <c r="E18" s="602">
        <f>VLOOKUP(A18,Memória!A:S,19,FALSE)</f>
        <v>10415.120000000001</v>
      </c>
      <c r="F18" s="602">
        <f>IF(LEFT(B18,1)="l",VLOOKUP(B18,'Compos lug'!$J:$K,2,FALSE),IF(B18&gt;60000,VLOOKUP(A18,Memória!A:AB,22,FALSE),VLOOKUP(B18,'DER 10-18'!$A:$F,6,FALSE)))</f>
        <v>3.82</v>
      </c>
      <c r="G18" s="943">
        <f t="shared" si="0"/>
        <v>39785.75</v>
      </c>
      <c r="H18" s="965"/>
      <c r="I18" s="966">
        <v>3.82</v>
      </c>
      <c r="J18" s="966">
        <f t="shared" si="2"/>
        <v>0</v>
      </c>
      <c r="K18" s="600"/>
    </row>
    <row r="19" spans="1:13" s="603" customFormat="1" ht="39.75" customHeight="1" x14ac:dyDescent="0.2">
      <c r="A19" s="583" t="s">
        <v>1370</v>
      </c>
      <c r="B19" s="600">
        <f>VLOOKUP(A19,Memória!A:S,2,FALSE)</f>
        <v>60019</v>
      </c>
      <c r="C19" s="573" t="str">
        <f>VLOOKUP(A19,Memória!A:S,3,FALSE)</f>
        <v>LOCAL COM DMT ATÉ 3,0 KM (Caminhão basculante)1,085XP+1,198XR+1,904 (Incluindo BDI= 23,32%) -  XP=0.000 / XR=1.800 - Transporte de Material de 1ª Categoria - DMT 1800.0m</v>
      </c>
      <c r="D19" s="601" t="str">
        <f>VLOOKUP(A19,Memória!A:T,20,FALSE)</f>
        <v>T</v>
      </c>
      <c r="E19" s="602">
        <f>VLOOKUP(A19,Memória!A:S,19,FALSE)</f>
        <v>26945.200000000001</v>
      </c>
      <c r="F19" s="602">
        <f>IF(LEFT(B19,1)="l",VLOOKUP(B19,'Compos lug'!$J:$K,2,FALSE),IF(B19&gt;60000,VLOOKUP(A19,Memória!A:AB,22,FALSE),VLOOKUP(B19,'DER 10-18'!$A:$F,6,FALSE)))</f>
        <v>4.0599999999999996</v>
      </c>
      <c r="G19" s="943">
        <f t="shared" si="0"/>
        <v>109397.51</v>
      </c>
      <c r="H19" s="965"/>
      <c r="I19" s="966">
        <v>4.0599999999999996</v>
      </c>
      <c r="J19" s="966">
        <f t="shared" si="2"/>
        <v>0</v>
      </c>
      <c r="K19" s="600"/>
    </row>
    <row r="20" spans="1:13" s="603" customFormat="1" ht="39.75" customHeight="1" x14ac:dyDescent="0.2">
      <c r="A20" s="583" t="s">
        <v>1371</v>
      </c>
      <c r="B20" s="600">
        <f>VLOOKUP(A20,Memória!A:S,2,FALSE)</f>
        <v>60019</v>
      </c>
      <c r="C20" s="573" t="str">
        <f>VLOOKUP(A20,Memória!A:S,3,FALSE)</f>
        <v>LOCAL COM DMT ATÉ 3,0 KM (Caminhão basculante)1,085XP+1,198XR+1,904 (Incluindo BDI= 23,32%) -  XP=T / XR=2,000</v>
      </c>
      <c r="D20" s="601" t="str">
        <f>VLOOKUP(A20,Memória!A:T,20,FALSE)</f>
        <v>T</v>
      </c>
      <c r="E20" s="602">
        <f>VLOOKUP(A20,Memória!A:S,19,FALSE)</f>
        <v>1145.02</v>
      </c>
      <c r="F20" s="602">
        <f>IF(LEFT(B20,1)="l",VLOOKUP(B20,'Compos lug'!$J:$K,2,FALSE),IF(B20&gt;60000,VLOOKUP(A20,Memória!A:AB,22,FALSE),VLOOKUP(B20,'DER 10-18'!$A:$F,6,FALSE)))</f>
        <v>4.3</v>
      </c>
      <c r="G20" s="943">
        <f t="shared" si="0"/>
        <v>4923.58</v>
      </c>
      <c r="H20" s="965"/>
      <c r="I20" s="966">
        <v>4.3</v>
      </c>
      <c r="J20" s="966">
        <f t="shared" si="2"/>
        <v>0</v>
      </c>
      <c r="K20" s="600"/>
    </row>
    <row r="21" spans="1:13" s="603" customFormat="1" ht="39.75" customHeight="1" x14ac:dyDescent="0.2">
      <c r="A21" s="583" t="s">
        <v>1372</v>
      </c>
      <c r="B21" s="600">
        <f>VLOOKUP(A21,Memória!A:S,2,FALSE)</f>
        <v>60019</v>
      </c>
      <c r="C21" s="573" t="str">
        <f>VLOOKUP(A21,Memória!A:S,3,FALSE)</f>
        <v>LOCAL COM DMT ATÉ 3,0 KM (Caminhão basculante)1,085XP+1,198XR+1,904 (Incluindo BDI= 23,32%) -  XP=0.000 / XR=2.500 - Empréstimo - Transporte de Material - DMT 2500.0m</v>
      </c>
      <c r="D21" s="601" t="str">
        <f>VLOOKUP(A21,Memória!A:T,20,FALSE)</f>
        <v>T</v>
      </c>
      <c r="E21" s="602">
        <f>VLOOKUP(A21,Memória!A:S,19,FALSE)</f>
        <v>3593.63</v>
      </c>
      <c r="F21" s="602">
        <f>IF(LEFT(B21,1)="l",VLOOKUP(B21,'Compos lug'!$J:$K,2,FALSE),IF(B21&gt;60000,VLOOKUP(A21,Memória!A:AB,22,FALSE),VLOOKUP(B21,'DER 10-18'!$A:$F,6,FALSE)))</f>
        <v>4.9000000000000004</v>
      </c>
      <c r="G21" s="943">
        <f t="shared" si="0"/>
        <v>17608.78</v>
      </c>
      <c r="H21" s="965"/>
      <c r="I21" s="966">
        <v>4.9000000000000004</v>
      </c>
      <c r="J21" s="966">
        <f t="shared" si="2"/>
        <v>0</v>
      </c>
      <c r="K21" s="600"/>
    </row>
    <row r="22" spans="1:13" s="603" customFormat="1" ht="39.75" customHeight="1" x14ac:dyDescent="0.2">
      <c r="A22" s="583" t="s">
        <v>1373</v>
      </c>
      <c r="B22" s="600">
        <f>VLOOKUP(A22,Memória!A:S,2,FALSE)</f>
        <v>60019</v>
      </c>
      <c r="C22" s="573" t="str">
        <f>VLOOKUP(A22,Memória!A:S,3,FALSE)</f>
        <v>LOCAL COM DMT ATÉ 3,0 KM (Caminhão basculante)1,085XP+1,198XR+1,904 (Incluindo BDI= 23,32%) -  XP=0.000 / XR=3.000 - Transporte de Material - DMT 3000.0m</v>
      </c>
      <c r="D22" s="601" t="str">
        <f>VLOOKUP(A22,Memória!A:T,20,FALSE)</f>
        <v>T</v>
      </c>
      <c r="E22" s="602">
        <f>VLOOKUP(A22,Memória!A:S,19,FALSE)</f>
        <v>30988.86</v>
      </c>
      <c r="F22" s="602">
        <f>IF(LEFT(B22,1)="l",VLOOKUP(B22,'Compos lug'!$J:$K,2,FALSE),IF(B22&gt;60000,VLOOKUP(A22,Memória!A:AB,22,FALSE),VLOOKUP(B22,'DER 10-18'!$A:$F,6,FALSE)))</f>
        <v>5.5</v>
      </c>
      <c r="G22" s="943">
        <f t="shared" si="0"/>
        <v>170438.73</v>
      </c>
      <c r="H22" s="965"/>
      <c r="I22" s="966">
        <v>5.5</v>
      </c>
      <c r="J22" s="966">
        <f t="shared" si="2"/>
        <v>0</v>
      </c>
      <c r="K22" s="600"/>
    </row>
    <row r="23" spans="1:13" s="603" customFormat="1" ht="39.75" customHeight="1" x14ac:dyDescent="0.2">
      <c r="A23" s="583" t="s">
        <v>1531</v>
      </c>
      <c r="B23" s="600">
        <f>VLOOKUP(A23,Memória!A:S,2,FALSE)</f>
        <v>60020</v>
      </c>
      <c r="C23" s="573" t="str">
        <f>VLOOKUP(A23,Memória!A:S,3,FALSE)</f>
        <v>LOCAL COM DMT DE 3,1 A 5,0 KM (Caminhão basculante)0,972XP+1,093XR+1,823 -  XP=0.000 / XR=5.000 - Empréstimo - Transporte de Material - DMT 5000.0m</v>
      </c>
      <c r="D23" s="601" t="str">
        <f>VLOOKUP(A23,Memória!A:T,20,FALSE)</f>
        <v>T</v>
      </c>
      <c r="E23" s="602">
        <f>VLOOKUP(A23,Memória!A:S,19,FALSE)</f>
        <v>13876.23</v>
      </c>
      <c r="F23" s="602">
        <f>IF(LEFT(B23,1)="l",VLOOKUP(B23,'Compos lug'!$J:$K,2,FALSE),IF(B23&gt;60000,VLOOKUP(A23,Memória!A:AB,22,FALSE),VLOOKUP(B23,'DER 10-18'!$A:$F,6,FALSE)))</f>
        <v>7.29</v>
      </c>
      <c r="G23" s="943">
        <f t="shared" si="0"/>
        <v>101157.71</v>
      </c>
      <c r="H23" s="965"/>
      <c r="I23" s="966">
        <v>7.29</v>
      </c>
      <c r="J23" s="966">
        <f t="shared" si="2"/>
        <v>0</v>
      </c>
      <c r="K23" s="600"/>
    </row>
    <row r="24" spans="1:13" s="594" customFormat="1" x14ac:dyDescent="0.2">
      <c r="A24" s="583" t="s">
        <v>1532</v>
      </c>
      <c r="B24" s="600">
        <f>VLOOKUP(A24,Memória!A:S,2,FALSE)</f>
        <v>43335</v>
      </c>
      <c r="C24" s="573" t="str">
        <f>VLOOKUP(A24,Memória!A:S,3,FALSE)</f>
        <v>Espalhamento / regularização / compactação de material em bota-fora</v>
      </c>
      <c r="D24" s="601" t="str">
        <f>VLOOKUP(A24,Memória!A:T,20,FALSE)</f>
        <v>M3</v>
      </c>
      <c r="E24" s="602">
        <f>VLOOKUP(A24,Memória!A:S,19,FALSE)</f>
        <v>673.54</v>
      </c>
      <c r="F24" s="602">
        <f>IF(LEFT(B24,1)="l",VLOOKUP(B24,'Compos lug'!$J:$K,2,FALSE),IF(B24&gt;60000,VLOOKUP(A24,Memória!A:AB,22,FALSE),VLOOKUP(B24,'DER 10-18'!$A:$F,6,FALSE)))</f>
        <v>2.5499999999999998</v>
      </c>
      <c r="G24" s="943">
        <f t="shared" si="0"/>
        <v>1717.52</v>
      </c>
      <c r="H24" s="980">
        <v>2.5499999999999998</v>
      </c>
      <c r="I24" s="981">
        <v>2.5499999999999998</v>
      </c>
      <c r="J24" s="981">
        <f>F24-H24</f>
        <v>0</v>
      </c>
      <c r="K24" s="982"/>
    </row>
    <row r="25" spans="1:13" s="603" customFormat="1" x14ac:dyDescent="0.2">
      <c r="A25" s="604"/>
      <c r="B25" s="734"/>
      <c r="C25" s="605" t="s">
        <v>133</v>
      </c>
      <c r="D25" s="606"/>
      <c r="E25" s="607"/>
      <c r="F25" s="608"/>
      <c r="G25" s="607">
        <f>SUM(G6:G24)</f>
        <v>2511656.15</v>
      </c>
      <c r="H25" s="952"/>
      <c r="I25" s="951"/>
      <c r="J25" s="951"/>
      <c r="K25" s="986"/>
      <c r="L25" s="594"/>
      <c r="M25" s="594"/>
    </row>
    <row r="26" spans="1:13" s="603" customFormat="1" x14ac:dyDescent="0.2">
      <c r="A26" s="937">
        <v>2</v>
      </c>
      <c r="B26" s="938"/>
      <c r="C26" s="939" t="str">
        <f>VLOOKUP(A26,Memória!A:S,3,FALSE)</f>
        <v>DRENAGEM E OAC</v>
      </c>
      <c r="D26" s="591"/>
      <c r="E26" s="609"/>
      <c r="F26" s="610"/>
      <c r="G26" s="944"/>
      <c r="H26" s="983"/>
      <c r="I26" s="984"/>
      <c r="J26" s="984"/>
      <c r="K26" s="985"/>
      <c r="L26" s="594"/>
      <c r="M26" s="594"/>
    </row>
    <row r="27" spans="1:13" s="603" customFormat="1" ht="25.5" customHeight="1" x14ac:dyDescent="0.2">
      <c r="A27" s="584" t="s">
        <v>139</v>
      </c>
      <c r="B27" s="600">
        <f>VLOOKUP(A27,Memória!A:S,2,FALSE)</f>
        <v>40283</v>
      </c>
      <c r="C27" s="573" t="str">
        <f>VLOOKUP(A27,Memória!A:S,3,FALSE)</f>
        <v>Escavação mecânica em material de 1ª cat. H= 1,50 a 3,00 m</v>
      </c>
      <c r="D27" s="601" t="str">
        <f>VLOOKUP(A27,Memória!A:T,20,FALSE)</f>
        <v>M3</v>
      </c>
      <c r="E27" s="602">
        <f>VLOOKUP(A27,Memória!A:S,19,FALSE)</f>
        <v>1290.5999999999999</v>
      </c>
      <c r="F27" s="602">
        <f>IF(LEFT(B27,1)="l",VLOOKUP(B27,'Compos lug'!$J:$K,2,FALSE),IF(B27&gt;60000,VLOOKUP(A27,Memória!A:AB,22,FALSE),VLOOKUP(B27,'DER 10-18'!$A:$F,6,FALSE)))</f>
        <v>13.47</v>
      </c>
      <c r="G27" s="943">
        <f t="shared" ref="G27:G71" si="3">TRUNC(E27*F27,2)</f>
        <v>17384.38</v>
      </c>
      <c r="H27" s="965">
        <v>13.46</v>
      </c>
      <c r="I27" s="966">
        <v>13.47</v>
      </c>
      <c r="J27" s="966">
        <f>F27-H27</f>
        <v>0.01</v>
      </c>
      <c r="K27" s="601" t="s">
        <v>1833</v>
      </c>
      <c r="L27" s="594"/>
      <c r="M27" s="594"/>
    </row>
    <row r="28" spans="1:13" s="603" customFormat="1" ht="18.75" customHeight="1" x14ac:dyDescent="0.2">
      <c r="A28" s="584" t="s">
        <v>140</v>
      </c>
      <c r="B28" s="600">
        <f>VLOOKUP(A28,Memória!A:S,2,FALSE)</f>
        <v>40284</v>
      </c>
      <c r="C28" s="573" t="str">
        <f>VLOOKUP(A28,Memória!A:S,3,FALSE)</f>
        <v>Escavação mecânica em material de 1ª cat. H= 3,00 a 4,50 m</v>
      </c>
      <c r="D28" s="601" t="str">
        <f>VLOOKUP(A28,Memória!A:T,20,FALSE)</f>
        <v>M3</v>
      </c>
      <c r="E28" s="602">
        <f>VLOOKUP(A28,Memória!A:S,19,FALSE)</f>
        <v>1712</v>
      </c>
      <c r="F28" s="602">
        <f>IF(LEFT(B28,1)="l",VLOOKUP(B28,'Compos lug'!$J:$K,2,FALSE),IF(B28&gt;60000,VLOOKUP(A28,Memória!A:AB,22,FALSE),VLOOKUP(B28,'DER 10-18'!$A:$F,6,FALSE)))</f>
        <v>15.85</v>
      </c>
      <c r="G28" s="943">
        <f t="shared" si="3"/>
        <v>27135.200000000001</v>
      </c>
      <c r="H28" s="965">
        <v>15.84</v>
      </c>
      <c r="I28" s="966">
        <v>15.85</v>
      </c>
      <c r="J28" s="966">
        <f t="shared" ref="J28:J38" si="4">F28-H28</f>
        <v>0.01</v>
      </c>
      <c r="K28" s="601" t="s">
        <v>1833</v>
      </c>
      <c r="L28" s="594"/>
      <c r="M28" s="594"/>
    </row>
    <row r="29" spans="1:13" s="603" customFormat="1" x14ac:dyDescent="0.2">
      <c r="A29" s="584" t="s">
        <v>245</v>
      </c>
      <c r="B29" s="600">
        <f>VLOOKUP(A29,Memória!A:S,2,FALSE)</f>
        <v>40303</v>
      </c>
      <c r="C29" s="573" t="str">
        <f>VLOOKUP(A29,Memória!A:S,3,FALSE)</f>
        <v>Reaterro de cavas c/ compactação mecânica (compactador manual)</v>
      </c>
      <c r="D29" s="601" t="str">
        <f>VLOOKUP(A29,Memória!A:T,20,FALSE)</f>
        <v>M3</v>
      </c>
      <c r="E29" s="602">
        <f>VLOOKUP(A29,Memória!A:S,19,FALSE)</f>
        <v>11585.64</v>
      </c>
      <c r="F29" s="602">
        <f>IF(LEFT(B29,1)="l",VLOOKUP(B29,'Compos lug'!$J:$K,2,FALSE),IF(B29&gt;60000,VLOOKUP(A29,Memória!A:AB,22,FALSE),VLOOKUP(B29,'DER 10-18'!$A:$F,6,FALSE)))</f>
        <v>43</v>
      </c>
      <c r="G29" s="943">
        <f t="shared" si="3"/>
        <v>498182.52</v>
      </c>
      <c r="H29" s="965">
        <v>43</v>
      </c>
      <c r="I29" s="966">
        <v>43</v>
      </c>
      <c r="J29" s="966">
        <f t="shared" si="4"/>
        <v>0</v>
      </c>
      <c r="K29" s="968"/>
    </row>
    <row r="30" spans="1:13" s="603" customFormat="1" ht="33.75" customHeight="1" x14ac:dyDescent="0.2">
      <c r="A30" s="584" t="s">
        <v>246</v>
      </c>
      <c r="B30" s="600">
        <f>VLOOKUP(A30,Memória!A:S,2,FALSE)</f>
        <v>40433</v>
      </c>
      <c r="C30" s="573" t="str">
        <f>VLOOKUP(A30,Memória!A:S,3,FALSE)</f>
        <v>Corpo BSTC (greide) diâmetro 0,80 m CA-1 PB inclusive escavação, reaterro e transporte do tubo</v>
      </c>
      <c r="D30" s="601" t="str">
        <f>VLOOKUP(A30,Memória!A:T,20,FALSE)</f>
        <v>M</v>
      </c>
      <c r="E30" s="602">
        <f>VLOOKUP(A30,Memória!A:S,19,FALSE)</f>
        <v>161.5</v>
      </c>
      <c r="F30" s="602">
        <f>IF(LEFT(B30,1)="l",VLOOKUP(B30,'Compos lug'!$J:$K,2,FALSE),IF(B30&gt;60000,VLOOKUP(A30,Memória!A:AB,22,FALSE),VLOOKUP(B30,'DER 10-18'!$A:$F,6,FALSE)))</f>
        <v>556.07000000000005</v>
      </c>
      <c r="G30" s="943">
        <f t="shared" si="3"/>
        <v>89805.3</v>
      </c>
      <c r="H30" s="965">
        <v>507.94</v>
      </c>
      <c r="I30" s="966">
        <v>531.82000000000005</v>
      </c>
      <c r="J30" s="966">
        <f t="shared" si="4"/>
        <v>48.13</v>
      </c>
      <c r="K30" s="601" t="s">
        <v>3265</v>
      </c>
    </row>
    <row r="31" spans="1:13" s="603" customFormat="1" ht="34.5" customHeight="1" x14ac:dyDescent="0.2">
      <c r="A31" s="584" t="s">
        <v>247</v>
      </c>
      <c r="B31" s="600">
        <f>VLOOKUP(A31,Memória!A:S,2,FALSE)</f>
        <v>40453</v>
      </c>
      <c r="C31" s="573" t="str">
        <f>VLOOKUP(A31,Memória!A:S,3,FALSE)</f>
        <v>Corpo BSTC (grota) diâmetro 1,00 m CA-1 PB exclusive escavação e reaterro, inclusive transporte do tubo</v>
      </c>
      <c r="D31" s="601" t="str">
        <f>VLOOKUP(A31,Memória!A:T,20,FALSE)</f>
        <v>M</v>
      </c>
      <c r="E31" s="602">
        <f>VLOOKUP(A31,Memória!A:S,19,FALSE)</f>
        <v>29</v>
      </c>
      <c r="F31" s="602">
        <f>IF(LEFT(B31,1)="l",VLOOKUP(B31,'Compos lug'!$J:$K,2,FALSE),IF(B31&gt;60000,VLOOKUP(A31,Memória!A:AB,22,FALSE),VLOOKUP(B31,'DER 10-18'!$A:$F,6,FALSE)))</f>
        <v>528.5</v>
      </c>
      <c r="G31" s="943">
        <f t="shared" si="3"/>
        <v>15326.5</v>
      </c>
      <c r="H31" s="965">
        <v>494.11</v>
      </c>
      <c r="I31" s="966">
        <f t="shared" ref="I31:I38" si="5">F31</f>
        <v>528.5</v>
      </c>
      <c r="J31" s="966">
        <f t="shared" si="4"/>
        <v>34.39</v>
      </c>
      <c r="K31" s="601" t="s">
        <v>1836</v>
      </c>
      <c r="L31" s="603" t="s">
        <v>1834</v>
      </c>
    </row>
    <row r="32" spans="1:13" s="603" customFormat="1" ht="23.25" customHeight="1" x14ac:dyDescent="0.2">
      <c r="A32" s="584" t="s">
        <v>248</v>
      </c>
      <c r="B32" s="600">
        <f>VLOOKUP(A32,Memória!A:S,2,FALSE)</f>
        <v>40591</v>
      </c>
      <c r="C32" s="573" t="str">
        <f>VLOOKUP(A32,Memória!A:S,3,FALSE)</f>
        <v>Corpo de BDCC 3,00 x 3,00 m projeto DNIT para H &lt; = 2,50 m</v>
      </c>
      <c r="D32" s="601" t="str">
        <f>VLOOKUP(A32,Memória!A:T,20,FALSE)</f>
        <v>M</v>
      </c>
      <c r="E32" s="602">
        <f>VLOOKUP(A32,Memória!A:S,19,FALSE)</f>
        <v>22</v>
      </c>
      <c r="F32" s="602">
        <f>IF(LEFT(B32,1)="l",VLOOKUP(B32,'Compos lug'!$J:$K,2,FALSE),IF(B32&gt;60000,VLOOKUP(A32,Memória!A:AB,22,FALSE),VLOOKUP(B32,'DER 10-18'!$A:$F,6,FALSE)))</f>
        <v>11230.68</v>
      </c>
      <c r="G32" s="943">
        <f t="shared" si="3"/>
        <v>247074.96</v>
      </c>
      <c r="H32" s="965">
        <v>10779.4</v>
      </c>
      <c r="I32" s="966">
        <f t="shared" si="5"/>
        <v>11230.68</v>
      </c>
      <c r="J32" s="966">
        <f t="shared" si="4"/>
        <v>451.28</v>
      </c>
      <c r="K32" s="601" t="s">
        <v>1839</v>
      </c>
    </row>
    <row r="33" spans="1:11" s="603" customFormat="1" ht="37.5" customHeight="1" x14ac:dyDescent="0.2">
      <c r="A33" s="584" t="s">
        <v>249</v>
      </c>
      <c r="B33" s="600">
        <f>VLOOKUP(A33,Memória!A:S,2,FALSE)</f>
        <v>40478</v>
      </c>
      <c r="C33" s="573" t="str">
        <f>VLOOKUP(A33,Memória!A:S,3,FALSE)</f>
        <v>Corpo BDTC (grota) diâmetro 1,00 m CA-2 PB exclusive escavação e reaterro, inclusive transporte do tubo</v>
      </c>
      <c r="D33" s="601" t="str">
        <f>VLOOKUP(A33,Memória!A:T,20,FALSE)</f>
        <v>M</v>
      </c>
      <c r="E33" s="602">
        <f>VLOOKUP(A33,Memória!A:S,19,FALSE)</f>
        <v>42</v>
      </c>
      <c r="F33" s="602">
        <f>IF(LEFT(B33,1)="l",VLOOKUP(B33,'Compos lug'!$J:$K,2,FALSE),IF(B33&gt;60000,VLOOKUP(A33,Memória!A:AB,22,FALSE),VLOOKUP(B33,'DER 10-18'!$A:$F,6,FALSE)))</f>
        <v>1100.58</v>
      </c>
      <c r="G33" s="943">
        <f t="shared" si="3"/>
        <v>46224.36</v>
      </c>
      <c r="H33" s="965">
        <v>1030.3699999999999</v>
      </c>
      <c r="I33" s="966">
        <f t="shared" si="5"/>
        <v>1100.58</v>
      </c>
      <c r="J33" s="966">
        <f t="shared" si="4"/>
        <v>70.209999999999994</v>
      </c>
      <c r="K33" s="601" t="s">
        <v>1836</v>
      </c>
    </row>
    <row r="34" spans="1:11" s="611" customFormat="1" ht="45.75" customHeight="1" x14ac:dyDescent="0.2">
      <c r="A34" s="584" t="s">
        <v>250</v>
      </c>
      <c r="B34" s="600">
        <f>VLOOKUP(A34,Memória!A:S,2,FALSE)</f>
        <v>40483</v>
      </c>
      <c r="C34" s="573" t="str">
        <f>VLOOKUP(A34,Memória!A:S,3,FALSE)</f>
        <v>Corpo BDTC (grota) diâmetro 1,20 m CA-2 PB exclusive escavação e reaterro, inclusive transporte do tubo</v>
      </c>
      <c r="D34" s="601" t="str">
        <f>VLOOKUP(A34,Memória!A:T,20,FALSE)</f>
        <v>M</v>
      </c>
      <c r="E34" s="602">
        <f>VLOOKUP(A34,Memória!A:S,19,FALSE)</f>
        <v>97</v>
      </c>
      <c r="F34" s="602">
        <f>IF(LEFT(B34,1)="l",VLOOKUP(B34,'Compos lug'!$J:$K,2,FALSE),IF(B34&gt;60000,VLOOKUP(A34,Memória!A:AB,22,FALSE),VLOOKUP(B34,'DER 10-18'!$A:$F,6,FALSE)))</f>
        <v>1465.79</v>
      </c>
      <c r="G34" s="943">
        <f t="shared" si="3"/>
        <v>142181.63</v>
      </c>
      <c r="H34" s="965">
        <v>1358.59</v>
      </c>
      <c r="I34" s="966">
        <f t="shared" si="5"/>
        <v>1465.79</v>
      </c>
      <c r="J34" s="966">
        <f t="shared" si="4"/>
        <v>107.2</v>
      </c>
      <c r="K34" s="601" t="s">
        <v>1836</v>
      </c>
    </row>
    <row r="35" spans="1:11" s="611" customFormat="1" ht="33.75" customHeight="1" x14ac:dyDescent="0.2">
      <c r="A35" s="584" t="s">
        <v>251</v>
      </c>
      <c r="B35" s="600">
        <f>VLOOKUP(A35,Memória!A:S,2,FALSE)</f>
        <v>41102</v>
      </c>
      <c r="C35" s="573" t="str">
        <f>VLOOKUP(A35,Memória!A:S,3,FALSE)</f>
        <v>BSCC (pré-moldado) 1,50 x 1,50 x 1,00m CL 45t, inclusive transporte do Anel de Bueiro Celular Pré-moldado</v>
      </c>
      <c r="D35" s="601" t="str">
        <f>VLOOKUP(A35,Memória!A:T,20,FALSE)</f>
        <v>M</v>
      </c>
      <c r="E35" s="602">
        <f>VLOOKUP(A35,Memória!A:S,19,FALSE)</f>
        <v>21</v>
      </c>
      <c r="F35" s="602">
        <f>IF(LEFT(B35,1)="l",VLOOKUP(B35,'Compos lug'!$J:$K,2,FALSE),IF(B35&gt;60000,VLOOKUP(A35,Memória!A:AB,22,FALSE),VLOOKUP(B35,'DER 10-18'!$A:$F,6,FALSE)))</f>
        <v>2056.9</v>
      </c>
      <c r="G35" s="943">
        <f t="shared" si="3"/>
        <v>43194.9</v>
      </c>
      <c r="H35" s="965">
        <v>1952.47</v>
      </c>
      <c r="I35" s="966">
        <f t="shared" si="5"/>
        <v>2056.9</v>
      </c>
      <c r="J35" s="966">
        <f t="shared" si="4"/>
        <v>104.43</v>
      </c>
      <c r="K35" s="601" t="s">
        <v>1835</v>
      </c>
    </row>
    <row r="36" spans="1:11" s="611" customFormat="1" ht="42" customHeight="1" x14ac:dyDescent="0.2">
      <c r="A36" s="584" t="s">
        <v>252</v>
      </c>
      <c r="B36" s="600">
        <f>VLOOKUP(A36,Memória!A:S,2,FALSE)</f>
        <v>41103</v>
      </c>
      <c r="C36" s="573" t="str">
        <f>VLOOKUP(A36,Memória!A:S,3,FALSE)</f>
        <v>BSCC (pré-moldado) 2,00 x 2,00 x 1,00m CL 45t, inclusive transporte de Anel de Bueiro Celular Pré-moldado</v>
      </c>
      <c r="D36" s="601" t="str">
        <f>VLOOKUP(A36,Memória!A:T,20,FALSE)</f>
        <v>M</v>
      </c>
      <c r="E36" s="602">
        <f>VLOOKUP(A36,Memória!A:S,19,FALSE)</f>
        <v>22</v>
      </c>
      <c r="F36" s="602">
        <f>IF(LEFT(B36,1)="l",VLOOKUP(B36,'Compos lug'!$J:$K,2,FALSE),IF(B36&gt;60000,VLOOKUP(A36,Memória!A:AB,22,FALSE),VLOOKUP(B36,'DER 10-18'!$A:$F,6,FALSE)))</f>
        <v>2856.97</v>
      </c>
      <c r="G36" s="943">
        <f t="shared" si="3"/>
        <v>62853.34</v>
      </c>
      <c r="H36" s="965">
        <v>2696.94</v>
      </c>
      <c r="I36" s="966">
        <f t="shared" si="5"/>
        <v>2856.97</v>
      </c>
      <c r="J36" s="966">
        <f t="shared" si="4"/>
        <v>160.03</v>
      </c>
      <c r="K36" s="601" t="s">
        <v>1835</v>
      </c>
    </row>
    <row r="37" spans="1:11" s="611" customFormat="1" ht="38.25" customHeight="1" x14ac:dyDescent="0.2">
      <c r="A37" s="584" t="s">
        <v>253</v>
      </c>
      <c r="B37" s="600">
        <f>VLOOKUP(A37,Memória!A:S,2,FALSE)</f>
        <v>42767</v>
      </c>
      <c r="C37" s="573" t="str">
        <f>VLOOKUP(A37,Memória!A:S,3,FALSE)</f>
        <v>Corpo BSTC (greide) diâmetro 0,80 m CA-2 PB inclusive escavação, reaterro e transporte do tubo em Vias Urbanas</v>
      </c>
      <c r="D37" s="601" t="str">
        <f>VLOOKUP(A37,Memória!A:T,20,FALSE)</f>
        <v>M</v>
      </c>
      <c r="E37" s="602">
        <f>VLOOKUP(A37,Memória!A:S,19,FALSE)</f>
        <v>758.5</v>
      </c>
      <c r="F37" s="602">
        <f>IF(LEFT(B37,1)="l",VLOOKUP(B37,'Compos lug'!$J:$K,2,FALSE),IF(B37&gt;60000,VLOOKUP(A37,Memória!A:AB,22,FALSE),VLOOKUP(B37,'DER 10-18'!$A:$F,6,FALSE)))</f>
        <v>627.46</v>
      </c>
      <c r="G37" s="943">
        <f t="shared" si="3"/>
        <v>475928.41</v>
      </c>
      <c r="H37" s="965">
        <v>602.77</v>
      </c>
      <c r="I37" s="966">
        <f t="shared" si="5"/>
        <v>627.46</v>
      </c>
      <c r="J37" s="966">
        <f t="shared" si="4"/>
        <v>24.69</v>
      </c>
      <c r="K37" s="601" t="s">
        <v>1836</v>
      </c>
    </row>
    <row r="38" spans="1:11" s="611" customFormat="1" ht="25.5" customHeight="1" x14ac:dyDescent="0.2">
      <c r="A38" s="584" t="s">
        <v>254</v>
      </c>
      <c r="B38" s="600">
        <f>VLOOKUP(A38,Memória!A:S,2,FALSE)</f>
        <v>40521</v>
      </c>
      <c r="C38" s="573" t="str">
        <f>VLOOKUP(A38,Memória!A:S,3,FALSE)</f>
        <v>Berço de concreto ciclópico para BDTC diâmetro 1,00 m</v>
      </c>
      <c r="D38" s="601" t="str">
        <f>VLOOKUP(A38,Memória!A:T,20,FALSE)</f>
        <v>M</v>
      </c>
      <c r="E38" s="602">
        <f>VLOOKUP(A38,Memória!A:S,19,FALSE)</f>
        <v>42</v>
      </c>
      <c r="F38" s="602">
        <f>IF(LEFT(B38,1)="l",VLOOKUP(B38,'Compos lug'!$J:$K,2,FALSE),IF(B38&gt;60000,VLOOKUP(A38,Memória!A:AB,22,FALSE),VLOOKUP(B38,'DER 10-18'!$A:$F,6,FALSE)))</f>
        <v>658.52</v>
      </c>
      <c r="G38" s="943">
        <f t="shared" si="3"/>
        <v>27657.84</v>
      </c>
      <c r="H38" s="965">
        <v>579.45000000000005</v>
      </c>
      <c r="I38" s="966">
        <f t="shared" si="5"/>
        <v>658.52</v>
      </c>
      <c r="J38" s="966">
        <f t="shared" si="4"/>
        <v>79.069999999999993</v>
      </c>
      <c r="K38" s="601" t="s">
        <v>1838</v>
      </c>
    </row>
    <row r="39" spans="1:11" s="611" customFormat="1" ht="22.5" customHeight="1" x14ac:dyDescent="0.2">
      <c r="A39" s="584" t="s">
        <v>255</v>
      </c>
      <c r="B39" s="600">
        <f>VLOOKUP(A39,Memória!A:S,2,FALSE)</f>
        <v>40522</v>
      </c>
      <c r="C39" s="573" t="str">
        <f>VLOOKUP(A39,Memória!A:S,3,FALSE)</f>
        <v>Berço de concreto ciclópico para BDTC diâmetro 1,20 m</v>
      </c>
      <c r="D39" s="601" t="str">
        <f>VLOOKUP(A39,Memória!A:T,20,FALSE)</f>
        <v>M</v>
      </c>
      <c r="E39" s="602">
        <f>VLOOKUP(A39,Memória!A:S,19,FALSE)</f>
        <v>97</v>
      </c>
      <c r="F39" s="602">
        <f>IF(LEFT(B39,1)="l",VLOOKUP(B39,'Compos lug'!$J:$K,2,FALSE),IF(B39&gt;60000,VLOOKUP(A39,Memória!A:AB,22,FALSE),VLOOKUP(B39,'DER 10-18'!$A:$F,6,FALSE)))</f>
        <v>890.2</v>
      </c>
      <c r="G39" s="943">
        <f t="shared" si="3"/>
        <v>86349.4</v>
      </c>
      <c r="H39" s="965">
        <v>781.49</v>
      </c>
      <c r="I39" s="966">
        <f t="shared" ref="I39:I46" si="6">F39</f>
        <v>890.2</v>
      </c>
      <c r="J39" s="966">
        <f t="shared" ref="J39:J49" si="7">F39-H39</f>
        <v>108.71</v>
      </c>
      <c r="K39" s="601" t="s">
        <v>1838</v>
      </c>
    </row>
    <row r="40" spans="1:11" s="611" customFormat="1" ht="27" customHeight="1" x14ac:dyDescent="0.2">
      <c r="A40" s="584" t="s">
        <v>256</v>
      </c>
      <c r="B40" s="600">
        <f>VLOOKUP(A40,Memória!A:S,2,FALSE)</f>
        <v>40721</v>
      </c>
      <c r="C40" s="573" t="str">
        <f>VLOOKUP(A40,Memória!A:S,3,FALSE)</f>
        <v>Lastro de brita, inclusive transporte da brita</v>
      </c>
      <c r="D40" s="601" t="str">
        <f>VLOOKUP(A40,Memória!A:T,20,FALSE)</f>
        <v>M3</v>
      </c>
      <c r="E40" s="602">
        <f>VLOOKUP(A40,Memória!A:S,19,FALSE)</f>
        <v>0.47</v>
      </c>
      <c r="F40" s="602">
        <f>IF(LEFT(B40,1)="l",VLOOKUP(B40,'Compos lug'!$J:$K,2,FALSE),IF(B40&gt;60000,VLOOKUP(A40,Memória!A:AB,22,FALSE),VLOOKUP(B40,'DER 10-18'!$A:$F,6,FALSE)))</f>
        <v>180.26</v>
      </c>
      <c r="G40" s="943">
        <f t="shared" si="3"/>
        <v>84.72</v>
      </c>
      <c r="H40" s="965">
        <v>120.79</v>
      </c>
      <c r="I40" s="966">
        <f t="shared" si="6"/>
        <v>180.26</v>
      </c>
      <c r="J40" s="966">
        <f t="shared" si="7"/>
        <v>59.47</v>
      </c>
      <c r="K40" s="601" t="s">
        <v>1837</v>
      </c>
    </row>
    <row r="41" spans="1:11" s="611" customFormat="1" ht="20.25" customHeight="1" x14ac:dyDescent="0.2">
      <c r="A41" s="584" t="s">
        <v>257</v>
      </c>
      <c r="B41" s="600">
        <f>VLOOKUP(A41,Memória!A:S,2,FALSE)</f>
        <v>40515</v>
      </c>
      <c r="C41" s="573" t="str">
        <f>VLOOKUP(A41,Memória!A:S,3,FALSE)</f>
        <v>Berço de concreto ciclópico para BSTC diâmetro 0,80 m</v>
      </c>
      <c r="D41" s="601" t="str">
        <f>VLOOKUP(A41,Memória!A:T,20,FALSE)</f>
        <v>M</v>
      </c>
      <c r="E41" s="602">
        <f>VLOOKUP(A41,Memória!A:S,19,FALSE)</f>
        <v>775.5</v>
      </c>
      <c r="F41" s="602">
        <f>IF(LEFT(B41,1)="l",VLOOKUP(B41,'Compos lug'!$J:$K,2,FALSE),IF(B41&gt;60000,VLOOKUP(A41,Memória!A:AB,22,FALSE),VLOOKUP(B41,'DER 10-18'!$A:$F,6,FALSE)))</f>
        <v>264.02</v>
      </c>
      <c r="G41" s="943">
        <f t="shared" si="3"/>
        <v>204747.51</v>
      </c>
      <c r="H41" s="965">
        <v>237.07</v>
      </c>
      <c r="I41" s="966">
        <f t="shared" si="6"/>
        <v>264.02</v>
      </c>
      <c r="J41" s="966">
        <f t="shared" si="7"/>
        <v>26.95</v>
      </c>
      <c r="K41" s="601" t="s">
        <v>1838</v>
      </c>
    </row>
    <row r="42" spans="1:11" s="611" customFormat="1" ht="21.75" customHeight="1" x14ac:dyDescent="0.2">
      <c r="A42" s="584" t="s">
        <v>258</v>
      </c>
      <c r="B42" s="600">
        <f>VLOOKUP(A42,Memória!A:S,2,FALSE)</f>
        <v>40516</v>
      </c>
      <c r="C42" s="573" t="str">
        <f>VLOOKUP(A42,Memória!A:S,3,FALSE)</f>
        <v>Berço de concreto ciclópico para BSTC diâmetro 1,00 m</v>
      </c>
      <c r="D42" s="601" t="str">
        <f>VLOOKUP(A42,Memória!A:T,20,FALSE)</f>
        <v>M</v>
      </c>
      <c r="E42" s="602">
        <f>VLOOKUP(A42,Memória!A:S,19,FALSE)</f>
        <v>41</v>
      </c>
      <c r="F42" s="602">
        <f>IF(LEFT(B42,1)="l",VLOOKUP(B42,'Compos lug'!$J:$K,2,FALSE),IF(B42&gt;60000,VLOOKUP(A42,Memória!A:AB,22,FALSE),VLOOKUP(B42,'DER 10-18'!$A:$F,6,FALSE)))</f>
        <v>373.33</v>
      </c>
      <c r="G42" s="943">
        <f t="shared" si="3"/>
        <v>15306.53</v>
      </c>
      <c r="H42" s="965">
        <v>333.61</v>
      </c>
      <c r="I42" s="966">
        <f t="shared" si="6"/>
        <v>373.33</v>
      </c>
      <c r="J42" s="966">
        <f t="shared" si="7"/>
        <v>39.72</v>
      </c>
      <c r="K42" s="601" t="s">
        <v>1838</v>
      </c>
    </row>
    <row r="43" spans="1:11" s="611" customFormat="1" ht="20.25" customHeight="1" x14ac:dyDescent="0.2">
      <c r="A43" s="584" t="s">
        <v>259</v>
      </c>
      <c r="B43" s="600">
        <f>VLOOKUP(A43,Memória!A:S,2,FALSE)</f>
        <v>40537</v>
      </c>
      <c r="C43" s="573" t="str">
        <f>VLOOKUP(A43,Memória!A:S,3,FALSE)</f>
        <v>Boca de concreto ciclópico para BDTC diâmetro 1,00 m</v>
      </c>
      <c r="D43" s="601" t="str">
        <f>VLOOKUP(A43,Memória!A:T,20,FALSE)</f>
        <v>Ud</v>
      </c>
      <c r="E43" s="602">
        <f>VLOOKUP(A43,Memória!A:S,19,FALSE)</f>
        <v>4</v>
      </c>
      <c r="F43" s="602">
        <f>IF(LEFT(B43,1)="l",VLOOKUP(B43,'Compos lug'!$J:$K,2,FALSE),IF(B43&gt;60000,VLOOKUP(A43,Memória!A:AB,22,FALSE),VLOOKUP(B43,'DER 10-18'!$A:$F,6,FALSE)))</f>
        <v>4514.21</v>
      </c>
      <c r="G43" s="943">
        <f t="shared" si="3"/>
        <v>18056.84</v>
      </c>
      <c r="H43" s="965">
        <v>4151.6899999999996</v>
      </c>
      <c r="I43" s="966">
        <f t="shared" si="6"/>
        <v>4514.21</v>
      </c>
      <c r="J43" s="966">
        <f t="shared" si="7"/>
        <v>362.52</v>
      </c>
      <c r="K43" s="601" t="s">
        <v>1838</v>
      </c>
    </row>
    <row r="44" spans="1:11" s="611" customFormat="1" ht="26.25" customHeight="1" x14ac:dyDescent="0.2">
      <c r="A44" s="584" t="s">
        <v>260</v>
      </c>
      <c r="B44" s="600">
        <f>VLOOKUP(A44,Memória!A:S,2,FALSE)</f>
        <v>40538</v>
      </c>
      <c r="C44" s="573" t="str">
        <f>VLOOKUP(A44,Memória!A:S,3,FALSE)</f>
        <v>Boca de concreto ciclópico para BDTC diâmetro 1,20 m</v>
      </c>
      <c r="D44" s="601" t="str">
        <f>VLOOKUP(A44,Memória!A:T,20,FALSE)</f>
        <v>Ud</v>
      </c>
      <c r="E44" s="602">
        <f>VLOOKUP(A44,Memória!A:S,19,FALSE)</f>
        <v>6</v>
      </c>
      <c r="F44" s="602">
        <f>IF(LEFT(B44,1)="l",VLOOKUP(B44,'Compos lug'!$J:$K,2,FALSE),IF(B44&gt;60000,VLOOKUP(A44,Memória!A:AB,22,FALSE),VLOOKUP(B44,'DER 10-18'!$A:$F,6,FALSE)))</f>
        <v>6525.64</v>
      </c>
      <c r="G44" s="943">
        <f t="shared" si="3"/>
        <v>39153.839999999997</v>
      </c>
      <c r="H44" s="965">
        <v>5967.96</v>
      </c>
      <c r="I44" s="966">
        <f t="shared" si="6"/>
        <v>6525.64</v>
      </c>
      <c r="J44" s="966">
        <f t="shared" si="7"/>
        <v>557.67999999999995</v>
      </c>
      <c r="K44" s="601" t="s">
        <v>1838</v>
      </c>
    </row>
    <row r="45" spans="1:11" s="611" customFormat="1" ht="26.25" customHeight="1" x14ac:dyDescent="0.2">
      <c r="A45" s="584" t="s">
        <v>261</v>
      </c>
      <c r="B45" s="600">
        <f>VLOOKUP(A45,Memória!A:S,2,FALSE)</f>
        <v>40531</v>
      </c>
      <c r="C45" s="573" t="str">
        <f>VLOOKUP(A45,Memória!A:S,3,FALSE)</f>
        <v>Boca de concreto ciclópico para BSTC diâmetro 0,80 m</v>
      </c>
      <c r="D45" s="601" t="str">
        <f>VLOOKUP(A45,Memória!A:T,20,FALSE)</f>
        <v>Ud</v>
      </c>
      <c r="E45" s="602">
        <f>VLOOKUP(A45,Memória!A:S,19,FALSE)</f>
        <v>37</v>
      </c>
      <c r="F45" s="602">
        <f>IF(LEFT(B45,1)="l",VLOOKUP(B45,'Compos lug'!$J:$K,2,FALSE),IF(B45&gt;60000,VLOOKUP(A45,Memória!A:AB,22,FALSE),VLOOKUP(B45,'DER 10-18'!$A:$F,6,FALSE)))</f>
        <v>2109.52</v>
      </c>
      <c r="G45" s="943">
        <f t="shared" si="3"/>
        <v>78052.240000000005</v>
      </c>
      <c r="H45" s="965">
        <v>1956.39</v>
      </c>
      <c r="I45" s="966">
        <f t="shared" si="6"/>
        <v>2109.52</v>
      </c>
      <c r="J45" s="966">
        <f t="shared" si="7"/>
        <v>153.13</v>
      </c>
      <c r="K45" s="601" t="s">
        <v>1838</v>
      </c>
    </row>
    <row r="46" spans="1:11" s="611" customFormat="1" ht="26.25" customHeight="1" x14ac:dyDescent="0.2">
      <c r="A46" s="584" t="s">
        <v>262</v>
      </c>
      <c r="B46" s="600">
        <f>VLOOKUP(A46,Memória!A:S,2,FALSE)</f>
        <v>40532</v>
      </c>
      <c r="C46" s="573" t="str">
        <f>VLOOKUP(A46,Memória!A:S,3,FALSE)</f>
        <v>Boca de concreto ciclópico para BSTC diâmetro 1,00 m</v>
      </c>
      <c r="D46" s="601" t="str">
        <f>VLOOKUP(A46,Memória!A:T,20,FALSE)</f>
        <v>Ud</v>
      </c>
      <c r="E46" s="602">
        <f>VLOOKUP(A46,Memória!A:S,19,FALSE)</f>
        <v>2</v>
      </c>
      <c r="F46" s="602">
        <f>IF(LEFT(B46,1)="l",VLOOKUP(B46,'Compos lug'!$J:$K,2,FALSE),IF(B46&gt;60000,VLOOKUP(A46,Memória!A:AB,22,FALSE),VLOOKUP(B46,'DER 10-18'!$A:$F,6,FALSE)))</f>
        <v>3242.44</v>
      </c>
      <c r="G46" s="943">
        <f t="shared" si="3"/>
        <v>6484.88</v>
      </c>
      <c r="H46" s="965">
        <v>2988.69</v>
      </c>
      <c r="I46" s="966">
        <f t="shared" si="6"/>
        <v>3242.44</v>
      </c>
      <c r="J46" s="966">
        <f t="shared" si="7"/>
        <v>253.75</v>
      </c>
      <c r="K46" s="601" t="s">
        <v>1838</v>
      </c>
    </row>
    <row r="47" spans="1:11" s="611" customFormat="1" ht="26.25" customHeight="1" x14ac:dyDescent="0.2">
      <c r="A47" s="584" t="s">
        <v>263</v>
      </c>
      <c r="B47" s="600">
        <f>VLOOKUP(A47,Memória!A:S,2,FALSE)</f>
        <v>40625</v>
      </c>
      <c r="C47" s="573" t="str">
        <f>VLOOKUP(A47,Memória!A:S,3,FALSE)</f>
        <v>Boca de BDCC 3,00 x 3,00 m projeto DNIT</v>
      </c>
      <c r="D47" s="601" t="str">
        <f>VLOOKUP(A47,Memória!A:T,20,FALSE)</f>
        <v>Ud</v>
      </c>
      <c r="E47" s="602">
        <f>VLOOKUP(A47,Memória!A:S,19,FALSE)</f>
        <v>2</v>
      </c>
      <c r="F47" s="602">
        <f>IF(LEFT(B47,1)="l",VLOOKUP(B47,'Compos lug'!$J:$K,2,FALSE),IF(B47&gt;60000,VLOOKUP(A47,Memória!A:AB,22,FALSE),VLOOKUP(B47,'DER 10-18'!$A:$F,6,FALSE)))</f>
        <v>45804.56</v>
      </c>
      <c r="G47" s="943">
        <f t="shared" si="3"/>
        <v>91609.12</v>
      </c>
      <c r="H47" s="965">
        <v>43534.71</v>
      </c>
      <c r="I47" s="966">
        <f t="shared" ref="I47:I49" si="8">F47</f>
        <v>45804.56</v>
      </c>
      <c r="J47" s="966">
        <f t="shared" si="7"/>
        <v>2269.85</v>
      </c>
      <c r="K47" s="601" t="s">
        <v>1838</v>
      </c>
    </row>
    <row r="48" spans="1:11" s="611" customFormat="1" ht="26.25" customHeight="1" x14ac:dyDescent="0.2">
      <c r="A48" s="584" t="s">
        <v>264</v>
      </c>
      <c r="B48" s="600">
        <f>VLOOKUP(A48,Memória!A:S,2,FALSE)</f>
        <v>40613</v>
      </c>
      <c r="C48" s="573" t="str">
        <f>VLOOKUP(A48,Memória!A:S,3,FALSE)</f>
        <v>Boca de BSCC 1,50 x 1,50 m projeto DNIT</v>
      </c>
      <c r="D48" s="601" t="str">
        <f>VLOOKUP(A48,Memória!A:T,20,FALSE)</f>
        <v>Ud</v>
      </c>
      <c r="E48" s="602">
        <f>VLOOKUP(A48,Memória!A:S,19,FALSE)</f>
        <v>2</v>
      </c>
      <c r="F48" s="602">
        <f>IF(LEFT(B48,1)="l",VLOOKUP(B48,'Compos lug'!$J:$K,2,FALSE),IF(B48&gt;60000,VLOOKUP(A48,Memória!A:AB,22,FALSE),VLOOKUP(B48,'DER 10-18'!$A:$F,6,FALSE)))</f>
        <v>13330.28</v>
      </c>
      <c r="G48" s="943">
        <f t="shared" si="3"/>
        <v>26660.560000000001</v>
      </c>
      <c r="H48" s="965">
        <v>12725.37</v>
      </c>
      <c r="I48" s="966">
        <f t="shared" si="8"/>
        <v>13330.28</v>
      </c>
      <c r="J48" s="966">
        <f t="shared" si="7"/>
        <v>604.91</v>
      </c>
      <c r="K48" s="601" t="s">
        <v>1838</v>
      </c>
    </row>
    <row r="49" spans="1:11" s="611" customFormat="1" ht="26.25" customHeight="1" x14ac:dyDescent="0.2">
      <c r="A49" s="584" t="s">
        <v>265</v>
      </c>
      <c r="B49" s="600">
        <f>VLOOKUP(A49,Memória!A:S,2,FALSE)</f>
        <v>40614</v>
      </c>
      <c r="C49" s="573" t="str">
        <f>VLOOKUP(A49,Memória!A:S,3,FALSE)</f>
        <v>Boca de BSCC 2,00 x 2,00 m projeto DNIT</v>
      </c>
      <c r="D49" s="601" t="str">
        <f>VLOOKUP(A49,Memória!A:T,20,FALSE)</f>
        <v>Ud</v>
      </c>
      <c r="E49" s="602">
        <f>VLOOKUP(A49,Memória!A:S,19,FALSE)</f>
        <v>2</v>
      </c>
      <c r="F49" s="602">
        <f>IF(LEFT(B49,1)="l",VLOOKUP(B49,'Compos lug'!$J:$K,2,FALSE),IF(B49&gt;60000,VLOOKUP(A49,Memória!A:AB,22,FALSE),VLOOKUP(B49,'DER 10-18'!$A:$F,6,FALSE)))</f>
        <v>20413.439999999999</v>
      </c>
      <c r="G49" s="943">
        <f t="shared" si="3"/>
        <v>40826.879999999997</v>
      </c>
      <c r="H49" s="965">
        <v>19457.54</v>
      </c>
      <c r="I49" s="966">
        <f t="shared" si="8"/>
        <v>20413.439999999999</v>
      </c>
      <c r="J49" s="966">
        <f t="shared" si="7"/>
        <v>955.9</v>
      </c>
      <c r="K49" s="601" t="s">
        <v>1838</v>
      </c>
    </row>
    <row r="50" spans="1:11" s="611" customFormat="1" ht="24.75" customHeight="1" x14ac:dyDescent="0.2">
      <c r="A50" s="584" t="s">
        <v>266</v>
      </c>
      <c r="B50" s="600" t="str">
        <f>VLOOKUP(A50,Memória!A:S,2,FALSE)</f>
        <v>LG-010</v>
      </c>
      <c r="C50" s="573" t="str">
        <f>VLOOKUP(A50,Memória!A:S,3,FALSE)</f>
        <v>Envelopamento de BDTC diâmetro 1,00 m</v>
      </c>
      <c r="D50" s="601" t="str">
        <f>VLOOKUP(A50,Memória!A:T,20,FALSE)</f>
        <v>m</v>
      </c>
      <c r="E50" s="602">
        <f>VLOOKUP(A50,Memória!A:S,19,FALSE)</f>
        <v>20</v>
      </c>
      <c r="F50" s="602">
        <f>IF(LEFT(B50,1)="l",VLOOKUP(B50,'Compos lug'!$J:$K,2,FALSE),IF(B50&gt;60000,VLOOKUP(A50,Memória!A:AB,22,FALSE),VLOOKUP(B50,'DER 10-18'!$A:$F,6,FALSE)))</f>
        <v>920.3</v>
      </c>
      <c r="G50" s="943">
        <f t="shared" si="3"/>
        <v>18406</v>
      </c>
      <c r="H50" s="965"/>
      <c r="I50" s="966">
        <v>818.62</v>
      </c>
      <c r="J50" s="966">
        <f>F50-I50</f>
        <v>101.68</v>
      </c>
      <c r="K50" s="601" t="s">
        <v>1840</v>
      </c>
    </row>
    <row r="51" spans="1:11" s="611" customFormat="1" ht="24.75" customHeight="1" x14ac:dyDescent="0.2">
      <c r="A51" s="584" t="s">
        <v>1088</v>
      </c>
      <c r="B51" s="600" t="str">
        <f>VLOOKUP(A51,Memória!A:S,2,FALSE)</f>
        <v>LG-011</v>
      </c>
      <c r="C51" s="573" t="str">
        <f>VLOOKUP(A51,Memória!A:S,3,FALSE)</f>
        <v>Envelopamento de BDTC diâmetro 1,20 m</v>
      </c>
      <c r="D51" s="601" t="str">
        <f>VLOOKUP(A51,Memória!A:T,20,FALSE)</f>
        <v>m</v>
      </c>
      <c r="E51" s="602">
        <f>VLOOKUP(A51,Memória!A:S,19,FALSE)</f>
        <v>22</v>
      </c>
      <c r="F51" s="602">
        <f>IF(LEFT(B51,1)="l",VLOOKUP(B51,'Compos lug'!$J:$K,2,FALSE),IF(B51&gt;60000,VLOOKUP(A51,Memória!A:AB,22,FALSE),VLOOKUP(B51,'DER 10-18'!$A:$F,6,FALSE)))</f>
        <v>1024.6400000000001</v>
      </c>
      <c r="G51" s="943">
        <f t="shared" si="3"/>
        <v>22542.080000000002</v>
      </c>
      <c r="H51" s="965"/>
      <c r="I51" s="966">
        <v>911.72</v>
      </c>
      <c r="J51" s="966">
        <f>F51-I51</f>
        <v>112.92</v>
      </c>
      <c r="K51" s="601" t="s">
        <v>1840</v>
      </c>
    </row>
    <row r="52" spans="1:11" s="611" customFormat="1" ht="24.75" customHeight="1" x14ac:dyDescent="0.2">
      <c r="A52" s="584" t="s">
        <v>1356</v>
      </c>
      <c r="B52" s="600">
        <f>VLOOKUP(A52,Memória!A:S,2,FALSE)</f>
        <v>40673</v>
      </c>
      <c r="C52" s="573" t="str">
        <f>VLOOKUP(A52,Memória!A:S,3,FALSE)</f>
        <v>Entrada para descida d'água EDA-01</v>
      </c>
      <c r="D52" s="601" t="str">
        <f>VLOOKUP(A52,Memória!A:T,20,FALSE)</f>
        <v>Ud</v>
      </c>
      <c r="E52" s="602">
        <f>VLOOKUP(A52,Memória!A:S,19,FALSE)</f>
        <v>74</v>
      </c>
      <c r="F52" s="602">
        <f>IF(LEFT(B52,1)="l",VLOOKUP(B52,'Compos lug'!$J:$K,2,FALSE),IF(B52&gt;60000,VLOOKUP(A52,Memória!A:AB,22,FALSE),VLOOKUP(B52,'DER 10-18'!$A:$F,6,FALSE)))</f>
        <v>81.88</v>
      </c>
      <c r="G52" s="943">
        <f t="shared" si="3"/>
        <v>6059.12</v>
      </c>
      <c r="H52" s="965">
        <v>73.599999999999994</v>
      </c>
      <c r="I52" s="966">
        <f t="shared" ref="I52:I58" si="9">F52</f>
        <v>81.88</v>
      </c>
      <c r="J52" s="966">
        <f t="shared" ref="J52:J59" si="10">F52-H52</f>
        <v>8.2799999999999994</v>
      </c>
      <c r="K52" s="601" t="s">
        <v>1841</v>
      </c>
    </row>
    <row r="53" spans="1:11" s="611" customFormat="1" ht="24.75" customHeight="1" x14ac:dyDescent="0.2">
      <c r="A53" s="584" t="s">
        <v>1357</v>
      </c>
      <c r="B53" s="600">
        <f>VLOOKUP(A53,Memória!A:S,2,FALSE)</f>
        <v>40674</v>
      </c>
      <c r="C53" s="573" t="str">
        <f>VLOOKUP(A53,Memória!A:S,3,FALSE)</f>
        <v>Entrada para descida d'água EDA-02</v>
      </c>
      <c r="D53" s="601" t="str">
        <f>VLOOKUP(A53,Memória!A:T,20,FALSE)</f>
        <v>Ud</v>
      </c>
      <c r="E53" s="602">
        <f>VLOOKUP(A53,Memória!A:S,19,FALSE)</f>
        <v>4</v>
      </c>
      <c r="F53" s="602">
        <f>IF(LEFT(B53,1)="l",VLOOKUP(B53,'Compos lug'!$J:$K,2,FALSE),IF(B53&gt;60000,VLOOKUP(A53,Memória!A:AB,22,FALSE),VLOOKUP(B53,'DER 10-18'!$A:$F,6,FALSE)))</f>
        <v>87.53</v>
      </c>
      <c r="G53" s="943">
        <f t="shared" si="3"/>
        <v>350.12</v>
      </c>
      <c r="H53" s="965">
        <v>78.94</v>
      </c>
      <c r="I53" s="966">
        <f t="shared" si="9"/>
        <v>87.53</v>
      </c>
      <c r="J53" s="966">
        <f t="shared" si="10"/>
        <v>8.59</v>
      </c>
      <c r="K53" s="601" t="s">
        <v>1841</v>
      </c>
    </row>
    <row r="54" spans="1:11" s="611" customFormat="1" ht="24.75" customHeight="1" x14ac:dyDescent="0.2">
      <c r="A54" s="584" t="s">
        <v>1358</v>
      </c>
      <c r="B54" s="600">
        <f>VLOOKUP(A54,Memória!A:S,2,FALSE)</f>
        <v>40690</v>
      </c>
      <c r="C54" s="573" t="str">
        <f>VLOOKUP(A54,Memória!A:S,3,FALSE)</f>
        <v>Saída d'água concreto p/ aterro c/ caiação (SDA-01)</v>
      </c>
      <c r="D54" s="601" t="str">
        <f>VLOOKUP(A54,Memória!A:T,20,FALSE)</f>
        <v>Ud</v>
      </c>
      <c r="E54" s="602">
        <f>VLOOKUP(A54,Memória!A:S,19,FALSE)</f>
        <v>16</v>
      </c>
      <c r="F54" s="602">
        <f>IF(LEFT(B54,1)="l",VLOOKUP(B54,'Compos lug'!$J:$K,2,FALSE),IF(B54&gt;60000,VLOOKUP(A54,Memória!A:AB,22,FALSE),VLOOKUP(B54,'DER 10-18'!$A:$F,6,FALSE)))</f>
        <v>1551.28</v>
      </c>
      <c r="G54" s="943">
        <f t="shared" si="3"/>
        <v>24820.48</v>
      </c>
      <c r="H54" s="965">
        <v>1447.87</v>
      </c>
      <c r="I54" s="966">
        <f t="shared" si="9"/>
        <v>1551.28</v>
      </c>
      <c r="J54" s="966">
        <f t="shared" si="10"/>
        <v>103.41</v>
      </c>
      <c r="K54" s="601" t="s">
        <v>1842</v>
      </c>
    </row>
    <row r="55" spans="1:11" s="611" customFormat="1" ht="24.75" customHeight="1" x14ac:dyDescent="0.2">
      <c r="A55" s="584" t="s">
        <v>1359</v>
      </c>
      <c r="B55" s="600">
        <f>VLOOKUP(A55,Memória!A:S,2,FALSE)</f>
        <v>40683</v>
      </c>
      <c r="C55" s="573" t="str">
        <f>VLOOKUP(A55,Memória!A:S,3,FALSE)</f>
        <v>Descida d'água concreto armado (degraus) c/ caiação (DSA-03A) degrau</v>
      </c>
      <c r="D55" s="601" t="str">
        <f>VLOOKUP(A55,Memória!A:T,20,FALSE)</f>
        <v>M</v>
      </c>
      <c r="E55" s="602">
        <f>VLOOKUP(A55,Memória!A:S,19,FALSE)</f>
        <v>128</v>
      </c>
      <c r="F55" s="602">
        <f>IF(LEFT(B55,1)="l",VLOOKUP(B55,'Compos lug'!$J:$K,2,FALSE),IF(B55&gt;60000,VLOOKUP(A55,Memória!A:AB,22,FALSE),VLOOKUP(B55,'DER 10-18'!$A:$F,6,FALSE)))</f>
        <v>413.42</v>
      </c>
      <c r="G55" s="943">
        <f t="shared" si="3"/>
        <v>52917.760000000002</v>
      </c>
      <c r="H55" s="965">
        <v>388.1</v>
      </c>
      <c r="I55" s="966">
        <f t="shared" si="9"/>
        <v>413.42</v>
      </c>
      <c r="J55" s="966">
        <f t="shared" si="10"/>
        <v>25.32</v>
      </c>
      <c r="K55" s="601" t="s">
        <v>1842</v>
      </c>
    </row>
    <row r="56" spans="1:11" s="611" customFormat="1" ht="24.75" customHeight="1" x14ac:dyDescent="0.2">
      <c r="A56" s="584" t="s">
        <v>1360</v>
      </c>
      <c r="B56" s="600">
        <f>VLOOKUP(A56,Memória!A:S,2,FALSE)</f>
        <v>40684</v>
      </c>
      <c r="C56" s="573" t="str">
        <f>VLOOKUP(A56,Memória!A:S,3,FALSE)</f>
        <v>Descida d'água concreto armado (degraus) c/ caiação (DSA-03A) apoio</v>
      </c>
      <c r="D56" s="601" t="str">
        <f>VLOOKUP(A56,Memória!A:T,20,FALSE)</f>
        <v>Ud</v>
      </c>
      <c r="E56" s="602">
        <f>VLOOKUP(A56,Memória!A:S,19,FALSE)</f>
        <v>15</v>
      </c>
      <c r="F56" s="602">
        <f>IF(LEFT(B56,1)="l",VLOOKUP(B56,'Compos lug'!$J:$K,2,FALSE),IF(B56&gt;60000,VLOOKUP(A56,Memória!A:AB,22,FALSE),VLOOKUP(B56,'DER 10-18'!$A:$F,6,FALSE)))</f>
        <v>849.87</v>
      </c>
      <c r="G56" s="943">
        <f t="shared" si="3"/>
        <v>12748.05</v>
      </c>
      <c r="H56" s="965">
        <v>777.08</v>
      </c>
      <c r="I56" s="966">
        <f t="shared" si="9"/>
        <v>849.87</v>
      </c>
      <c r="J56" s="966">
        <f t="shared" si="10"/>
        <v>72.790000000000006</v>
      </c>
      <c r="K56" s="601" t="s">
        <v>1842</v>
      </c>
    </row>
    <row r="57" spans="1:11" s="611" customFormat="1" ht="23.25" customHeight="1" x14ac:dyDescent="0.2">
      <c r="A57" s="584" t="s">
        <v>1431</v>
      </c>
      <c r="B57" s="600">
        <f>VLOOKUP(A57,Memória!A:S,2,FALSE)</f>
        <v>40678</v>
      </c>
      <c r="C57" s="573" t="str">
        <f>VLOOKUP(A57,Memória!A:S,3,FALSE)</f>
        <v>Descida d'água concreto armado (calha) c/ caiação (DSA-01A) canal</v>
      </c>
      <c r="D57" s="601" t="str">
        <f>VLOOKUP(A57,Memória!A:T,20,FALSE)</f>
        <v>M</v>
      </c>
      <c r="E57" s="602">
        <f>VLOOKUP(A57,Memória!A:S,19,FALSE)</f>
        <v>78.5</v>
      </c>
      <c r="F57" s="602">
        <f>IF(LEFT(B57,1)="l",VLOOKUP(B57,'Compos lug'!$J:$K,2,FALSE),IF(B57&gt;60000,VLOOKUP(A57,Memória!A:AB,22,FALSE),VLOOKUP(B57,'DER 10-18'!$A:$F,6,FALSE)))</f>
        <v>390.07</v>
      </c>
      <c r="G57" s="943">
        <f t="shared" si="3"/>
        <v>30620.49</v>
      </c>
      <c r="H57" s="965">
        <v>372.38</v>
      </c>
      <c r="I57" s="966">
        <f t="shared" si="9"/>
        <v>390.07</v>
      </c>
      <c r="J57" s="966">
        <f t="shared" si="10"/>
        <v>17.690000000000001</v>
      </c>
      <c r="K57" s="601" t="s">
        <v>1842</v>
      </c>
    </row>
    <row r="58" spans="1:11" s="611" customFormat="1" ht="23.25" customHeight="1" x14ac:dyDescent="0.2">
      <c r="A58" s="584" t="s">
        <v>1507</v>
      </c>
      <c r="B58" s="600">
        <f>VLOOKUP(A58,Memória!A:S,2,FALSE)</f>
        <v>40679</v>
      </c>
      <c r="C58" s="573" t="str">
        <f>VLOOKUP(A58,Memória!A:S,3,FALSE)</f>
        <v>Descida d'água concreto armado (calha) c/ caiação (DSA-01A) dispersor</v>
      </c>
      <c r="D58" s="601" t="str">
        <f>VLOOKUP(A58,Memória!A:T,20,FALSE)</f>
        <v>Ud</v>
      </c>
      <c r="E58" s="602">
        <f>VLOOKUP(A58,Memória!A:S,19,FALSE)</f>
        <v>13</v>
      </c>
      <c r="F58" s="602">
        <f>IF(LEFT(B58,1)="l",VLOOKUP(B58,'Compos lug'!$J:$K,2,FALSE),IF(B58&gt;60000,VLOOKUP(A58,Memória!A:AB,22,FALSE),VLOOKUP(B58,'DER 10-18'!$A:$F,6,FALSE)))</f>
        <v>775.58</v>
      </c>
      <c r="G58" s="943">
        <f t="shared" si="3"/>
        <v>10082.540000000001</v>
      </c>
      <c r="H58" s="965">
        <v>724.86</v>
      </c>
      <c r="I58" s="966">
        <f t="shared" si="9"/>
        <v>775.58</v>
      </c>
      <c r="J58" s="966">
        <f t="shared" si="10"/>
        <v>50.72</v>
      </c>
      <c r="K58" s="601" t="s">
        <v>1842</v>
      </c>
    </row>
    <row r="59" spans="1:11" s="611" customFormat="1" ht="23.25" customHeight="1" x14ac:dyDescent="0.2">
      <c r="A59" s="584" t="s">
        <v>1508</v>
      </c>
      <c r="B59" s="600">
        <f>VLOOKUP(A59,Memória!A:S,2,FALSE)</f>
        <v>40685</v>
      </c>
      <c r="C59" s="573" t="str">
        <f>VLOOKUP(A59,Memória!A:S,3,FALSE)</f>
        <v>Descida d'água concreto armado (degraus) c/ caiação (DSA-03A) dispersor</v>
      </c>
      <c r="D59" s="601" t="str">
        <f>VLOOKUP(A59,Memória!A:T,20,FALSE)</f>
        <v>Ud</v>
      </c>
      <c r="E59" s="602">
        <f>VLOOKUP(A59,Memória!A:S,19,FALSE)</f>
        <v>15</v>
      </c>
      <c r="F59" s="602">
        <f>IF(LEFT(B59,1)="l",VLOOKUP(B59,'Compos lug'!$J:$K,2,FALSE),IF(B59&gt;60000,VLOOKUP(A59,Memória!A:AB,22,FALSE),VLOOKUP(B59,'DER 10-18'!$A:$F,6,FALSE)))</f>
        <v>743.47</v>
      </c>
      <c r="G59" s="943">
        <f t="shared" si="3"/>
        <v>11152.05</v>
      </c>
      <c r="H59" s="965">
        <v>692.92</v>
      </c>
      <c r="I59" s="966">
        <f t="shared" ref="I59:I71" si="11">F59</f>
        <v>743.47</v>
      </c>
      <c r="J59" s="966">
        <f t="shared" si="10"/>
        <v>50.55</v>
      </c>
      <c r="K59" s="601" t="s">
        <v>1842</v>
      </c>
    </row>
    <row r="60" spans="1:11" s="611" customFormat="1" ht="30" x14ac:dyDescent="0.2">
      <c r="A60" s="584" t="s">
        <v>1524</v>
      </c>
      <c r="B60" s="600" t="str">
        <f>VLOOKUP(A60,Memória!A:S,2,FALSE)</f>
        <v>LG-012</v>
      </c>
      <c r="C60" s="573" t="str">
        <f>VLOOKUP(A60,Memória!A:S,3,FALSE)</f>
        <v>Descida d'agua para Cortes - DCD 02</v>
      </c>
      <c r="D60" s="601" t="str">
        <f>VLOOKUP(A60,Memória!A:T,20,FALSE)</f>
        <v>m</v>
      </c>
      <c r="E60" s="602">
        <f>VLOOKUP(A60,Memória!A:S,19,FALSE)</f>
        <v>30</v>
      </c>
      <c r="F60" s="602">
        <f>IF(LEFT(B60,1)="l",VLOOKUP(B60,'Compos lug'!$J:$K,2,FALSE),IF(B60&gt;60000,VLOOKUP(A60,Memória!A:AB,22,FALSE),VLOOKUP(B60,'DER 10-18'!$A:$F,6,FALSE)))</f>
        <v>243.72</v>
      </c>
      <c r="G60" s="943">
        <f t="shared" si="3"/>
        <v>7311.6</v>
      </c>
      <c r="H60" s="965"/>
      <c r="I60" s="966">
        <f t="shared" si="11"/>
        <v>243.72</v>
      </c>
      <c r="J60" s="966">
        <f>F60-I60</f>
        <v>0</v>
      </c>
      <c r="K60" s="601" t="s">
        <v>1840</v>
      </c>
    </row>
    <row r="61" spans="1:11" s="603" customFormat="1" ht="23.25" customHeight="1" x14ac:dyDescent="0.2">
      <c r="A61" s="584" t="s">
        <v>1525</v>
      </c>
      <c r="B61" s="600">
        <f>VLOOKUP(A61,Memória!A:S,2,FALSE)</f>
        <v>40735</v>
      </c>
      <c r="C61" s="573" t="str">
        <f>VLOOKUP(A61,Memória!A:S,3,FALSE)</f>
        <v>Dissipador de energia aplicado a saída de bueiro/descida d'água de aterro (DEB-04)</v>
      </c>
      <c r="D61" s="601" t="str">
        <f>VLOOKUP(A61,Memória!A:T,20,FALSE)</f>
        <v>Ud</v>
      </c>
      <c r="E61" s="602">
        <f>VLOOKUP(A61,Memória!A:S,19,FALSE)</f>
        <v>4</v>
      </c>
      <c r="F61" s="602">
        <f>IF(LEFT(B61,1)="l",VLOOKUP(B61,'Compos lug'!$J:$K,2,FALSE),IF(B61&gt;60000,VLOOKUP(A61,Memória!A:AB,22,FALSE),VLOOKUP(B61,'DER 10-18'!$A:$F,6,FALSE)))</f>
        <v>3815.5</v>
      </c>
      <c r="G61" s="943">
        <f t="shared" si="3"/>
        <v>15262</v>
      </c>
      <c r="H61" s="965">
        <v>3478.94</v>
      </c>
      <c r="I61" s="966">
        <f t="shared" si="11"/>
        <v>3815.5</v>
      </c>
      <c r="J61" s="966">
        <f t="shared" ref="J61:J71" si="12">F61-H61</f>
        <v>336.56</v>
      </c>
      <c r="K61" s="601" t="s">
        <v>1843</v>
      </c>
    </row>
    <row r="62" spans="1:11" s="603" customFormat="1" ht="23.25" customHeight="1" x14ac:dyDescent="0.2">
      <c r="A62" s="584" t="s">
        <v>1526</v>
      </c>
      <c r="B62" s="600">
        <f>VLOOKUP(A62,Memória!A:S,2,FALSE)</f>
        <v>40706</v>
      </c>
      <c r="C62" s="573" t="str">
        <f>VLOOKUP(A62,Memória!A:S,3,FALSE)</f>
        <v>Transposição de segmento de sarjeta - TSS 01, inclusive transporte do tubo de concreto</v>
      </c>
      <c r="D62" s="601" t="str">
        <f>VLOOKUP(A62,Memória!A:T,20,FALSE)</f>
        <v>M</v>
      </c>
      <c r="E62" s="602">
        <f>VLOOKUP(A62,Memória!A:S,19,FALSE)</f>
        <v>41.3</v>
      </c>
      <c r="F62" s="602">
        <f>IF(LEFT(B62,1)="l",VLOOKUP(B62,'Compos lug'!$J:$K,2,FALSE),IF(B62&gt;60000,VLOOKUP(A62,Memória!A:AB,22,FALSE),VLOOKUP(B62,'DER 10-18'!$A:$F,6,FALSE)))</f>
        <v>330.68</v>
      </c>
      <c r="G62" s="943">
        <f t="shared" si="3"/>
        <v>13657.08</v>
      </c>
      <c r="H62" s="965">
        <v>307.94</v>
      </c>
      <c r="I62" s="966">
        <f t="shared" si="11"/>
        <v>330.68</v>
      </c>
      <c r="J62" s="966">
        <f t="shared" si="12"/>
        <v>22.74</v>
      </c>
      <c r="K62" s="601" t="s">
        <v>1844</v>
      </c>
    </row>
    <row r="63" spans="1:11" s="603" customFormat="1" ht="23.25" customHeight="1" x14ac:dyDescent="0.2">
      <c r="A63" s="584" t="s">
        <v>1533</v>
      </c>
      <c r="B63" s="600">
        <f>VLOOKUP(A63,Memória!A:S,2,FALSE)</f>
        <v>40672</v>
      </c>
      <c r="C63" s="573" t="str">
        <f>VLOOKUP(A63,Memória!A:S,3,FALSE)</f>
        <v>Canaleta com grelha DP-1, inclusive transporte da grelha</v>
      </c>
      <c r="D63" s="601" t="str">
        <f>VLOOKUP(A63,Memória!A:T,20,FALSE)</f>
        <v>M</v>
      </c>
      <c r="E63" s="602">
        <f>VLOOKUP(A63,Memória!A:S,19,FALSE)</f>
        <v>24</v>
      </c>
      <c r="F63" s="602">
        <f>IF(LEFT(B63,1)="l",VLOOKUP(B63,'Compos lug'!$J:$K,2,FALSE),IF(B63&gt;60000,VLOOKUP(A63,Memória!A:AB,22,FALSE),VLOOKUP(B63,'DER 10-18'!$A:$F,6,FALSE)))</f>
        <v>711.29</v>
      </c>
      <c r="G63" s="943">
        <f t="shared" si="3"/>
        <v>17070.96</v>
      </c>
      <c r="H63" s="965">
        <v>685.8</v>
      </c>
      <c r="I63" s="966">
        <f t="shared" si="11"/>
        <v>711.29</v>
      </c>
      <c r="J63" s="966">
        <f t="shared" si="12"/>
        <v>25.49</v>
      </c>
      <c r="K63" s="601" t="s">
        <v>1845</v>
      </c>
    </row>
    <row r="64" spans="1:11" s="603" customFormat="1" ht="23.25" customHeight="1" x14ac:dyDescent="0.2">
      <c r="A64" s="584" t="s">
        <v>1534</v>
      </c>
      <c r="B64" s="600">
        <f>VLOOKUP(A64,Memória!A:S,2,FALSE)</f>
        <v>42699</v>
      </c>
      <c r="C64" s="573" t="str">
        <f>VLOOKUP(A64,Memória!A:S,3,FALSE)</f>
        <v>Canaleta de concreto retangular (0,130m³/m) inclusive caiação em Vias Urbanas</v>
      </c>
      <c r="D64" s="601" t="str">
        <f>VLOOKUP(A64,Memória!A:T,20,FALSE)</f>
        <v>M</v>
      </c>
      <c r="E64" s="602">
        <f>VLOOKUP(A64,Memória!A:S,19,FALSE)</f>
        <v>2106</v>
      </c>
      <c r="F64" s="602">
        <f>IF(LEFT(B64,1)="l",VLOOKUP(B64,'Compos lug'!$J:$K,2,FALSE),IF(B64&gt;60000,VLOOKUP(A64,Memória!A:AB,22,FALSE),VLOOKUP(B64,'DER 10-18'!$A:$F,6,FALSE)))</f>
        <v>277.06</v>
      </c>
      <c r="G64" s="943">
        <f t="shared" si="3"/>
        <v>583488.36</v>
      </c>
      <c r="H64" s="965">
        <v>265.19</v>
      </c>
      <c r="I64" s="966">
        <f t="shared" si="11"/>
        <v>277.06</v>
      </c>
      <c r="J64" s="966">
        <f t="shared" si="12"/>
        <v>11.87</v>
      </c>
      <c r="K64" s="601" t="s">
        <v>1842</v>
      </c>
    </row>
    <row r="65" spans="1:13" s="603" customFormat="1" ht="23.25" customHeight="1" x14ac:dyDescent="0.2">
      <c r="A65" s="584" t="s">
        <v>1535</v>
      </c>
      <c r="B65" s="600">
        <f>VLOOKUP(A65,Memória!A:S,2,FALSE)</f>
        <v>40668</v>
      </c>
      <c r="C65" s="573" t="str">
        <f>VLOOKUP(A65,Memória!A:S,3,FALSE)</f>
        <v>Sarjeta de concreto (SCA 70/15) calha triangular, inclusive caiação</v>
      </c>
      <c r="D65" s="601" t="str">
        <f>VLOOKUP(A65,Memória!A:T,20,FALSE)</f>
        <v>M</v>
      </c>
      <c r="E65" s="602">
        <f>VLOOKUP(A65,Memória!A:S,19,FALSE)</f>
        <v>2794</v>
      </c>
      <c r="F65" s="602">
        <f>IF(LEFT(B65,1)="l",VLOOKUP(B65,'Compos lug'!$J:$K,2,FALSE),IF(B65&gt;60000,VLOOKUP(A65,Memória!A:AB,22,FALSE),VLOOKUP(B65,'DER 10-18'!$A:$F,6,FALSE)))</f>
        <v>105.4</v>
      </c>
      <c r="G65" s="943">
        <f t="shared" si="3"/>
        <v>294487.59999999998</v>
      </c>
      <c r="H65" s="965">
        <v>98.9</v>
      </c>
      <c r="I65" s="966">
        <f t="shared" si="11"/>
        <v>105.4</v>
      </c>
      <c r="J65" s="966">
        <f t="shared" si="12"/>
        <v>6.5</v>
      </c>
      <c r="K65" s="601" t="s">
        <v>1842</v>
      </c>
    </row>
    <row r="66" spans="1:13" s="603" customFormat="1" ht="23.25" customHeight="1" x14ac:dyDescent="0.2">
      <c r="A66" s="584" t="s">
        <v>1536</v>
      </c>
      <c r="B66" s="600">
        <f>VLOOKUP(A66,Memória!A:S,2,FALSE)</f>
        <v>40667</v>
      </c>
      <c r="C66" s="573" t="str">
        <f>VLOOKUP(A66,Memória!A:S,3,FALSE)</f>
        <v>Sarjeta de concreto DP-2 (0,085 m³/m) calha triangular, inclusive caiação</v>
      </c>
      <c r="D66" s="601" t="str">
        <f>VLOOKUP(A66,Memória!A:T,20,FALSE)</f>
        <v>M</v>
      </c>
      <c r="E66" s="602">
        <f>VLOOKUP(A66,Memória!A:S,19,FALSE)</f>
        <v>9326</v>
      </c>
      <c r="F66" s="602">
        <f>IF(LEFT(B66,1)="l",VLOOKUP(B66,'Compos lug'!$J:$K,2,FALSE),IF(B66&gt;60000,VLOOKUP(A66,Memória!A:AB,22,FALSE),VLOOKUP(B66,'DER 10-18'!$A:$F,6,FALSE)))</f>
        <v>95.75</v>
      </c>
      <c r="G66" s="943">
        <f t="shared" si="3"/>
        <v>892964.5</v>
      </c>
      <c r="H66" s="965">
        <v>89.34</v>
      </c>
      <c r="I66" s="966">
        <f t="shared" si="11"/>
        <v>95.75</v>
      </c>
      <c r="J66" s="966">
        <f t="shared" si="12"/>
        <v>6.41</v>
      </c>
      <c r="K66" s="601" t="s">
        <v>1841</v>
      </c>
    </row>
    <row r="67" spans="1:13" s="603" customFormat="1" ht="23.25" customHeight="1" x14ac:dyDescent="0.2">
      <c r="A67" s="584" t="s">
        <v>1537</v>
      </c>
      <c r="B67" s="600">
        <f>VLOOKUP(A67,Memória!A:S,2,FALSE)</f>
        <v>40693</v>
      </c>
      <c r="C67" s="573" t="str">
        <f>VLOOKUP(A67,Memória!A:S,3,FALSE)</f>
        <v>Valeta de proteção de corte VPC-01 (escavação)</v>
      </c>
      <c r="D67" s="601" t="str">
        <f>VLOOKUP(A67,Memória!A:T,20,FALSE)</f>
        <v>M</v>
      </c>
      <c r="E67" s="602">
        <f>VLOOKUP(A67,Memória!A:S,19,FALSE)</f>
        <v>570</v>
      </c>
      <c r="F67" s="602">
        <f>IF(LEFT(B67,1)="l",VLOOKUP(B67,'Compos lug'!$J:$K,2,FALSE),IF(B67&gt;60000,VLOOKUP(A67,Memória!A:AB,22,FALSE),VLOOKUP(B67,'DER 10-18'!$A:$F,6,FALSE)))</f>
        <v>36.450000000000003</v>
      </c>
      <c r="G67" s="943">
        <f t="shared" si="3"/>
        <v>20776.5</v>
      </c>
      <c r="H67" s="965">
        <v>36.450000000000003</v>
      </c>
      <c r="I67" s="966">
        <f t="shared" si="11"/>
        <v>36.450000000000003</v>
      </c>
      <c r="J67" s="966">
        <f t="shared" si="12"/>
        <v>0</v>
      </c>
      <c r="K67" s="601"/>
    </row>
    <row r="68" spans="1:13" s="603" customFormat="1" ht="23.25" customHeight="1" x14ac:dyDescent="0.2">
      <c r="A68" s="584" t="s">
        <v>1538</v>
      </c>
      <c r="B68" s="600">
        <f>VLOOKUP(A68,Memória!A:S,2,FALSE)</f>
        <v>40547</v>
      </c>
      <c r="C68" s="573" t="str">
        <f>VLOOKUP(A68,Memória!A:S,3,FALSE)</f>
        <v>Caixa de concreto para BSTC diâmetro 0,80 m H=2,50 m</v>
      </c>
      <c r="D68" s="601" t="str">
        <f>VLOOKUP(A68,Memória!A:T,20,FALSE)</f>
        <v>Ud</v>
      </c>
      <c r="E68" s="602">
        <f>VLOOKUP(A68,Memória!A:S,19,FALSE)</f>
        <v>66</v>
      </c>
      <c r="F68" s="602">
        <f>IF(LEFT(B68,1)="l",VLOOKUP(B68,'Compos lug'!$J:$K,2,FALSE),IF(B68&gt;60000,VLOOKUP(A68,Memória!A:AB,22,FALSE),VLOOKUP(B68,'DER 10-18'!$A:$F,6,FALSE)))</f>
        <v>4370.3900000000003</v>
      </c>
      <c r="G68" s="943">
        <f t="shared" si="3"/>
        <v>288445.74</v>
      </c>
      <c r="H68" s="965">
        <v>4170.6899999999996</v>
      </c>
      <c r="I68" s="966">
        <f t="shared" si="11"/>
        <v>4370.3900000000003</v>
      </c>
      <c r="J68" s="966">
        <f t="shared" si="12"/>
        <v>199.7</v>
      </c>
      <c r="K68" s="601" t="s">
        <v>1846</v>
      </c>
    </row>
    <row r="69" spans="1:13" s="603" customFormat="1" ht="35.25" customHeight="1" x14ac:dyDescent="0.2">
      <c r="A69" s="584" t="s">
        <v>1539</v>
      </c>
      <c r="B69" s="600">
        <f>VLOOKUP(A69,Memória!A:S,2,FALSE)</f>
        <v>40647</v>
      </c>
      <c r="C69" s="573" t="str">
        <f>VLOOKUP(A69,Memória!A:S,3,FALSE)</f>
        <v>Dreno profundo D = 0,20 m com enchimento de brita e areia, escavação em material 1ª categoria, inclusive transporte da brita e da areia</v>
      </c>
      <c r="D69" s="601" t="str">
        <f>VLOOKUP(A69,Memória!A:T,20,FALSE)</f>
        <v>M</v>
      </c>
      <c r="E69" s="602">
        <f>VLOOKUP(A69,Memória!A:S,19,FALSE)</f>
        <v>5860</v>
      </c>
      <c r="F69" s="602">
        <f>IF(LEFT(B69,1)="l",VLOOKUP(B69,'Compos lug'!$J:$K,2,FALSE),IF(B69&gt;60000,VLOOKUP(A69,Memória!A:AB,22,FALSE),VLOOKUP(B69,'DER 10-18'!$A:$F,6,FALSE)))</f>
        <v>142.43</v>
      </c>
      <c r="G69" s="943">
        <f t="shared" si="3"/>
        <v>834639.8</v>
      </c>
      <c r="H69" s="965">
        <v>117.26</v>
      </c>
      <c r="I69" s="966">
        <f t="shared" si="11"/>
        <v>142.43</v>
      </c>
      <c r="J69" s="966">
        <f t="shared" si="12"/>
        <v>25.17</v>
      </c>
      <c r="K69" s="601" t="s">
        <v>1847</v>
      </c>
    </row>
    <row r="70" spans="1:13" s="603" customFormat="1" ht="23.25" customHeight="1" x14ac:dyDescent="0.2">
      <c r="A70" s="584" t="s">
        <v>1540</v>
      </c>
      <c r="B70" s="600">
        <f>VLOOKUP(A70,Memória!A:S,2,FALSE)</f>
        <v>40662</v>
      </c>
      <c r="C70" s="573" t="str">
        <f>VLOOKUP(A70,Memória!A:S,3,FALSE)</f>
        <v>Meio fio de concreto MFC 05, inclusive caiação</v>
      </c>
      <c r="D70" s="601" t="str">
        <f>VLOOKUP(A70,Memória!A:T,20,FALSE)</f>
        <v>M</v>
      </c>
      <c r="E70" s="602">
        <f>VLOOKUP(A70,Memória!A:S,19,FALSE)</f>
        <v>423</v>
      </c>
      <c r="F70" s="602">
        <f>IF(LEFT(B70,1)="l",VLOOKUP(B70,'Compos lug'!$J:$K,2,FALSE),IF(B70&gt;60000,VLOOKUP(A70,Memória!A:AB,22,FALSE),VLOOKUP(B70,'DER 10-18'!$A:$F,6,FALSE)))</f>
        <v>61.67</v>
      </c>
      <c r="G70" s="943">
        <f t="shared" si="3"/>
        <v>26086.41</v>
      </c>
      <c r="H70" s="965">
        <v>58.74</v>
      </c>
      <c r="I70" s="966">
        <f t="shared" si="11"/>
        <v>61.67</v>
      </c>
      <c r="J70" s="966">
        <f t="shared" si="12"/>
        <v>2.93</v>
      </c>
      <c r="K70" s="601" t="s">
        <v>1842</v>
      </c>
    </row>
    <row r="71" spans="1:13" s="603" customFormat="1" ht="23.25" customHeight="1" x14ac:dyDescent="0.2">
      <c r="A71" s="584" t="s">
        <v>1541</v>
      </c>
      <c r="B71" s="600">
        <f>VLOOKUP(A71,Memória!A:S,2,FALSE)</f>
        <v>40734</v>
      </c>
      <c r="C71" s="573" t="str">
        <f>VLOOKUP(A71,Memória!A:S,3,FALSE)</f>
        <v>Dissipador de energia aplicado a saída de bueiro/descida d'água de aterro (DEB-03)</v>
      </c>
      <c r="D71" s="601" t="str">
        <f>VLOOKUP(A71,Memória!A:T,20,FALSE)</f>
        <v>Ud</v>
      </c>
      <c r="E71" s="602">
        <f>VLOOKUP(A71,Memória!A:S,19,FALSE)</f>
        <v>4</v>
      </c>
      <c r="F71" s="602">
        <f>IF(LEFT(B71,1)="l",VLOOKUP(B71,'Compos lug'!$J:$K,2,FALSE),IF(B71&gt;60000,VLOOKUP(A71,Memória!A:AB,22,FALSE),VLOOKUP(B71,'DER 10-18'!$A:$F,6,FALSE)))</f>
        <v>2637.93</v>
      </c>
      <c r="G71" s="943">
        <f t="shared" si="3"/>
        <v>10551.72</v>
      </c>
      <c r="H71" s="980">
        <v>2410.0700000000002</v>
      </c>
      <c r="I71" s="981">
        <f t="shared" si="11"/>
        <v>2637.93</v>
      </c>
      <c r="J71" s="981">
        <f t="shared" si="12"/>
        <v>227.86</v>
      </c>
      <c r="K71" s="702" t="s">
        <v>1843</v>
      </c>
    </row>
    <row r="72" spans="1:13" s="603" customFormat="1" x14ac:dyDescent="0.2">
      <c r="A72" s="604"/>
      <c r="B72" s="734"/>
      <c r="C72" s="605" t="s">
        <v>134</v>
      </c>
      <c r="D72" s="606"/>
      <c r="E72" s="607"/>
      <c r="F72" s="608"/>
      <c r="G72" s="607">
        <f>SUM(G27:G71)</f>
        <v>5494722.8200000003</v>
      </c>
      <c r="H72" s="952"/>
      <c r="I72" s="951"/>
      <c r="J72" s="951"/>
      <c r="K72" s="989"/>
    </row>
    <row r="73" spans="1:13" s="603" customFormat="1" x14ac:dyDescent="0.2">
      <c r="A73" s="581">
        <v>3</v>
      </c>
      <c r="B73" s="589"/>
      <c r="C73" s="590" t="str">
        <f>VLOOKUP(A73,Memória!A:S,3,FALSE)</f>
        <v>PAVIMENTAÇÃO</v>
      </c>
      <c r="D73" s="591"/>
      <c r="E73" s="612"/>
      <c r="F73" s="613"/>
      <c r="G73" s="945"/>
      <c r="H73" s="987"/>
      <c r="I73" s="984"/>
      <c r="J73" s="984"/>
      <c r="K73" s="988"/>
    </row>
    <row r="74" spans="1:13" s="603" customFormat="1" ht="21" customHeight="1" x14ac:dyDescent="0.2">
      <c r="A74" s="583" t="s">
        <v>267</v>
      </c>
      <c r="B74" s="600">
        <f>VLOOKUP(A74,Memória!A:S,2,FALSE)</f>
        <v>40754</v>
      </c>
      <c r="C74" s="573" t="str">
        <f>VLOOKUP(A74,Memória!A:S,3,FALSE)</f>
        <v>Regularização e compactação do sub-leito (100% P.I.) H = 0,20 m</v>
      </c>
      <c r="D74" s="601" t="str">
        <f>VLOOKUP(A74,Memória!A:T,20,FALSE)</f>
        <v>M2</v>
      </c>
      <c r="E74" s="602">
        <f>VLOOKUP(A74,Memória!A:S,19,FALSE)</f>
        <v>84658.7</v>
      </c>
      <c r="F74" s="602">
        <f>IF(LEFT(B74,1)="l",VLOOKUP(B74,'Compos lug'!$J:$K,2,FALSE),IF(B74&gt;60000,VLOOKUP(A74,Memória!A:AB,22,FALSE),VLOOKUP(B74,'DER 10-18'!$A:$F,6,FALSE)))</f>
        <v>1.23</v>
      </c>
      <c r="G74" s="943">
        <f t="shared" ref="G74:G87" si="13">TRUNC(E74*F74,2)</f>
        <v>104130.2</v>
      </c>
      <c r="H74" s="965">
        <v>1.23</v>
      </c>
      <c r="I74" s="966">
        <f>F74</f>
        <v>1.23</v>
      </c>
      <c r="J74" s="966">
        <f>F74-H74</f>
        <v>0</v>
      </c>
      <c r="K74" s="601"/>
    </row>
    <row r="75" spans="1:13" s="603" customFormat="1" ht="21" customHeight="1" x14ac:dyDescent="0.2">
      <c r="A75" s="583" t="s">
        <v>268</v>
      </c>
      <c r="B75" s="600">
        <f>VLOOKUP(A75,Memória!A:S,2,FALSE)</f>
        <v>40757</v>
      </c>
      <c r="C75" s="573" t="str">
        <f>VLOOKUP(A75,Memória!A:S,3,FALSE)</f>
        <v>Estabilização granulométrica de solo s/ mistura 100% P.I.</v>
      </c>
      <c r="D75" s="601" t="str">
        <f>VLOOKUP(A75,Memória!A:T,20,FALSE)</f>
        <v>M3</v>
      </c>
      <c r="E75" s="602">
        <f>VLOOKUP(A75,Memória!A:S,19,FALSE)</f>
        <v>4478.54</v>
      </c>
      <c r="F75" s="602">
        <f>IF(LEFT(B75,1)="l",VLOOKUP(B75,'Compos lug'!$J:$K,2,FALSE),IF(B75&gt;60000,VLOOKUP(A75,Memória!A:AB,22,FALSE),VLOOKUP(B75,'DER 10-18'!$A:$F,6,FALSE)))</f>
        <v>18.68</v>
      </c>
      <c r="G75" s="943">
        <f t="shared" si="13"/>
        <v>83659.12</v>
      </c>
      <c r="H75" s="965">
        <v>18.68</v>
      </c>
      <c r="I75" s="966">
        <f t="shared" ref="I75:I82" si="14">F75</f>
        <v>18.68</v>
      </c>
      <c r="J75" s="966">
        <f t="shared" ref="J75:J83" si="15">F75-H75</f>
        <v>0</v>
      </c>
      <c r="K75" s="600"/>
    </row>
    <row r="76" spans="1:13" s="603" customFormat="1" ht="21" customHeight="1" x14ac:dyDescent="0.2">
      <c r="A76" s="583" t="s">
        <v>269</v>
      </c>
      <c r="B76" s="600" t="str">
        <f>VLOOKUP(A76,Memória!A:S,2,FALSE)</f>
        <v>LG-013</v>
      </c>
      <c r="C76" s="573" t="str">
        <f>VLOOKUP(A76,Memória!A:S,3,FALSE)</f>
        <v>Base mistura em peso 60% de brita graduada / 40% solo</v>
      </c>
      <c r="D76" s="601" t="str">
        <f>VLOOKUP(A76,Memória!A:T,20,FALSE)</f>
        <v>m³</v>
      </c>
      <c r="E76" s="602">
        <f>VLOOKUP(A76,Memória!A:S,19,FALSE)</f>
        <v>4210.75</v>
      </c>
      <c r="F76" s="602">
        <f>IF(LEFT(B76,1)="l",VLOOKUP(B76,'Compos lug'!$J:$K,2,FALSE),IF(B76&gt;60000,VLOOKUP(A76,Memória!A:AB,22,FALSE),VLOOKUP(B76,'DER 10-18'!$A:$F,6,FALSE)))</f>
        <v>120.02</v>
      </c>
      <c r="G76" s="943">
        <f t="shared" si="13"/>
        <v>505374.21</v>
      </c>
      <c r="H76" s="965"/>
      <c r="I76" s="966">
        <f t="shared" si="14"/>
        <v>120.02</v>
      </c>
      <c r="J76" s="966">
        <f t="shared" si="15"/>
        <v>120.02</v>
      </c>
      <c r="K76" s="601" t="s">
        <v>1840</v>
      </c>
      <c r="M76" s="603">
        <f t="shared" ref="M76:M79" si="16">30.5*0.409+0.553*15.7+40.915</f>
        <v>62.071599999999997</v>
      </c>
    </row>
    <row r="77" spans="1:13" s="603" customFormat="1" ht="21" customHeight="1" x14ac:dyDescent="0.2">
      <c r="A77" s="583" t="s">
        <v>270</v>
      </c>
      <c r="B77" s="600">
        <f>VLOOKUP(A77,Memória!A:S,2,FALSE)</f>
        <v>40780</v>
      </c>
      <c r="C77" s="573" t="str">
        <f>VLOOKUP(A77,Memória!A:S,3,FALSE)</f>
        <v>Sub-base solo brita, 50% em peso, inclusive fornecimento e transporte da brita</v>
      </c>
      <c r="D77" s="601" t="str">
        <f>VLOOKUP(A77,Memória!A:T,20,FALSE)</f>
        <v>M3</v>
      </c>
      <c r="E77" s="602">
        <f>VLOOKUP(A77,Memória!A:S,19,FALSE)</f>
        <v>19575.259999999998</v>
      </c>
      <c r="F77" s="602">
        <f>IF(LEFT(B77,1)="l",VLOOKUP(B77,'Compos lug'!$J:$K,2,FALSE),IF(B77&gt;60000,VLOOKUP(A77,Memória!A:AB,22,FALSE),VLOOKUP(B77,'DER 10-18'!$A:$F,6,FALSE)))</f>
        <v>106.82</v>
      </c>
      <c r="G77" s="943">
        <f t="shared" si="13"/>
        <v>2091029.27</v>
      </c>
      <c r="H77" s="965">
        <v>65.19</v>
      </c>
      <c r="I77" s="966">
        <f t="shared" si="14"/>
        <v>106.82</v>
      </c>
      <c r="J77" s="966">
        <f t="shared" si="15"/>
        <v>41.63</v>
      </c>
      <c r="K77" s="601" t="s">
        <v>1848</v>
      </c>
      <c r="M77" s="603">
        <f t="shared" si="16"/>
        <v>62.071599999999997</v>
      </c>
    </row>
    <row r="78" spans="1:13" s="603" customFormat="1" ht="21" customHeight="1" x14ac:dyDescent="0.2">
      <c r="A78" s="583" t="s">
        <v>271</v>
      </c>
      <c r="B78" s="600">
        <f>VLOOKUP(A78,Memória!A:S,2,FALSE)</f>
        <v>40812</v>
      </c>
      <c r="C78" s="573" t="str">
        <f>VLOOKUP(A78,Memória!A:S,3,FALSE)</f>
        <v>Base de brita graduada, inclusive fornecimento, exclusive transporte da brita</v>
      </c>
      <c r="D78" s="601" t="str">
        <f>VLOOKUP(A78,Memória!A:T,20,FALSE)</f>
        <v>M3</v>
      </c>
      <c r="E78" s="602">
        <f>VLOOKUP(A78,Memória!A:S,19,FALSE)</f>
        <v>18821.63</v>
      </c>
      <c r="F78" s="602">
        <f>IF(LEFT(B78,1)="l",VLOOKUP(B78,'Compos lug'!$J:$K,2,FALSE),IF(B78&gt;60000,VLOOKUP(A78,Memória!A:AB,22,FALSE),VLOOKUP(B78,'DER 10-18'!$A:$F,6,FALSE)))</f>
        <v>98.56</v>
      </c>
      <c r="G78" s="943">
        <f t="shared" si="13"/>
        <v>1855059.85</v>
      </c>
      <c r="H78" s="965">
        <v>98.55</v>
      </c>
      <c r="I78" s="966">
        <f t="shared" si="14"/>
        <v>98.56</v>
      </c>
      <c r="J78" s="966">
        <f t="shared" si="15"/>
        <v>0.01</v>
      </c>
      <c r="K78" s="601" t="s">
        <v>1833</v>
      </c>
      <c r="M78" s="603">
        <f t="shared" si="16"/>
        <v>62.071599999999997</v>
      </c>
    </row>
    <row r="79" spans="1:13" s="603" customFormat="1" ht="21" customHeight="1" x14ac:dyDescent="0.2">
      <c r="A79" s="584" t="s">
        <v>272</v>
      </c>
      <c r="B79" s="600">
        <f>VLOOKUP(A79,Memória!A:S,2,FALSE)</f>
        <v>40816</v>
      </c>
      <c r="C79" s="573" t="str">
        <f>VLOOKUP(A79,Memória!A:S,3,FALSE)</f>
        <v>Imprimação exclusive fornecimento e transporte comercial do material betuminoso</v>
      </c>
      <c r="D79" s="601" t="str">
        <f>VLOOKUP(A79,Memória!A:T,20,FALSE)</f>
        <v>M2</v>
      </c>
      <c r="E79" s="602">
        <f>VLOOKUP(A79,Memória!A:S,19,FALSE)</f>
        <v>141330.72</v>
      </c>
      <c r="F79" s="602">
        <f>IF(LEFT(B79,1)="l",VLOOKUP(B79,'Compos lug'!$J:$K,2,FALSE),IF(B79&gt;60000,VLOOKUP(A79,Memória!A:AB,22,FALSE),VLOOKUP(B79,'DER 10-18'!$A:$F,6,FALSE)))</f>
        <v>0.84</v>
      </c>
      <c r="G79" s="943">
        <f t="shared" si="13"/>
        <v>118717.8</v>
      </c>
      <c r="H79" s="965">
        <v>0.83</v>
      </c>
      <c r="I79" s="966">
        <f t="shared" si="14"/>
        <v>0.84</v>
      </c>
      <c r="J79" s="966">
        <f t="shared" si="15"/>
        <v>0.01</v>
      </c>
      <c r="K79" s="601" t="s">
        <v>1833</v>
      </c>
      <c r="M79" s="603">
        <f t="shared" si="16"/>
        <v>62.071599999999997</v>
      </c>
    </row>
    <row r="80" spans="1:13" s="603" customFormat="1" ht="21" customHeight="1" x14ac:dyDescent="0.2">
      <c r="A80" s="584" t="s">
        <v>273</v>
      </c>
      <c r="B80" s="600">
        <f>VLOOKUP(A80,Memória!A:S,2,FALSE)</f>
        <v>40843</v>
      </c>
      <c r="C80" s="573" t="str">
        <f>VLOOKUP(A80,Memória!A:S,3,FALSE)</f>
        <v>CBUQ (camada pronta - capa) exclusive fornecimento e transportes do CAP e massa</v>
      </c>
      <c r="D80" s="601" t="str">
        <f>VLOOKUP(A80,Memória!A:T,20,FALSE)</f>
        <v>t</v>
      </c>
      <c r="E80" s="602">
        <f>VLOOKUP(A80,Memória!A:S,19,FALSE)</f>
        <v>14245.03</v>
      </c>
      <c r="F80" s="602">
        <f>IF(LEFT(B80,1)="l",VLOOKUP(B80,'Compos lug'!$J:$K,2,FALSE),IF(B80&gt;60000,VLOOKUP(A80,Memória!A:AB,22,FALSE),VLOOKUP(B80,'DER 10-18'!$A:$F,6,FALSE)))</f>
        <v>150.08000000000001</v>
      </c>
      <c r="G80" s="943">
        <f t="shared" si="13"/>
        <v>2137894.1</v>
      </c>
      <c r="H80" s="965">
        <v>110.96</v>
      </c>
      <c r="I80" s="966">
        <f t="shared" si="14"/>
        <v>150.08000000000001</v>
      </c>
      <c r="J80" s="966">
        <f t="shared" si="15"/>
        <v>39.119999999999997</v>
      </c>
      <c r="K80" s="601" t="s">
        <v>3266</v>
      </c>
    </row>
    <row r="81" spans="1:11" ht="30" x14ac:dyDescent="0.2">
      <c r="A81" s="584" t="s">
        <v>1434</v>
      </c>
      <c r="B81" s="600">
        <f>VLOOKUP(A81,Memória!A:S,2,FALSE)</f>
        <v>40828</v>
      </c>
      <c r="C81" s="573" t="str">
        <f>VLOOKUP(A81,Memória!A:S,3,FALSE)</f>
        <v>T.S.B.D. sem capa selante exclusive fornecimento e transporte comercial da emulsão, inclusive lavagem e transporte comercial da brita</v>
      </c>
      <c r="D81" s="601" t="str">
        <f>VLOOKUP(A81,Memória!A:T,20,FALSE)</f>
        <v>M2</v>
      </c>
      <c r="E81" s="602">
        <f>VLOOKUP(A81,Memória!A:S,19,FALSE)</f>
        <v>20161.16</v>
      </c>
      <c r="F81" s="602">
        <f>IF(LEFT(B81,1)="l",VLOOKUP(B81,'Compos lug'!$J:$K,2,FALSE),IF(B81&gt;60000,VLOOKUP(A81,Memória!A:AB,22,FALSE),VLOOKUP(B81,'DER 10-18'!$A:$F,6,FALSE)))</f>
        <v>9.06</v>
      </c>
      <c r="G81" s="943">
        <f t="shared" si="13"/>
        <v>182660.1</v>
      </c>
      <c r="H81" s="965">
        <v>7.33</v>
      </c>
      <c r="I81" s="966">
        <f t="shared" si="14"/>
        <v>9.06</v>
      </c>
      <c r="J81" s="966">
        <f t="shared" si="15"/>
        <v>1.73</v>
      </c>
      <c r="K81" s="601" t="s">
        <v>3267</v>
      </c>
    </row>
    <row r="82" spans="1:11" x14ac:dyDescent="0.2">
      <c r="A82" s="584" t="s">
        <v>1542</v>
      </c>
      <c r="B82" s="600">
        <f>VLOOKUP(A82,Memória!A:S,2,FALSE)</f>
        <v>40230</v>
      </c>
      <c r="C82" s="573" t="str">
        <f>VLOOKUP(A82,Memória!A:S,3,FALSE)</f>
        <v>Escavação e carga de material de 1ª categoria com escavadeira</v>
      </c>
      <c r="D82" s="601" t="str">
        <f>VLOOKUP(A82,Memória!A:T,20,FALSE)</f>
        <v>m³</v>
      </c>
      <c r="E82" s="602">
        <f>VLOOKUP(A82,Memória!A:S,19,FALSE)</f>
        <v>19103.990000000002</v>
      </c>
      <c r="F82" s="602">
        <f>IF(LEFT(B82,1)="l",VLOOKUP(B82,'Compos lug'!$J:$K,2,FALSE),IF(B82&gt;60000,VLOOKUP(A82,Memória!A:AB,22,FALSE),VLOOKUP(B82,'DER 10-18'!$A:$F,6,FALSE)))</f>
        <v>3.02</v>
      </c>
      <c r="G82" s="943">
        <f t="shared" si="13"/>
        <v>57694.04</v>
      </c>
      <c r="H82" s="965">
        <v>3.02</v>
      </c>
      <c r="I82" s="966">
        <f t="shared" si="14"/>
        <v>3.02</v>
      </c>
      <c r="J82" s="966">
        <f t="shared" si="15"/>
        <v>0</v>
      </c>
      <c r="K82" s="969"/>
    </row>
    <row r="83" spans="1:11" x14ac:dyDescent="0.2">
      <c r="A83" s="584" t="s">
        <v>1543</v>
      </c>
      <c r="B83" s="600">
        <f>VLOOKUP(A83,Memória!A:S,2,FALSE)</f>
        <v>42045</v>
      </c>
      <c r="C83" s="573" t="str">
        <f>VLOOKUP(A83,Memória!A:S,3,FALSE)</f>
        <v>Aquisição de solo de jazida comercial (saibreira)</v>
      </c>
      <c r="D83" s="601" t="str">
        <f>VLOOKUP(A83,Memória!A:T,20,FALSE)</f>
        <v>m³</v>
      </c>
      <c r="E83" s="602">
        <f>VLOOKUP(A83,Memória!A:S,19,FALSE)</f>
        <v>19103.990000000002</v>
      </c>
      <c r="F83" s="602">
        <f>IF(LEFT(B83,1)="l",VLOOKUP(B83,'Compos lug'!$J:$K,2,FALSE),IF(B83&gt;60000,VLOOKUP(A83,Memória!A:AB,22,FALSE),VLOOKUP(B83,'DER 10-18'!$A:$F,6,FALSE)))</f>
        <v>6.16</v>
      </c>
      <c r="G83" s="943">
        <f t="shared" si="13"/>
        <v>117680.57</v>
      </c>
      <c r="H83" s="965">
        <v>6.16</v>
      </c>
      <c r="I83" s="966">
        <f>F83</f>
        <v>6.16</v>
      </c>
      <c r="J83" s="966">
        <f t="shared" si="15"/>
        <v>0</v>
      </c>
      <c r="K83" s="969"/>
    </row>
    <row r="84" spans="1:11" ht="30" x14ac:dyDescent="0.2">
      <c r="A84" s="584" t="s">
        <v>1544</v>
      </c>
      <c r="B84" s="600">
        <f>VLOOKUP(A84,Memória!A:S,2,FALSE)</f>
        <v>60020</v>
      </c>
      <c r="C84" s="573" t="str">
        <f>VLOOKUP(A84,Memória!A:S,3,FALSE)</f>
        <v>LOCAL COM DMT DE 3,1 A 5,0 KM (Caminhão basculante)0,972XP+1,093XR+1,823 -  XP=0.470 / XR=2.960 - Sub-base</v>
      </c>
      <c r="D84" s="601" t="str">
        <f>VLOOKUP(A84,Memória!A:T,20,FALSE)</f>
        <v>T</v>
      </c>
      <c r="E84" s="602">
        <f>VLOOKUP(A84,Memória!A:S,19,FALSE)</f>
        <v>22962.18</v>
      </c>
      <c r="F84" s="602">
        <f>IF(LEFT(B84,1)="l",VLOOKUP(B84,'Compos lug'!$J:$K,2,FALSE),IF(B84&gt;60000,VLOOKUP(A84,Memória!A:AB,22,FALSE),VLOOKUP(B84,'DER 10-18'!$A:$F,6,FALSE)))</f>
        <v>5.52</v>
      </c>
      <c r="G84" s="943">
        <f t="shared" si="13"/>
        <v>126751.23</v>
      </c>
      <c r="H84" s="965"/>
      <c r="I84" s="966">
        <f t="shared" ref="I84:I87" si="17">F84</f>
        <v>5.52</v>
      </c>
      <c r="J84" s="966">
        <f>F84-I84</f>
        <v>0</v>
      </c>
      <c r="K84" s="969"/>
    </row>
    <row r="85" spans="1:11" ht="30" x14ac:dyDescent="0.2">
      <c r="A85" s="584" t="s">
        <v>1545</v>
      </c>
      <c r="B85" s="600">
        <f>VLOOKUP(A85,Memória!A:S,2,FALSE)</f>
        <v>60002</v>
      </c>
      <c r="C85" s="573" t="str">
        <f>VLOOKUP(A85,Memória!A:S,3,FALSE)</f>
        <v>TR-201-00 (Comercial - Caminhão basculante)0,839XP+0,875XR+3,503 -  XP=22.590 / XR=5.550 - Base</v>
      </c>
      <c r="D85" s="601" t="str">
        <f>VLOOKUP(A85,Memória!A:T,20,FALSE)</f>
        <v>T</v>
      </c>
      <c r="E85" s="602">
        <f>VLOOKUP(A85,Memória!A:S,19,FALSE)</f>
        <v>41690.050000000003</v>
      </c>
      <c r="F85" s="602">
        <f>IF(LEFT(B85,1)="l",VLOOKUP(B85,'Compos lug'!$J:$K,2,FALSE),IF(B85&gt;60000,VLOOKUP(A85,Memória!A:AB,22,FALSE),VLOOKUP(B85,'DER 10-18'!$A:$F,6,FALSE)))</f>
        <v>27.31</v>
      </c>
      <c r="G85" s="943">
        <f t="shared" si="13"/>
        <v>1138555.26</v>
      </c>
      <c r="H85" s="965"/>
      <c r="I85" s="966">
        <f t="shared" si="17"/>
        <v>27.31</v>
      </c>
      <c r="J85" s="966">
        <f t="shared" ref="J85:J87" si="18">F85-I85</f>
        <v>0</v>
      </c>
      <c r="K85" s="969"/>
    </row>
    <row r="86" spans="1:11" ht="30" x14ac:dyDescent="0.2">
      <c r="A86" s="584" t="s">
        <v>1546</v>
      </c>
      <c r="B86" s="600">
        <f>VLOOKUP(A86,Memória!A:S,2,FALSE)</f>
        <v>60022</v>
      </c>
      <c r="C86" s="573" t="str">
        <f>VLOOKUP(A86,Memória!A:S,3,FALSE)</f>
        <v>LOCAL COM DMT DE 10,1 A 15,0 KM (Caminhão basculante)0,748XP+0,791XR+1,683 -  XP=0,000 / XR=13,910 - Material p/sub-base</v>
      </c>
      <c r="D86" s="601" t="str">
        <f>VLOOKUP(A86,Memória!A:T,20,FALSE)</f>
        <v xml:space="preserve"> t  </v>
      </c>
      <c r="E86" s="602">
        <f>VLOOKUP(A86,Memória!A:S,19,FALSE)</f>
        <v>11397.86</v>
      </c>
      <c r="F86" s="602">
        <f>IF(LEFT(B86,1)="l",VLOOKUP(B86,'Compos lug'!$J:$K,2,FALSE),IF(B86&gt;60000,VLOOKUP(A86,Memória!A:AB,22,FALSE),VLOOKUP(B86,'DER 10-18'!$A:$F,6,FALSE)))</f>
        <v>12.69</v>
      </c>
      <c r="G86" s="943">
        <f t="shared" si="13"/>
        <v>144638.84</v>
      </c>
      <c r="H86" s="965"/>
      <c r="I86" s="966">
        <f t="shared" si="17"/>
        <v>12.69</v>
      </c>
      <c r="J86" s="966">
        <f t="shared" si="18"/>
        <v>0</v>
      </c>
      <c r="K86" s="969"/>
    </row>
    <row r="87" spans="1:11" ht="33.75" customHeight="1" x14ac:dyDescent="0.2">
      <c r="A87" s="584" t="s">
        <v>1547</v>
      </c>
      <c r="B87" s="600">
        <f>VLOOKUP(A87,Memória!A:S,2,FALSE)</f>
        <v>60022</v>
      </c>
      <c r="C87" s="573" t="str">
        <f>VLOOKUP(A87,Memória!A:S,3,FALSE)</f>
        <v>LOCAL COM DMT DE 10,1 A 15,0 KM (Caminhão basculante)0,748XP+0,791XR+1,683 -  XP=0,000 / XR=13,936 - Material p/base</v>
      </c>
      <c r="D87" s="601" t="str">
        <f>VLOOKUP(A87,Memória!A:T,20,FALSE)</f>
        <v xml:space="preserve"> t  </v>
      </c>
      <c r="E87" s="602">
        <f>VLOOKUP(A87,Memória!A:S,19,FALSE)</f>
        <v>3824.84</v>
      </c>
      <c r="F87" s="602">
        <f>IF(LEFT(B87,1)="l",VLOOKUP(B87,'Compos lug'!$J:$K,2,FALSE),IF(B87&gt;60000,VLOOKUP(A87,Memória!A:AB,22,FALSE),VLOOKUP(B87,'DER 10-18'!$A:$F,6,FALSE)))</f>
        <v>12.71</v>
      </c>
      <c r="G87" s="943">
        <f t="shared" si="13"/>
        <v>48613.71</v>
      </c>
      <c r="H87" s="980"/>
      <c r="I87" s="981">
        <f t="shared" si="17"/>
        <v>12.71</v>
      </c>
      <c r="J87" s="981">
        <f t="shared" si="18"/>
        <v>0</v>
      </c>
      <c r="K87" s="990"/>
    </row>
    <row r="88" spans="1:11" x14ac:dyDescent="0.2">
      <c r="A88" s="604"/>
      <c r="B88" s="734"/>
      <c r="C88" s="605" t="s">
        <v>135</v>
      </c>
      <c r="D88" s="606"/>
      <c r="E88" s="607"/>
      <c r="F88" s="608"/>
      <c r="G88" s="946">
        <f>SUM(G74:G87)</f>
        <v>8712458.3000000007</v>
      </c>
      <c r="H88" s="953"/>
      <c r="I88" s="951"/>
      <c r="J88" s="951"/>
      <c r="K88" s="954"/>
    </row>
    <row r="89" spans="1:11" x14ac:dyDescent="0.2">
      <c r="A89" s="581">
        <v>4</v>
      </c>
      <c r="B89" s="589"/>
      <c r="C89" s="590" t="str">
        <f>VLOOKUP(A89,Memória!A:S,3,FALSE)</f>
        <v>FORNECIMENTO E TRANSPORTE DE MATERIAL BETUMINOSO</v>
      </c>
      <c r="D89" s="591"/>
      <c r="E89" s="609"/>
      <c r="F89" s="610"/>
      <c r="G89" s="944"/>
      <c r="H89" s="983"/>
      <c r="I89" s="984"/>
      <c r="J89" s="984"/>
      <c r="K89" s="991"/>
    </row>
    <row r="90" spans="1:11" x14ac:dyDescent="0.2">
      <c r="A90" s="583" t="s">
        <v>274</v>
      </c>
      <c r="B90" s="600">
        <f>VLOOKUP(A90,Memória!A:S,2,FALSE)</f>
        <v>40968</v>
      </c>
      <c r="C90" s="573" t="str">
        <f>VLOOKUP(A90,Memória!A:S,3,FALSE)</f>
        <v>CM-30, fornecimento</v>
      </c>
      <c r="D90" s="601" t="str">
        <f>VLOOKUP(A90,Memória!A:T,20,FALSE)</f>
        <v>t</v>
      </c>
      <c r="E90" s="602">
        <f>VLOOKUP(A90,Memória!A:S,19,FALSE)</f>
        <v>194.33</v>
      </c>
      <c r="F90" s="602">
        <f>IF(LEFT(B90,1)="l",VLOOKUP(B90,'Compos lug'!$J:$K,2,FALSE),IF(B90&gt;60000,VLOOKUP(A90,Memória!A:AB,22,FALSE),VLOOKUP(B90,'DER 10-18'!$A:$F,6,FALSE)))</f>
        <v>4446.3999999999996</v>
      </c>
      <c r="G90" s="943">
        <f t="shared" ref="G90:G99" si="19">TRUNC(E90*F90,2)</f>
        <v>864068.91</v>
      </c>
      <c r="H90" s="965">
        <v>4446.3999999999996</v>
      </c>
      <c r="I90" s="966">
        <f>F90</f>
        <v>4446.3999999999996</v>
      </c>
      <c r="J90" s="966">
        <f>F90-H90</f>
        <v>0</v>
      </c>
      <c r="K90" s="969"/>
    </row>
    <row r="91" spans="1:11" s="611" customFormat="1" x14ac:dyDescent="0.2">
      <c r="A91" s="583" t="s">
        <v>275</v>
      </c>
      <c r="B91" s="600">
        <f>VLOOKUP(A91,Memória!A:S,2,FALSE)</f>
        <v>41360</v>
      </c>
      <c r="C91" s="573" t="str">
        <f>VLOOKUP(A91,Memória!A:S,3,FALSE)</f>
        <v>CAP-50/70, fornecimento</v>
      </c>
      <c r="D91" s="601" t="str">
        <f>VLOOKUP(A91,Memória!A:T,20,FALSE)</f>
        <v>t</v>
      </c>
      <c r="E91" s="602">
        <f>VLOOKUP(A91,Memória!A:S,19,FALSE)</f>
        <v>783.48</v>
      </c>
      <c r="F91" s="602">
        <f>IF(LEFT(B91,1)="l",VLOOKUP(B91,'Compos lug'!$J:$K,2,FALSE),IF(B91&gt;60000,VLOOKUP(A91,Memória!A:AB,22,FALSE),VLOOKUP(B91,'DER 10-18'!$A:$F,6,FALSE)))</f>
        <v>3016.56</v>
      </c>
      <c r="G91" s="943">
        <f t="shared" si="19"/>
        <v>2363414.42</v>
      </c>
      <c r="H91" s="965">
        <v>3016.56</v>
      </c>
      <c r="I91" s="966">
        <f t="shared" ref="I91:I93" si="20">F91</f>
        <v>3016.56</v>
      </c>
      <c r="J91" s="966">
        <f t="shared" ref="J91:J93" si="21">F91-H91</f>
        <v>0</v>
      </c>
      <c r="K91" s="970"/>
    </row>
    <row r="92" spans="1:11" s="611" customFormat="1" x14ac:dyDescent="0.2">
      <c r="A92" s="583" t="s">
        <v>276</v>
      </c>
      <c r="B92" s="600">
        <f>VLOOKUP(A92,Memória!A:S,2,FALSE)</f>
        <v>40976</v>
      </c>
      <c r="C92" s="573" t="str">
        <f>VLOOKUP(A92,Memória!A:S,3,FALSE)</f>
        <v>Dope, fornecimento</v>
      </c>
      <c r="D92" s="601" t="str">
        <f>VLOOKUP(A92,Memória!A:T,20,FALSE)</f>
        <v>t</v>
      </c>
      <c r="E92" s="602">
        <f>VLOOKUP(A92,Memória!A:S,19,FALSE)</f>
        <v>7.12</v>
      </c>
      <c r="F92" s="602">
        <f>IF(LEFT(B92,1)="l",VLOOKUP(B92,'Compos lug'!$J:$K,2,FALSE),IF(B92&gt;60000,VLOOKUP(A92,Memória!A:AB,22,FALSE),VLOOKUP(B92,'DER 10-18'!$A:$F,6,FALSE)))</f>
        <v>56050</v>
      </c>
      <c r="G92" s="943">
        <f t="shared" si="19"/>
        <v>399076</v>
      </c>
      <c r="H92" s="965">
        <v>56050</v>
      </c>
      <c r="I92" s="966">
        <f t="shared" si="20"/>
        <v>56050</v>
      </c>
      <c r="J92" s="966">
        <f t="shared" si="21"/>
        <v>0</v>
      </c>
      <c r="K92" s="970"/>
    </row>
    <row r="93" spans="1:11" s="611" customFormat="1" x14ac:dyDescent="0.2">
      <c r="A93" s="583" t="s">
        <v>277</v>
      </c>
      <c r="B93" s="600">
        <f>VLOOKUP(A93,Memória!A:S,2,FALSE)</f>
        <v>40969</v>
      </c>
      <c r="C93" s="573" t="str">
        <f>VLOOKUP(A93,Memória!A:S,3,FALSE)</f>
        <v>Emulsão RR-2C, fornecimento</v>
      </c>
      <c r="D93" s="601" t="str">
        <f>VLOOKUP(A93,Memória!A:T,20,FALSE)</f>
        <v>t</v>
      </c>
      <c r="E93" s="602">
        <f>VLOOKUP(A93,Memória!A:S,19,FALSE)</f>
        <v>66.53</v>
      </c>
      <c r="F93" s="602">
        <f>IF(LEFT(B93,1)="l",VLOOKUP(B93,'Compos lug'!$J:$K,2,FALSE),IF(B93&gt;60000,VLOOKUP(A93,Memória!A:AB,22,FALSE),VLOOKUP(B93,'DER 10-18'!$A:$F,6,FALSE)))</f>
        <v>2534.35</v>
      </c>
      <c r="G93" s="943">
        <f t="shared" si="19"/>
        <v>168610.3</v>
      </c>
      <c r="H93" s="965">
        <v>2534.35</v>
      </c>
      <c r="I93" s="966">
        <f t="shared" si="20"/>
        <v>2534.35</v>
      </c>
      <c r="J93" s="966">
        <f t="shared" si="21"/>
        <v>0</v>
      </c>
      <c r="K93" s="970"/>
    </row>
    <row r="94" spans="1:11" s="611" customFormat="1" x14ac:dyDescent="0.2">
      <c r="A94" s="583" t="s">
        <v>278</v>
      </c>
      <c r="B94" s="600">
        <f>VLOOKUP(A94,Memória!A:S,2,FALSE)</f>
        <v>40972</v>
      </c>
      <c r="C94" s="573" t="str">
        <f>VLOOKUP(A94,Memória!A:S,3,FALSE)</f>
        <v>Bonificação de 15,28% sobre Materiais Betuminosos</v>
      </c>
      <c r="D94" s="601" t="str">
        <f>VLOOKUP(A94,Memória!A:T,20,FALSE)</f>
        <v>%</v>
      </c>
      <c r="E94" s="889">
        <f>VLOOKUP(A94,Memória!A:S,19,FALSE)</f>
        <v>0.15279999999999999</v>
      </c>
      <c r="F94" s="602">
        <f>SUM(G90:G93)</f>
        <v>3795169.63</v>
      </c>
      <c r="G94" s="943">
        <f>TRUNC(E94*F94,2)</f>
        <v>579901.91</v>
      </c>
      <c r="H94" s="971"/>
      <c r="I94" s="966"/>
      <c r="J94" s="966"/>
      <c r="K94" s="970"/>
    </row>
    <row r="95" spans="1:11" s="611" customFormat="1" ht="30" x14ac:dyDescent="0.2">
      <c r="A95" s="583" t="s">
        <v>1107</v>
      </c>
      <c r="B95" s="600">
        <f>VLOOKUP(A95,Memória!A:S,2,FALSE)</f>
        <v>100849</v>
      </c>
      <c r="C95" s="573" t="str">
        <f>VLOOKUP(A95,Memória!A:S,3,FALSE)</f>
        <v>Transporte de Material Asfáltico (DNIT), inclusive BDI diferenciado0,537XP+0,636XR+57,439 -  XP=411.800 / XR=5.700 - CM-30</v>
      </c>
      <c r="D95" s="601" t="str">
        <f>VLOOKUP(A95,Memória!A:T,20,FALSE)</f>
        <v>T</v>
      </c>
      <c r="E95" s="602">
        <f>VLOOKUP(A95,Memória!A:S,19,FALSE)</f>
        <v>194.33</v>
      </c>
      <c r="F95" s="602">
        <f>IF(LEFT(B95,1)="l",VLOOKUP(B95,'Compos lug'!$J:$K,2,FALSE),IF(B95&gt;60000,VLOOKUP(A95,Memória!A:AB,22,FALSE),VLOOKUP(B95,'DER 10-18'!$A:$F,6,FALSE)))</f>
        <v>282.2</v>
      </c>
      <c r="G95" s="943">
        <f t="shared" si="19"/>
        <v>54839.92</v>
      </c>
      <c r="H95" s="965"/>
      <c r="I95" s="966">
        <f>F95</f>
        <v>282.2</v>
      </c>
      <c r="J95" s="966">
        <f>F95-I95</f>
        <v>0</v>
      </c>
      <c r="K95" s="970"/>
    </row>
    <row r="96" spans="1:11" s="611" customFormat="1" ht="30" x14ac:dyDescent="0.2">
      <c r="A96" s="583" t="s">
        <v>1108</v>
      </c>
      <c r="B96" s="600">
        <f>VLOOKUP(A96,Memória!A:S,2,FALSE)</f>
        <v>100849</v>
      </c>
      <c r="C96" s="573" t="str">
        <f>VLOOKUP(A96,Memória!A:S,3,FALSE)</f>
        <v>Transporte de Material Asfáltico (DNIT), inclusive BDI diferenciado0,537XP+0,636XR+57,439 -  XP=411.800 / XR=5.700 - CAP50/70</v>
      </c>
      <c r="D96" s="601" t="str">
        <f>VLOOKUP(A96,Memória!A:T,20,FALSE)</f>
        <v>T</v>
      </c>
      <c r="E96" s="602">
        <f>VLOOKUP(A96,Memória!A:S,19,FALSE)</f>
        <v>783.48</v>
      </c>
      <c r="F96" s="602">
        <f>IF(LEFT(B96,1)="l",VLOOKUP(B96,'Compos lug'!$J:$K,2,FALSE),IF(B96&gt;60000,VLOOKUP(A96,Memória!A:AB,22,FALSE),VLOOKUP(B96,'DER 10-18'!$A:$F,6,FALSE)))</f>
        <v>282.2</v>
      </c>
      <c r="G96" s="943">
        <f t="shared" si="19"/>
        <v>221098.05</v>
      </c>
      <c r="H96" s="965"/>
      <c r="I96" s="966">
        <f t="shared" ref="I96:I99" si="22">F96</f>
        <v>282.2</v>
      </c>
      <c r="J96" s="966">
        <f t="shared" ref="J96:J99" si="23">F96-I96</f>
        <v>0</v>
      </c>
      <c r="K96" s="970"/>
    </row>
    <row r="97" spans="1:11" s="603" customFormat="1" ht="45" x14ac:dyDescent="0.2">
      <c r="A97" s="583" t="s">
        <v>1423</v>
      </c>
      <c r="B97" s="600">
        <f>VLOOKUP(A97,Memória!A:S,2,FALSE)</f>
        <v>100849</v>
      </c>
      <c r="C97" s="573" t="str">
        <f>VLOOKUP(A97,Memória!A:S,3,FALSE)</f>
        <v>Transporte de Material Asfáltico (DNIT), inclusive BDI diferenciado0,537XP+0,636XR+57,439 -  XP=411.800 / XR=5.700 - Dope (Tambor de 100kg)</v>
      </c>
      <c r="D97" s="601" t="str">
        <f>VLOOKUP(A97,Memória!A:T,20,FALSE)</f>
        <v>T</v>
      </c>
      <c r="E97" s="602">
        <f>VLOOKUP(A97,Memória!A:S,19,FALSE)</f>
        <v>7.12</v>
      </c>
      <c r="F97" s="602">
        <f>IF(LEFT(B97,1)="l",VLOOKUP(B97,'Compos lug'!$J:$K,2,FALSE),IF(B97&gt;60000,VLOOKUP(A97,Memória!A:AB,22,FALSE),VLOOKUP(B97,'DER 10-18'!$A:$F,6,FALSE)))</f>
        <v>282.2</v>
      </c>
      <c r="G97" s="943">
        <f t="shared" si="19"/>
        <v>2009.26</v>
      </c>
      <c r="H97" s="965"/>
      <c r="I97" s="966">
        <f t="shared" si="22"/>
        <v>282.2</v>
      </c>
      <c r="J97" s="966">
        <f t="shared" si="23"/>
        <v>0</v>
      </c>
      <c r="K97" s="600"/>
    </row>
    <row r="98" spans="1:11" s="594" customFormat="1" ht="30" x14ac:dyDescent="0.2">
      <c r="A98" s="583" t="s">
        <v>1548</v>
      </c>
      <c r="B98" s="600">
        <f>VLOOKUP(A98,Memória!A:S,2,FALSE)</f>
        <v>60006</v>
      </c>
      <c r="C98" s="573" t="str">
        <f>VLOOKUP(A98,Memória!A:S,3,FALSE)</f>
        <v>TR-301-00 (Massa Asfáltica)1,264XP+1,313XR+9,731 -  XP=37.200 / XR=5.600 - Massa Asfática</v>
      </c>
      <c r="D98" s="601" t="str">
        <f>VLOOKUP(A98,Memória!A:T,20,FALSE)</f>
        <v>T</v>
      </c>
      <c r="E98" s="602">
        <f>VLOOKUP(A98,Memória!A:S,19,FALSE)</f>
        <v>14245.03</v>
      </c>
      <c r="F98" s="602">
        <f>IF(LEFT(B98,1)="l",VLOOKUP(B98,'Compos lug'!$J:$K,2,FALSE),IF(B98&gt;60000,VLOOKUP(A98,Memória!A:AB,22,FALSE),VLOOKUP(B98,'DER 10-18'!$A:$F,6,FALSE)))</f>
        <v>64.099999999999994</v>
      </c>
      <c r="G98" s="943">
        <f t="shared" si="19"/>
        <v>913106.42</v>
      </c>
      <c r="H98" s="965"/>
      <c r="I98" s="966">
        <f t="shared" si="22"/>
        <v>64.099999999999994</v>
      </c>
      <c r="J98" s="966">
        <f t="shared" si="23"/>
        <v>0</v>
      </c>
      <c r="K98" s="967"/>
    </row>
    <row r="99" spans="1:11" ht="30" x14ac:dyDescent="0.2">
      <c r="A99" s="583" t="s">
        <v>1549</v>
      </c>
      <c r="B99" s="600">
        <f>VLOOKUP(A99,Memória!A:S,2,FALSE)</f>
        <v>100849</v>
      </c>
      <c r="C99" s="573" t="str">
        <f>VLOOKUP(A99,Memória!A:S,3,FALSE)</f>
        <v>Transporte de Material Asfáltico (DNIT), inclusive BDI diferenciado0,537XP+0,636XR+57,439 -  XP=411.800 / XR=5.700 - RR-2C</v>
      </c>
      <c r="D99" s="601" t="str">
        <f>VLOOKUP(A99,Memória!A:T,20,FALSE)</f>
        <v>T</v>
      </c>
      <c r="E99" s="602">
        <f>VLOOKUP(A99,Memória!A:S,19,FALSE)</f>
        <v>66.53</v>
      </c>
      <c r="F99" s="602">
        <f>IF(LEFT(B99,1)="l",VLOOKUP(B99,'Compos lug'!$J:$K,2,FALSE),IF(B99&gt;60000,VLOOKUP(A99,Memória!A:AB,22,FALSE),VLOOKUP(B99,'DER 10-18'!$A:$F,6,FALSE)))</f>
        <v>282.2</v>
      </c>
      <c r="G99" s="943">
        <f t="shared" si="19"/>
        <v>18774.759999999998</v>
      </c>
      <c r="H99" s="980"/>
      <c r="I99" s="981">
        <f t="shared" si="22"/>
        <v>282.2</v>
      </c>
      <c r="J99" s="981">
        <f t="shared" si="23"/>
        <v>0</v>
      </c>
      <c r="K99" s="990"/>
    </row>
    <row r="100" spans="1:11" x14ac:dyDescent="0.2">
      <c r="A100" s="604"/>
      <c r="B100" s="734"/>
      <c r="C100" s="605" t="s">
        <v>137</v>
      </c>
      <c r="D100" s="606"/>
      <c r="E100" s="607"/>
      <c r="F100" s="608"/>
      <c r="G100" s="607">
        <f>SUM(G90:G99)</f>
        <v>5584899.9500000002</v>
      </c>
      <c r="H100" s="952"/>
      <c r="I100" s="951"/>
      <c r="J100" s="951"/>
      <c r="K100" s="954"/>
    </row>
    <row r="101" spans="1:11" s="603" customFormat="1" x14ac:dyDescent="0.2">
      <c r="A101" s="581">
        <v>5</v>
      </c>
      <c r="B101" s="589"/>
      <c r="C101" s="590" t="str">
        <f>VLOOKUP(A101,Memória!A:S,3,FALSE)</f>
        <v>OBRAS COMPLEMENTARES</v>
      </c>
      <c r="D101" s="591"/>
      <c r="E101" s="609"/>
      <c r="F101" s="610"/>
      <c r="G101" s="944"/>
      <c r="H101" s="983"/>
      <c r="I101" s="984"/>
      <c r="J101" s="984"/>
      <c r="K101" s="988"/>
    </row>
    <row r="102" spans="1:11" s="594" customFormat="1" ht="23.25" customHeight="1" x14ac:dyDescent="0.2">
      <c r="A102" s="585" t="s">
        <v>1223</v>
      </c>
      <c r="B102" s="600">
        <f>VLOOKUP(A102,Memória!A:S,2,FALSE)</f>
        <v>40903</v>
      </c>
      <c r="C102" s="573" t="str">
        <f>VLOOKUP(A102,Memória!A:S,3,FALSE)</f>
        <v>Cerca de arame farpado 4 fios com postes cada 2,5 m, esticadores de concreto a cada 25,0 m</v>
      </c>
      <c r="D102" s="601" t="str">
        <f>VLOOKUP(A102,Memória!A:T,20,FALSE)</f>
        <v>M</v>
      </c>
      <c r="E102" s="602">
        <f>VLOOKUP(A102,Memória!A:S,19,FALSE)</f>
        <v>12539.45</v>
      </c>
      <c r="F102" s="602">
        <f>IF(LEFT(B102,1)="l",VLOOKUP(B102,'Compos lug'!$J:$K,2,FALSE),IF(B102&gt;60000,VLOOKUP(A102,Memória!A:AB,22,FALSE),VLOOKUP(B102,'DER 10-18'!$A:$F,6,FALSE)))</f>
        <v>23.86</v>
      </c>
      <c r="G102" s="943">
        <f t="shared" ref="G102:G105" si="24">TRUNC(E102*F102,2)</f>
        <v>299191.27</v>
      </c>
      <c r="H102" s="965">
        <v>23.45</v>
      </c>
      <c r="I102" s="966">
        <f>F102</f>
        <v>23.86</v>
      </c>
      <c r="J102" s="966">
        <f>F102-H102</f>
        <v>0.41</v>
      </c>
      <c r="K102" s="972" t="s">
        <v>3268</v>
      </c>
    </row>
    <row r="103" spans="1:11" s="594" customFormat="1" ht="23.25" customHeight="1" x14ac:dyDescent="0.2">
      <c r="A103" s="585" t="s">
        <v>1224</v>
      </c>
      <c r="B103" s="600">
        <f>VLOOKUP(A103,Memória!A:S,2,FALSE)</f>
        <v>40902</v>
      </c>
      <c r="C103" s="573" t="str">
        <f>VLOOKUP(A103,Memória!A:S,3,FALSE)</f>
        <v>Deslocamento de cerca de madeira com 4 fios de arame</v>
      </c>
      <c r="D103" s="601" t="str">
        <f>VLOOKUP(A103,Memória!A:T,20,FALSE)</f>
        <v>M</v>
      </c>
      <c r="E103" s="602">
        <f>VLOOKUP(A103,Memória!A:S,19,FALSE)</f>
        <v>8327.4500000000007</v>
      </c>
      <c r="F103" s="602">
        <f>IF(LEFT(B103,1)="l",VLOOKUP(B103,'Compos lug'!$J:$K,2,FALSE),IF(B103&gt;60000,VLOOKUP(A103,Memória!A:AB,22,FALSE),VLOOKUP(B103,'DER 10-18'!$A:$F,6,FALSE)))</f>
        <v>5.1100000000000003</v>
      </c>
      <c r="G103" s="943">
        <f t="shared" si="24"/>
        <v>42553.26</v>
      </c>
      <c r="H103" s="965">
        <v>5.0999999999999996</v>
      </c>
      <c r="I103" s="966">
        <f>F103</f>
        <v>5.1100000000000003</v>
      </c>
      <c r="J103" s="966">
        <f>F103-H103</f>
        <v>0.01</v>
      </c>
      <c r="K103" s="601" t="s">
        <v>1833</v>
      </c>
    </row>
    <row r="104" spans="1:11" s="594" customFormat="1" ht="23.25" customHeight="1" x14ac:dyDescent="0.2">
      <c r="A104" s="585" t="s">
        <v>1529</v>
      </c>
      <c r="B104" s="600">
        <f>VLOOKUP(A104,Memória!A:S,2,FALSE)</f>
        <v>40910</v>
      </c>
      <c r="C104" s="573" t="str">
        <f>VLOOKUP(A104,Memória!A:S,3,FALSE)</f>
        <v>Abrigo de Ônibus - Rodovia Rural - 3,40 m x 6,00 m</v>
      </c>
      <c r="D104" s="601" t="str">
        <f>VLOOKUP(A104,Memória!A:T,20,FALSE)</f>
        <v>Ud</v>
      </c>
      <c r="E104" s="602">
        <f>VLOOKUP(A104,Memória!A:S,19,FALSE)</f>
        <v>36</v>
      </c>
      <c r="F104" s="602">
        <f>IF(LEFT(B104,1)="l",VLOOKUP(B104,'Compos lug'!$J:$K,2,FALSE),IF(B104&gt;60000,VLOOKUP(A104,Memória!A:AB,22,FALSE),VLOOKUP(B104,'DER 10-18'!$A:$F,6,FALSE)))</f>
        <v>15241.78</v>
      </c>
      <c r="G104" s="943">
        <f t="shared" si="24"/>
        <v>548704.07999999996</v>
      </c>
      <c r="H104" s="965">
        <v>14974.35</v>
      </c>
      <c r="I104" s="966">
        <f>F104</f>
        <v>15241.78</v>
      </c>
      <c r="J104" s="966">
        <f>F104-H104</f>
        <v>267.43</v>
      </c>
      <c r="K104" s="601" t="s">
        <v>1849</v>
      </c>
    </row>
    <row r="105" spans="1:11" ht="29.25" customHeight="1" x14ac:dyDescent="0.2">
      <c r="A105" s="585" t="s">
        <v>1550</v>
      </c>
      <c r="B105" s="600">
        <f>VLOOKUP(A105,Memória!A:S,2,FALSE)</f>
        <v>40915</v>
      </c>
      <c r="C105" s="573" t="str">
        <f>VLOOKUP(A105,Memória!A:S,3,FALSE)</f>
        <v>Calçada de concreto fck=15 MP, camurçado c/ argam. cimento e areia 1:4, lastro de brita e 8 cm de concreto, incl. preparo da caixa e transp. da brita</v>
      </c>
      <c r="D105" s="601" t="str">
        <f>VLOOKUP(A105,Memória!A:T,20,FALSE)</f>
        <v>M2</v>
      </c>
      <c r="E105" s="602">
        <f>VLOOKUP(A105,Memória!A:S,19,FALSE)</f>
        <v>370</v>
      </c>
      <c r="F105" s="602">
        <f>IF(LEFT(B105,1)="l",VLOOKUP(B105,'Compos lug'!$J:$K,2,FALSE),IF(B105&gt;60000,VLOOKUP(A105,Memória!A:AB,22,FALSE),VLOOKUP(B105,'DER 10-18'!$A:$F,6,FALSE)))</f>
        <v>106.38</v>
      </c>
      <c r="G105" s="943">
        <f t="shared" si="24"/>
        <v>39360.6</v>
      </c>
      <c r="H105" s="980">
        <v>97.11</v>
      </c>
      <c r="I105" s="981">
        <f>F105</f>
        <v>106.38</v>
      </c>
      <c r="J105" s="981">
        <f>F105-H105</f>
        <v>9.27</v>
      </c>
      <c r="K105" s="702" t="s">
        <v>1850</v>
      </c>
    </row>
    <row r="106" spans="1:11" s="603" customFormat="1" x14ac:dyDescent="0.2">
      <c r="A106" s="604"/>
      <c r="B106" s="734"/>
      <c r="C106" s="605" t="s">
        <v>138</v>
      </c>
      <c r="D106" s="606"/>
      <c r="E106" s="607"/>
      <c r="F106" s="608"/>
      <c r="G106" s="607">
        <f>SUM(G102:G105)</f>
        <v>929809.21</v>
      </c>
      <c r="H106" s="952"/>
      <c r="I106" s="951"/>
      <c r="J106" s="951"/>
      <c r="K106" s="989"/>
    </row>
    <row r="107" spans="1:11" s="594" customFormat="1" x14ac:dyDescent="0.2">
      <c r="A107" s="581">
        <v>6</v>
      </c>
      <c r="B107" s="589"/>
      <c r="C107" s="590" t="str">
        <f>VLOOKUP(A107,Memória!A:S,3,FALSE)</f>
        <v>SINALIZAÇÃO</v>
      </c>
      <c r="D107" s="591"/>
      <c r="E107" s="609"/>
      <c r="F107" s="610"/>
      <c r="G107" s="944"/>
      <c r="H107" s="983"/>
      <c r="I107" s="984"/>
      <c r="J107" s="984"/>
      <c r="K107" s="992"/>
    </row>
    <row r="108" spans="1:11" x14ac:dyDescent="0.2">
      <c r="A108" s="582" t="s">
        <v>154</v>
      </c>
      <c r="B108" s="595"/>
      <c r="C108" s="596" t="str">
        <f>VLOOKUP(A108,Memória!A:S,3,FALSE)</f>
        <v>Sinalização Pista</v>
      </c>
      <c r="D108" s="597"/>
      <c r="E108" s="598"/>
      <c r="F108" s="598"/>
      <c r="G108" s="942"/>
      <c r="H108" s="973"/>
      <c r="I108" s="966"/>
      <c r="J108" s="966"/>
      <c r="K108" s="969"/>
    </row>
    <row r="109" spans="1:11" ht="41.25" customHeight="1" x14ac:dyDescent="0.2">
      <c r="A109" s="585" t="s">
        <v>286</v>
      </c>
      <c r="B109" s="600">
        <f>VLOOKUP(A109,Memória!A:S,2,FALSE)</f>
        <v>40925</v>
      </c>
      <c r="C109" s="573" t="str">
        <f>VLOOKUP(A109,Memória!A:S,3,FALSE)</f>
        <v>Sinalização horizontal TMD=400, vida útil 2 a 3 anos, taxa=0,60 L/m²</v>
      </c>
      <c r="D109" s="601" t="str">
        <f>VLOOKUP(A109,Memória!A:T,20,FALSE)</f>
        <v>M2</v>
      </c>
      <c r="E109" s="602">
        <f>VLOOKUP(A109,Memória!A:S,19,FALSE)</f>
        <v>4713.1400000000003</v>
      </c>
      <c r="F109" s="602">
        <f>IF(LEFT(B109,1)="l",VLOOKUP(B109,'Compos lug'!$J:$K,2,FALSE),IF(B109&gt;60000,VLOOKUP(A109,Memória!A:AB,22,FALSE),VLOOKUP(B109,'DER 10-18'!$A:$F,6,FALSE)))</f>
        <v>18.23</v>
      </c>
      <c r="G109" s="943">
        <f>TRUNC(E109*F109,2)</f>
        <v>85920.54</v>
      </c>
      <c r="H109" s="965">
        <v>18.09</v>
      </c>
      <c r="I109" s="966">
        <f>F109</f>
        <v>18.23</v>
      </c>
      <c r="J109" s="966">
        <f>F109-H109</f>
        <v>0.14000000000000001</v>
      </c>
      <c r="K109" s="601" t="s">
        <v>1851</v>
      </c>
    </row>
    <row r="110" spans="1:11" x14ac:dyDescent="0.2">
      <c r="A110" s="585" t="s">
        <v>279</v>
      </c>
      <c r="B110" s="600">
        <f>VLOOKUP(A110,Memória!A:S,2,FALSE)</f>
        <v>42524</v>
      </c>
      <c r="C110" s="573" t="str">
        <f>VLOOKUP(A110,Memória!A:S,3,FALSE)</f>
        <v>Pintura de setas e zebrados em material termoplástico - 5 anos ( por extrusão)</v>
      </c>
      <c r="D110" s="601" t="str">
        <f>VLOOKUP(A110,Memória!A:T,20,FALSE)</f>
        <v>M2</v>
      </c>
      <c r="E110" s="602">
        <f>VLOOKUP(A110,Memória!A:S,19,FALSE)</f>
        <v>115.12</v>
      </c>
      <c r="F110" s="602">
        <f>IF(LEFT(B110,1)="l",VLOOKUP(B110,'Compos lug'!$J:$K,2,FALSE),IF(B110&gt;60000,VLOOKUP(A110,Memória!A:AB,22,FALSE),VLOOKUP(B110,'DER 10-18'!$A:$F,6,FALSE)))</f>
        <v>95.72</v>
      </c>
      <c r="G110" s="943">
        <f t="shared" ref="G110:G115" si="25">TRUNC(E110*F110,2)</f>
        <v>11019.28</v>
      </c>
      <c r="H110" s="965">
        <v>95.72</v>
      </c>
      <c r="I110" s="966">
        <f t="shared" ref="I110:I115" si="26">F110</f>
        <v>95.72</v>
      </c>
      <c r="J110" s="966">
        <f>F110-H110</f>
        <v>0</v>
      </c>
      <c r="K110" s="969"/>
    </row>
    <row r="111" spans="1:11" ht="18" customHeight="1" x14ac:dyDescent="0.2">
      <c r="A111" s="585" t="s">
        <v>280</v>
      </c>
      <c r="B111" s="600">
        <f>VLOOKUP(A111,Memória!A:S,2,FALSE)</f>
        <v>40932</v>
      </c>
      <c r="C111" s="573" t="str">
        <f>VLOOKUP(A111,Memória!A:S,3,FALSE)</f>
        <v>Tacha refletiva monodirecional, fornecimento e aplicação</v>
      </c>
      <c r="D111" s="601" t="str">
        <f>VLOOKUP(A111,Memória!A:T,20,FALSE)</f>
        <v>Ud</v>
      </c>
      <c r="E111" s="602">
        <f>VLOOKUP(A111,Memória!A:S,19,FALSE)</f>
        <v>2430</v>
      </c>
      <c r="F111" s="602">
        <f>IF(LEFT(B111,1)="l",VLOOKUP(B111,'Compos lug'!$J:$K,2,FALSE),IF(B111&gt;60000,VLOOKUP(A111,Memória!A:AB,22,FALSE),VLOOKUP(B111,'DER 10-18'!$A:$F,6,FALSE)))</f>
        <v>22.1</v>
      </c>
      <c r="G111" s="943">
        <f t="shared" si="25"/>
        <v>53703</v>
      </c>
      <c r="H111" s="965">
        <v>22.09</v>
      </c>
      <c r="I111" s="966">
        <f t="shared" si="26"/>
        <v>22.1</v>
      </c>
      <c r="J111" s="966">
        <f>F111-H111</f>
        <v>0.01</v>
      </c>
      <c r="K111" s="601" t="s">
        <v>1833</v>
      </c>
    </row>
    <row r="112" spans="1:11" ht="18" customHeight="1" x14ac:dyDescent="0.2">
      <c r="A112" s="585" t="s">
        <v>1019</v>
      </c>
      <c r="B112" s="600">
        <f>VLOOKUP(A112,Memória!A:S,2,FALSE)</f>
        <v>40934</v>
      </c>
      <c r="C112" s="573" t="str">
        <f>VLOOKUP(A112,Memória!A:S,3,FALSE)</f>
        <v>Tacha refletiva birrefletorizada, fornecimento e aplicação</v>
      </c>
      <c r="D112" s="601" t="str">
        <f>VLOOKUP(A112,Memória!A:T,20,FALSE)</f>
        <v>Ud</v>
      </c>
      <c r="E112" s="602">
        <f>VLOOKUP(A112,Memória!A:S,19,FALSE)</f>
        <v>955</v>
      </c>
      <c r="F112" s="602">
        <f>IF(LEFT(B112,1)="l",VLOOKUP(B112,'Compos lug'!$J:$K,2,FALSE),IF(B112&gt;60000,VLOOKUP(A112,Memória!A:AB,22,FALSE),VLOOKUP(B112,'DER 10-18'!$A:$F,6,FALSE)))</f>
        <v>22.26</v>
      </c>
      <c r="G112" s="943">
        <f t="shared" si="25"/>
        <v>21258.3</v>
      </c>
      <c r="H112" s="965">
        <v>22.25</v>
      </c>
      <c r="I112" s="966">
        <f t="shared" si="26"/>
        <v>22.26</v>
      </c>
      <c r="J112" s="966">
        <f t="shared" ref="J112:J119" si="27">F112-H112</f>
        <v>0.01</v>
      </c>
      <c r="K112" s="601" t="s">
        <v>1833</v>
      </c>
    </row>
    <row r="113" spans="1:11" ht="18" customHeight="1" x14ac:dyDescent="0.2">
      <c r="A113" s="585" t="s">
        <v>1425</v>
      </c>
      <c r="B113" s="600">
        <f>VLOOKUP(A113,Memória!A:S,2,FALSE)</f>
        <v>40933</v>
      </c>
      <c r="C113" s="573" t="str">
        <f>VLOOKUP(A113,Memória!A:S,3,FALSE)</f>
        <v>Tachão refletivo monodirecional, fornecimento e aplicação</v>
      </c>
      <c r="D113" s="601" t="str">
        <f>VLOOKUP(A113,Memória!A:T,20,FALSE)</f>
        <v>Ud</v>
      </c>
      <c r="E113" s="602">
        <f>VLOOKUP(A113,Memória!A:S,19,FALSE)</f>
        <v>16</v>
      </c>
      <c r="F113" s="602">
        <f>IF(LEFT(B113,1)="l",VLOOKUP(B113,'Compos lug'!$J:$K,2,FALSE),IF(B113&gt;60000,VLOOKUP(A113,Memória!A:AB,22,FALSE),VLOOKUP(B113,'DER 10-18'!$A:$F,6,FALSE)))</f>
        <v>56.26</v>
      </c>
      <c r="G113" s="943">
        <f t="shared" si="25"/>
        <v>900.16</v>
      </c>
      <c r="H113" s="965">
        <v>56.25</v>
      </c>
      <c r="I113" s="966">
        <f t="shared" si="26"/>
        <v>56.26</v>
      </c>
      <c r="J113" s="966">
        <f t="shared" si="27"/>
        <v>0.01</v>
      </c>
      <c r="K113" s="601" t="s">
        <v>1833</v>
      </c>
    </row>
    <row r="114" spans="1:11" ht="18" customHeight="1" x14ac:dyDescent="0.2">
      <c r="A114" s="585" t="s">
        <v>1448</v>
      </c>
      <c r="B114" s="600">
        <f>VLOOKUP(A114,Memória!A:S,2,FALSE)</f>
        <v>40936</v>
      </c>
      <c r="C114" s="573" t="str">
        <f>VLOOKUP(A114,Memória!A:S,3,FALSE)</f>
        <v>Sinalização vertical com chapa revestida em película, inclusive suporte em madeira</v>
      </c>
      <c r="D114" s="601" t="str">
        <f>VLOOKUP(A114,Memória!A:T,20,FALSE)</f>
        <v>M2</v>
      </c>
      <c r="E114" s="602">
        <f>VLOOKUP(A114,Memória!A:S,19,FALSE)</f>
        <v>78.459999999999994</v>
      </c>
      <c r="F114" s="602">
        <f>IF(LEFT(B114,1)="l",VLOOKUP(B114,'Compos lug'!$J:$K,2,FALSE),IF(B114&gt;60000,VLOOKUP(A114,Memória!A:AB,22,FALSE),VLOOKUP(B114,'DER 10-18'!$A:$F,6,FALSE)))</f>
        <v>554.22</v>
      </c>
      <c r="G114" s="943">
        <f t="shared" si="25"/>
        <v>43484.1</v>
      </c>
      <c r="H114" s="965">
        <v>554.16999999999996</v>
      </c>
      <c r="I114" s="966">
        <f t="shared" si="26"/>
        <v>554.22</v>
      </c>
      <c r="J114" s="966">
        <f t="shared" si="27"/>
        <v>0.05</v>
      </c>
      <c r="K114" s="601" t="s">
        <v>1833</v>
      </c>
    </row>
    <row r="115" spans="1:11" ht="36" customHeight="1" x14ac:dyDescent="0.2">
      <c r="A115" s="585" t="s">
        <v>1476</v>
      </c>
      <c r="B115" s="600">
        <f>VLOOKUP(A115,Memória!A:S,2,FALSE)</f>
        <v>41203</v>
      </c>
      <c r="C115" s="573" t="str">
        <f>VLOOKUP(A115,Memória!A:S,3,FALSE)</f>
        <v>Defensa metálica (2 lâminas com espessuras = 3mm) inclusive acessórios, fornecimento e colocação</v>
      </c>
      <c r="D115" s="601" t="str">
        <f>VLOOKUP(A115,Memória!A:T,20,FALSE)</f>
        <v>M</v>
      </c>
      <c r="E115" s="602">
        <f>VLOOKUP(A115,Memória!A:S,19,FALSE)</f>
        <v>150</v>
      </c>
      <c r="F115" s="602">
        <f>IF(LEFT(B115,1)="l",VLOOKUP(B115,'Compos lug'!$J:$K,2,FALSE),IF(B115&gt;60000,VLOOKUP(A115,Memória!A:AB,22,FALSE),VLOOKUP(B115,'DER 10-18'!$A:$F,6,FALSE)))</f>
        <v>530.28</v>
      </c>
      <c r="G115" s="943">
        <f t="shared" si="25"/>
        <v>79542</v>
      </c>
      <c r="H115" s="965">
        <v>526.84</v>
      </c>
      <c r="I115" s="966">
        <f t="shared" si="26"/>
        <v>530.28</v>
      </c>
      <c r="J115" s="966">
        <f t="shared" si="27"/>
        <v>3.44</v>
      </c>
      <c r="K115" s="601" t="s">
        <v>1852</v>
      </c>
    </row>
    <row r="116" spans="1:11" x14ac:dyDescent="0.2">
      <c r="A116" s="582" t="s">
        <v>156</v>
      </c>
      <c r="B116" s="595"/>
      <c r="C116" s="596" t="str">
        <f>VLOOKUP(A116,Memória!A:S,3,FALSE)</f>
        <v>Sinalização em fase de obra</v>
      </c>
      <c r="D116" s="597"/>
      <c r="E116" s="598"/>
      <c r="F116" s="602"/>
      <c r="G116" s="942"/>
      <c r="H116" s="973"/>
      <c r="I116" s="966"/>
      <c r="J116" s="966"/>
      <c r="K116" s="969"/>
    </row>
    <row r="117" spans="1:11" ht="21" customHeight="1" x14ac:dyDescent="0.2">
      <c r="A117" s="585" t="s">
        <v>281</v>
      </c>
      <c r="B117" s="600">
        <f>VLOOKUP(A117,Memória!A:S,2,FALSE)</f>
        <v>42046</v>
      </c>
      <c r="C117" s="573" t="str">
        <f>VLOOKUP(A117,Memória!A:S,3,FALSE)</f>
        <v>Cones para sinalização, fornecimento e colocação</v>
      </c>
      <c r="D117" s="601" t="str">
        <f>VLOOKUP(A117,Memória!A:T,20,FALSE)</f>
        <v>Ud</v>
      </c>
      <c r="E117" s="602">
        <f>VLOOKUP(A117,Memória!A:S,19,FALSE)</f>
        <v>90</v>
      </c>
      <c r="F117" s="602">
        <f>IF(LEFT(B117,1)="l",VLOOKUP(B117,'Compos lug'!$J:$K,2,FALSE),IF(B117&gt;60000,VLOOKUP(A117,Memória!A:AB,22,FALSE),VLOOKUP(B117,'DER 10-18'!$A:$F,6,FALSE)))</f>
        <v>90.05</v>
      </c>
      <c r="G117" s="943">
        <f t="shared" ref="G117:G119" si="28">TRUNC(E117*F117,2)</f>
        <v>8104.5</v>
      </c>
      <c r="H117" s="965">
        <v>90.04</v>
      </c>
      <c r="I117" s="966">
        <f>F117</f>
        <v>90.05</v>
      </c>
      <c r="J117" s="966">
        <f t="shared" si="27"/>
        <v>0.01</v>
      </c>
      <c r="K117" s="601" t="s">
        <v>1833</v>
      </c>
    </row>
    <row r="118" spans="1:11" ht="21" customHeight="1" x14ac:dyDescent="0.2">
      <c r="A118" s="585" t="s">
        <v>282</v>
      </c>
      <c r="B118" s="600">
        <f>VLOOKUP(A118,Memória!A:S,2,FALSE)</f>
        <v>42047</v>
      </c>
      <c r="C118" s="573" t="str">
        <f>VLOOKUP(A118,Memória!A:S,3,FALSE)</f>
        <v>Elementos de madeira para sinalização - cavaletes</v>
      </c>
      <c r="D118" s="601" t="str">
        <f>VLOOKUP(A118,Memória!A:T,20,FALSE)</f>
        <v>Ud</v>
      </c>
      <c r="E118" s="602">
        <f>VLOOKUP(A118,Memória!A:S,19,FALSE)</f>
        <v>70</v>
      </c>
      <c r="F118" s="602">
        <f>IF(LEFT(B118,1)="l",VLOOKUP(B118,'Compos lug'!$J:$K,2,FALSE),IF(B118&gt;60000,VLOOKUP(A118,Memória!A:AB,22,FALSE),VLOOKUP(B118,'DER 10-18'!$A:$F,6,FALSE)))</f>
        <v>39.19</v>
      </c>
      <c r="G118" s="943">
        <f t="shared" si="28"/>
        <v>2743.3</v>
      </c>
      <c r="H118" s="965">
        <v>39.19</v>
      </c>
      <c r="I118" s="966">
        <f>F118</f>
        <v>39.19</v>
      </c>
      <c r="J118" s="966">
        <f t="shared" si="27"/>
        <v>0</v>
      </c>
      <c r="K118" s="601"/>
    </row>
    <row r="119" spans="1:11" ht="21" customHeight="1" x14ac:dyDescent="0.2">
      <c r="A119" s="585" t="s">
        <v>283</v>
      </c>
      <c r="B119" s="600">
        <f>VLOOKUP(A119,Memória!A:S,2,FALSE)</f>
        <v>40937</v>
      </c>
      <c r="C119" s="573" t="str">
        <f>VLOOKUP(A119,Memória!A:S,3,FALSE)</f>
        <v>Sinalização vertical com chapa em esmalte sintético</v>
      </c>
      <c r="D119" s="601" t="str">
        <f>VLOOKUP(A119,Memória!A:T,20,FALSE)</f>
        <v>M2</v>
      </c>
      <c r="E119" s="602">
        <f>VLOOKUP(A119,Memória!A:S,19,FALSE)</f>
        <v>100</v>
      </c>
      <c r="F119" s="602">
        <f>IF(LEFT(B119,1)="l",VLOOKUP(B119,'Compos lug'!$J:$K,2,FALSE),IF(B119&gt;60000,VLOOKUP(A119,Memória!A:AB,22,FALSE),VLOOKUP(B119,'DER 10-18'!$A:$F,6,FALSE)))</f>
        <v>452.86</v>
      </c>
      <c r="G119" s="943">
        <f t="shared" si="28"/>
        <v>45286</v>
      </c>
      <c r="H119" s="980">
        <v>452.81</v>
      </c>
      <c r="I119" s="981">
        <f>F119</f>
        <v>452.86</v>
      </c>
      <c r="J119" s="981">
        <f t="shared" si="27"/>
        <v>0.05</v>
      </c>
      <c r="K119" s="601" t="s">
        <v>1833</v>
      </c>
    </row>
    <row r="120" spans="1:11" x14ac:dyDescent="0.2">
      <c r="A120" s="604"/>
      <c r="B120" s="734"/>
      <c r="C120" s="605" t="s">
        <v>157</v>
      </c>
      <c r="D120" s="606"/>
      <c r="E120" s="607"/>
      <c r="F120" s="608"/>
      <c r="G120" s="607">
        <f>SUM(G109:G119)</f>
        <v>351961.18</v>
      </c>
      <c r="H120" s="952"/>
      <c r="I120" s="951"/>
      <c r="J120" s="951"/>
      <c r="K120" s="954"/>
    </row>
    <row r="121" spans="1:11" x14ac:dyDescent="0.2">
      <c r="A121" s="581">
        <v>7</v>
      </c>
      <c r="B121" s="589"/>
      <c r="C121" s="590" t="str">
        <f>VLOOKUP(A121,Memória!A:S,3,FALSE)</f>
        <v>RECUPERAÇÃO AMBIENTAL</v>
      </c>
      <c r="D121" s="591"/>
      <c r="E121" s="609"/>
      <c r="F121" s="610"/>
      <c r="G121" s="944"/>
      <c r="H121" s="983"/>
      <c r="I121" s="984"/>
      <c r="J121" s="984"/>
      <c r="K121" s="991"/>
    </row>
    <row r="122" spans="1:11" ht="18.75" customHeight="1" x14ac:dyDescent="0.2">
      <c r="A122" s="585" t="str">
        <f>+Memória!A1874</f>
        <v>7.1</v>
      </c>
      <c r="B122" s="600">
        <f>VLOOKUP(A122,Memória!A:S,2,FALSE)</f>
        <v>42200</v>
      </c>
      <c r="C122" s="573" t="str">
        <f>VLOOKUP(A122,Memória!A:S,3,FALSE)</f>
        <v>Hidrossemeadura simples em taludes</v>
      </c>
      <c r="D122" s="601" t="str">
        <f>VLOOKUP(A122,Memória!A:T,20,FALSE)</f>
        <v>M2</v>
      </c>
      <c r="E122" s="602">
        <f>VLOOKUP(A122,Memória!A:S,19,FALSE)</f>
        <v>93928</v>
      </c>
      <c r="F122" s="602">
        <f>IF(LEFT(B122,1)="l",VLOOKUP(B122,'Compos lug'!$J:$K,2,FALSE),IF(B122&gt;60000,VLOOKUP(A122,Memória!A:AB,22,FALSE),VLOOKUP(B122,'DER 10-18'!$A:$F,6,FALSE)))</f>
        <v>5.75</v>
      </c>
      <c r="G122" s="943">
        <f>TRUNC(E122*F122,2)</f>
        <v>540086</v>
      </c>
      <c r="H122" s="965">
        <v>5.75</v>
      </c>
      <c r="I122" s="966">
        <f>F122</f>
        <v>5.75</v>
      </c>
      <c r="J122" s="966">
        <f>F122-H122</f>
        <v>0</v>
      </c>
      <c r="K122" s="601"/>
    </row>
    <row r="123" spans="1:11" ht="37.5" customHeight="1" x14ac:dyDescent="0.2">
      <c r="A123" s="586" t="s">
        <v>242</v>
      </c>
      <c r="B123" s="600">
        <f>VLOOKUP(A123,Memória!A:S,2,FALSE)</f>
        <v>42041</v>
      </c>
      <c r="C123" s="573" t="str">
        <f>VLOOKUP(A123,Memória!A:S,3,FALSE)</f>
        <v>Barreira de Siltagem com escoras de eucalipto, diâm. 0,10m e a altura 1,60m, espaçadas a cada 2,0 m, 1 reaproveitamento</v>
      </c>
      <c r="D123" s="601" t="str">
        <f>VLOOKUP(A123,Memória!A:T,20,FALSE)</f>
        <v>M</v>
      </c>
      <c r="E123" s="602">
        <f>VLOOKUP(A123,Memória!A:S,19,FALSE)</f>
        <v>1700</v>
      </c>
      <c r="F123" s="602">
        <f>IF(LEFT(B123,1)="l",VLOOKUP(B123,'Compos lug'!$J:$K,2,FALSE),IF(B123&gt;60000,VLOOKUP(A123,Memória!A:AB,22,FALSE),VLOOKUP(B123,'DER 10-18'!$A:$F,6,FALSE)))</f>
        <v>25.42</v>
      </c>
      <c r="G123" s="943">
        <f>TRUNC(E123*F123,2)</f>
        <v>43214</v>
      </c>
      <c r="H123" s="965">
        <v>25.29</v>
      </c>
      <c r="I123" s="966">
        <f>F123</f>
        <v>25.42</v>
      </c>
      <c r="J123" s="966">
        <f>F123-H123</f>
        <v>0.13</v>
      </c>
      <c r="K123" s="601" t="s">
        <v>1853</v>
      </c>
    </row>
    <row r="124" spans="1:11" ht="18.75" customHeight="1" x14ac:dyDescent="0.2">
      <c r="A124" s="585" t="s">
        <v>1087</v>
      </c>
      <c r="B124" s="600">
        <f>VLOOKUP(A124,Memória!A:S,2,FALSE)</f>
        <v>42206</v>
      </c>
      <c r="C124" s="573" t="str">
        <f>VLOOKUP(A124,Memória!A:S,3,FALSE)</f>
        <v>Grama em placas, fornecimento e plantio (sem fixação com estacas)</v>
      </c>
      <c r="D124" s="601" t="str">
        <f>VLOOKUP(A124,Memória!A:T,20,FALSE)</f>
        <v>M2</v>
      </c>
      <c r="E124" s="602">
        <f>VLOOKUP(A124,Memória!A:S,19,FALSE)</f>
        <v>430</v>
      </c>
      <c r="F124" s="602">
        <f>IF(LEFT(B124,1)="l",VLOOKUP(B124,'Compos lug'!$J:$K,2,FALSE),IF(B124&gt;60000,VLOOKUP(A124,Memória!A:AB,22,FALSE),VLOOKUP(B124,'DER 10-18'!$A:$F,6,FALSE)))</f>
        <v>15.78</v>
      </c>
      <c r="G124" s="943">
        <f>TRUNC(E124*F124,2)</f>
        <v>6785.4</v>
      </c>
      <c r="H124" s="965">
        <v>15.06</v>
      </c>
      <c r="I124" s="966">
        <f>F124</f>
        <v>15.78</v>
      </c>
      <c r="J124" s="966">
        <f>F124-H124</f>
        <v>0.72</v>
      </c>
      <c r="K124" s="601" t="s">
        <v>1854</v>
      </c>
    </row>
    <row r="125" spans="1:11" ht="18.75" customHeight="1" x14ac:dyDescent="0.2">
      <c r="A125" s="585" t="s">
        <v>1478</v>
      </c>
      <c r="B125" s="600">
        <f>VLOOKUP(A125,Memória!A:S,2,FALSE)</f>
        <v>42044</v>
      </c>
      <c r="C125" s="573" t="str">
        <f>VLOOKUP(A125,Memória!A:S,3,FALSE)</f>
        <v>Reunião de Comunicação Social inclusive material de consumo</v>
      </c>
      <c r="D125" s="601" t="str">
        <f>VLOOKUP(A125,Memória!A:T,20,FALSE)</f>
        <v>Ud</v>
      </c>
      <c r="E125" s="602">
        <f>VLOOKUP(A125,Memória!A:S,19,FALSE)</f>
        <v>4</v>
      </c>
      <c r="F125" s="602">
        <f>IF(LEFT(B125,1)="l",VLOOKUP(B125,'Compos lug'!$J:$K,2,FALSE),IF(B125&gt;60000,VLOOKUP(A125,Memória!A:AB,22,FALSE),VLOOKUP(B125,'DER 10-18'!$A:$F,6,FALSE)))</f>
        <v>4824.16</v>
      </c>
      <c r="G125" s="943">
        <f>TRUNC(E125*F125,2)</f>
        <v>19296.64</v>
      </c>
      <c r="H125" s="980">
        <v>4824.1499999999996</v>
      </c>
      <c r="I125" s="981">
        <f>F125</f>
        <v>4824.16</v>
      </c>
      <c r="J125" s="981">
        <f>F125-H125</f>
        <v>0.01</v>
      </c>
      <c r="K125" s="601" t="s">
        <v>1833</v>
      </c>
    </row>
    <row r="126" spans="1:11" x14ac:dyDescent="0.2">
      <c r="A126" s="604"/>
      <c r="B126" s="734"/>
      <c r="C126" s="605" t="s">
        <v>243</v>
      </c>
      <c r="D126" s="606"/>
      <c r="E126" s="607"/>
      <c r="F126" s="608"/>
      <c r="G126" s="607">
        <f>SUM(G122:G125)</f>
        <v>609382.04</v>
      </c>
      <c r="H126" s="952"/>
      <c r="I126" s="951"/>
      <c r="J126" s="951"/>
      <c r="K126" s="954"/>
    </row>
    <row r="127" spans="1:11" x14ac:dyDescent="0.2">
      <c r="A127" s="581">
        <v>8</v>
      </c>
      <c r="B127" s="589"/>
      <c r="C127" s="590" t="str">
        <f>VLOOKUP(A127,Memória!A:S,3,FALSE)</f>
        <v>OBRAS DE ARTE ESPECIAIS</v>
      </c>
      <c r="D127" s="591"/>
      <c r="E127" s="609"/>
      <c r="F127" s="610"/>
      <c r="G127" s="944"/>
      <c r="H127" s="983"/>
      <c r="I127" s="984"/>
      <c r="J127" s="984"/>
      <c r="K127" s="991"/>
    </row>
    <row r="128" spans="1:11" x14ac:dyDescent="0.2">
      <c r="A128" s="582" t="s">
        <v>1025</v>
      </c>
      <c r="B128" s="595"/>
      <c r="C128" s="596" t="str">
        <f>VLOOKUP(A128,Memória!A:S,3,FALSE)</f>
        <v>Serviços Preliminares</v>
      </c>
      <c r="D128" s="597"/>
      <c r="E128" s="598"/>
      <c r="F128" s="598"/>
      <c r="G128" s="942"/>
      <c r="H128" s="973"/>
      <c r="I128" s="966"/>
      <c r="J128" s="966"/>
      <c r="K128" s="969"/>
    </row>
    <row r="129" spans="1:11" ht="36" customHeight="1" x14ac:dyDescent="0.2">
      <c r="A129" s="585" t="s">
        <v>1869</v>
      </c>
      <c r="B129" s="600">
        <f>VLOOKUP(A129,Memória!A:S,2,FALSE)</f>
        <v>40169</v>
      </c>
      <c r="C129" s="573" t="str">
        <f>VLOOKUP(A129,Memória!A:S,3,FALSE)</f>
        <v>Limpeza e desmatamento em área alagada (pântano) com ferramentas manuais, inclusive moto serra</v>
      </c>
      <c r="D129" s="601" t="str">
        <f>VLOOKUP(A129,Memória!A:T,20,FALSE)</f>
        <v>M2</v>
      </c>
      <c r="E129" s="602">
        <f>VLOOKUP(A129,Memória!A:S,19,FALSE)</f>
        <v>1066.8</v>
      </c>
      <c r="F129" s="602">
        <f>IF(LEFT(B129,1)="l",VLOOKUP(B129,'Compos lug'!$J:$K,2,FALSE),IF(B129&gt;60000,VLOOKUP(A129,Memória!A:AB,22,FALSE),VLOOKUP(B129,'DER 10-18'!$A:$F,6,FALSE)))</f>
        <v>8.83</v>
      </c>
      <c r="G129" s="943">
        <f t="shared" ref="G129:G142" si="29">TRUNC(E129*F129,2)</f>
        <v>9419.84</v>
      </c>
      <c r="H129" s="965">
        <v>8.82</v>
      </c>
      <c r="I129" s="966">
        <f>F129</f>
        <v>8.83</v>
      </c>
      <c r="J129" s="966">
        <f>F129-H129</f>
        <v>0.01</v>
      </c>
      <c r="K129" s="601" t="s">
        <v>1833</v>
      </c>
    </row>
    <row r="130" spans="1:11" x14ac:dyDescent="0.2">
      <c r="A130" s="585" t="s">
        <v>1870</v>
      </c>
      <c r="B130" s="600">
        <f>VLOOKUP(A130,Memória!A:S,2,FALSE)</f>
        <v>40230</v>
      </c>
      <c r="C130" s="573" t="str">
        <f>VLOOKUP(A130,Memória!A:S,3,FALSE)</f>
        <v>Escavação e carga de material de 1ª categoria com escavadeira</v>
      </c>
      <c r="D130" s="601" t="str">
        <f>VLOOKUP(A130,Memória!A:T,20,FALSE)</f>
        <v>M3</v>
      </c>
      <c r="E130" s="602">
        <f>VLOOKUP(A130,Memória!A:S,19,FALSE)</f>
        <v>1580.2</v>
      </c>
      <c r="F130" s="602">
        <f>IF(LEFT(B130,1)="l",VLOOKUP(B130,'Compos lug'!$J:$K,2,FALSE),IF(B130&gt;60000,VLOOKUP(A130,Memória!A:AB,22,FALSE),VLOOKUP(B130,'DER 10-18'!$A:$F,6,FALSE)))</f>
        <v>3.02</v>
      </c>
      <c r="G130" s="943">
        <f t="shared" si="29"/>
        <v>4772.2</v>
      </c>
      <c r="H130" s="965">
        <v>3.02</v>
      </c>
      <c r="I130" s="966">
        <f t="shared" ref="I130:I134" si="30">F130</f>
        <v>3.02</v>
      </c>
      <c r="J130" s="966">
        <f t="shared" ref="J130:J138" si="31">F130-H130</f>
        <v>0</v>
      </c>
      <c r="K130" s="969"/>
    </row>
    <row r="131" spans="1:11" x14ac:dyDescent="0.2">
      <c r="A131" s="585" t="s">
        <v>1871</v>
      </c>
      <c r="B131" s="600">
        <f>VLOOKUP(A131,Memória!A:S,2,FALSE)</f>
        <v>43335</v>
      </c>
      <c r="C131" s="573" t="str">
        <f>VLOOKUP(A131,Memória!A:S,3,FALSE)</f>
        <v>Espalhamento / regularização / compactação de material em bota-fora</v>
      </c>
      <c r="D131" s="601" t="str">
        <f>VLOOKUP(A131,Memória!A:T,20,FALSE)</f>
        <v>M3</v>
      </c>
      <c r="E131" s="602">
        <f>VLOOKUP(A131,Memória!A:S,19,FALSE)</f>
        <v>856.8</v>
      </c>
      <c r="F131" s="602">
        <f>IF(LEFT(B131,1)="l",VLOOKUP(B131,'Compos lug'!$J:$K,2,FALSE),IF(B131&gt;60000,VLOOKUP(A131,Memória!A:AB,22,FALSE),VLOOKUP(B131,'DER 10-18'!$A:$F,6,FALSE)))</f>
        <v>2.5499999999999998</v>
      </c>
      <c r="G131" s="943">
        <f t="shared" si="29"/>
        <v>2184.84</v>
      </c>
      <c r="H131" s="965">
        <v>2.5499999999999998</v>
      </c>
      <c r="I131" s="966">
        <f t="shared" si="30"/>
        <v>2.5499999999999998</v>
      </c>
      <c r="J131" s="966">
        <f t="shared" si="31"/>
        <v>0</v>
      </c>
      <c r="K131" s="969"/>
    </row>
    <row r="132" spans="1:11" ht="18" customHeight="1" x14ac:dyDescent="0.2">
      <c r="A132" s="585" t="s">
        <v>1872</v>
      </c>
      <c r="B132" s="600">
        <f>VLOOKUP(A132,Memória!A:S,2,FALSE)</f>
        <v>43340</v>
      </c>
      <c r="C132" s="707" t="str">
        <f>VLOOKUP(A132,Memória!A:S,3,FALSE)</f>
        <v>Compactação de aterros 100% P.I.</v>
      </c>
      <c r="D132" s="702" t="str">
        <f>VLOOKUP(A132,Memória!A:T,20,FALSE)</f>
        <v>M3</v>
      </c>
      <c r="E132" s="703">
        <f>VLOOKUP(A132,Memória!A:S,19,FALSE)</f>
        <v>222.6</v>
      </c>
      <c r="F132" s="703">
        <f>IF(LEFT(B132,1)="l",VLOOKUP(B132,'Compos lug'!$J:$K,2,FALSE),IF(B132&gt;60000,VLOOKUP(A132,Memória!A:AB,22,FALSE),VLOOKUP(B132,'DER 10-18'!$A:$F,6,FALSE)))</f>
        <v>6.22</v>
      </c>
      <c r="G132" s="947">
        <f t="shared" si="29"/>
        <v>1384.57</v>
      </c>
      <c r="H132" s="965">
        <v>6.21</v>
      </c>
      <c r="I132" s="966">
        <f t="shared" si="30"/>
        <v>6.22</v>
      </c>
      <c r="J132" s="966">
        <f t="shared" si="31"/>
        <v>0.01</v>
      </c>
      <c r="K132" s="601" t="s">
        <v>1833</v>
      </c>
    </row>
    <row r="133" spans="1:11" ht="18" customHeight="1" x14ac:dyDescent="0.2">
      <c r="A133" s="585" t="s">
        <v>1873</v>
      </c>
      <c r="B133" s="600">
        <f>VLOOKUP(A133,Memória!A:S,2,FALSE)</f>
        <v>40228</v>
      </c>
      <c r="C133" s="707" t="str">
        <f>VLOOKUP(A133,Memória!A:S,3,FALSE)</f>
        <v>Compactação de aterros 100% PN</v>
      </c>
      <c r="D133" s="702" t="str">
        <f>VLOOKUP(A133,Memória!A:T,20,FALSE)</f>
        <v>M3</v>
      </c>
      <c r="E133" s="703">
        <f>VLOOKUP(A133,Memória!A:S,19,FALSE)</f>
        <v>338.9</v>
      </c>
      <c r="F133" s="703">
        <f>IF(LEFT(B133,1)="l",VLOOKUP(B133,'Compos lug'!$J:$K,2,FALSE),IF(B133&gt;60000,VLOOKUP(A133,Memória!A:AB,22,FALSE),VLOOKUP(B133,'DER 10-18'!$A:$F,6,FALSE)))</f>
        <v>4.82</v>
      </c>
      <c r="G133" s="947">
        <f t="shared" si="29"/>
        <v>1633.49</v>
      </c>
      <c r="H133" s="965">
        <v>4.82</v>
      </c>
      <c r="I133" s="966">
        <f t="shared" si="30"/>
        <v>4.82</v>
      </c>
      <c r="J133" s="966">
        <f t="shared" si="31"/>
        <v>0</v>
      </c>
      <c r="K133" s="601"/>
    </row>
    <row r="134" spans="1:11" ht="18" customHeight="1" x14ac:dyDescent="0.2">
      <c r="A134" s="585" t="s">
        <v>1874</v>
      </c>
      <c r="B134" s="600">
        <f>VLOOKUP(A134,Memória!A:S,2,FALSE)</f>
        <v>40780</v>
      </c>
      <c r="C134" s="707" t="str">
        <f>VLOOKUP(A134,Memória!A:S,3,FALSE)</f>
        <v>Sub-base solo brita, 50% em peso, inclusive fornecimento e transporte da brita</v>
      </c>
      <c r="D134" s="702" t="str">
        <f>VLOOKUP(A134,Memória!A:T,20,FALSE)</f>
        <v>M3</v>
      </c>
      <c r="E134" s="703">
        <f>VLOOKUP(A134,Memória!A:S,19,FALSE)</f>
        <v>50</v>
      </c>
      <c r="F134" s="703">
        <f>IF(LEFT(B134,1)="l",VLOOKUP(B134,'Compos lug'!$J:$K,2,FALSE),IF(B134&gt;60000,VLOOKUP(A134,Memória!A:AB,22,FALSE),VLOOKUP(B134,'DER 10-18'!$A:$F,6,FALSE)))</f>
        <v>106.82</v>
      </c>
      <c r="G134" s="947">
        <f t="shared" si="29"/>
        <v>5341</v>
      </c>
      <c r="H134" s="965">
        <v>65.19</v>
      </c>
      <c r="I134" s="966">
        <f t="shared" si="30"/>
        <v>106.82</v>
      </c>
      <c r="J134" s="966">
        <f t="shared" si="31"/>
        <v>41.63</v>
      </c>
      <c r="K134" s="601" t="s">
        <v>1855</v>
      </c>
    </row>
    <row r="135" spans="1:11" x14ac:dyDescent="0.2">
      <c r="A135" s="585" t="s">
        <v>1875</v>
      </c>
      <c r="B135" s="600">
        <f>VLOOKUP(A135,Memória!A:S,2,FALSE)</f>
        <v>40230</v>
      </c>
      <c r="C135" s="707" t="str">
        <f>VLOOKUP(A135,Memória!A:S,3,FALSE)</f>
        <v>Escavação e carga de material de 1ª categoria com escavadeira</v>
      </c>
      <c r="D135" s="702" t="str">
        <f>VLOOKUP(A135,Memória!A:T,20,FALSE)</f>
        <v>M3</v>
      </c>
      <c r="E135" s="703">
        <f>VLOOKUP(A135,Memória!A:S,19,FALSE)</f>
        <v>28.75</v>
      </c>
      <c r="F135" s="703">
        <f>IF(LEFT(B135,1)="l",VLOOKUP(B135,'Compos lug'!$J:$K,2,FALSE),IF(B135&gt;60000,VLOOKUP(A135,Memória!A:AB,22,FALSE),VLOOKUP(B135,'DER 10-18'!$A:$F,6,FALSE)))</f>
        <v>3.02</v>
      </c>
      <c r="G135" s="947">
        <f t="shared" si="29"/>
        <v>86.82</v>
      </c>
      <c r="H135" s="965">
        <v>3.02</v>
      </c>
      <c r="I135" s="966">
        <f>F135</f>
        <v>3.02</v>
      </c>
      <c r="J135" s="966">
        <f t="shared" si="31"/>
        <v>0</v>
      </c>
      <c r="K135" s="969"/>
    </row>
    <row r="136" spans="1:11" ht="42" customHeight="1" x14ac:dyDescent="0.2">
      <c r="A136" s="585" t="s">
        <v>1876</v>
      </c>
      <c r="B136" s="600">
        <f>VLOOKUP(A136,Memória!A:S,2,FALSE)</f>
        <v>40483</v>
      </c>
      <c r="C136" s="707" t="str">
        <f>VLOOKUP(A136,Memória!A:S,3,FALSE)</f>
        <v>Corpo BDTC (grota) diâmetro 1,20 m CA-2 PB exclusive escavação e reaterro, inclusive transporte do tubo</v>
      </c>
      <c r="D136" s="702" t="str">
        <f>VLOOKUP(A136,Memória!A:T,20,FALSE)</f>
        <v>M</v>
      </c>
      <c r="E136" s="703">
        <f>VLOOKUP(A136,Memória!A:S,19,FALSE)</f>
        <v>10</v>
      </c>
      <c r="F136" s="703">
        <f>IF(LEFT(B136,1)="l",VLOOKUP(B136,'Compos lug'!$J:$K,2,FALSE),IF(B136&gt;60000,VLOOKUP(A136,Memória!A:AB,22,FALSE),VLOOKUP(B136,'DER 10-18'!$A:$F,6,FALSE)))</f>
        <v>1465.79</v>
      </c>
      <c r="G136" s="947">
        <f t="shared" si="29"/>
        <v>14657.9</v>
      </c>
      <c r="H136" s="965">
        <v>1358.59</v>
      </c>
      <c r="I136" s="966">
        <f>F136</f>
        <v>1465.79</v>
      </c>
      <c r="J136" s="966">
        <f t="shared" si="31"/>
        <v>107.2</v>
      </c>
      <c r="K136" s="601" t="s">
        <v>1836</v>
      </c>
    </row>
    <row r="137" spans="1:11" ht="18.75" customHeight="1" x14ac:dyDescent="0.2">
      <c r="A137" s="585" t="s">
        <v>1877</v>
      </c>
      <c r="B137" s="600">
        <f>VLOOKUP(A137,Memória!A:S,2,FALSE)</f>
        <v>40538</v>
      </c>
      <c r="C137" s="707" t="str">
        <f>VLOOKUP(A137,Memória!A:S,3,FALSE)</f>
        <v>Boca de concreto ciclópico para BDTC diâmetro 1,20 m</v>
      </c>
      <c r="D137" s="702" t="str">
        <f>VLOOKUP(A137,Memória!A:T,20,FALSE)</f>
        <v>Ud</v>
      </c>
      <c r="E137" s="703">
        <f>VLOOKUP(A137,Memória!A:S,19,FALSE)</f>
        <v>2</v>
      </c>
      <c r="F137" s="703">
        <f>IF(LEFT(B137,1)="l",VLOOKUP(B137,'Compos lug'!$J:$K,2,FALSE),IF(B137&gt;60000,VLOOKUP(A137,Memória!A:AB,22,FALSE),VLOOKUP(B137,'DER 10-18'!$A:$F,6,FALSE)))</f>
        <v>6525.64</v>
      </c>
      <c r="G137" s="947">
        <f t="shared" si="29"/>
        <v>13051.28</v>
      </c>
      <c r="H137" s="965">
        <v>5967.96</v>
      </c>
      <c r="I137" s="966">
        <f>F137</f>
        <v>6525.64</v>
      </c>
      <c r="J137" s="966">
        <f t="shared" si="31"/>
        <v>557.67999999999995</v>
      </c>
      <c r="K137" s="601" t="s">
        <v>1846</v>
      </c>
    </row>
    <row r="138" spans="1:11" ht="18.75" customHeight="1" x14ac:dyDescent="0.2">
      <c r="A138" s="585" t="s">
        <v>1878</v>
      </c>
      <c r="B138" s="600">
        <f>VLOOKUP(A138,Memória!A:S,2,FALSE)</f>
        <v>40375</v>
      </c>
      <c r="C138" s="707" t="str">
        <f>VLOOKUP(A138,Memória!A:S,3,FALSE)</f>
        <v>Demolição mecânica de concreto</v>
      </c>
      <c r="D138" s="702" t="str">
        <f>VLOOKUP(A138,Memória!A:T,20,FALSE)</f>
        <v>M3</v>
      </c>
      <c r="E138" s="703">
        <f>VLOOKUP(A138,Memória!A:S,19,FALSE)</f>
        <v>52.77</v>
      </c>
      <c r="F138" s="703">
        <f>IF(LEFT(B138,1)="l",VLOOKUP(B138,'Compos lug'!$J:$K,2,FALSE),IF(B138&gt;60000,VLOOKUP(A138,Memória!A:AB,22,FALSE),VLOOKUP(B138,'DER 10-18'!$A:$F,6,FALSE)))</f>
        <v>163.02000000000001</v>
      </c>
      <c r="G138" s="947">
        <f t="shared" si="29"/>
        <v>8602.56</v>
      </c>
      <c r="H138" s="965">
        <v>163.01</v>
      </c>
      <c r="I138" s="966">
        <f>F138</f>
        <v>163.02000000000001</v>
      </c>
      <c r="J138" s="966">
        <f t="shared" si="31"/>
        <v>0.01</v>
      </c>
      <c r="K138" s="601" t="s">
        <v>1833</v>
      </c>
    </row>
    <row r="139" spans="1:11" ht="39.75" customHeight="1" x14ac:dyDescent="0.2">
      <c r="A139" s="585" t="s">
        <v>1879</v>
      </c>
      <c r="B139" s="600">
        <f>VLOOKUP(A139,Memória!A:S,2,FALSE)</f>
        <v>60021</v>
      </c>
      <c r="C139" s="707" t="str">
        <f>VLOOKUP(A139,Memória!A:S,3,FALSE)</f>
        <v>LOCAL COM DMT DE 5,1 A 10,0 KM (Caminhão basculante)0,839XP+0,933XR+1,751 -  XP=0.000 / XR=7.600 - Transporte de Material  até o bota-fora - 7600.00m</v>
      </c>
      <c r="D139" s="702" t="str">
        <f>VLOOKUP(A139,Memória!A:T,20,FALSE)</f>
        <v>T</v>
      </c>
      <c r="E139" s="703">
        <f>VLOOKUP(A139,Memória!A:S,19,FALSE)</f>
        <v>728.28</v>
      </c>
      <c r="F139" s="703">
        <f>IF(LEFT(B139,1)="l",VLOOKUP(B139,'Compos lug'!$J:$K,2,FALSE),IF(B139&gt;60000,VLOOKUP(A139,Memória!A:AB,22,FALSE),VLOOKUP(B139,'DER 10-18'!$A:$F,6,FALSE)))</f>
        <v>8.84</v>
      </c>
      <c r="G139" s="947">
        <f t="shared" si="29"/>
        <v>6437.99</v>
      </c>
      <c r="H139" s="965"/>
      <c r="I139" s="966">
        <f>F139</f>
        <v>8.84</v>
      </c>
      <c r="J139" s="966">
        <f>F139-I139</f>
        <v>0</v>
      </c>
      <c r="K139" s="969"/>
    </row>
    <row r="140" spans="1:11" ht="47.25" customHeight="1" x14ac:dyDescent="0.2">
      <c r="A140" s="585" t="s">
        <v>1880</v>
      </c>
      <c r="B140" s="600">
        <f>VLOOKUP(A140,Memória!A:S,2,FALSE)</f>
        <v>60019</v>
      </c>
      <c r="C140" s="707" t="str">
        <f>VLOOKUP(A140,Memória!A:S,3,FALSE)</f>
        <v>LOCAL COM DMT ATÉ 3,0 KM (Caminhão basculante)1,085XP+1,198XR+1,904 (Incluindo BDI= 23,32%) -  XP=0.000 / XR=0.200 - Caminho de Serviço - Ponte Campo Novo - DMT 200.00m</v>
      </c>
      <c r="D140" s="702" t="str">
        <f>VLOOKUP(A140,Memória!A:T,20,FALSE)</f>
        <v>T</v>
      </c>
      <c r="E140" s="703">
        <f>VLOOKUP(A140,Memória!A:S,19,FALSE)</f>
        <v>251.94</v>
      </c>
      <c r="F140" s="703">
        <f>IF(LEFT(B140,1)="l",VLOOKUP(B140,'Compos lug'!$J:$K,2,FALSE),IF(B140&gt;60000,VLOOKUP(A140,Memória!A:AB,22,FALSE),VLOOKUP(B140,'DER 10-18'!$A:$F,6,FALSE)))</f>
        <v>2.14</v>
      </c>
      <c r="G140" s="947">
        <f t="shared" si="29"/>
        <v>539.15</v>
      </c>
      <c r="H140" s="965"/>
      <c r="I140" s="966">
        <f t="shared" ref="I140:I142" si="32">F140</f>
        <v>2.14</v>
      </c>
      <c r="J140" s="966">
        <f t="shared" ref="J140:J142" si="33">F140-I140</f>
        <v>0</v>
      </c>
      <c r="K140" s="969"/>
    </row>
    <row r="141" spans="1:11" ht="47.25" customHeight="1" x14ac:dyDescent="0.2">
      <c r="A141" s="585" t="s">
        <v>1881</v>
      </c>
      <c r="B141" s="600">
        <f>VLOOKUP(A141,Memória!A:S,2,FALSE)</f>
        <v>60019</v>
      </c>
      <c r="C141" s="707" t="str">
        <f>VLOOKUP(A141,Memória!A:S,3,FALSE)</f>
        <v>LOCAL COM DMT ATÉ 3,0 KM (Caminhão basculante)1,085XP+1,198XR+1,904 (Incluindo BDI= 23,32%) -  XP=0.000 / XR=3.000 - Empréstimo - Caminho de Serviço - DMT 3000.00m</v>
      </c>
      <c r="D141" s="702" t="str">
        <f>VLOOKUP(A141,Memória!A:T,20,FALSE)</f>
        <v>T</v>
      </c>
      <c r="E141" s="703">
        <f>VLOOKUP(A141,Memória!A:S,19,FALSE)</f>
        <v>977.84</v>
      </c>
      <c r="F141" s="703">
        <f>IF(LEFT(B141,1)="l",VLOOKUP(B141,'Compos lug'!$J:$K,2,FALSE),IF(B141&gt;60000,VLOOKUP(A141,Memória!A:AB,22,FALSE),VLOOKUP(B141,'DER 10-18'!$A:$F,6,FALSE)))</f>
        <v>5.5</v>
      </c>
      <c r="G141" s="947">
        <f t="shared" si="29"/>
        <v>5378.12</v>
      </c>
      <c r="H141" s="965"/>
      <c r="I141" s="966">
        <f t="shared" si="32"/>
        <v>5.5</v>
      </c>
      <c r="J141" s="966">
        <f t="shared" si="33"/>
        <v>0</v>
      </c>
      <c r="K141" s="969"/>
    </row>
    <row r="142" spans="1:11" ht="36" customHeight="1" x14ac:dyDescent="0.2">
      <c r="A142" s="585" t="s">
        <v>1882</v>
      </c>
      <c r="B142" s="600">
        <f>VLOOKUP(A142,Memória!A:S,2,FALSE)</f>
        <v>60020</v>
      </c>
      <c r="C142" s="707" t="str">
        <f>VLOOKUP(A142,Memória!A:S,3,FALSE)</f>
        <v>LOCAL COM DMT DE 3,1 A 5,0 KM (Caminhão basculante)0,972XP+1,093XR+1,823 -  XP=0.000 / XR=4.180 - Sub-base</v>
      </c>
      <c r="D142" s="702" t="str">
        <f>VLOOKUP(A142,Memória!A:T,20,FALSE)</f>
        <v>T</v>
      </c>
      <c r="E142" s="703">
        <f>VLOOKUP(A142,Memória!A:S,19,FALSE)</f>
        <v>58.65</v>
      </c>
      <c r="F142" s="703">
        <f>IF(LEFT(B142,1)="l",VLOOKUP(B142,'Compos lug'!$J:$K,2,FALSE),IF(B142&gt;60000,VLOOKUP(A142,Memória!A:AB,22,FALSE),VLOOKUP(B142,'DER 10-18'!$A:$F,6,FALSE)))</f>
        <v>6.39</v>
      </c>
      <c r="G142" s="947">
        <f t="shared" si="29"/>
        <v>374.77</v>
      </c>
      <c r="H142" s="965"/>
      <c r="I142" s="966">
        <f t="shared" si="32"/>
        <v>6.39</v>
      </c>
      <c r="J142" s="966">
        <f t="shared" si="33"/>
        <v>0</v>
      </c>
      <c r="K142" s="969"/>
    </row>
    <row r="143" spans="1:11" x14ac:dyDescent="0.2">
      <c r="A143" s="582" t="s">
        <v>1883</v>
      </c>
      <c r="B143" s="595"/>
      <c r="C143" s="596" t="str">
        <f>VLOOKUP(A143,Memória!A:S,3,FALSE)</f>
        <v>Infraestrutura e fundações</v>
      </c>
      <c r="D143" s="708"/>
      <c r="E143" s="602"/>
      <c r="F143" s="602"/>
      <c r="G143" s="709"/>
      <c r="H143" s="965"/>
      <c r="I143" s="966"/>
      <c r="J143" s="966"/>
      <c r="K143" s="969"/>
    </row>
    <row r="144" spans="1:11" ht="34.5" customHeight="1" x14ac:dyDescent="0.2">
      <c r="A144" s="585" t="s">
        <v>1884</v>
      </c>
      <c r="B144" s="600">
        <f>VLOOKUP(A144,Memória!A:S,2,FALSE)</f>
        <v>41340</v>
      </c>
      <c r="C144" s="706" t="str">
        <f>VLOOKUP(A144,Memória!A:S,3,FALSE)</f>
        <v>Encamisamento metálico de estacas, diâmetro 380mm em chapa de 6.3mm, preenchido c/ concreto auto adensável (20MPa)</v>
      </c>
      <c r="D144" s="704" t="str">
        <f>VLOOKUP(A144,Memória!A:T,20,FALSE)</f>
        <v>M</v>
      </c>
      <c r="E144" s="705">
        <f>VLOOKUP(A144,Memória!A:S,19,FALSE)</f>
        <v>96</v>
      </c>
      <c r="F144" s="705">
        <f>IF(LEFT(B144,1)="l",VLOOKUP(B144,'Compos lug'!$J:$K,2,FALSE),IF(B144&gt;60000,VLOOKUP(A144,Memória!A:AB,22,FALSE),VLOOKUP(B144,'DER 10-18'!$A:$F,6,FALSE)))</f>
        <v>593.91999999999996</v>
      </c>
      <c r="G144" s="948">
        <f t="shared" ref="G144:G150" si="34">TRUNC(E144*F144,2)</f>
        <v>57016.32</v>
      </c>
      <c r="H144" s="965">
        <v>593.91999999999996</v>
      </c>
      <c r="I144" s="966">
        <f t="shared" ref="I144:I150" si="35">F144</f>
        <v>593.91999999999996</v>
      </c>
      <c r="J144" s="966">
        <f>F144-H144</f>
        <v>0</v>
      </c>
      <c r="K144" s="601"/>
    </row>
    <row r="145" spans="1:11" ht="30" x14ac:dyDescent="0.2">
      <c r="A145" s="585" t="s">
        <v>1885</v>
      </c>
      <c r="B145" s="600" t="str">
        <f>VLOOKUP(A145,Memória!A:S,2,FALSE)</f>
        <v>LG-004</v>
      </c>
      <c r="C145" s="573" t="str">
        <f>VLOOKUP(A145,Memória!A:S,3,FALSE)</f>
        <v>Estaca metálica, fornecimento, transporte, perdas, solda, emenda, corte e cravação de perfil metálico H 200 x 35,9 laminado</v>
      </c>
      <c r="D145" s="601" t="str">
        <f>VLOOKUP(A145,Memória!A:T,20,FALSE)</f>
        <v>m</v>
      </c>
      <c r="E145" s="602">
        <f>VLOOKUP(A145,Memória!A:S,19,FALSE)</f>
        <v>1032</v>
      </c>
      <c r="F145" s="602">
        <f>IF(LEFT(B145,1)="l",VLOOKUP(B145,'Compos lug'!$J:$K,2,FALSE),IF(B145&gt;60000,VLOOKUP(A145,Memória!A:AB,22,FALSE),VLOOKUP(B145,'DER 10-18'!$A:$F,6,FALSE)))</f>
        <v>408.79</v>
      </c>
      <c r="G145" s="943">
        <f t="shared" si="34"/>
        <v>421871.28</v>
      </c>
      <c r="H145" s="965"/>
      <c r="I145" s="966">
        <f t="shared" si="35"/>
        <v>408.79</v>
      </c>
      <c r="J145" s="966">
        <f>F145-I145</f>
        <v>0</v>
      </c>
      <c r="K145" s="601" t="s">
        <v>1840</v>
      </c>
    </row>
    <row r="146" spans="1:11" ht="45" x14ac:dyDescent="0.2">
      <c r="A146" s="585" t="s">
        <v>1886</v>
      </c>
      <c r="B146" s="600">
        <f>VLOOKUP(A146,Memória!A:S,2,FALSE)</f>
        <v>40309</v>
      </c>
      <c r="C146" s="573" t="str">
        <f>VLOOKUP(A146,Memória!A:S,3,FALSE)</f>
        <v>Formas planas de madeira sem reaproveitamento (fundações), inclusive fornecimento e transporte das madeiras</v>
      </c>
      <c r="D146" s="601" t="str">
        <f>VLOOKUP(A146,Memória!A:T,20,FALSE)</f>
        <v>M2</v>
      </c>
      <c r="E146" s="602">
        <f>VLOOKUP(A146,Memória!A:S,19,FALSE)</f>
        <v>905.38</v>
      </c>
      <c r="F146" s="602">
        <f>IF(LEFT(B146,1)="l",VLOOKUP(B146,'Compos lug'!$J:$K,2,FALSE),IF(B146&gt;60000,VLOOKUP(A146,Memória!A:AB,22,FALSE),VLOOKUP(B146,'DER 10-18'!$A:$F,6,FALSE)))</f>
        <v>183.24</v>
      </c>
      <c r="G146" s="943">
        <f t="shared" si="34"/>
        <v>165901.82999999999</v>
      </c>
      <c r="H146" s="965">
        <v>181.87</v>
      </c>
      <c r="I146" s="966">
        <f t="shared" si="35"/>
        <v>183.24</v>
      </c>
      <c r="J146" s="966">
        <f>F146-H146</f>
        <v>1.37</v>
      </c>
      <c r="K146" s="601" t="s">
        <v>1856</v>
      </c>
    </row>
    <row r="147" spans="1:11" ht="20.25" customHeight="1" x14ac:dyDescent="0.2">
      <c r="A147" s="585" t="s">
        <v>1887</v>
      </c>
      <c r="B147" s="600">
        <f>VLOOKUP(A147,Memória!A:S,2,FALSE)</f>
        <v>40376</v>
      </c>
      <c r="C147" s="573" t="str">
        <f>VLOOKUP(A147,Memória!A:S,3,FALSE)</f>
        <v>Aço CA-50, fornecimento, dobragem e colocação nas formas (preço médio das bitolas)</v>
      </c>
      <c r="D147" s="601" t="str">
        <f>VLOOKUP(A147,Memória!A:T,20,FALSE)</f>
        <v>kg</v>
      </c>
      <c r="E147" s="602">
        <f>VLOOKUP(A147,Memória!A:S,19,FALSE)</f>
        <v>24085</v>
      </c>
      <c r="F147" s="602">
        <f>IF(LEFT(B147,1)="l",VLOOKUP(B147,'Compos lug'!$J:$K,2,FALSE),IF(B147&gt;60000,VLOOKUP(A147,Memória!A:AB,22,FALSE),VLOOKUP(B147,'DER 10-18'!$A:$F,6,FALSE)))</f>
        <v>9.73</v>
      </c>
      <c r="G147" s="943">
        <f t="shared" si="34"/>
        <v>234347.05</v>
      </c>
      <c r="H147" s="965">
        <v>9.7200000000000006</v>
      </c>
      <c r="I147" s="966">
        <f t="shared" si="35"/>
        <v>9.73</v>
      </c>
      <c r="J147" s="966">
        <f>F147-H147</f>
        <v>0.01</v>
      </c>
      <c r="K147" s="601" t="s">
        <v>1833</v>
      </c>
    </row>
    <row r="148" spans="1:11" ht="20.25" customHeight="1" x14ac:dyDescent="0.2">
      <c r="A148" s="585" t="s">
        <v>1888</v>
      </c>
      <c r="B148" s="600">
        <f>VLOOKUP(A148,Memória!A:S,2,FALSE)</f>
        <v>40369</v>
      </c>
      <c r="C148" s="573" t="str">
        <f>VLOOKUP(A148,Memória!A:S,3,FALSE)</f>
        <v>Concreto estrutural fck = 35,0 MPa com micro-silica e Sikacrete BR ou equivalente</v>
      </c>
      <c r="D148" s="601" t="str">
        <f>VLOOKUP(A148,Memória!A:T,20,FALSE)</f>
        <v>M3</v>
      </c>
      <c r="E148" s="602">
        <f>VLOOKUP(A148,Memória!A:S,19,FALSE)</f>
        <v>335.2</v>
      </c>
      <c r="F148" s="602">
        <f>IF(LEFT(B148,1)="l",VLOOKUP(B148,'Compos lug'!$J:$K,2,FALSE),IF(B148&gt;60000,VLOOKUP(A148,Memória!A:AB,22,FALSE),VLOOKUP(B148,'DER 10-18'!$A:$F,6,FALSE)))</f>
        <v>935.57</v>
      </c>
      <c r="G148" s="943">
        <f t="shared" si="34"/>
        <v>313603.06</v>
      </c>
      <c r="H148" s="965">
        <v>856.01</v>
      </c>
      <c r="I148" s="966">
        <f t="shared" si="35"/>
        <v>935.57</v>
      </c>
      <c r="J148" s="966">
        <f>F148-H148</f>
        <v>79.56</v>
      </c>
      <c r="K148" s="601" t="s">
        <v>3270</v>
      </c>
    </row>
    <row r="149" spans="1:11" ht="20.25" customHeight="1" x14ac:dyDescent="0.2">
      <c r="A149" s="585" t="s">
        <v>1889</v>
      </c>
      <c r="B149" s="600">
        <f>VLOOKUP(A149,Memória!A:S,2,FALSE)</f>
        <v>40349</v>
      </c>
      <c r="C149" s="573" t="str">
        <f>VLOOKUP(A149,Memória!A:S,3,FALSE)</f>
        <v>Concreto de regularização, tudo incluído</v>
      </c>
      <c r="D149" s="601" t="str">
        <f>VLOOKUP(A149,Memória!A:T,20,FALSE)</f>
        <v>M3</v>
      </c>
      <c r="E149" s="602">
        <f>VLOOKUP(A149,Memória!A:S,19,FALSE)</f>
        <v>14.16</v>
      </c>
      <c r="F149" s="602">
        <f>IF(LEFT(B149,1)="l",VLOOKUP(B149,'Compos lug'!$J:$K,2,FALSE),IF(B149&gt;60000,VLOOKUP(A149,Memória!A:AB,22,FALSE),VLOOKUP(B149,'DER 10-18'!$A:$F,6,FALSE)))</f>
        <v>522.45000000000005</v>
      </c>
      <c r="G149" s="943">
        <f t="shared" si="34"/>
        <v>7397.89</v>
      </c>
      <c r="H149" s="965">
        <v>444</v>
      </c>
      <c r="I149" s="966">
        <f t="shared" si="35"/>
        <v>522.45000000000005</v>
      </c>
      <c r="J149" s="966">
        <f>F149-H149</f>
        <v>78.45</v>
      </c>
      <c r="K149" s="601" t="s">
        <v>1857</v>
      </c>
    </row>
    <row r="150" spans="1:11" ht="33.75" customHeight="1" x14ac:dyDescent="0.2">
      <c r="A150" s="585" t="s">
        <v>1890</v>
      </c>
      <c r="B150" s="600">
        <f>VLOOKUP(A150,Memória!A:S,2,FALSE)</f>
        <v>40332</v>
      </c>
      <c r="C150" s="573" t="str">
        <f>VLOOKUP(A150,Memória!A:S,3,FALSE)</f>
        <v>Ensecadeira simples de madeira esp.= 5 cm sem reaproveitamento, inclusive transporte das madeiras</v>
      </c>
      <c r="D150" s="601" t="str">
        <f>VLOOKUP(A150,Memória!A:T,20,FALSE)</f>
        <v>M2</v>
      </c>
      <c r="E150" s="602">
        <f>VLOOKUP(A150,Memória!A:S,19,FALSE)</f>
        <v>398.4</v>
      </c>
      <c r="F150" s="602">
        <f>IF(LEFT(B150,1)="l",VLOOKUP(B150,'Compos lug'!$J:$K,2,FALSE),IF(B150&gt;60000,VLOOKUP(A150,Memória!A:AB,22,FALSE),VLOOKUP(B150,'DER 10-18'!$A:$F,6,FALSE)))</f>
        <v>410.57</v>
      </c>
      <c r="G150" s="943">
        <f t="shared" si="34"/>
        <v>163571.07999999999</v>
      </c>
      <c r="H150" s="965">
        <v>408.52</v>
      </c>
      <c r="I150" s="966">
        <f t="shared" si="35"/>
        <v>410.57</v>
      </c>
      <c r="J150" s="966">
        <f>F150-H150</f>
        <v>2.0499999999999998</v>
      </c>
      <c r="K150" s="601" t="s">
        <v>1858</v>
      </c>
    </row>
    <row r="151" spans="1:11" x14ac:dyDescent="0.2">
      <c r="A151" s="582" t="s">
        <v>1891</v>
      </c>
      <c r="B151" s="595"/>
      <c r="C151" s="596" t="str">
        <f>VLOOKUP(A151,Memória!A:S,3,FALSE)</f>
        <v>Superestrutura</v>
      </c>
      <c r="D151" s="601"/>
      <c r="E151" s="602"/>
      <c r="F151" s="602"/>
      <c r="G151" s="943"/>
      <c r="H151" s="965"/>
      <c r="I151" s="966"/>
      <c r="J151" s="966"/>
      <c r="K151" s="969"/>
    </row>
    <row r="152" spans="1:11" ht="19.5" customHeight="1" x14ac:dyDescent="0.2">
      <c r="A152" s="585" t="s">
        <v>1892</v>
      </c>
      <c r="B152" s="600">
        <f>VLOOKUP(A152,Memória!A:S,2,FALSE)</f>
        <v>40369</v>
      </c>
      <c r="C152" s="573" t="str">
        <f>VLOOKUP(A152,Memória!A:S,3,FALSE)</f>
        <v>Concreto estrutural fck = 35,0 MPa com micro-silica e Sikacrete BR ou equivalente</v>
      </c>
      <c r="D152" s="601" t="str">
        <f>VLOOKUP(A152,Memória!A:T,20,FALSE)</f>
        <v>M3</v>
      </c>
      <c r="E152" s="602">
        <f>VLOOKUP(A152,Memória!A:S,19,FALSE)</f>
        <v>165.02</v>
      </c>
      <c r="F152" s="602">
        <f>IF(LEFT(B152,1)="l",VLOOKUP(B152,'Compos lug'!$J:$K,2,FALSE),IF(B152&gt;60000,VLOOKUP(A152,Memória!A:AB,22,FALSE),VLOOKUP(B152,'DER 10-18'!$A:$F,6,FALSE)))</f>
        <v>935.57</v>
      </c>
      <c r="G152" s="943">
        <f t="shared" ref="G152:G162" si="36">TRUNC(E152*F152,2)</f>
        <v>154387.76</v>
      </c>
      <c r="H152" s="965">
        <v>856.01</v>
      </c>
      <c r="I152" s="966">
        <f>F152</f>
        <v>935.57</v>
      </c>
      <c r="J152" s="966">
        <f>F152-H152</f>
        <v>79.56</v>
      </c>
      <c r="K152" s="601" t="s">
        <v>3270</v>
      </c>
    </row>
    <row r="153" spans="1:11" ht="19.5" customHeight="1" x14ac:dyDescent="0.2">
      <c r="A153" s="585" t="s">
        <v>1893</v>
      </c>
      <c r="B153" s="600">
        <f>VLOOKUP(A153,Memória!A:S,2,FALSE)</f>
        <v>40360</v>
      </c>
      <c r="C153" s="573" t="str">
        <f>VLOOKUP(A153,Memória!A:S,3,FALSE)</f>
        <v>Concreto estrutural fck = 20,0 MPa, tudo incluído</v>
      </c>
      <c r="D153" s="601" t="str">
        <f>VLOOKUP(A153,Memória!A:T,20,FALSE)</f>
        <v>M3</v>
      </c>
      <c r="E153" s="602">
        <f>VLOOKUP(A153,Memória!A:S,19,FALSE)</f>
        <v>17.7</v>
      </c>
      <c r="F153" s="602">
        <f>IF(LEFT(B153,1)="l",VLOOKUP(B153,'Compos lug'!$J:$K,2,FALSE),IF(B153&gt;60000,VLOOKUP(A153,Memória!A:AB,22,FALSE),VLOOKUP(B153,'DER 10-18'!$A:$F,6,FALSE)))</f>
        <v>666.06</v>
      </c>
      <c r="G153" s="943">
        <f t="shared" si="36"/>
        <v>11789.26</v>
      </c>
      <c r="H153" s="965">
        <v>589.92999999999995</v>
      </c>
      <c r="I153" s="966">
        <f>F153</f>
        <v>666.06</v>
      </c>
      <c r="J153" s="966">
        <f>F153-H153</f>
        <v>76.13</v>
      </c>
      <c r="K153" s="601" t="s">
        <v>3271</v>
      </c>
    </row>
    <row r="154" spans="1:11" ht="19.5" customHeight="1" x14ac:dyDescent="0.2">
      <c r="A154" s="585" t="s">
        <v>1894</v>
      </c>
      <c r="B154" s="600">
        <f>VLOOKUP(A154,Memória!A:S,2,FALSE)</f>
        <v>40376</v>
      </c>
      <c r="C154" s="573" t="str">
        <f>VLOOKUP(A154,Memória!A:S,3,FALSE)</f>
        <v>Aço CA-50, fornecimento, dobragem e colocação nas formas (preço médio das bitolas)</v>
      </c>
      <c r="D154" s="601" t="str">
        <f>VLOOKUP(A154,Memória!A:T,20,FALSE)</f>
        <v>kg</v>
      </c>
      <c r="E154" s="602">
        <f>VLOOKUP(A154,Memória!A:S,19,FALSE)</f>
        <v>16354</v>
      </c>
      <c r="F154" s="602">
        <f>IF(LEFT(B154,1)="l",VLOOKUP(B154,'Compos lug'!$J:$K,2,FALSE),IF(B154&gt;60000,VLOOKUP(A154,Memória!A:AB,22,FALSE),VLOOKUP(B154,'DER 10-18'!$A:$F,6,FALSE)))</f>
        <v>9.73</v>
      </c>
      <c r="G154" s="943">
        <f t="shared" si="36"/>
        <v>159124.42000000001</v>
      </c>
      <c r="H154" s="965">
        <v>9.7200000000000006</v>
      </c>
      <c r="I154" s="966">
        <f>F154</f>
        <v>9.73</v>
      </c>
      <c r="J154" s="966">
        <f>F154-H154</f>
        <v>0.01</v>
      </c>
      <c r="K154" s="601" t="s">
        <v>1833</v>
      </c>
    </row>
    <row r="155" spans="1:11" ht="38.25" customHeight="1" x14ac:dyDescent="0.2">
      <c r="A155" s="585" t="s">
        <v>1895</v>
      </c>
      <c r="B155" s="600">
        <f>VLOOKUP(A155,Memória!A:S,2,FALSE)</f>
        <v>40387</v>
      </c>
      <c r="C155" s="573" t="str">
        <f>VLOOKUP(A155,Memória!A:S,3,FALSE)</f>
        <v>Aparelho de apoio de neoprene fretado, fornecimento e assentamento, inclusive grauteamento e transporte do neoprene</v>
      </c>
      <c r="D155" s="601" t="str">
        <f>VLOOKUP(A155,Memória!A:T,20,FALSE)</f>
        <v>dm3</v>
      </c>
      <c r="E155" s="602">
        <f>VLOOKUP(A155,Memória!A:S,19,FALSE)</f>
        <v>74.88</v>
      </c>
      <c r="F155" s="602">
        <f>IF(LEFT(B155,1)="l",VLOOKUP(B155,'Compos lug'!$J:$K,2,FALSE),IF(B155&gt;60000,VLOOKUP(A155,Memória!A:AB,22,FALSE),VLOOKUP(B155,'DER 10-18'!$A:$F,6,FALSE)))</f>
        <v>108.25</v>
      </c>
      <c r="G155" s="943">
        <f t="shared" si="36"/>
        <v>8105.76</v>
      </c>
      <c r="H155" s="965">
        <v>108.12</v>
      </c>
      <c r="I155" s="966">
        <f>F155</f>
        <v>108.25</v>
      </c>
      <c r="J155" s="966">
        <f>F155-H155</f>
        <v>0.13</v>
      </c>
      <c r="K155" s="601" t="s">
        <v>1860</v>
      </c>
    </row>
    <row r="156" spans="1:11" ht="18" customHeight="1" x14ac:dyDescent="0.2">
      <c r="A156" s="585" t="s">
        <v>1896</v>
      </c>
      <c r="B156" s="600">
        <f>VLOOKUP(A156,Memória!A:S,2,FALSE)</f>
        <v>40389</v>
      </c>
      <c r="C156" s="573" t="str">
        <f>VLOOKUP(A156,Memória!A:S,3,FALSE)</f>
        <v>Guarda corpo metálico</v>
      </c>
      <c r="D156" s="601" t="str">
        <f>VLOOKUP(A156,Memória!A:T,20,FALSE)</f>
        <v>M</v>
      </c>
      <c r="E156" s="602">
        <f>VLOOKUP(A156,Memória!A:S,19,FALSE)</f>
        <v>50</v>
      </c>
      <c r="F156" s="602">
        <f>IF(LEFT(B156,1)="l",VLOOKUP(B156,'Compos lug'!$J:$K,2,FALSE),IF(B156&gt;60000,VLOOKUP(A156,Memória!A:AB,22,FALSE),VLOOKUP(B156,'DER 10-18'!$A:$F,6,FALSE)))</f>
        <v>71.14</v>
      </c>
      <c r="G156" s="943">
        <f t="shared" si="36"/>
        <v>3557</v>
      </c>
      <c r="H156" s="965">
        <v>71.13</v>
      </c>
      <c r="I156" s="966">
        <f>F156</f>
        <v>71.14</v>
      </c>
      <c r="J156" s="966">
        <f>F156-H156</f>
        <v>0.01</v>
      </c>
      <c r="K156" s="601" t="s">
        <v>1833</v>
      </c>
    </row>
    <row r="157" spans="1:11" ht="18" customHeight="1" x14ac:dyDescent="0.2">
      <c r="A157" s="585" t="s">
        <v>1897</v>
      </c>
      <c r="B157" s="600" t="str">
        <f>VLOOKUP(A157,Memória!A:S,2,FALSE)</f>
        <v>LG-005</v>
      </c>
      <c r="C157" s="573" t="str">
        <f>VLOOKUP(A157,Memória!A:S,3,FALSE)</f>
        <v>Sistema termo-elástico para movimentação de juntas rodoviárias tipo Nafutekt</v>
      </c>
      <c r="D157" s="601" t="str">
        <f>VLOOKUP(A157,Memória!A:T,20,FALSE)</f>
        <v>m</v>
      </c>
      <c r="E157" s="602">
        <f>VLOOKUP(A157,Memória!A:S,19,FALSE)</f>
        <v>61.6</v>
      </c>
      <c r="F157" s="602">
        <f>IF(LEFT(B157,1)="l",VLOOKUP(B157,'Compos lug'!$J:$K,2,FALSE),IF(B157&gt;60000,VLOOKUP(A157,Memória!A:AB,22,FALSE),VLOOKUP(B157,'DER 10-18'!$A:$F,6,FALSE)))</f>
        <v>3337.9</v>
      </c>
      <c r="G157" s="943">
        <f t="shared" si="36"/>
        <v>205614.64</v>
      </c>
      <c r="H157" s="965"/>
      <c r="I157" s="966">
        <f t="shared" ref="I157:I162" si="37">F157</f>
        <v>3337.9</v>
      </c>
      <c r="J157" s="966">
        <f>F157-I157</f>
        <v>0</v>
      </c>
      <c r="K157" s="601" t="s">
        <v>1840</v>
      </c>
    </row>
    <row r="158" spans="1:11" ht="18" customHeight="1" x14ac:dyDescent="0.2">
      <c r="A158" s="585" t="s">
        <v>1898</v>
      </c>
      <c r="B158" s="600" t="str">
        <f>VLOOKUP(A158,Memória!A:S,2,FALSE)</f>
        <v>LG-006</v>
      </c>
      <c r="C158" s="573" t="str">
        <f>VLOOKUP(A158,Memória!A:S,3,FALSE)</f>
        <v>Tubo condutor de instalações sob passeio</v>
      </c>
      <c r="D158" s="601" t="str">
        <f>VLOOKUP(A158,Memória!A:T,20,FALSE)</f>
        <v>m</v>
      </c>
      <c r="E158" s="602">
        <f>VLOOKUP(A158,Memória!A:S,19,FALSE)</f>
        <v>270</v>
      </c>
      <c r="F158" s="602">
        <f>IF(LEFT(B158,1)="l",VLOOKUP(B158,'Compos lug'!$J:$K,2,FALSE),IF(B158&gt;60000,VLOOKUP(A158,Memória!A:AB,22,FALSE),VLOOKUP(B158,'DER 10-18'!$A:$F,6,FALSE)))</f>
        <v>111.26</v>
      </c>
      <c r="G158" s="943">
        <f t="shared" si="36"/>
        <v>30040.2</v>
      </c>
      <c r="H158" s="965"/>
      <c r="I158" s="966">
        <f t="shared" si="37"/>
        <v>111.26</v>
      </c>
      <c r="J158" s="966">
        <f>F158-I158</f>
        <v>0</v>
      </c>
      <c r="K158" s="601" t="s">
        <v>1840</v>
      </c>
    </row>
    <row r="159" spans="1:11" ht="28.5" customHeight="1" x14ac:dyDescent="0.2">
      <c r="A159" s="585" t="s">
        <v>1899</v>
      </c>
      <c r="B159" s="600">
        <f>VLOOKUP(A159,Memória!A:S,2,FALSE)</f>
        <v>40310</v>
      </c>
      <c r="C159" s="573" t="str">
        <f>VLOOKUP(A159,Memória!A:S,3,FALSE)</f>
        <v>Formas planas de madeira sem reaproveitamento (forma perdida), inclusive fornecimento e transporte das madeiras</v>
      </c>
      <c r="D159" s="601" t="str">
        <f>VLOOKUP(A159,Memória!A:T,20,FALSE)</f>
        <v>M2</v>
      </c>
      <c r="E159" s="602">
        <f>VLOOKUP(A159,Memória!A:S,19,FALSE)</f>
        <v>265.2</v>
      </c>
      <c r="F159" s="602">
        <f>IF(LEFT(B159,1)="l",VLOOKUP(B159,'Compos lug'!$J:$K,2,FALSE),IF(B159&gt;60000,VLOOKUP(A159,Memória!A:AB,22,FALSE),VLOOKUP(B159,'DER 10-18'!$A:$F,6,FALSE)))</f>
        <v>162.79</v>
      </c>
      <c r="G159" s="943">
        <f t="shared" si="36"/>
        <v>43171.9</v>
      </c>
      <c r="H159" s="965">
        <v>161.66999999999999</v>
      </c>
      <c r="I159" s="966">
        <f t="shared" si="37"/>
        <v>162.79</v>
      </c>
      <c r="J159" s="966">
        <f>F159-H159</f>
        <v>1.1200000000000001</v>
      </c>
      <c r="K159" s="601" t="s">
        <v>1859</v>
      </c>
    </row>
    <row r="160" spans="1:11" ht="30" x14ac:dyDescent="0.2">
      <c r="A160" s="585" t="s">
        <v>1900</v>
      </c>
      <c r="B160" s="600" t="str">
        <f>VLOOKUP(A160,Memória!A:S,2,FALSE)</f>
        <v>LG-007</v>
      </c>
      <c r="C160" s="573" t="str">
        <f>VLOOKUP(A160,Memória!A:S,3,FALSE)</f>
        <v>Estrutura metálica em perfis laminados ASTM A36 (fornecimento, tratamento anti-corrosivo e montagem)</v>
      </c>
      <c r="D160" s="601" t="str">
        <f>VLOOKUP(A160,Memória!A:T,20,FALSE)</f>
        <v>kg</v>
      </c>
      <c r="E160" s="602">
        <f>VLOOKUP(A160,Memória!A:S,19,FALSE)</f>
        <v>2514.6999999999998</v>
      </c>
      <c r="F160" s="602">
        <f>IF(LEFT(B160,1)="l",VLOOKUP(B160,'Compos lug'!$J:$K,2,FALSE),IF(B160&gt;60000,VLOOKUP(A160,Memória!A:AB,22,FALSE),VLOOKUP(B160,'DER 10-18'!$A:$F,6,FALSE)))</f>
        <v>31.89</v>
      </c>
      <c r="G160" s="943">
        <f t="shared" si="36"/>
        <v>80193.78</v>
      </c>
      <c r="H160" s="965"/>
      <c r="I160" s="966">
        <f t="shared" si="37"/>
        <v>31.89</v>
      </c>
      <c r="J160" s="966">
        <f t="shared" ref="J160:J162" si="38">F160-I160</f>
        <v>0</v>
      </c>
      <c r="K160" s="601" t="s">
        <v>1840</v>
      </c>
    </row>
    <row r="161" spans="1:11" ht="30" x14ac:dyDescent="0.2">
      <c r="A161" s="585" t="s">
        <v>1901</v>
      </c>
      <c r="B161" s="600" t="str">
        <f>VLOOKUP(A161,Memória!A:S,2,FALSE)</f>
        <v>LG-008</v>
      </c>
      <c r="C161" s="573" t="str">
        <f>VLOOKUP(A161,Memória!A:S,3,FALSE)</f>
        <v>Estrutura metálica em perfis laminados tipo Histar (fornecimento, tratamento anti-corrosivo e montagem)</v>
      </c>
      <c r="D161" s="601" t="str">
        <f>VLOOKUP(A161,Memória!A:T,20,FALSE)</f>
        <v>kg</v>
      </c>
      <c r="E161" s="602">
        <f>VLOOKUP(A161,Memória!A:S,19,FALSE)</f>
        <v>32097.3</v>
      </c>
      <c r="F161" s="602">
        <f>IF(LEFT(B161,1)="l",VLOOKUP(B161,'Compos lug'!$J:$K,2,FALSE),IF(B161&gt;60000,VLOOKUP(A161,Memória!A:AB,22,FALSE),VLOOKUP(B161,'DER 10-18'!$A:$F,6,FALSE)))</f>
        <v>38.299999999999997</v>
      </c>
      <c r="G161" s="943">
        <f t="shared" si="36"/>
        <v>1229326.5900000001</v>
      </c>
      <c r="H161" s="965"/>
      <c r="I161" s="966">
        <f t="shared" si="37"/>
        <v>38.299999999999997</v>
      </c>
      <c r="J161" s="966">
        <f t="shared" si="38"/>
        <v>0</v>
      </c>
      <c r="K161" s="601" t="s">
        <v>1840</v>
      </c>
    </row>
    <row r="162" spans="1:11" ht="30" x14ac:dyDescent="0.2">
      <c r="A162" s="585" t="s">
        <v>1902</v>
      </c>
      <c r="B162" s="600" t="str">
        <f>VLOOKUP(A162,Memória!A:S,2,FALSE)</f>
        <v>LG-009</v>
      </c>
      <c r="C162" s="573" t="str">
        <f>VLOOKUP(A162,Memória!A:S,3,FALSE)</f>
        <v>Estrutura metálica em perfis soldados em chapa USI SAC 50 (fornecimento, tratamento anti-corrosivo e montagem)</v>
      </c>
      <c r="D162" s="601" t="str">
        <f>VLOOKUP(A162,Memória!A:T,20,FALSE)</f>
        <v>kg</v>
      </c>
      <c r="E162" s="602">
        <f>VLOOKUP(A162,Memória!A:S,19,FALSE)</f>
        <v>969</v>
      </c>
      <c r="F162" s="602">
        <f>IF(LEFT(B162,1)="l",VLOOKUP(B162,'Compos lug'!$J:$K,2,FALSE),IF(B162&gt;60000,VLOOKUP(A162,Memória!A:AB,22,FALSE),VLOOKUP(B162,'DER 10-18'!$A:$F,6,FALSE)))</f>
        <v>39.31</v>
      </c>
      <c r="G162" s="943">
        <f t="shared" si="36"/>
        <v>38091.39</v>
      </c>
      <c r="H162" s="980"/>
      <c r="I162" s="981">
        <f t="shared" si="37"/>
        <v>39.31</v>
      </c>
      <c r="J162" s="981">
        <f t="shared" si="38"/>
        <v>0</v>
      </c>
      <c r="K162" s="702" t="s">
        <v>1840</v>
      </c>
    </row>
    <row r="163" spans="1:11" x14ac:dyDescent="0.2">
      <c r="A163" s="604"/>
      <c r="B163" s="734"/>
      <c r="C163" s="605" t="s">
        <v>1026</v>
      </c>
      <c r="D163" s="606"/>
      <c r="E163" s="607"/>
      <c r="F163" s="608"/>
      <c r="G163" s="607">
        <f>SUM(G129:G162)</f>
        <v>3400975.74</v>
      </c>
      <c r="H163" s="952"/>
      <c r="I163" s="951"/>
      <c r="J163" s="951"/>
      <c r="K163" s="954"/>
    </row>
    <row r="164" spans="1:11" x14ac:dyDescent="0.2">
      <c r="A164" s="581">
        <v>9</v>
      </c>
      <c r="B164" s="589"/>
      <c r="C164" s="590" t="str">
        <f>VLOOKUP(A164,Memória!A:S,3,FALSE)</f>
        <v xml:space="preserve"> INSTALAÇÃO DE CANTEIRO. MOBILIZAÇÃO E DESMOBILIZAÇÃO</v>
      </c>
      <c r="D164" s="591"/>
      <c r="E164" s="609"/>
      <c r="F164" s="610"/>
      <c r="G164" s="944"/>
      <c r="H164" s="983"/>
      <c r="I164" s="984"/>
      <c r="J164" s="984"/>
      <c r="K164" s="991"/>
    </row>
    <row r="165" spans="1:11" x14ac:dyDescent="0.2">
      <c r="A165" s="582" t="s">
        <v>1027</v>
      </c>
      <c r="B165" s="595"/>
      <c r="C165" s="596" t="str">
        <f>VLOOKUP(A165,Memória!A:S,3,FALSE)</f>
        <v>Serviços preliminares</v>
      </c>
      <c r="D165" s="597"/>
      <c r="E165" s="598"/>
      <c r="F165" s="598"/>
      <c r="G165" s="942"/>
      <c r="H165" s="973"/>
      <c r="I165" s="966"/>
      <c r="J165" s="966"/>
      <c r="K165" s="969"/>
    </row>
    <row r="166" spans="1:11" ht="30" x14ac:dyDescent="0.2">
      <c r="A166" s="585" t="s">
        <v>1039</v>
      </c>
      <c r="B166" s="600">
        <f>VLOOKUP(A166,Memória!A:S,2,FALSE)</f>
        <v>40167</v>
      </c>
      <c r="C166" s="573" t="str">
        <f>VLOOKUP(A166,Memória!A:S,3,FALSE)</f>
        <v>Limpeza, desmatamento e destocamento de árvores com diâmetro até 15 cm, com trator de esteira</v>
      </c>
      <c r="D166" s="601" t="str">
        <f>VLOOKUP(A166,Memória!A:T,20,FALSE)</f>
        <v>M2</v>
      </c>
      <c r="E166" s="602">
        <f>VLOOKUP(A166,Memória!A:S,19,FALSE)</f>
        <v>2800</v>
      </c>
      <c r="F166" s="602">
        <f>IF(LEFT(B166,1)="l",VLOOKUP(B166,'Compos lug'!$J:$K,2,FALSE),IF(B166&gt;60000,VLOOKUP(A166,Memória!A:AB,22,FALSE),VLOOKUP(B166,'DER 10-18'!$A:$F,6,FALSE)))</f>
        <v>0.48</v>
      </c>
      <c r="G166" s="943">
        <f t="shared" ref="G166:G178" si="39">TRUNC(E166*F166,2)</f>
        <v>1344</v>
      </c>
      <c r="H166" s="965">
        <v>0.48</v>
      </c>
      <c r="I166" s="966">
        <f>F166</f>
        <v>0.48</v>
      </c>
      <c r="J166" s="966">
        <f t="shared" ref="J166:J190" si="40">F166-H166</f>
        <v>0</v>
      </c>
      <c r="K166" s="601"/>
    </row>
    <row r="167" spans="1:11" ht="18" customHeight="1" x14ac:dyDescent="0.2">
      <c r="A167" s="585" t="s">
        <v>1040</v>
      </c>
      <c r="B167" s="600">
        <f>VLOOKUP(A167,Memória!A:S,2,FALSE)</f>
        <v>40221</v>
      </c>
      <c r="C167" s="573" t="str">
        <f>VLOOKUP(A167,Memória!A:S,3,FALSE)</f>
        <v>Escavação e carga de material de 1ª categoria, com trator de esteira e pá carregadeira</v>
      </c>
      <c r="D167" s="601" t="str">
        <f>VLOOKUP(A167,Memória!A:T,20,FALSE)</f>
        <v>M3</v>
      </c>
      <c r="E167" s="602">
        <f>VLOOKUP(A167,Memória!A:S,19,FALSE)</f>
        <v>720</v>
      </c>
      <c r="F167" s="602">
        <f>IF(LEFT(B167,1)="l",VLOOKUP(B167,'Compos lug'!$J:$K,2,FALSE),IF(B167&gt;60000,VLOOKUP(A167,Memória!A:AB,22,FALSE),VLOOKUP(B167,'DER 10-18'!$A:$F,6,FALSE)))</f>
        <v>8.07</v>
      </c>
      <c r="G167" s="943">
        <f t="shared" si="39"/>
        <v>5810.4</v>
      </c>
      <c r="H167" s="965">
        <v>8.06</v>
      </c>
      <c r="I167" s="966">
        <f>F167</f>
        <v>8.07</v>
      </c>
      <c r="J167" s="966">
        <f t="shared" si="40"/>
        <v>0.01</v>
      </c>
      <c r="K167" s="601" t="s">
        <v>1833</v>
      </c>
    </row>
    <row r="168" spans="1:11" ht="18" customHeight="1" x14ac:dyDescent="0.2">
      <c r="A168" s="585" t="s">
        <v>1041</v>
      </c>
      <c r="B168" s="600">
        <f>VLOOKUP(A168,Memória!A:S,2,FALSE)</f>
        <v>40177</v>
      </c>
      <c r="C168" s="573" t="str">
        <f>VLOOKUP(A168,Memória!A:S,3,FALSE)</f>
        <v>Espalhamento de material de 1ª categoria com trator de esteiras</v>
      </c>
      <c r="D168" s="601" t="str">
        <f>VLOOKUP(A168,Memória!A:T,20,FALSE)</f>
        <v>M3</v>
      </c>
      <c r="E168" s="602">
        <f>VLOOKUP(A168,Memória!A:S,19,FALSE)</f>
        <v>720</v>
      </c>
      <c r="F168" s="602">
        <f>IF(LEFT(B168,1)="l",VLOOKUP(B168,'Compos lug'!$J:$K,2,FALSE),IF(B168&gt;60000,VLOOKUP(A168,Memória!A:AB,22,FALSE),VLOOKUP(B168,'DER 10-18'!$A:$F,6,FALSE)))</f>
        <v>4.2699999999999996</v>
      </c>
      <c r="G168" s="943">
        <f t="shared" si="39"/>
        <v>3074.4</v>
      </c>
      <c r="H168" s="965">
        <v>4.26</v>
      </c>
      <c r="I168" s="966">
        <f>F168</f>
        <v>4.2699999999999996</v>
      </c>
      <c r="J168" s="966">
        <f t="shared" si="40"/>
        <v>0.01</v>
      </c>
      <c r="K168" s="601" t="s">
        <v>1833</v>
      </c>
    </row>
    <row r="169" spans="1:11" ht="18" customHeight="1" x14ac:dyDescent="0.2">
      <c r="A169" s="585" t="s">
        <v>1482</v>
      </c>
      <c r="B169" s="600">
        <f>VLOOKUP(A169,Memória!A:S,2,FALSE)</f>
        <v>42201</v>
      </c>
      <c r="C169" s="573" t="str">
        <f>VLOOKUP(A169,Memória!A:S,3,FALSE)</f>
        <v>Hidrossemeadura simples em terrenos planos</v>
      </c>
      <c r="D169" s="601" t="str">
        <f>VLOOKUP(A169,Memória!A:T,20,FALSE)</f>
        <v>M2</v>
      </c>
      <c r="E169" s="602">
        <f>VLOOKUP(A169,Memória!A:S,19,FALSE)</f>
        <v>2800</v>
      </c>
      <c r="F169" s="602">
        <f>IF(LEFT(B169,1)="l",VLOOKUP(B169,'Compos lug'!$J:$K,2,FALSE),IF(B169&gt;60000,VLOOKUP(A169,Memória!A:AB,22,FALSE),VLOOKUP(B169,'DER 10-18'!$A:$F,6,FALSE)))</f>
        <v>4.03</v>
      </c>
      <c r="G169" s="943">
        <f t="shared" si="39"/>
        <v>11284</v>
      </c>
      <c r="H169" s="965">
        <v>4.03</v>
      </c>
      <c r="I169" s="966">
        <f>F169</f>
        <v>4.03</v>
      </c>
      <c r="J169" s="966">
        <f t="shared" si="40"/>
        <v>0</v>
      </c>
      <c r="K169" s="601"/>
    </row>
    <row r="170" spans="1:11" ht="18" customHeight="1" x14ac:dyDescent="0.2">
      <c r="A170" s="585" t="s">
        <v>1483</v>
      </c>
      <c r="B170" s="600">
        <f>VLOOKUP(A170,Memória!A:S,2,FALSE)</f>
        <v>41500</v>
      </c>
      <c r="C170" s="573" t="str">
        <f>VLOOKUP(A170,Memória!A:S,3,FALSE)</f>
        <v>Placa de obra nas dimensões de 3,0 x 6,0 m, padrão DER-ES</v>
      </c>
      <c r="D170" s="601" t="str">
        <f>VLOOKUP(A170,Memória!A:T,20,FALSE)</f>
        <v>M2</v>
      </c>
      <c r="E170" s="602">
        <f>VLOOKUP(A170,Memória!A:S,19,FALSE)</f>
        <v>36</v>
      </c>
      <c r="F170" s="602">
        <f>IF(LEFT(B170,1)="l",VLOOKUP(B170,'Compos lug'!$J:$K,2,FALSE),IF(B170&gt;60000,VLOOKUP(A170,Memória!A:AB,22,FALSE),VLOOKUP(B170,'DER 10-18'!$A:$F,6,FALSE)))</f>
        <v>261.39</v>
      </c>
      <c r="G170" s="943">
        <f t="shared" si="39"/>
        <v>9410.0400000000009</v>
      </c>
      <c r="H170" s="965">
        <v>261.38</v>
      </c>
      <c r="I170" s="966">
        <f>F170</f>
        <v>261.39</v>
      </c>
      <c r="J170" s="966">
        <f t="shared" si="40"/>
        <v>0.01</v>
      </c>
      <c r="K170" s="601" t="s">
        <v>1833</v>
      </c>
    </row>
    <row r="171" spans="1:11" ht="30" x14ac:dyDescent="0.2">
      <c r="A171" s="585" t="s">
        <v>1484</v>
      </c>
      <c r="B171" s="600">
        <f>VLOOKUP(A171,Memória!A:S,2,FALSE)</f>
        <v>41501</v>
      </c>
      <c r="C171" s="573" t="str">
        <f>VLOOKUP(A171,Memória!A:S,3,FALSE)</f>
        <v>Rede de água c/ padrão de entrada d'água diâm. 3/4" conf. CESAN, incl. tubos e conexões p/ aliment., distrib., extravas. e limp., cons. o padrão a 25m</v>
      </c>
      <c r="D171" s="601" t="str">
        <f>VLOOKUP(A171,Memória!A:T,20,FALSE)</f>
        <v>M</v>
      </c>
      <c r="E171" s="602">
        <f>VLOOKUP(A171,Memória!A:S,19,FALSE)</f>
        <v>60</v>
      </c>
      <c r="F171" s="602">
        <f>IF(LEFT(B171,1)="l",VLOOKUP(B171,'Compos lug'!$J:$K,2,FALSE),IF(B171&gt;60000,VLOOKUP(A171,Memória!A:AB,22,FALSE),VLOOKUP(B171,'DER 10-18'!$A:$F,6,FALSE)))</f>
        <v>34.909999999999997</v>
      </c>
      <c r="G171" s="943">
        <f t="shared" si="39"/>
        <v>2094.6</v>
      </c>
      <c r="H171" s="965">
        <v>34.909999999999997</v>
      </c>
      <c r="I171" s="966">
        <f t="shared" ref="I171:I190" si="41">F171</f>
        <v>34.909999999999997</v>
      </c>
      <c r="J171" s="966">
        <f t="shared" si="40"/>
        <v>0</v>
      </c>
      <c r="K171" s="969"/>
    </row>
    <row r="172" spans="1:11" ht="30" x14ac:dyDescent="0.2">
      <c r="A172" s="585" t="s">
        <v>1485</v>
      </c>
      <c r="B172" s="600">
        <f>VLOOKUP(A172,Memória!A:S,2,FALSE)</f>
        <v>41499</v>
      </c>
      <c r="C172" s="573" t="str">
        <f>VLOOKUP(A172,Memória!A:S,3,FALSE)</f>
        <v>Rede de esgoto, contendo fossa e filtro, incl. tubos e conexões de ligação entre caixas, considerando distância de 25m</v>
      </c>
      <c r="D172" s="601" t="str">
        <f>VLOOKUP(A172,Memória!A:T,20,FALSE)</f>
        <v>M</v>
      </c>
      <c r="E172" s="602">
        <f>VLOOKUP(A172,Memória!A:S,19,FALSE)</f>
        <v>60</v>
      </c>
      <c r="F172" s="602">
        <f>IF(LEFT(B172,1)="l",VLOOKUP(B172,'Compos lug'!$J:$K,2,FALSE),IF(B172&gt;60000,VLOOKUP(A172,Memória!A:AB,22,FALSE),VLOOKUP(B172,'DER 10-18'!$A:$F,6,FALSE)))</f>
        <v>291.2</v>
      </c>
      <c r="G172" s="943">
        <f t="shared" si="39"/>
        <v>17472</v>
      </c>
      <c r="H172" s="965">
        <v>291.19</v>
      </c>
      <c r="I172" s="966">
        <f t="shared" si="41"/>
        <v>291.2</v>
      </c>
      <c r="J172" s="966">
        <f t="shared" si="40"/>
        <v>0.01</v>
      </c>
      <c r="K172" s="601" t="s">
        <v>1833</v>
      </c>
    </row>
    <row r="173" spans="1:11" ht="30" x14ac:dyDescent="0.2">
      <c r="A173" s="585" t="s">
        <v>1486</v>
      </c>
      <c r="B173" s="600">
        <f>VLOOKUP(A173,Memória!A:S,2,FALSE)</f>
        <v>41503</v>
      </c>
      <c r="C173" s="573" t="str">
        <f>VLOOKUP(A173,Memória!A:S,3,FALSE)</f>
        <v>Rede de luz, incl. padrão entr. energia trifás. cabo ligação até barracões, quadro distrib., disj. e chave de força, cons. 20m entre padrão entr.e QDG</v>
      </c>
      <c r="D173" s="601" t="str">
        <f>VLOOKUP(A173,Memória!A:T,20,FALSE)</f>
        <v>M</v>
      </c>
      <c r="E173" s="602">
        <f>VLOOKUP(A173,Memória!A:S,19,FALSE)</f>
        <v>60</v>
      </c>
      <c r="F173" s="602">
        <f>IF(LEFT(B173,1)="l",VLOOKUP(B173,'Compos lug'!$J:$K,2,FALSE),IF(B173&gt;60000,VLOOKUP(A173,Memória!A:AB,22,FALSE),VLOOKUP(B173,'DER 10-18'!$A:$F,6,FALSE)))</f>
        <v>421.98</v>
      </c>
      <c r="G173" s="943">
        <f t="shared" si="39"/>
        <v>25318.799999999999</v>
      </c>
      <c r="H173" s="965">
        <v>421.97</v>
      </c>
      <c r="I173" s="966">
        <f t="shared" si="41"/>
        <v>421.98</v>
      </c>
      <c r="J173" s="966">
        <f t="shared" si="40"/>
        <v>0.01</v>
      </c>
      <c r="K173" s="601" t="s">
        <v>1833</v>
      </c>
    </row>
    <row r="174" spans="1:11" ht="23.25" customHeight="1" x14ac:dyDescent="0.2">
      <c r="A174" s="585" t="s">
        <v>1487</v>
      </c>
      <c r="B174" s="600">
        <f>VLOOKUP(A174,Memória!A:S,2,FALSE)</f>
        <v>41527</v>
      </c>
      <c r="C174" s="573" t="str">
        <f>VLOOKUP(A174,Memória!A:S,3,FALSE)</f>
        <v>Reservatório de fibra de vidro de 1000 L, incl. suporte em madeira de 7x12cm, elevado de 4m</v>
      </c>
      <c r="D174" s="601" t="str">
        <f>VLOOKUP(A174,Memória!A:T,20,FALSE)</f>
        <v>Ud</v>
      </c>
      <c r="E174" s="602">
        <f>VLOOKUP(A174,Memória!A:S,19,FALSE)</f>
        <v>1</v>
      </c>
      <c r="F174" s="602">
        <f>IF(LEFT(B174,1)="l",VLOOKUP(B174,'Compos lug'!$J:$K,2,FALSE),IF(B174&gt;60000,VLOOKUP(A174,Memória!A:AB,22,FALSE),VLOOKUP(B174,'DER 10-18'!$A:$F,6,FALSE)))</f>
        <v>1764.88</v>
      </c>
      <c r="G174" s="943">
        <f t="shared" si="39"/>
        <v>1764.88</v>
      </c>
      <c r="H174" s="965">
        <v>1764.88</v>
      </c>
      <c r="I174" s="966">
        <f t="shared" si="41"/>
        <v>1764.88</v>
      </c>
      <c r="J174" s="966">
        <f t="shared" si="40"/>
        <v>0</v>
      </c>
      <c r="K174" s="601"/>
    </row>
    <row r="175" spans="1:11" ht="20.25" customHeight="1" x14ac:dyDescent="0.2">
      <c r="A175" s="585" t="s">
        <v>1490</v>
      </c>
      <c r="B175" s="600">
        <f>VLOOKUP(A175,Memória!A:S,2,FALSE)</f>
        <v>41556</v>
      </c>
      <c r="C175" s="573" t="str">
        <f>VLOOKUP(A175,Memória!A:S,3,FALSE)</f>
        <v>Pó de pedra inclusive fornecimento, espalhamento e transporte</v>
      </c>
      <c r="D175" s="601" t="str">
        <f>VLOOKUP(A175,Memória!A:T,20,FALSE)</f>
        <v>M3</v>
      </c>
      <c r="E175" s="602">
        <f>VLOOKUP(A175,Memória!A:S,19,FALSE)</f>
        <v>120</v>
      </c>
      <c r="F175" s="602">
        <f>IF(LEFT(B175,1)="l",VLOOKUP(B175,'Compos lug'!$J:$K,2,FALSE),IF(B175&gt;60000,VLOOKUP(A175,Memória!A:AB,22,FALSE),VLOOKUP(B175,'DER 10-18'!$A:$F,6,FALSE)))</f>
        <v>101.47</v>
      </c>
      <c r="G175" s="943">
        <f t="shared" si="39"/>
        <v>12176.4</v>
      </c>
      <c r="H175" s="965">
        <v>42</v>
      </c>
      <c r="I175" s="966">
        <f t="shared" si="41"/>
        <v>101.47</v>
      </c>
      <c r="J175" s="966">
        <f t="shared" si="40"/>
        <v>59.47</v>
      </c>
      <c r="K175" s="601" t="s">
        <v>1861</v>
      </c>
    </row>
    <row r="176" spans="1:11" ht="38.25" customHeight="1" x14ac:dyDescent="0.2">
      <c r="A176" s="585" t="s">
        <v>1493</v>
      </c>
      <c r="B176" s="600">
        <f>VLOOKUP(A176,Memória!A:S,2,FALSE)</f>
        <v>40915</v>
      </c>
      <c r="C176" s="573" t="str">
        <f>VLOOKUP(A176,Memória!A:S,3,FALSE)</f>
        <v>Calçada de concreto fck=15 MP, camurçado c/ argam. cimento e areia 1:4, lastro de brita e 8 cm de concreto, incl. preparo da caixa e transp. da brita</v>
      </c>
      <c r="D176" s="601" t="str">
        <f>VLOOKUP(A176,Memória!A:T,20,FALSE)</f>
        <v>M2</v>
      </c>
      <c r="E176" s="602">
        <f>VLOOKUP(A176,Memória!A:S,19,FALSE)</f>
        <v>90</v>
      </c>
      <c r="F176" s="602">
        <f>IF(LEFT(B176,1)="l",VLOOKUP(B176,'Compos lug'!$J:$K,2,FALSE),IF(B176&gt;60000,VLOOKUP(A176,Memória!A:AB,22,FALSE),VLOOKUP(B176,'DER 10-18'!$A:$F,6,FALSE)))</f>
        <v>106.38</v>
      </c>
      <c r="G176" s="943">
        <f t="shared" si="39"/>
        <v>9574.2000000000007</v>
      </c>
      <c r="H176" s="965">
        <v>97.11</v>
      </c>
      <c r="I176" s="966">
        <f t="shared" si="41"/>
        <v>106.38</v>
      </c>
      <c r="J176" s="966">
        <f t="shared" si="40"/>
        <v>9.27</v>
      </c>
      <c r="K176" s="601" t="s">
        <v>1850</v>
      </c>
    </row>
    <row r="177" spans="1:11" ht="39" customHeight="1" x14ac:dyDescent="0.2">
      <c r="A177" s="585" t="s">
        <v>1504</v>
      </c>
      <c r="B177" s="600">
        <f>VLOOKUP(A177,Memória!A:S,2,FALSE)</f>
        <v>40901</v>
      </c>
      <c r="C177" s="573" t="str">
        <f>VLOOKUP(A177,Memória!A:S,3,FALSE)</f>
        <v>Cerca de arame liso 4 fios com mourões cada 2,0 m, esticadores de madeira, a cada 20,0 m, inclusive transporte de mourão e arame liso</v>
      </c>
      <c r="D177" s="601" t="str">
        <f>VLOOKUP(A177,Memória!A:T,20,FALSE)</f>
        <v>M</v>
      </c>
      <c r="E177" s="602">
        <f>VLOOKUP(A177,Memória!A:S,19,FALSE)</f>
        <v>220</v>
      </c>
      <c r="F177" s="602">
        <f>IF(LEFT(B177,1)="l",VLOOKUP(B177,'Compos lug'!$J:$K,2,FALSE),IF(B177&gt;60000,VLOOKUP(A177,Memória!A:AB,22,FALSE),VLOOKUP(B177,'DER 10-18'!$A:$F,6,FALSE)))</f>
        <v>17.8</v>
      </c>
      <c r="G177" s="943">
        <f t="shared" si="39"/>
        <v>3916</v>
      </c>
      <c r="H177" s="965">
        <v>17.21</v>
      </c>
      <c r="I177" s="966">
        <f t="shared" si="41"/>
        <v>17.8</v>
      </c>
      <c r="J177" s="966">
        <f t="shared" si="40"/>
        <v>0.59</v>
      </c>
      <c r="K177" s="601" t="s">
        <v>1862</v>
      </c>
    </row>
    <row r="178" spans="1:11" ht="21" customHeight="1" x14ac:dyDescent="0.2">
      <c r="A178" s="585" t="s">
        <v>1505</v>
      </c>
      <c r="B178" s="600">
        <f>VLOOKUP(A178,Memória!A:S,2,FALSE)</f>
        <v>41555</v>
      </c>
      <c r="C178" s="573" t="str">
        <f>VLOOKUP(A178,Memória!A:S,3,FALSE)</f>
        <v>Sistema separador de água e óleo</v>
      </c>
      <c r="D178" s="601" t="str">
        <f>VLOOKUP(A178,Memória!A:T,20,FALSE)</f>
        <v>Ud</v>
      </c>
      <c r="E178" s="602">
        <f>VLOOKUP(A178,Memória!A:S,19,FALSE)</f>
        <v>1</v>
      </c>
      <c r="F178" s="602">
        <f>IF(LEFT(B178,1)="l",VLOOKUP(B178,'Compos lug'!$J:$K,2,FALSE),IF(B178&gt;60000,VLOOKUP(A178,Memória!A:AB,22,FALSE),VLOOKUP(B178,'DER 10-18'!$A:$F,6,FALSE)))</f>
        <v>6246.53</v>
      </c>
      <c r="G178" s="943">
        <f t="shared" si="39"/>
        <v>6246.53</v>
      </c>
      <c r="H178" s="965">
        <v>6062.5</v>
      </c>
      <c r="I178" s="966">
        <f t="shared" si="41"/>
        <v>6246.53</v>
      </c>
      <c r="J178" s="966">
        <f t="shared" si="40"/>
        <v>184.03</v>
      </c>
      <c r="K178" s="601" t="s">
        <v>1863</v>
      </c>
    </row>
    <row r="179" spans="1:11" x14ac:dyDescent="0.2">
      <c r="A179" s="582" t="s">
        <v>1042</v>
      </c>
      <c r="B179" s="600"/>
      <c r="C179" s="596" t="str">
        <f>VLOOKUP(A179,Memória!A:S,3,FALSE)</f>
        <v>Instalações</v>
      </c>
      <c r="D179" s="601"/>
      <c r="E179" s="602"/>
      <c r="F179" s="602"/>
      <c r="G179" s="943"/>
      <c r="H179" s="965"/>
      <c r="I179" s="966"/>
      <c r="J179" s="966"/>
      <c r="K179" s="969"/>
    </row>
    <row r="180" spans="1:11" ht="30" x14ac:dyDescent="0.2">
      <c r="A180" s="585" t="s">
        <v>1043</v>
      </c>
      <c r="B180" s="600">
        <f>VLOOKUP(A180,Memória!A:S,2,FALSE)</f>
        <v>41528</v>
      </c>
      <c r="C180" s="573" t="str">
        <f>VLOOKUP(A180,Memória!A:S,3,FALSE)</f>
        <v>Galpão em peças de madeira 8x8cm e contravent. de 5x7cm, cobertura de telhas de fibroc. de 6mm, incl. ponto e cabo de alimentação da máquina</v>
      </c>
      <c r="D180" s="601" t="str">
        <f>VLOOKUP(A180,Memória!A:T,20,FALSE)</f>
        <v>M2</v>
      </c>
      <c r="E180" s="602">
        <f>VLOOKUP(A180,Memória!A:S,19,FALSE)</f>
        <v>223</v>
      </c>
      <c r="F180" s="602">
        <f>IF(LEFT(B180,1)="l",VLOOKUP(B180,'Compos lug'!$J:$K,2,FALSE),IF(B180&gt;60000,VLOOKUP(A180,Memória!A:AB,22,FALSE),VLOOKUP(B180,'DER 10-18'!$A:$F,6,FALSE)))</f>
        <v>156.69</v>
      </c>
      <c r="G180" s="943">
        <f t="shared" ref="G180:G185" si="42">TRUNC(E180*F180,2)</f>
        <v>34941.870000000003</v>
      </c>
      <c r="H180" s="965">
        <v>156.69</v>
      </c>
      <c r="I180" s="966">
        <f t="shared" si="41"/>
        <v>156.69</v>
      </c>
      <c r="J180" s="966">
        <f t="shared" si="40"/>
        <v>0</v>
      </c>
      <c r="K180" s="601"/>
    </row>
    <row r="181" spans="1:11" ht="45" x14ac:dyDescent="0.2">
      <c r="A181" s="585" t="s">
        <v>1044</v>
      </c>
      <c r="B181" s="600">
        <f>VLOOKUP(A181,Memória!A:S,2,FALSE)</f>
        <v>41529</v>
      </c>
      <c r="C181" s="573" t="str">
        <f>VLOOKUP(A181,Memória!A:S,3,FALSE)</f>
        <v>Sanitário e vestiário de 40/60 func., c/ 33,90m², paredes chapa compens. 12mm e pont. 8x8cm
, piso ciment., cobert. telha fibroc., incl. luz e cx. insp</v>
      </c>
      <c r="D181" s="601" t="str">
        <f>VLOOKUP(A181,Memória!A:T,20,FALSE)</f>
        <v>Ud</v>
      </c>
      <c r="E181" s="602">
        <f>VLOOKUP(A181,Memória!A:S,19,FALSE)</f>
        <v>1</v>
      </c>
      <c r="F181" s="602">
        <f>IF(LEFT(B181,1)="l",VLOOKUP(B181,'Compos lug'!$J:$K,2,FALSE),IF(B181&gt;60000,VLOOKUP(A181,Memória!A:AB,22,FALSE),VLOOKUP(B181,'DER 10-18'!$A:$F,6,FALSE)))</f>
        <v>21733.09</v>
      </c>
      <c r="G181" s="943">
        <f t="shared" si="42"/>
        <v>21733.09</v>
      </c>
      <c r="H181" s="965">
        <v>21733.09</v>
      </c>
      <c r="I181" s="966">
        <f t="shared" si="41"/>
        <v>21733.09</v>
      </c>
      <c r="J181" s="966">
        <f t="shared" si="40"/>
        <v>0</v>
      </c>
      <c r="K181" s="601"/>
    </row>
    <row r="182" spans="1:11" ht="30" x14ac:dyDescent="0.2">
      <c r="A182" s="585" t="s">
        <v>1045</v>
      </c>
      <c r="B182" s="600">
        <f>VLOOKUP(A182,Memória!A:S,2,FALSE)</f>
        <v>41530</v>
      </c>
      <c r="C182" s="573" t="str">
        <f>VLOOKUP(A182,Memória!A:S,3,FALSE)</f>
        <v>Refeitório c/ paredes chapa de comp. 12mm e pont. 8x8cm, piso ciment. e cob. telhas fibroc. 6mm, incl. ponto de luz e cx. de insp. (1,21m²/func/turno)</v>
      </c>
      <c r="D182" s="601" t="str">
        <f>VLOOKUP(A182,Memória!A:T,20,FALSE)</f>
        <v>M2</v>
      </c>
      <c r="E182" s="602">
        <f>VLOOKUP(A182,Memória!A:S,19,FALSE)</f>
        <v>20</v>
      </c>
      <c r="F182" s="602">
        <f>IF(LEFT(B182,1)="l",VLOOKUP(B182,'Compos lug'!$J:$K,2,FALSE),IF(B182&gt;60000,VLOOKUP(A182,Memória!A:AB,22,FALSE),VLOOKUP(B182,'DER 10-18'!$A:$F,6,FALSE)))</f>
        <v>376.31</v>
      </c>
      <c r="G182" s="943">
        <f t="shared" si="42"/>
        <v>7526.2</v>
      </c>
      <c r="H182" s="965">
        <v>376.31</v>
      </c>
      <c r="I182" s="966">
        <f t="shared" si="41"/>
        <v>376.31</v>
      </c>
      <c r="J182" s="966">
        <f t="shared" si="40"/>
        <v>0</v>
      </c>
      <c r="K182" s="601"/>
    </row>
    <row r="183" spans="1:11" ht="21" customHeight="1" x14ac:dyDescent="0.2">
      <c r="A183" s="585" t="s">
        <v>1046</v>
      </c>
      <c r="B183" s="600">
        <f>VLOOKUP(A183,Memória!A:S,2,FALSE)</f>
        <v>40376</v>
      </c>
      <c r="C183" s="573" t="str">
        <f>VLOOKUP(A183,Memória!A:S,3,FALSE)</f>
        <v>Aço CA-50, fornecimento, dobragem e colocação nas formas (preço médio das bitolas)</v>
      </c>
      <c r="D183" s="601" t="str">
        <f>VLOOKUP(A183,Memória!A:T,20,FALSE)</f>
        <v>kg</v>
      </c>
      <c r="E183" s="602">
        <f>VLOOKUP(A183,Memória!A:S,19,FALSE)</f>
        <v>658</v>
      </c>
      <c r="F183" s="602">
        <f>IF(LEFT(B183,1)="l",VLOOKUP(B183,'Compos lug'!$J:$K,2,FALSE),IF(B183&gt;60000,VLOOKUP(A183,Memória!A:AB,22,FALSE),VLOOKUP(B183,'DER 10-18'!$A:$F,6,FALSE)))</f>
        <v>9.73</v>
      </c>
      <c r="G183" s="943">
        <f t="shared" si="42"/>
        <v>6402.34</v>
      </c>
      <c r="H183" s="965">
        <v>9.7200000000000006</v>
      </c>
      <c r="I183" s="966">
        <f t="shared" si="41"/>
        <v>9.73</v>
      </c>
      <c r="J183" s="966">
        <f t="shared" si="40"/>
        <v>0.01</v>
      </c>
      <c r="K183" s="601" t="s">
        <v>1833</v>
      </c>
    </row>
    <row r="184" spans="1:11" ht="31.5" customHeight="1" x14ac:dyDescent="0.2">
      <c r="A184" s="585" t="s">
        <v>1047</v>
      </c>
      <c r="B184" s="600">
        <f>VLOOKUP(A184,Memória!A:S,2,FALSE)</f>
        <v>40313</v>
      </c>
      <c r="C184" s="573" t="str">
        <f>VLOOKUP(A184,Memória!A:S,3,FALSE)</f>
        <v>Formas planas de madeira com 04 (quatro) reaproveitamentos, inclusive fornecimento e transporte das madeiras</v>
      </c>
      <c r="D184" s="601" t="str">
        <f>VLOOKUP(A184,Memória!A:T,20,FALSE)</f>
        <v>M2</v>
      </c>
      <c r="E184" s="602">
        <f>VLOOKUP(A184,Memória!A:S,19,FALSE)</f>
        <v>44.8</v>
      </c>
      <c r="F184" s="602">
        <f>IF(LEFT(B184,1)="l",VLOOKUP(B184,'Compos lug'!$J:$K,2,FALSE),IF(B184&gt;60000,VLOOKUP(A184,Memória!A:AB,22,FALSE),VLOOKUP(B184,'DER 10-18'!$A:$F,6,FALSE)))</f>
        <v>79.150000000000006</v>
      </c>
      <c r="G184" s="943">
        <f t="shared" si="42"/>
        <v>3545.92</v>
      </c>
      <c r="H184" s="965">
        <v>78.760000000000005</v>
      </c>
      <c r="I184" s="966">
        <f t="shared" si="41"/>
        <v>79.150000000000006</v>
      </c>
      <c r="J184" s="966">
        <f t="shared" si="40"/>
        <v>0.39</v>
      </c>
      <c r="K184" s="601" t="s">
        <v>1864</v>
      </c>
    </row>
    <row r="185" spans="1:11" ht="16.5" customHeight="1" x14ac:dyDescent="0.2">
      <c r="A185" s="585" t="s">
        <v>1048</v>
      </c>
      <c r="B185" s="600">
        <f>VLOOKUP(A185,Memória!A:S,2,FALSE)</f>
        <v>40360</v>
      </c>
      <c r="C185" s="573" t="str">
        <f>VLOOKUP(A185,Memória!A:S,3,FALSE)</f>
        <v>Concreto estrutural fck = 20,0 MPa, tudo incluído</v>
      </c>
      <c r="D185" s="601" t="str">
        <f>VLOOKUP(A185,Memória!A:T,20,FALSE)</f>
        <v>M3</v>
      </c>
      <c r="E185" s="602">
        <f>VLOOKUP(A185,Memória!A:S,19,FALSE)</f>
        <v>13.16</v>
      </c>
      <c r="F185" s="602">
        <f>IF(LEFT(B185,1)="l",VLOOKUP(B185,'Compos lug'!$J:$K,2,FALSE),IF(B185&gt;60000,VLOOKUP(A185,Memória!A:AB,22,FALSE),VLOOKUP(B185,'DER 10-18'!$A:$F,6,FALSE)))</f>
        <v>666.06</v>
      </c>
      <c r="G185" s="943">
        <f t="shared" si="42"/>
        <v>8765.34</v>
      </c>
      <c r="H185" s="965">
        <v>583.92999999999995</v>
      </c>
      <c r="I185" s="966">
        <f t="shared" si="41"/>
        <v>666.06</v>
      </c>
      <c r="J185" s="966">
        <f t="shared" si="40"/>
        <v>82.13</v>
      </c>
      <c r="K185" s="601" t="s">
        <v>3271</v>
      </c>
    </row>
    <row r="186" spans="1:11" x14ac:dyDescent="0.2">
      <c r="A186" s="614" t="s">
        <v>1049</v>
      </c>
      <c r="B186" s="595"/>
      <c r="C186" s="596" t="str">
        <f>VLOOKUP(A186,Memória!A:S,3,FALSE)</f>
        <v>Mobilização e Desmobilização</v>
      </c>
      <c r="D186" s="597"/>
      <c r="E186" s="598"/>
      <c r="F186" s="602"/>
      <c r="G186" s="942"/>
      <c r="H186" s="973"/>
      <c r="I186" s="966"/>
      <c r="J186" s="966"/>
      <c r="K186" s="969"/>
    </row>
    <row r="187" spans="1:11" ht="15" customHeight="1" x14ac:dyDescent="0.2">
      <c r="A187" s="585" t="s">
        <v>1050</v>
      </c>
      <c r="B187" s="600">
        <f>VLOOKUP(A187,Memória!A:S,2,FALSE)</f>
        <v>41544</v>
      </c>
      <c r="C187" s="573" t="str">
        <f>VLOOKUP(A187,Memória!A:S,3,FALSE)</f>
        <v>Mobilização e desmobilização de equipamentos com carreta prancha (máximo)</v>
      </c>
      <c r="D187" s="601" t="str">
        <f>VLOOKUP(A187,Memória!A:T,20,FALSE)</f>
        <v>h</v>
      </c>
      <c r="E187" s="602">
        <f>VLOOKUP(A187,Memória!A:S,19,FALSE)</f>
        <v>96.9</v>
      </c>
      <c r="F187" s="602">
        <f>IF(LEFT(B187,1)="l",VLOOKUP(B187,'Compos lug'!$J:$K,2,FALSE),IF(B187&gt;60000,VLOOKUP(A187,Memória!A:AB,22,FALSE),VLOOKUP(B187,'DER 10-18'!$A:$F,6,FALSE)))</f>
        <v>389.67</v>
      </c>
      <c r="G187" s="943">
        <f t="shared" ref="G187:G190" si="43">TRUNC(E187*F187,2)</f>
        <v>37759.019999999997</v>
      </c>
      <c r="H187" s="965">
        <v>389.66</v>
      </c>
      <c r="I187" s="966">
        <f t="shared" si="41"/>
        <v>389.67</v>
      </c>
      <c r="J187" s="966">
        <f t="shared" si="40"/>
        <v>0.01</v>
      </c>
      <c r="K187" s="601" t="s">
        <v>1833</v>
      </c>
    </row>
    <row r="188" spans="1:11" ht="15" customHeight="1" x14ac:dyDescent="0.2">
      <c r="A188" s="585" t="s">
        <v>1051</v>
      </c>
      <c r="B188" s="600">
        <f>VLOOKUP(A188,Memória!A:S,2,FALSE)</f>
        <v>41545</v>
      </c>
      <c r="C188" s="573" t="str">
        <f>VLOOKUP(A188,Memória!A:S,3,FALSE)</f>
        <v>Mobilização e desmobilização de caminhão carroceria (máximo)</v>
      </c>
      <c r="D188" s="601" t="str">
        <f>VLOOKUP(A188,Memória!A:T,20,FALSE)</f>
        <v>h</v>
      </c>
      <c r="E188" s="602">
        <f>VLOOKUP(A188,Memória!A:S,19,FALSE)</f>
        <v>57</v>
      </c>
      <c r="F188" s="602">
        <f>IF(LEFT(B188,1)="l",VLOOKUP(B188,'Compos lug'!$J:$K,2,FALSE),IF(B188&gt;60000,VLOOKUP(A188,Memória!A:AB,22,FALSE),VLOOKUP(B188,'DER 10-18'!$A:$F,6,FALSE)))</f>
        <v>199.7</v>
      </c>
      <c r="G188" s="943">
        <f t="shared" si="43"/>
        <v>11382.9</v>
      </c>
      <c r="H188" s="965">
        <v>199.7</v>
      </c>
      <c r="I188" s="966">
        <f t="shared" si="41"/>
        <v>199.7</v>
      </c>
      <c r="J188" s="966">
        <f t="shared" si="40"/>
        <v>0</v>
      </c>
      <c r="K188" s="601"/>
    </row>
    <row r="189" spans="1:11" ht="15" customHeight="1" x14ac:dyDescent="0.2">
      <c r="A189" s="585" t="s">
        <v>1052</v>
      </c>
      <c r="B189" s="600">
        <f>VLOOKUP(A189,Memória!A:S,2,FALSE)</f>
        <v>41546</v>
      </c>
      <c r="C189" s="573" t="str">
        <f>VLOOKUP(A189,Memória!A:S,3,FALSE)</f>
        <v>Mobilização e desmobilização de caminhão basculante (máximo)</v>
      </c>
      <c r="D189" s="601" t="str">
        <f>VLOOKUP(A189,Memória!A:T,20,FALSE)</f>
        <v>h</v>
      </c>
      <c r="E189" s="602">
        <f>VLOOKUP(A189,Memória!A:S,19,FALSE)</f>
        <v>81.5</v>
      </c>
      <c r="F189" s="602">
        <f>IF(LEFT(B189,1)="l",VLOOKUP(B189,'Compos lug'!$J:$K,2,FALSE),IF(B189&gt;60000,VLOOKUP(A189,Memória!A:AB,22,FALSE),VLOOKUP(B189,'DER 10-18'!$A:$F,6,FALSE)))</f>
        <v>233.89</v>
      </c>
      <c r="G189" s="943">
        <f t="shared" si="43"/>
        <v>19062.03</v>
      </c>
      <c r="H189" s="965">
        <v>233.87</v>
      </c>
      <c r="I189" s="966">
        <f t="shared" si="41"/>
        <v>233.89</v>
      </c>
      <c r="J189" s="966">
        <f t="shared" si="40"/>
        <v>0.02</v>
      </c>
      <c r="K189" s="601" t="s">
        <v>1833</v>
      </c>
    </row>
    <row r="190" spans="1:11" ht="15" customHeight="1" x14ac:dyDescent="0.2">
      <c r="A190" s="585" t="s">
        <v>1053</v>
      </c>
      <c r="B190" s="600">
        <f>VLOOKUP(A190,Memória!A:S,2,FALSE)</f>
        <v>41547</v>
      </c>
      <c r="C190" s="573" t="str">
        <f>VLOOKUP(A190,Memória!A:S,3,FALSE)</f>
        <v>Mobilização e desmobilização de caminhão tanque (6.000 L) (máximo)</v>
      </c>
      <c r="D190" s="601" t="str">
        <f>VLOOKUP(A190,Memória!A:T,20,FALSE)</f>
        <v>h</v>
      </c>
      <c r="E190" s="602">
        <f>VLOOKUP(A190,Memória!A:S,19,FALSE)</f>
        <v>5.43</v>
      </c>
      <c r="F190" s="602">
        <f>IF(LEFT(B190,1)="l",VLOOKUP(B190,'Compos lug'!$J:$K,2,FALSE),IF(B190&gt;60000,VLOOKUP(A190,Memória!A:AB,22,FALSE),VLOOKUP(B190,'DER 10-18'!$A:$F,6,FALSE)))</f>
        <v>195.65</v>
      </c>
      <c r="G190" s="943">
        <f t="shared" si="43"/>
        <v>1062.3699999999999</v>
      </c>
      <c r="H190" s="980">
        <v>195.63</v>
      </c>
      <c r="I190" s="981">
        <f t="shared" si="41"/>
        <v>195.65</v>
      </c>
      <c r="J190" s="981">
        <f t="shared" si="40"/>
        <v>0.02</v>
      </c>
      <c r="K190" s="702" t="s">
        <v>1833</v>
      </c>
    </row>
    <row r="191" spans="1:11" x14ac:dyDescent="0.2">
      <c r="A191" s="604"/>
      <c r="B191" s="734"/>
      <c r="C191" s="605" t="s">
        <v>1903</v>
      </c>
      <c r="D191" s="606"/>
      <c r="E191" s="607"/>
      <c r="F191" s="608"/>
      <c r="G191" s="607">
        <f>SUM(G165:G190)</f>
        <v>261667.33</v>
      </c>
      <c r="H191" s="952"/>
      <c r="I191" s="954"/>
      <c r="J191" s="951"/>
      <c r="K191" s="954"/>
    </row>
    <row r="192" spans="1:11" x14ac:dyDescent="0.2">
      <c r="A192" s="581">
        <v>10</v>
      </c>
      <c r="B192" s="589"/>
      <c r="C192" s="590" t="str">
        <f>VLOOKUP(A192,Memória!A:S,3,FALSE)</f>
        <v>ADMINISTRAÇÃO LOCAL E SERVIÇOS AUXILIARES</v>
      </c>
      <c r="D192" s="591"/>
      <c r="E192" s="609"/>
      <c r="F192" s="610"/>
      <c r="G192" s="944"/>
      <c r="H192" s="983"/>
      <c r="I192" s="991"/>
      <c r="J192" s="984"/>
      <c r="K192" s="991"/>
    </row>
    <row r="193" spans="1:11" x14ac:dyDescent="0.2">
      <c r="A193" s="582" t="s">
        <v>1038</v>
      </c>
      <c r="B193" s="595"/>
      <c r="C193" s="596" t="str">
        <f>VLOOKUP(A193,Memória!A:S,3,FALSE)</f>
        <v>Administração Local</v>
      </c>
      <c r="D193" s="597"/>
      <c r="E193" s="598"/>
      <c r="F193" s="598"/>
      <c r="G193" s="942"/>
      <c r="H193" s="973"/>
      <c r="I193" s="969"/>
      <c r="J193" s="969"/>
      <c r="K193" s="969"/>
    </row>
    <row r="194" spans="1:11" ht="16.5" customHeight="1" x14ac:dyDescent="0.2">
      <c r="A194" s="585" t="s">
        <v>1219</v>
      </c>
      <c r="B194" s="600" t="str">
        <f>VLOOKUP(A194,Memória!A:S,2,FALSE)</f>
        <v>LG-001</v>
      </c>
      <c r="C194" s="573" t="str">
        <f>VLOOKUP(A194,Memória!A:S,3,FALSE)</f>
        <v>Administração local</v>
      </c>
      <c r="D194" s="601" t="str">
        <f>VLOOKUP(A194,Memória!A:T,20,FALSE)</f>
        <v>vb</v>
      </c>
      <c r="E194" s="602">
        <f>VLOOKUP(A194,Memória!A:S,19,FALSE)</f>
        <v>1</v>
      </c>
      <c r="F194" s="602">
        <f>IF(LEFT(B194,1)="l",VLOOKUP(B194,'Compos lug'!$J:$K,2,FALSE),IF(B194&gt;60000,VLOOKUP(A194,Memória!A:AB,22,FALSE),VLOOKUP(B194,'DER 10-18'!$A:$F,6,FALSE)))</f>
        <v>354358.59</v>
      </c>
      <c r="G194" s="943">
        <f t="shared" ref="G194" si="44">TRUNC(E194*F194,2)</f>
        <v>354358.59</v>
      </c>
      <c r="H194" s="965"/>
      <c r="I194" s="974">
        <f>F194</f>
        <v>354358.59</v>
      </c>
      <c r="J194" s="975">
        <f>F194-I194</f>
        <v>0</v>
      </c>
      <c r="K194" s="601" t="s">
        <v>1840</v>
      </c>
    </row>
    <row r="195" spans="1:11" x14ac:dyDescent="0.2">
      <c r="A195" s="614" t="s">
        <v>1081</v>
      </c>
      <c r="B195" s="595"/>
      <c r="C195" s="596" t="str">
        <f>VLOOKUP(A195,Memória!A:S,3,FALSE)</f>
        <v>Controle Tecnológico dos Serviços</v>
      </c>
      <c r="D195" s="597"/>
      <c r="E195" s="598"/>
      <c r="F195" s="602"/>
      <c r="G195" s="942"/>
      <c r="H195" s="973"/>
      <c r="I195" s="974"/>
      <c r="J195" s="975"/>
      <c r="K195" s="969"/>
    </row>
    <row r="196" spans="1:11" ht="18.75" customHeight="1" x14ac:dyDescent="0.2">
      <c r="A196" s="585" t="s">
        <v>1220</v>
      </c>
      <c r="B196" s="600" t="str">
        <f>VLOOKUP(A196,Memória!A:S,2,FALSE)</f>
        <v>LG-002</v>
      </c>
      <c r="C196" s="573" t="str">
        <f>VLOOKUP(A196,Memória!A:S,3,FALSE)</f>
        <v>Equipe de Topografia</v>
      </c>
      <c r="D196" s="601" t="str">
        <f>VLOOKUP(A196,Memória!A:T,20,FALSE)</f>
        <v>mês</v>
      </c>
      <c r="E196" s="602">
        <f>VLOOKUP(A196,Memória!A:S,19,FALSE)</f>
        <v>12</v>
      </c>
      <c r="F196" s="602">
        <f>IF(LEFT(B196,1)="l",VLOOKUP(B196,'Compos lug'!$J:$K,2,FALSE),IF(B196&gt;60000,VLOOKUP(A196,Memória!A:AB,22,FALSE),VLOOKUP(B196,'DER 10-18'!$A:$F,6,FALSE)))</f>
        <v>16896.169999999998</v>
      </c>
      <c r="G196" s="943">
        <f t="shared" ref="G196:G197" si="45">TRUNC(E196*F196,2)</f>
        <v>202754.04</v>
      </c>
      <c r="H196" s="965"/>
      <c r="I196" s="974">
        <f t="shared" ref="I196:I197" si="46">F196</f>
        <v>16896.169999999998</v>
      </c>
      <c r="J196" s="975">
        <f t="shared" ref="J196:J197" si="47">F196-I196</f>
        <v>0</v>
      </c>
      <c r="K196" s="601" t="s">
        <v>1840</v>
      </c>
    </row>
    <row r="197" spans="1:11" ht="18.75" customHeight="1" x14ac:dyDescent="0.2">
      <c r="A197" s="585" t="s">
        <v>1221</v>
      </c>
      <c r="B197" s="600" t="str">
        <f>VLOOKUP(A197,Memória!A:S,2,FALSE)</f>
        <v>LG-003</v>
      </c>
      <c r="C197" s="573" t="str">
        <f>VLOOKUP(A197,Memória!A:S,3,FALSE)</f>
        <v>Equipe de Laboratório</v>
      </c>
      <c r="D197" s="601" t="str">
        <f>VLOOKUP(A197,Memória!A:T,20,FALSE)</f>
        <v>mês</v>
      </c>
      <c r="E197" s="602">
        <f>VLOOKUP(A197,Memória!A:S,19,FALSE)</f>
        <v>12</v>
      </c>
      <c r="F197" s="602">
        <f>IF(LEFT(B197,1)="l",VLOOKUP(B197,'Compos lug'!$J:$K,2,FALSE),IF(B197&gt;60000,VLOOKUP(A197,Memória!A:AB,22,FALSE),VLOOKUP(B197,'DER 10-18'!$A:$F,6,FALSE)))</f>
        <v>18415.41</v>
      </c>
      <c r="G197" s="943">
        <f t="shared" si="45"/>
        <v>220984.92</v>
      </c>
      <c r="H197" s="976"/>
      <c r="I197" s="977">
        <f t="shared" si="46"/>
        <v>18415.41</v>
      </c>
      <c r="J197" s="978">
        <f t="shared" si="47"/>
        <v>0</v>
      </c>
      <c r="K197" s="979" t="s">
        <v>1840</v>
      </c>
    </row>
    <row r="198" spans="1:11" x14ac:dyDescent="0.2">
      <c r="A198" s="604"/>
      <c r="B198" s="734"/>
      <c r="C198" s="605" t="s">
        <v>1084</v>
      </c>
      <c r="D198" s="606"/>
      <c r="E198" s="607"/>
      <c r="F198" s="608"/>
      <c r="G198" s="607">
        <f>SUM(G193:G197)</f>
        <v>778097.55</v>
      </c>
      <c r="H198" s="959"/>
      <c r="I198" s="960"/>
      <c r="J198" s="961"/>
      <c r="K198" s="993"/>
    </row>
    <row r="199" spans="1:11" x14ac:dyDescent="0.2">
      <c r="A199" s="604"/>
      <c r="B199" s="734"/>
      <c r="C199" s="1054" t="s">
        <v>4</v>
      </c>
      <c r="D199" s="1054"/>
      <c r="E199" s="1054"/>
      <c r="F199" s="1055"/>
      <c r="G199" s="949">
        <f>G198+G191+G163+G120+G126+G106+G100+G88+G72+G25</f>
        <v>28635630.27</v>
      </c>
      <c r="H199" s="957"/>
      <c r="I199" s="954"/>
      <c r="J199" s="956"/>
      <c r="K199" s="932"/>
    </row>
    <row r="200" spans="1:11" x14ac:dyDescent="0.2">
      <c r="A200" s="604"/>
      <c r="B200" s="734"/>
      <c r="C200" s="1043" t="s">
        <v>9</v>
      </c>
      <c r="D200" s="1043"/>
      <c r="E200" s="1043"/>
      <c r="F200" s="1044"/>
      <c r="G200" s="950">
        <f>10.37+2.2</f>
        <v>12.57</v>
      </c>
      <c r="H200" s="615"/>
      <c r="I200" s="954"/>
      <c r="J200" s="958"/>
      <c r="K200" s="933"/>
    </row>
    <row r="201" spans="1:11" x14ac:dyDescent="0.2">
      <c r="A201" s="604"/>
      <c r="B201" s="734"/>
      <c r="C201" s="1043" t="s">
        <v>10</v>
      </c>
      <c r="D201" s="1043"/>
      <c r="E201" s="1043"/>
      <c r="F201" s="1044"/>
      <c r="G201" s="950">
        <f>G199/G200</f>
        <v>2278093.1</v>
      </c>
      <c r="H201" s="615"/>
      <c r="I201" s="954"/>
      <c r="J201" s="955"/>
      <c r="K201" s="932"/>
    </row>
  </sheetData>
  <mergeCells count="10">
    <mergeCell ref="C201:F201"/>
    <mergeCell ref="C3:C4"/>
    <mergeCell ref="E3:E4"/>
    <mergeCell ref="D3:D4"/>
    <mergeCell ref="A1:G1"/>
    <mergeCell ref="A3:B3"/>
    <mergeCell ref="F3:G3"/>
    <mergeCell ref="A2:G2"/>
    <mergeCell ref="C199:F199"/>
    <mergeCell ref="C200:F200"/>
  </mergeCells>
  <printOptions horizontalCentered="1" gridLines="1"/>
  <pageMargins left="0.39370078740157483" right="0.39370078740157483" top="0.59055118110236227" bottom="0.39370078740157483" header="0.51181102362204722" footer="0.51181102362204722"/>
  <pageSetup paperSize="9" scale="86" firstPageNumber="12" fitToHeight="0" orientation="landscape" useFirstPageNumber="1" horizontalDpi="2400" verticalDpi="2400" r:id="rId1"/>
  <headerFooter scaleWithDoc="0"/>
  <rowBreaks count="8" manualBreakCount="8">
    <brk id="20" max="6" man="1"/>
    <brk id="37" max="6" man="1"/>
    <brk id="59" max="6" man="1"/>
    <brk id="82" max="6" man="1"/>
    <brk id="106" max="6" man="1"/>
    <brk id="133" max="6" man="1"/>
    <brk id="150" max="6" man="1"/>
    <brk id="174" max="6" man="1"/>
  </rowBreaks>
  <colBreaks count="1" manualBreakCount="1">
    <brk id="7" max="20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351"/>
  <sheetViews>
    <sheetView view="pageBreakPreview" zoomScaleNormal="100" zoomScaleSheetLayoutView="100" zoomScalePageLayoutView="200" workbookViewId="0">
      <selection activeCell="C1244" sqref="C1244"/>
    </sheetView>
  </sheetViews>
  <sheetFormatPr defaultRowHeight="12.75" x14ac:dyDescent="0.2"/>
  <cols>
    <col min="1" max="1" width="6.75" style="291" bestFit="1" customWidth="1"/>
    <col min="2" max="2" width="7.75" style="294" customWidth="1"/>
    <col min="3" max="3" width="47.375" style="290" customWidth="1"/>
    <col min="4" max="4" width="5.125" style="290" customWidth="1"/>
    <col min="5" max="5" width="1.5" style="291" customWidth="1"/>
    <col min="6" max="6" width="6.875" style="292" bestFit="1" customWidth="1"/>
    <col min="7" max="7" width="5.125" style="290" customWidth="1"/>
    <col min="8" max="8" width="1.5" style="291" customWidth="1"/>
    <col min="9" max="9" width="5.625" style="292" customWidth="1"/>
    <col min="10" max="10" width="12.5" style="293" bestFit="1" customWidth="1"/>
    <col min="11" max="11" width="11" style="297" customWidth="1"/>
    <col min="12" max="12" width="14.625" style="298" bestFit="1" customWidth="1"/>
    <col min="13" max="13" width="9.25" style="299" customWidth="1"/>
    <col min="14" max="14" width="15.875" style="640" bestFit="1" customWidth="1"/>
    <col min="15" max="15" width="11.625" style="295" customWidth="1"/>
    <col min="16" max="16" width="19.125" style="301" customWidth="1"/>
    <col min="17" max="17" width="9.125" style="301" customWidth="1"/>
    <col min="18" max="18" width="10.125" style="296" customWidth="1"/>
    <col min="19" max="19" width="13" style="288" bestFit="1" customWidth="1"/>
    <col min="20" max="20" width="9.25" style="288" customWidth="1"/>
    <col min="21" max="21" width="14.625" style="288" customWidth="1"/>
    <col min="22" max="22" width="16.5" style="288" customWidth="1"/>
    <col min="23" max="23" width="13.75" style="710" bestFit="1" customWidth="1"/>
    <col min="24" max="24" width="9" style="710"/>
    <col min="25" max="25" width="23.375" style="710" bestFit="1" customWidth="1"/>
    <col min="26" max="26" width="10.5" style="710" bestFit="1" customWidth="1"/>
    <col min="27" max="27" width="12" style="710" bestFit="1" customWidth="1"/>
    <col min="28" max="16384" width="9" style="288"/>
  </cols>
  <sheetData>
    <row r="1" spans="1:32" x14ac:dyDescent="0.2">
      <c r="A1" s="1069" t="s">
        <v>1028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1070"/>
      <c r="P1" s="1070"/>
      <c r="Q1" s="1070"/>
      <c r="R1" s="1071"/>
    </row>
    <row r="2" spans="1:32" x14ac:dyDescent="0.2">
      <c r="A2" s="1072" t="s">
        <v>1551</v>
      </c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4"/>
    </row>
    <row r="3" spans="1:32" x14ac:dyDescent="0.2">
      <c r="A3" s="1081" t="s">
        <v>5</v>
      </c>
      <c r="B3" s="1082"/>
      <c r="C3" s="1075" t="s">
        <v>1011</v>
      </c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076"/>
      <c r="O3" s="1076"/>
      <c r="P3" s="1076"/>
      <c r="Q3" s="1076"/>
      <c r="R3" s="1077"/>
    </row>
    <row r="4" spans="1:32" x14ac:dyDescent="0.2">
      <c r="A4" s="891" t="s">
        <v>285</v>
      </c>
      <c r="B4" s="737" t="s">
        <v>60</v>
      </c>
      <c r="C4" s="1078"/>
      <c r="D4" s="1079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80"/>
    </row>
    <row r="5" spans="1:32" s="342" customFormat="1" x14ac:dyDescent="0.2">
      <c r="A5" s="892">
        <v>1</v>
      </c>
      <c r="B5" s="333"/>
      <c r="C5" s="334" t="s">
        <v>1021</v>
      </c>
      <c r="D5" s="335"/>
      <c r="E5" s="336"/>
      <c r="F5" s="337"/>
      <c r="G5" s="335"/>
      <c r="H5" s="336"/>
      <c r="I5" s="337"/>
      <c r="J5" s="338"/>
      <c r="K5" s="339"/>
      <c r="L5" s="340"/>
      <c r="M5" s="341"/>
      <c r="N5" s="340"/>
      <c r="O5" s="338"/>
      <c r="P5" s="1083"/>
      <c r="Q5" s="1084"/>
      <c r="R5" s="1085"/>
      <c r="S5" s="738">
        <f t="shared" ref="S5:S68" si="0">VLOOKUP("Total",C6:O1767,12,FALSE)</f>
        <v>61914.75</v>
      </c>
      <c r="T5" s="738" t="str">
        <f t="shared" ref="T5:T68" si="1">VLOOKUP("Total",C6:O1767,13,FALSE)</f>
        <v>M2</v>
      </c>
      <c r="U5" s="738"/>
      <c r="V5" s="738"/>
      <c r="W5" s="711"/>
      <c r="X5" s="711"/>
      <c r="Y5" s="711"/>
      <c r="Z5" s="711"/>
      <c r="AA5" s="711"/>
    </row>
    <row r="6" spans="1:32" s="342" customFormat="1" x14ac:dyDescent="0.2">
      <c r="A6" s="893" t="s">
        <v>244</v>
      </c>
      <c r="B6" s="338"/>
      <c r="C6" s="739" t="s">
        <v>287</v>
      </c>
      <c r="D6" s="335"/>
      <c r="E6" s="336"/>
      <c r="F6" s="337"/>
      <c r="G6" s="335"/>
      <c r="H6" s="336"/>
      <c r="I6" s="337"/>
      <c r="J6" s="338"/>
      <c r="K6" s="339"/>
      <c r="L6" s="340"/>
      <c r="M6" s="341"/>
      <c r="N6" s="340"/>
      <c r="O6" s="338"/>
      <c r="P6" s="727"/>
      <c r="Q6" s="728"/>
      <c r="R6" s="894"/>
      <c r="S6" s="738">
        <f t="shared" si="0"/>
        <v>61914.75</v>
      </c>
      <c r="T6" s="738" t="str">
        <f t="shared" si="1"/>
        <v>M2</v>
      </c>
      <c r="U6" s="738"/>
      <c r="V6" s="738"/>
      <c r="W6" s="711"/>
      <c r="X6" s="711"/>
      <c r="Y6" s="711"/>
      <c r="Z6" s="711"/>
      <c r="AA6" s="711"/>
    </row>
    <row r="7" spans="1:32" s="289" customFormat="1" ht="25.5" x14ac:dyDescent="0.2">
      <c r="A7" s="895" t="s">
        <v>1012</v>
      </c>
      <c r="B7" s="346">
        <v>40167</v>
      </c>
      <c r="C7" s="347" t="str">
        <f>IF(MID(B7,1,2)="LG",VLOOKUP(B7,'Compos lug'!J:M,3,FALSE),IF(MID(B7,1,1)="6",VLOOKUP(B7,tranp.!$A$4:$K$19,11,FALSE)&amp;" -  XP="&amp;TEXT(T7,"0.000")&amp;" / XR="&amp;TEXT(V7,"0.000"),VLOOKUP(B7,'DER 10-18'!$A$1:$I$1981,2,FALSE)))</f>
        <v>Limpeza, desmatamento e destocamento de árvores com diâmetro até 15 cm, com trator de esteira</v>
      </c>
      <c r="D7" s="1059" t="s">
        <v>1000</v>
      </c>
      <c r="E7" s="1060"/>
      <c r="F7" s="1061"/>
      <c r="G7" s="1059" t="s">
        <v>1001</v>
      </c>
      <c r="H7" s="1060"/>
      <c r="I7" s="1061"/>
      <c r="J7" s="349" t="s">
        <v>989</v>
      </c>
      <c r="K7" s="884" t="s">
        <v>998</v>
      </c>
      <c r="L7" s="876" t="s">
        <v>994</v>
      </c>
      <c r="M7" s="885"/>
      <c r="N7" s="876" t="str">
        <f>CONCATENATE("Total (",IF(MID(B7,1,2)="LG",VLOOKUP(B7,'Compos lug'!J:M,4,FALSE),IF(MID(B7,1,1)="6","t",VLOOKUP(B7,'DER 10-18'!$A$1:$I$1981,3,FALSE))),")")</f>
        <v>Total (M2)</v>
      </c>
      <c r="O7" s="313"/>
      <c r="P7" s="1062" t="s">
        <v>1002</v>
      </c>
      <c r="Q7" s="1063"/>
      <c r="R7" s="1086"/>
      <c r="S7" s="738">
        <f t="shared" si="0"/>
        <v>61914.75</v>
      </c>
      <c r="T7" s="738" t="str">
        <f t="shared" si="1"/>
        <v>M2</v>
      </c>
      <c r="U7" s="738"/>
      <c r="V7" s="738"/>
      <c r="W7" s="712"/>
      <c r="X7" s="712"/>
      <c r="Y7" s="712"/>
      <c r="Z7" s="712"/>
      <c r="AA7" s="712"/>
    </row>
    <row r="8" spans="1:32" s="289" customFormat="1" x14ac:dyDescent="0.2">
      <c r="A8" s="895"/>
      <c r="B8" s="346"/>
      <c r="C8" s="347" t="s">
        <v>1552</v>
      </c>
      <c r="D8" s="870"/>
      <c r="E8" s="871"/>
      <c r="F8" s="871"/>
      <c r="G8" s="870"/>
      <c r="H8" s="871"/>
      <c r="I8" s="871"/>
      <c r="J8" s="349"/>
      <c r="K8" s="884"/>
      <c r="L8" s="876"/>
      <c r="M8" s="885"/>
      <c r="N8" s="883"/>
      <c r="O8" s="313"/>
      <c r="P8" s="879"/>
      <c r="Q8" s="880"/>
      <c r="R8" s="896"/>
      <c r="S8" s="738">
        <f t="shared" si="0"/>
        <v>61914.75</v>
      </c>
      <c r="T8" s="738" t="str">
        <f t="shared" si="1"/>
        <v>M2</v>
      </c>
      <c r="U8" s="738"/>
      <c r="V8" s="738"/>
      <c r="W8" s="712"/>
      <c r="X8" s="712"/>
      <c r="Y8" s="712"/>
      <c r="Z8" s="712"/>
      <c r="AA8" s="712"/>
    </row>
    <row r="9" spans="1:32" x14ac:dyDescent="0.2">
      <c r="A9" s="897"/>
      <c r="B9" s="349"/>
      <c r="C9" s="380"/>
      <c r="D9" s="381">
        <v>0</v>
      </c>
      <c r="E9" s="524" t="s">
        <v>8</v>
      </c>
      <c r="F9" s="292">
        <v>0</v>
      </c>
      <c r="G9" s="382">
        <v>284</v>
      </c>
      <c r="H9" s="524" t="s">
        <v>8</v>
      </c>
      <c r="I9" s="292">
        <v>16.059999999999999</v>
      </c>
      <c r="J9" s="383"/>
      <c r="K9" s="350">
        <f>(G9*20+I9)-(D9*20+F9)</f>
        <v>5696.06</v>
      </c>
      <c r="L9" s="298">
        <v>4</v>
      </c>
      <c r="M9" s="875"/>
      <c r="N9" s="883">
        <f>+K9*L9</f>
        <v>22784.240000000002</v>
      </c>
      <c r="O9" s="740"/>
      <c r="P9" s="881"/>
      <c r="Q9" s="880"/>
      <c r="R9" s="898"/>
      <c r="S9" s="738">
        <f t="shared" si="0"/>
        <v>61914.75</v>
      </c>
      <c r="T9" s="738" t="str">
        <f t="shared" si="1"/>
        <v>M2</v>
      </c>
      <c r="U9" s="738"/>
      <c r="V9" s="738"/>
    </row>
    <row r="10" spans="1:32" x14ac:dyDescent="0.2">
      <c r="A10" s="897"/>
      <c r="B10" s="349"/>
      <c r="C10" s="380"/>
      <c r="D10" s="381">
        <v>327</v>
      </c>
      <c r="E10" s="524" t="s">
        <v>8</v>
      </c>
      <c r="F10" s="292">
        <v>15</v>
      </c>
      <c r="G10" s="382">
        <v>561</v>
      </c>
      <c r="H10" s="524" t="s">
        <v>8</v>
      </c>
      <c r="I10" s="292">
        <v>12.45</v>
      </c>
      <c r="J10" s="383"/>
      <c r="K10" s="350">
        <f>(G10*20+I10)-(D10*20+F10)</f>
        <v>4677.45</v>
      </c>
      <c r="L10" s="298">
        <v>4</v>
      </c>
      <c r="M10" s="875"/>
      <c r="N10" s="883">
        <f>+K10*L10</f>
        <v>18709.8</v>
      </c>
      <c r="O10" s="740"/>
      <c r="P10" s="882"/>
      <c r="Q10" s="880"/>
      <c r="R10" s="898"/>
      <c r="S10" s="738">
        <f t="shared" si="0"/>
        <v>61914.75</v>
      </c>
      <c r="T10" s="738" t="str">
        <f t="shared" si="1"/>
        <v>M2</v>
      </c>
      <c r="U10" s="738"/>
      <c r="V10" s="738"/>
    </row>
    <row r="11" spans="1:32" x14ac:dyDescent="0.2">
      <c r="A11" s="897"/>
      <c r="B11" s="349"/>
      <c r="C11" s="347" t="s">
        <v>1553</v>
      </c>
      <c r="D11" s="381"/>
      <c r="E11" s="524"/>
      <c r="G11" s="382"/>
      <c r="H11" s="524"/>
      <c r="J11" s="383"/>
      <c r="K11" s="350"/>
      <c r="M11" s="875"/>
      <c r="N11" s="883"/>
      <c r="O11" s="740"/>
      <c r="P11" s="882"/>
      <c r="Q11" s="880"/>
      <c r="R11" s="898"/>
      <c r="S11" s="738">
        <f t="shared" si="0"/>
        <v>61914.75</v>
      </c>
      <c r="T11" s="738" t="str">
        <f t="shared" si="1"/>
        <v>M2</v>
      </c>
      <c r="U11" s="738"/>
      <c r="V11" s="738"/>
    </row>
    <row r="12" spans="1:32" x14ac:dyDescent="0.2">
      <c r="A12" s="897"/>
      <c r="B12" s="349"/>
      <c r="C12" s="380"/>
      <c r="D12" s="381">
        <v>0</v>
      </c>
      <c r="E12" s="524" t="s">
        <v>8</v>
      </c>
      <c r="F12" s="292">
        <v>0</v>
      </c>
      <c r="G12" s="382">
        <v>111</v>
      </c>
      <c r="H12" s="524" t="s">
        <v>8</v>
      </c>
      <c r="I12" s="292">
        <v>11.53</v>
      </c>
      <c r="J12" s="383" t="s">
        <v>1554</v>
      </c>
      <c r="K12" s="350">
        <f>+(G12*20+I12)-(D12*20+F12)</f>
        <v>2231.5300000000002</v>
      </c>
      <c r="L12" s="298">
        <v>7</v>
      </c>
      <c r="M12" s="875"/>
      <c r="N12" s="883">
        <f>+K12*L12</f>
        <v>15620.71</v>
      </c>
      <c r="O12" s="740"/>
      <c r="P12" s="881"/>
      <c r="Q12" s="880"/>
      <c r="R12" s="898"/>
      <c r="S12" s="738">
        <f t="shared" si="0"/>
        <v>61914.75</v>
      </c>
      <c r="T12" s="738" t="str">
        <f t="shared" si="1"/>
        <v>M2</v>
      </c>
      <c r="U12" s="738"/>
      <c r="V12" s="738"/>
      <c r="W12" s="288"/>
      <c r="X12" s="288"/>
      <c r="Y12" s="288"/>
      <c r="Z12" s="288"/>
      <c r="AA12" s="288"/>
    </row>
    <row r="13" spans="1:32" x14ac:dyDescent="0.2">
      <c r="A13" s="897"/>
      <c r="B13" s="349"/>
      <c r="C13" s="380" t="s">
        <v>1555</v>
      </c>
      <c r="D13" s="381"/>
      <c r="E13" s="524"/>
      <c r="G13" s="382"/>
      <c r="H13" s="524"/>
      <c r="J13" s="383"/>
      <c r="K13" s="350">
        <v>120</v>
      </c>
      <c r="L13" s="298">
        <v>40</v>
      </c>
      <c r="M13" s="875"/>
      <c r="N13" s="883">
        <f>+K13*L13</f>
        <v>4800</v>
      </c>
      <c r="O13" s="740"/>
      <c r="P13" s="881"/>
      <c r="Q13" s="880"/>
      <c r="R13" s="898"/>
      <c r="S13" s="738">
        <f t="shared" si="0"/>
        <v>61914.75</v>
      </c>
      <c r="T13" s="738" t="str">
        <f t="shared" si="1"/>
        <v>M2</v>
      </c>
      <c r="U13" s="738"/>
      <c r="V13" s="738"/>
      <c r="W13" s="288"/>
      <c r="X13" s="288"/>
      <c r="Y13" s="288"/>
      <c r="Z13" s="288"/>
      <c r="AA13" s="288"/>
    </row>
    <row r="14" spans="1:32" x14ac:dyDescent="0.2">
      <c r="A14" s="899"/>
      <c r="B14" s="353"/>
      <c r="C14" s="354" t="s">
        <v>2</v>
      </c>
      <c r="D14" s="355"/>
      <c r="E14" s="352"/>
      <c r="F14" s="356"/>
      <c r="G14" s="355"/>
      <c r="H14" s="356"/>
      <c r="I14" s="356"/>
      <c r="J14" s="353"/>
      <c r="K14" s="357"/>
      <c r="L14" s="358"/>
      <c r="M14" s="359"/>
      <c r="N14" s="360">
        <f>SUM(N9:N13)</f>
        <v>61914.75</v>
      </c>
      <c r="O14" s="361" t="str">
        <f>IF(MID(B7,1,2)="LG",VLOOKUP(B7,'Compos lug'!J:M,4,FALSE),IF(MID(B7,1,1)="6",VLOOKUP(B7,tranp.!$A$6:$K$51,3,FALSE),VLOOKUP(B7,'DER 10-18'!$A$1:$I$1981,3,FALSE)))</f>
        <v>M2</v>
      </c>
      <c r="P14" s="362"/>
      <c r="Q14" s="362"/>
      <c r="R14" s="900"/>
      <c r="S14" s="738">
        <f t="shared" si="0"/>
        <v>190309.32</v>
      </c>
      <c r="T14" s="738" t="str">
        <f t="shared" si="1"/>
        <v>M3</v>
      </c>
      <c r="U14" s="738"/>
      <c r="V14" s="738"/>
      <c r="AF14" s="288">
        <v>21452.799999999999</v>
      </c>
    </row>
    <row r="15" spans="1:32" x14ac:dyDescent="0.2">
      <c r="A15" s="901"/>
      <c r="B15" s="388"/>
      <c r="C15" s="389"/>
      <c r="D15" s="390"/>
      <c r="E15" s="345"/>
      <c r="F15" s="391"/>
      <c r="G15" s="390"/>
      <c r="H15" s="345"/>
      <c r="I15" s="391"/>
      <c r="J15" s="346"/>
      <c r="K15" s="392"/>
      <c r="L15" s="314"/>
      <c r="M15" s="393"/>
      <c r="N15" s="314"/>
      <c r="O15" s="346"/>
      <c r="P15" s="363"/>
      <c r="Q15" s="363"/>
      <c r="R15" s="902"/>
      <c r="S15" s="738">
        <f t="shared" si="0"/>
        <v>190309.32</v>
      </c>
      <c r="T15" s="738" t="str">
        <f t="shared" si="1"/>
        <v>M3</v>
      </c>
      <c r="U15" s="738"/>
      <c r="V15" s="738"/>
      <c r="AF15" s="288">
        <v>17823.14</v>
      </c>
    </row>
    <row r="16" spans="1:32" s="289" customFormat="1" x14ac:dyDescent="0.2">
      <c r="A16" s="895" t="s">
        <v>1013</v>
      </c>
      <c r="B16" s="346">
        <v>40230</v>
      </c>
      <c r="C16" s="347" t="str">
        <f>IF(MID(B16,1,2)="LG",VLOOKUP(B16,'Compos lug'!J:M,3,FALSE),IF(MID(B16,1,1)="6",VLOOKUP(B16,tranp.!$A$4:$K$19,11,FALSE)&amp;" -  XP="&amp;TEXT(T16,"0.000")&amp;" / XR="&amp;TEXT(V16,"0.000"),VLOOKUP(B16,'DER 10-18'!$A$1:$I$1981,2,FALSE)))</f>
        <v>Escavação e carga de material de 1ª categoria com escavadeira</v>
      </c>
      <c r="D16" s="1059" t="s">
        <v>1000</v>
      </c>
      <c r="E16" s="1060"/>
      <c r="F16" s="1061"/>
      <c r="G16" s="1059" t="s">
        <v>1001</v>
      </c>
      <c r="H16" s="1060"/>
      <c r="I16" s="1061"/>
      <c r="J16" s="349" t="s">
        <v>989</v>
      </c>
      <c r="K16" s="884" t="s">
        <v>998</v>
      </c>
      <c r="L16" s="876" t="s">
        <v>994</v>
      </c>
      <c r="M16" s="885"/>
      <c r="N16" s="876" t="str">
        <f>CONCATENATE("Total (",IF(MID(B16,1,2)="LG",VLOOKUP(B16,'Compos lug'!J:M,4,FALSE),IF(MID(B16,1,1)="6","t",VLOOKUP(B16,'DER 10-18'!$A$1:$I$1981,3,FALSE))),")")</f>
        <v>Total (M3)</v>
      </c>
      <c r="O16" s="313"/>
      <c r="P16" s="363"/>
      <c r="Q16" s="363"/>
      <c r="R16" s="902"/>
      <c r="S16" s="738">
        <f t="shared" si="0"/>
        <v>190309.32</v>
      </c>
      <c r="T16" s="738" t="str">
        <f t="shared" si="1"/>
        <v>M3</v>
      </c>
      <c r="U16" s="738"/>
      <c r="V16" s="738"/>
      <c r="W16" s="712"/>
      <c r="X16" s="712"/>
      <c r="Y16" s="712"/>
      <c r="Z16" s="712"/>
      <c r="AA16" s="712"/>
      <c r="AF16" s="289">
        <v>5484.04</v>
      </c>
    </row>
    <row r="17" spans="1:32" x14ac:dyDescent="0.2">
      <c r="A17" s="897"/>
      <c r="B17" s="349"/>
      <c r="C17" s="347" t="s">
        <v>1552</v>
      </c>
      <c r="D17" s="381"/>
      <c r="E17" s="524"/>
      <c r="G17" s="382"/>
      <c r="H17" s="524"/>
      <c r="J17" s="383"/>
      <c r="K17" s="350"/>
      <c r="M17" s="875"/>
      <c r="N17" s="883">
        <v>170064.01</v>
      </c>
      <c r="O17" s="740"/>
      <c r="P17" s="881" t="s">
        <v>1061</v>
      </c>
      <c r="Q17" s="880"/>
      <c r="R17" s="898"/>
      <c r="S17" s="738">
        <f t="shared" si="0"/>
        <v>190309.32</v>
      </c>
      <c r="T17" s="738" t="str">
        <f t="shared" si="1"/>
        <v>M3</v>
      </c>
      <c r="U17" s="738"/>
      <c r="V17" s="738"/>
      <c r="AF17" s="288">
        <v>8226.07</v>
      </c>
    </row>
    <row r="18" spans="1:32" x14ac:dyDescent="0.2">
      <c r="A18" s="897"/>
      <c r="B18" s="349"/>
      <c r="C18" s="347" t="s">
        <v>1553</v>
      </c>
      <c r="D18" s="381">
        <v>0</v>
      </c>
      <c r="E18" s="524" t="s">
        <v>8</v>
      </c>
      <c r="F18" s="292">
        <v>0</v>
      </c>
      <c r="G18" s="382">
        <v>111</v>
      </c>
      <c r="H18" s="524" t="s">
        <v>8</v>
      </c>
      <c r="I18" s="292">
        <v>11.53</v>
      </c>
      <c r="J18" s="383"/>
      <c r="K18" s="350"/>
      <c r="M18" s="875"/>
      <c r="N18" s="883">
        <v>20245.310000000001</v>
      </c>
      <c r="O18" s="740"/>
      <c r="P18" s="881" t="s">
        <v>1061</v>
      </c>
      <c r="Q18" s="880"/>
      <c r="R18" s="898"/>
      <c r="S18" s="738">
        <f t="shared" si="0"/>
        <v>190309.32</v>
      </c>
      <c r="T18" s="738" t="str">
        <f t="shared" si="1"/>
        <v>M3</v>
      </c>
      <c r="U18" s="738"/>
      <c r="V18" s="738"/>
      <c r="W18" s="288"/>
      <c r="X18" s="288"/>
      <c r="Y18" s="288"/>
      <c r="Z18" s="288"/>
      <c r="AA18" s="288"/>
      <c r="AF18" s="288">
        <v>8226.07</v>
      </c>
    </row>
    <row r="19" spans="1:32" x14ac:dyDescent="0.2">
      <c r="A19" s="899"/>
      <c r="B19" s="353"/>
      <c r="C19" s="354" t="s">
        <v>2</v>
      </c>
      <c r="D19" s="355"/>
      <c r="E19" s="352"/>
      <c r="F19" s="356"/>
      <c r="G19" s="355"/>
      <c r="H19" s="356"/>
      <c r="I19" s="356"/>
      <c r="J19" s="353"/>
      <c r="K19" s="357"/>
      <c r="L19" s="358"/>
      <c r="M19" s="359"/>
      <c r="N19" s="360">
        <f>SUM(N17:N18)</f>
        <v>190309.32</v>
      </c>
      <c r="O19" s="361" t="str">
        <f>IF(MID(B16,1,2)="LG",VLOOKUP(B16,'Compos lug'!J:M,4,FALSE),IF(MID(B16,1,1)="6",VLOOKUP(B16,tranp.!$A$6:$K$51,3,FALSE),VLOOKUP(B16,'DER 10-18'!$A$1:$I$1981,3,FALSE)))</f>
        <v>M3</v>
      </c>
      <c r="P19" s="362"/>
      <c r="Q19" s="362"/>
      <c r="R19" s="900"/>
      <c r="S19" s="738">
        <f t="shared" si="0"/>
        <v>58349.46</v>
      </c>
      <c r="T19" s="738" t="str">
        <f t="shared" si="1"/>
        <v>M3</v>
      </c>
      <c r="U19" s="738"/>
      <c r="V19" s="738"/>
      <c r="AF19" s="288">
        <v>1136.31</v>
      </c>
    </row>
    <row r="20" spans="1:32" x14ac:dyDescent="0.2">
      <c r="A20" s="901"/>
      <c r="B20" s="388"/>
      <c r="C20" s="389"/>
      <c r="D20" s="390"/>
      <c r="E20" s="345"/>
      <c r="F20" s="391"/>
      <c r="G20" s="390"/>
      <c r="H20" s="345"/>
      <c r="I20" s="391"/>
      <c r="J20" s="346"/>
      <c r="K20" s="392"/>
      <c r="L20" s="314"/>
      <c r="M20" s="393"/>
      <c r="N20" s="314"/>
      <c r="O20" s="346"/>
      <c r="P20" s="363"/>
      <c r="Q20" s="363"/>
      <c r="R20" s="902"/>
      <c r="S20" s="738">
        <f t="shared" si="0"/>
        <v>58349.46</v>
      </c>
      <c r="T20" s="738" t="str">
        <f t="shared" si="1"/>
        <v>M3</v>
      </c>
      <c r="U20" s="738"/>
      <c r="V20" s="738"/>
      <c r="AF20" s="288">
        <v>8530.3799999999992</v>
      </c>
    </row>
    <row r="21" spans="1:32" s="289" customFormat="1" x14ac:dyDescent="0.2">
      <c r="A21" s="895" t="s">
        <v>1014</v>
      </c>
      <c r="B21" s="346">
        <v>43340</v>
      </c>
      <c r="C21" s="347" t="str">
        <f>IF(MID(B21,1,2)="LG",VLOOKUP(B21,'Compos lug'!J:M,3,FALSE),IF(MID(B21,1,1)="6",VLOOKUP(B21,tranp.!$A$4:$K$19,11,FALSE)&amp;" -  XP="&amp;TEXT(T21,"0.000")&amp;" / XR="&amp;TEXT(V21,"0.000"),VLOOKUP(B21,'DER 10-18'!$A$1:$I$1981,2,FALSE)))</f>
        <v>Compactação de aterros 100% P.I.</v>
      </c>
      <c r="D21" s="1059" t="s">
        <v>1000</v>
      </c>
      <c r="E21" s="1060"/>
      <c r="F21" s="1061"/>
      <c r="G21" s="1059" t="s">
        <v>1001</v>
      </c>
      <c r="H21" s="1060"/>
      <c r="I21" s="1061"/>
      <c r="J21" s="349" t="s">
        <v>989</v>
      </c>
      <c r="K21" s="884" t="s">
        <v>998</v>
      </c>
      <c r="L21" s="876" t="s">
        <v>994</v>
      </c>
      <c r="M21" s="885"/>
      <c r="N21" s="876" t="str">
        <f>CONCATENATE("Total (",IF(MID(B21,1,2)="LG",VLOOKUP(B21,'Compos lug'!J:M,4,FALSE),IF(MID(B21,1,1)="6","t",VLOOKUP(B21,'DER 10-18'!$A$1:$I$1981,3,FALSE))),")")</f>
        <v>Total (M3)</v>
      </c>
      <c r="O21" s="313"/>
      <c r="P21" s="1062" t="s">
        <v>1002</v>
      </c>
      <c r="Q21" s="1063"/>
      <c r="R21" s="902"/>
      <c r="S21" s="738">
        <f t="shared" si="0"/>
        <v>58349.46</v>
      </c>
      <c r="T21" s="738" t="str">
        <f t="shared" si="1"/>
        <v>M3</v>
      </c>
      <c r="U21" s="738"/>
      <c r="V21" s="738"/>
      <c r="W21" s="712"/>
      <c r="X21" s="712"/>
      <c r="Y21" s="712"/>
      <c r="Z21" s="712"/>
      <c r="AA21" s="712"/>
      <c r="AF21" s="289">
        <v>17781.93</v>
      </c>
    </row>
    <row r="22" spans="1:32" x14ac:dyDescent="0.2">
      <c r="A22" s="897"/>
      <c r="B22" s="349"/>
      <c r="C22" s="347" t="s">
        <v>1552</v>
      </c>
      <c r="D22" s="381"/>
      <c r="E22" s="524"/>
      <c r="G22" s="382"/>
      <c r="H22" s="524"/>
      <c r="J22" s="383"/>
      <c r="K22" s="350"/>
      <c r="M22" s="875"/>
      <c r="N22" s="883">
        <v>52327.38</v>
      </c>
      <c r="O22" s="740"/>
      <c r="P22" s="881" t="s">
        <v>1061</v>
      </c>
      <c r="Q22" s="880"/>
      <c r="R22" s="898"/>
      <c r="S22" s="738">
        <f t="shared" si="0"/>
        <v>58349.46</v>
      </c>
      <c r="T22" s="738" t="str">
        <f t="shared" si="1"/>
        <v>M3</v>
      </c>
      <c r="U22" s="738"/>
      <c r="V22" s="738"/>
      <c r="AF22" s="288">
        <v>36.14</v>
      </c>
    </row>
    <row r="23" spans="1:32" x14ac:dyDescent="0.2">
      <c r="A23" s="897"/>
      <c r="B23" s="349"/>
      <c r="C23" s="347" t="s">
        <v>1553</v>
      </c>
      <c r="D23" s="381">
        <v>0</v>
      </c>
      <c r="E23" s="524" t="s">
        <v>8</v>
      </c>
      <c r="F23" s="292">
        <v>0</v>
      </c>
      <c r="G23" s="382">
        <v>111</v>
      </c>
      <c r="H23" s="524" t="s">
        <v>8</v>
      </c>
      <c r="I23" s="292">
        <v>11.53</v>
      </c>
      <c r="J23" s="383"/>
      <c r="K23" s="350"/>
      <c r="M23" s="875"/>
      <c r="N23" s="883">
        <v>6022.08</v>
      </c>
      <c r="O23" s="740"/>
      <c r="P23" s="881" t="s">
        <v>1061</v>
      </c>
      <c r="Q23" s="880"/>
      <c r="R23" s="898"/>
      <c r="S23" s="738">
        <f t="shared" si="0"/>
        <v>58349.46</v>
      </c>
      <c r="T23" s="738" t="str">
        <f t="shared" si="1"/>
        <v>M3</v>
      </c>
      <c r="U23" s="738"/>
      <c r="V23" s="738"/>
      <c r="W23" s="288"/>
      <c r="X23" s="288"/>
      <c r="Y23" s="288"/>
      <c r="Z23" s="288"/>
      <c r="AA23" s="288"/>
      <c r="AF23" s="288">
        <v>36.14</v>
      </c>
    </row>
    <row r="24" spans="1:32" x14ac:dyDescent="0.2">
      <c r="A24" s="899"/>
      <c r="B24" s="353"/>
      <c r="C24" s="354" t="s">
        <v>2</v>
      </c>
      <c r="D24" s="355"/>
      <c r="E24" s="352"/>
      <c r="F24" s="356"/>
      <c r="G24" s="355"/>
      <c r="H24" s="356"/>
      <c r="I24" s="356"/>
      <c r="J24" s="353"/>
      <c r="K24" s="357"/>
      <c r="L24" s="358"/>
      <c r="M24" s="359"/>
      <c r="N24" s="360">
        <f>SUM(N22:N23)</f>
        <v>58349.46</v>
      </c>
      <c r="O24" s="361" t="str">
        <f>IF(MID(B21,1,2)="LG",VLOOKUP(B21,'Compos lug'!J:M,4,FALSE),IF(MID(B21,1,1)="6",VLOOKUP(B21,tranp.!$A$6:$K$51,3,FALSE),VLOOKUP(B21,'DER 10-18'!$A$1:$I$1981,3,FALSE)))</f>
        <v>M3</v>
      </c>
      <c r="P24" s="362"/>
      <c r="Q24" s="362"/>
      <c r="R24" s="900"/>
      <c r="S24" s="738">
        <f t="shared" si="0"/>
        <v>87524.2</v>
      </c>
      <c r="T24" s="738" t="str">
        <f t="shared" si="1"/>
        <v>M3</v>
      </c>
      <c r="U24" s="738"/>
      <c r="V24" s="738"/>
      <c r="AF24" s="288">
        <v>2814.55</v>
      </c>
    </row>
    <row r="25" spans="1:32" x14ac:dyDescent="0.2">
      <c r="A25" s="294"/>
      <c r="B25" s="293"/>
      <c r="C25" s="343"/>
      <c r="H25" s="292"/>
      <c r="N25" s="314"/>
      <c r="O25" s="344"/>
      <c r="P25" s="315"/>
      <c r="Q25" s="315"/>
      <c r="R25" s="903"/>
      <c r="S25" s="738">
        <f t="shared" si="0"/>
        <v>87524.2</v>
      </c>
      <c r="T25" s="738" t="str">
        <f t="shared" si="1"/>
        <v>M3</v>
      </c>
      <c r="U25" s="738"/>
      <c r="V25" s="738"/>
      <c r="AF25" s="288">
        <v>213.4</v>
      </c>
    </row>
    <row r="26" spans="1:32" s="289" customFormat="1" x14ac:dyDescent="0.2">
      <c r="A26" s="895" t="s">
        <v>1015</v>
      </c>
      <c r="B26" s="346">
        <v>40228</v>
      </c>
      <c r="C26" s="347" t="str">
        <f>IF(MID(B26,1,2)="LG",VLOOKUP(B26,'Compos lug'!J:M,3,FALSE),IF(MID(B26,1,1)="6",VLOOKUP(B26,tranp.!$A$4:$K$19,11,FALSE)&amp;" -  XP="&amp;TEXT(T26,"0.000")&amp;" / XR="&amp;TEXT(V26,"0.000"),VLOOKUP(B26,'DER 10-18'!$A$1:$I$1981,2,FALSE)))</f>
        <v>Compactação de aterros 100% PN</v>
      </c>
      <c r="D26" s="1059" t="s">
        <v>1000</v>
      </c>
      <c r="E26" s="1060"/>
      <c r="F26" s="1061"/>
      <c r="G26" s="1059" t="s">
        <v>1001</v>
      </c>
      <c r="H26" s="1060"/>
      <c r="I26" s="1061"/>
      <c r="J26" s="349" t="s">
        <v>989</v>
      </c>
      <c r="K26" s="884" t="s">
        <v>998</v>
      </c>
      <c r="L26" s="876" t="s">
        <v>994</v>
      </c>
      <c r="M26" s="885" t="s">
        <v>995</v>
      </c>
      <c r="N26" s="876" t="str">
        <f>CONCATENATE("Total (",IF(MID(B26,1,2)="LG",VLOOKUP(B26,'Compos lug'!J:M,4,FALSE),IF(MID(B26,1,1)="6","t",VLOOKUP(B26,'DER 10-18'!$A$1:$I$1981,3,FALSE))),")")</f>
        <v>Total (M3)</v>
      </c>
      <c r="O26" s="313"/>
      <c r="P26" s="363"/>
      <c r="Q26" s="363"/>
      <c r="R26" s="902"/>
      <c r="S26" s="738">
        <f t="shared" si="0"/>
        <v>87524.2</v>
      </c>
      <c r="T26" s="738" t="str">
        <f t="shared" si="1"/>
        <v>M3</v>
      </c>
      <c r="U26" s="738"/>
      <c r="V26" s="738"/>
      <c r="W26" s="712"/>
      <c r="X26" s="712"/>
      <c r="Y26" s="712"/>
      <c r="Z26" s="712"/>
      <c r="AA26" s="712"/>
      <c r="AF26" s="289">
        <v>154.63</v>
      </c>
    </row>
    <row r="27" spans="1:32" x14ac:dyDescent="0.2">
      <c r="A27" s="897"/>
      <c r="B27" s="349"/>
      <c r="C27" s="347" t="s">
        <v>1552</v>
      </c>
      <c r="D27" s="382"/>
      <c r="E27" s="524"/>
      <c r="G27" s="382"/>
      <c r="H27" s="524"/>
      <c r="J27" s="383"/>
      <c r="K27" s="350"/>
      <c r="M27" s="420"/>
      <c r="N27" s="876">
        <v>78491.08</v>
      </c>
      <c r="O27" s="740"/>
      <c r="P27" s="881" t="s">
        <v>1061</v>
      </c>
      <c r="Q27" s="880"/>
      <c r="R27" s="898"/>
      <c r="S27" s="738">
        <f t="shared" si="0"/>
        <v>87524.2</v>
      </c>
      <c r="T27" s="738" t="str">
        <f t="shared" si="1"/>
        <v>M3</v>
      </c>
      <c r="U27" s="738"/>
      <c r="V27" s="738"/>
      <c r="AF27" s="288">
        <v>31</v>
      </c>
    </row>
    <row r="28" spans="1:32" x14ac:dyDescent="0.2">
      <c r="A28" s="897"/>
      <c r="B28" s="349"/>
      <c r="C28" s="347" t="s">
        <v>1553</v>
      </c>
      <c r="D28" s="381">
        <v>0</v>
      </c>
      <c r="E28" s="524" t="s">
        <v>8</v>
      </c>
      <c r="F28" s="292">
        <v>0</v>
      </c>
      <c r="G28" s="382">
        <v>111</v>
      </c>
      <c r="H28" s="524" t="s">
        <v>8</v>
      </c>
      <c r="I28" s="292">
        <v>11.53</v>
      </c>
      <c r="J28" s="383"/>
      <c r="K28" s="350"/>
      <c r="M28" s="420"/>
      <c r="N28" s="876">
        <v>9033.1200000000008</v>
      </c>
      <c r="O28" s="740"/>
      <c r="P28" s="882"/>
      <c r="Q28" s="880"/>
      <c r="R28" s="898"/>
      <c r="S28" s="738">
        <f t="shared" si="0"/>
        <v>87524.2</v>
      </c>
      <c r="T28" s="738" t="str">
        <f t="shared" si="1"/>
        <v>M3</v>
      </c>
      <c r="U28" s="738"/>
      <c r="V28" s="738"/>
      <c r="W28" s="288"/>
      <c r="X28" s="288"/>
      <c r="Y28" s="288"/>
      <c r="Z28" s="288"/>
      <c r="AA28" s="288"/>
      <c r="AF28" s="288">
        <v>31</v>
      </c>
    </row>
    <row r="29" spans="1:32" x14ac:dyDescent="0.2">
      <c r="A29" s="899"/>
      <c r="B29" s="353"/>
      <c r="C29" s="354" t="s">
        <v>2</v>
      </c>
      <c r="D29" s="355"/>
      <c r="E29" s="352"/>
      <c r="F29" s="356"/>
      <c r="G29" s="355"/>
      <c r="H29" s="356"/>
      <c r="I29" s="356"/>
      <c r="J29" s="353"/>
      <c r="K29" s="357"/>
      <c r="L29" s="358"/>
      <c r="M29" s="359"/>
      <c r="N29" s="360">
        <f>SUM(N27:N28)</f>
        <v>87524.2</v>
      </c>
      <c r="O29" s="361" t="str">
        <f>IF(MID(B26,1,2)="LG",VLOOKUP(B26,'Compos lug'!J:M,4,FALSE),IF(MID(B26,1,1)="6",VLOOKUP(B26,tranp.!$A$6:$K$51,3,FALSE),VLOOKUP(B26,'DER 10-18'!$A$1:$I$1981,3,FALSE)))</f>
        <v>M3</v>
      </c>
      <c r="P29" s="362"/>
      <c r="Q29" s="362"/>
      <c r="R29" s="900"/>
      <c r="S29" s="738">
        <f t="shared" si="0"/>
        <v>27457.25</v>
      </c>
      <c r="T29" s="738" t="str">
        <f t="shared" si="1"/>
        <v>T</v>
      </c>
      <c r="U29" s="738"/>
      <c r="V29" s="738"/>
      <c r="AF29" s="288">
        <v>17</v>
      </c>
    </row>
    <row r="30" spans="1:32" x14ac:dyDescent="0.2">
      <c r="A30" s="294"/>
      <c r="B30" s="293"/>
      <c r="C30" s="343"/>
      <c r="H30" s="292"/>
      <c r="N30" s="314"/>
      <c r="O30" s="344"/>
      <c r="P30" s="315"/>
      <c r="Q30" s="315"/>
      <c r="R30" s="903"/>
      <c r="S30" s="738">
        <f t="shared" si="0"/>
        <v>27457.25</v>
      </c>
      <c r="T30" s="738" t="str">
        <f t="shared" si="1"/>
        <v>T</v>
      </c>
      <c r="U30" s="738"/>
      <c r="V30" s="738"/>
      <c r="AF30" s="288">
        <v>21</v>
      </c>
    </row>
    <row r="31" spans="1:32" s="289" customFormat="1" ht="38.25" x14ac:dyDescent="0.2">
      <c r="A31" s="895" t="s">
        <v>1016</v>
      </c>
      <c r="B31" s="346">
        <v>60019</v>
      </c>
      <c r="C31" s="347" t="str">
        <f>IF(MID(B31,1,2)="LG",VLOOKUP(B31,'Compos lug'!J:M,3,FALSE),IF(MID(B31,1,1)="6",VLOOKUP(B31,tranp.!$A$4:$K$19,11,FALSE)&amp;" -  XP="&amp;TEXT(Z31,"0.000")&amp;" / XR="&amp;TEXT(AA31,"0.000"),VLOOKUP(B31,'DER 10-18'!$A$1:$I$1981,2,FALSE)))&amp;" - "&amp;TEXT(C32,"0.000")</f>
        <v>LOCAL COM DMT ATÉ 3,0 KM (Caminhão basculante)1,085XP+1,198XR+1,904 (Incluindo BDI= 23,32%) -  XP=0.000 / XR=0.200 - Transporte de Material - DMT 200.0m</v>
      </c>
      <c r="D31" s="1059" t="s">
        <v>1000</v>
      </c>
      <c r="E31" s="1060"/>
      <c r="F31" s="1061"/>
      <c r="G31" s="1059" t="s">
        <v>1001</v>
      </c>
      <c r="H31" s="1060"/>
      <c r="I31" s="1061"/>
      <c r="J31" s="349" t="s">
        <v>989</v>
      </c>
      <c r="K31" s="884"/>
      <c r="L31" s="876" t="s">
        <v>1003</v>
      </c>
      <c r="M31" s="876" t="s">
        <v>1062</v>
      </c>
      <c r="N31" s="876" t="str">
        <f>CONCATENATE("Total (",IF(MID(B31,1,2)="LG",VLOOKUP(B31,'Compos lug'!J:M,4,FALSE),IF(MID(B31,1,1)="6","t",VLOOKUP(B31,'DER 10-18'!$A$1:$I$1981,3,FALSE))),")")</f>
        <v>Total (t)</v>
      </c>
      <c r="O31" s="313"/>
      <c r="P31" s="363"/>
      <c r="Q31" s="363"/>
      <c r="R31" s="902"/>
      <c r="S31" s="738">
        <f t="shared" si="0"/>
        <v>27457.25</v>
      </c>
      <c r="T31" s="738" t="str">
        <f t="shared" si="1"/>
        <v>T</v>
      </c>
      <c r="U31" s="738">
        <f>+AA31/1000</f>
        <v>0.2</v>
      </c>
      <c r="V31" s="741">
        <f>W31*Z31+X31*U31+Y31</f>
        <v>2.14</v>
      </c>
      <c r="W31" s="742">
        <f>VLOOKUP(B31,tranp.!A:J,8,FALSE)</f>
        <v>1.085</v>
      </c>
      <c r="X31" s="742">
        <f>VLOOKUP(B31,tranp.!A:J,9,FALSE)</f>
        <v>1.198</v>
      </c>
      <c r="Y31" s="742">
        <f>VLOOKUP(B31,tranp.!A:J,10,FALSE)</f>
        <v>1.9039999999999999</v>
      </c>
      <c r="Z31" s="712"/>
      <c r="AA31" s="743">
        <v>200</v>
      </c>
      <c r="AF31" s="289">
        <v>31</v>
      </c>
    </row>
    <row r="32" spans="1:32" x14ac:dyDescent="0.2">
      <c r="A32" s="897"/>
      <c r="B32" s="349"/>
      <c r="C32" s="744" t="s">
        <v>1513</v>
      </c>
      <c r="D32" s="382"/>
      <c r="E32" s="524"/>
      <c r="G32" s="382"/>
      <c r="H32" s="524"/>
      <c r="J32" s="383"/>
      <c r="K32" s="350"/>
      <c r="L32" s="876"/>
      <c r="M32" s="298"/>
      <c r="N32" s="876"/>
      <c r="O32" s="740"/>
      <c r="P32" s="881"/>
      <c r="Q32" s="880"/>
      <c r="R32" s="898"/>
      <c r="S32" s="738">
        <f t="shared" si="0"/>
        <v>27457.25</v>
      </c>
      <c r="T32" s="738" t="str">
        <f t="shared" si="1"/>
        <v>T</v>
      </c>
      <c r="U32" s="738"/>
      <c r="V32" s="738"/>
      <c r="AA32" s="743"/>
      <c r="AF32" s="288">
        <v>17</v>
      </c>
    </row>
    <row r="33" spans="1:32" x14ac:dyDescent="0.2">
      <c r="A33" s="897"/>
      <c r="B33" s="349"/>
      <c r="C33" s="347" t="s">
        <v>1552</v>
      </c>
      <c r="D33" s="382"/>
      <c r="E33" s="524"/>
      <c r="G33" s="382"/>
      <c r="H33" s="524"/>
      <c r="J33" s="383"/>
      <c r="K33" s="350"/>
      <c r="L33" s="876"/>
      <c r="M33" s="298"/>
      <c r="N33" s="876"/>
      <c r="O33" s="740"/>
      <c r="P33" s="881"/>
      <c r="Q33" s="880"/>
      <c r="R33" s="898"/>
      <c r="S33" s="738">
        <f t="shared" si="0"/>
        <v>27457.25</v>
      </c>
      <c r="T33" s="738" t="str">
        <f t="shared" si="1"/>
        <v>T</v>
      </c>
      <c r="U33" s="738"/>
      <c r="V33" s="738"/>
      <c r="AA33" s="743"/>
    </row>
    <row r="34" spans="1:32" x14ac:dyDescent="0.2">
      <c r="A34" s="897"/>
      <c r="B34" s="349"/>
      <c r="C34" s="384" t="s">
        <v>1514</v>
      </c>
      <c r="D34" s="382"/>
      <c r="E34" s="524"/>
      <c r="G34" s="382"/>
      <c r="H34" s="524"/>
      <c r="J34" s="383"/>
      <c r="K34" s="350"/>
      <c r="L34" s="876">
        <v>11458.78</v>
      </c>
      <c r="M34" s="298">
        <v>1.7</v>
      </c>
      <c r="N34" s="876">
        <f t="shared" ref="N34:N35" si="2">+L34*M34</f>
        <v>19479.93</v>
      </c>
      <c r="O34" s="740"/>
      <c r="P34" s="881" t="s">
        <v>1061</v>
      </c>
      <c r="Q34" s="880"/>
      <c r="R34" s="898"/>
      <c r="S34" s="738">
        <f t="shared" si="0"/>
        <v>27457.25</v>
      </c>
      <c r="T34" s="738" t="str">
        <f t="shared" si="1"/>
        <v>T</v>
      </c>
      <c r="U34" s="738"/>
      <c r="V34" s="738"/>
      <c r="AA34" s="743"/>
    </row>
    <row r="35" spans="1:32" x14ac:dyDescent="0.2">
      <c r="A35" s="897"/>
      <c r="B35" s="349"/>
      <c r="C35" s="384" t="s">
        <v>1515</v>
      </c>
      <c r="D35" s="382"/>
      <c r="E35" s="524"/>
      <c r="G35" s="382"/>
      <c r="H35" s="524"/>
      <c r="J35" s="383"/>
      <c r="K35" s="350"/>
      <c r="L35" s="876">
        <v>1910.06</v>
      </c>
      <c r="M35" s="298">
        <v>1.7</v>
      </c>
      <c r="N35" s="876">
        <f t="shared" si="2"/>
        <v>3247.1</v>
      </c>
      <c r="O35" s="740"/>
      <c r="P35" s="881" t="s">
        <v>1061</v>
      </c>
      <c r="Q35" s="880"/>
      <c r="R35" s="898"/>
      <c r="S35" s="738">
        <f t="shared" si="0"/>
        <v>27457.25</v>
      </c>
      <c r="T35" s="738" t="str">
        <f t="shared" si="1"/>
        <v>T</v>
      </c>
      <c r="U35" s="738"/>
      <c r="V35" s="738"/>
      <c r="AA35" s="743"/>
    </row>
    <row r="36" spans="1:32" x14ac:dyDescent="0.2">
      <c r="A36" s="897"/>
      <c r="B36" s="349"/>
      <c r="C36" s="347" t="s">
        <v>1553</v>
      </c>
      <c r="D36" s="381">
        <v>0</v>
      </c>
      <c r="E36" s="524" t="s">
        <v>8</v>
      </c>
      <c r="F36" s="292">
        <v>0</v>
      </c>
      <c r="G36" s="382">
        <v>111</v>
      </c>
      <c r="H36" s="524" t="s">
        <v>8</v>
      </c>
      <c r="I36" s="292">
        <v>11.53</v>
      </c>
      <c r="J36" s="383" t="s">
        <v>1556</v>
      </c>
      <c r="K36" s="350"/>
      <c r="L36" s="876">
        <v>2782.48</v>
      </c>
      <c r="M36" s="298">
        <v>1.7</v>
      </c>
      <c r="N36" s="876">
        <f>+L36*M36</f>
        <v>4730.22</v>
      </c>
      <c r="O36" s="740"/>
      <c r="P36" s="881" t="s">
        <v>1061</v>
      </c>
      <c r="Q36" s="880"/>
      <c r="R36" s="898"/>
      <c r="S36" s="738">
        <f t="shared" si="0"/>
        <v>27457.25</v>
      </c>
      <c r="T36" s="738" t="str">
        <f t="shared" si="1"/>
        <v>T</v>
      </c>
      <c r="U36" s="738"/>
      <c r="V36" s="738"/>
      <c r="AA36" s="743"/>
    </row>
    <row r="37" spans="1:32" x14ac:dyDescent="0.2">
      <c r="A37" s="899"/>
      <c r="B37" s="353"/>
      <c r="C37" s="354" t="s">
        <v>2</v>
      </c>
      <c r="D37" s="355"/>
      <c r="E37" s="352"/>
      <c r="F37" s="356"/>
      <c r="G37" s="355"/>
      <c r="H37" s="356"/>
      <c r="I37" s="356"/>
      <c r="J37" s="353"/>
      <c r="K37" s="357"/>
      <c r="L37" s="360">
        <f>SUM(L34:L36)</f>
        <v>16151.32</v>
      </c>
      <c r="M37" s="359"/>
      <c r="N37" s="360">
        <f>SUM(N34:N36)</f>
        <v>27457.25</v>
      </c>
      <c r="O37" s="361" t="str">
        <f>IF(MID(B31,1,2)="LG",VLOOKUP(B31,'Compos lug'!J:M,4,FALSE),IF(MID(B31,1,1)="6",VLOOKUP(B31,tranp.!$A$6:$K$51,3,FALSE),VLOOKUP(B31,'DER 10-18'!$A$1:$I$1981,3,FALSE)))</f>
        <v>T</v>
      </c>
      <c r="P37" s="362"/>
      <c r="Q37" s="362"/>
      <c r="R37" s="900"/>
      <c r="S37" s="738">
        <f t="shared" si="0"/>
        <v>33528.15</v>
      </c>
      <c r="T37" s="738" t="str">
        <f t="shared" si="1"/>
        <v>T</v>
      </c>
      <c r="U37" s="738"/>
      <c r="V37" s="738"/>
      <c r="AA37" s="743"/>
      <c r="AF37" s="288">
        <v>21</v>
      </c>
    </row>
    <row r="38" spans="1:32" x14ac:dyDescent="0.2">
      <c r="A38" s="294"/>
      <c r="B38" s="293"/>
      <c r="C38" s="343"/>
      <c r="H38" s="292"/>
      <c r="N38" s="314"/>
      <c r="O38" s="344"/>
      <c r="P38" s="315"/>
      <c r="Q38" s="315"/>
      <c r="R38" s="903"/>
      <c r="S38" s="738">
        <f t="shared" si="0"/>
        <v>33528.15</v>
      </c>
      <c r="T38" s="738" t="str">
        <f t="shared" si="1"/>
        <v>T</v>
      </c>
      <c r="U38" s="738"/>
      <c r="V38" s="738"/>
      <c r="AA38" s="743"/>
      <c r="AF38" s="288">
        <v>4</v>
      </c>
    </row>
    <row r="39" spans="1:32" ht="38.25" x14ac:dyDescent="0.2">
      <c r="A39" s="895" t="s">
        <v>1017</v>
      </c>
      <c r="B39" s="346">
        <v>60019</v>
      </c>
      <c r="C39" s="347" t="str">
        <f>IF(MID(B39,1,2)="LG",VLOOKUP(B39,'Compos lug'!J:M,3,FALSE),IF(MID(B39,1,1)="6",VLOOKUP(B39,tranp.!$A$4:$K$19,11,FALSE)&amp;" -  XP="&amp;TEXT(Z39,"0.000")&amp;" / XR="&amp;TEXT(AA39,"0.000"),VLOOKUP(B39,'DER 10-18'!$A$1:$I$1981,2,FALSE)))&amp;" - "&amp;TEXT(C40,"0.000")</f>
        <v>LOCAL COM DMT ATÉ 3,0 KM (Caminhão basculante)1,085XP+1,198XR+1,904 (Incluindo BDI= 23,32%) -  XP=0.000 / XR=0.400 - Transporte de Material - DMT 400.0m</v>
      </c>
      <c r="D39" s="1059" t="s">
        <v>1000</v>
      </c>
      <c r="E39" s="1060"/>
      <c r="F39" s="1061"/>
      <c r="G39" s="1059" t="s">
        <v>1001</v>
      </c>
      <c r="H39" s="1060"/>
      <c r="I39" s="1061"/>
      <c r="J39" s="349" t="s">
        <v>989</v>
      </c>
      <c r="K39" s="884"/>
      <c r="L39" s="876" t="s">
        <v>1003</v>
      </c>
      <c r="M39" s="876" t="s">
        <v>1062</v>
      </c>
      <c r="N39" s="876" t="str">
        <f>CONCATENATE("Total (",IF(MID(B39,1,2)="LG",VLOOKUP(B39,'Compos lug'!J:M,4,FALSE),IF(MID(B39,1,1)="6","t",VLOOKUP(B39,'DER 10-18'!$A$1:$I$1981,3,FALSE))),")")</f>
        <v>Total (t)</v>
      </c>
      <c r="O39" s="351"/>
      <c r="P39" s="363"/>
      <c r="Q39" s="363"/>
      <c r="R39" s="902"/>
      <c r="S39" s="738">
        <f t="shared" si="0"/>
        <v>33528.15</v>
      </c>
      <c r="T39" s="738" t="str">
        <f t="shared" si="1"/>
        <v>T</v>
      </c>
      <c r="U39" s="738">
        <f>+AA39/1000</f>
        <v>0.4</v>
      </c>
      <c r="V39" s="741">
        <f>W39*Z39+X39*U39+Y39</f>
        <v>2.38</v>
      </c>
      <c r="W39" s="742">
        <f>VLOOKUP(B39,tranp.!A:J,8,FALSE)</f>
        <v>1.085</v>
      </c>
      <c r="X39" s="742">
        <f>VLOOKUP(B39,tranp.!A:J,9,FALSE)</f>
        <v>1.198</v>
      </c>
      <c r="Y39" s="742">
        <f>VLOOKUP(B39,tranp.!A:J,10,FALSE)</f>
        <v>1.9039999999999999</v>
      </c>
      <c r="Z39" s="745"/>
      <c r="AA39" s="743">
        <v>400</v>
      </c>
      <c r="AF39" s="288">
        <v>2</v>
      </c>
    </row>
    <row r="40" spans="1:32" x14ac:dyDescent="0.2">
      <c r="A40" s="294"/>
      <c r="B40" s="293"/>
      <c r="C40" s="744" t="s">
        <v>1516</v>
      </c>
      <c r="D40" s="382"/>
      <c r="E40" s="524"/>
      <c r="G40" s="382"/>
      <c r="H40" s="524"/>
      <c r="J40" s="383"/>
      <c r="K40" s="350"/>
      <c r="L40" s="876"/>
      <c r="M40" s="298"/>
      <c r="N40" s="876"/>
      <c r="O40" s="364"/>
      <c r="P40" s="881"/>
      <c r="Q40" s="880"/>
      <c r="R40" s="898"/>
      <c r="S40" s="738">
        <f t="shared" si="0"/>
        <v>33528.15</v>
      </c>
      <c r="T40" s="738" t="str">
        <f t="shared" si="1"/>
        <v>T</v>
      </c>
      <c r="U40" s="738"/>
      <c r="V40" s="738"/>
      <c r="W40" s="742"/>
      <c r="AA40" s="743"/>
      <c r="AF40" s="288">
        <v>2</v>
      </c>
    </row>
    <row r="41" spans="1:32" x14ac:dyDescent="0.2">
      <c r="A41" s="897"/>
      <c r="B41" s="349"/>
      <c r="C41" s="347" t="s">
        <v>1552</v>
      </c>
      <c r="D41" s="382"/>
      <c r="E41" s="524"/>
      <c r="G41" s="382"/>
      <c r="H41" s="524"/>
      <c r="J41" s="383"/>
      <c r="K41" s="350"/>
      <c r="L41" s="876"/>
      <c r="M41" s="298"/>
      <c r="N41" s="876"/>
      <c r="O41" s="740"/>
      <c r="P41" s="881"/>
      <c r="Q41" s="880"/>
      <c r="R41" s="898"/>
      <c r="S41" s="738">
        <f t="shared" si="0"/>
        <v>33528.15</v>
      </c>
      <c r="T41" s="738" t="str">
        <f t="shared" si="1"/>
        <v>T</v>
      </c>
      <c r="U41" s="738"/>
      <c r="V41" s="738"/>
      <c r="AA41" s="743"/>
    </row>
    <row r="42" spans="1:32" x14ac:dyDescent="0.2">
      <c r="A42" s="294"/>
      <c r="B42" s="293"/>
      <c r="C42" s="384" t="s">
        <v>1514</v>
      </c>
      <c r="D42" s="382"/>
      <c r="E42" s="524"/>
      <c r="G42" s="382"/>
      <c r="H42" s="524"/>
      <c r="J42" s="383"/>
      <c r="K42" s="350"/>
      <c r="L42" s="876">
        <v>11156.89</v>
      </c>
      <c r="M42" s="298">
        <v>1.7</v>
      </c>
      <c r="N42" s="876">
        <f t="shared" ref="N42:N43" si="3">+L42*M42</f>
        <v>18966.71</v>
      </c>
      <c r="O42" s="364"/>
      <c r="P42" s="881" t="s">
        <v>1061</v>
      </c>
      <c r="Q42" s="880"/>
      <c r="R42" s="898"/>
      <c r="S42" s="738">
        <f t="shared" si="0"/>
        <v>33528.15</v>
      </c>
      <c r="T42" s="738" t="str">
        <f t="shared" si="1"/>
        <v>T</v>
      </c>
      <c r="U42" s="738"/>
      <c r="V42" s="738"/>
      <c r="W42" s="742"/>
      <c r="AA42" s="743"/>
    </row>
    <row r="43" spans="1:32" x14ac:dyDescent="0.2">
      <c r="A43" s="294"/>
      <c r="B43" s="293"/>
      <c r="C43" s="384" t="s">
        <v>1515</v>
      </c>
      <c r="D43" s="382"/>
      <c r="E43" s="524"/>
      <c r="G43" s="382"/>
      <c r="H43" s="524"/>
      <c r="J43" s="383"/>
      <c r="K43" s="350"/>
      <c r="L43" s="876">
        <v>3379.94</v>
      </c>
      <c r="M43" s="298">
        <v>1.7</v>
      </c>
      <c r="N43" s="876">
        <f t="shared" si="3"/>
        <v>5745.9</v>
      </c>
      <c r="O43" s="364"/>
      <c r="P43" s="881" t="s">
        <v>1061</v>
      </c>
      <c r="Q43" s="880"/>
      <c r="R43" s="898"/>
      <c r="S43" s="738">
        <f t="shared" si="0"/>
        <v>33528.15</v>
      </c>
      <c r="T43" s="738" t="str">
        <f t="shared" si="1"/>
        <v>T</v>
      </c>
      <c r="U43" s="738"/>
      <c r="V43" s="738"/>
      <c r="W43" s="742"/>
      <c r="AA43" s="743"/>
    </row>
    <row r="44" spans="1:32" x14ac:dyDescent="0.2">
      <c r="A44" s="294"/>
      <c r="B44" s="293"/>
      <c r="C44" s="347" t="s">
        <v>1553</v>
      </c>
      <c r="D44" s="382">
        <v>0</v>
      </c>
      <c r="E44" s="524" t="s">
        <v>8</v>
      </c>
      <c r="F44" s="292">
        <v>0</v>
      </c>
      <c r="G44" s="382">
        <v>111</v>
      </c>
      <c r="H44" s="524" t="s">
        <v>8</v>
      </c>
      <c r="I44" s="292">
        <v>11.53</v>
      </c>
      <c r="J44" s="383"/>
      <c r="K44" s="350"/>
      <c r="L44" s="876">
        <v>5185.6099999999997</v>
      </c>
      <c r="M44" s="298">
        <v>1.7</v>
      </c>
      <c r="N44" s="876">
        <f>+L44*M44</f>
        <v>8815.5400000000009</v>
      </c>
      <c r="O44" s="364"/>
      <c r="P44" s="881" t="s">
        <v>1061</v>
      </c>
      <c r="Q44" s="880"/>
      <c r="R44" s="898"/>
      <c r="S44" s="738">
        <f t="shared" si="0"/>
        <v>33528.15</v>
      </c>
      <c r="T44" s="738" t="str">
        <f t="shared" si="1"/>
        <v>T</v>
      </c>
      <c r="U44" s="738"/>
      <c r="V44" s="738"/>
      <c r="W44" s="742"/>
      <c r="X44" s="742"/>
      <c r="Y44" s="742"/>
      <c r="Z44" s="288"/>
      <c r="AA44" s="738"/>
      <c r="AF44" s="288">
        <v>2</v>
      </c>
    </row>
    <row r="45" spans="1:32" x14ac:dyDescent="0.2">
      <c r="A45" s="904"/>
      <c r="B45" s="366"/>
      <c r="C45" s="354" t="s">
        <v>2</v>
      </c>
      <c r="D45" s="367"/>
      <c r="E45" s="365"/>
      <c r="F45" s="368"/>
      <c r="G45" s="367"/>
      <c r="H45" s="368"/>
      <c r="I45" s="368"/>
      <c r="J45" s="366"/>
      <c r="K45" s="369"/>
      <c r="L45" s="360">
        <f>SUM(L42:L44)</f>
        <v>19722.439999999999</v>
      </c>
      <c r="M45" s="371"/>
      <c r="N45" s="360">
        <f>SUM(N42:N44)</f>
        <v>33528.15</v>
      </c>
      <c r="O45" s="361" t="str">
        <f>IF(MID(B39,1,2)="LG",VLOOKUP(B39,'Compos lug'!J:M,4,FALSE),IF(MID(B39,1,1)="6",VLOOKUP(B39,tranp.!$A$6:$K$51,3,FALSE),VLOOKUP(B39,'DER 10-18'!$A$1:$I$1981,3,FALSE)))</f>
        <v>T</v>
      </c>
      <c r="P45" s="362"/>
      <c r="Q45" s="362"/>
      <c r="R45" s="900"/>
      <c r="S45" s="738">
        <f t="shared" si="0"/>
        <v>7075.52</v>
      </c>
      <c r="T45" s="738" t="str">
        <f t="shared" si="1"/>
        <v>T</v>
      </c>
      <c r="U45" s="738"/>
      <c r="V45" s="738"/>
      <c r="AA45" s="743"/>
      <c r="AF45" s="288">
        <v>2</v>
      </c>
    </row>
    <row r="46" spans="1:32" x14ac:dyDescent="0.2">
      <c r="A46" s="294"/>
      <c r="B46" s="293"/>
      <c r="C46" s="343"/>
      <c r="H46" s="292"/>
      <c r="N46" s="314"/>
      <c r="O46" s="344"/>
      <c r="P46" s="315"/>
      <c r="Q46" s="315"/>
      <c r="R46" s="903"/>
      <c r="S46" s="738">
        <f t="shared" si="0"/>
        <v>7075.52</v>
      </c>
      <c r="T46" s="738" t="str">
        <f t="shared" si="1"/>
        <v>T</v>
      </c>
      <c r="U46" s="738"/>
      <c r="V46" s="738"/>
      <c r="AF46" s="288">
        <v>21</v>
      </c>
    </row>
    <row r="47" spans="1:32" s="289" customFormat="1" ht="55.5" customHeight="1" x14ac:dyDescent="0.2">
      <c r="A47" s="895" t="s">
        <v>1018</v>
      </c>
      <c r="B47" s="346">
        <v>60019</v>
      </c>
      <c r="C47" s="347" t="str">
        <f>IF(MID(B47,1,2)="LG",VLOOKUP(B47,'Compos lug'!J:M,3,FALSE),IF(MID(B47,1,1)="6",VLOOKUP(B47,tranp.!$A$4:$K$19,11,FALSE)&amp;" -  XP="&amp;TEXT(Z47,"0.000")&amp;" / XR="&amp;TEXT(AA47,"0.000"),VLOOKUP(B47,'DER 10-18'!$A$1:$I$1981,2,FALSE)))&amp;" - "&amp;TEXT(C49,"0.000")</f>
        <v>LOCAL COM DMT ATÉ 3,0 KM (Caminhão basculante)1,085XP+1,198XR+1,904 (Incluindo BDI= 23,32%) -  XP=0.000 / XR=0.600 - Transporte de Material de 1ª Categoria - DMT 600.0m</v>
      </c>
      <c r="D47" s="1059" t="s">
        <v>1000</v>
      </c>
      <c r="E47" s="1060"/>
      <c r="F47" s="1061"/>
      <c r="G47" s="1059" t="s">
        <v>1001</v>
      </c>
      <c r="H47" s="1060"/>
      <c r="I47" s="1061"/>
      <c r="J47" s="349" t="s">
        <v>989</v>
      </c>
      <c r="K47" s="884"/>
      <c r="L47" s="876" t="s">
        <v>1003</v>
      </c>
      <c r="M47" s="876" t="s">
        <v>1062</v>
      </c>
      <c r="N47" s="876" t="str">
        <f>CONCATENATE("Total (",IF(MID(B47,1,2)="LG",VLOOKUP(B47,'Compos lug'!J:M,4,FALSE),IF(MID(B47,1,1)="6","t",VLOOKUP(B47,'DER 10-18'!$A$1:$I$1981,3,FALSE))),")")</f>
        <v>Total (t)</v>
      </c>
      <c r="O47" s="313"/>
      <c r="P47" s="363"/>
      <c r="Q47" s="363"/>
      <c r="R47" s="902"/>
      <c r="S47" s="738">
        <f t="shared" si="0"/>
        <v>7075.52</v>
      </c>
      <c r="T47" s="738" t="str">
        <f t="shared" si="1"/>
        <v>T</v>
      </c>
      <c r="U47" s="738">
        <f>+AA47/1000</f>
        <v>0.6</v>
      </c>
      <c r="V47" s="741">
        <f>W47*Z47+X47*U47+Y47</f>
        <v>2.62</v>
      </c>
      <c r="W47" s="742">
        <f>VLOOKUP(B47,tranp.!A:J,8,FALSE)</f>
        <v>1.085</v>
      </c>
      <c r="X47" s="742">
        <f>VLOOKUP(B47,tranp.!A:J,9,FALSE)</f>
        <v>1.198</v>
      </c>
      <c r="Y47" s="742">
        <f>VLOOKUP(B47,tranp.!A:J,10,FALSE)</f>
        <v>1.9039999999999999</v>
      </c>
      <c r="Z47" s="712"/>
      <c r="AA47" s="743">
        <v>600</v>
      </c>
      <c r="AF47" s="289">
        <v>31</v>
      </c>
    </row>
    <row r="48" spans="1:32" x14ac:dyDescent="0.2">
      <c r="A48" s="897"/>
      <c r="B48" s="349"/>
      <c r="C48" s="347" t="s">
        <v>1552</v>
      </c>
      <c r="D48" s="382"/>
      <c r="E48" s="524"/>
      <c r="G48" s="382"/>
      <c r="H48" s="524"/>
      <c r="J48" s="383"/>
      <c r="K48" s="350"/>
      <c r="L48" s="876"/>
      <c r="M48" s="298"/>
      <c r="N48" s="876"/>
      <c r="O48" s="740"/>
      <c r="P48" s="881"/>
      <c r="Q48" s="880"/>
      <c r="R48" s="898"/>
      <c r="S48" s="738">
        <f t="shared" si="0"/>
        <v>7075.52</v>
      </c>
      <c r="T48" s="738" t="str">
        <f t="shared" si="1"/>
        <v>T</v>
      </c>
      <c r="U48" s="738"/>
      <c r="V48" s="738"/>
      <c r="AA48" s="743"/>
    </row>
    <row r="49" spans="1:32" x14ac:dyDescent="0.2">
      <c r="A49" s="897"/>
      <c r="B49" s="349"/>
      <c r="C49" s="384" t="s">
        <v>1306</v>
      </c>
      <c r="D49" s="382"/>
      <c r="E49" s="524"/>
      <c r="G49" s="382"/>
      <c r="H49" s="524"/>
      <c r="J49" s="383"/>
      <c r="K49" s="350"/>
      <c r="L49" s="876">
        <v>1460.06</v>
      </c>
      <c r="M49" s="298">
        <v>1.7</v>
      </c>
      <c r="N49" s="876">
        <f>+L49*M49</f>
        <v>2482.1</v>
      </c>
      <c r="O49" s="740"/>
      <c r="P49" s="881" t="s">
        <v>1061</v>
      </c>
      <c r="Q49" s="880"/>
      <c r="R49" s="898"/>
      <c r="S49" s="738">
        <f t="shared" si="0"/>
        <v>7075.52</v>
      </c>
      <c r="T49" s="738" t="str">
        <f t="shared" si="1"/>
        <v>T</v>
      </c>
      <c r="U49" s="738"/>
      <c r="V49" s="738"/>
      <c r="AA49" s="743"/>
      <c r="AF49" s="288">
        <v>17</v>
      </c>
    </row>
    <row r="50" spans="1:32" x14ac:dyDescent="0.2">
      <c r="A50" s="294"/>
      <c r="B50" s="293"/>
      <c r="C50" s="347" t="s">
        <v>1553</v>
      </c>
      <c r="D50" s="382">
        <v>0</v>
      </c>
      <c r="E50" s="524" t="s">
        <v>8</v>
      </c>
      <c r="F50" s="292">
        <v>0</v>
      </c>
      <c r="G50" s="382">
        <v>111</v>
      </c>
      <c r="H50" s="524" t="s">
        <v>8</v>
      </c>
      <c r="I50" s="292">
        <v>11.53</v>
      </c>
      <c r="J50" s="383"/>
      <c r="K50" s="350"/>
      <c r="L50" s="876">
        <v>2702.01</v>
      </c>
      <c r="M50" s="298">
        <v>1.7</v>
      </c>
      <c r="N50" s="876">
        <f>+L50*M50</f>
        <v>4593.42</v>
      </c>
      <c r="O50" s="364"/>
      <c r="P50" s="881" t="s">
        <v>1061</v>
      </c>
      <c r="Q50" s="880"/>
      <c r="R50" s="898"/>
      <c r="S50" s="738">
        <f t="shared" si="0"/>
        <v>7075.52</v>
      </c>
      <c r="T50" s="738" t="str">
        <f t="shared" si="1"/>
        <v>T</v>
      </c>
      <c r="U50" s="738"/>
      <c r="V50" s="738"/>
      <c r="W50" s="742"/>
      <c r="X50" s="742"/>
      <c r="Y50" s="742"/>
      <c r="Z50" s="288"/>
      <c r="AA50" s="738"/>
      <c r="AF50" s="288">
        <v>3</v>
      </c>
    </row>
    <row r="51" spans="1:32" x14ac:dyDescent="0.2">
      <c r="A51" s="899"/>
      <c r="B51" s="353"/>
      <c r="C51" s="354" t="s">
        <v>2</v>
      </c>
      <c r="D51" s="355"/>
      <c r="E51" s="352"/>
      <c r="F51" s="356"/>
      <c r="G51" s="355"/>
      <c r="H51" s="356"/>
      <c r="I51" s="356"/>
      <c r="J51" s="353"/>
      <c r="K51" s="357"/>
      <c r="L51" s="358"/>
      <c r="M51" s="359"/>
      <c r="N51" s="360">
        <f>SUM(N49:N50)</f>
        <v>7075.52</v>
      </c>
      <c r="O51" s="361" t="str">
        <f>IF(MID(B47,1,2)="LG",VLOOKUP(B47,'Compos lug'!J:M,4,FALSE),IF(MID(B47,1,1)="6",VLOOKUP(B47,tranp.!$A$6:$K$51,3,FALSE),VLOOKUP(B47,'DER 10-18'!$A$1:$I$1981,3,FALSE)))</f>
        <v>T</v>
      </c>
      <c r="P51" s="362"/>
      <c r="Q51" s="362"/>
      <c r="R51" s="900"/>
      <c r="S51" s="738">
        <f t="shared" si="0"/>
        <v>22220.14</v>
      </c>
      <c r="T51" s="738" t="str">
        <f t="shared" si="1"/>
        <v>T</v>
      </c>
      <c r="U51" s="738"/>
      <c r="V51" s="738"/>
      <c r="AA51" s="743"/>
      <c r="AF51" s="288">
        <v>21</v>
      </c>
    </row>
    <row r="52" spans="1:32" x14ac:dyDescent="0.2">
      <c r="A52" s="294"/>
      <c r="B52" s="293"/>
      <c r="C52" s="343"/>
      <c r="H52" s="292"/>
      <c r="N52" s="314"/>
      <c r="O52" s="344"/>
      <c r="P52" s="315"/>
      <c r="Q52" s="315"/>
      <c r="R52" s="903"/>
      <c r="S52" s="738">
        <f t="shared" si="0"/>
        <v>22220.14</v>
      </c>
      <c r="T52" s="738" t="str">
        <f t="shared" si="1"/>
        <v>T</v>
      </c>
      <c r="U52" s="738"/>
      <c r="V52" s="738"/>
      <c r="AA52" s="743"/>
      <c r="AF52" s="288">
        <v>4</v>
      </c>
    </row>
    <row r="53" spans="1:32" ht="52.5" customHeight="1" x14ac:dyDescent="0.2">
      <c r="A53" s="895" t="s">
        <v>1063</v>
      </c>
      <c r="B53" s="346">
        <v>60019</v>
      </c>
      <c r="C53" s="347" t="str">
        <f>IF(MID(B53,1,2)="LG",VLOOKUP(B53,'Compos lug'!J:M,3,FALSE),IF(MID(B53,1,1)="6",VLOOKUP(B53,tranp.!$A$4:$K$19,11,FALSE)&amp;" -  XP="&amp;TEXT(Z53,"0.000")&amp;" / XR="&amp;TEXT(AA53,"0.000"),VLOOKUP(B53,'DER 10-18'!$A$1:$I$1981,2,FALSE)))&amp;" - "&amp;TEXT(C55,"0.000")</f>
        <v>LOCAL COM DMT ATÉ 3,0 KM (Caminhão basculante)1,085XP+1,198XR+1,904 (Incluindo BDI= 23,32%) -  XP=0.000 / XR=0.800 - Transporte de Material de 1ª Categoria - DMT 800.0m</v>
      </c>
      <c r="D53" s="1059" t="s">
        <v>1000</v>
      </c>
      <c r="E53" s="1060"/>
      <c r="F53" s="1061"/>
      <c r="G53" s="1059" t="s">
        <v>1001</v>
      </c>
      <c r="H53" s="1060"/>
      <c r="I53" s="1061"/>
      <c r="J53" s="349" t="s">
        <v>989</v>
      </c>
      <c r="K53" s="884"/>
      <c r="L53" s="876" t="s">
        <v>1003</v>
      </c>
      <c r="M53" s="876" t="s">
        <v>1062</v>
      </c>
      <c r="N53" s="876" t="str">
        <f>CONCATENATE("Total (",IF(MID(B53,1,2)="LG",VLOOKUP(B53,'Compos lug'!J:M,4,FALSE),IF(MID(B53,1,1)="6","t",VLOOKUP(B53,'DER 10-18'!$A$1:$I$1981,3,FALSE))),")")</f>
        <v>Total (t)</v>
      </c>
      <c r="O53" s="351"/>
      <c r="P53" s="363"/>
      <c r="Q53" s="363"/>
      <c r="R53" s="902"/>
      <c r="S53" s="738">
        <f t="shared" si="0"/>
        <v>22220.14</v>
      </c>
      <c r="T53" s="738" t="str">
        <f t="shared" si="1"/>
        <v>T</v>
      </c>
      <c r="U53" s="738">
        <f>+AA53/1000</f>
        <v>0.8</v>
      </c>
      <c r="V53" s="741">
        <f>W53*Z53+X53*U53+Y53</f>
        <v>2.86</v>
      </c>
      <c r="W53" s="742">
        <f>VLOOKUP(B53,tranp.!A:J,8,FALSE)</f>
        <v>1.085</v>
      </c>
      <c r="X53" s="742">
        <f>VLOOKUP(B53,tranp.!A:J,9,FALSE)</f>
        <v>1.198</v>
      </c>
      <c r="Y53" s="742">
        <f>VLOOKUP(B53,tranp.!A:J,10,FALSE)</f>
        <v>1.9039999999999999</v>
      </c>
      <c r="Z53" s="745"/>
      <c r="AA53" s="743">
        <v>800</v>
      </c>
      <c r="AF53" s="288">
        <v>2</v>
      </c>
    </row>
    <row r="54" spans="1:32" x14ac:dyDescent="0.2">
      <c r="A54" s="897"/>
      <c r="B54" s="349"/>
      <c r="C54" s="347" t="s">
        <v>1552</v>
      </c>
      <c r="D54" s="382"/>
      <c r="E54" s="524"/>
      <c r="G54" s="382"/>
      <c r="H54" s="524"/>
      <c r="J54" s="383"/>
      <c r="K54" s="350"/>
      <c r="L54" s="876"/>
      <c r="M54" s="298"/>
      <c r="N54" s="876"/>
      <c r="O54" s="740"/>
      <c r="P54" s="881"/>
      <c r="Q54" s="880"/>
      <c r="R54" s="898"/>
      <c r="S54" s="738">
        <f t="shared" si="0"/>
        <v>22220.14</v>
      </c>
      <c r="T54" s="738" t="str">
        <f t="shared" si="1"/>
        <v>T</v>
      </c>
      <c r="U54" s="738"/>
      <c r="V54" s="738"/>
      <c r="AA54" s="743"/>
    </row>
    <row r="55" spans="1:32" x14ac:dyDescent="0.2">
      <c r="A55" s="294"/>
      <c r="B55" s="293"/>
      <c r="C55" s="384" t="s">
        <v>1307</v>
      </c>
      <c r="D55" s="382"/>
      <c r="E55" s="524"/>
      <c r="G55" s="382"/>
      <c r="H55" s="524"/>
      <c r="J55" s="383"/>
      <c r="K55" s="350"/>
      <c r="L55" s="876">
        <v>9386.57</v>
      </c>
      <c r="M55" s="298">
        <v>1.7</v>
      </c>
      <c r="N55" s="876">
        <f>+L55*M55</f>
        <v>15957.17</v>
      </c>
      <c r="O55" s="364"/>
      <c r="P55" s="881" t="s">
        <v>1061</v>
      </c>
      <c r="Q55" s="880"/>
      <c r="R55" s="898"/>
      <c r="S55" s="738">
        <f t="shared" si="0"/>
        <v>22220.14</v>
      </c>
      <c r="T55" s="738" t="str">
        <f t="shared" si="1"/>
        <v>T</v>
      </c>
      <c r="U55" s="738"/>
      <c r="V55" s="738"/>
      <c r="W55" s="742"/>
      <c r="AA55" s="743"/>
      <c r="AF55" s="288">
        <v>2</v>
      </c>
    </row>
    <row r="56" spans="1:32" x14ac:dyDescent="0.2">
      <c r="A56" s="294"/>
      <c r="B56" s="293"/>
      <c r="C56" s="347" t="s">
        <v>1553</v>
      </c>
      <c r="D56" s="382">
        <v>0</v>
      </c>
      <c r="E56" s="524" t="s">
        <v>8</v>
      </c>
      <c r="F56" s="292">
        <v>0</v>
      </c>
      <c r="G56" s="382">
        <v>111</v>
      </c>
      <c r="H56" s="524" t="s">
        <v>8</v>
      </c>
      <c r="I56" s="292">
        <v>11.53</v>
      </c>
      <c r="J56" s="383"/>
      <c r="K56" s="350"/>
      <c r="L56" s="876">
        <v>3684.1</v>
      </c>
      <c r="M56" s="298">
        <v>1.7</v>
      </c>
      <c r="N56" s="876">
        <f>+L56*M56</f>
        <v>6262.97</v>
      </c>
      <c r="O56" s="364"/>
      <c r="P56" s="881" t="s">
        <v>1061</v>
      </c>
      <c r="Q56" s="880"/>
      <c r="R56" s="898"/>
      <c r="S56" s="738">
        <f t="shared" si="0"/>
        <v>22220.14</v>
      </c>
      <c r="T56" s="738" t="str">
        <f t="shared" si="1"/>
        <v>T</v>
      </c>
      <c r="U56" s="738"/>
      <c r="V56" s="738"/>
      <c r="W56" s="742"/>
      <c r="X56" s="742"/>
      <c r="Y56" s="742"/>
      <c r="Z56" s="288"/>
      <c r="AA56" s="738"/>
      <c r="AF56" s="288">
        <v>2592.12</v>
      </c>
    </row>
    <row r="57" spans="1:32" x14ac:dyDescent="0.2">
      <c r="A57" s="904"/>
      <c r="B57" s="366"/>
      <c r="C57" s="354" t="s">
        <v>2</v>
      </c>
      <c r="D57" s="367"/>
      <c r="E57" s="365"/>
      <c r="F57" s="368"/>
      <c r="G57" s="367"/>
      <c r="H57" s="368"/>
      <c r="I57" s="368"/>
      <c r="J57" s="366"/>
      <c r="K57" s="369"/>
      <c r="L57" s="370"/>
      <c r="M57" s="371"/>
      <c r="N57" s="360">
        <f>SUM(N55:N56)</f>
        <v>22220.14</v>
      </c>
      <c r="O57" s="361" t="str">
        <f>IF(MID(B53,1,2)="LG",VLOOKUP(B53,'Compos lug'!J:M,4,FALSE),IF(MID(B53,1,1)="6",VLOOKUP(B53,tranp.!$A$6:$K$51,3,FALSE),VLOOKUP(B53,'DER 10-18'!$A$1:$I$1981,3,FALSE)))</f>
        <v>T</v>
      </c>
      <c r="P57" s="362"/>
      <c r="Q57" s="362"/>
      <c r="R57" s="900"/>
      <c r="S57" s="738">
        <f t="shared" si="0"/>
        <v>134718.1</v>
      </c>
      <c r="T57" s="738" t="str">
        <f t="shared" si="1"/>
        <v>T</v>
      </c>
      <c r="U57" s="738"/>
      <c r="V57" s="738"/>
      <c r="AA57" s="743"/>
      <c r="AF57" s="288">
        <v>2</v>
      </c>
    </row>
    <row r="58" spans="1:32" x14ac:dyDescent="0.2">
      <c r="A58" s="294"/>
      <c r="B58" s="293"/>
      <c r="C58" s="343"/>
      <c r="H58" s="292"/>
      <c r="N58" s="314"/>
      <c r="O58" s="344"/>
      <c r="P58" s="315"/>
      <c r="Q58" s="315"/>
      <c r="R58" s="903"/>
      <c r="S58" s="738">
        <f t="shared" si="0"/>
        <v>134718.1</v>
      </c>
      <c r="T58" s="738" t="str">
        <f t="shared" si="1"/>
        <v>T</v>
      </c>
      <c r="U58" s="738"/>
      <c r="V58" s="738"/>
      <c r="AF58" s="288">
        <v>21</v>
      </c>
    </row>
    <row r="59" spans="1:32" s="289" customFormat="1" ht="51.75" customHeight="1" x14ac:dyDescent="0.2">
      <c r="A59" s="895" t="s">
        <v>1064</v>
      </c>
      <c r="B59" s="346">
        <v>60019</v>
      </c>
      <c r="C59" s="347" t="str">
        <f>IF(MID(B59,1,2)="LG",VLOOKUP(B59,'Compos lug'!J:M,3,FALSE),IF(MID(B59,1,1)="6",VLOOKUP(B59,tranp.!$A$4:$K$19,11,FALSE)&amp;" -  XP="&amp;TEXT(Z59,"0.000")&amp;" / XR="&amp;TEXT(AA59,"0.000"),VLOOKUP(B59,'DER 10-18'!$A$1:$I$1981,2,FALSE)))&amp;" - "&amp;TEXT(C61,"0.000")</f>
        <v>LOCAL COM DMT ATÉ 3,0 KM (Caminhão basculante)1,085XP+1,198XR+1,904 (Incluindo BDI= 23,32%) -  XP=0.000 / XR=1.000 - Transporte de Material de 1ª Categoria - DMT 1000.0m</v>
      </c>
      <c r="D59" s="1059" t="s">
        <v>1000</v>
      </c>
      <c r="E59" s="1060"/>
      <c r="F59" s="1061"/>
      <c r="G59" s="1059" t="s">
        <v>1001</v>
      </c>
      <c r="H59" s="1060"/>
      <c r="I59" s="1061"/>
      <c r="J59" s="349" t="s">
        <v>989</v>
      </c>
      <c r="K59" s="884"/>
      <c r="L59" s="876" t="s">
        <v>1003</v>
      </c>
      <c r="M59" s="876" t="s">
        <v>1062</v>
      </c>
      <c r="N59" s="876" t="str">
        <f>CONCATENATE("Total (",IF(MID(B59,1,2)="LG",VLOOKUP(B59,'Compos lug'!J:M,4,FALSE),IF(MID(B59,1,1)="6","t",VLOOKUP(B59,'DER 10-18'!$A$1:$I$1981,3,FALSE))),")")</f>
        <v>Total (t)</v>
      </c>
      <c r="O59" s="313"/>
      <c r="P59" s="363"/>
      <c r="Q59" s="363"/>
      <c r="R59" s="902"/>
      <c r="S59" s="738">
        <f t="shared" si="0"/>
        <v>134718.1</v>
      </c>
      <c r="T59" s="738" t="str">
        <f t="shared" si="1"/>
        <v>T</v>
      </c>
      <c r="U59" s="738">
        <f>+AA59/1000</f>
        <v>1</v>
      </c>
      <c r="V59" s="741">
        <f>W59*Z59+X59*U59+Y59</f>
        <v>3.1</v>
      </c>
      <c r="W59" s="742">
        <f>VLOOKUP(B59,tranp.!A:J,8,FALSE)</f>
        <v>1.085</v>
      </c>
      <c r="X59" s="742">
        <f>VLOOKUP(B59,tranp.!A:J,9,FALSE)</f>
        <v>1.198</v>
      </c>
      <c r="Y59" s="742">
        <f>VLOOKUP(B59,tranp.!A:J,10,FALSE)</f>
        <v>1.9039999999999999</v>
      </c>
      <c r="Z59" s="712"/>
      <c r="AA59" s="743">
        <v>1000</v>
      </c>
      <c r="AF59" s="289">
        <v>31</v>
      </c>
    </row>
    <row r="60" spans="1:32" x14ac:dyDescent="0.2">
      <c r="A60" s="897"/>
      <c r="B60" s="349"/>
      <c r="C60" s="347" t="s">
        <v>1552</v>
      </c>
      <c r="D60" s="382"/>
      <c r="E60" s="524"/>
      <c r="G60" s="382"/>
      <c r="H60" s="524"/>
      <c r="J60" s="383"/>
      <c r="K60" s="350"/>
      <c r="L60" s="876"/>
      <c r="M60" s="298"/>
      <c r="N60" s="876"/>
      <c r="O60" s="740"/>
      <c r="P60" s="881"/>
      <c r="Q60" s="880"/>
      <c r="R60" s="898"/>
      <c r="S60" s="738">
        <f t="shared" si="0"/>
        <v>134718.1</v>
      </c>
      <c r="T60" s="738" t="str">
        <f t="shared" si="1"/>
        <v>T</v>
      </c>
      <c r="U60" s="738"/>
      <c r="V60" s="738"/>
      <c r="AA60" s="743"/>
    </row>
    <row r="61" spans="1:32" x14ac:dyDescent="0.2">
      <c r="A61" s="897"/>
      <c r="B61" s="349"/>
      <c r="C61" s="384" t="s">
        <v>1308</v>
      </c>
      <c r="D61" s="382"/>
      <c r="E61" s="524"/>
      <c r="G61" s="382"/>
      <c r="H61" s="524"/>
      <c r="J61" s="383"/>
      <c r="K61" s="350"/>
      <c r="L61" s="876">
        <v>79245.94</v>
      </c>
      <c r="M61" s="298">
        <v>1.7</v>
      </c>
      <c r="N61" s="876">
        <f>+L61*M61</f>
        <v>134718.1</v>
      </c>
      <c r="O61" s="740"/>
      <c r="P61" s="881" t="s">
        <v>1061</v>
      </c>
      <c r="Q61" s="880"/>
      <c r="R61" s="898"/>
      <c r="S61" s="738">
        <f t="shared" si="0"/>
        <v>134718.1</v>
      </c>
      <c r="T61" s="738" t="str">
        <f t="shared" si="1"/>
        <v>T</v>
      </c>
      <c r="U61" s="738"/>
      <c r="V61" s="738"/>
      <c r="AA61" s="743"/>
      <c r="AF61" s="288">
        <v>17</v>
      </c>
    </row>
    <row r="62" spans="1:32" x14ac:dyDescent="0.2">
      <c r="A62" s="899"/>
      <c r="B62" s="353"/>
      <c r="C62" s="354" t="s">
        <v>2</v>
      </c>
      <c r="D62" s="355"/>
      <c r="E62" s="352"/>
      <c r="F62" s="356"/>
      <c r="G62" s="355"/>
      <c r="H62" s="356"/>
      <c r="I62" s="356"/>
      <c r="J62" s="353"/>
      <c r="K62" s="357"/>
      <c r="L62" s="358"/>
      <c r="M62" s="359"/>
      <c r="N62" s="360">
        <f>SUM(N61:N61)</f>
        <v>134718.1</v>
      </c>
      <c r="O62" s="361" t="str">
        <f>IF(MID(B59,1,2)="LG",VLOOKUP(B59,'Compos lug'!J:M,4,FALSE),IF(MID(B59,1,1)="6",VLOOKUP(B59,tranp.!$A$6:$K$51,3,FALSE),VLOOKUP(B59,'DER 10-18'!$A$1:$I$1981,3,FALSE)))</f>
        <v>T</v>
      </c>
      <c r="P62" s="362"/>
      <c r="Q62" s="362"/>
      <c r="R62" s="900"/>
      <c r="S62" s="738">
        <f t="shared" si="0"/>
        <v>9543.1200000000008</v>
      </c>
      <c r="T62" s="738" t="str">
        <f t="shared" si="1"/>
        <v>T</v>
      </c>
      <c r="U62" s="738"/>
      <c r="V62" s="738"/>
      <c r="AA62" s="743"/>
      <c r="AF62" s="288">
        <v>21</v>
      </c>
    </row>
    <row r="63" spans="1:32" x14ac:dyDescent="0.2">
      <c r="A63" s="294"/>
      <c r="B63" s="293"/>
      <c r="C63" s="343"/>
      <c r="H63" s="292"/>
      <c r="N63" s="314"/>
      <c r="O63" s="344"/>
      <c r="P63" s="315"/>
      <c r="Q63" s="315"/>
      <c r="R63" s="903"/>
      <c r="S63" s="738">
        <f t="shared" si="0"/>
        <v>9543.1200000000008</v>
      </c>
      <c r="T63" s="738" t="str">
        <f t="shared" si="1"/>
        <v>T</v>
      </c>
      <c r="U63" s="738"/>
      <c r="V63" s="738"/>
      <c r="AA63" s="743"/>
      <c r="AF63" s="288">
        <v>4</v>
      </c>
    </row>
    <row r="64" spans="1:32" ht="48.75" customHeight="1" x14ac:dyDescent="0.2">
      <c r="A64" s="895" t="s">
        <v>1310</v>
      </c>
      <c r="B64" s="346">
        <v>60019</v>
      </c>
      <c r="C64" s="347" t="str">
        <f>IF(MID(B64,1,2)="LG",VLOOKUP(B64,'Compos lug'!J:M,3,FALSE),IF(MID(B64,1,1)="6",VLOOKUP(B64,tranp.!$A$4:$K$19,11,FALSE)&amp;" -  XP="&amp;TEXT(Z64,"0.000")&amp;" / XR="&amp;TEXT(AA64,"0.000"),VLOOKUP(B64,'DER 10-18'!$A$1:$I$1981,2,FALSE)))&amp;" - "&amp;TEXT(C66,"0.000")</f>
        <v>LOCAL COM DMT ATÉ 3,0 KM (Caminhão basculante)1,085XP+1,198XR+1,904 (Incluindo BDI= 23,32%) -  XP=0.000 / XR=1.200 - Transporte de Material de 1ª Categoria - DMT 1200.0m</v>
      </c>
      <c r="D64" s="1059" t="s">
        <v>1000</v>
      </c>
      <c r="E64" s="1060"/>
      <c r="F64" s="1061"/>
      <c r="G64" s="1059" t="s">
        <v>1001</v>
      </c>
      <c r="H64" s="1060"/>
      <c r="I64" s="1061"/>
      <c r="J64" s="349" t="s">
        <v>989</v>
      </c>
      <c r="K64" s="884"/>
      <c r="L64" s="876" t="s">
        <v>1003</v>
      </c>
      <c r="M64" s="876" t="s">
        <v>1062</v>
      </c>
      <c r="N64" s="876" t="str">
        <f>CONCATENATE("Total (",IF(MID(B64,1,2)="LG",VLOOKUP(B64,'Compos lug'!J:M,4,FALSE),IF(MID(B64,1,1)="6","t",VLOOKUP(B64,'DER 10-18'!$A$1:$I$1981,3,FALSE))),")")</f>
        <v>Total (t)</v>
      </c>
      <c r="O64" s="351"/>
      <c r="P64" s="363"/>
      <c r="Q64" s="363"/>
      <c r="R64" s="902"/>
      <c r="S64" s="738">
        <f t="shared" si="0"/>
        <v>9543.1200000000008</v>
      </c>
      <c r="T64" s="738" t="str">
        <f t="shared" si="1"/>
        <v>T</v>
      </c>
      <c r="U64" s="738">
        <f>+AA64/1000</f>
        <v>1.2</v>
      </c>
      <c r="V64" s="741">
        <f>W64*Z64+X64*U64+Y64</f>
        <v>3.34</v>
      </c>
      <c r="W64" s="742">
        <f>VLOOKUP(B64,tranp.!A:J,8,FALSE)</f>
        <v>1.085</v>
      </c>
      <c r="X64" s="742">
        <f>VLOOKUP(B64,tranp.!A:J,9,FALSE)</f>
        <v>1.198</v>
      </c>
      <c r="Y64" s="742">
        <f>VLOOKUP(B64,tranp.!A:J,10,FALSE)</f>
        <v>1.9039999999999999</v>
      </c>
      <c r="Z64" s="745"/>
      <c r="AA64" s="743">
        <v>1200</v>
      </c>
      <c r="AF64" s="288">
        <v>2</v>
      </c>
    </row>
    <row r="65" spans="1:32" x14ac:dyDescent="0.2">
      <c r="A65" s="897"/>
      <c r="B65" s="349"/>
      <c r="C65" s="347" t="s">
        <v>1552</v>
      </c>
      <c r="D65" s="382"/>
      <c r="E65" s="524"/>
      <c r="G65" s="382"/>
      <c r="H65" s="524"/>
      <c r="J65" s="383"/>
      <c r="K65" s="350"/>
      <c r="L65" s="876"/>
      <c r="M65" s="298"/>
      <c r="N65" s="876"/>
      <c r="O65" s="740"/>
      <c r="P65" s="881"/>
      <c r="Q65" s="880"/>
      <c r="R65" s="898"/>
      <c r="S65" s="738">
        <f t="shared" si="0"/>
        <v>9543.1200000000008</v>
      </c>
      <c r="T65" s="738" t="str">
        <f t="shared" si="1"/>
        <v>T</v>
      </c>
      <c r="U65" s="738"/>
      <c r="V65" s="738"/>
      <c r="AA65" s="743"/>
    </row>
    <row r="66" spans="1:32" x14ac:dyDescent="0.2">
      <c r="A66" s="294"/>
      <c r="B66" s="293"/>
      <c r="C66" s="384" t="s">
        <v>1309</v>
      </c>
      <c r="D66" s="382"/>
      <c r="E66" s="524"/>
      <c r="G66" s="382"/>
      <c r="H66" s="524"/>
      <c r="J66" s="383"/>
      <c r="K66" s="350"/>
      <c r="L66" s="876">
        <v>396.02</v>
      </c>
      <c r="M66" s="298">
        <v>1.7</v>
      </c>
      <c r="N66" s="876">
        <f>+L66*M66</f>
        <v>673.23</v>
      </c>
      <c r="O66" s="364"/>
      <c r="P66" s="881" t="s">
        <v>1061</v>
      </c>
      <c r="Q66" s="880"/>
      <c r="R66" s="898"/>
      <c r="S66" s="738">
        <f t="shared" si="0"/>
        <v>9543.1200000000008</v>
      </c>
      <c r="T66" s="738" t="str">
        <f t="shared" si="1"/>
        <v>T</v>
      </c>
      <c r="U66" s="738"/>
      <c r="V66" s="738"/>
      <c r="W66" s="742"/>
      <c r="AA66" s="743"/>
      <c r="AF66" s="288">
        <v>2</v>
      </c>
    </row>
    <row r="67" spans="1:32" x14ac:dyDescent="0.2">
      <c r="A67" s="294"/>
      <c r="B67" s="293"/>
      <c r="C67" s="347" t="s">
        <v>1553</v>
      </c>
      <c r="D67" s="382">
        <v>0</v>
      </c>
      <c r="E67" s="524" t="s">
        <v>8</v>
      </c>
      <c r="F67" s="292">
        <v>0</v>
      </c>
      <c r="G67" s="382">
        <v>111</v>
      </c>
      <c r="H67" s="524" t="s">
        <v>8</v>
      </c>
      <c r="I67" s="292">
        <v>11.53</v>
      </c>
      <c r="J67" s="383"/>
      <c r="K67" s="350"/>
      <c r="L67" s="876">
        <v>5217.58</v>
      </c>
      <c r="M67" s="298">
        <v>1.7</v>
      </c>
      <c r="N67" s="876">
        <f>+L67*M67</f>
        <v>8869.89</v>
      </c>
      <c r="O67" s="364"/>
      <c r="P67" s="881" t="s">
        <v>1061</v>
      </c>
      <c r="Q67" s="880"/>
      <c r="R67" s="898"/>
      <c r="S67" s="738">
        <f t="shared" si="0"/>
        <v>9543.1200000000008</v>
      </c>
      <c r="T67" s="738" t="str">
        <f t="shared" si="1"/>
        <v>T</v>
      </c>
      <c r="U67" s="738"/>
      <c r="V67" s="738"/>
      <c r="W67" s="742"/>
      <c r="X67" s="742"/>
      <c r="Y67" s="742"/>
      <c r="Z67" s="288"/>
      <c r="AA67" s="738"/>
      <c r="AF67" s="288">
        <v>2592.12</v>
      </c>
    </row>
    <row r="68" spans="1:32" x14ac:dyDescent="0.2">
      <c r="A68" s="904"/>
      <c r="B68" s="366"/>
      <c r="C68" s="354" t="s">
        <v>2</v>
      </c>
      <c r="D68" s="367"/>
      <c r="E68" s="365"/>
      <c r="F68" s="368"/>
      <c r="G68" s="367"/>
      <c r="H68" s="368"/>
      <c r="I68" s="368"/>
      <c r="J68" s="366"/>
      <c r="K68" s="369"/>
      <c r="L68" s="370"/>
      <c r="M68" s="371"/>
      <c r="N68" s="360">
        <f>SUM(N66:N67)</f>
        <v>9543.1200000000008</v>
      </c>
      <c r="O68" s="361" t="str">
        <f>IF(MID(B64,1,2)="LG",VLOOKUP(B64,'Compos lug'!J:M,4,FALSE),IF(MID(B64,1,1)="6",VLOOKUP(B64,tranp.!$A$6:$K$51,3,FALSE),VLOOKUP(B64,'DER 10-18'!$A$1:$I$1981,3,FALSE)))</f>
        <v>T</v>
      </c>
      <c r="P68" s="362"/>
      <c r="Q68" s="362"/>
      <c r="R68" s="900"/>
      <c r="S68" s="738">
        <f t="shared" si="0"/>
        <v>2019.55</v>
      </c>
      <c r="T68" s="738" t="str">
        <f t="shared" si="1"/>
        <v>T</v>
      </c>
      <c r="U68" s="738"/>
      <c r="V68" s="738"/>
      <c r="AA68" s="743"/>
      <c r="AF68" s="288">
        <v>2</v>
      </c>
    </row>
    <row r="69" spans="1:32" x14ac:dyDescent="0.2">
      <c r="A69" s="294"/>
      <c r="B69" s="293"/>
      <c r="C69" s="343"/>
      <c r="H69" s="292"/>
      <c r="N69" s="314"/>
      <c r="O69" s="344"/>
      <c r="P69" s="315"/>
      <c r="Q69" s="315"/>
      <c r="R69" s="903"/>
      <c r="S69" s="738">
        <f t="shared" ref="S69:S132" si="4">VLOOKUP("Total",C70:O1831,12,FALSE)</f>
        <v>2019.55</v>
      </c>
      <c r="T69" s="738" t="str">
        <f t="shared" ref="T69:T132" si="5">VLOOKUP("Total",C70:O1831,13,FALSE)</f>
        <v>T</v>
      </c>
      <c r="U69" s="738"/>
      <c r="V69" s="738"/>
      <c r="AF69" s="288">
        <v>21</v>
      </c>
    </row>
    <row r="70" spans="1:32" s="289" customFormat="1" ht="48" customHeight="1" x14ac:dyDescent="0.2">
      <c r="A70" s="895" t="s">
        <v>1311</v>
      </c>
      <c r="B70" s="346">
        <v>60019</v>
      </c>
      <c r="C70" s="347" t="str">
        <f>IF(MID(B70,1,2)="LG",VLOOKUP(B70,'Compos lug'!J:M,3,FALSE),IF(MID(B70,1,1)="6",VLOOKUP(B70,tranp.!$A$4:$K$19,11,FALSE)&amp;" -  XP="&amp;TEXT(Z70,"0.000")&amp;" / XR="&amp;TEXT(AA70,"0.000"),VLOOKUP(B70,'DER 10-18'!$A$1:$I$1981,2,FALSE)))&amp;" - "&amp;TEXT(C72,"0.000")</f>
        <v>LOCAL COM DMT ATÉ 3,0 KM (Caminhão basculante)1,085XP+1,198XR+1,904 (Incluindo BDI= 23,32%) -  XP=0.000 / XR=1.400 - Transporte de Material de 1ª Categoria - DMT 1400.0m</v>
      </c>
      <c r="D70" s="1059" t="s">
        <v>1000</v>
      </c>
      <c r="E70" s="1060"/>
      <c r="F70" s="1061"/>
      <c r="G70" s="1059" t="s">
        <v>1001</v>
      </c>
      <c r="H70" s="1060"/>
      <c r="I70" s="1061"/>
      <c r="J70" s="349" t="s">
        <v>989</v>
      </c>
      <c r="K70" s="884"/>
      <c r="L70" s="876" t="s">
        <v>1003</v>
      </c>
      <c r="M70" s="876" t="s">
        <v>1062</v>
      </c>
      <c r="N70" s="876" t="str">
        <f>CONCATENATE("Total (",IF(MID(B70,1,2)="LG",VLOOKUP(B70,'Compos lug'!J:M,4,FALSE),IF(MID(B70,1,1)="6","t",VLOOKUP(B70,'DER 10-18'!$A$1:$I$1981,3,FALSE))),")")</f>
        <v>Total (t)</v>
      </c>
      <c r="O70" s="313"/>
      <c r="P70" s="363"/>
      <c r="Q70" s="363"/>
      <c r="R70" s="902"/>
      <c r="S70" s="738">
        <f t="shared" si="4"/>
        <v>2019.55</v>
      </c>
      <c r="T70" s="738" t="str">
        <f t="shared" si="5"/>
        <v>T</v>
      </c>
      <c r="U70" s="738">
        <f>+AA70/1000</f>
        <v>1.4</v>
      </c>
      <c r="V70" s="741">
        <f>W70*Z70+X70*U70+Y70</f>
        <v>3.58</v>
      </c>
      <c r="W70" s="742">
        <f>VLOOKUP(B70,tranp.!A:J,8,FALSE)</f>
        <v>1.085</v>
      </c>
      <c r="X70" s="742">
        <f>VLOOKUP(B70,tranp.!A:J,9,FALSE)</f>
        <v>1.198</v>
      </c>
      <c r="Y70" s="742">
        <f>VLOOKUP(B70,tranp.!A:J,10,FALSE)</f>
        <v>1.9039999999999999</v>
      </c>
      <c r="Z70" s="712"/>
      <c r="AA70" s="743">
        <v>1400</v>
      </c>
      <c r="AF70" s="289">
        <v>31</v>
      </c>
    </row>
    <row r="71" spans="1:32" x14ac:dyDescent="0.2">
      <c r="A71" s="897"/>
      <c r="B71" s="349"/>
      <c r="C71" s="347" t="s">
        <v>1552</v>
      </c>
      <c r="D71" s="382"/>
      <c r="E71" s="524"/>
      <c r="G71" s="382"/>
      <c r="H71" s="524"/>
      <c r="J71" s="383"/>
      <c r="K71" s="350"/>
      <c r="L71" s="876"/>
      <c r="M71" s="298"/>
      <c r="N71" s="876"/>
      <c r="O71" s="740"/>
      <c r="P71" s="881"/>
      <c r="Q71" s="880"/>
      <c r="R71" s="898"/>
      <c r="S71" s="738">
        <f t="shared" si="4"/>
        <v>2019.55</v>
      </c>
      <c r="T71" s="738" t="str">
        <f t="shared" si="5"/>
        <v>T</v>
      </c>
      <c r="U71" s="738"/>
      <c r="V71" s="738"/>
      <c r="AA71" s="743"/>
    </row>
    <row r="72" spans="1:32" x14ac:dyDescent="0.2">
      <c r="A72" s="897"/>
      <c r="B72" s="349"/>
      <c r="C72" s="384" t="s">
        <v>1313</v>
      </c>
      <c r="D72" s="382"/>
      <c r="E72" s="524"/>
      <c r="G72" s="382"/>
      <c r="H72" s="524"/>
      <c r="J72" s="383"/>
      <c r="K72" s="350"/>
      <c r="L72" s="876">
        <v>1187.97</v>
      </c>
      <c r="M72" s="298">
        <v>1.7</v>
      </c>
      <c r="N72" s="876">
        <f>+L72*M72</f>
        <v>2019.55</v>
      </c>
      <c r="O72" s="740"/>
      <c r="P72" s="881" t="s">
        <v>1061</v>
      </c>
      <c r="Q72" s="880"/>
      <c r="R72" s="898"/>
      <c r="S72" s="738">
        <f t="shared" si="4"/>
        <v>2019.55</v>
      </c>
      <c r="T72" s="738" t="str">
        <f t="shared" si="5"/>
        <v>T</v>
      </c>
      <c r="U72" s="738"/>
      <c r="V72" s="738"/>
      <c r="AA72" s="743"/>
      <c r="AF72" s="288">
        <v>17</v>
      </c>
    </row>
    <row r="73" spans="1:32" x14ac:dyDescent="0.2">
      <c r="A73" s="899"/>
      <c r="B73" s="353"/>
      <c r="C73" s="354" t="s">
        <v>2</v>
      </c>
      <c r="D73" s="355"/>
      <c r="E73" s="352"/>
      <c r="F73" s="356"/>
      <c r="G73" s="355"/>
      <c r="H73" s="356"/>
      <c r="I73" s="356"/>
      <c r="J73" s="353"/>
      <c r="K73" s="357"/>
      <c r="L73" s="358"/>
      <c r="M73" s="359"/>
      <c r="N73" s="360">
        <f>SUM(N72:N72)</f>
        <v>2019.55</v>
      </c>
      <c r="O73" s="361" t="str">
        <f>IF(MID(B70,1,2)="LG",VLOOKUP(B70,'Compos lug'!J:M,4,FALSE),IF(MID(B70,1,1)="6",VLOOKUP(B70,tranp.!$A$6:$K$51,3,FALSE),VLOOKUP(B70,'DER 10-18'!$A$1:$I$1981,3,FALSE)))</f>
        <v>T</v>
      </c>
      <c r="P73" s="362"/>
      <c r="Q73" s="362"/>
      <c r="R73" s="900"/>
      <c r="S73" s="738">
        <f t="shared" si="4"/>
        <v>10415.120000000001</v>
      </c>
      <c r="T73" s="738" t="str">
        <f t="shared" si="5"/>
        <v>T</v>
      </c>
      <c r="U73" s="738"/>
      <c r="V73" s="738"/>
      <c r="AA73" s="743"/>
      <c r="AF73" s="288">
        <v>21</v>
      </c>
    </row>
    <row r="74" spans="1:32" x14ac:dyDescent="0.2">
      <c r="A74" s="294"/>
      <c r="B74" s="293"/>
      <c r="C74" s="343"/>
      <c r="H74" s="292"/>
      <c r="N74" s="314"/>
      <c r="O74" s="344"/>
      <c r="P74" s="315"/>
      <c r="Q74" s="315"/>
      <c r="R74" s="903"/>
      <c r="S74" s="738">
        <f t="shared" si="4"/>
        <v>10415.120000000001</v>
      </c>
      <c r="T74" s="738" t="str">
        <f t="shared" si="5"/>
        <v>T</v>
      </c>
      <c r="U74" s="738"/>
      <c r="V74" s="738"/>
      <c r="AA74" s="743"/>
      <c r="AF74" s="288">
        <v>4</v>
      </c>
    </row>
    <row r="75" spans="1:32" ht="38.25" x14ac:dyDescent="0.2">
      <c r="A75" s="895" t="s">
        <v>1312</v>
      </c>
      <c r="B75" s="346">
        <v>60019</v>
      </c>
      <c r="C75" s="347" t="str">
        <f>IF(MID(B75,1,2)="LG",VLOOKUP(B75,'Compos lug'!J:M,3,FALSE),IF(MID(B75,1,1)="6",VLOOKUP(B75,tranp.!$A$4:$K$19,11,FALSE)&amp;" -  XP="&amp;TEXT(Z75,"0.000")&amp;" / XR="&amp;TEXT(AA75,"0.000"),VLOOKUP(B75,'DER 10-18'!$A$1:$I$1981,2,FALSE)))&amp;" - "&amp;TEXT(C76,"0.000")</f>
        <v>LOCAL COM DMT ATÉ 3,0 KM (Caminhão basculante)1,085XP+1,198XR+1,904 (Incluindo BDI= 23,32%) -  XP=0.000 / XR=1.600 - Transporte de Material - DMT 1600.0m</v>
      </c>
      <c r="D75" s="1059" t="s">
        <v>1000</v>
      </c>
      <c r="E75" s="1060"/>
      <c r="F75" s="1061"/>
      <c r="G75" s="1059" t="s">
        <v>1001</v>
      </c>
      <c r="H75" s="1060"/>
      <c r="I75" s="1061"/>
      <c r="J75" s="349" t="s">
        <v>989</v>
      </c>
      <c r="K75" s="884"/>
      <c r="L75" s="876" t="s">
        <v>1003</v>
      </c>
      <c r="M75" s="876" t="s">
        <v>1062</v>
      </c>
      <c r="N75" s="876" t="str">
        <f>CONCATENATE("Total (",IF(MID(B75,1,2)="LG",VLOOKUP(B75,'Compos lug'!J:M,4,FALSE),IF(MID(B75,1,1)="6","t",VLOOKUP(B75,'DER 10-18'!$A$1:$I$1981,3,FALSE))),")")</f>
        <v>Total (t)</v>
      </c>
      <c r="O75" s="351"/>
      <c r="P75" s="363"/>
      <c r="Q75" s="363"/>
      <c r="R75" s="902"/>
      <c r="S75" s="738">
        <f t="shared" si="4"/>
        <v>10415.120000000001</v>
      </c>
      <c r="T75" s="738" t="str">
        <f t="shared" si="5"/>
        <v>T</v>
      </c>
      <c r="U75" s="738">
        <f>+AA75/1000</f>
        <v>1.6</v>
      </c>
      <c r="V75" s="741">
        <f>W75*Z75+X75*U75+Y75</f>
        <v>3.82</v>
      </c>
      <c r="W75" s="742">
        <f>VLOOKUP(B75,tranp.!A:J,8,FALSE)</f>
        <v>1.085</v>
      </c>
      <c r="X75" s="742">
        <f>VLOOKUP(B75,tranp.!A:J,9,FALSE)</f>
        <v>1.198</v>
      </c>
      <c r="Y75" s="742">
        <f>VLOOKUP(B75,tranp.!A:J,10,FALSE)</f>
        <v>1.9039999999999999</v>
      </c>
      <c r="Z75" s="745"/>
      <c r="AA75" s="743">
        <v>1600</v>
      </c>
      <c r="AF75" s="288">
        <v>2</v>
      </c>
    </row>
    <row r="76" spans="1:32" x14ac:dyDescent="0.2">
      <c r="A76" s="294"/>
      <c r="B76" s="293"/>
      <c r="C76" s="384" t="s">
        <v>1517</v>
      </c>
      <c r="D76" s="382"/>
      <c r="E76" s="524"/>
      <c r="G76" s="382"/>
      <c r="H76" s="524"/>
      <c r="J76" s="383"/>
      <c r="K76" s="350"/>
      <c r="L76" s="876"/>
      <c r="M76" s="298"/>
      <c r="N76" s="876"/>
      <c r="O76" s="364"/>
      <c r="P76" s="881"/>
      <c r="Q76" s="880"/>
      <c r="R76" s="898"/>
      <c r="S76" s="738">
        <f t="shared" si="4"/>
        <v>10415.120000000001</v>
      </c>
      <c r="T76" s="738" t="str">
        <f t="shared" si="5"/>
        <v>T</v>
      </c>
      <c r="U76" s="738"/>
      <c r="V76" s="738"/>
      <c r="W76" s="742"/>
      <c r="AA76" s="743"/>
      <c r="AF76" s="288">
        <v>2</v>
      </c>
    </row>
    <row r="77" spans="1:32" x14ac:dyDescent="0.2">
      <c r="A77" s="897"/>
      <c r="B77" s="349"/>
      <c r="C77" s="347" t="s">
        <v>1552</v>
      </c>
      <c r="D77" s="382"/>
      <c r="E77" s="524"/>
      <c r="G77" s="382"/>
      <c r="H77" s="524"/>
      <c r="J77" s="383"/>
      <c r="K77" s="350"/>
      <c r="L77" s="876"/>
      <c r="M77" s="298"/>
      <c r="N77" s="876"/>
      <c r="O77" s="740"/>
      <c r="P77" s="881"/>
      <c r="Q77" s="880"/>
      <c r="R77" s="898"/>
      <c r="S77" s="738">
        <f t="shared" si="4"/>
        <v>10415.120000000001</v>
      </c>
      <c r="T77" s="738" t="str">
        <f t="shared" si="5"/>
        <v>T</v>
      </c>
      <c r="U77" s="738"/>
      <c r="V77" s="738"/>
      <c r="AA77" s="743"/>
    </row>
    <row r="78" spans="1:32" x14ac:dyDescent="0.2">
      <c r="A78" s="294"/>
      <c r="B78" s="293"/>
      <c r="C78" s="384" t="s">
        <v>1514</v>
      </c>
      <c r="D78" s="382"/>
      <c r="E78" s="524"/>
      <c r="G78" s="382"/>
      <c r="H78" s="524"/>
      <c r="J78" s="383"/>
      <c r="K78" s="350"/>
      <c r="L78" s="876">
        <v>3136.54</v>
      </c>
      <c r="M78" s="298">
        <v>1.7</v>
      </c>
      <c r="N78" s="876">
        <f t="shared" ref="N78:N79" si="6">+L78*M78</f>
        <v>5332.12</v>
      </c>
      <c r="O78" s="364"/>
      <c r="P78" s="881" t="s">
        <v>1061</v>
      </c>
      <c r="Q78" s="880"/>
      <c r="R78" s="898"/>
      <c r="S78" s="738">
        <f t="shared" si="4"/>
        <v>10415.120000000001</v>
      </c>
      <c r="T78" s="738" t="str">
        <f t="shared" si="5"/>
        <v>T</v>
      </c>
      <c r="U78" s="738"/>
      <c r="V78" s="738"/>
      <c r="W78" s="742"/>
      <c r="AA78" s="743"/>
    </row>
    <row r="79" spans="1:32" x14ac:dyDescent="0.2">
      <c r="A79" s="294"/>
      <c r="B79" s="293"/>
      <c r="C79" s="384" t="s">
        <v>1515</v>
      </c>
      <c r="D79" s="382"/>
      <c r="E79" s="524"/>
      <c r="G79" s="382"/>
      <c r="H79" s="524"/>
      <c r="J79" s="383"/>
      <c r="K79" s="350"/>
      <c r="L79" s="876">
        <v>2990</v>
      </c>
      <c r="M79" s="298">
        <v>1.7</v>
      </c>
      <c r="N79" s="876">
        <f t="shared" si="6"/>
        <v>5083</v>
      </c>
      <c r="O79" s="364"/>
      <c r="P79" s="881" t="s">
        <v>1061</v>
      </c>
      <c r="Q79" s="880"/>
      <c r="R79" s="898"/>
      <c r="S79" s="738">
        <f t="shared" si="4"/>
        <v>10415.120000000001</v>
      </c>
      <c r="T79" s="738" t="str">
        <f t="shared" si="5"/>
        <v>T</v>
      </c>
      <c r="U79" s="738"/>
      <c r="V79" s="738"/>
      <c r="W79" s="742"/>
      <c r="AA79" s="743"/>
    </row>
    <row r="80" spans="1:32" x14ac:dyDescent="0.2">
      <c r="A80" s="904"/>
      <c r="B80" s="366"/>
      <c r="C80" s="354" t="s">
        <v>2</v>
      </c>
      <c r="D80" s="367"/>
      <c r="E80" s="365"/>
      <c r="F80" s="368"/>
      <c r="G80" s="367"/>
      <c r="H80" s="368"/>
      <c r="I80" s="368"/>
      <c r="J80" s="366"/>
      <c r="K80" s="369"/>
      <c r="L80" s="360">
        <f>SUM(L78:L79)</f>
        <v>6126.54</v>
      </c>
      <c r="M80" s="371"/>
      <c r="N80" s="360">
        <f>SUM(N78:N79)</f>
        <v>10415.120000000001</v>
      </c>
      <c r="O80" s="361" t="str">
        <f>IF(MID(B75,1,2)="LG",VLOOKUP(B75,'Compos lug'!J:M,4,FALSE),IF(MID(B75,1,1)="6",VLOOKUP(B75,tranp.!$A$6:$K$51,3,FALSE),VLOOKUP(B75,'DER 10-18'!$A$1:$I$1981,3,FALSE)))</f>
        <v>T</v>
      </c>
      <c r="P80" s="362"/>
      <c r="Q80" s="362"/>
      <c r="R80" s="900"/>
      <c r="S80" s="738">
        <f t="shared" si="4"/>
        <v>26945.200000000001</v>
      </c>
      <c r="T80" s="738" t="str">
        <f t="shared" si="5"/>
        <v>T</v>
      </c>
      <c r="U80" s="738"/>
      <c r="V80" s="738"/>
      <c r="AA80" s="743"/>
      <c r="AF80" s="288">
        <v>2</v>
      </c>
    </row>
    <row r="81" spans="1:32" x14ac:dyDescent="0.2">
      <c r="A81" s="294"/>
      <c r="B81" s="293"/>
      <c r="C81" s="343"/>
      <c r="H81" s="292"/>
      <c r="N81" s="314"/>
      <c r="O81" s="344"/>
      <c r="P81" s="315"/>
      <c r="Q81" s="315"/>
      <c r="R81" s="903"/>
      <c r="S81" s="738">
        <f t="shared" si="4"/>
        <v>26945.200000000001</v>
      </c>
      <c r="T81" s="738" t="str">
        <f t="shared" si="5"/>
        <v>T</v>
      </c>
      <c r="U81" s="738"/>
      <c r="V81" s="738"/>
      <c r="AF81" s="288">
        <v>21</v>
      </c>
    </row>
    <row r="82" spans="1:32" s="289" customFormat="1" ht="52.5" customHeight="1" x14ac:dyDescent="0.2">
      <c r="A82" s="895" t="s">
        <v>1370</v>
      </c>
      <c r="B82" s="346">
        <v>60019</v>
      </c>
      <c r="C82" s="347" t="str">
        <f>IF(MID(B82,1,2)="LG",VLOOKUP(B82,'Compos lug'!J:M,3,FALSE),IF(MID(B82,1,1)="6",VLOOKUP(B82,tranp.!$A$4:$K$19,11,FALSE)&amp;" -  XP="&amp;TEXT(Z82,"0.000")&amp;" / XR="&amp;TEXT(AA82,"0.000"),VLOOKUP(B82,'DER 10-18'!$A$1:$I$1981,2,FALSE)))&amp;" - "&amp;TEXT(C84,"0.000")</f>
        <v>LOCAL COM DMT ATÉ 3,0 KM (Caminhão basculante)1,085XP+1,198XR+1,904 (Incluindo BDI= 23,32%) -  XP=0.000 / XR=1.800 - Transporte de Material de 1ª Categoria - DMT 1800.0m</v>
      </c>
      <c r="D82" s="1059" t="s">
        <v>1000</v>
      </c>
      <c r="E82" s="1060"/>
      <c r="F82" s="1061"/>
      <c r="G82" s="1059" t="s">
        <v>1001</v>
      </c>
      <c r="H82" s="1060"/>
      <c r="I82" s="1061"/>
      <c r="J82" s="349" t="s">
        <v>989</v>
      </c>
      <c r="K82" s="884"/>
      <c r="L82" s="876" t="s">
        <v>1003</v>
      </c>
      <c r="M82" s="876" t="s">
        <v>1062</v>
      </c>
      <c r="N82" s="876" t="str">
        <f>CONCATENATE("Total (",IF(MID(B82,1,2)="LG",VLOOKUP(B82,'Compos lug'!J:M,4,FALSE),IF(MID(B82,1,1)="6","t",VLOOKUP(B82,'DER 10-18'!$A$1:$I$1981,3,FALSE))),")")</f>
        <v>Total (t)</v>
      </c>
      <c r="O82" s="313"/>
      <c r="P82" s="363"/>
      <c r="Q82" s="363"/>
      <c r="R82" s="902"/>
      <c r="S82" s="738">
        <f t="shared" si="4"/>
        <v>26945.200000000001</v>
      </c>
      <c r="T82" s="738" t="str">
        <f t="shared" si="5"/>
        <v>T</v>
      </c>
      <c r="U82" s="738">
        <f>+AA82/1000</f>
        <v>1.8</v>
      </c>
      <c r="V82" s="741">
        <f>W82*Z82+X82*U82+Y82</f>
        <v>4.0599999999999996</v>
      </c>
      <c r="W82" s="742">
        <f>VLOOKUP(B82,tranp.!A:J,8,FALSE)</f>
        <v>1.085</v>
      </c>
      <c r="X82" s="742">
        <f>VLOOKUP(B82,tranp.!A:J,9,FALSE)</f>
        <v>1.198</v>
      </c>
      <c r="Y82" s="742">
        <f>VLOOKUP(B82,tranp.!A:J,10,FALSE)</f>
        <v>1.9039999999999999</v>
      </c>
      <c r="Z82" s="712"/>
      <c r="AA82" s="743">
        <v>1800</v>
      </c>
      <c r="AF82" s="289">
        <v>31</v>
      </c>
    </row>
    <row r="83" spans="1:32" x14ac:dyDescent="0.2">
      <c r="A83" s="897"/>
      <c r="B83" s="349"/>
      <c r="C83" s="347" t="s">
        <v>1552</v>
      </c>
      <c r="D83" s="382"/>
      <c r="E83" s="524"/>
      <c r="G83" s="382"/>
      <c r="H83" s="524"/>
      <c r="J83" s="383"/>
      <c r="K83" s="350"/>
      <c r="L83" s="876"/>
      <c r="M83" s="298"/>
      <c r="N83" s="876"/>
      <c r="O83" s="740"/>
      <c r="P83" s="881"/>
      <c r="Q83" s="880"/>
      <c r="R83" s="898"/>
      <c r="S83" s="738">
        <f t="shared" si="4"/>
        <v>26945.200000000001</v>
      </c>
      <c r="T83" s="738" t="str">
        <f t="shared" si="5"/>
        <v>T</v>
      </c>
      <c r="U83" s="738"/>
      <c r="V83" s="738"/>
      <c r="AA83" s="743"/>
    </row>
    <row r="84" spans="1:32" x14ac:dyDescent="0.2">
      <c r="A84" s="897"/>
      <c r="B84" s="349"/>
      <c r="C84" s="384" t="s">
        <v>1314</v>
      </c>
      <c r="D84" s="382"/>
      <c r="E84" s="524"/>
      <c r="G84" s="382"/>
      <c r="H84" s="524"/>
      <c r="J84" s="383"/>
      <c r="K84" s="350"/>
      <c r="L84" s="876">
        <v>15850.12</v>
      </c>
      <c r="M84" s="298">
        <v>1.7</v>
      </c>
      <c r="N84" s="876">
        <f>+L84*M84</f>
        <v>26945.200000000001</v>
      </c>
      <c r="O84" s="740"/>
      <c r="P84" s="881" t="s">
        <v>1061</v>
      </c>
      <c r="Q84" s="880"/>
      <c r="R84" s="898"/>
      <c r="S84" s="738">
        <f t="shared" si="4"/>
        <v>26945.200000000001</v>
      </c>
      <c r="T84" s="738" t="str">
        <f t="shared" si="5"/>
        <v>T</v>
      </c>
      <c r="U84" s="738"/>
      <c r="V84" s="738"/>
      <c r="AA84" s="743"/>
      <c r="AF84" s="288">
        <v>17</v>
      </c>
    </row>
    <row r="85" spans="1:32" x14ac:dyDescent="0.2">
      <c r="A85" s="899"/>
      <c r="B85" s="353"/>
      <c r="C85" s="354" t="s">
        <v>2</v>
      </c>
      <c r="D85" s="355"/>
      <c r="E85" s="352"/>
      <c r="F85" s="356"/>
      <c r="G85" s="355"/>
      <c r="H85" s="356"/>
      <c r="I85" s="356"/>
      <c r="J85" s="353"/>
      <c r="K85" s="357"/>
      <c r="L85" s="358"/>
      <c r="M85" s="359"/>
      <c r="N85" s="360">
        <f>SUM(N84:N84)</f>
        <v>26945.200000000001</v>
      </c>
      <c r="O85" s="361" t="str">
        <f>IF(MID(B82,1,2)="LG",VLOOKUP(B82,'Compos lug'!J:M,4,FALSE),IF(MID(B82,1,1)="6",VLOOKUP(B82,tranp.!$A$6:$K$51,3,FALSE),VLOOKUP(B82,'DER 10-18'!$A$1:$I$1981,3,FALSE)))</f>
        <v>T</v>
      </c>
      <c r="P85" s="362"/>
      <c r="Q85" s="362"/>
      <c r="R85" s="900"/>
      <c r="S85" s="738">
        <f t="shared" si="4"/>
        <v>1145.02</v>
      </c>
      <c r="T85" s="738" t="str">
        <f t="shared" si="5"/>
        <v>T</v>
      </c>
      <c r="U85" s="738"/>
      <c r="V85" s="738"/>
      <c r="AA85" s="743"/>
      <c r="AF85" s="288">
        <v>21</v>
      </c>
    </row>
    <row r="86" spans="1:32" x14ac:dyDescent="0.2">
      <c r="A86" s="294"/>
      <c r="B86" s="293"/>
      <c r="C86" s="343"/>
      <c r="H86" s="292"/>
      <c r="N86" s="314"/>
      <c r="O86" s="344"/>
      <c r="P86" s="315"/>
      <c r="Q86" s="315"/>
      <c r="R86" s="903"/>
      <c r="S86" s="738">
        <f t="shared" si="4"/>
        <v>1145.02</v>
      </c>
      <c r="T86" s="738" t="str">
        <f t="shared" si="5"/>
        <v>T</v>
      </c>
      <c r="U86" s="738"/>
      <c r="V86" s="738"/>
      <c r="W86" s="742"/>
      <c r="X86" s="742"/>
      <c r="Y86" s="742"/>
      <c r="Z86" s="288"/>
      <c r="AA86" s="738"/>
      <c r="AF86" s="288">
        <v>2</v>
      </c>
    </row>
    <row r="87" spans="1:32" ht="39" customHeight="1" x14ac:dyDescent="0.2">
      <c r="A87" s="895" t="s">
        <v>1371</v>
      </c>
      <c r="B87" s="346">
        <v>60019</v>
      </c>
      <c r="C87" s="347" t="str">
        <f>IF(MID(B87,1,2)="LG",VLOOKUP(B87,'Compos lug'!J:M,3,FALSE),IF(MID(B87,1,1)="6",VLOOKUP(B87,tranp.!$A$4:$K$21,11,FALSE)&amp;" -  XP="&amp;TEXT(T87,"0,000")&amp;" / XR="&amp;TEXT(AA87,"0,000"),VLOOKUP(B87,'DER 10-18'!$A$1:$I$1994,2,FALSE)))</f>
        <v>LOCAL COM DMT ATÉ 3,0 KM (Caminhão basculante)1,085XP+1,198XR+1,904 (Incluindo BDI= 23,32%) -  XP=T / XR=2,000</v>
      </c>
      <c r="D87" s="1059" t="s">
        <v>1000</v>
      </c>
      <c r="E87" s="1060"/>
      <c r="F87" s="1061"/>
      <c r="G87" s="1059" t="s">
        <v>1001</v>
      </c>
      <c r="H87" s="1060"/>
      <c r="I87" s="1061"/>
      <c r="J87" s="349" t="s">
        <v>989</v>
      </c>
      <c r="K87" s="884"/>
      <c r="L87" s="876" t="s">
        <v>1003</v>
      </c>
      <c r="M87" s="876" t="s">
        <v>1062</v>
      </c>
      <c r="N87" s="876" t="str">
        <f>CONCATENATE("Total (",IF(MID(B87,1,2)="LG",VLOOKUP(B87,'Compos lug'!J:M,4,FALSE),IF(MID(B87,1,1)="6","t",VLOOKUP(B87,'DER 10-18'!$A$1:$I$1994,3,FALSE))),")")</f>
        <v>Total (t)</v>
      </c>
      <c r="O87" s="351"/>
      <c r="P87" s="363"/>
      <c r="Q87" s="363"/>
      <c r="R87" s="902"/>
      <c r="S87" s="738">
        <f t="shared" si="4"/>
        <v>1145.02</v>
      </c>
      <c r="T87" s="738" t="str">
        <f t="shared" si="5"/>
        <v>T</v>
      </c>
      <c r="U87" s="738">
        <v>2</v>
      </c>
      <c r="V87" s="741">
        <f>W87*Z87+X87*AA87+Y87</f>
        <v>4.3</v>
      </c>
      <c r="W87" s="742">
        <f>VLOOKUP(B87,tranp.!$A:$J,8,FALSE)</f>
        <v>1.085</v>
      </c>
      <c r="X87" s="742">
        <f>VLOOKUP(B87,tranp.!$A:$J,9,FALSE)</f>
        <v>1.198</v>
      </c>
      <c r="Y87" s="742">
        <f>VLOOKUP(B87,tranp.!$A:$J,10,FALSE)</f>
        <v>1.9039999999999999</v>
      </c>
      <c r="Z87" s="746">
        <f>VLOOKUP("Total",C89:O620,10,FALSE)</f>
        <v>0</v>
      </c>
      <c r="AA87" s="738">
        <v>2</v>
      </c>
      <c r="AF87" s="288">
        <v>22522.959999999999</v>
      </c>
    </row>
    <row r="88" spans="1:32" x14ac:dyDescent="0.2">
      <c r="A88" s="895"/>
      <c r="B88" s="346"/>
      <c r="C88" s="347" t="s">
        <v>1553</v>
      </c>
      <c r="D88" s="870"/>
      <c r="E88" s="871"/>
      <c r="F88" s="871"/>
      <c r="G88" s="870"/>
      <c r="H88" s="871"/>
      <c r="I88" s="871"/>
      <c r="J88" s="349"/>
      <c r="K88" s="884"/>
      <c r="L88" s="876"/>
      <c r="M88" s="876"/>
      <c r="N88" s="876"/>
      <c r="O88" s="351"/>
      <c r="P88" s="363"/>
      <c r="Q88" s="363"/>
      <c r="R88" s="902"/>
      <c r="S88" s="738">
        <f t="shared" si="4"/>
        <v>1145.02</v>
      </c>
      <c r="T88" s="738" t="str">
        <f t="shared" si="5"/>
        <v>T</v>
      </c>
      <c r="U88" s="738"/>
      <c r="V88" s="741"/>
      <c r="W88" s="742"/>
      <c r="X88" s="742"/>
      <c r="Y88" s="742"/>
      <c r="Z88" s="746"/>
      <c r="AA88" s="738"/>
    </row>
    <row r="89" spans="1:32" x14ac:dyDescent="0.2">
      <c r="A89" s="294"/>
      <c r="B89" s="293"/>
      <c r="C89" s="384" t="s">
        <v>1557</v>
      </c>
      <c r="D89" s="382">
        <v>0</v>
      </c>
      <c r="E89" s="524" t="s">
        <v>8</v>
      </c>
      <c r="F89" s="292">
        <v>0</v>
      </c>
      <c r="G89" s="382">
        <v>111</v>
      </c>
      <c r="H89" s="524" t="s">
        <v>8</v>
      </c>
      <c r="I89" s="292">
        <v>11.53</v>
      </c>
      <c r="J89" s="383"/>
      <c r="K89" s="350"/>
      <c r="L89" s="876">
        <v>673.54</v>
      </c>
      <c r="M89" s="298">
        <v>1.7</v>
      </c>
      <c r="N89" s="876">
        <f>+L89*M89</f>
        <v>1145.02</v>
      </c>
      <c r="O89" s="364"/>
      <c r="P89" s="881" t="s">
        <v>1061</v>
      </c>
      <c r="Q89" s="880"/>
      <c r="R89" s="898"/>
      <c r="S89" s="738">
        <f t="shared" si="4"/>
        <v>1145.02</v>
      </c>
      <c r="T89" s="738" t="str">
        <f t="shared" si="5"/>
        <v>T</v>
      </c>
      <c r="U89" s="738"/>
      <c r="V89" s="738"/>
      <c r="W89" s="742"/>
      <c r="X89" s="742"/>
      <c r="Y89" s="742"/>
      <c r="Z89" s="288"/>
      <c r="AA89" s="288"/>
      <c r="AF89" s="288">
        <v>4087.67</v>
      </c>
    </row>
    <row r="90" spans="1:32" x14ac:dyDescent="0.2">
      <c r="A90" s="904"/>
      <c r="B90" s="366"/>
      <c r="C90" s="354" t="s">
        <v>2</v>
      </c>
      <c r="D90" s="367"/>
      <c r="E90" s="365"/>
      <c r="F90" s="368"/>
      <c r="G90" s="367"/>
      <c r="H90" s="368"/>
      <c r="I90" s="368"/>
      <c r="J90" s="366"/>
      <c r="K90" s="369"/>
      <c r="L90" s="370"/>
      <c r="M90" s="371"/>
      <c r="N90" s="360">
        <f>SUM(N89:N89)</f>
        <v>1145.02</v>
      </c>
      <c r="O90" s="361" t="str">
        <f>IF(MID(B87,1,2)="LG",VLOOKUP(B87,'Compos lug'!J:M,4,FALSE),IF(MID(B87,1,1)="6",VLOOKUP(B87,tranp.!$A$6:$K$38,3,FALSE),VLOOKUP(B87,'DER 10-18'!$A$1:$I$1994,3,FALSE)))</f>
        <v>T</v>
      </c>
      <c r="P90" s="747">
        <f>SUM(P89:P89)</f>
        <v>0</v>
      </c>
      <c r="Q90" s="747">
        <f>SUM(Q89:Q89)</f>
        <v>0</v>
      </c>
      <c r="R90" s="905"/>
      <c r="S90" s="738">
        <f t="shared" si="4"/>
        <v>3593.63</v>
      </c>
      <c r="T90" s="738" t="str">
        <f t="shared" si="5"/>
        <v>T</v>
      </c>
      <c r="U90" s="738"/>
      <c r="V90" s="738"/>
      <c r="W90" s="742"/>
      <c r="X90" s="742"/>
      <c r="Y90" s="742"/>
      <c r="Z90" s="288"/>
      <c r="AA90" s="288"/>
      <c r="AF90" s="288">
        <v>3837.28</v>
      </c>
    </row>
    <row r="91" spans="1:32" x14ac:dyDescent="0.2">
      <c r="A91" s="294"/>
      <c r="B91" s="293"/>
      <c r="C91" s="343"/>
      <c r="H91" s="292"/>
      <c r="N91" s="314"/>
      <c r="O91" s="344"/>
      <c r="P91" s="315"/>
      <c r="Q91" s="315"/>
      <c r="R91" s="903"/>
      <c r="S91" s="738">
        <f t="shared" si="4"/>
        <v>3593.63</v>
      </c>
      <c r="T91" s="738" t="str">
        <f t="shared" si="5"/>
        <v>T</v>
      </c>
      <c r="U91" s="738"/>
      <c r="V91" s="738"/>
      <c r="AA91" s="743"/>
      <c r="AF91" s="288">
        <v>4</v>
      </c>
    </row>
    <row r="92" spans="1:32" ht="53.25" customHeight="1" x14ac:dyDescent="0.2">
      <c r="A92" s="895" t="s">
        <v>1372</v>
      </c>
      <c r="B92" s="346">
        <v>60019</v>
      </c>
      <c r="C92" s="347" t="str">
        <f>IF(MID(B92,1,2)="LG",VLOOKUP(B92,'Compos lug'!J:M,3,FALSE),IF(MID(B92,1,1)="6",VLOOKUP(B92,tranp.!$A$4:$K$19,11,FALSE)&amp;" -  XP="&amp;TEXT(Z92,"0.000")&amp;" / XR="&amp;TEXT(AA92,"0.000"),VLOOKUP(B92,'DER 10-18'!$A$1:$I$1981,2,FALSE)))&amp;" - "&amp;TEXT(C94,"0.000")</f>
        <v>LOCAL COM DMT ATÉ 3,0 KM (Caminhão basculante)1,085XP+1,198XR+1,904 (Incluindo BDI= 23,32%) -  XP=0.000 / XR=2.500 - Empréstimo - Transporte de Material - DMT 2500.0m</v>
      </c>
      <c r="D92" s="1059" t="s">
        <v>1000</v>
      </c>
      <c r="E92" s="1060"/>
      <c r="F92" s="1061"/>
      <c r="G92" s="1059" t="s">
        <v>1001</v>
      </c>
      <c r="H92" s="1060"/>
      <c r="I92" s="1061"/>
      <c r="J92" s="349" t="s">
        <v>989</v>
      </c>
      <c r="K92" s="884"/>
      <c r="L92" s="876" t="s">
        <v>1003</v>
      </c>
      <c r="M92" s="876" t="s">
        <v>1062</v>
      </c>
      <c r="N92" s="876" t="str">
        <f>CONCATENATE("Total (",IF(MID(B92,1,2)="LG",VLOOKUP(B92,'Compos lug'!J:M,4,FALSE),IF(MID(B92,1,1)="6","t",VLOOKUP(B92,'DER 10-18'!$A$1:$I$1981,3,FALSE))),")")</f>
        <v>Total (t)</v>
      </c>
      <c r="O92" s="351"/>
      <c r="P92" s="363"/>
      <c r="Q92" s="363"/>
      <c r="R92" s="902"/>
      <c r="S92" s="738">
        <f t="shared" si="4"/>
        <v>3593.63</v>
      </c>
      <c r="T92" s="738" t="str">
        <f t="shared" si="5"/>
        <v>T</v>
      </c>
      <c r="U92" s="738">
        <f>+AA92/1000</f>
        <v>2.5</v>
      </c>
      <c r="V92" s="741">
        <f>W92*Z92+X92*U92+Y92</f>
        <v>4.9000000000000004</v>
      </c>
      <c r="W92" s="742">
        <f>VLOOKUP(B92,tranp.!A:J,8,FALSE)</f>
        <v>1.085</v>
      </c>
      <c r="X92" s="742">
        <f>VLOOKUP(B92,tranp.!A:J,9,FALSE)</f>
        <v>1.198</v>
      </c>
      <c r="Y92" s="742">
        <f>VLOOKUP(B92,tranp.!A:J,10,FALSE)</f>
        <v>1.9039999999999999</v>
      </c>
      <c r="Z92" s="745"/>
      <c r="AA92" s="743">
        <v>2500</v>
      </c>
      <c r="AF92" s="288">
        <v>2</v>
      </c>
    </row>
    <row r="93" spans="1:32" x14ac:dyDescent="0.2">
      <c r="A93" s="897"/>
      <c r="B93" s="349"/>
      <c r="C93" s="347" t="s">
        <v>1552</v>
      </c>
      <c r="D93" s="382"/>
      <c r="E93" s="524"/>
      <c r="G93" s="382"/>
      <c r="H93" s="524"/>
      <c r="J93" s="383"/>
      <c r="K93" s="350"/>
      <c r="L93" s="876"/>
      <c r="M93" s="298"/>
      <c r="N93" s="876"/>
      <c r="O93" s="740"/>
      <c r="P93" s="881"/>
      <c r="Q93" s="880"/>
      <c r="R93" s="898"/>
      <c r="S93" s="738">
        <f t="shared" si="4"/>
        <v>3593.63</v>
      </c>
      <c r="T93" s="738" t="str">
        <f t="shared" si="5"/>
        <v>T</v>
      </c>
      <c r="U93" s="738"/>
      <c r="V93" s="738"/>
      <c r="AA93" s="743"/>
    </row>
    <row r="94" spans="1:32" x14ac:dyDescent="0.2">
      <c r="A94" s="294"/>
      <c r="B94" s="293"/>
      <c r="C94" s="384" t="s">
        <v>1519</v>
      </c>
      <c r="D94" s="382"/>
      <c r="E94" s="524"/>
      <c r="G94" s="382"/>
      <c r="H94" s="524"/>
      <c r="J94" s="383"/>
      <c r="K94" s="350"/>
      <c r="L94" s="876">
        <v>2113.9</v>
      </c>
      <c r="M94" s="298">
        <v>1.7</v>
      </c>
      <c r="N94" s="876">
        <f t="shared" ref="N94" si="7">+L94*M94</f>
        <v>3593.63</v>
      </c>
      <c r="O94" s="364"/>
      <c r="P94" s="881" t="s">
        <v>1061</v>
      </c>
      <c r="Q94" s="880"/>
      <c r="R94" s="898"/>
      <c r="S94" s="738">
        <f t="shared" si="4"/>
        <v>3593.63</v>
      </c>
      <c r="T94" s="738" t="str">
        <f t="shared" si="5"/>
        <v>T</v>
      </c>
      <c r="U94" s="738"/>
      <c r="V94" s="738"/>
      <c r="W94" s="742"/>
      <c r="AA94" s="743"/>
    </row>
    <row r="95" spans="1:32" x14ac:dyDescent="0.2">
      <c r="A95" s="904"/>
      <c r="B95" s="366"/>
      <c r="C95" s="354" t="s">
        <v>2</v>
      </c>
      <c r="D95" s="367"/>
      <c r="E95" s="365"/>
      <c r="F95" s="368"/>
      <c r="G95" s="367"/>
      <c r="H95" s="368"/>
      <c r="I95" s="368"/>
      <c r="J95" s="366"/>
      <c r="K95" s="369"/>
      <c r="L95" s="360">
        <f>SUM(L94:L94)</f>
        <v>2113.9</v>
      </c>
      <c r="M95" s="371"/>
      <c r="N95" s="360">
        <f>SUM(N94:N94)</f>
        <v>3593.63</v>
      </c>
      <c r="O95" s="361" t="str">
        <f>IF(MID(B92,1,2)="LG",VLOOKUP(B92,'Compos lug'!J:M,4,FALSE),IF(MID(B92,1,1)="6",VLOOKUP(B92,tranp.!$A$6:$K$51,3,FALSE),VLOOKUP(B92,'DER 10-18'!$A$1:$I$1981,3,FALSE)))</f>
        <v>T</v>
      </c>
      <c r="P95" s="362"/>
      <c r="Q95" s="362"/>
      <c r="R95" s="900"/>
      <c r="S95" s="738">
        <f t="shared" si="4"/>
        <v>30988.86</v>
      </c>
      <c r="T95" s="738" t="str">
        <f t="shared" si="5"/>
        <v>T</v>
      </c>
      <c r="U95" s="738"/>
      <c r="V95" s="738"/>
      <c r="AA95" s="743"/>
      <c r="AF95" s="288">
        <v>2</v>
      </c>
    </row>
    <row r="96" spans="1:32" x14ac:dyDescent="0.2">
      <c r="A96" s="294"/>
      <c r="B96" s="293"/>
      <c r="C96" s="343"/>
      <c r="H96" s="292"/>
      <c r="N96" s="314"/>
      <c r="O96" s="344"/>
      <c r="P96" s="315"/>
      <c r="Q96" s="315"/>
      <c r="R96" s="903"/>
      <c r="S96" s="738">
        <f t="shared" si="4"/>
        <v>30988.86</v>
      </c>
      <c r="T96" s="738" t="str">
        <f t="shared" si="5"/>
        <v>T</v>
      </c>
      <c r="U96" s="738"/>
      <c r="V96" s="738"/>
      <c r="AA96" s="743"/>
      <c r="AF96" s="288">
        <v>4</v>
      </c>
    </row>
    <row r="97" spans="1:32" ht="38.25" x14ac:dyDescent="0.2">
      <c r="A97" s="895" t="s">
        <v>1373</v>
      </c>
      <c r="B97" s="346">
        <v>60019</v>
      </c>
      <c r="C97" s="347" t="str">
        <f>IF(MID(B97,1,2)="LG",VLOOKUP(B97,'Compos lug'!J:M,3,FALSE),IF(MID(B97,1,1)="6",VLOOKUP(B97,tranp.!$A$4:$K$19,11,FALSE)&amp;" -  XP="&amp;TEXT(Z97,"0.000")&amp;" / XR="&amp;TEXT(AA97,"0.000"),VLOOKUP(B97,'DER 10-18'!$A$1:$I$1981,2,FALSE)))&amp;" - "&amp;TEXT(C98,"0.000")</f>
        <v>LOCAL COM DMT ATÉ 3,0 KM (Caminhão basculante)1,085XP+1,198XR+1,904 (Incluindo BDI= 23,32%) -  XP=0.000 / XR=3.000 - Transporte de Material - DMT 3000.0m</v>
      </c>
      <c r="D97" s="1059" t="s">
        <v>1000</v>
      </c>
      <c r="E97" s="1060"/>
      <c r="F97" s="1061"/>
      <c r="G97" s="1059" t="s">
        <v>1001</v>
      </c>
      <c r="H97" s="1060"/>
      <c r="I97" s="1061"/>
      <c r="J97" s="349" t="s">
        <v>989</v>
      </c>
      <c r="K97" s="884"/>
      <c r="L97" s="876" t="s">
        <v>1003</v>
      </c>
      <c r="M97" s="876" t="s">
        <v>1062</v>
      </c>
      <c r="N97" s="876" t="str">
        <f>CONCATENATE("Total (",IF(MID(B97,1,2)="LG",VLOOKUP(B97,'Compos lug'!J:M,4,FALSE),IF(MID(B97,1,1)="6","t",VLOOKUP(B97,'DER 10-18'!$A$1:$I$1981,3,FALSE))),")")</f>
        <v>Total (t)</v>
      </c>
      <c r="O97" s="351"/>
      <c r="P97" s="363"/>
      <c r="Q97" s="363"/>
      <c r="R97" s="902"/>
      <c r="S97" s="738">
        <f t="shared" si="4"/>
        <v>30988.86</v>
      </c>
      <c r="T97" s="738" t="str">
        <f t="shared" si="5"/>
        <v>T</v>
      </c>
      <c r="U97" s="738">
        <f>+AA97/1000</f>
        <v>3</v>
      </c>
      <c r="V97" s="741">
        <f>W97*Z97+X97*U97+Y97</f>
        <v>5.5</v>
      </c>
      <c r="W97" s="742">
        <f>VLOOKUP(B97,tranp.!A:J,8,FALSE)</f>
        <v>1.085</v>
      </c>
      <c r="X97" s="742">
        <f>VLOOKUP(B97,tranp.!A:J,9,FALSE)</f>
        <v>1.198</v>
      </c>
      <c r="Y97" s="742">
        <f>VLOOKUP(B97,tranp.!A:J,10,FALSE)</f>
        <v>1.9039999999999999</v>
      </c>
      <c r="Z97" s="745"/>
      <c r="AA97" s="743">
        <v>3000</v>
      </c>
      <c r="AF97" s="288">
        <v>2</v>
      </c>
    </row>
    <row r="98" spans="1:32" x14ac:dyDescent="0.2">
      <c r="A98" s="294"/>
      <c r="B98" s="293"/>
      <c r="C98" s="384" t="s">
        <v>1518</v>
      </c>
      <c r="D98" s="382"/>
      <c r="E98" s="524"/>
      <c r="G98" s="382"/>
      <c r="H98" s="524"/>
      <c r="J98" s="383"/>
      <c r="K98" s="350"/>
      <c r="L98" s="876"/>
      <c r="M98" s="298"/>
      <c r="N98" s="876"/>
      <c r="O98" s="364"/>
      <c r="P98" s="881"/>
      <c r="Q98" s="880"/>
      <c r="R98" s="898"/>
      <c r="S98" s="738">
        <f t="shared" si="4"/>
        <v>30988.86</v>
      </c>
      <c r="T98" s="738" t="str">
        <f t="shared" si="5"/>
        <v>T</v>
      </c>
      <c r="U98" s="738"/>
      <c r="V98" s="738"/>
      <c r="W98" s="742"/>
      <c r="AA98" s="743"/>
      <c r="AF98" s="288">
        <v>2</v>
      </c>
    </row>
    <row r="99" spans="1:32" x14ac:dyDescent="0.2">
      <c r="A99" s="897"/>
      <c r="B99" s="349"/>
      <c r="C99" s="347" t="s">
        <v>1552</v>
      </c>
      <c r="D99" s="382"/>
      <c r="E99" s="524"/>
      <c r="G99" s="382"/>
      <c r="H99" s="524"/>
      <c r="J99" s="383"/>
      <c r="K99" s="350"/>
      <c r="L99" s="876"/>
      <c r="M99" s="298"/>
      <c r="N99" s="876"/>
      <c r="O99" s="740"/>
      <c r="P99" s="881"/>
      <c r="Q99" s="880"/>
      <c r="R99" s="898"/>
      <c r="S99" s="738">
        <f t="shared" si="4"/>
        <v>30988.86</v>
      </c>
      <c r="T99" s="738" t="str">
        <f t="shared" si="5"/>
        <v>T</v>
      </c>
      <c r="U99" s="738"/>
      <c r="V99" s="738"/>
      <c r="AA99" s="743"/>
    </row>
    <row r="100" spans="1:32" x14ac:dyDescent="0.2">
      <c r="A100" s="294"/>
      <c r="B100" s="293"/>
      <c r="C100" s="384" t="s">
        <v>1514</v>
      </c>
      <c r="D100" s="382"/>
      <c r="E100" s="524"/>
      <c r="G100" s="382"/>
      <c r="H100" s="524"/>
      <c r="J100" s="383"/>
      <c r="K100" s="350"/>
      <c r="L100" s="876">
        <v>5276.23</v>
      </c>
      <c r="M100" s="298">
        <v>1.7</v>
      </c>
      <c r="N100" s="876">
        <f t="shared" ref="N100:N101" si="8">+L100*M100</f>
        <v>8969.59</v>
      </c>
      <c r="O100" s="364"/>
      <c r="P100" s="881" t="s">
        <v>1061</v>
      </c>
      <c r="Q100" s="880"/>
      <c r="R100" s="898"/>
      <c r="S100" s="738">
        <f t="shared" si="4"/>
        <v>30988.86</v>
      </c>
      <c r="T100" s="738" t="str">
        <f t="shared" si="5"/>
        <v>T</v>
      </c>
      <c r="U100" s="738"/>
      <c r="V100" s="738"/>
      <c r="W100" s="742"/>
      <c r="AA100" s="743"/>
    </row>
    <row r="101" spans="1:32" x14ac:dyDescent="0.2">
      <c r="A101" s="294"/>
      <c r="B101" s="293"/>
      <c r="C101" s="384" t="s">
        <v>1515</v>
      </c>
      <c r="D101" s="382"/>
      <c r="E101" s="524"/>
      <c r="G101" s="382"/>
      <c r="H101" s="524"/>
      <c r="J101" s="383"/>
      <c r="K101" s="350"/>
      <c r="L101" s="876">
        <v>12952.51</v>
      </c>
      <c r="M101" s="298">
        <v>1.7</v>
      </c>
      <c r="N101" s="876">
        <f t="shared" si="8"/>
        <v>22019.27</v>
      </c>
      <c r="O101" s="364"/>
      <c r="P101" s="881" t="s">
        <v>1061</v>
      </c>
      <c r="Q101" s="880"/>
      <c r="R101" s="898"/>
      <c r="S101" s="738">
        <f t="shared" si="4"/>
        <v>30988.86</v>
      </c>
      <c r="T101" s="738" t="str">
        <f t="shared" si="5"/>
        <v>T</v>
      </c>
      <c r="U101" s="738"/>
      <c r="V101" s="738"/>
      <c r="W101" s="742"/>
      <c r="AA101" s="743"/>
    </row>
    <row r="102" spans="1:32" x14ac:dyDescent="0.2">
      <c r="A102" s="904"/>
      <c r="B102" s="366"/>
      <c r="C102" s="354" t="s">
        <v>2</v>
      </c>
      <c r="D102" s="367"/>
      <c r="E102" s="365"/>
      <c r="F102" s="368"/>
      <c r="G102" s="367"/>
      <c r="H102" s="368"/>
      <c r="I102" s="368"/>
      <c r="J102" s="366"/>
      <c r="K102" s="369"/>
      <c r="L102" s="360">
        <f>SUM(L100:L101)</f>
        <v>18228.740000000002</v>
      </c>
      <c r="M102" s="371"/>
      <c r="N102" s="360">
        <f>SUM(N100:N101)</f>
        <v>30988.86</v>
      </c>
      <c r="O102" s="361" t="str">
        <f>IF(MID(B97,1,2)="LG",VLOOKUP(B97,'Compos lug'!J:M,4,FALSE),IF(MID(B97,1,1)="6",VLOOKUP(B97,tranp.!$A$6:$K$51,3,FALSE),VLOOKUP(B97,'DER 10-18'!$A$1:$I$1981,3,FALSE)))</f>
        <v>T</v>
      </c>
      <c r="P102" s="362"/>
      <c r="Q102" s="362"/>
      <c r="R102" s="900"/>
      <c r="S102" s="738">
        <f t="shared" si="4"/>
        <v>13876.23</v>
      </c>
      <c r="T102" s="738" t="str">
        <f t="shared" si="5"/>
        <v>T</v>
      </c>
      <c r="U102" s="738"/>
      <c r="V102" s="738"/>
      <c r="AA102" s="743"/>
      <c r="AF102" s="288">
        <v>2</v>
      </c>
    </row>
    <row r="103" spans="1:32" x14ac:dyDescent="0.2">
      <c r="A103" s="294"/>
      <c r="B103" s="293"/>
      <c r="C103" s="343"/>
      <c r="H103" s="292"/>
      <c r="N103" s="314"/>
      <c r="O103" s="344"/>
      <c r="P103" s="315"/>
      <c r="Q103" s="315"/>
      <c r="R103" s="903"/>
      <c r="S103" s="738">
        <f t="shared" si="4"/>
        <v>13876.23</v>
      </c>
      <c r="T103" s="738" t="str">
        <f t="shared" si="5"/>
        <v>T</v>
      </c>
      <c r="U103" s="738"/>
      <c r="V103" s="738"/>
      <c r="AA103" s="743"/>
      <c r="AF103" s="288">
        <v>4</v>
      </c>
    </row>
    <row r="104" spans="1:32" ht="52.5" customHeight="1" x14ac:dyDescent="0.2">
      <c r="A104" s="895" t="s">
        <v>1531</v>
      </c>
      <c r="B104" s="346">
        <v>60020</v>
      </c>
      <c r="C104" s="347" t="str">
        <f>IF(MID(B104,1,2)="LG",VLOOKUP(B104,'Compos lug'!J:M,3,FALSE),IF(MID(B104,1,1)="6",VLOOKUP(B104,tranp.!$A$4:$K$19,11,FALSE)&amp;" -  XP="&amp;TEXT(Z104,"0.000")&amp;" / XR="&amp;TEXT(AA104,"0.000"),VLOOKUP(B104,'DER 10-18'!$A$1:$I$1981,2,FALSE)))&amp;" - "&amp;TEXT(C106,"0.000")</f>
        <v>LOCAL COM DMT DE 3,1 A 5,0 KM (Caminhão basculante)0,972XP+1,093XR+1,823 -  XP=0.000 / XR=5.000 - Empréstimo - Transporte de Material - DMT 5000.0m</v>
      </c>
      <c r="D104" s="1059" t="s">
        <v>1000</v>
      </c>
      <c r="E104" s="1060"/>
      <c r="F104" s="1061"/>
      <c r="G104" s="1059" t="s">
        <v>1001</v>
      </c>
      <c r="H104" s="1060"/>
      <c r="I104" s="1061"/>
      <c r="J104" s="349" t="s">
        <v>989</v>
      </c>
      <c r="K104" s="884"/>
      <c r="L104" s="876" t="s">
        <v>1003</v>
      </c>
      <c r="M104" s="876" t="s">
        <v>1062</v>
      </c>
      <c r="N104" s="876" t="str">
        <f>CONCATENATE("Total (",IF(MID(B104,1,2)="LG",VLOOKUP(B104,'Compos lug'!J:M,4,FALSE),IF(MID(B104,1,1)="6","t",VLOOKUP(B104,'DER 10-18'!$A$1:$I$1981,3,FALSE))),")")</f>
        <v>Total (t)</v>
      </c>
      <c r="O104" s="351"/>
      <c r="P104" s="363"/>
      <c r="Q104" s="363"/>
      <c r="R104" s="902"/>
      <c r="S104" s="738">
        <f t="shared" si="4"/>
        <v>13876.23</v>
      </c>
      <c r="T104" s="738" t="str">
        <f t="shared" si="5"/>
        <v>T</v>
      </c>
      <c r="U104" s="738">
        <f>+AA104/1000</f>
        <v>5</v>
      </c>
      <c r="V104" s="741">
        <f>W104*Z104+X104*U104+Y104</f>
        <v>7.29</v>
      </c>
      <c r="W104" s="742">
        <f>VLOOKUP(B104,tranp.!A:J,8,FALSE)</f>
        <v>0.97199999999999998</v>
      </c>
      <c r="X104" s="742">
        <f>VLOOKUP(B104,tranp.!A:J,9,FALSE)</f>
        <v>1.093</v>
      </c>
      <c r="Y104" s="742">
        <f>VLOOKUP(B104,tranp.!A:J,10,FALSE)</f>
        <v>1.823</v>
      </c>
      <c r="Z104" s="745"/>
      <c r="AA104" s="743">
        <v>5000</v>
      </c>
      <c r="AF104" s="288">
        <v>2</v>
      </c>
    </row>
    <row r="105" spans="1:32" x14ac:dyDescent="0.2">
      <c r="A105" s="897"/>
      <c r="B105" s="349"/>
      <c r="C105" s="347" t="s">
        <v>1552</v>
      </c>
      <c r="D105" s="382"/>
      <c r="E105" s="524"/>
      <c r="G105" s="382"/>
      <c r="H105" s="524"/>
      <c r="J105" s="383"/>
      <c r="K105" s="350"/>
      <c r="L105" s="876"/>
      <c r="M105" s="298"/>
      <c r="N105" s="876"/>
      <c r="O105" s="740"/>
      <c r="P105" s="881"/>
      <c r="Q105" s="880"/>
      <c r="R105" s="898"/>
      <c r="S105" s="738">
        <f t="shared" si="4"/>
        <v>13876.23</v>
      </c>
      <c r="T105" s="738" t="str">
        <f t="shared" si="5"/>
        <v>T</v>
      </c>
      <c r="U105" s="738"/>
      <c r="V105" s="738"/>
      <c r="AA105" s="743"/>
    </row>
    <row r="106" spans="1:32" x14ac:dyDescent="0.2">
      <c r="A106" s="294"/>
      <c r="B106" s="293"/>
      <c r="C106" s="384" t="s">
        <v>1520</v>
      </c>
      <c r="D106" s="382"/>
      <c r="E106" s="524"/>
      <c r="G106" s="382"/>
      <c r="H106" s="524"/>
      <c r="J106" s="383"/>
      <c r="K106" s="350"/>
      <c r="L106" s="876">
        <v>8162.49</v>
      </c>
      <c r="M106" s="298">
        <v>1.7</v>
      </c>
      <c r="N106" s="876">
        <f t="shared" ref="N106" si="9">+L106*M106</f>
        <v>13876.23</v>
      </c>
      <c r="O106" s="364"/>
      <c r="P106" s="881" t="s">
        <v>1061</v>
      </c>
      <c r="Q106" s="880"/>
      <c r="R106" s="898"/>
      <c r="S106" s="738">
        <f t="shared" si="4"/>
        <v>13876.23</v>
      </c>
      <c r="T106" s="738" t="str">
        <f t="shared" si="5"/>
        <v>T</v>
      </c>
      <c r="U106" s="738"/>
      <c r="V106" s="738"/>
      <c r="W106" s="742"/>
      <c r="AA106" s="743"/>
    </row>
    <row r="107" spans="1:32" x14ac:dyDescent="0.2">
      <c r="A107" s="904"/>
      <c r="B107" s="366"/>
      <c r="C107" s="354" t="s">
        <v>2</v>
      </c>
      <c r="D107" s="367"/>
      <c r="E107" s="365"/>
      <c r="F107" s="368"/>
      <c r="G107" s="367"/>
      <c r="H107" s="368"/>
      <c r="I107" s="368"/>
      <c r="J107" s="366"/>
      <c r="K107" s="369"/>
      <c r="L107" s="360">
        <f>SUM(L106:L106)</f>
        <v>8162.49</v>
      </c>
      <c r="M107" s="371"/>
      <c r="N107" s="360">
        <f>SUM(N106:N106)</f>
        <v>13876.23</v>
      </c>
      <c r="O107" s="361" t="str">
        <f>IF(MID(B104,1,2)="LG",VLOOKUP(B104,'Compos lug'!J:M,4,FALSE),IF(MID(B104,1,1)="6",VLOOKUP(B104,tranp.!$A$6:$K$51,3,FALSE),VLOOKUP(B104,'DER 10-18'!$A$1:$I$1981,3,FALSE)))</f>
        <v>T</v>
      </c>
      <c r="P107" s="362"/>
      <c r="Q107" s="362"/>
      <c r="R107" s="900"/>
      <c r="S107" s="738">
        <f t="shared" si="4"/>
        <v>673.54</v>
      </c>
      <c r="T107" s="738" t="str">
        <f t="shared" si="5"/>
        <v>M3</v>
      </c>
      <c r="U107" s="738"/>
      <c r="V107" s="738"/>
      <c r="AA107" s="743"/>
      <c r="AF107" s="288">
        <v>2</v>
      </c>
    </row>
    <row r="108" spans="1:32" x14ac:dyDescent="0.2">
      <c r="A108" s="294"/>
      <c r="B108" s="293"/>
      <c r="C108" s="343"/>
      <c r="H108" s="292"/>
      <c r="N108" s="314"/>
      <c r="O108" s="344"/>
      <c r="P108" s="315"/>
      <c r="Q108" s="315"/>
      <c r="R108" s="903"/>
      <c r="S108" s="738">
        <f t="shared" si="4"/>
        <v>673.54</v>
      </c>
      <c r="T108" s="738" t="str">
        <f t="shared" si="5"/>
        <v>M3</v>
      </c>
      <c r="U108" s="738"/>
      <c r="V108" s="738"/>
      <c r="W108" s="742"/>
      <c r="X108" s="742"/>
      <c r="Y108" s="742"/>
      <c r="Z108" s="288"/>
      <c r="AA108" s="738"/>
      <c r="AF108" s="288">
        <v>2</v>
      </c>
    </row>
    <row r="109" spans="1:32" ht="39" customHeight="1" x14ac:dyDescent="0.2">
      <c r="A109" s="895" t="s">
        <v>1532</v>
      </c>
      <c r="B109" s="346">
        <v>43335</v>
      </c>
      <c r="C109" s="347" t="str">
        <f>IF(MID(B109,1,2)="LG",VLOOKUP(B109,'Compos lug'!J:M,3,FALSE),IF(MID(B109,1,1)="6",VLOOKUP(B109,tranp.!$A$4:$K$21,11,FALSE)&amp;" -  XP="&amp;TEXT(T109,"0,000")&amp;" / XR="&amp;TEXT(AA109,"0,000"),VLOOKUP(B109,'DER 10-18'!$A$1:$I$1994,2,FALSE)))</f>
        <v>Espalhamento / regularização / compactação de material em bota-fora</v>
      </c>
      <c r="D109" s="1059" t="s">
        <v>1000</v>
      </c>
      <c r="E109" s="1060"/>
      <c r="F109" s="1061"/>
      <c r="G109" s="1059" t="s">
        <v>1001</v>
      </c>
      <c r="H109" s="1060"/>
      <c r="I109" s="1061"/>
      <c r="J109" s="349" t="s">
        <v>989</v>
      </c>
      <c r="K109" s="884"/>
      <c r="L109" s="876" t="s">
        <v>1003</v>
      </c>
      <c r="M109" s="876" t="s">
        <v>1062</v>
      </c>
      <c r="N109" s="876" t="str">
        <f>CONCATENATE("Total (",IF(MID(B109,1,2)="LG",VLOOKUP(B109,'Compos lug'!J:M,4,FALSE),IF(MID(B109,1,1)="6","t",VLOOKUP(B109,'DER 10-18'!$A$1:$I$1994,3,FALSE))),")")</f>
        <v>Total (M3)</v>
      </c>
      <c r="O109" s="351"/>
      <c r="P109" s="363"/>
      <c r="Q109" s="363"/>
      <c r="R109" s="902"/>
      <c r="S109" s="738">
        <f t="shared" si="4"/>
        <v>673.54</v>
      </c>
      <c r="T109" s="738" t="str">
        <f t="shared" si="5"/>
        <v>M3</v>
      </c>
      <c r="U109" s="738">
        <v>2</v>
      </c>
      <c r="V109" s="741" t="e">
        <f>W109*Z109+X109*AA109+Y109</f>
        <v>#N/A</v>
      </c>
      <c r="W109" s="742" t="e">
        <f>VLOOKUP(B109,tranp.!$A:$J,8,FALSE)</f>
        <v>#N/A</v>
      </c>
      <c r="X109" s="742" t="e">
        <f>VLOOKUP(B109,tranp.!$A:$J,9,FALSE)</f>
        <v>#N/A</v>
      </c>
      <c r="Y109" s="742" t="e">
        <f>VLOOKUP(B109,tranp.!$A:$J,10,FALSE)</f>
        <v>#N/A</v>
      </c>
      <c r="Z109" s="746">
        <f>VLOOKUP("Total",C110:O643,10,FALSE)</f>
        <v>0</v>
      </c>
      <c r="AA109" s="738">
        <v>2</v>
      </c>
      <c r="AF109" s="288">
        <v>22522.959999999999</v>
      </c>
    </row>
    <row r="110" spans="1:32" x14ac:dyDescent="0.2">
      <c r="A110" s="294"/>
      <c r="B110" s="293"/>
      <c r="C110" s="744" t="s">
        <v>1553</v>
      </c>
      <c r="D110" s="382">
        <v>0</v>
      </c>
      <c r="E110" s="524" t="s">
        <v>8</v>
      </c>
      <c r="F110" s="292">
        <v>0</v>
      </c>
      <c r="G110" s="382">
        <v>111</v>
      </c>
      <c r="H110" s="524" t="s">
        <v>8</v>
      </c>
      <c r="I110" s="292">
        <v>11.53</v>
      </c>
      <c r="J110" s="383"/>
      <c r="K110" s="350"/>
      <c r="L110" s="876">
        <v>673.54</v>
      </c>
      <c r="M110" s="298"/>
      <c r="N110" s="876">
        <f>+L110</f>
        <v>673.54</v>
      </c>
      <c r="O110" s="364"/>
      <c r="P110" s="881" t="s">
        <v>1061</v>
      </c>
      <c r="Q110" s="880"/>
      <c r="R110" s="898"/>
      <c r="S110" s="738">
        <f t="shared" si="4"/>
        <v>673.54</v>
      </c>
      <c r="T110" s="738" t="str">
        <f t="shared" si="5"/>
        <v>M3</v>
      </c>
      <c r="U110" s="738"/>
      <c r="V110" s="738"/>
      <c r="W110" s="742"/>
      <c r="X110" s="742"/>
      <c r="Y110" s="742"/>
      <c r="Z110" s="288"/>
      <c r="AA110" s="288"/>
      <c r="AF110" s="288">
        <v>4087.67</v>
      </c>
    </row>
    <row r="111" spans="1:32" x14ac:dyDescent="0.2">
      <c r="A111" s="904"/>
      <c r="B111" s="366"/>
      <c r="C111" s="354" t="s">
        <v>2</v>
      </c>
      <c r="D111" s="367"/>
      <c r="E111" s="365"/>
      <c r="F111" s="368"/>
      <c r="G111" s="367"/>
      <c r="H111" s="368"/>
      <c r="I111" s="368"/>
      <c r="J111" s="366"/>
      <c r="K111" s="369"/>
      <c r="L111" s="370"/>
      <c r="M111" s="371"/>
      <c r="N111" s="360">
        <f>SUM(N110:N110)</f>
        <v>673.54</v>
      </c>
      <c r="O111" s="361" t="str">
        <f>IF(MID(B109,1,2)="LG",VLOOKUP(B109,'Compos lug'!J:M,4,FALSE),IF(MID(B109,1,1)="6",VLOOKUP(B109,tranp.!$A$6:$K$38,3,FALSE),VLOOKUP(B109,'DER 10-18'!$A$1:$I$1994,3,FALSE)))</f>
        <v>M3</v>
      </c>
      <c r="P111" s="747">
        <f>SUM(P110:P110)</f>
        <v>0</v>
      </c>
      <c r="Q111" s="747">
        <f>SUM(Q110:Q110)</f>
        <v>0</v>
      </c>
      <c r="R111" s="905"/>
      <c r="S111" s="738">
        <f t="shared" si="4"/>
        <v>1290.5999999999999</v>
      </c>
      <c r="T111" s="738" t="str">
        <f t="shared" si="5"/>
        <v>M3</v>
      </c>
      <c r="U111" s="738"/>
      <c r="V111" s="738"/>
      <c r="W111" s="288"/>
      <c r="X111" s="288"/>
      <c r="Y111" s="288"/>
      <c r="Z111" s="288"/>
      <c r="AA111" s="288"/>
      <c r="AF111" s="288">
        <v>3837.28</v>
      </c>
    </row>
    <row r="112" spans="1:32" x14ac:dyDescent="0.2">
      <c r="A112" s="901"/>
      <c r="B112" s="388"/>
      <c r="C112" s="389"/>
      <c r="D112" s="390"/>
      <c r="E112" s="345"/>
      <c r="F112" s="391"/>
      <c r="G112" s="390"/>
      <c r="H112" s="345"/>
      <c r="I112" s="391"/>
      <c r="J112" s="346"/>
      <c r="K112" s="392"/>
      <c r="L112" s="314"/>
      <c r="M112" s="393"/>
      <c r="N112" s="314"/>
      <c r="O112" s="346"/>
      <c r="P112" s="363"/>
      <c r="Q112" s="363"/>
      <c r="R112" s="902"/>
      <c r="S112" s="738">
        <f t="shared" si="4"/>
        <v>1290.5999999999999</v>
      </c>
      <c r="T112" s="738" t="str">
        <f t="shared" si="5"/>
        <v>M3</v>
      </c>
      <c r="U112" s="738"/>
      <c r="AF112" s="288">
        <v>18768.080000000002</v>
      </c>
    </row>
    <row r="113" spans="1:32" s="317" customFormat="1" x14ac:dyDescent="0.2">
      <c r="A113" s="906">
        <v>2</v>
      </c>
      <c r="B113" s="394"/>
      <c r="C113" s="395" t="s">
        <v>1022</v>
      </c>
      <c r="D113" s="396"/>
      <c r="E113" s="397"/>
      <c r="F113" s="398"/>
      <c r="G113" s="396"/>
      <c r="H113" s="397"/>
      <c r="I113" s="398"/>
      <c r="J113" s="399"/>
      <c r="K113" s="400"/>
      <c r="L113" s="401"/>
      <c r="M113" s="402"/>
      <c r="N113" s="401"/>
      <c r="O113" s="399"/>
      <c r="P113" s="403"/>
      <c r="Q113" s="403"/>
      <c r="R113" s="907"/>
      <c r="S113" s="738">
        <f t="shared" si="4"/>
        <v>1290.5999999999999</v>
      </c>
      <c r="T113" s="738" t="str">
        <f t="shared" si="5"/>
        <v>M3</v>
      </c>
      <c r="U113" s="738"/>
      <c r="W113" s="713"/>
      <c r="X113" s="713"/>
      <c r="Y113" s="713"/>
      <c r="Z113" s="713"/>
      <c r="AA113" s="713"/>
      <c r="AF113" s="317">
        <v>18766.080000000002</v>
      </c>
    </row>
    <row r="114" spans="1:32" x14ac:dyDescent="0.2">
      <c r="A114" s="294"/>
      <c r="B114" s="293"/>
      <c r="C114" s="343"/>
      <c r="H114" s="292"/>
      <c r="N114" s="314"/>
      <c r="O114" s="344"/>
      <c r="P114" s="315"/>
      <c r="Q114" s="315"/>
      <c r="R114" s="903"/>
      <c r="S114" s="738">
        <f t="shared" si="4"/>
        <v>1290.5999999999999</v>
      </c>
      <c r="T114" s="738" t="str">
        <f t="shared" si="5"/>
        <v>M3</v>
      </c>
      <c r="U114" s="738"/>
      <c r="AF114" s="288">
        <v>61.93</v>
      </c>
    </row>
    <row r="115" spans="1:32" s="289" customFormat="1" ht="25.5" x14ac:dyDescent="0.2">
      <c r="A115" s="908" t="s">
        <v>139</v>
      </c>
      <c r="B115" s="666">
        <v>40283</v>
      </c>
      <c r="C115" s="347" t="str">
        <f>IF(MID(B115,1,2)="LG",VLOOKUP(B115,'Compos lug'!J:M,3,FALSE),IF(MID(B115,1,1)="6",VLOOKUP(B115,tranp.!$A$4:$K$19,11,FALSE)&amp;" -  XP="&amp;TEXT(T115,"0.000")&amp;" / XR="&amp;TEXT(V115,"0.000"),VLOOKUP(B115,'DER 10-18'!$A$1:$I$1981,2,FALSE)))</f>
        <v>Escavação mecânica em material de 1ª cat. H= 1,50 a 3,00 m</v>
      </c>
      <c r="D115" s="1059" t="s">
        <v>7</v>
      </c>
      <c r="E115" s="1060"/>
      <c r="F115" s="1061"/>
      <c r="G115" s="1059"/>
      <c r="H115" s="1060"/>
      <c r="I115" s="1061"/>
      <c r="J115" s="349" t="s">
        <v>989</v>
      </c>
      <c r="K115" s="884" t="s">
        <v>998</v>
      </c>
      <c r="L115" s="876" t="s">
        <v>994</v>
      </c>
      <c r="M115" s="885" t="s">
        <v>1346</v>
      </c>
      <c r="N115" s="876" t="str">
        <f>CONCATENATE("Total (",IF(MID(B115,1,2)="LG",VLOOKUP(B115,'Compos lug'!J:M,4,FALSE),IF(MID(B115,1,1)="6","t",VLOOKUP(B115,'DER 10-18'!$A$1:$I$1981,3,FALSE))),")")</f>
        <v>Total (M3)</v>
      </c>
      <c r="O115" s="313"/>
      <c r="P115" s="315"/>
      <c r="Q115" s="315"/>
      <c r="R115" s="909"/>
      <c r="S115" s="738">
        <f t="shared" si="4"/>
        <v>1290.5999999999999</v>
      </c>
      <c r="T115" s="738" t="str">
        <f t="shared" si="5"/>
        <v>M3</v>
      </c>
      <c r="U115" s="738"/>
      <c r="W115" s="712"/>
      <c r="X115" s="712"/>
      <c r="Y115" s="712"/>
      <c r="Z115" s="712"/>
      <c r="AA115" s="712"/>
    </row>
    <row r="116" spans="1:32" s="289" customFormat="1" x14ac:dyDescent="0.2">
      <c r="A116" s="908"/>
      <c r="B116" s="666"/>
      <c r="C116" s="744" t="s">
        <v>1552</v>
      </c>
      <c r="D116" s="870"/>
      <c r="E116" s="871"/>
      <c r="F116" s="871"/>
      <c r="G116" s="870"/>
      <c r="H116" s="871"/>
      <c r="I116" s="871"/>
      <c r="J116" s="349"/>
      <c r="K116" s="884"/>
      <c r="L116" s="876"/>
      <c r="M116" s="885"/>
      <c r="N116" s="876"/>
      <c r="O116" s="313"/>
      <c r="P116" s="315"/>
      <c r="Q116" s="315"/>
      <c r="R116" s="909"/>
      <c r="S116" s="738">
        <f t="shared" si="4"/>
        <v>1290.5999999999999</v>
      </c>
      <c r="T116" s="738" t="str">
        <f t="shared" si="5"/>
        <v>M3</v>
      </c>
      <c r="U116" s="738"/>
      <c r="W116" s="712"/>
      <c r="X116" s="712"/>
      <c r="Y116" s="712"/>
      <c r="Z116" s="712"/>
      <c r="AA116" s="712"/>
    </row>
    <row r="117" spans="1:32" x14ac:dyDescent="0.2">
      <c r="A117" s="294"/>
      <c r="B117" s="293"/>
      <c r="C117" s="673" t="s">
        <v>1348</v>
      </c>
      <c r="D117" s="290">
        <v>60</v>
      </c>
      <c r="E117" s="291" t="s">
        <v>8</v>
      </c>
      <c r="F117" s="292">
        <v>0</v>
      </c>
      <c r="H117" s="292"/>
      <c r="J117" s="293" t="s">
        <v>1347</v>
      </c>
      <c r="K117" s="297">
        <v>20</v>
      </c>
      <c r="L117" s="298">
        <v>4</v>
      </c>
      <c r="M117" s="299">
        <v>2</v>
      </c>
      <c r="N117" s="876">
        <f>K117*L117*M117</f>
        <v>160</v>
      </c>
      <c r="O117" s="674"/>
      <c r="R117" s="903"/>
      <c r="S117" s="738">
        <f t="shared" si="4"/>
        <v>1290.5999999999999</v>
      </c>
      <c r="T117" s="738" t="str">
        <f t="shared" si="5"/>
        <v>M3</v>
      </c>
      <c r="U117" s="748"/>
    </row>
    <row r="118" spans="1:32" x14ac:dyDescent="0.2">
      <c r="A118" s="294"/>
      <c r="B118" s="293"/>
      <c r="C118" s="673" t="s">
        <v>1349</v>
      </c>
      <c r="D118" s="290">
        <v>99</v>
      </c>
      <c r="E118" s="291" t="s">
        <v>8</v>
      </c>
      <c r="F118" s="292">
        <v>0</v>
      </c>
      <c r="H118" s="292"/>
      <c r="J118" s="293" t="s">
        <v>1347</v>
      </c>
      <c r="K118" s="297">
        <v>50</v>
      </c>
      <c r="L118" s="298">
        <v>4.5</v>
      </c>
      <c r="M118" s="299">
        <v>2.6</v>
      </c>
      <c r="N118" s="876">
        <f t="shared" ref="N118:N120" si="10">K118*L118*M118</f>
        <v>585</v>
      </c>
      <c r="O118" s="674"/>
      <c r="R118" s="903"/>
      <c r="S118" s="738">
        <f t="shared" si="4"/>
        <v>1290.5999999999999</v>
      </c>
      <c r="T118" s="738" t="str">
        <f t="shared" si="5"/>
        <v>M3</v>
      </c>
      <c r="U118" s="748"/>
    </row>
    <row r="119" spans="1:32" x14ac:dyDescent="0.2">
      <c r="A119" s="294"/>
      <c r="B119" s="293"/>
      <c r="C119" s="673" t="s">
        <v>1352</v>
      </c>
      <c r="D119" s="290">
        <v>200</v>
      </c>
      <c r="E119" s="291" t="s">
        <v>8</v>
      </c>
      <c r="F119" s="292">
        <v>0</v>
      </c>
      <c r="H119" s="292"/>
      <c r="J119" s="293" t="s">
        <v>1347</v>
      </c>
      <c r="K119" s="297">
        <v>22</v>
      </c>
      <c r="L119" s="298">
        <v>4</v>
      </c>
      <c r="M119" s="299">
        <v>2.5</v>
      </c>
      <c r="N119" s="876">
        <f t="shared" si="10"/>
        <v>220</v>
      </c>
      <c r="O119" s="674"/>
      <c r="R119" s="903"/>
      <c r="S119" s="738">
        <f t="shared" si="4"/>
        <v>1290.5999999999999</v>
      </c>
      <c r="T119" s="738" t="str">
        <f t="shared" si="5"/>
        <v>M3</v>
      </c>
      <c r="U119" s="748"/>
    </row>
    <row r="120" spans="1:32" x14ac:dyDescent="0.2">
      <c r="A120" s="294"/>
      <c r="B120" s="293"/>
      <c r="C120" s="673" t="s">
        <v>1353</v>
      </c>
      <c r="D120" s="290">
        <v>273</v>
      </c>
      <c r="E120" s="291" t="s">
        <v>8</v>
      </c>
      <c r="F120" s="292">
        <v>10</v>
      </c>
      <c r="H120" s="292"/>
      <c r="J120" s="293" t="s">
        <v>1347</v>
      </c>
      <c r="K120" s="297">
        <v>22</v>
      </c>
      <c r="L120" s="298">
        <v>4.5</v>
      </c>
      <c r="M120" s="299">
        <v>2</v>
      </c>
      <c r="N120" s="876">
        <f t="shared" si="10"/>
        <v>198</v>
      </c>
      <c r="O120" s="674"/>
      <c r="R120" s="903"/>
      <c r="S120" s="738">
        <f t="shared" si="4"/>
        <v>1290.5999999999999</v>
      </c>
      <c r="T120" s="738" t="str">
        <f t="shared" si="5"/>
        <v>M3</v>
      </c>
      <c r="U120" s="748"/>
    </row>
    <row r="121" spans="1:32" x14ac:dyDescent="0.2">
      <c r="A121" s="294"/>
      <c r="B121" s="293"/>
      <c r="C121" s="744" t="s">
        <v>1553</v>
      </c>
      <c r="H121" s="292"/>
      <c r="N121" s="883"/>
      <c r="O121" s="674"/>
      <c r="R121" s="903"/>
      <c r="S121" s="738">
        <f t="shared" si="4"/>
        <v>1290.5999999999999</v>
      </c>
      <c r="T121" s="738" t="str">
        <f t="shared" si="5"/>
        <v>M3</v>
      </c>
      <c r="U121" s="748"/>
    </row>
    <row r="122" spans="1:32" x14ac:dyDescent="0.2">
      <c r="A122" s="294"/>
      <c r="B122" s="293"/>
      <c r="C122" s="380" t="s">
        <v>1558</v>
      </c>
      <c r="D122" s="381">
        <v>38</v>
      </c>
      <c r="E122" s="524" t="s">
        <v>8</v>
      </c>
      <c r="F122" s="292">
        <v>0</v>
      </c>
      <c r="G122" s="382"/>
      <c r="H122" s="524"/>
      <c r="J122" s="383" t="s">
        <v>1347</v>
      </c>
      <c r="K122" s="350">
        <v>29</v>
      </c>
      <c r="L122" s="298">
        <v>2</v>
      </c>
      <c r="M122" s="875">
        <v>2.2000000000000002</v>
      </c>
      <c r="N122" s="883">
        <f>+M122*L122*K122</f>
        <v>127.6</v>
      </c>
      <c r="O122" s="740"/>
      <c r="P122" s="881" t="s">
        <v>1559</v>
      </c>
      <c r="R122" s="903"/>
      <c r="S122" s="738">
        <f t="shared" si="4"/>
        <v>1290.5999999999999</v>
      </c>
      <c r="T122" s="738" t="str">
        <f t="shared" si="5"/>
        <v>M3</v>
      </c>
      <c r="U122" s="738"/>
      <c r="W122" s="288"/>
      <c r="X122" s="288"/>
      <c r="Y122" s="288"/>
      <c r="Z122" s="288"/>
      <c r="AA122" s="288"/>
      <c r="AF122" s="288">
        <v>15</v>
      </c>
    </row>
    <row r="123" spans="1:32" x14ac:dyDescent="0.2">
      <c r="A123" s="899"/>
      <c r="B123" s="353"/>
      <c r="C123" s="354" t="s">
        <v>2</v>
      </c>
      <c r="D123" s="355"/>
      <c r="E123" s="352"/>
      <c r="F123" s="356"/>
      <c r="G123" s="355"/>
      <c r="H123" s="356"/>
      <c r="I123" s="356"/>
      <c r="J123" s="353"/>
      <c r="K123" s="357"/>
      <c r="L123" s="358"/>
      <c r="M123" s="359"/>
      <c r="N123" s="360">
        <f>SUM(N117:N122)</f>
        <v>1290.5999999999999</v>
      </c>
      <c r="O123" s="361" t="str">
        <f>IF(MID(B115,1,2)="LG",VLOOKUP(B115,'Compos lug'!J:M,4,FALSE),IF(MID(B115,1,1)="6",VLOOKUP(B115,tranp.!$A$6:$K$51,3,FALSE),VLOOKUP(B115,'DER 10-18'!$A$1:$I$1981,3,FALSE)))</f>
        <v>M3</v>
      </c>
      <c r="P123" s="362"/>
      <c r="Q123" s="362"/>
      <c r="R123" s="900"/>
      <c r="S123" s="738">
        <f t="shared" si="4"/>
        <v>1712</v>
      </c>
      <c r="T123" s="738" t="str">
        <f t="shared" si="5"/>
        <v>M3</v>
      </c>
      <c r="U123" s="738"/>
    </row>
    <row r="124" spans="1:32" s="289" customFormat="1" ht="25.5" x14ac:dyDescent="0.2">
      <c r="A124" s="908" t="s">
        <v>140</v>
      </c>
      <c r="B124" s="666">
        <v>40284</v>
      </c>
      <c r="C124" s="347" t="str">
        <f>IF(MID(B124,1,2)="LG",VLOOKUP(B124,'Compos lug'!J:M,3,FALSE),IF(MID(B124,1,1)="6",VLOOKUP(B124,tranp.!$A$4:$K$19,11,FALSE)&amp;" -  XP="&amp;TEXT(T124,"0.000")&amp;" / XR="&amp;TEXT(V124,"0.000"),VLOOKUP(B124,'DER 10-18'!$A$1:$I$1981,2,FALSE)))</f>
        <v>Escavação mecânica em material de 1ª cat. H= 3,00 a 4,50 m</v>
      </c>
      <c r="D124" s="1059" t="s">
        <v>7</v>
      </c>
      <c r="E124" s="1060"/>
      <c r="F124" s="1061"/>
      <c r="G124" s="1059"/>
      <c r="H124" s="1060"/>
      <c r="I124" s="1061"/>
      <c r="J124" s="349" t="s">
        <v>989</v>
      </c>
      <c r="K124" s="884" t="s">
        <v>998</v>
      </c>
      <c r="L124" s="876" t="s">
        <v>994</v>
      </c>
      <c r="M124" s="885" t="s">
        <v>1346</v>
      </c>
      <c r="N124" s="876" t="str">
        <f>CONCATENATE("Total (",IF(MID(B124,1,2)="LG",VLOOKUP(B124,'Compos lug'!J:M,4,FALSE),IF(MID(B124,1,1)="6","t",VLOOKUP(B124,'DER 10-18'!$A$1:$I$1981,3,FALSE))),")")</f>
        <v>Total (M3)</v>
      </c>
      <c r="O124" s="313"/>
      <c r="P124" s="315"/>
      <c r="Q124" s="315"/>
      <c r="R124" s="909"/>
      <c r="S124" s="738">
        <f t="shared" si="4"/>
        <v>1712</v>
      </c>
      <c r="T124" s="738" t="str">
        <f t="shared" si="5"/>
        <v>M3</v>
      </c>
      <c r="U124" s="738"/>
      <c r="W124" s="712"/>
      <c r="X124" s="712"/>
      <c r="Y124" s="712"/>
      <c r="Z124" s="712"/>
      <c r="AA124" s="712"/>
    </row>
    <row r="125" spans="1:32" s="289" customFormat="1" x14ac:dyDescent="0.2">
      <c r="A125" s="908"/>
      <c r="B125" s="666"/>
      <c r="C125" s="744" t="s">
        <v>1552</v>
      </c>
      <c r="D125" s="870"/>
      <c r="E125" s="871"/>
      <c r="F125" s="871"/>
      <c r="G125" s="870"/>
      <c r="H125" s="871"/>
      <c r="I125" s="871"/>
      <c r="J125" s="349"/>
      <c r="K125" s="884"/>
      <c r="L125" s="876"/>
      <c r="M125" s="885"/>
      <c r="N125" s="876"/>
      <c r="O125" s="313"/>
      <c r="P125" s="315"/>
      <c r="Q125" s="315"/>
      <c r="R125" s="909"/>
      <c r="S125" s="738">
        <f t="shared" si="4"/>
        <v>1712</v>
      </c>
      <c r="T125" s="738" t="str">
        <f t="shared" si="5"/>
        <v>M3</v>
      </c>
      <c r="U125" s="738"/>
      <c r="W125" s="712"/>
      <c r="X125" s="712"/>
      <c r="Y125" s="712"/>
      <c r="Z125" s="712"/>
      <c r="AA125" s="712"/>
    </row>
    <row r="126" spans="1:32" x14ac:dyDescent="0.2">
      <c r="A126" s="294"/>
      <c r="B126" s="293"/>
      <c r="C126" s="673" t="s">
        <v>1350</v>
      </c>
      <c r="D126" s="290">
        <v>119</v>
      </c>
      <c r="E126" s="291" t="s">
        <v>8</v>
      </c>
      <c r="F126" s="292">
        <v>0</v>
      </c>
      <c r="H126" s="292"/>
      <c r="J126" s="293" t="s">
        <v>1347</v>
      </c>
      <c r="K126" s="297">
        <v>25</v>
      </c>
      <c r="L126" s="298">
        <v>4.5</v>
      </c>
      <c r="M126" s="299">
        <v>4</v>
      </c>
      <c r="N126" s="876">
        <f t="shared" ref="N126:N128" si="11">K126*L126*M126</f>
        <v>450</v>
      </c>
      <c r="O126" s="674"/>
      <c r="R126" s="903"/>
      <c r="S126" s="738">
        <f t="shared" si="4"/>
        <v>1712</v>
      </c>
      <c r="T126" s="738" t="str">
        <f t="shared" si="5"/>
        <v>M3</v>
      </c>
      <c r="U126" s="748"/>
    </row>
    <row r="127" spans="1:32" x14ac:dyDescent="0.2">
      <c r="A127" s="294"/>
      <c r="B127" s="293"/>
      <c r="C127" s="673" t="s">
        <v>1351</v>
      </c>
      <c r="D127" s="290">
        <v>169</v>
      </c>
      <c r="E127" s="291" t="s">
        <v>8</v>
      </c>
      <c r="F127" s="292">
        <v>0</v>
      </c>
      <c r="H127" s="292"/>
      <c r="J127" s="293" t="s">
        <v>1347</v>
      </c>
      <c r="K127" s="297">
        <v>21</v>
      </c>
      <c r="L127" s="298">
        <v>3.5</v>
      </c>
      <c r="M127" s="299">
        <v>4</v>
      </c>
      <c r="N127" s="876">
        <f t="shared" si="11"/>
        <v>294</v>
      </c>
      <c r="O127" s="674"/>
      <c r="R127" s="903"/>
      <c r="S127" s="738">
        <f t="shared" si="4"/>
        <v>1712</v>
      </c>
      <c r="T127" s="738" t="str">
        <f t="shared" si="5"/>
        <v>M3</v>
      </c>
      <c r="U127" s="748"/>
    </row>
    <row r="128" spans="1:32" x14ac:dyDescent="0.2">
      <c r="A128" s="294"/>
      <c r="B128" s="293"/>
      <c r="C128" s="673" t="s">
        <v>1354</v>
      </c>
      <c r="D128" s="290">
        <v>375</v>
      </c>
      <c r="E128" s="291" t="s">
        <v>8</v>
      </c>
      <c r="F128" s="292">
        <v>18</v>
      </c>
      <c r="H128" s="292"/>
      <c r="J128" s="293" t="s">
        <v>1347</v>
      </c>
      <c r="K128" s="297">
        <v>22</v>
      </c>
      <c r="L128" s="298">
        <v>4</v>
      </c>
      <c r="M128" s="299">
        <v>4</v>
      </c>
      <c r="N128" s="876">
        <f t="shared" si="11"/>
        <v>352</v>
      </c>
      <c r="O128" s="674"/>
      <c r="R128" s="903"/>
      <c r="S128" s="738">
        <f t="shared" si="4"/>
        <v>1712</v>
      </c>
      <c r="T128" s="738" t="str">
        <f t="shared" si="5"/>
        <v>M3</v>
      </c>
      <c r="U128" s="748"/>
    </row>
    <row r="129" spans="1:32" x14ac:dyDescent="0.2">
      <c r="A129" s="294"/>
      <c r="B129" s="293"/>
      <c r="C129" s="744" t="s">
        <v>1553</v>
      </c>
      <c r="D129" s="296"/>
      <c r="H129" s="292"/>
      <c r="N129" s="883"/>
      <c r="O129" s="674"/>
      <c r="R129" s="903"/>
      <c r="S129" s="738">
        <f t="shared" si="4"/>
        <v>1712</v>
      </c>
      <c r="T129" s="738" t="str">
        <f t="shared" si="5"/>
        <v>M3</v>
      </c>
      <c r="U129" s="748"/>
    </row>
    <row r="130" spans="1:32" x14ac:dyDescent="0.2">
      <c r="A130" s="294"/>
      <c r="B130" s="293"/>
      <c r="C130" s="380" t="s">
        <v>1560</v>
      </c>
      <c r="D130" s="381">
        <v>3</v>
      </c>
      <c r="E130" s="524" t="s">
        <v>8</v>
      </c>
      <c r="F130" s="292">
        <v>10</v>
      </c>
      <c r="G130" s="382"/>
      <c r="H130" s="524"/>
      <c r="J130" s="383" t="s">
        <v>1347</v>
      </c>
      <c r="K130" s="350">
        <v>22</v>
      </c>
      <c r="L130" s="298">
        <v>8</v>
      </c>
      <c r="M130" s="875">
        <v>3.5</v>
      </c>
      <c r="N130" s="883">
        <f>+M130*L130*K130</f>
        <v>616</v>
      </c>
      <c r="O130" s="740"/>
      <c r="P130" s="881"/>
      <c r="R130" s="903"/>
      <c r="S130" s="738">
        <f t="shared" si="4"/>
        <v>1712</v>
      </c>
      <c r="T130" s="738" t="str">
        <f t="shared" si="5"/>
        <v>M3</v>
      </c>
      <c r="U130" s="738"/>
      <c r="W130" s="288"/>
      <c r="X130" s="288"/>
      <c r="Y130" s="288"/>
      <c r="Z130" s="288"/>
      <c r="AA130" s="288"/>
      <c r="AF130" s="288">
        <v>5107</v>
      </c>
    </row>
    <row r="131" spans="1:32" x14ac:dyDescent="0.2">
      <c r="A131" s="899"/>
      <c r="B131" s="353"/>
      <c r="C131" s="354" t="s">
        <v>2</v>
      </c>
      <c r="D131" s="355"/>
      <c r="E131" s="352"/>
      <c r="F131" s="356"/>
      <c r="G131" s="355"/>
      <c r="H131" s="356"/>
      <c r="I131" s="356"/>
      <c r="J131" s="353"/>
      <c r="K131" s="357"/>
      <c r="L131" s="358"/>
      <c r="M131" s="359"/>
      <c r="N131" s="360">
        <f>SUM(N126:N130)</f>
        <v>1712</v>
      </c>
      <c r="O131" s="361" t="str">
        <f>IF(MID(B124,1,2)="LG",VLOOKUP(B124,'Compos lug'!J:M,4,FALSE),IF(MID(B124,1,1)="6",VLOOKUP(B124,tranp.!$A$6:$K$51,3,FALSE),VLOOKUP(B124,'DER 10-18'!$A$1:$I$1981,3,FALSE)))</f>
        <v>M3</v>
      </c>
      <c r="P131" s="362"/>
      <c r="Q131" s="362"/>
      <c r="R131" s="900"/>
      <c r="S131" s="738">
        <f t="shared" si="4"/>
        <v>11585.64</v>
      </c>
      <c r="T131" s="738" t="str">
        <f t="shared" si="5"/>
        <v>M3</v>
      </c>
      <c r="U131" s="738"/>
    </row>
    <row r="132" spans="1:32" s="651" customFormat="1" x14ac:dyDescent="0.2">
      <c r="A132" s="910"/>
      <c r="B132" s="655"/>
      <c r="C132" s="656"/>
      <c r="D132" s="657"/>
      <c r="E132" s="654"/>
      <c r="F132" s="652"/>
      <c r="G132" s="657"/>
      <c r="H132" s="652"/>
      <c r="I132" s="652"/>
      <c r="J132" s="655"/>
      <c r="K132" s="658"/>
      <c r="L132" s="653"/>
      <c r="M132" s="659"/>
      <c r="N132" s="648"/>
      <c r="O132" s="660"/>
      <c r="P132" s="661"/>
      <c r="Q132" s="661"/>
      <c r="R132" s="911"/>
      <c r="S132" s="738">
        <f t="shared" si="4"/>
        <v>11585.64</v>
      </c>
      <c r="T132" s="738" t="str">
        <f t="shared" si="5"/>
        <v>M3</v>
      </c>
      <c r="U132" s="749"/>
      <c r="W132" s="714"/>
      <c r="X132" s="714"/>
      <c r="Y132" s="714"/>
      <c r="Z132" s="714"/>
      <c r="AA132" s="714"/>
    </row>
    <row r="133" spans="1:32" s="289" customFormat="1" ht="25.5" x14ac:dyDescent="0.2">
      <c r="A133" s="908" t="s">
        <v>245</v>
      </c>
      <c r="B133" s="666">
        <v>40303</v>
      </c>
      <c r="C133" s="347" t="str">
        <f>IF(MID(B133,1,2)="LG",VLOOKUP(B133,'Compos lug'!J:M,3,FALSE),IF(MID(B133,1,1)="6",VLOOKUP(B133,tranp.!$A$4:$K$19,11,FALSE)&amp;" -  XP="&amp;TEXT(T133,"0.000")&amp;" / XR="&amp;TEXT(V133,"0.000"),VLOOKUP(B133,'DER 10-18'!$A$1:$I$1981,2,FALSE)))</f>
        <v>Reaterro de cavas c/ compactação mecânica (compactador manual)</v>
      </c>
      <c r="D133" s="1059" t="s">
        <v>7</v>
      </c>
      <c r="E133" s="1060"/>
      <c r="F133" s="1061"/>
      <c r="G133" s="1059" t="s">
        <v>998</v>
      </c>
      <c r="H133" s="1060"/>
      <c r="I133" s="1061"/>
      <c r="J133" s="349" t="s">
        <v>989</v>
      </c>
      <c r="K133" s="750" t="s">
        <v>994</v>
      </c>
      <c r="L133" s="885" t="s">
        <v>1346</v>
      </c>
      <c r="M133" s="874" t="s">
        <v>1355</v>
      </c>
      <c r="N133" s="876" t="str">
        <f>CONCATENATE("Total (",IF(MID(B133,1,2)="LG",VLOOKUP(B133,'Compos lug'!J:M,4,FALSE),IF(MID(B133,1,1)="6","t",VLOOKUP(B133,'DER 10-18'!$A$1:$I$1981,3,FALSE))),")")</f>
        <v>Total (M3)</v>
      </c>
      <c r="O133" s="313"/>
      <c r="P133" s="315"/>
      <c r="Q133" s="315"/>
      <c r="R133" s="909"/>
      <c r="S133" s="738">
        <f t="shared" ref="S133:S143" si="12">VLOOKUP("Total",C134:O1895,12,FALSE)</f>
        <v>11585.64</v>
      </c>
      <c r="T133" s="738" t="str">
        <f t="shared" ref="T133:T143" si="13">VLOOKUP("Total",C134:O1895,13,FALSE)</f>
        <v>M3</v>
      </c>
      <c r="U133" s="738"/>
      <c r="W133" s="712"/>
      <c r="X133" s="712"/>
      <c r="Y133" s="712"/>
      <c r="Z133" s="712"/>
      <c r="AA133" s="712"/>
    </row>
    <row r="134" spans="1:32" x14ac:dyDescent="0.2">
      <c r="A134" s="294"/>
      <c r="B134" s="293"/>
      <c r="C134" s="744" t="s">
        <v>1552</v>
      </c>
      <c r="N134" s="876"/>
      <c r="R134" s="912"/>
      <c r="S134" s="738">
        <f t="shared" si="12"/>
        <v>11585.64</v>
      </c>
      <c r="T134" s="738" t="str">
        <f t="shared" si="13"/>
        <v>M3</v>
      </c>
    </row>
    <row r="135" spans="1:32" x14ac:dyDescent="0.2">
      <c r="A135" s="294"/>
      <c r="B135" s="293"/>
      <c r="C135" s="673" t="s">
        <v>1349</v>
      </c>
      <c r="D135" s="290">
        <v>99</v>
      </c>
      <c r="E135" s="291" t="s">
        <v>8</v>
      </c>
      <c r="F135" s="675">
        <v>0</v>
      </c>
      <c r="G135" s="1067">
        <v>50</v>
      </c>
      <c r="H135" s="1067"/>
      <c r="I135" s="1068"/>
      <c r="J135" s="293" t="s">
        <v>1347</v>
      </c>
      <c r="K135" s="297">
        <v>50</v>
      </c>
      <c r="L135" s="298">
        <v>2.5</v>
      </c>
      <c r="M135" s="299">
        <v>1.77</v>
      </c>
      <c r="N135" s="876">
        <f t="shared" ref="N135:N139" si="14">K135*L135*G135-M135*G135</f>
        <v>6161.5</v>
      </c>
      <c r="O135" s="674"/>
      <c r="R135" s="903"/>
      <c r="S135" s="738">
        <f t="shared" si="12"/>
        <v>11585.64</v>
      </c>
      <c r="T135" s="738" t="str">
        <f t="shared" si="13"/>
        <v>M3</v>
      </c>
      <c r="U135" s="748"/>
    </row>
    <row r="136" spans="1:32" x14ac:dyDescent="0.2">
      <c r="A136" s="294"/>
      <c r="B136" s="293"/>
      <c r="C136" s="673" t="s">
        <v>1350</v>
      </c>
      <c r="D136" s="290">
        <v>119</v>
      </c>
      <c r="E136" s="291" t="s">
        <v>8</v>
      </c>
      <c r="F136" s="675">
        <v>0</v>
      </c>
      <c r="G136" s="1067">
        <v>25</v>
      </c>
      <c r="H136" s="1067"/>
      <c r="I136" s="1068"/>
      <c r="J136" s="293" t="s">
        <v>1347</v>
      </c>
      <c r="K136" s="297">
        <v>25</v>
      </c>
      <c r="L136" s="298">
        <v>2.5</v>
      </c>
      <c r="M136" s="299">
        <v>1.77</v>
      </c>
      <c r="N136" s="876">
        <f t="shared" si="14"/>
        <v>1518.25</v>
      </c>
      <c r="O136" s="674"/>
      <c r="R136" s="903"/>
      <c r="S136" s="738">
        <f t="shared" si="12"/>
        <v>11585.64</v>
      </c>
      <c r="T136" s="738" t="str">
        <f t="shared" si="13"/>
        <v>M3</v>
      </c>
      <c r="U136" s="748"/>
    </row>
    <row r="137" spans="1:32" x14ac:dyDescent="0.2">
      <c r="A137" s="294"/>
      <c r="B137" s="293"/>
      <c r="C137" s="673" t="s">
        <v>1351</v>
      </c>
      <c r="D137" s="290">
        <v>169</v>
      </c>
      <c r="E137" s="291" t="s">
        <v>8</v>
      </c>
      <c r="F137" s="675">
        <v>0</v>
      </c>
      <c r="G137" s="1067">
        <v>21</v>
      </c>
      <c r="H137" s="1067"/>
      <c r="I137" s="1068"/>
      <c r="J137" s="293" t="s">
        <v>1347</v>
      </c>
      <c r="K137" s="297">
        <v>21</v>
      </c>
      <c r="L137" s="298">
        <v>2.5</v>
      </c>
      <c r="M137" s="299">
        <v>1.77</v>
      </c>
      <c r="N137" s="876">
        <f t="shared" si="14"/>
        <v>1065.33</v>
      </c>
      <c r="O137" s="674"/>
      <c r="R137" s="903"/>
      <c r="S137" s="738">
        <f t="shared" si="12"/>
        <v>11585.64</v>
      </c>
      <c r="T137" s="738" t="str">
        <f t="shared" si="13"/>
        <v>M3</v>
      </c>
      <c r="U137" s="748"/>
    </row>
    <row r="138" spans="1:32" x14ac:dyDescent="0.2">
      <c r="A138" s="294"/>
      <c r="B138" s="293"/>
      <c r="C138" s="673" t="s">
        <v>1352</v>
      </c>
      <c r="D138" s="290">
        <v>200</v>
      </c>
      <c r="E138" s="291" t="s">
        <v>8</v>
      </c>
      <c r="F138" s="675">
        <v>0</v>
      </c>
      <c r="G138" s="1067">
        <v>22</v>
      </c>
      <c r="H138" s="1067"/>
      <c r="I138" s="1068"/>
      <c r="J138" s="293" t="s">
        <v>1347</v>
      </c>
      <c r="K138" s="297">
        <v>22</v>
      </c>
      <c r="L138" s="298">
        <v>2.5</v>
      </c>
      <c r="M138" s="299">
        <v>1.77</v>
      </c>
      <c r="N138" s="876">
        <f t="shared" si="14"/>
        <v>1171.06</v>
      </c>
      <c r="O138" s="674"/>
      <c r="R138" s="903"/>
      <c r="S138" s="738">
        <f t="shared" si="12"/>
        <v>11585.64</v>
      </c>
      <c r="T138" s="738" t="str">
        <f t="shared" si="13"/>
        <v>M3</v>
      </c>
      <c r="U138" s="748"/>
    </row>
    <row r="139" spans="1:32" x14ac:dyDescent="0.2">
      <c r="A139" s="294"/>
      <c r="B139" s="293"/>
      <c r="C139" s="673" t="s">
        <v>1354</v>
      </c>
      <c r="D139" s="290">
        <v>375</v>
      </c>
      <c r="E139" s="291" t="s">
        <v>8</v>
      </c>
      <c r="F139" s="675">
        <v>18</v>
      </c>
      <c r="G139" s="1067">
        <v>22</v>
      </c>
      <c r="H139" s="1067"/>
      <c r="I139" s="1068"/>
      <c r="J139" s="293" t="s">
        <v>1347</v>
      </c>
      <c r="K139" s="297">
        <v>22</v>
      </c>
      <c r="L139" s="298">
        <v>3</v>
      </c>
      <c r="M139" s="299">
        <v>1.77</v>
      </c>
      <c r="N139" s="876">
        <f t="shared" si="14"/>
        <v>1413.06</v>
      </c>
      <c r="O139" s="674"/>
      <c r="R139" s="903"/>
      <c r="S139" s="738">
        <f t="shared" si="12"/>
        <v>11585.64</v>
      </c>
      <c r="T139" s="738" t="str">
        <f t="shared" si="13"/>
        <v>M3</v>
      </c>
      <c r="U139" s="748"/>
    </row>
    <row r="140" spans="1:32" x14ac:dyDescent="0.2">
      <c r="A140" s="294"/>
      <c r="B140" s="293"/>
      <c r="C140" s="744" t="s">
        <v>1553</v>
      </c>
      <c r="F140" s="675"/>
      <c r="G140" s="1067"/>
      <c r="H140" s="1067"/>
      <c r="I140" s="1068"/>
      <c r="N140" s="883"/>
      <c r="O140" s="674"/>
      <c r="R140" s="903"/>
      <c r="S140" s="738">
        <f t="shared" si="12"/>
        <v>11585.64</v>
      </c>
      <c r="T140" s="738" t="str">
        <f t="shared" si="13"/>
        <v>M3</v>
      </c>
      <c r="U140" s="748"/>
    </row>
    <row r="141" spans="1:32" x14ac:dyDescent="0.2">
      <c r="A141" s="913"/>
      <c r="B141" s="666"/>
      <c r="C141" s="380" t="s">
        <v>1560</v>
      </c>
      <c r="D141" s="381">
        <v>3</v>
      </c>
      <c r="E141" s="524" t="s">
        <v>8</v>
      </c>
      <c r="F141" s="292">
        <v>10</v>
      </c>
      <c r="G141" s="1064">
        <v>22</v>
      </c>
      <c r="H141" s="1065"/>
      <c r="I141" s="1066"/>
      <c r="J141" s="383"/>
      <c r="K141" s="350">
        <v>8</v>
      </c>
      <c r="L141" s="875">
        <v>3.5</v>
      </c>
      <c r="M141" s="875">
        <f>3.05*3.05*2+6.2*0.2</f>
        <v>19.850000000000001</v>
      </c>
      <c r="N141" s="883">
        <f>+G141*K141*L141-G141*M141</f>
        <v>179.3</v>
      </c>
      <c r="O141" s="313"/>
      <c r="P141" s="881" t="s">
        <v>1561</v>
      </c>
      <c r="Q141" s="880"/>
      <c r="R141" s="909"/>
      <c r="S141" s="738">
        <f t="shared" si="12"/>
        <v>11585.64</v>
      </c>
      <c r="T141" s="738" t="str">
        <f t="shared" si="13"/>
        <v>M3</v>
      </c>
      <c r="U141" s="738"/>
      <c r="V141" s="288">
        <f>1.1*1.1*3.14/4</f>
        <v>0.94984999999999997</v>
      </c>
      <c r="W141" s="288">
        <f>1.3*0.34</f>
        <v>0.442</v>
      </c>
      <c r="X141" s="288">
        <f>+W141+V141</f>
        <v>1.39185</v>
      </c>
      <c r="Y141" s="288"/>
      <c r="Z141" s="288"/>
      <c r="AA141" s="288"/>
      <c r="AF141" s="288">
        <v>61.93</v>
      </c>
    </row>
    <row r="142" spans="1:32" x14ac:dyDescent="0.2">
      <c r="A142" s="294"/>
      <c r="B142" s="293"/>
      <c r="C142" s="380" t="s">
        <v>1558</v>
      </c>
      <c r="D142" s="381">
        <v>38</v>
      </c>
      <c r="E142" s="524" t="s">
        <v>8</v>
      </c>
      <c r="F142" s="292">
        <v>0</v>
      </c>
      <c r="G142" s="1064">
        <v>29</v>
      </c>
      <c r="H142" s="1065"/>
      <c r="I142" s="1066"/>
      <c r="J142" s="383"/>
      <c r="K142" s="350">
        <v>2</v>
      </c>
      <c r="L142" s="875">
        <v>2.2000000000000002</v>
      </c>
      <c r="M142" s="875">
        <v>1.74</v>
      </c>
      <c r="N142" s="883">
        <f>+G142*K142*L142-G142*M142</f>
        <v>77.14</v>
      </c>
      <c r="O142" s="740"/>
      <c r="P142" s="881" t="s">
        <v>1562</v>
      </c>
      <c r="R142" s="903"/>
      <c r="S142" s="738">
        <f t="shared" si="12"/>
        <v>11585.64</v>
      </c>
      <c r="T142" s="738" t="str">
        <f t="shared" si="13"/>
        <v>M3</v>
      </c>
      <c r="U142" s="738"/>
      <c r="W142" s="288"/>
      <c r="X142" s="288"/>
      <c r="Y142" s="288"/>
      <c r="Z142" s="288"/>
      <c r="AA142" s="288"/>
      <c r="AF142" s="288">
        <v>15</v>
      </c>
    </row>
    <row r="143" spans="1:32" x14ac:dyDescent="0.2">
      <c r="A143" s="899"/>
      <c r="B143" s="353"/>
      <c r="C143" s="354" t="s">
        <v>2</v>
      </c>
      <c r="D143" s="355"/>
      <c r="E143" s="352"/>
      <c r="F143" s="356"/>
      <c r="G143" s="355"/>
      <c r="H143" s="356"/>
      <c r="I143" s="356"/>
      <c r="J143" s="353"/>
      <c r="K143" s="357"/>
      <c r="L143" s="358"/>
      <c r="M143" s="359"/>
      <c r="N143" s="360">
        <f>SUM(N134:N142)</f>
        <v>11585.64</v>
      </c>
      <c r="O143" s="361" t="str">
        <f>IF(MID(B133,1,2)="LG",VLOOKUP(B133,'Compos lug'!J:M,4,FALSE),IF(MID(B133,1,1)="6",VLOOKUP(B133,tranp.!$A$6:$K$51,3,FALSE),VLOOKUP(B133,'DER 10-18'!$A$1:$I$1981,3,FALSE)))</f>
        <v>M3</v>
      </c>
      <c r="P143" s="362"/>
      <c r="Q143" s="362"/>
      <c r="R143" s="900"/>
      <c r="S143" s="738">
        <f t="shared" si="12"/>
        <v>161.5</v>
      </c>
      <c r="T143" s="738" t="str">
        <f t="shared" si="13"/>
        <v>M</v>
      </c>
      <c r="U143" s="738"/>
    </row>
    <row r="144" spans="1:32" x14ac:dyDescent="0.2">
      <c r="A144" s="294"/>
      <c r="B144" s="293"/>
      <c r="C144" s="343"/>
      <c r="H144" s="292"/>
      <c r="N144" s="314"/>
      <c r="O144" s="344"/>
      <c r="P144" s="315"/>
      <c r="Q144" s="315"/>
      <c r="R144" s="903"/>
      <c r="S144" s="738">
        <f>VLOOKUP("Total",C145:O1905,12,FALSE)</f>
        <v>161.5</v>
      </c>
      <c r="T144" s="738" t="str">
        <f>VLOOKUP("Total",C145:O1905,13,FALSE)</f>
        <v>M</v>
      </c>
      <c r="U144" s="738"/>
      <c r="W144" s="288"/>
      <c r="X144" s="288"/>
      <c r="Y144" s="288"/>
      <c r="Z144" s="288"/>
      <c r="AA144" s="288"/>
      <c r="AF144" s="288">
        <v>61.93</v>
      </c>
    </row>
    <row r="145" spans="1:32" s="289" customFormat="1" ht="25.5" x14ac:dyDescent="0.2">
      <c r="A145" s="913" t="s">
        <v>246</v>
      </c>
      <c r="B145" s="666">
        <v>40433</v>
      </c>
      <c r="C145" s="347" t="str">
        <f>IF(MID(B145,1,2)="LG",VLOOKUP(B145,'Compos lug'!J:M,3,FALSE),IF(MID(B145,1,1)="6",VLOOKUP(B145,tranp.!$A$4:$K$21,11,FALSE)&amp;" -  XP="&amp;TEXT(T145,"0,000")&amp;" / XR="&amp;TEXT(V145,"0,000"),VLOOKUP(B145,'DER 10-18'!$A$1:$I$1994,2,FALSE)))</f>
        <v>Corpo BSTC (greide) diâmetro 0,80 m CA-1 PB inclusive escavação, reaterro e transporte do tubo</v>
      </c>
      <c r="D145" s="1059" t="s">
        <v>1000</v>
      </c>
      <c r="E145" s="1060"/>
      <c r="F145" s="1061"/>
      <c r="G145" s="1059" t="s">
        <v>1001</v>
      </c>
      <c r="H145" s="1060"/>
      <c r="I145" s="1061"/>
      <c r="J145" s="349" t="s">
        <v>989</v>
      </c>
      <c r="K145" s="884"/>
      <c r="L145" s="876"/>
      <c r="M145" s="885"/>
      <c r="N145" s="876" t="str">
        <f>CONCATENATE("Total (",IF(MID(B145,1,2)="LG",VLOOKUP(B145,'Compos lug'!J:M,4,FALSE),IF(MID(B145,1,1)="6","t",VLOOKUP(B145,'DER 10-18'!$A$1:$I$1994,3,FALSE))),")")</f>
        <v>Total (M)</v>
      </c>
      <c r="O145" s="313"/>
      <c r="P145" s="315"/>
      <c r="Q145" s="315"/>
      <c r="R145" s="909"/>
      <c r="S145" s="738">
        <f>VLOOKUP("Total",C146:O1905,12,FALSE)</f>
        <v>161.5</v>
      </c>
      <c r="T145" s="738" t="str">
        <f>VLOOKUP("Total",C146:O1905,13,FALSE)</f>
        <v>M</v>
      </c>
      <c r="U145" s="738"/>
      <c r="AF145" s="289">
        <v>920</v>
      </c>
    </row>
    <row r="146" spans="1:32" x14ac:dyDescent="0.2">
      <c r="A146" s="294"/>
      <c r="B146" s="293"/>
      <c r="C146" s="744" t="s">
        <v>1553</v>
      </c>
      <c r="F146" s="675"/>
      <c r="G146" s="1067"/>
      <c r="H146" s="1067"/>
      <c r="I146" s="1068"/>
      <c r="N146" s="883"/>
      <c r="O146" s="674"/>
      <c r="R146" s="903"/>
      <c r="S146" s="738">
        <f>VLOOKUP("Total",C147:O1905,12,FALSE)</f>
        <v>161.5</v>
      </c>
      <c r="T146" s="738" t="str">
        <f>VLOOKUP("Total",C147:O1905,13,FALSE)</f>
        <v>M</v>
      </c>
      <c r="U146" s="748"/>
    </row>
    <row r="147" spans="1:32" x14ac:dyDescent="0.2">
      <c r="A147" s="294"/>
      <c r="B147" s="293"/>
      <c r="C147" s="380" t="s">
        <v>1272</v>
      </c>
      <c r="D147" s="381">
        <v>12</v>
      </c>
      <c r="E147" s="524" t="s">
        <v>8</v>
      </c>
      <c r="F147" s="292">
        <v>10</v>
      </c>
      <c r="G147" s="382"/>
      <c r="H147" s="524"/>
      <c r="J147" s="383"/>
      <c r="K147" s="350"/>
      <c r="M147" s="875"/>
      <c r="N147" s="883">
        <v>25.5</v>
      </c>
      <c r="O147" s="740"/>
      <c r="P147" s="881" t="s">
        <v>1559</v>
      </c>
      <c r="R147" s="903"/>
      <c r="S147" s="738">
        <f>VLOOKUP("Total",C148:O1905,12,FALSE)</f>
        <v>161.5</v>
      </c>
      <c r="T147" s="738" t="str">
        <f>VLOOKUP("Total",C148:O1905,13,FALSE)</f>
        <v>M</v>
      </c>
      <c r="U147" s="738"/>
      <c r="W147" s="288"/>
      <c r="X147" s="288"/>
      <c r="Y147" s="288"/>
      <c r="Z147" s="288"/>
      <c r="AA147" s="288"/>
      <c r="AF147" s="288">
        <v>3237.12</v>
      </c>
    </row>
    <row r="148" spans="1:32" x14ac:dyDescent="0.2">
      <c r="A148" s="294"/>
      <c r="B148" s="293"/>
      <c r="C148" s="380" t="s">
        <v>1273</v>
      </c>
      <c r="D148" s="381">
        <v>19</v>
      </c>
      <c r="E148" s="524" t="s">
        <v>8</v>
      </c>
      <c r="F148" s="292">
        <v>5</v>
      </c>
      <c r="G148" s="382"/>
      <c r="H148" s="524"/>
      <c r="J148" s="383"/>
      <c r="K148" s="350"/>
      <c r="M148" s="875"/>
      <c r="N148" s="883">
        <v>11</v>
      </c>
      <c r="O148" s="740"/>
      <c r="P148" s="881" t="s">
        <v>1559</v>
      </c>
      <c r="R148" s="903"/>
      <c r="S148" s="738">
        <f>VLOOKUP("Total",C149:O1905,12,FALSE)</f>
        <v>161.5</v>
      </c>
      <c r="T148" s="738" t="str">
        <f>VLOOKUP("Total",C149:O1905,13,FALSE)</f>
        <v>M</v>
      </c>
      <c r="U148" s="738"/>
      <c r="W148" s="288"/>
      <c r="X148" s="288"/>
      <c r="Y148" s="288"/>
      <c r="Z148" s="288"/>
      <c r="AA148" s="288"/>
      <c r="AF148" s="288">
        <v>4</v>
      </c>
    </row>
    <row r="149" spans="1:32" x14ac:dyDescent="0.2">
      <c r="A149" s="294"/>
      <c r="B149" s="293"/>
      <c r="C149" s="380" t="s">
        <v>1316</v>
      </c>
      <c r="D149" s="381">
        <v>29</v>
      </c>
      <c r="E149" s="524" t="s">
        <v>8</v>
      </c>
      <c r="F149" s="292">
        <v>10</v>
      </c>
      <c r="G149" s="382"/>
      <c r="H149" s="524"/>
      <c r="J149" s="383"/>
      <c r="K149" s="350"/>
      <c r="M149" s="426"/>
      <c r="N149" s="883">
        <v>11</v>
      </c>
      <c r="O149" s="740"/>
      <c r="P149" s="882"/>
      <c r="R149" s="903"/>
      <c r="S149" s="738">
        <f>VLOOKUP("Total",C150:O1905,12,FALSE)</f>
        <v>161.5</v>
      </c>
      <c r="T149" s="738" t="str">
        <f>VLOOKUP("Total",C150:O1905,13,FALSE)</f>
        <v>M</v>
      </c>
      <c r="U149" s="738"/>
      <c r="W149" s="288"/>
      <c r="X149" s="288"/>
      <c r="Y149" s="288"/>
      <c r="Z149" s="288"/>
      <c r="AA149" s="288"/>
    </row>
    <row r="150" spans="1:32" x14ac:dyDescent="0.2">
      <c r="A150" s="294"/>
      <c r="B150" s="293"/>
      <c r="C150" s="380" t="s">
        <v>1317</v>
      </c>
      <c r="D150" s="381">
        <v>45</v>
      </c>
      <c r="E150" s="524" t="s">
        <v>8</v>
      </c>
      <c r="F150" s="292">
        <v>0</v>
      </c>
      <c r="G150" s="382"/>
      <c r="H150" s="524"/>
      <c r="J150" s="383"/>
      <c r="K150" s="350"/>
      <c r="M150" s="426"/>
      <c r="N150" s="883">
        <v>11</v>
      </c>
      <c r="O150" s="740"/>
      <c r="P150" s="882"/>
      <c r="R150" s="903"/>
      <c r="S150" s="738">
        <f>VLOOKUP("Total",C151:O1905,12,FALSE)</f>
        <v>161.5</v>
      </c>
      <c r="T150" s="738" t="str">
        <f>VLOOKUP("Total",C151:O1905,13,FALSE)</f>
        <v>M</v>
      </c>
      <c r="U150" s="738"/>
      <c r="W150" s="288"/>
      <c r="X150" s="288"/>
      <c r="Y150" s="288"/>
      <c r="Z150" s="288"/>
      <c r="AA150" s="288"/>
    </row>
    <row r="151" spans="1:32" x14ac:dyDescent="0.2">
      <c r="A151" s="294"/>
      <c r="B151" s="293"/>
      <c r="C151" s="380" t="s">
        <v>1318</v>
      </c>
      <c r="D151" s="381">
        <v>55</v>
      </c>
      <c r="E151" s="524" t="s">
        <v>8</v>
      </c>
      <c r="F151" s="292">
        <v>10</v>
      </c>
      <c r="G151" s="382"/>
      <c r="H151" s="524"/>
      <c r="J151" s="383"/>
      <c r="K151" s="350"/>
      <c r="M151" s="426"/>
      <c r="N151" s="883">
        <v>11</v>
      </c>
      <c r="O151" s="740"/>
      <c r="P151" s="882"/>
      <c r="R151" s="903"/>
      <c r="S151" s="738">
        <f>VLOOKUP("Total",C152:O1905,12,FALSE)</f>
        <v>161.5</v>
      </c>
      <c r="T151" s="738" t="str">
        <f>VLOOKUP("Total",C152:O1905,13,FALSE)</f>
        <v>M</v>
      </c>
      <c r="U151" s="738"/>
      <c r="W151" s="288"/>
      <c r="X151" s="288"/>
      <c r="Y151" s="288"/>
      <c r="Z151" s="288"/>
      <c r="AA151" s="288"/>
    </row>
    <row r="152" spans="1:32" x14ac:dyDescent="0.2">
      <c r="A152" s="294"/>
      <c r="B152" s="293"/>
      <c r="C152" s="380" t="s">
        <v>1319</v>
      </c>
      <c r="D152" s="381">
        <v>71</v>
      </c>
      <c r="E152" s="524" t="s">
        <v>8</v>
      </c>
      <c r="F152" s="292">
        <v>10</v>
      </c>
      <c r="G152" s="382"/>
      <c r="H152" s="524"/>
      <c r="J152" s="383"/>
      <c r="K152" s="350"/>
      <c r="M152" s="426"/>
      <c r="N152" s="883">
        <v>20</v>
      </c>
      <c r="O152" s="740"/>
      <c r="P152" s="882"/>
      <c r="R152" s="903"/>
      <c r="S152" s="738">
        <f>VLOOKUP("Total",C153:O1905,12,FALSE)</f>
        <v>161.5</v>
      </c>
      <c r="T152" s="738" t="str">
        <f>VLOOKUP("Total",C153:O1905,13,FALSE)</f>
        <v>M</v>
      </c>
      <c r="U152" s="738"/>
      <c r="W152" s="288"/>
      <c r="X152" s="288"/>
      <c r="Y152" s="288"/>
      <c r="Z152" s="288"/>
      <c r="AA152" s="288"/>
    </row>
    <row r="153" spans="1:32" x14ac:dyDescent="0.2">
      <c r="A153" s="294"/>
      <c r="B153" s="293"/>
      <c r="C153" s="380" t="s">
        <v>1320</v>
      </c>
      <c r="D153" s="381">
        <v>80</v>
      </c>
      <c r="E153" s="524" t="s">
        <v>8</v>
      </c>
      <c r="F153" s="292">
        <v>10</v>
      </c>
      <c r="G153" s="382"/>
      <c r="H153" s="524"/>
      <c r="J153" s="383"/>
      <c r="K153" s="350"/>
      <c r="M153" s="426"/>
      <c r="N153" s="883">
        <v>22</v>
      </c>
      <c r="O153" s="740"/>
      <c r="P153" s="882"/>
      <c r="R153" s="903"/>
      <c r="S153" s="738">
        <f>VLOOKUP("Total",C154:O1905,12,FALSE)</f>
        <v>161.5</v>
      </c>
      <c r="T153" s="738" t="str">
        <f>VLOOKUP("Total",C154:O1905,13,FALSE)</f>
        <v>M</v>
      </c>
      <c r="U153" s="738"/>
      <c r="W153" s="288"/>
      <c r="X153" s="288"/>
      <c r="Y153" s="288"/>
      <c r="Z153" s="288"/>
      <c r="AA153" s="288"/>
    </row>
    <row r="154" spans="1:32" x14ac:dyDescent="0.2">
      <c r="A154" s="294"/>
      <c r="B154" s="293"/>
      <c r="C154" s="380" t="s">
        <v>1321</v>
      </c>
      <c r="D154" s="381">
        <v>89</v>
      </c>
      <c r="E154" s="524" t="s">
        <v>8</v>
      </c>
      <c r="F154" s="292">
        <v>0</v>
      </c>
      <c r="G154" s="382"/>
      <c r="H154" s="524"/>
      <c r="J154" s="383"/>
      <c r="K154" s="350"/>
      <c r="M154" s="426"/>
      <c r="N154" s="883">
        <v>30</v>
      </c>
      <c r="O154" s="740"/>
      <c r="P154" s="882"/>
      <c r="R154" s="903"/>
      <c r="S154" s="738">
        <f>VLOOKUP("Total",C155:O1905,12,FALSE)</f>
        <v>161.5</v>
      </c>
      <c r="T154" s="738" t="str">
        <f>VLOOKUP("Total",C155:O1905,13,FALSE)</f>
        <v>M</v>
      </c>
      <c r="U154" s="738"/>
      <c r="W154" s="288"/>
      <c r="X154" s="288"/>
      <c r="Y154" s="288"/>
      <c r="Z154" s="288"/>
      <c r="AA154" s="288"/>
    </row>
    <row r="155" spans="1:32" x14ac:dyDescent="0.2">
      <c r="A155" s="294"/>
      <c r="B155" s="293"/>
      <c r="C155" s="380" t="s">
        <v>1322</v>
      </c>
      <c r="D155" s="381">
        <v>104</v>
      </c>
      <c r="E155" s="524" t="s">
        <v>8</v>
      </c>
      <c r="F155" s="292">
        <v>0</v>
      </c>
      <c r="G155" s="382"/>
      <c r="H155" s="524"/>
      <c r="J155" s="383"/>
      <c r="K155" s="350"/>
      <c r="M155" s="426"/>
      <c r="N155" s="883">
        <v>20</v>
      </c>
      <c r="O155" s="740"/>
      <c r="P155" s="882"/>
      <c r="R155" s="903"/>
      <c r="S155" s="738">
        <f>VLOOKUP("Total",C156:O1905,12,FALSE)</f>
        <v>161.5</v>
      </c>
      <c r="T155" s="738" t="str">
        <f>VLOOKUP("Total",C156:O1905,13,FALSE)</f>
        <v>M</v>
      </c>
      <c r="U155" s="738"/>
      <c r="W155" s="288"/>
      <c r="X155" s="288"/>
      <c r="Y155" s="288"/>
      <c r="Z155" s="288"/>
      <c r="AA155" s="288"/>
    </row>
    <row r="156" spans="1:32" x14ac:dyDescent="0.2">
      <c r="A156" s="899"/>
      <c r="B156" s="353"/>
      <c r="C156" s="354" t="s">
        <v>2</v>
      </c>
      <c r="D156" s="355"/>
      <c r="E156" s="352"/>
      <c r="F156" s="356"/>
      <c r="G156" s="355"/>
      <c r="H156" s="356"/>
      <c r="I156" s="356"/>
      <c r="J156" s="353"/>
      <c r="K156" s="357"/>
      <c r="L156" s="358"/>
      <c r="M156" s="359"/>
      <c r="N156" s="360">
        <f>SUM(N147:N155)</f>
        <v>161.5</v>
      </c>
      <c r="O156" s="361" t="str">
        <f>IF(MID(B145,1,2)="LG",VLOOKUP(B145,'Compos lug'!J:M,4,FALSE),IF(MID(B145,1,1)="6",VLOOKUP(B145,tranp.!$A$6:$K$38,3,FALSE),VLOOKUP(B145,'DER 10-18'!$A$1:$I$1994,3,FALSE)))</f>
        <v>M</v>
      </c>
      <c r="P156" s="362"/>
      <c r="Q156" s="362"/>
      <c r="R156" s="900"/>
      <c r="S156" s="738">
        <f>VLOOKUP("Total",C157:O1905,12,FALSE)</f>
        <v>29</v>
      </c>
      <c r="T156" s="738" t="str">
        <f>VLOOKUP("Total",C157:O1905,13,FALSE)</f>
        <v>M</v>
      </c>
      <c r="U156" s="738"/>
      <c r="W156" s="288"/>
      <c r="X156" s="288"/>
      <c r="Y156" s="288"/>
      <c r="Z156" s="288"/>
      <c r="AA156" s="288"/>
      <c r="AF156" s="288">
        <v>80</v>
      </c>
    </row>
    <row r="157" spans="1:32" x14ac:dyDescent="0.2">
      <c r="A157" s="294"/>
      <c r="B157" s="293"/>
      <c r="C157" s="343"/>
      <c r="H157" s="292"/>
      <c r="N157" s="314"/>
      <c r="O157" s="344"/>
      <c r="P157" s="315"/>
      <c r="Q157" s="315"/>
      <c r="R157" s="903"/>
      <c r="S157" s="738">
        <f>VLOOKUP("Total",C158:O1905,12,FALSE)</f>
        <v>29</v>
      </c>
      <c r="T157" s="738" t="str">
        <f>VLOOKUP("Total",C158:O1905,13,FALSE)</f>
        <v>M</v>
      </c>
      <c r="U157" s="738"/>
      <c r="W157" s="288"/>
      <c r="X157" s="288"/>
      <c r="Y157" s="288"/>
      <c r="Z157" s="288"/>
      <c r="AA157" s="288"/>
      <c r="AF157" s="288">
        <v>642</v>
      </c>
    </row>
    <row r="158" spans="1:32" s="289" customFormat="1" ht="39.75" customHeight="1" x14ac:dyDescent="0.2">
      <c r="A158" s="895" t="s">
        <v>247</v>
      </c>
      <c r="B158" s="346">
        <v>40453</v>
      </c>
      <c r="C158" s="347" t="str">
        <f>IF(MID(B158,1,2)="LG",VLOOKUP(B158,'Compos lug'!J:M,3,FALSE),IF(MID(B158,1,1)="6",VLOOKUP(B158,tranp.!$A$4:$K$21,11,FALSE)&amp;" -  XP="&amp;TEXT(T158,"0,000")&amp;" / XR="&amp;TEXT(V158,"0,000"),VLOOKUP(B158,'DER 10-18'!$A$1:$I$1994,2,FALSE)))</f>
        <v>Corpo BSTC (grota) diâmetro 1,00 m CA-1 PB exclusive escavação e reaterro, inclusive transporte do tubo</v>
      </c>
      <c r="D158" s="1059" t="s">
        <v>1000</v>
      </c>
      <c r="E158" s="1060"/>
      <c r="F158" s="1061"/>
      <c r="G158" s="1059" t="s">
        <v>1001</v>
      </c>
      <c r="H158" s="1060"/>
      <c r="I158" s="1061"/>
      <c r="J158" s="349" t="s">
        <v>989</v>
      </c>
      <c r="K158" s="884"/>
      <c r="L158" s="876"/>
      <c r="M158" s="885"/>
      <c r="N158" s="876" t="str">
        <f>CONCATENATE("Total (",IF(MID(B158,1,2)="LG",VLOOKUP(B158,'Compos lug'!J:M,4,FALSE),IF(MID(B158,1,1)="6","t",VLOOKUP(B158,'DER 10-18'!$A$1:$I$1994,3,FALSE))),")")</f>
        <v>Total (M)</v>
      </c>
      <c r="O158" s="313"/>
      <c r="P158" s="1062" t="s">
        <v>1002</v>
      </c>
      <c r="Q158" s="1063"/>
      <c r="R158" s="902"/>
      <c r="S158" s="738">
        <f>VLOOKUP("Total",C159:O1905,12,FALSE)</f>
        <v>29</v>
      </c>
      <c r="T158" s="738" t="str">
        <f>VLOOKUP("Total",C159:O1905,13,FALSE)</f>
        <v>M</v>
      </c>
      <c r="U158" s="738"/>
      <c r="AF158" s="289">
        <v>528</v>
      </c>
    </row>
    <row r="159" spans="1:32" x14ac:dyDescent="0.2">
      <c r="A159" s="294"/>
      <c r="B159" s="293"/>
      <c r="C159" s="744" t="s">
        <v>1553</v>
      </c>
      <c r="F159" s="675"/>
      <c r="G159" s="1067"/>
      <c r="H159" s="1067"/>
      <c r="I159" s="1068"/>
      <c r="N159" s="883"/>
      <c r="O159" s="674"/>
      <c r="R159" s="903"/>
      <c r="S159" s="738">
        <f>VLOOKUP("Total",C160:O1905,12,FALSE)</f>
        <v>29</v>
      </c>
      <c r="T159" s="738" t="str">
        <f>VLOOKUP("Total",C160:O1905,13,FALSE)</f>
        <v>M</v>
      </c>
      <c r="U159" s="748"/>
    </row>
    <row r="160" spans="1:32" x14ac:dyDescent="0.2">
      <c r="A160" s="897"/>
      <c r="B160" s="349"/>
      <c r="C160" s="380" t="s">
        <v>1349</v>
      </c>
      <c r="D160" s="381">
        <v>38</v>
      </c>
      <c r="E160" s="524" t="s">
        <v>8</v>
      </c>
      <c r="F160" s="292">
        <v>0</v>
      </c>
      <c r="G160" s="382"/>
      <c r="H160" s="524"/>
      <c r="J160" s="383"/>
      <c r="K160" s="350"/>
      <c r="M160" s="875"/>
      <c r="N160" s="883">
        <v>29</v>
      </c>
      <c r="O160" s="740"/>
      <c r="P160" s="881"/>
      <c r="Q160" s="880"/>
      <c r="R160" s="898"/>
      <c r="S160" s="738">
        <f>VLOOKUP("Total",C161:O1905,12,FALSE)</f>
        <v>29</v>
      </c>
      <c r="T160" s="738" t="str">
        <f>VLOOKUP("Total",C161:O1905,13,FALSE)</f>
        <v>M</v>
      </c>
      <c r="U160" s="738"/>
      <c r="W160" s="288"/>
      <c r="X160" s="288"/>
      <c r="Y160" s="288"/>
      <c r="Z160" s="288"/>
      <c r="AA160" s="288"/>
      <c r="AF160" s="288">
        <v>52</v>
      </c>
    </row>
    <row r="161" spans="1:32" x14ac:dyDescent="0.2">
      <c r="A161" s="899"/>
      <c r="B161" s="353"/>
      <c r="C161" s="354" t="s">
        <v>2</v>
      </c>
      <c r="D161" s="355"/>
      <c r="E161" s="352"/>
      <c r="F161" s="356"/>
      <c r="G161" s="355"/>
      <c r="H161" s="356"/>
      <c r="I161" s="356"/>
      <c r="J161" s="353"/>
      <c r="K161" s="357"/>
      <c r="L161" s="358"/>
      <c r="M161" s="359"/>
      <c r="N161" s="360">
        <f>SUM(N160:N160)</f>
        <v>29</v>
      </c>
      <c r="O161" s="361" t="str">
        <f>IF(MID(B158,1,2)="LG",VLOOKUP(B158,'Compos lug'!J:M,4,FALSE),IF(MID(B158,1,1)="6",VLOOKUP(B158,tranp.!$A$6:$K$38,3,FALSE),VLOOKUP(B158,'DER 10-18'!$A$1:$I$1994,3,FALSE)))</f>
        <v>M</v>
      </c>
      <c r="P161" s="362"/>
      <c r="Q161" s="362"/>
      <c r="R161" s="900"/>
      <c r="S161" s="738">
        <f>VLOOKUP("Total",C162:O1905,12,FALSE)</f>
        <v>22</v>
      </c>
      <c r="T161" s="738" t="str">
        <f>VLOOKUP("Total",C162:O1905,13,FALSE)</f>
        <v>M</v>
      </c>
      <c r="U161" s="738"/>
      <c r="W161" s="288"/>
      <c r="X161" s="288"/>
      <c r="Y161" s="288"/>
      <c r="Z161" s="288"/>
      <c r="AA161" s="288"/>
      <c r="AF161" s="288">
        <v>40.58</v>
      </c>
    </row>
    <row r="162" spans="1:32" x14ac:dyDescent="0.2">
      <c r="A162" s="294"/>
      <c r="B162" s="293"/>
      <c r="C162" s="343"/>
      <c r="H162" s="292"/>
      <c r="N162" s="314"/>
      <c r="O162" s="344"/>
      <c r="P162" s="315"/>
      <c r="Q162" s="315"/>
      <c r="R162" s="903"/>
      <c r="S162" s="738">
        <f>VLOOKUP("Total",C163:O1905,12,FALSE)</f>
        <v>22</v>
      </c>
      <c r="T162" s="738" t="str">
        <f>VLOOKUP("Total",C163:O1905,13,FALSE)</f>
        <v>M</v>
      </c>
      <c r="U162" s="738"/>
      <c r="W162" s="288"/>
      <c r="X162" s="288"/>
      <c r="Y162" s="288"/>
      <c r="Z162" s="288"/>
      <c r="AA162" s="288"/>
      <c r="AF162" s="288">
        <v>30</v>
      </c>
    </row>
    <row r="163" spans="1:32" s="289" customFormat="1" ht="28.5" customHeight="1" x14ac:dyDescent="0.2">
      <c r="A163" s="895" t="s">
        <v>248</v>
      </c>
      <c r="B163" s="346">
        <v>40591</v>
      </c>
      <c r="C163" s="347" t="str">
        <f>IF(MID(B163,1,2)="LG",VLOOKUP(B163,'Compos lug'!J:M,3,FALSE),IF(MID(B163,1,1)="6",VLOOKUP(B163,tranp.!$A$4:$K$21,11,FALSE)&amp;" -  XP="&amp;TEXT(T163,"0,000")&amp;" / XR="&amp;TEXT(V163,"0,000"),VLOOKUP(B163,'DER 10-18'!$A$1:$I$1994,2,FALSE)))</f>
        <v>Corpo de BDCC 3,00 x 3,00 m projeto DNIT para H &lt; = 2,50 m</v>
      </c>
      <c r="D163" s="1059" t="s">
        <v>1000</v>
      </c>
      <c r="E163" s="1060"/>
      <c r="F163" s="1061"/>
      <c r="G163" s="1059" t="s">
        <v>1001</v>
      </c>
      <c r="H163" s="1060"/>
      <c r="I163" s="1061"/>
      <c r="J163" s="349" t="s">
        <v>989</v>
      </c>
      <c r="K163" s="884"/>
      <c r="L163" s="876"/>
      <c r="M163" s="885"/>
      <c r="N163" s="876" t="str">
        <f>CONCATENATE("Total (",IF(MID(B163,1,2)="LG",VLOOKUP(B163,'Compos lug'!J:M,4,FALSE),IF(MID(B163,1,1)="6","t",VLOOKUP(B163,'DER 10-18'!$A$1:$I$1994,3,FALSE))),")")</f>
        <v>Total (M)</v>
      </c>
      <c r="O163" s="313"/>
      <c r="P163" s="1062" t="s">
        <v>1002</v>
      </c>
      <c r="Q163" s="1063"/>
      <c r="R163" s="902"/>
      <c r="S163" s="738">
        <f>VLOOKUP("Total",C164:O1905,12,FALSE)</f>
        <v>22</v>
      </c>
      <c r="T163" s="738" t="str">
        <f>VLOOKUP("Total",C164:O1905,13,FALSE)</f>
        <v>M</v>
      </c>
      <c r="U163" s="738"/>
      <c r="AF163" s="289">
        <v>20</v>
      </c>
    </row>
    <row r="164" spans="1:32" x14ac:dyDescent="0.2">
      <c r="A164" s="294"/>
      <c r="B164" s="293"/>
      <c r="C164" s="744" t="s">
        <v>1553</v>
      </c>
      <c r="F164" s="675"/>
      <c r="G164" s="1067"/>
      <c r="H164" s="1067"/>
      <c r="I164" s="1068"/>
      <c r="N164" s="883"/>
      <c r="O164" s="674"/>
      <c r="R164" s="903"/>
      <c r="S164" s="738">
        <f>VLOOKUP("Total",C165:O1905,12,FALSE)</f>
        <v>22</v>
      </c>
      <c r="T164" s="738" t="str">
        <f>VLOOKUP("Total",C165:O1905,13,FALSE)</f>
        <v>M</v>
      </c>
      <c r="U164" s="748"/>
    </row>
    <row r="165" spans="1:32" x14ac:dyDescent="0.2">
      <c r="A165" s="897"/>
      <c r="B165" s="349"/>
      <c r="C165" s="380" t="s">
        <v>1348</v>
      </c>
      <c r="D165" s="381">
        <v>3</v>
      </c>
      <c r="E165" s="524" t="s">
        <v>8</v>
      </c>
      <c r="F165" s="292">
        <v>0</v>
      </c>
      <c r="G165" s="382"/>
      <c r="H165" s="524"/>
      <c r="J165" s="383"/>
      <c r="K165" s="350"/>
      <c r="M165" s="875"/>
      <c r="N165" s="883">
        <v>22</v>
      </c>
      <c r="O165" s="740"/>
      <c r="P165" s="881"/>
      <c r="Q165" s="880"/>
      <c r="R165" s="898"/>
      <c r="S165" s="738">
        <f>VLOOKUP("Total",C166:O1905,12,FALSE)</f>
        <v>22</v>
      </c>
      <c r="T165" s="738" t="str">
        <f>VLOOKUP("Total",C166:O1905,13,FALSE)</f>
        <v>M</v>
      </c>
      <c r="U165" s="738"/>
      <c r="W165" s="288"/>
      <c r="X165" s="288"/>
      <c r="Y165" s="288"/>
      <c r="Z165" s="288"/>
      <c r="AA165" s="288"/>
      <c r="AF165" s="288">
        <v>30</v>
      </c>
    </row>
    <row r="166" spans="1:32" x14ac:dyDescent="0.2">
      <c r="A166" s="899"/>
      <c r="B166" s="353"/>
      <c r="C166" s="354" t="s">
        <v>2</v>
      </c>
      <c r="D166" s="355"/>
      <c r="E166" s="352"/>
      <c r="F166" s="356"/>
      <c r="G166" s="355"/>
      <c r="H166" s="356"/>
      <c r="I166" s="356"/>
      <c r="J166" s="353"/>
      <c r="K166" s="357"/>
      <c r="L166" s="358"/>
      <c r="M166" s="359"/>
      <c r="N166" s="360">
        <f>SUM(N165:N165)</f>
        <v>22</v>
      </c>
      <c r="O166" s="361" t="str">
        <f>IF(MID(B163,1,2)="LG",VLOOKUP(B163,'Compos lug'!J:M,4,FALSE),IF(MID(B163,1,1)="6",VLOOKUP(B163,tranp.!$A$6:$K$38,3,FALSE),VLOOKUP(B163,'DER 10-18'!$A$1:$I$1994,3,FALSE)))</f>
        <v>M</v>
      </c>
      <c r="P166" s="362"/>
      <c r="Q166" s="362"/>
      <c r="R166" s="900"/>
      <c r="S166" s="738">
        <f>VLOOKUP("Total",C167:O1905,12,FALSE)</f>
        <v>42</v>
      </c>
      <c r="T166" s="738" t="str">
        <f>VLOOKUP("Total",C167:O1905,13,FALSE)</f>
        <v>M</v>
      </c>
      <c r="U166" s="738"/>
      <c r="W166" s="288"/>
      <c r="X166" s="288"/>
      <c r="Y166" s="288"/>
      <c r="Z166" s="288"/>
      <c r="AA166" s="288"/>
      <c r="AF166" s="288">
        <v>7440</v>
      </c>
    </row>
    <row r="167" spans="1:32" x14ac:dyDescent="0.2">
      <c r="A167" s="294"/>
      <c r="B167" s="293"/>
      <c r="C167" s="343"/>
      <c r="H167" s="292"/>
      <c r="N167" s="314"/>
      <c r="O167" s="344"/>
      <c r="P167" s="315"/>
      <c r="Q167" s="315"/>
      <c r="R167" s="903"/>
      <c r="S167" s="738">
        <f>VLOOKUP("Total",C168:O1905,12,FALSE)</f>
        <v>42</v>
      </c>
      <c r="T167" s="738" t="str">
        <f>VLOOKUP("Total",C168:O1905,13,FALSE)</f>
        <v>M</v>
      </c>
      <c r="U167" s="738"/>
    </row>
    <row r="168" spans="1:32" s="289" customFormat="1" ht="39.75" customHeight="1" x14ac:dyDescent="0.2">
      <c r="A168" s="908" t="s">
        <v>249</v>
      </c>
      <c r="B168" s="666">
        <v>40478</v>
      </c>
      <c r="C168" s="347" t="str">
        <f>IF(MID(B168,1,2)="LG",VLOOKUP(B168,'Compos lug'!J:M,3,FALSE),IF(MID(B168,1,1)="6",VLOOKUP(B168,tranp.!$A$4:$K$19,11,FALSE)&amp;" -  XP="&amp;TEXT(T168,"0.000")&amp;" / XR="&amp;TEXT(V168,"0.000"),VLOOKUP(B168,'DER 10-18'!$A$1:$I$1981,2,FALSE)))</f>
        <v>Corpo BDTC (grota) diâmetro 1,00 m CA-2 PB exclusive escavação e reaterro, inclusive transporte do tubo</v>
      </c>
      <c r="D168" s="1059" t="s">
        <v>7</v>
      </c>
      <c r="E168" s="1060"/>
      <c r="F168" s="1061"/>
      <c r="G168" s="1059"/>
      <c r="H168" s="1060"/>
      <c r="I168" s="1061"/>
      <c r="J168" s="349"/>
      <c r="K168" s="750"/>
      <c r="L168" s="885"/>
      <c r="M168" s="874"/>
      <c r="N168" s="876" t="str">
        <f>CONCATENATE("Total (",IF(MID(B168,1,2)="LG",VLOOKUP(B168,'Compos lug'!J:M,4,FALSE),IF(MID(B168,1,1)="6","t",VLOOKUP(B168,'DER 10-18'!$A$1:$I$1981,3,FALSE))),")")</f>
        <v>Total (M)</v>
      </c>
      <c r="O168" s="313"/>
      <c r="P168" s="315"/>
      <c r="Q168" s="315"/>
      <c r="R168" s="909"/>
      <c r="S168" s="738">
        <f>VLOOKUP("Total",C169:O1905,12,FALSE)</f>
        <v>42</v>
      </c>
      <c r="T168" s="738" t="str">
        <f>VLOOKUP("Total",C169:O1905,13,FALSE)</f>
        <v>M</v>
      </c>
      <c r="U168" s="738"/>
      <c r="W168" s="712"/>
      <c r="X168" s="712"/>
      <c r="Y168" s="712"/>
      <c r="Z168" s="712"/>
      <c r="AA168" s="712"/>
    </row>
    <row r="169" spans="1:32" x14ac:dyDescent="0.2">
      <c r="A169" s="294"/>
      <c r="B169" s="293"/>
      <c r="C169" s="744" t="s">
        <v>1552</v>
      </c>
      <c r="N169" s="876"/>
      <c r="R169" s="912"/>
      <c r="S169" s="738">
        <f>VLOOKUP("Total",C170:O1905,12,FALSE)</f>
        <v>42</v>
      </c>
      <c r="T169" s="738" t="str">
        <f>VLOOKUP("Total",C170:O1905,13,FALSE)</f>
        <v>M</v>
      </c>
    </row>
    <row r="170" spans="1:32" x14ac:dyDescent="0.2">
      <c r="A170" s="294"/>
      <c r="B170" s="293"/>
      <c r="C170" s="673" t="s">
        <v>1348</v>
      </c>
      <c r="D170" s="290">
        <v>60</v>
      </c>
      <c r="E170" s="291" t="s">
        <v>8</v>
      </c>
      <c r="F170" s="675">
        <v>0</v>
      </c>
      <c r="G170" s="1067"/>
      <c r="H170" s="1067"/>
      <c r="I170" s="1068"/>
      <c r="K170" s="298"/>
      <c r="L170" s="299"/>
      <c r="N170" s="876">
        <v>20</v>
      </c>
      <c r="O170" s="674"/>
      <c r="R170" s="903"/>
      <c r="S170" s="738">
        <f>VLOOKUP("Total",C171:O1905,12,FALSE)</f>
        <v>42</v>
      </c>
      <c r="T170" s="738" t="str">
        <f>VLOOKUP("Total",C171:O1905,13,FALSE)</f>
        <v>M</v>
      </c>
      <c r="U170" s="748"/>
    </row>
    <row r="171" spans="1:32" x14ac:dyDescent="0.2">
      <c r="A171" s="294"/>
      <c r="B171" s="293"/>
      <c r="C171" s="673" t="s">
        <v>1352</v>
      </c>
      <c r="D171" s="290">
        <v>200</v>
      </c>
      <c r="E171" s="291" t="s">
        <v>8</v>
      </c>
      <c r="F171" s="675">
        <v>0</v>
      </c>
      <c r="G171" s="1067"/>
      <c r="H171" s="1067"/>
      <c r="I171" s="1068"/>
      <c r="N171" s="876">
        <v>22</v>
      </c>
      <c r="O171" s="674"/>
      <c r="R171" s="903"/>
      <c r="S171" s="738">
        <f>VLOOKUP("Total",C172:O1905,12,FALSE)</f>
        <v>42</v>
      </c>
      <c r="T171" s="738" t="str">
        <f>VLOOKUP("Total",C172:O1905,13,FALSE)</f>
        <v>M</v>
      </c>
      <c r="U171" s="748"/>
    </row>
    <row r="172" spans="1:32" x14ac:dyDescent="0.2">
      <c r="A172" s="899"/>
      <c r="B172" s="353"/>
      <c r="C172" s="354" t="s">
        <v>2</v>
      </c>
      <c r="D172" s="355"/>
      <c r="E172" s="352"/>
      <c r="F172" s="356"/>
      <c r="G172" s="355"/>
      <c r="H172" s="356"/>
      <c r="I172" s="356"/>
      <c r="J172" s="353"/>
      <c r="K172" s="357"/>
      <c r="L172" s="358"/>
      <c r="M172" s="359"/>
      <c r="N172" s="360">
        <f>SUM(N170:N171)</f>
        <v>42</v>
      </c>
      <c r="O172" s="361" t="str">
        <f>IF(MID(B168,1,2)="LG",VLOOKUP(B168,'Compos lug'!J:M,4,FALSE),IF(MID(B168,1,1)="6",VLOOKUP(B168,tranp.!$A$6:$K$51,3,FALSE),VLOOKUP(B168,'DER 10-18'!$A$1:$I$1981,3,FALSE)))</f>
        <v>M</v>
      </c>
      <c r="P172" s="362"/>
      <c r="Q172" s="362"/>
      <c r="R172" s="900"/>
      <c r="S172" s="738">
        <f>VLOOKUP("Total",C173:O1905,12,FALSE)</f>
        <v>97</v>
      </c>
      <c r="T172" s="738" t="str">
        <f>VLOOKUP("Total",C173:O1905,13,FALSE)</f>
        <v>M</v>
      </c>
      <c r="U172" s="738"/>
    </row>
    <row r="173" spans="1:32" s="651" customFormat="1" x14ac:dyDescent="0.2">
      <c r="A173" s="910"/>
      <c r="B173" s="655"/>
      <c r="C173" s="656"/>
      <c r="D173" s="657"/>
      <c r="E173" s="654"/>
      <c r="F173" s="652"/>
      <c r="G173" s="657"/>
      <c r="H173" s="652"/>
      <c r="I173" s="652"/>
      <c r="J173" s="655"/>
      <c r="K173" s="658"/>
      <c r="L173" s="653"/>
      <c r="M173" s="659"/>
      <c r="N173" s="648"/>
      <c r="O173" s="660"/>
      <c r="P173" s="661"/>
      <c r="Q173" s="661"/>
      <c r="R173" s="911"/>
      <c r="S173" s="738">
        <f>VLOOKUP("Total",C174:O1905,12,FALSE)</f>
        <v>97</v>
      </c>
      <c r="T173" s="738" t="str">
        <f>VLOOKUP("Total",C174:O1905,13,FALSE)</f>
        <v>M</v>
      </c>
      <c r="U173" s="749"/>
      <c r="W173" s="714"/>
      <c r="X173" s="714"/>
      <c r="Y173" s="714"/>
      <c r="Z173" s="714"/>
      <c r="AA173" s="714"/>
    </row>
    <row r="174" spans="1:32" s="289" customFormat="1" ht="45.75" customHeight="1" x14ac:dyDescent="0.2">
      <c r="A174" s="908" t="s">
        <v>250</v>
      </c>
      <c r="B174" s="666">
        <v>40483</v>
      </c>
      <c r="C174" s="347" t="str">
        <f>IF(MID(B174,1,2)="LG",VLOOKUP(B174,'Compos lug'!J:M,3,FALSE),IF(MID(B174,1,1)="6",VLOOKUP(B174,tranp.!$A$4:$K$19,11,FALSE)&amp;" -  XP="&amp;TEXT(T174,"0.000")&amp;" / XR="&amp;TEXT(V174,"0.000"),VLOOKUP(B174,'DER 10-18'!$A$1:$I$1981,2,FALSE)))</f>
        <v>Corpo BDTC (grota) diâmetro 1,20 m CA-2 PB exclusive escavação e reaterro, inclusive transporte do tubo</v>
      </c>
      <c r="D174" s="1059" t="s">
        <v>7</v>
      </c>
      <c r="E174" s="1060"/>
      <c r="F174" s="1061"/>
      <c r="G174" s="1059"/>
      <c r="H174" s="1060"/>
      <c r="I174" s="1061"/>
      <c r="J174" s="349"/>
      <c r="K174" s="750"/>
      <c r="L174" s="885"/>
      <c r="M174" s="874"/>
      <c r="N174" s="876" t="str">
        <f>CONCATENATE("Total (",IF(MID(B174,1,2)="LG",VLOOKUP(B174,'Compos lug'!J:M,4,FALSE),IF(MID(B174,1,1)="6","t",VLOOKUP(B174,'DER 10-18'!$A$1:$I$1981,3,FALSE))),")")</f>
        <v>Total (M)</v>
      </c>
      <c r="O174" s="313"/>
      <c r="P174" s="315"/>
      <c r="Q174" s="315"/>
      <c r="R174" s="909"/>
      <c r="S174" s="738">
        <f>VLOOKUP("Total",C175:O1905,12,FALSE)</f>
        <v>97</v>
      </c>
      <c r="T174" s="738" t="str">
        <f>VLOOKUP("Total",C175:O1905,13,FALSE)</f>
        <v>M</v>
      </c>
      <c r="U174" s="738"/>
      <c r="W174" s="712"/>
      <c r="X174" s="712"/>
      <c r="Y174" s="712"/>
      <c r="Z174" s="712"/>
      <c r="AA174" s="712"/>
    </row>
    <row r="175" spans="1:32" x14ac:dyDescent="0.2">
      <c r="A175" s="294"/>
      <c r="B175" s="293"/>
      <c r="C175" s="744" t="s">
        <v>1552</v>
      </c>
      <c r="N175" s="876"/>
      <c r="R175" s="912"/>
      <c r="S175" s="738">
        <f>VLOOKUP("Total",C176:O1905,12,FALSE)</f>
        <v>97</v>
      </c>
      <c r="T175" s="738" t="str">
        <f>VLOOKUP("Total",C176:O1905,13,FALSE)</f>
        <v>M</v>
      </c>
    </row>
    <row r="176" spans="1:32" x14ac:dyDescent="0.2">
      <c r="A176" s="294"/>
      <c r="B176" s="293"/>
      <c r="C176" s="673" t="s">
        <v>1349</v>
      </c>
      <c r="D176" s="290">
        <v>99</v>
      </c>
      <c r="E176" s="291" t="s">
        <v>8</v>
      </c>
      <c r="F176" s="675">
        <v>0</v>
      </c>
      <c r="G176" s="1067"/>
      <c r="H176" s="1067"/>
      <c r="I176" s="1068"/>
      <c r="N176" s="876">
        <v>50</v>
      </c>
      <c r="O176" s="674"/>
      <c r="R176" s="903"/>
      <c r="S176" s="738">
        <f>VLOOKUP("Total",C177:O1905,12,FALSE)</f>
        <v>97</v>
      </c>
      <c r="T176" s="738" t="str">
        <f>VLOOKUP("Total",C177:O1905,13,FALSE)</f>
        <v>M</v>
      </c>
      <c r="U176" s="748"/>
    </row>
    <row r="177" spans="1:27" x14ac:dyDescent="0.2">
      <c r="A177" s="294"/>
      <c r="B177" s="293"/>
      <c r="C177" s="673" t="s">
        <v>1350</v>
      </c>
      <c r="D177" s="290">
        <v>119</v>
      </c>
      <c r="E177" s="291" t="s">
        <v>8</v>
      </c>
      <c r="F177" s="675">
        <v>0</v>
      </c>
      <c r="G177" s="1067"/>
      <c r="H177" s="1067"/>
      <c r="I177" s="1068"/>
      <c r="N177" s="876">
        <v>25</v>
      </c>
      <c r="O177" s="674"/>
      <c r="R177" s="903"/>
      <c r="S177" s="738">
        <f>VLOOKUP("Total",C178:O1905,12,FALSE)</f>
        <v>97</v>
      </c>
      <c r="T177" s="738" t="str">
        <f>VLOOKUP("Total",C178:O1905,13,FALSE)</f>
        <v>M</v>
      </c>
      <c r="U177" s="748"/>
    </row>
    <row r="178" spans="1:27" x14ac:dyDescent="0.2">
      <c r="A178" s="294"/>
      <c r="B178" s="293"/>
      <c r="C178" s="673" t="s">
        <v>1353</v>
      </c>
      <c r="D178" s="290">
        <v>273</v>
      </c>
      <c r="E178" s="291" t="s">
        <v>8</v>
      </c>
      <c r="F178" s="675">
        <v>10</v>
      </c>
      <c r="G178" s="1067"/>
      <c r="H178" s="1067"/>
      <c r="I178" s="1068"/>
      <c r="N178" s="876">
        <v>22</v>
      </c>
      <c r="O178" s="674"/>
      <c r="R178" s="903"/>
      <c r="S178" s="738">
        <f>VLOOKUP("Total",C179:O1905,12,FALSE)</f>
        <v>97</v>
      </c>
      <c r="T178" s="738" t="str">
        <f>VLOOKUP("Total",C179:O1905,13,FALSE)</f>
        <v>M</v>
      </c>
      <c r="U178" s="748"/>
    </row>
    <row r="179" spans="1:27" x14ac:dyDescent="0.2">
      <c r="A179" s="899"/>
      <c r="B179" s="353"/>
      <c r="C179" s="354" t="s">
        <v>2</v>
      </c>
      <c r="D179" s="355"/>
      <c r="E179" s="352"/>
      <c r="F179" s="356"/>
      <c r="G179" s="355"/>
      <c r="H179" s="356"/>
      <c r="I179" s="356"/>
      <c r="J179" s="353"/>
      <c r="K179" s="357"/>
      <c r="L179" s="358"/>
      <c r="M179" s="359"/>
      <c r="N179" s="360">
        <f>SUM(N176:N178)</f>
        <v>97</v>
      </c>
      <c r="O179" s="361" t="str">
        <f>IF(MID(B174,1,2)="LG",VLOOKUP(B174,'Compos lug'!J:M,4,FALSE),IF(MID(B174,1,1)="6",VLOOKUP(B174,tranp.!$A$6:$K$51,3,FALSE),VLOOKUP(B174,'DER 10-18'!$A$1:$I$1981,3,FALSE)))</f>
        <v>M</v>
      </c>
      <c r="P179" s="362"/>
      <c r="Q179" s="362"/>
      <c r="R179" s="900"/>
      <c r="S179" s="738">
        <f>VLOOKUP("Total",C180:O1905,12,FALSE)</f>
        <v>21</v>
      </c>
      <c r="T179" s="738" t="str">
        <f>VLOOKUP("Total",C180:O1905,13,FALSE)</f>
        <v>M</v>
      </c>
      <c r="U179" s="738"/>
    </row>
    <row r="180" spans="1:27" x14ac:dyDescent="0.2">
      <c r="A180" s="294"/>
      <c r="B180" s="293"/>
      <c r="C180" s="343"/>
      <c r="H180" s="292"/>
      <c r="N180" s="314"/>
      <c r="O180" s="344"/>
      <c r="P180" s="315"/>
      <c r="Q180" s="315"/>
      <c r="R180" s="903"/>
      <c r="S180" s="738">
        <f>VLOOKUP("Total",C181:O1905,12,FALSE)</f>
        <v>21</v>
      </c>
      <c r="T180" s="738" t="str">
        <f>VLOOKUP("Total",C181:O1905,13,FALSE)</f>
        <v>M</v>
      </c>
      <c r="U180" s="738"/>
    </row>
    <row r="181" spans="1:27" s="289" customFormat="1" ht="38.25" customHeight="1" x14ac:dyDescent="0.2">
      <c r="A181" s="908" t="s">
        <v>251</v>
      </c>
      <c r="B181" s="666">
        <v>41102</v>
      </c>
      <c r="C181" s="347" t="str">
        <f>IF(MID(B181,1,2)="LG",VLOOKUP(B181,'Compos lug'!J:M,3,FALSE),IF(MID(B181,1,1)="6",VLOOKUP(B181,tranp.!$A$4:$K$19,11,FALSE)&amp;" -  XP="&amp;TEXT(T181,"0.000")&amp;" / XR="&amp;TEXT(V181,"0.000"),VLOOKUP(B181,'DER 10-18'!$A$1:$I$1981,2,FALSE)))</f>
        <v>BSCC (pré-moldado) 1,50 x 1,50 x 1,00m CL 45t, inclusive transporte do Anel de Bueiro Celular Pré-moldado</v>
      </c>
      <c r="D181" s="1059" t="s">
        <v>7</v>
      </c>
      <c r="E181" s="1060"/>
      <c r="F181" s="1061"/>
      <c r="G181" s="1059"/>
      <c r="H181" s="1060"/>
      <c r="I181" s="1061"/>
      <c r="J181" s="349"/>
      <c r="K181" s="750"/>
      <c r="L181" s="885"/>
      <c r="M181" s="874"/>
      <c r="N181" s="876" t="str">
        <f>CONCATENATE("Total (",IF(MID(B181,1,2)="LG",VLOOKUP(B181,'Compos lug'!J:M,4,FALSE),IF(MID(B181,1,1)="6","t",VLOOKUP(B181,'DER 10-18'!$A$1:$I$1981,3,FALSE))),")")</f>
        <v>Total (M)</v>
      </c>
      <c r="O181" s="313"/>
      <c r="P181" s="315"/>
      <c r="Q181" s="315"/>
      <c r="R181" s="909"/>
      <c r="S181" s="738">
        <f>VLOOKUP("Total",C182:O1905,12,FALSE)</f>
        <v>21</v>
      </c>
      <c r="T181" s="738" t="str">
        <f>VLOOKUP("Total",C182:O1905,13,FALSE)</f>
        <v>M</v>
      </c>
      <c r="U181" s="738"/>
      <c r="W181" s="712"/>
      <c r="X181" s="712"/>
      <c r="Y181" s="712"/>
      <c r="Z181" s="712"/>
      <c r="AA181" s="712"/>
    </row>
    <row r="182" spans="1:27" x14ac:dyDescent="0.2">
      <c r="A182" s="294"/>
      <c r="B182" s="293"/>
      <c r="C182" s="744" t="s">
        <v>1552</v>
      </c>
      <c r="N182" s="876"/>
      <c r="R182" s="912"/>
      <c r="S182" s="738">
        <f>VLOOKUP("Total",C183:O1905,12,FALSE)</f>
        <v>21</v>
      </c>
      <c r="T182" s="738" t="str">
        <f>VLOOKUP("Total",C183:O1905,13,FALSE)</f>
        <v>M</v>
      </c>
    </row>
    <row r="183" spans="1:27" x14ac:dyDescent="0.2">
      <c r="A183" s="294"/>
      <c r="B183" s="293"/>
      <c r="C183" s="673" t="s">
        <v>1351</v>
      </c>
      <c r="D183" s="290">
        <v>169</v>
      </c>
      <c r="E183" s="291" t="s">
        <v>8</v>
      </c>
      <c r="F183" s="675">
        <v>0</v>
      </c>
      <c r="G183" s="1067"/>
      <c r="H183" s="1067"/>
      <c r="I183" s="1068"/>
      <c r="K183" s="298"/>
      <c r="L183" s="299"/>
      <c r="N183" s="876">
        <v>21</v>
      </c>
      <c r="O183" s="674"/>
      <c r="R183" s="903"/>
      <c r="S183" s="738">
        <f>VLOOKUP("Total",C184:O1905,12,FALSE)</f>
        <v>21</v>
      </c>
      <c r="T183" s="738" t="str">
        <f>VLOOKUP("Total",C184:O1905,13,FALSE)</f>
        <v>M</v>
      </c>
      <c r="U183" s="748"/>
    </row>
    <row r="184" spans="1:27" x14ac:dyDescent="0.2">
      <c r="A184" s="899"/>
      <c r="B184" s="353"/>
      <c r="C184" s="354" t="s">
        <v>2</v>
      </c>
      <c r="D184" s="355"/>
      <c r="E184" s="352"/>
      <c r="F184" s="356"/>
      <c r="G184" s="355"/>
      <c r="H184" s="356"/>
      <c r="I184" s="356"/>
      <c r="J184" s="353"/>
      <c r="K184" s="357"/>
      <c r="L184" s="358"/>
      <c r="M184" s="359"/>
      <c r="N184" s="360">
        <f>SUM(N183:N183)</f>
        <v>21</v>
      </c>
      <c r="O184" s="361" t="str">
        <f>IF(MID(B181,1,2)="LG",VLOOKUP(B181,'Compos lug'!J:M,4,FALSE),IF(MID(B181,1,1)="6",VLOOKUP(B181,tranp.!$A$6:$K$51,3,FALSE),VLOOKUP(B181,'DER 10-18'!$A$1:$I$1981,3,FALSE)))</f>
        <v>M</v>
      </c>
      <c r="P184" s="362"/>
      <c r="Q184" s="362"/>
      <c r="R184" s="900"/>
      <c r="S184" s="738">
        <f>VLOOKUP("Total",C185:O1905,12,FALSE)</f>
        <v>22</v>
      </c>
      <c r="T184" s="738" t="str">
        <f>VLOOKUP("Total",C185:O1905,13,FALSE)</f>
        <v>M</v>
      </c>
      <c r="U184" s="738"/>
    </row>
    <row r="185" spans="1:27" x14ac:dyDescent="0.2">
      <c r="A185" s="294"/>
      <c r="B185" s="293"/>
      <c r="C185" s="343"/>
      <c r="H185" s="292"/>
      <c r="N185" s="314"/>
      <c r="O185" s="344"/>
      <c r="P185" s="315"/>
      <c r="Q185" s="315"/>
      <c r="R185" s="903"/>
      <c r="S185" s="738">
        <f>VLOOKUP("Total",C186:O1905,12,FALSE)</f>
        <v>22</v>
      </c>
      <c r="T185" s="738" t="str">
        <f>VLOOKUP("Total",C186:O1905,13,FALSE)</f>
        <v>M</v>
      </c>
      <c r="U185" s="738"/>
    </row>
    <row r="186" spans="1:27" s="289" customFormat="1" ht="38.25" customHeight="1" x14ac:dyDescent="0.2">
      <c r="A186" s="908" t="s">
        <v>252</v>
      </c>
      <c r="B186" s="666">
        <v>41103</v>
      </c>
      <c r="C186" s="347" t="str">
        <f>IF(MID(B186,1,2)="LG",VLOOKUP(B186,'Compos lug'!J:M,3,FALSE),IF(MID(B186,1,1)="6",VLOOKUP(B186,tranp.!$A$4:$K$19,11,FALSE)&amp;" -  XP="&amp;TEXT(T186,"0.000")&amp;" / XR="&amp;TEXT(V186,"0.000"),VLOOKUP(B186,'DER 10-18'!$A$1:$I$1981,2,FALSE)))</f>
        <v>BSCC (pré-moldado) 2,00 x 2,00 x 1,00m CL 45t, inclusive transporte de Anel de Bueiro Celular Pré-moldado</v>
      </c>
      <c r="D186" s="1059" t="s">
        <v>7</v>
      </c>
      <c r="E186" s="1060"/>
      <c r="F186" s="1061"/>
      <c r="G186" s="1059"/>
      <c r="H186" s="1060"/>
      <c r="I186" s="1061"/>
      <c r="J186" s="349"/>
      <c r="K186" s="750"/>
      <c r="L186" s="885"/>
      <c r="M186" s="874"/>
      <c r="N186" s="876" t="str">
        <f>CONCATENATE("Total (",IF(MID(B186,1,2)="LG",VLOOKUP(B186,'Compos lug'!J:M,4,FALSE),IF(MID(B186,1,1)="6","t",VLOOKUP(B186,'DER 10-18'!$A$1:$I$1981,3,FALSE))),")")</f>
        <v>Total (M)</v>
      </c>
      <c r="O186" s="313"/>
      <c r="P186" s="315"/>
      <c r="Q186" s="315"/>
      <c r="R186" s="909"/>
      <c r="S186" s="738">
        <f>VLOOKUP("Total",C187:O1905,12,FALSE)</f>
        <v>22</v>
      </c>
      <c r="T186" s="738" t="str">
        <f>VLOOKUP("Total",C187:O1905,13,FALSE)</f>
        <v>M</v>
      </c>
      <c r="U186" s="738"/>
      <c r="W186" s="712"/>
      <c r="X186" s="712"/>
      <c r="Y186" s="712"/>
      <c r="Z186" s="712"/>
      <c r="AA186" s="712"/>
    </row>
    <row r="187" spans="1:27" x14ac:dyDescent="0.2">
      <c r="A187" s="294"/>
      <c r="B187" s="293"/>
      <c r="C187" s="744" t="s">
        <v>1552</v>
      </c>
      <c r="N187" s="876"/>
      <c r="R187" s="912"/>
      <c r="S187" s="738">
        <f>VLOOKUP("Total",C188:O1905,12,FALSE)</f>
        <v>22</v>
      </c>
      <c r="T187" s="738" t="str">
        <f>VLOOKUP("Total",C188:O1905,13,FALSE)</f>
        <v>M</v>
      </c>
    </row>
    <row r="188" spans="1:27" x14ac:dyDescent="0.2">
      <c r="A188" s="294"/>
      <c r="B188" s="293"/>
      <c r="C188" s="673" t="s">
        <v>1354</v>
      </c>
      <c r="D188" s="290">
        <v>375</v>
      </c>
      <c r="E188" s="291" t="s">
        <v>8</v>
      </c>
      <c r="F188" s="676">
        <v>18</v>
      </c>
      <c r="G188" s="1067"/>
      <c r="H188" s="1067"/>
      <c r="I188" s="1068"/>
      <c r="K188" s="298"/>
      <c r="L188" s="299"/>
      <c r="N188" s="876">
        <v>22</v>
      </c>
      <c r="O188" s="674"/>
      <c r="R188" s="903"/>
      <c r="S188" s="738">
        <f>VLOOKUP("Total",C189:O1905,12,FALSE)</f>
        <v>22</v>
      </c>
      <c r="T188" s="738" t="str">
        <f>VLOOKUP("Total",C189:O1905,13,FALSE)</f>
        <v>M</v>
      </c>
      <c r="U188" s="748"/>
    </row>
    <row r="189" spans="1:27" x14ac:dyDescent="0.2">
      <c r="A189" s="899"/>
      <c r="B189" s="353"/>
      <c r="C189" s="354" t="s">
        <v>2</v>
      </c>
      <c r="D189" s="355"/>
      <c r="E189" s="352"/>
      <c r="F189" s="356"/>
      <c r="G189" s="355"/>
      <c r="H189" s="356"/>
      <c r="I189" s="356"/>
      <c r="J189" s="353"/>
      <c r="K189" s="357"/>
      <c r="L189" s="358"/>
      <c r="M189" s="359"/>
      <c r="N189" s="360">
        <f>SUM(N188:N188)</f>
        <v>22</v>
      </c>
      <c r="O189" s="361" t="str">
        <f>IF(MID(B186,1,2)="LG",VLOOKUP(B186,'Compos lug'!J:M,4,FALSE),IF(MID(B186,1,1)="6",VLOOKUP(B186,tranp.!$A$6:$K$51,3,FALSE),VLOOKUP(B186,'DER 10-18'!$A$1:$I$1981,3,FALSE)))</f>
        <v>M</v>
      </c>
      <c r="P189" s="362"/>
      <c r="Q189" s="362"/>
      <c r="R189" s="900"/>
      <c r="S189" s="738">
        <f>VLOOKUP("Total",C190:O1905,12,FALSE)</f>
        <v>758.5</v>
      </c>
      <c r="T189" s="738" t="str">
        <f>VLOOKUP("Total",C190:O1905,13,FALSE)</f>
        <v>M</v>
      </c>
      <c r="U189" s="738"/>
    </row>
    <row r="190" spans="1:27" s="651" customFormat="1" x14ac:dyDescent="0.2">
      <c r="A190" s="910"/>
      <c r="B190" s="655"/>
      <c r="C190" s="656"/>
      <c r="D190" s="657"/>
      <c r="E190" s="654"/>
      <c r="F190" s="652"/>
      <c r="G190" s="657"/>
      <c r="H190" s="652"/>
      <c r="I190" s="652"/>
      <c r="J190" s="655"/>
      <c r="K190" s="658"/>
      <c r="L190" s="653"/>
      <c r="M190" s="659"/>
      <c r="N190" s="648"/>
      <c r="O190" s="660"/>
      <c r="P190" s="661"/>
      <c r="Q190" s="661"/>
      <c r="R190" s="911"/>
      <c r="S190" s="738">
        <f>VLOOKUP("Total",C191:O1905,12,FALSE)</f>
        <v>758.5</v>
      </c>
      <c r="T190" s="738" t="str">
        <f>VLOOKUP("Total",C191:O1905,13,FALSE)</f>
        <v>M</v>
      </c>
      <c r="U190" s="749"/>
      <c r="W190" s="714"/>
      <c r="X190" s="714"/>
      <c r="Y190" s="714"/>
      <c r="Z190" s="714"/>
      <c r="AA190" s="714"/>
    </row>
    <row r="191" spans="1:27" ht="78.75" customHeight="1" x14ac:dyDescent="0.2">
      <c r="A191" s="908" t="s">
        <v>253</v>
      </c>
      <c r="B191" s="666">
        <v>42767</v>
      </c>
      <c r="C191" s="347" t="str">
        <f>IF(MID(B191,1,2)="LG",VLOOKUP(B191,'Compos lug'!J:M,3,FALSE),IF(MID(B191,1,1)="6",VLOOKUP(B191,tranp.!$A$4:$K$19,11,FALSE)&amp;" -  XP="&amp;TEXT(T191,"0.000")&amp;" / XR="&amp;TEXT(V191,"0.000"),VLOOKUP(B191,'DER 10-18'!$A$1:$I$1981,2,FALSE)))</f>
        <v>Corpo BSTC (greide) diâmetro 0,80 m CA-2 PB inclusive escavação, reaterro e transporte do tubo em Vias Urbanas</v>
      </c>
      <c r="D191" s="1059" t="s">
        <v>7</v>
      </c>
      <c r="E191" s="1060"/>
      <c r="F191" s="1061"/>
      <c r="G191" s="1059"/>
      <c r="H191" s="1060"/>
      <c r="I191" s="1061"/>
      <c r="J191" s="349" t="s">
        <v>1315</v>
      </c>
      <c r="K191" s="884"/>
      <c r="L191" s="876"/>
      <c r="M191" s="885"/>
      <c r="N191" s="876" t="str">
        <f>CONCATENATE("Total (",IF(MID(B191,1,2)="LG",VLOOKUP(B191,'Compos lug'!J:M,4,FALSE),IF(MID(B191,1,1)="6","t",VLOOKUP(B191,'DER 10-18'!$A$1:$I$1981,3,FALSE))),")")</f>
        <v>Total (M)</v>
      </c>
      <c r="O191" s="313"/>
      <c r="P191" s="315"/>
      <c r="Q191" s="315"/>
      <c r="R191" s="909"/>
      <c r="S191" s="738">
        <f>VLOOKUP("Total",C192:O1905,12,FALSE)</f>
        <v>758.5</v>
      </c>
      <c r="T191" s="738" t="str">
        <f>VLOOKUP("Total",C192:O1905,13,FALSE)</f>
        <v>M</v>
      </c>
      <c r="U191" s="738"/>
    </row>
    <row r="192" spans="1:27" x14ac:dyDescent="0.2">
      <c r="A192" s="294"/>
      <c r="B192" s="293"/>
      <c r="C192" s="744" t="s">
        <v>1552</v>
      </c>
      <c r="N192" s="876"/>
      <c r="R192" s="912"/>
      <c r="S192" s="738">
        <f>VLOOKUP("Total",C193:O1905,12,FALSE)</f>
        <v>758.5</v>
      </c>
      <c r="T192" s="738" t="str">
        <f>VLOOKUP("Total",C193:O1905,13,FALSE)</f>
        <v>M</v>
      </c>
    </row>
    <row r="193" spans="1:21" x14ac:dyDescent="0.2">
      <c r="A193" s="908"/>
      <c r="B193" s="666"/>
      <c r="C193" s="580" t="s">
        <v>1272</v>
      </c>
      <c r="D193" s="870">
        <v>12</v>
      </c>
      <c r="E193" s="871" t="s">
        <v>8</v>
      </c>
      <c r="F193" s="668">
        <v>0</v>
      </c>
      <c r="G193" s="870"/>
      <c r="H193" s="871"/>
      <c r="I193" s="871"/>
      <c r="J193" s="349" t="s">
        <v>1102</v>
      </c>
      <c r="K193" s="884"/>
      <c r="L193" s="876"/>
      <c r="M193" s="885"/>
      <c r="N193" s="876">
        <v>18</v>
      </c>
      <c r="O193" s="313"/>
      <c r="P193" s="315"/>
      <c r="Q193" s="315"/>
      <c r="R193" s="909"/>
      <c r="S193" s="738">
        <f>VLOOKUP("Total",C194:O1905,12,FALSE)</f>
        <v>758.5</v>
      </c>
      <c r="T193" s="738" t="str">
        <f>VLOOKUP("Total",C194:O1905,13,FALSE)</f>
        <v>M</v>
      </c>
      <c r="U193" s="738"/>
    </row>
    <row r="194" spans="1:21" x14ac:dyDescent="0.2">
      <c r="A194" s="908"/>
      <c r="B194" s="666"/>
      <c r="C194" s="580" t="s">
        <v>1273</v>
      </c>
      <c r="D194" s="870">
        <v>25</v>
      </c>
      <c r="E194" s="871" t="s">
        <v>8</v>
      </c>
      <c r="F194" s="668">
        <v>2</v>
      </c>
      <c r="G194" s="870"/>
      <c r="H194" s="871"/>
      <c r="I194" s="871"/>
      <c r="J194" s="349" t="s">
        <v>1102</v>
      </c>
      <c r="K194" s="884"/>
      <c r="L194" s="876"/>
      <c r="M194" s="885"/>
      <c r="N194" s="876">
        <v>17</v>
      </c>
      <c r="O194" s="313"/>
      <c r="P194" s="315"/>
      <c r="Q194" s="315"/>
      <c r="R194" s="909"/>
      <c r="S194" s="738">
        <f>VLOOKUP("Total",C195:O1905,12,FALSE)</f>
        <v>758.5</v>
      </c>
      <c r="T194" s="738" t="str">
        <f>VLOOKUP("Total",C195:O1905,13,FALSE)</f>
        <v>M</v>
      </c>
      <c r="U194" s="738"/>
    </row>
    <row r="195" spans="1:21" x14ac:dyDescent="0.2">
      <c r="A195" s="908"/>
      <c r="B195" s="666"/>
      <c r="C195" s="580" t="s">
        <v>1316</v>
      </c>
      <c r="D195" s="870">
        <v>32</v>
      </c>
      <c r="E195" s="871" t="s">
        <v>8</v>
      </c>
      <c r="F195" s="668">
        <v>0</v>
      </c>
      <c r="G195" s="870"/>
      <c r="H195" s="871"/>
      <c r="I195" s="871"/>
      <c r="J195" s="349" t="s">
        <v>1102</v>
      </c>
      <c r="K195" s="884"/>
      <c r="L195" s="876"/>
      <c r="M195" s="885"/>
      <c r="N195" s="876">
        <v>18</v>
      </c>
      <c r="O195" s="313"/>
      <c r="P195" s="315"/>
      <c r="Q195" s="315"/>
      <c r="R195" s="909"/>
      <c r="S195" s="738">
        <f>VLOOKUP("Total",C196:O1905,12,FALSE)</f>
        <v>758.5</v>
      </c>
      <c r="T195" s="738" t="str">
        <f>VLOOKUP("Total",C196:O1905,13,FALSE)</f>
        <v>M</v>
      </c>
      <c r="U195" s="738"/>
    </row>
    <row r="196" spans="1:21" x14ac:dyDescent="0.2">
      <c r="A196" s="908"/>
      <c r="B196" s="666"/>
      <c r="C196" s="580" t="s">
        <v>1317</v>
      </c>
      <c r="D196" s="870">
        <v>56</v>
      </c>
      <c r="E196" s="871" t="s">
        <v>8</v>
      </c>
      <c r="F196" s="668">
        <v>0</v>
      </c>
      <c r="G196" s="870"/>
      <c r="H196" s="871"/>
      <c r="I196" s="871"/>
      <c r="J196" s="349" t="s">
        <v>1101</v>
      </c>
      <c r="K196" s="884"/>
      <c r="L196" s="876"/>
      <c r="M196" s="885"/>
      <c r="N196" s="876">
        <v>21</v>
      </c>
      <c r="O196" s="313"/>
      <c r="P196" s="315"/>
      <c r="Q196" s="315"/>
      <c r="R196" s="909"/>
      <c r="S196" s="738">
        <f>VLOOKUP("Total",C197:O1905,12,FALSE)</f>
        <v>758.5</v>
      </c>
      <c r="T196" s="738" t="str">
        <f>VLOOKUP("Total",C197:O1905,13,FALSE)</f>
        <v>M</v>
      </c>
      <c r="U196" s="738"/>
    </row>
    <row r="197" spans="1:21" x14ac:dyDescent="0.2">
      <c r="A197" s="908"/>
      <c r="B197" s="666"/>
      <c r="C197" s="580" t="s">
        <v>1318</v>
      </c>
      <c r="D197" s="870">
        <v>63</v>
      </c>
      <c r="E197" s="871" t="s">
        <v>8</v>
      </c>
      <c r="F197" s="668">
        <v>0</v>
      </c>
      <c r="G197" s="870"/>
      <c r="H197" s="871"/>
      <c r="I197" s="871"/>
      <c r="J197" s="349" t="s">
        <v>1102</v>
      </c>
      <c r="K197" s="884"/>
      <c r="L197" s="876"/>
      <c r="M197" s="885"/>
      <c r="N197" s="876">
        <v>16</v>
      </c>
      <c r="O197" s="313"/>
      <c r="P197" s="315"/>
      <c r="Q197" s="315"/>
      <c r="R197" s="909"/>
      <c r="S197" s="738">
        <f>VLOOKUP("Total",C198:O1905,12,FALSE)</f>
        <v>758.5</v>
      </c>
      <c r="T197" s="738" t="str">
        <f>VLOOKUP("Total",C198:O1905,13,FALSE)</f>
        <v>M</v>
      </c>
      <c r="U197" s="738"/>
    </row>
    <row r="198" spans="1:21" x14ac:dyDescent="0.2">
      <c r="A198" s="908"/>
      <c r="B198" s="666"/>
      <c r="C198" s="580" t="s">
        <v>1319</v>
      </c>
      <c r="D198" s="870">
        <v>67</v>
      </c>
      <c r="E198" s="871" t="s">
        <v>8</v>
      </c>
      <c r="F198" s="668">
        <v>10</v>
      </c>
      <c r="G198" s="870"/>
      <c r="H198" s="871"/>
      <c r="I198" s="871"/>
      <c r="J198" s="349" t="s">
        <v>1102</v>
      </c>
      <c r="K198" s="884"/>
      <c r="L198" s="876"/>
      <c r="M198" s="885"/>
      <c r="N198" s="876">
        <v>16</v>
      </c>
      <c r="O198" s="313"/>
      <c r="P198" s="315"/>
      <c r="Q198" s="315"/>
      <c r="R198" s="909"/>
      <c r="S198" s="738">
        <f>VLOOKUP("Total",C199:O1905,12,FALSE)</f>
        <v>758.5</v>
      </c>
      <c r="T198" s="738" t="str">
        <f>VLOOKUP("Total",C199:O1905,13,FALSE)</f>
        <v>M</v>
      </c>
      <c r="U198" s="738"/>
    </row>
    <row r="199" spans="1:21" x14ac:dyDescent="0.2">
      <c r="A199" s="908"/>
      <c r="B199" s="666"/>
      <c r="C199" s="580" t="s">
        <v>1320</v>
      </c>
      <c r="D199" s="870">
        <v>74</v>
      </c>
      <c r="E199" s="871" t="s">
        <v>8</v>
      </c>
      <c r="F199" s="668">
        <v>0</v>
      </c>
      <c r="G199" s="870"/>
      <c r="H199" s="871"/>
      <c r="I199" s="871"/>
      <c r="J199" s="349" t="s">
        <v>1102</v>
      </c>
      <c r="K199" s="884"/>
      <c r="L199" s="876"/>
      <c r="M199" s="885"/>
      <c r="N199" s="876">
        <v>21</v>
      </c>
      <c r="O199" s="313"/>
      <c r="P199" s="315"/>
      <c r="Q199" s="315"/>
      <c r="R199" s="909"/>
      <c r="S199" s="738">
        <f>VLOOKUP("Total",C200:O1905,12,FALSE)</f>
        <v>758.5</v>
      </c>
      <c r="T199" s="738" t="str">
        <f>VLOOKUP("Total",C200:O1905,13,FALSE)</f>
        <v>M</v>
      </c>
      <c r="U199" s="738"/>
    </row>
    <row r="200" spans="1:21" x14ac:dyDescent="0.2">
      <c r="A200" s="908"/>
      <c r="B200" s="666"/>
      <c r="C200" s="580" t="s">
        <v>1321</v>
      </c>
      <c r="D200" s="870">
        <v>80</v>
      </c>
      <c r="E200" s="871" t="s">
        <v>8</v>
      </c>
      <c r="F200" s="668">
        <v>0</v>
      </c>
      <c r="G200" s="870"/>
      <c r="H200" s="871"/>
      <c r="I200" s="871"/>
      <c r="J200" s="349" t="s">
        <v>1102</v>
      </c>
      <c r="K200" s="884"/>
      <c r="L200" s="876"/>
      <c r="M200" s="885"/>
      <c r="N200" s="876">
        <v>27</v>
      </c>
      <c r="O200" s="313"/>
      <c r="P200" s="315"/>
      <c r="Q200" s="315"/>
      <c r="R200" s="909"/>
      <c r="S200" s="738">
        <f>VLOOKUP("Total",C201:O1905,12,FALSE)</f>
        <v>758.5</v>
      </c>
      <c r="T200" s="738" t="str">
        <f>VLOOKUP("Total",C201:O1905,13,FALSE)</f>
        <v>M</v>
      </c>
      <c r="U200" s="738"/>
    </row>
    <row r="201" spans="1:21" x14ac:dyDescent="0.2">
      <c r="A201" s="908"/>
      <c r="B201" s="666"/>
      <c r="C201" s="580" t="s">
        <v>1322</v>
      </c>
      <c r="D201" s="870">
        <v>87</v>
      </c>
      <c r="E201" s="871" t="s">
        <v>8</v>
      </c>
      <c r="F201" s="668">
        <v>0</v>
      </c>
      <c r="G201" s="870"/>
      <c r="H201" s="871"/>
      <c r="I201" s="871"/>
      <c r="J201" s="349" t="s">
        <v>1102</v>
      </c>
      <c r="K201" s="884"/>
      <c r="L201" s="876"/>
      <c r="M201" s="885"/>
      <c r="N201" s="876">
        <v>27</v>
      </c>
      <c r="O201" s="313"/>
      <c r="P201" s="315"/>
      <c r="Q201" s="315"/>
      <c r="R201" s="909"/>
      <c r="S201" s="738">
        <f>VLOOKUP("Total",C202:O1905,12,FALSE)</f>
        <v>758.5</v>
      </c>
      <c r="T201" s="738" t="str">
        <f>VLOOKUP("Total",C202:O1905,13,FALSE)</f>
        <v>M</v>
      </c>
      <c r="U201" s="738"/>
    </row>
    <row r="202" spans="1:21" x14ac:dyDescent="0.2">
      <c r="A202" s="908"/>
      <c r="B202" s="666"/>
      <c r="C202" s="580" t="s">
        <v>1323</v>
      </c>
      <c r="D202" s="870">
        <v>93</v>
      </c>
      <c r="E202" s="871" t="s">
        <v>8</v>
      </c>
      <c r="F202" s="668">
        <v>15</v>
      </c>
      <c r="G202" s="870"/>
      <c r="H202" s="871"/>
      <c r="I202" s="871"/>
      <c r="J202" s="349" t="s">
        <v>1102</v>
      </c>
      <c r="K202" s="884"/>
      <c r="L202" s="876"/>
      <c r="M202" s="885"/>
      <c r="N202" s="876">
        <v>18</v>
      </c>
      <c r="O202" s="313"/>
      <c r="P202" s="315"/>
      <c r="Q202" s="315"/>
      <c r="R202" s="909"/>
      <c r="S202" s="738">
        <f>VLOOKUP("Total",C203:O1905,12,FALSE)</f>
        <v>758.5</v>
      </c>
      <c r="T202" s="738" t="str">
        <f>VLOOKUP("Total",C203:O1905,13,FALSE)</f>
        <v>M</v>
      </c>
      <c r="U202" s="738"/>
    </row>
    <row r="203" spans="1:21" x14ac:dyDescent="0.2">
      <c r="A203" s="908"/>
      <c r="B203" s="666"/>
      <c r="C203" s="580" t="s">
        <v>1324</v>
      </c>
      <c r="D203" s="870">
        <v>101</v>
      </c>
      <c r="E203" s="871" t="s">
        <v>8</v>
      </c>
      <c r="F203" s="668">
        <v>10</v>
      </c>
      <c r="G203" s="870"/>
      <c r="H203" s="871"/>
      <c r="I203" s="871"/>
      <c r="J203" s="349" t="s">
        <v>1101</v>
      </c>
      <c r="K203" s="884"/>
      <c r="L203" s="876"/>
      <c r="M203" s="885"/>
      <c r="N203" s="876">
        <v>18</v>
      </c>
      <c r="O203" s="313"/>
      <c r="P203" s="315"/>
      <c r="Q203" s="315"/>
      <c r="R203" s="909"/>
      <c r="S203" s="738">
        <f>VLOOKUP("Total",C204:O1905,12,FALSE)</f>
        <v>758.5</v>
      </c>
      <c r="T203" s="738" t="str">
        <f>VLOOKUP("Total",C204:O1905,13,FALSE)</f>
        <v>M</v>
      </c>
      <c r="U203" s="738"/>
    </row>
    <row r="204" spans="1:21" x14ac:dyDescent="0.2">
      <c r="A204" s="908"/>
      <c r="B204" s="666"/>
      <c r="C204" s="580" t="s">
        <v>1325</v>
      </c>
      <c r="D204" s="870">
        <v>153</v>
      </c>
      <c r="E204" s="871" t="s">
        <v>8</v>
      </c>
      <c r="F204" s="668">
        <v>10</v>
      </c>
      <c r="G204" s="870"/>
      <c r="H204" s="871"/>
      <c r="I204" s="871"/>
      <c r="J204" s="349" t="s">
        <v>1102</v>
      </c>
      <c r="K204" s="884"/>
      <c r="L204" s="876"/>
      <c r="M204" s="885"/>
      <c r="N204" s="876">
        <v>22</v>
      </c>
      <c r="O204" s="313"/>
      <c r="P204" s="315"/>
      <c r="Q204" s="315"/>
      <c r="R204" s="909"/>
      <c r="S204" s="738">
        <f>VLOOKUP("Total",C205:O1905,12,FALSE)</f>
        <v>758.5</v>
      </c>
      <c r="T204" s="738" t="str">
        <f>VLOOKUP("Total",C205:O1905,13,FALSE)</f>
        <v>M</v>
      </c>
      <c r="U204" s="738"/>
    </row>
    <row r="205" spans="1:21" x14ac:dyDescent="0.2">
      <c r="A205" s="908"/>
      <c r="B205" s="666"/>
      <c r="C205" s="580" t="s">
        <v>1326</v>
      </c>
      <c r="D205" s="870">
        <v>156</v>
      </c>
      <c r="E205" s="871" t="s">
        <v>8</v>
      </c>
      <c r="F205" s="668">
        <v>10</v>
      </c>
      <c r="G205" s="870"/>
      <c r="H205" s="871"/>
      <c r="I205" s="871"/>
      <c r="J205" s="349" t="s">
        <v>1102</v>
      </c>
      <c r="K205" s="884"/>
      <c r="L205" s="876"/>
      <c r="M205" s="885"/>
      <c r="N205" s="876">
        <v>30</v>
      </c>
      <c r="O205" s="313"/>
      <c r="P205" s="315"/>
      <c r="Q205" s="315"/>
      <c r="R205" s="909"/>
      <c r="S205" s="738">
        <f>VLOOKUP("Total",C206:O1905,12,FALSE)</f>
        <v>758.5</v>
      </c>
      <c r="T205" s="738" t="str">
        <f>VLOOKUP("Total",C206:O1905,13,FALSE)</f>
        <v>M</v>
      </c>
      <c r="U205" s="738"/>
    </row>
    <row r="206" spans="1:21" x14ac:dyDescent="0.2">
      <c r="A206" s="908"/>
      <c r="B206" s="666"/>
      <c r="C206" s="580" t="s">
        <v>1327</v>
      </c>
      <c r="D206" s="870">
        <v>159</v>
      </c>
      <c r="E206" s="871" t="s">
        <v>8</v>
      </c>
      <c r="F206" s="668">
        <v>10</v>
      </c>
      <c r="G206" s="870"/>
      <c r="H206" s="871"/>
      <c r="I206" s="871"/>
      <c r="J206" s="349" t="s">
        <v>1101</v>
      </c>
      <c r="K206" s="884"/>
      <c r="L206" s="876"/>
      <c r="M206" s="885"/>
      <c r="N206" s="876">
        <v>30</v>
      </c>
      <c r="O206" s="313"/>
      <c r="P206" s="315"/>
      <c r="Q206" s="315"/>
      <c r="R206" s="909"/>
      <c r="S206" s="738">
        <f>VLOOKUP("Total",C207:O1905,12,FALSE)</f>
        <v>758.5</v>
      </c>
      <c r="T206" s="738" t="str">
        <f>VLOOKUP("Total",C207:O1905,13,FALSE)</f>
        <v>M</v>
      </c>
      <c r="U206" s="738"/>
    </row>
    <row r="207" spans="1:21" x14ac:dyDescent="0.2">
      <c r="A207" s="908"/>
      <c r="B207" s="666"/>
      <c r="C207" s="580" t="s">
        <v>1328</v>
      </c>
      <c r="D207" s="870">
        <v>167</v>
      </c>
      <c r="E207" s="871" t="s">
        <v>8</v>
      </c>
      <c r="F207" s="668">
        <v>0</v>
      </c>
      <c r="G207" s="870"/>
      <c r="H207" s="871"/>
      <c r="I207" s="871"/>
      <c r="J207" s="349" t="s">
        <v>1101</v>
      </c>
      <c r="K207" s="884"/>
      <c r="L207" s="876"/>
      <c r="M207" s="885"/>
      <c r="N207" s="876">
        <v>22</v>
      </c>
      <c r="O207" s="313"/>
      <c r="P207" s="315"/>
      <c r="Q207" s="315"/>
      <c r="R207" s="909"/>
      <c r="S207" s="738">
        <f>VLOOKUP("Total",C208:O1905,12,FALSE)</f>
        <v>758.5</v>
      </c>
      <c r="T207" s="738" t="str">
        <f>VLOOKUP("Total",C208:O1905,13,FALSE)</f>
        <v>M</v>
      </c>
      <c r="U207" s="738"/>
    </row>
    <row r="208" spans="1:21" x14ac:dyDescent="0.2">
      <c r="A208" s="908"/>
      <c r="B208" s="666"/>
      <c r="C208" s="580" t="s">
        <v>1329</v>
      </c>
      <c r="D208" s="870">
        <v>173</v>
      </c>
      <c r="E208" s="871" t="s">
        <v>8</v>
      </c>
      <c r="F208" s="668">
        <v>0</v>
      </c>
      <c r="G208" s="870"/>
      <c r="H208" s="871"/>
      <c r="I208" s="871"/>
      <c r="J208" s="349" t="s">
        <v>1102</v>
      </c>
      <c r="K208" s="884"/>
      <c r="L208" s="876"/>
      <c r="M208" s="885"/>
      <c r="N208" s="876">
        <v>22</v>
      </c>
      <c r="O208" s="313"/>
      <c r="P208" s="315"/>
      <c r="Q208" s="315"/>
      <c r="R208" s="909"/>
      <c r="S208" s="738">
        <f>VLOOKUP("Total",C209:O1905,12,FALSE)</f>
        <v>758.5</v>
      </c>
      <c r="T208" s="738" t="str">
        <f>VLOOKUP("Total",C209:O1905,13,FALSE)</f>
        <v>M</v>
      </c>
      <c r="U208" s="738"/>
    </row>
    <row r="209" spans="1:21" x14ac:dyDescent="0.2">
      <c r="A209" s="908"/>
      <c r="B209" s="666"/>
      <c r="C209" s="580" t="s">
        <v>1330</v>
      </c>
      <c r="D209" s="870">
        <v>180</v>
      </c>
      <c r="E209" s="871" t="s">
        <v>8</v>
      </c>
      <c r="F209" s="668">
        <v>0</v>
      </c>
      <c r="G209" s="870"/>
      <c r="H209" s="871"/>
      <c r="I209" s="871"/>
      <c r="J209" s="349" t="s">
        <v>1102</v>
      </c>
      <c r="K209" s="884"/>
      <c r="L209" s="876"/>
      <c r="M209" s="885"/>
      <c r="N209" s="876">
        <v>27</v>
      </c>
      <c r="O209" s="313"/>
      <c r="P209" s="315"/>
      <c r="Q209" s="315"/>
      <c r="R209" s="909"/>
      <c r="S209" s="738">
        <f>VLOOKUP("Total",C210:O1905,12,FALSE)</f>
        <v>758.5</v>
      </c>
      <c r="T209" s="738" t="str">
        <f>VLOOKUP("Total",C210:O1905,13,FALSE)</f>
        <v>M</v>
      </c>
      <c r="U209" s="738"/>
    </row>
    <row r="210" spans="1:21" x14ac:dyDescent="0.2">
      <c r="A210" s="908"/>
      <c r="B210" s="666"/>
      <c r="C210" s="580" t="s">
        <v>1331</v>
      </c>
      <c r="D210" s="870">
        <v>195</v>
      </c>
      <c r="E210" s="871" t="s">
        <v>8</v>
      </c>
      <c r="F210" s="668">
        <v>0</v>
      </c>
      <c r="G210" s="870"/>
      <c r="H210" s="871"/>
      <c r="I210" s="871"/>
      <c r="J210" s="349" t="s">
        <v>1102</v>
      </c>
      <c r="K210" s="884"/>
      <c r="L210" s="876"/>
      <c r="M210" s="885"/>
      <c r="N210" s="876">
        <v>44.5</v>
      </c>
      <c r="O210" s="313"/>
      <c r="P210" s="315"/>
      <c r="Q210" s="315"/>
      <c r="R210" s="909"/>
      <c r="S210" s="738">
        <f>VLOOKUP("Total",C211:O1905,12,FALSE)</f>
        <v>758.5</v>
      </c>
      <c r="T210" s="738" t="str">
        <f>VLOOKUP("Total",C211:O1905,13,FALSE)</f>
        <v>M</v>
      </c>
      <c r="U210" s="738"/>
    </row>
    <row r="211" spans="1:21" x14ac:dyDescent="0.2">
      <c r="A211" s="908"/>
      <c r="B211" s="666"/>
      <c r="C211" s="580" t="s">
        <v>1332</v>
      </c>
      <c r="D211" s="870">
        <v>205</v>
      </c>
      <c r="E211" s="871" t="s">
        <v>8</v>
      </c>
      <c r="F211" s="668">
        <v>15</v>
      </c>
      <c r="G211" s="870"/>
      <c r="H211" s="871"/>
      <c r="I211" s="871"/>
      <c r="J211" s="349" t="s">
        <v>1101</v>
      </c>
      <c r="K211" s="884"/>
      <c r="L211" s="876"/>
      <c r="M211" s="885"/>
      <c r="N211" s="876">
        <v>30</v>
      </c>
      <c r="O211" s="313"/>
      <c r="P211" s="315"/>
      <c r="Q211" s="315"/>
      <c r="R211" s="909"/>
      <c r="S211" s="738">
        <f>VLOOKUP("Total",C212:O1905,12,FALSE)</f>
        <v>758.5</v>
      </c>
      <c r="T211" s="738" t="str">
        <f>VLOOKUP("Total",C212:O1905,13,FALSE)</f>
        <v>M</v>
      </c>
      <c r="U211" s="738"/>
    </row>
    <row r="212" spans="1:21" x14ac:dyDescent="0.2">
      <c r="A212" s="908"/>
      <c r="B212" s="666"/>
      <c r="C212" s="580" t="s">
        <v>1333</v>
      </c>
      <c r="D212" s="870">
        <v>228</v>
      </c>
      <c r="E212" s="871" t="s">
        <v>8</v>
      </c>
      <c r="F212" s="668">
        <v>0</v>
      </c>
      <c r="G212" s="870"/>
      <c r="H212" s="871"/>
      <c r="I212" s="871"/>
      <c r="J212" s="349" t="s">
        <v>1101</v>
      </c>
      <c r="K212" s="884"/>
      <c r="L212" s="876"/>
      <c r="M212" s="885"/>
      <c r="N212" s="876">
        <v>30</v>
      </c>
      <c r="O212" s="313"/>
      <c r="P212" s="315"/>
      <c r="Q212" s="315"/>
      <c r="R212" s="909"/>
      <c r="S212" s="738">
        <f>VLOOKUP("Total",C213:O1905,12,FALSE)</f>
        <v>758.5</v>
      </c>
      <c r="T212" s="738" t="str">
        <f>VLOOKUP("Total",C213:O1905,13,FALSE)</f>
        <v>M</v>
      </c>
      <c r="U212" s="738"/>
    </row>
    <row r="213" spans="1:21" x14ac:dyDescent="0.2">
      <c r="A213" s="908"/>
      <c r="B213" s="666"/>
      <c r="C213" s="580" t="s">
        <v>1334</v>
      </c>
      <c r="D213" s="870">
        <v>278</v>
      </c>
      <c r="E213" s="871" t="s">
        <v>8</v>
      </c>
      <c r="F213" s="668">
        <v>0</v>
      </c>
      <c r="G213" s="870"/>
      <c r="H213" s="871"/>
      <c r="I213" s="871"/>
      <c r="J213" s="349" t="s">
        <v>1102</v>
      </c>
      <c r="K213" s="884"/>
      <c r="L213" s="876"/>
      <c r="M213" s="885"/>
      <c r="N213" s="876">
        <v>22</v>
      </c>
      <c r="O213" s="313"/>
      <c r="P213" s="315"/>
      <c r="Q213" s="315"/>
      <c r="R213" s="909"/>
      <c r="S213" s="738">
        <f>VLOOKUP("Total",C214:O1905,12,FALSE)</f>
        <v>758.5</v>
      </c>
      <c r="T213" s="738" t="str">
        <f>VLOOKUP("Total",C214:O1905,13,FALSE)</f>
        <v>M</v>
      </c>
      <c r="U213" s="738"/>
    </row>
    <row r="214" spans="1:21" x14ac:dyDescent="0.2">
      <c r="A214" s="908"/>
      <c r="B214" s="666"/>
      <c r="C214" s="580" t="s">
        <v>1335</v>
      </c>
      <c r="D214" s="870">
        <v>359</v>
      </c>
      <c r="E214" s="871" t="s">
        <v>8</v>
      </c>
      <c r="F214" s="668">
        <v>10</v>
      </c>
      <c r="G214" s="870"/>
      <c r="H214" s="871"/>
      <c r="I214" s="871"/>
      <c r="J214" s="349" t="s">
        <v>1101</v>
      </c>
      <c r="K214" s="884"/>
      <c r="L214" s="876"/>
      <c r="M214" s="885"/>
      <c r="N214" s="876">
        <v>17</v>
      </c>
      <c r="O214" s="313"/>
      <c r="P214" s="315"/>
      <c r="Q214" s="315"/>
      <c r="R214" s="909"/>
      <c r="S214" s="738">
        <f>VLOOKUP("Total",C215:O1905,12,FALSE)</f>
        <v>758.5</v>
      </c>
      <c r="T214" s="738" t="str">
        <f>VLOOKUP("Total",C215:O1905,13,FALSE)</f>
        <v>M</v>
      </c>
      <c r="U214" s="738"/>
    </row>
    <row r="215" spans="1:21" x14ac:dyDescent="0.2">
      <c r="A215" s="908"/>
      <c r="B215" s="666"/>
      <c r="C215" s="580" t="s">
        <v>1336</v>
      </c>
      <c r="D215" s="870">
        <v>368</v>
      </c>
      <c r="E215" s="871" t="s">
        <v>8</v>
      </c>
      <c r="F215" s="668">
        <v>0</v>
      </c>
      <c r="G215" s="870"/>
      <c r="H215" s="871"/>
      <c r="I215" s="871"/>
      <c r="J215" s="349" t="s">
        <v>1101</v>
      </c>
      <c r="K215" s="884"/>
      <c r="L215" s="876"/>
      <c r="M215" s="885"/>
      <c r="N215" s="876">
        <v>17</v>
      </c>
      <c r="O215" s="313"/>
      <c r="P215" s="315"/>
      <c r="Q215" s="315"/>
      <c r="R215" s="909"/>
      <c r="S215" s="738">
        <f>VLOOKUP("Total",C216:O1905,12,FALSE)</f>
        <v>758.5</v>
      </c>
      <c r="T215" s="738" t="str">
        <f>VLOOKUP("Total",C216:O1905,13,FALSE)</f>
        <v>M</v>
      </c>
      <c r="U215" s="738"/>
    </row>
    <row r="216" spans="1:21" x14ac:dyDescent="0.2">
      <c r="A216" s="908"/>
      <c r="B216" s="666"/>
      <c r="C216" s="580" t="s">
        <v>1337</v>
      </c>
      <c r="D216" s="870">
        <v>377</v>
      </c>
      <c r="E216" s="871" t="s">
        <v>8</v>
      </c>
      <c r="F216" s="668">
        <v>10</v>
      </c>
      <c r="G216" s="870"/>
      <c r="H216" s="871"/>
      <c r="I216" s="871"/>
      <c r="J216" s="349" t="s">
        <v>1102</v>
      </c>
      <c r="K216" s="884"/>
      <c r="L216" s="876"/>
      <c r="M216" s="885"/>
      <c r="N216" s="876">
        <v>10</v>
      </c>
      <c r="O216" s="313"/>
      <c r="P216" s="315"/>
      <c r="Q216" s="315"/>
      <c r="R216" s="909"/>
      <c r="S216" s="738">
        <f>VLOOKUP("Total",C217:O1905,12,FALSE)</f>
        <v>758.5</v>
      </c>
      <c r="T216" s="738" t="str">
        <f>VLOOKUP("Total",C217:O1905,13,FALSE)</f>
        <v>M</v>
      </c>
      <c r="U216" s="738"/>
    </row>
    <row r="217" spans="1:21" x14ac:dyDescent="0.2">
      <c r="A217" s="908"/>
      <c r="B217" s="666"/>
      <c r="C217" s="580" t="s">
        <v>1338</v>
      </c>
      <c r="D217" s="870">
        <v>384</v>
      </c>
      <c r="E217" s="871" t="s">
        <v>8</v>
      </c>
      <c r="F217" s="668">
        <v>0</v>
      </c>
      <c r="G217" s="870"/>
      <c r="H217" s="871"/>
      <c r="I217" s="871"/>
      <c r="J217" s="349" t="s">
        <v>1102</v>
      </c>
      <c r="K217" s="884"/>
      <c r="L217" s="876"/>
      <c r="M217" s="885"/>
      <c r="N217" s="876">
        <v>41</v>
      </c>
      <c r="O217" s="313"/>
      <c r="P217" s="315"/>
      <c r="Q217" s="315"/>
      <c r="R217" s="909"/>
      <c r="S217" s="738">
        <f>VLOOKUP("Total",C218:O1905,12,FALSE)</f>
        <v>758.5</v>
      </c>
      <c r="T217" s="738" t="str">
        <f>VLOOKUP("Total",C218:O1905,13,FALSE)</f>
        <v>M</v>
      </c>
      <c r="U217" s="738"/>
    </row>
    <row r="218" spans="1:21" x14ac:dyDescent="0.2">
      <c r="A218" s="908"/>
      <c r="B218" s="666"/>
      <c r="C218" s="580" t="s">
        <v>1339</v>
      </c>
      <c r="D218" s="870">
        <v>389</v>
      </c>
      <c r="E218" s="871" t="s">
        <v>8</v>
      </c>
      <c r="F218" s="668">
        <v>10</v>
      </c>
      <c r="G218" s="870"/>
      <c r="H218" s="871"/>
      <c r="I218" s="871"/>
      <c r="J218" s="349" t="s">
        <v>1102</v>
      </c>
      <c r="K218" s="884"/>
      <c r="L218" s="876"/>
      <c r="M218" s="885"/>
      <c r="N218" s="876">
        <v>50</v>
      </c>
      <c r="O218" s="313"/>
      <c r="P218" s="315"/>
      <c r="Q218" s="315"/>
      <c r="R218" s="909"/>
      <c r="S218" s="738">
        <f>VLOOKUP("Total",C219:O1905,12,FALSE)</f>
        <v>758.5</v>
      </c>
      <c r="T218" s="738" t="str">
        <f>VLOOKUP("Total",C219:O1905,13,FALSE)</f>
        <v>M</v>
      </c>
      <c r="U218" s="738"/>
    </row>
    <row r="219" spans="1:21" x14ac:dyDescent="0.2">
      <c r="A219" s="908"/>
      <c r="B219" s="666"/>
      <c r="C219" s="580" t="s">
        <v>1340</v>
      </c>
      <c r="D219" s="870">
        <v>429</v>
      </c>
      <c r="E219" s="871" t="s">
        <v>8</v>
      </c>
      <c r="F219" s="668">
        <v>0</v>
      </c>
      <c r="G219" s="870"/>
      <c r="H219" s="871"/>
      <c r="I219" s="871"/>
      <c r="J219" s="349" t="s">
        <v>1101</v>
      </c>
      <c r="K219" s="884"/>
      <c r="L219" s="876"/>
      <c r="M219" s="885"/>
      <c r="N219" s="876">
        <v>22</v>
      </c>
      <c r="O219" s="313"/>
      <c r="P219" s="315"/>
      <c r="Q219" s="315"/>
      <c r="R219" s="909"/>
      <c r="S219" s="738">
        <f t="shared" ref="S219:S282" si="15">VLOOKUP("Total",C220:O1905,12,FALSE)</f>
        <v>758.5</v>
      </c>
      <c r="T219" s="738" t="str">
        <f t="shared" ref="T219:T282" si="16">VLOOKUP("Total",C220:O1905,13,FALSE)</f>
        <v>M</v>
      </c>
      <c r="U219" s="738"/>
    </row>
    <row r="220" spans="1:21" x14ac:dyDescent="0.2">
      <c r="A220" s="908"/>
      <c r="B220" s="666"/>
      <c r="C220" s="580" t="s">
        <v>1341</v>
      </c>
      <c r="D220" s="870">
        <v>460</v>
      </c>
      <c r="E220" s="871" t="s">
        <v>8</v>
      </c>
      <c r="F220" s="668">
        <v>0</v>
      </c>
      <c r="G220" s="870"/>
      <c r="H220" s="871"/>
      <c r="I220" s="871"/>
      <c r="J220" s="349" t="s">
        <v>1102</v>
      </c>
      <c r="K220" s="884"/>
      <c r="L220" s="876"/>
      <c r="M220" s="885"/>
      <c r="N220" s="876">
        <v>23</v>
      </c>
      <c r="O220" s="313"/>
      <c r="P220" s="315"/>
      <c r="Q220" s="315"/>
      <c r="R220" s="909"/>
      <c r="S220" s="738">
        <f t="shared" si="15"/>
        <v>758.5</v>
      </c>
      <c r="T220" s="738" t="str">
        <f t="shared" si="16"/>
        <v>M</v>
      </c>
      <c r="U220" s="738"/>
    </row>
    <row r="221" spans="1:21" x14ac:dyDescent="0.2">
      <c r="A221" s="908"/>
      <c r="B221" s="666"/>
      <c r="C221" s="580" t="s">
        <v>1342</v>
      </c>
      <c r="D221" s="870">
        <v>521</v>
      </c>
      <c r="E221" s="871" t="s">
        <v>8</v>
      </c>
      <c r="F221" s="668">
        <v>18</v>
      </c>
      <c r="G221" s="870"/>
      <c r="H221" s="871"/>
      <c r="I221" s="871"/>
      <c r="J221" s="349" t="s">
        <v>1102</v>
      </c>
      <c r="K221" s="884"/>
      <c r="L221" s="876"/>
      <c r="M221" s="885"/>
      <c r="N221" s="876">
        <v>25</v>
      </c>
      <c r="O221" s="313"/>
      <c r="P221" s="315"/>
      <c r="Q221" s="315"/>
      <c r="R221" s="909"/>
      <c r="S221" s="738">
        <f t="shared" si="15"/>
        <v>758.5</v>
      </c>
      <c r="T221" s="738" t="str">
        <f t="shared" si="16"/>
        <v>M</v>
      </c>
      <c r="U221" s="738"/>
    </row>
    <row r="222" spans="1:21" x14ac:dyDescent="0.2">
      <c r="A222" s="908"/>
      <c r="B222" s="666"/>
      <c r="C222" s="580" t="s">
        <v>1343</v>
      </c>
      <c r="D222" s="870">
        <v>534</v>
      </c>
      <c r="E222" s="871" t="s">
        <v>8</v>
      </c>
      <c r="F222" s="668">
        <v>5</v>
      </c>
      <c r="G222" s="870"/>
      <c r="H222" s="871"/>
      <c r="I222" s="871"/>
      <c r="J222" s="349" t="s">
        <v>1102</v>
      </c>
      <c r="K222" s="884"/>
      <c r="L222" s="876"/>
      <c r="M222" s="885"/>
      <c r="N222" s="876">
        <v>23</v>
      </c>
      <c r="O222" s="313"/>
      <c r="P222" s="315"/>
      <c r="Q222" s="315"/>
      <c r="R222" s="909"/>
      <c r="S222" s="738">
        <f t="shared" si="15"/>
        <v>758.5</v>
      </c>
      <c r="T222" s="738" t="str">
        <f t="shared" si="16"/>
        <v>M</v>
      </c>
      <c r="U222" s="738"/>
    </row>
    <row r="223" spans="1:21" x14ac:dyDescent="0.2">
      <c r="A223" s="908"/>
      <c r="B223" s="666"/>
      <c r="C223" s="580" t="s">
        <v>1344</v>
      </c>
      <c r="D223" s="870">
        <v>546</v>
      </c>
      <c r="E223" s="871" t="s">
        <v>8</v>
      </c>
      <c r="F223" s="668">
        <v>10</v>
      </c>
      <c r="G223" s="870"/>
      <c r="H223" s="871"/>
      <c r="I223" s="871"/>
      <c r="J223" s="349" t="s">
        <v>1101</v>
      </c>
      <c r="K223" s="884"/>
      <c r="L223" s="876"/>
      <c r="M223" s="885"/>
      <c r="N223" s="876">
        <v>16</v>
      </c>
      <c r="O223" s="313"/>
      <c r="P223" s="315"/>
      <c r="Q223" s="315"/>
      <c r="R223" s="909"/>
      <c r="S223" s="738">
        <f t="shared" si="15"/>
        <v>758.5</v>
      </c>
      <c r="T223" s="738" t="str">
        <f t="shared" si="16"/>
        <v>M</v>
      </c>
      <c r="U223" s="738"/>
    </row>
    <row r="224" spans="1:21" x14ac:dyDescent="0.2">
      <c r="A224" s="908"/>
      <c r="B224" s="666"/>
      <c r="C224" s="580" t="s">
        <v>1345</v>
      </c>
      <c r="D224" s="870">
        <v>561</v>
      </c>
      <c r="E224" s="871" t="s">
        <v>8</v>
      </c>
      <c r="F224" s="668">
        <v>12.5</v>
      </c>
      <c r="G224" s="870"/>
      <c r="H224" s="871"/>
      <c r="I224" s="871"/>
      <c r="J224" s="349" t="s">
        <v>1101</v>
      </c>
      <c r="K224" s="884"/>
      <c r="L224" s="876"/>
      <c r="M224" s="885"/>
      <c r="N224" s="876">
        <v>18</v>
      </c>
      <c r="O224" s="313"/>
      <c r="P224" s="315"/>
      <c r="Q224" s="315"/>
      <c r="R224" s="909"/>
      <c r="S224" s="738">
        <f t="shared" si="15"/>
        <v>758.5</v>
      </c>
      <c r="T224" s="738" t="str">
        <f t="shared" si="16"/>
        <v>M</v>
      </c>
      <c r="U224" s="738"/>
    </row>
    <row r="225" spans="1:21" x14ac:dyDescent="0.2">
      <c r="A225" s="899"/>
      <c r="B225" s="353"/>
      <c r="C225" s="354" t="s">
        <v>2</v>
      </c>
      <c r="D225" s="355"/>
      <c r="E225" s="352"/>
      <c r="F225" s="356"/>
      <c r="G225" s="355"/>
      <c r="H225" s="356"/>
      <c r="I225" s="356"/>
      <c r="J225" s="353"/>
      <c r="K225" s="357"/>
      <c r="L225" s="358"/>
      <c r="M225" s="359"/>
      <c r="N225" s="360">
        <f>SUM(N193:N224)</f>
        <v>758.5</v>
      </c>
      <c r="O225" s="361" t="str">
        <f>IF(MID(B191,1,2)="LG",VLOOKUP(B191,'Compos lug'!J:M,4,FALSE),IF(MID(B191,1,1)="6",VLOOKUP(B191,tranp.!$A$6:$K$51,3,FALSE),VLOOKUP(B191,'DER 10-18'!$A$1:$I$1981,3,FALSE)))</f>
        <v>M</v>
      </c>
      <c r="P225" s="362"/>
      <c r="Q225" s="362"/>
      <c r="R225" s="900"/>
      <c r="S225" s="738">
        <f t="shared" si="15"/>
        <v>42</v>
      </c>
      <c r="T225" s="738" t="str">
        <f t="shared" si="16"/>
        <v>M</v>
      </c>
      <c r="U225" s="738"/>
    </row>
    <row r="226" spans="1:21" x14ac:dyDescent="0.2">
      <c r="A226" s="294"/>
      <c r="B226" s="293"/>
      <c r="C226" s="343"/>
      <c r="H226" s="292"/>
      <c r="N226" s="314"/>
      <c r="O226" s="344"/>
      <c r="P226" s="315"/>
      <c r="Q226" s="315"/>
      <c r="R226" s="903"/>
      <c r="S226" s="738">
        <f t="shared" si="15"/>
        <v>42</v>
      </c>
      <c r="T226" s="738" t="str">
        <f t="shared" si="16"/>
        <v>M</v>
      </c>
      <c r="U226" s="738"/>
    </row>
    <row r="227" spans="1:21" ht="24.75" customHeight="1" x14ac:dyDescent="0.2">
      <c r="A227" s="908" t="s">
        <v>254</v>
      </c>
      <c r="B227" s="666">
        <v>40521</v>
      </c>
      <c r="C227" s="347" t="str">
        <f>IF(MID(B227,1,2)="LG",VLOOKUP(B227,'Compos lug'!J:M,3,FALSE),IF(MID(B227,1,1)="6",VLOOKUP(B227,tranp.!$A$4:$K$19,11,FALSE)&amp;" -  XP="&amp;TEXT(T227,"0.000")&amp;" / XR="&amp;TEXT(V227,"0.000"),VLOOKUP(B227,'DER 10-18'!$A$1:$I$1981,2,FALSE)))</f>
        <v>Berço de concreto ciclópico para BDTC diâmetro 1,00 m</v>
      </c>
      <c r="D227" s="1059" t="s">
        <v>7</v>
      </c>
      <c r="E227" s="1060"/>
      <c r="F227" s="1061"/>
      <c r="G227" s="1059"/>
      <c r="H227" s="1060"/>
      <c r="I227" s="1061"/>
      <c r="J227" s="349"/>
      <c r="K227" s="884"/>
      <c r="L227" s="876"/>
      <c r="M227" s="885"/>
      <c r="N227" s="876" t="str">
        <f>CONCATENATE("Total (",IF(MID(B227,1,2)="LG",VLOOKUP(B227,'Compos lug'!J:M,4,FALSE),IF(MID(B227,1,1)="6","t",VLOOKUP(B227,'DER 10-18'!$A$1:$I$1981,3,FALSE))),")")</f>
        <v>Total (M)</v>
      </c>
      <c r="O227" s="313"/>
      <c r="P227" s="315"/>
      <c r="Q227" s="315"/>
      <c r="R227" s="909"/>
      <c r="S227" s="738">
        <f t="shared" si="15"/>
        <v>42</v>
      </c>
      <c r="T227" s="738" t="str">
        <f t="shared" si="16"/>
        <v>M</v>
      </c>
      <c r="U227" s="738"/>
    </row>
    <row r="228" spans="1:21" x14ac:dyDescent="0.2">
      <c r="A228" s="294"/>
      <c r="B228" s="293"/>
      <c r="C228" s="744" t="s">
        <v>1552</v>
      </c>
      <c r="N228" s="876"/>
      <c r="R228" s="912"/>
      <c r="S228" s="738">
        <f t="shared" si="15"/>
        <v>42</v>
      </c>
      <c r="T228" s="738" t="str">
        <f t="shared" si="16"/>
        <v>M</v>
      </c>
    </row>
    <row r="229" spans="1:21" x14ac:dyDescent="0.2">
      <c r="A229" s="294"/>
      <c r="B229" s="293"/>
      <c r="C229" s="673" t="s">
        <v>1348</v>
      </c>
      <c r="D229" s="290">
        <v>60</v>
      </c>
      <c r="E229" s="291" t="s">
        <v>8</v>
      </c>
      <c r="F229" s="675">
        <v>0</v>
      </c>
      <c r="G229" s="1067"/>
      <c r="H229" s="1067"/>
      <c r="I229" s="1068"/>
      <c r="K229" s="298"/>
      <c r="L229" s="299"/>
      <c r="N229" s="876">
        <v>20</v>
      </c>
      <c r="O229" s="674"/>
      <c r="R229" s="903"/>
      <c r="S229" s="738">
        <f t="shared" si="15"/>
        <v>42</v>
      </c>
      <c r="T229" s="738" t="str">
        <f t="shared" si="16"/>
        <v>M</v>
      </c>
      <c r="U229" s="748"/>
    </row>
    <row r="230" spans="1:21" x14ac:dyDescent="0.2">
      <c r="A230" s="294"/>
      <c r="B230" s="293"/>
      <c r="C230" s="673" t="s">
        <v>1352</v>
      </c>
      <c r="D230" s="290">
        <v>200</v>
      </c>
      <c r="E230" s="291" t="s">
        <v>8</v>
      </c>
      <c r="F230" s="675">
        <v>0</v>
      </c>
      <c r="G230" s="1067"/>
      <c r="H230" s="1067"/>
      <c r="I230" s="1068"/>
      <c r="N230" s="876">
        <v>22</v>
      </c>
      <c r="O230" s="674"/>
      <c r="R230" s="903"/>
      <c r="S230" s="738">
        <f t="shared" si="15"/>
        <v>42</v>
      </c>
      <c r="T230" s="738" t="str">
        <f t="shared" si="16"/>
        <v>M</v>
      </c>
      <c r="U230" s="748"/>
    </row>
    <row r="231" spans="1:21" x14ac:dyDescent="0.2">
      <c r="A231" s="899"/>
      <c r="B231" s="353"/>
      <c r="C231" s="354" t="s">
        <v>2</v>
      </c>
      <c r="D231" s="355"/>
      <c r="E231" s="352"/>
      <c r="F231" s="356"/>
      <c r="G231" s="355"/>
      <c r="H231" s="356"/>
      <c r="I231" s="356"/>
      <c r="J231" s="353"/>
      <c r="K231" s="357"/>
      <c r="L231" s="358"/>
      <c r="M231" s="359"/>
      <c r="N231" s="360">
        <f>SUM(N229:N230)</f>
        <v>42</v>
      </c>
      <c r="O231" s="361" t="str">
        <f>IF(MID(B227,1,2)="LG",VLOOKUP(B227,'Compos lug'!J:M,4,FALSE),IF(MID(B227,1,1)="6",VLOOKUP(B227,tranp.!$A$6:$K$51,3,FALSE),VLOOKUP(B227,'DER 10-18'!$A$1:$I$1981,3,FALSE)))</f>
        <v>M</v>
      </c>
      <c r="P231" s="362"/>
      <c r="Q231" s="362"/>
      <c r="R231" s="900"/>
      <c r="S231" s="738">
        <f t="shared" si="15"/>
        <v>97</v>
      </c>
      <c r="T231" s="738" t="str">
        <f t="shared" si="16"/>
        <v>M</v>
      </c>
      <c r="U231" s="738"/>
    </row>
    <row r="232" spans="1:21" x14ac:dyDescent="0.2">
      <c r="A232" s="294"/>
      <c r="B232" s="293"/>
      <c r="C232" s="343"/>
      <c r="H232" s="292"/>
      <c r="N232" s="314"/>
      <c r="O232" s="344"/>
      <c r="P232" s="315"/>
      <c r="Q232" s="315"/>
      <c r="R232" s="903"/>
      <c r="S232" s="738">
        <f t="shared" si="15"/>
        <v>97</v>
      </c>
      <c r="T232" s="738" t="str">
        <f t="shared" si="16"/>
        <v>M</v>
      </c>
      <c r="U232" s="738"/>
    </row>
    <row r="233" spans="1:21" ht="27" customHeight="1" x14ac:dyDescent="0.2">
      <c r="A233" s="908" t="s">
        <v>255</v>
      </c>
      <c r="B233" s="666">
        <v>40522</v>
      </c>
      <c r="C233" s="347" t="str">
        <f>IF(MID(B233,1,2)="LG",VLOOKUP(B233,'Compos lug'!J:M,3,FALSE),IF(MID(B233,1,1)="6",VLOOKUP(B233,tranp.!$A$4:$K$19,11,FALSE)&amp;" -  XP="&amp;TEXT(T233,"0.000")&amp;" / XR="&amp;TEXT(V233,"0.000"),VLOOKUP(B233,'DER 10-18'!$A$1:$I$1981,2,FALSE)))</f>
        <v>Berço de concreto ciclópico para BDTC diâmetro 1,20 m</v>
      </c>
      <c r="D233" s="1059" t="s">
        <v>7</v>
      </c>
      <c r="E233" s="1060"/>
      <c r="F233" s="1061"/>
      <c r="G233" s="1059"/>
      <c r="H233" s="1060"/>
      <c r="I233" s="1061"/>
      <c r="J233" s="349"/>
      <c r="K233" s="884"/>
      <c r="L233" s="876"/>
      <c r="M233" s="885"/>
      <c r="N233" s="876" t="str">
        <f>CONCATENATE("Total (",IF(MID(B233,1,2)="LG",VLOOKUP(B233,'Compos lug'!J:M,4,FALSE),IF(MID(B233,1,1)="6","t",VLOOKUP(B233,'DER 10-18'!$A$1:$I$1981,3,FALSE))),")")</f>
        <v>Total (M)</v>
      </c>
      <c r="O233" s="313"/>
      <c r="P233" s="315"/>
      <c r="Q233" s="315"/>
      <c r="R233" s="909"/>
      <c r="S233" s="738">
        <f t="shared" si="15"/>
        <v>97</v>
      </c>
      <c r="T233" s="738" t="str">
        <f t="shared" si="16"/>
        <v>M</v>
      </c>
      <c r="U233" s="738"/>
    </row>
    <row r="234" spans="1:21" x14ac:dyDescent="0.2">
      <c r="A234" s="294"/>
      <c r="B234" s="293"/>
      <c r="C234" s="744" t="s">
        <v>1552</v>
      </c>
      <c r="N234" s="876"/>
      <c r="R234" s="912"/>
      <c r="S234" s="738">
        <f t="shared" si="15"/>
        <v>97</v>
      </c>
      <c r="T234" s="738" t="str">
        <f t="shared" si="16"/>
        <v>M</v>
      </c>
    </row>
    <row r="235" spans="1:21" x14ac:dyDescent="0.2">
      <c r="A235" s="294"/>
      <c r="B235" s="293"/>
      <c r="C235" s="673" t="s">
        <v>1349</v>
      </c>
      <c r="D235" s="290">
        <v>99</v>
      </c>
      <c r="E235" s="291" t="s">
        <v>8</v>
      </c>
      <c r="F235" s="675">
        <v>0</v>
      </c>
      <c r="G235" s="1067"/>
      <c r="H235" s="1067"/>
      <c r="I235" s="1068"/>
      <c r="N235" s="876">
        <v>50</v>
      </c>
      <c r="O235" s="674"/>
      <c r="R235" s="903"/>
      <c r="S235" s="738">
        <f t="shared" si="15"/>
        <v>97</v>
      </c>
      <c r="T235" s="738" t="str">
        <f t="shared" si="16"/>
        <v>M</v>
      </c>
      <c r="U235" s="748"/>
    </row>
    <row r="236" spans="1:21" x14ac:dyDescent="0.2">
      <c r="A236" s="294"/>
      <c r="B236" s="293"/>
      <c r="C236" s="673" t="s">
        <v>1350</v>
      </c>
      <c r="D236" s="290">
        <v>119</v>
      </c>
      <c r="E236" s="291" t="s">
        <v>8</v>
      </c>
      <c r="F236" s="675">
        <v>0</v>
      </c>
      <c r="G236" s="1067"/>
      <c r="H236" s="1067"/>
      <c r="I236" s="1068"/>
      <c r="N236" s="876">
        <v>25</v>
      </c>
      <c r="O236" s="674"/>
      <c r="R236" s="903"/>
      <c r="S236" s="738">
        <f t="shared" si="15"/>
        <v>97</v>
      </c>
      <c r="T236" s="738" t="str">
        <f t="shared" si="16"/>
        <v>M</v>
      </c>
      <c r="U236" s="748"/>
    </row>
    <row r="237" spans="1:21" x14ac:dyDescent="0.2">
      <c r="A237" s="294"/>
      <c r="B237" s="293"/>
      <c r="C237" s="673" t="s">
        <v>1353</v>
      </c>
      <c r="D237" s="290">
        <v>273</v>
      </c>
      <c r="E237" s="291" t="s">
        <v>8</v>
      </c>
      <c r="F237" s="675">
        <v>10</v>
      </c>
      <c r="G237" s="1067"/>
      <c r="H237" s="1067"/>
      <c r="I237" s="1068"/>
      <c r="N237" s="876">
        <v>22</v>
      </c>
      <c r="O237" s="674"/>
      <c r="R237" s="903"/>
      <c r="S237" s="738">
        <f t="shared" si="15"/>
        <v>97</v>
      </c>
      <c r="T237" s="738" t="str">
        <f t="shared" si="16"/>
        <v>M</v>
      </c>
      <c r="U237" s="748"/>
    </row>
    <row r="238" spans="1:21" x14ac:dyDescent="0.2">
      <c r="A238" s="899"/>
      <c r="B238" s="353"/>
      <c r="C238" s="354" t="s">
        <v>2</v>
      </c>
      <c r="D238" s="355"/>
      <c r="E238" s="352"/>
      <c r="F238" s="356"/>
      <c r="G238" s="355"/>
      <c r="H238" s="356"/>
      <c r="I238" s="356"/>
      <c r="J238" s="353"/>
      <c r="K238" s="357"/>
      <c r="L238" s="358"/>
      <c r="M238" s="359"/>
      <c r="N238" s="360">
        <f>SUM(N235:N237)</f>
        <v>97</v>
      </c>
      <c r="O238" s="361" t="str">
        <f>IF(MID(B233,1,2)="LG",VLOOKUP(B233,'Compos lug'!J:M,4,FALSE),IF(MID(B233,1,1)="6",VLOOKUP(B233,tranp.!$A$6:$K$51,3,FALSE),VLOOKUP(B233,'DER 10-18'!$A$1:$I$1981,3,FALSE)))</f>
        <v>M</v>
      </c>
      <c r="P238" s="362"/>
      <c r="Q238" s="362"/>
      <c r="R238" s="900"/>
      <c r="S238" s="738">
        <f t="shared" si="15"/>
        <v>0.47</v>
      </c>
      <c r="T238" s="738" t="str">
        <f t="shared" si="16"/>
        <v>M3</v>
      </c>
      <c r="U238" s="738"/>
    </row>
    <row r="239" spans="1:21" x14ac:dyDescent="0.2">
      <c r="A239" s="294"/>
      <c r="B239" s="293"/>
      <c r="C239" s="343"/>
      <c r="H239" s="292"/>
      <c r="N239" s="314"/>
      <c r="O239" s="344"/>
      <c r="P239" s="315"/>
      <c r="Q239" s="315"/>
      <c r="R239" s="903"/>
      <c r="S239" s="738">
        <f t="shared" si="15"/>
        <v>0.47</v>
      </c>
      <c r="T239" s="738" t="str">
        <f t="shared" si="16"/>
        <v>M3</v>
      </c>
      <c r="U239" s="738"/>
    </row>
    <row r="240" spans="1:21" ht="24.75" customHeight="1" x14ac:dyDescent="0.2">
      <c r="A240" s="908" t="s">
        <v>256</v>
      </c>
      <c r="B240" s="666">
        <v>40721</v>
      </c>
      <c r="C240" s="347" t="str">
        <f>IF(MID(B240,1,2)="LG",VLOOKUP(B240,'Compos lug'!J:M,3,FALSE),IF(MID(B240,1,1)="6",VLOOKUP(B240,tranp.!$A$4:$K$19,11,FALSE)&amp;" -  XP="&amp;TEXT(T240,"0.000")&amp;" / XR="&amp;TEXT(V240,"0.000"),VLOOKUP(B240,'DER 10-18'!$A$1:$I$1981,2,FALSE)))</f>
        <v>Lastro de brita, inclusive transporte da brita</v>
      </c>
      <c r="D240" s="1059" t="s">
        <v>7</v>
      </c>
      <c r="E240" s="1060"/>
      <c r="F240" s="1061"/>
      <c r="G240" s="1059"/>
      <c r="H240" s="1060"/>
      <c r="I240" s="1061"/>
      <c r="J240" s="349"/>
      <c r="K240" s="884"/>
      <c r="L240" s="1087" t="s">
        <v>1523</v>
      </c>
      <c r="M240" s="1068"/>
      <c r="N240" s="876" t="str">
        <f>CONCATENATE("Total (",IF(MID(B240,1,2)="LG",VLOOKUP(B240,'Compos lug'!J:M,4,FALSE),IF(MID(B240,1,1)="6","t",VLOOKUP(B240,'DER 10-18'!$A$1:$I$1981,3,FALSE))),")")</f>
        <v>Total (M3)</v>
      </c>
      <c r="O240" s="313"/>
      <c r="P240" s="315"/>
      <c r="Q240" s="315"/>
      <c r="R240" s="909"/>
      <c r="S240" s="738">
        <f t="shared" si="15"/>
        <v>0.47</v>
      </c>
      <c r="T240" s="738" t="str">
        <f t="shared" si="16"/>
        <v>M3</v>
      </c>
      <c r="U240" s="738"/>
    </row>
    <row r="241" spans="1:21" x14ac:dyDescent="0.2">
      <c r="A241" s="294"/>
      <c r="B241" s="293"/>
      <c r="C241" s="744" t="s">
        <v>1552</v>
      </c>
      <c r="N241" s="876"/>
      <c r="R241" s="912"/>
      <c r="S241" s="738">
        <f t="shared" si="15"/>
        <v>0.47</v>
      </c>
      <c r="T241" s="738" t="str">
        <f t="shared" si="16"/>
        <v>M3</v>
      </c>
    </row>
    <row r="242" spans="1:21" ht="14.25" customHeight="1" x14ac:dyDescent="0.2">
      <c r="A242" s="294"/>
      <c r="B242" s="293"/>
      <c r="C242" s="673" t="s">
        <v>1521</v>
      </c>
      <c r="D242" s="290">
        <v>169</v>
      </c>
      <c r="E242" s="291" t="s">
        <v>8</v>
      </c>
      <c r="F242" s="675">
        <v>0</v>
      </c>
      <c r="H242" s="292"/>
      <c r="L242" s="1087">
        <v>2.8</v>
      </c>
      <c r="M242" s="1068"/>
      <c r="N242" s="875">
        <v>0.21</v>
      </c>
      <c r="O242" s="344"/>
      <c r="P242" s="315"/>
      <c r="Q242" s="315"/>
      <c r="R242" s="903"/>
      <c r="S242" s="738">
        <f t="shared" si="15"/>
        <v>0.47</v>
      </c>
      <c r="T242" s="738" t="str">
        <f t="shared" si="16"/>
        <v>M3</v>
      </c>
      <c r="U242" s="738"/>
    </row>
    <row r="243" spans="1:21" ht="14.25" customHeight="1" x14ac:dyDescent="0.2">
      <c r="A243" s="294"/>
      <c r="B243" s="293"/>
      <c r="C243" s="673" t="s">
        <v>1522</v>
      </c>
      <c r="D243" s="290">
        <v>375</v>
      </c>
      <c r="E243" s="291" t="s">
        <v>8</v>
      </c>
      <c r="F243" s="676">
        <v>18</v>
      </c>
      <c r="H243" s="292"/>
      <c r="L243" s="1088">
        <v>1</v>
      </c>
      <c r="M243" s="1089"/>
      <c r="N243" s="875">
        <v>0.26</v>
      </c>
      <c r="O243" s="344"/>
      <c r="P243" s="315"/>
      <c r="Q243" s="315"/>
      <c r="R243" s="903"/>
      <c r="S243" s="738">
        <f t="shared" si="15"/>
        <v>0.47</v>
      </c>
      <c r="T243" s="738" t="str">
        <f t="shared" si="16"/>
        <v>M3</v>
      </c>
      <c r="U243" s="738"/>
    </row>
    <row r="244" spans="1:21" x14ac:dyDescent="0.2">
      <c r="A244" s="899"/>
      <c r="B244" s="353"/>
      <c r="C244" s="354" t="s">
        <v>2</v>
      </c>
      <c r="D244" s="355"/>
      <c r="E244" s="352"/>
      <c r="F244" s="356"/>
      <c r="G244" s="355"/>
      <c r="H244" s="356"/>
      <c r="I244" s="356"/>
      <c r="J244" s="353"/>
      <c r="K244" s="357"/>
      <c r="L244" s="358"/>
      <c r="M244" s="359"/>
      <c r="N244" s="360">
        <f>SUM(N242:N243)</f>
        <v>0.47</v>
      </c>
      <c r="O244" s="361" t="str">
        <f>IF(MID(B240,1,2)="LG",VLOOKUP(B240,'Compos lug'!J:M,4,FALSE),IF(MID(B240,1,1)="6",VLOOKUP(B240,tranp.!$A$6:$K$51,3,FALSE),VLOOKUP(B240,'DER 10-18'!$A$1:$I$1981,3,FALSE)))</f>
        <v>M3</v>
      </c>
      <c r="P244" s="362"/>
      <c r="Q244" s="362"/>
      <c r="R244" s="900"/>
      <c r="S244" s="738">
        <f t="shared" si="15"/>
        <v>775.5</v>
      </c>
      <c r="T244" s="738" t="str">
        <f t="shared" si="16"/>
        <v>M</v>
      </c>
      <c r="U244" s="738"/>
    </row>
    <row r="245" spans="1:21" x14ac:dyDescent="0.2">
      <c r="A245" s="294"/>
      <c r="B245" s="293"/>
      <c r="C245" s="343"/>
      <c r="H245" s="292"/>
      <c r="N245" s="314"/>
      <c r="O245" s="344"/>
      <c r="P245" s="315"/>
      <c r="Q245" s="315"/>
      <c r="R245" s="903"/>
      <c r="S245" s="738">
        <f t="shared" si="15"/>
        <v>775.5</v>
      </c>
      <c r="T245" s="738" t="str">
        <f t="shared" si="16"/>
        <v>M</v>
      </c>
      <c r="U245" s="738"/>
    </row>
    <row r="246" spans="1:21" ht="24.75" customHeight="1" x14ac:dyDescent="0.2">
      <c r="A246" s="908" t="s">
        <v>257</v>
      </c>
      <c r="B246" s="666">
        <v>40515</v>
      </c>
      <c r="C246" s="347" t="str">
        <f>IF(MID(B246,1,2)="LG",VLOOKUP(B246,'Compos lug'!J:M,3,FALSE),IF(MID(B246,1,1)="6",VLOOKUP(B246,tranp.!$A$4:$K$19,11,FALSE)&amp;" -  XP="&amp;TEXT(T246,"0.000")&amp;" / XR="&amp;TEXT(V246,"0.000"),VLOOKUP(B246,'DER 10-18'!$A$1:$I$1981,2,FALSE)))</f>
        <v>Berço de concreto ciclópico para BSTC diâmetro 0,80 m</v>
      </c>
      <c r="D246" s="1059" t="s">
        <v>7</v>
      </c>
      <c r="E246" s="1060"/>
      <c r="F246" s="1061"/>
      <c r="G246" s="1059"/>
      <c r="H246" s="1060"/>
      <c r="I246" s="1061"/>
      <c r="J246" s="349"/>
      <c r="K246" s="884"/>
      <c r="L246" s="876"/>
      <c r="M246" s="885"/>
      <c r="N246" s="876" t="str">
        <f>CONCATENATE("Total (",IF(MID(B246,1,2)="LG",VLOOKUP(B246,'Compos lug'!J:M,4,FALSE),IF(MID(B246,1,1)="6","t",VLOOKUP(B246,'DER 10-18'!$A$1:$I$1981,3,FALSE))),")")</f>
        <v>Total (M)</v>
      </c>
      <c r="O246" s="313"/>
      <c r="P246" s="315"/>
      <c r="Q246" s="315"/>
      <c r="R246" s="909"/>
      <c r="S246" s="738">
        <f t="shared" si="15"/>
        <v>775.5</v>
      </c>
      <c r="T246" s="738" t="str">
        <f t="shared" si="16"/>
        <v>M</v>
      </c>
      <c r="U246" s="738"/>
    </row>
    <row r="247" spans="1:21" x14ac:dyDescent="0.2">
      <c r="A247" s="294"/>
      <c r="B247" s="293"/>
      <c r="C247" s="744" t="s">
        <v>1552</v>
      </c>
      <c r="N247" s="876"/>
      <c r="R247" s="912"/>
      <c r="S247" s="738">
        <f t="shared" si="15"/>
        <v>775.5</v>
      </c>
      <c r="T247" s="738" t="str">
        <f t="shared" si="16"/>
        <v>M</v>
      </c>
    </row>
    <row r="248" spans="1:21" x14ac:dyDescent="0.2">
      <c r="A248" s="908"/>
      <c r="B248" s="666"/>
      <c r="C248" s="580" t="s">
        <v>1272</v>
      </c>
      <c r="D248" s="870">
        <v>12</v>
      </c>
      <c r="E248" s="871" t="s">
        <v>8</v>
      </c>
      <c r="F248" s="668">
        <v>0</v>
      </c>
      <c r="G248" s="870"/>
      <c r="H248" s="871"/>
      <c r="I248" s="871"/>
      <c r="J248" s="349"/>
      <c r="K248" s="884"/>
      <c r="L248" s="876"/>
      <c r="M248" s="885"/>
      <c r="N248" s="876">
        <v>18</v>
      </c>
      <c r="O248" s="313"/>
      <c r="P248" s="315"/>
      <c r="Q248" s="315"/>
      <c r="R248" s="909"/>
      <c r="S248" s="738">
        <f t="shared" si="15"/>
        <v>775.5</v>
      </c>
      <c r="T248" s="738" t="str">
        <f t="shared" si="16"/>
        <v>M</v>
      </c>
      <c r="U248" s="738"/>
    </row>
    <row r="249" spans="1:21" x14ac:dyDescent="0.2">
      <c r="A249" s="908"/>
      <c r="B249" s="666"/>
      <c r="C249" s="580" t="s">
        <v>1273</v>
      </c>
      <c r="D249" s="870">
        <v>25</v>
      </c>
      <c r="E249" s="871" t="s">
        <v>8</v>
      </c>
      <c r="F249" s="668">
        <v>2</v>
      </c>
      <c r="G249" s="870"/>
      <c r="H249" s="871"/>
      <c r="I249" s="871"/>
      <c r="J249" s="349"/>
      <c r="K249" s="884"/>
      <c r="L249" s="876"/>
      <c r="M249" s="885"/>
      <c r="N249" s="876">
        <v>17</v>
      </c>
      <c r="O249" s="313"/>
      <c r="P249" s="315"/>
      <c r="Q249" s="315"/>
      <c r="R249" s="909"/>
      <c r="S249" s="738">
        <f t="shared" si="15"/>
        <v>775.5</v>
      </c>
      <c r="T249" s="738" t="str">
        <f t="shared" si="16"/>
        <v>M</v>
      </c>
      <c r="U249" s="738"/>
    </row>
    <row r="250" spans="1:21" x14ac:dyDescent="0.2">
      <c r="A250" s="908"/>
      <c r="B250" s="666"/>
      <c r="C250" s="580" t="s">
        <v>1316</v>
      </c>
      <c r="D250" s="870">
        <v>32</v>
      </c>
      <c r="E250" s="871" t="s">
        <v>8</v>
      </c>
      <c r="F250" s="668">
        <v>0</v>
      </c>
      <c r="G250" s="870"/>
      <c r="H250" s="871"/>
      <c r="I250" s="871"/>
      <c r="J250" s="349"/>
      <c r="K250" s="884"/>
      <c r="L250" s="876"/>
      <c r="M250" s="885"/>
      <c r="N250" s="876">
        <v>18</v>
      </c>
      <c r="O250" s="313"/>
      <c r="P250" s="315"/>
      <c r="Q250" s="315"/>
      <c r="R250" s="909"/>
      <c r="S250" s="738">
        <f t="shared" si="15"/>
        <v>775.5</v>
      </c>
      <c r="T250" s="738" t="str">
        <f t="shared" si="16"/>
        <v>M</v>
      </c>
      <c r="U250" s="738"/>
    </row>
    <row r="251" spans="1:21" x14ac:dyDescent="0.2">
      <c r="A251" s="908"/>
      <c r="B251" s="666"/>
      <c r="C251" s="580" t="s">
        <v>1317</v>
      </c>
      <c r="D251" s="870">
        <v>56</v>
      </c>
      <c r="E251" s="871" t="s">
        <v>8</v>
      </c>
      <c r="F251" s="668">
        <v>0</v>
      </c>
      <c r="G251" s="870"/>
      <c r="H251" s="871"/>
      <c r="I251" s="871"/>
      <c r="J251" s="349"/>
      <c r="K251" s="884"/>
      <c r="L251" s="876"/>
      <c r="M251" s="885"/>
      <c r="N251" s="876">
        <v>21</v>
      </c>
      <c r="O251" s="313"/>
      <c r="P251" s="315"/>
      <c r="Q251" s="315"/>
      <c r="R251" s="909"/>
      <c r="S251" s="738">
        <f t="shared" si="15"/>
        <v>775.5</v>
      </c>
      <c r="T251" s="738" t="str">
        <f t="shared" si="16"/>
        <v>M</v>
      </c>
      <c r="U251" s="738"/>
    </row>
    <row r="252" spans="1:21" x14ac:dyDescent="0.2">
      <c r="A252" s="908"/>
      <c r="B252" s="666"/>
      <c r="C252" s="580" t="s">
        <v>1318</v>
      </c>
      <c r="D252" s="870">
        <v>63</v>
      </c>
      <c r="E252" s="871" t="s">
        <v>8</v>
      </c>
      <c r="F252" s="668">
        <v>0</v>
      </c>
      <c r="G252" s="870"/>
      <c r="H252" s="871"/>
      <c r="I252" s="871"/>
      <c r="J252" s="349"/>
      <c r="K252" s="884"/>
      <c r="L252" s="876"/>
      <c r="M252" s="885"/>
      <c r="N252" s="876">
        <v>16</v>
      </c>
      <c r="O252" s="313"/>
      <c r="P252" s="315"/>
      <c r="Q252" s="315"/>
      <c r="R252" s="909"/>
      <c r="S252" s="738">
        <f t="shared" si="15"/>
        <v>775.5</v>
      </c>
      <c r="T252" s="738" t="str">
        <f t="shared" si="16"/>
        <v>M</v>
      </c>
      <c r="U252" s="738"/>
    </row>
    <row r="253" spans="1:21" x14ac:dyDescent="0.2">
      <c r="A253" s="908"/>
      <c r="B253" s="666"/>
      <c r="C253" s="580" t="s">
        <v>1319</v>
      </c>
      <c r="D253" s="870">
        <v>67</v>
      </c>
      <c r="E253" s="871" t="s">
        <v>8</v>
      </c>
      <c r="F253" s="668">
        <v>10</v>
      </c>
      <c r="G253" s="870"/>
      <c r="H253" s="871"/>
      <c r="I253" s="871"/>
      <c r="J253" s="349"/>
      <c r="K253" s="884"/>
      <c r="L253" s="876"/>
      <c r="M253" s="885"/>
      <c r="N253" s="876">
        <v>16</v>
      </c>
      <c r="O253" s="313"/>
      <c r="P253" s="315"/>
      <c r="Q253" s="315"/>
      <c r="R253" s="909"/>
      <c r="S253" s="738">
        <f t="shared" si="15"/>
        <v>775.5</v>
      </c>
      <c r="T253" s="738" t="str">
        <f t="shared" si="16"/>
        <v>M</v>
      </c>
      <c r="U253" s="738"/>
    </row>
    <row r="254" spans="1:21" x14ac:dyDescent="0.2">
      <c r="A254" s="908"/>
      <c r="B254" s="666"/>
      <c r="C254" s="580" t="s">
        <v>1320</v>
      </c>
      <c r="D254" s="870">
        <v>74</v>
      </c>
      <c r="E254" s="871" t="s">
        <v>8</v>
      </c>
      <c r="F254" s="668">
        <v>0</v>
      </c>
      <c r="G254" s="870"/>
      <c r="H254" s="871"/>
      <c r="I254" s="871"/>
      <c r="J254" s="349"/>
      <c r="K254" s="884"/>
      <c r="L254" s="876"/>
      <c r="M254" s="885"/>
      <c r="N254" s="876">
        <v>21</v>
      </c>
      <c r="O254" s="313"/>
      <c r="P254" s="315"/>
      <c r="Q254" s="315"/>
      <c r="R254" s="909"/>
      <c r="S254" s="738">
        <f t="shared" si="15"/>
        <v>775.5</v>
      </c>
      <c r="T254" s="738" t="str">
        <f t="shared" si="16"/>
        <v>M</v>
      </c>
      <c r="U254" s="738"/>
    </row>
    <row r="255" spans="1:21" x14ac:dyDescent="0.2">
      <c r="A255" s="908"/>
      <c r="B255" s="666"/>
      <c r="C255" s="580" t="s">
        <v>1321</v>
      </c>
      <c r="D255" s="870">
        <v>80</v>
      </c>
      <c r="E255" s="871" t="s">
        <v>8</v>
      </c>
      <c r="F255" s="668">
        <v>0</v>
      </c>
      <c r="G255" s="870"/>
      <c r="H255" s="871"/>
      <c r="I255" s="871"/>
      <c r="J255" s="349"/>
      <c r="K255" s="884"/>
      <c r="L255" s="876"/>
      <c r="M255" s="885"/>
      <c r="N255" s="876">
        <v>27</v>
      </c>
      <c r="O255" s="313"/>
      <c r="P255" s="315"/>
      <c r="Q255" s="315"/>
      <c r="R255" s="909"/>
      <c r="S255" s="738">
        <f t="shared" si="15"/>
        <v>775.5</v>
      </c>
      <c r="T255" s="738" t="str">
        <f t="shared" si="16"/>
        <v>M</v>
      </c>
      <c r="U255" s="738"/>
    </row>
    <row r="256" spans="1:21" x14ac:dyDescent="0.2">
      <c r="A256" s="908"/>
      <c r="B256" s="666"/>
      <c r="C256" s="580" t="s">
        <v>1322</v>
      </c>
      <c r="D256" s="870">
        <v>87</v>
      </c>
      <c r="E256" s="871" t="s">
        <v>8</v>
      </c>
      <c r="F256" s="668">
        <v>0</v>
      </c>
      <c r="G256" s="870"/>
      <c r="H256" s="871"/>
      <c r="I256" s="871"/>
      <c r="J256" s="349"/>
      <c r="K256" s="884"/>
      <c r="L256" s="876"/>
      <c r="M256" s="885"/>
      <c r="N256" s="876">
        <v>27</v>
      </c>
      <c r="O256" s="313"/>
      <c r="P256" s="315"/>
      <c r="Q256" s="315"/>
      <c r="R256" s="909"/>
      <c r="S256" s="738">
        <f t="shared" si="15"/>
        <v>775.5</v>
      </c>
      <c r="T256" s="738" t="str">
        <f t="shared" si="16"/>
        <v>M</v>
      </c>
      <c r="U256" s="738"/>
    </row>
    <row r="257" spans="1:21" x14ac:dyDescent="0.2">
      <c r="A257" s="908"/>
      <c r="B257" s="666"/>
      <c r="C257" s="580" t="s">
        <v>1323</v>
      </c>
      <c r="D257" s="870">
        <v>93</v>
      </c>
      <c r="E257" s="871" t="s">
        <v>8</v>
      </c>
      <c r="F257" s="668">
        <v>15</v>
      </c>
      <c r="G257" s="870"/>
      <c r="H257" s="871"/>
      <c r="I257" s="871"/>
      <c r="J257" s="349"/>
      <c r="K257" s="884"/>
      <c r="L257" s="876"/>
      <c r="M257" s="885"/>
      <c r="N257" s="876">
        <v>18</v>
      </c>
      <c r="O257" s="313"/>
      <c r="P257" s="315"/>
      <c r="Q257" s="315"/>
      <c r="R257" s="909"/>
      <c r="S257" s="738">
        <f t="shared" si="15"/>
        <v>775.5</v>
      </c>
      <c r="T257" s="738" t="str">
        <f t="shared" si="16"/>
        <v>M</v>
      </c>
      <c r="U257" s="738"/>
    </row>
    <row r="258" spans="1:21" x14ac:dyDescent="0.2">
      <c r="A258" s="908"/>
      <c r="B258" s="666"/>
      <c r="C258" s="580" t="s">
        <v>1324</v>
      </c>
      <c r="D258" s="870">
        <v>101</v>
      </c>
      <c r="E258" s="871" t="s">
        <v>8</v>
      </c>
      <c r="F258" s="668">
        <v>10</v>
      </c>
      <c r="G258" s="870"/>
      <c r="H258" s="871"/>
      <c r="I258" s="871"/>
      <c r="J258" s="349"/>
      <c r="K258" s="884"/>
      <c r="L258" s="876"/>
      <c r="M258" s="885"/>
      <c r="N258" s="876">
        <v>18</v>
      </c>
      <c r="O258" s="313"/>
      <c r="P258" s="315"/>
      <c r="Q258" s="315"/>
      <c r="R258" s="909"/>
      <c r="S258" s="738">
        <f t="shared" si="15"/>
        <v>775.5</v>
      </c>
      <c r="T258" s="738" t="str">
        <f t="shared" si="16"/>
        <v>M</v>
      </c>
      <c r="U258" s="738"/>
    </row>
    <row r="259" spans="1:21" x14ac:dyDescent="0.2">
      <c r="A259" s="908"/>
      <c r="B259" s="666"/>
      <c r="C259" s="580" t="s">
        <v>1325</v>
      </c>
      <c r="D259" s="870">
        <v>153</v>
      </c>
      <c r="E259" s="871" t="s">
        <v>8</v>
      </c>
      <c r="F259" s="668">
        <v>10</v>
      </c>
      <c r="G259" s="870"/>
      <c r="H259" s="871"/>
      <c r="I259" s="871"/>
      <c r="J259" s="349"/>
      <c r="K259" s="884"/>
      <c r="L259" s="876"/>
      <c r="M259" s="885"/>
      <c r="N259" s="876">
        <v>22</v>
      </c>
      <c r="O259" s="313"/>
      <c r="P259" s="315"/>
      <c r="Q259" s="315"/>
      <c r="R259" s="909"/>
      <c r="S259" s="738">
        <f t="shared" si="15"/>
        <v>775.5</v>
      </c>
      <c r="T259" s="738" t="str">
        <f t="shared" si="16"/>
        <v>M</v>
      </c>
      <c r="U259" s="738"/>
    </row>
    <row r="260" spans="1:21" x14ac:dyDescent="0.2">
      <c r="A260" s="908"/>
      <c r="B260" s="666"/>
      <c r="C260" s="580" t="s">
        <v>1326</v>
      </c>
      <c r="D260" s="870">
        <v>156</v>
      </c>
      <c r="E260" s="871" t="s">
        <v>8</v>
      </c>
      <c r="F260" s="668">
        <v>10</v>
      </c>
      <c r="G260" s="870"/>
      <c r="H260" s="871"/>
      <c r="I260" s="871"/>
      <c r="J260" s="349"/>
      <c r="K260" s="884"/>
      <c r="L260" s="876"/>
      <c r="M260" s="885"/>
      <c r="N260" s="876">
        <v>30</v>
      </c>
      <c r="O260" s="313"/>
      <c r="P260" s="315"/>
      <c r="Q260" s="315"/>
      <c r="R260" s="909"/>
      <c r="S260" s="738">
        <f t="shared" si="15"/>
        <v>775.5</v>
      </c>
      <c r="T260" s="738" t="str">
        <f t="shared" si="16"/>
        <v>M</v>
      </c>
      <c r="U260" s="738"/>
    </row>
    <row r="261" spans="1:21" x14ac:dyDescent="0.2">
      <c r="A261" s="908"/>
      <c r="B261" s="666"/>
      <c r="C261" s="580" t="s">
        <v>1327</v>
      </c>
      <c r="D261" s="870">
        <v>159</v>
      </c>
      <c r="E261" s="871" t="s">
        <v>8</v>
      </c>
      <c r="F261" s="668">
        <v>10</v>
      </c>
      <c r="G261" s="870"/>
      <c r="H261" s="871"/>
      <c r="I261" s="871"/>
      <c r="J261" s="349"/>
      <c r="K261" s="884"/>
      <c r="L261" s="876"/>
      <c r="M261" s="885"/>
      <c r="N261" s="876">
        <v>30</v>
      </c>
      <c r="O261" s="313"/>
      <c r="P261" s="315"/>
      <c r="Q261" s="315"/>
      <c r="R261" s="909"/>
      <c r="S261" s="738">
        <f t="shared" si="15"/>
        <v>775.5</v>
      </c>
      <c r="T261" s="738" t="str">
        <f t="shared" si="16"/>
        <v>M</v>
      </c>
      <c r="U261" s="738"/>
    </row>
    <row r="262" spans="1:21" x14ac:dyDescent="0.2">
      <c r="A262" s="908"/>
      <c r="B262" s="666"/>
      <c r="C262" s="580" t="s">
        <v>1328</v>
      </c>
      <c r="D262" s="870">
        <v>167</v>
      </c>
      <c r="E262" s="871" t="s">
        <v>8</v>
      </c>
      <c r="F262" s="668">
        <v>0</v>
      </c>
      <c r="G262" s="870"/>
      <c r="H262" s="871"/>
      <c r="I262" s="871"/>
      <c r="J262" s="349"/>
      <c r="K262" s="884"/>
      <c r="L262" s="876"/>
      <c r="M262" s="885"/>
      <c r="N262" s="876">
        <v>22</v>
      </c>
      <c r="O262" s="313"/>
      <c r="P262" s="315"/>
      <c r="Q262" s="315"/>
      <c r="R262" s="909"/>
      <c r="S262" s="738">
        <f t="shared" si="15"/>
        <v>775.5</v>
      </c>
      <c r="T262" s="738" t="str">
        <f t="shared" si="16"/>
        <v>M</v>
      </c>
      <c r="U262" s="738"/>
    </row>
    <row r="263" spans="1:21" x14ac:dyDescent="0.2">
      <c r="A263" s="908"/>
      <c r="B263" s="666"/>
      <c r="C263" s="580" t="s">
        <v>1329</v>
      </c>
      <c r="D263" s="870">
        <v>173</v>
      </c>
      <c r="E263" s="871" t="s">
        <v>8</v>
      </c>
      <c r="F263" s="668">
        <v>0</v>
      </c>
      <c r="G263" s="870"/>
      <c r="H263" s="871"/>
      <c r="I263" s="871"/>
      <c r="J263" s="349"/>
      <c r="K263" s="884"/>
      <c r="L263" s="876"/>
      <c r="M263" s="885"/>
      <c r="N263" s="876">
        <v>22</v>
      </c>
      <c r="O263" s="313"/>
      <c r="P263" s="315"/>
      <c r="Q263" s="315"/>
      <c r="R263" s="909"/>
      <c r="S263" s="738">
        <f t="shared" si="15"/>
        <v>775.5</v>
      </c>
      <c r="T263" s="738" t="str">
        <f t="shared" si="16"/>
        <v>M</v>
      </c>
      <c r="U263" s="738"/>
    </row>
    <row r="264" spans="1:21" x14ac:dyDescent="0.2">
      <c r="A264" s="908"/>
      <c r="B264" s="666"/>
      <c r="C264" s="580" t="s">
        <v>1330</v>
      </c>
      <c r="D264" s="870">
        <v>180</v>
      </c>
      <c r="E264" s="871" t="s">
        <v>8</v>
      </c>
      <c r="F264" s="668">
        <v>0</v>
      </c>
      <c r="G264" s="870"/>
      <c r="H264" s="871"/>
      <c r="I264" s="871"/>
      <c r="J264" s="349"/>
      <c r="K264" s="884"/>
      <c r="L264" s="876"/>
      <c r="M264" s="885"/>
      <c r="N264" s="876">
        <v>27</v>
      </c>
      <c r="O264" s="313"/>
      <c r="P264" s="315"/>
      <c r="Q264" s="315"/>
      <c r="R264" s="909"/>
      <c r="S264" s="738">
        <f t="shared" si="15"/>
        <v>775.5</v>
      </c>
      <c r="T264" s="738" t="str">
        <f t="shared" si="16"/>
        <v>M</v>
      </c>
      <c r="U264" s="738"/>
    </row>
    <row r="265" spans="1:21" x14ac:dyDescent="0.2">
      <c r="A265" s="908"/>
      <c r="B265" s="666"/>
      <c r="C265" s="580" t="s">
        <v>1331</v>
      </c>
      <c r="D265" s="870">
        <v>195</v>
      </c>
      <c r="E265" s="871" t="s">
        <v>8</v>
      </c>
      <c r="F265" s="668">
        <v>0</v>
      </c>
      <c r="G265" s="870"/>
      <c r="H265" s="871"/>
      <c r="I265" s="871"/>
      <c r="J265" s="349"/>
      <c r="K265" s="884"/>
      <c r="L265" s="876"/>
      <c r="M265" s="885"/>
      <c r="N265" s="876">
        <v>44.5</v>
      </c>
      <c r="O265" s="313"/>
      <c r="P265" s="315"/>
      <c r="Q265" s="315"/>
      <c r="R265" s="909"/>
      <c r="S265" s="738">
        <f t="shared" si="15"/>
        <v>775.5</v>
      </c>
      <c r="T265" s="738" t="str">
        <f t="shared" si="16"/>
        <v>M</v>
      </c>
      <c r="U265" s="738"/>
    </row>
    <row r="266" spans="1:21" x14ac:dyDescent="0.2">
      <c r="A266" s="908"/>
      <c r="B266" s="666"/>
      <c r="C266" s="580" t="s">
        <v>1332</v>
      </c>
      <c r="D266" s="870">
        <v>205</v>
      </c>
      <c r="E266" s="871" t="s">
        <v>8</v>
      </c>
      <c r="F266" s="668">
        <v>15</v>
      </c>
      <c r="G266" s="870"/>
      <c r="H266" s="871"/>
      <c r="I266" s="871"/>
      <c r="J266" s="349"/>
      <c r="K266" s="884"/>
      <c r="L266" s="876"/>
      <c r="M266" s="885"/>
      <c r="N266" s="876">
        <v>30</v>
      </c>
      <c r="O266" s="313"/>
      <c r="P266" s="315"/>
      <c r="Q266" s="315"/>
      <c r="R266" s="909"/>
      <c r="S266" s="738">
        <f t="shared" si="15"/>
        <v>775.5</v>
      </c>
      <c r="T266" s="738" t="str">
        <f t="shared" si="16"/>
        <v>M</v>
      </c>
      <c r="U266" s="738"/>
    </row>
    <row r="267" spans="1:21" x14ac:dyDescent="0.2">
      <c r="A267" s="908"/>
      <c r="B267" s="666"/>
      <c r="C267" s="580" t="s">
        <v>1333</v>
      </c>
      <c r="D267" s="870">
        <v>228</v>
      </c>
      <c r="E267" s="871" t="s">
        <v>8</v>
      </c>
      <c r="F267" s="668">
        <v>0</v>
      </c>
      <c r="G267" s="870"/>
      <c r="H267" s="871"/>
      <c r="I267" s="871"/>
      <c r="J267" s="349"/>
      <c r="K267" s="884"/>
      <c r="L267" s="876"/>
      <c r="M267" s="885"/>
      <c r="N267" s="876">
        <v>30</v>
      </c>
      <c r="O267" s="313"/>
      <c r="P267" s="315"/>
      <c r="Q267" s="315"/>
      <c r="R267" s="909"/>
      <c r="S267" s="738">
        <f t="shared" si="15"/>
        <v>775.5</v>
      </c>
      <c r="T267" s="738" t="str">
        <f t="shared" si="16"/>
        <v>M</v>
      </c>
      <c r="U267" s="738"/>
    </row>
    <row r="268" spans="1:21" x14ac:dyDescent="0.2">
      <c r="A268" s="908"/>
      <c r="B268" s="666"/>
      <c r="C268" s="580" t="s">
        <v>1334</v>
      </c>
      <c r="D268" s="870">
        <v>278</v>
      </c>
      <c r="E268" s="871" t="s">
        <v>8</v>
      </c>
      <c r="F268" s="668">
        <v>0</v>
      </c>
      <c r="G268" s="870"/>
      <c r="H268" s="871"/>
      <c r="I268" s="871"/>
      <c r="J268" s="349"/>
      <c r="K268" s="884"/>
      <c r="L268" s="876"/>
      <c r="M268" s="885"/>
      <c r="N268" s="876">
        <v>22</v>
      </c>
      <c r="O268" s="313"/>
      <c r="P268" s="315"/>
      <c r="Q268" s="315"/>
      <c r="R268" s="909"/>
      <c r="S268" s="738">
        <f t="shared" si="15"/>
        <v>775.5</v>
      </c>
      <c r="T268" s="738" t="str">
        <f t="shared" si="16"/>
        <v>M</v>
      </c>
      <c r="U268" s="738"/>
    </row>
    <row r="269" spans="1:21" x14ac:dyDescent="0.2">
      <c r="A269" s="908"/>
      <c r="B269" s="666"/>
      <c r="C269" s="580" t="s">
        <v>1335</v>
      </c>
      <c r="D269" s="870">
        <v>359</v>
      </c>
      <c r="E269" s="871" t="s">
        <v>8</v>
      </c>
      <c r="F269" s="668">
        <v>10</v>
      </c>
      <c r="G269" s="870"/>
      <c r="H269" s="871"/>
      <c r="I269" s="871"/>
      <c r="J269" s="349"/>
      <c r="K269" s="884"/>
      <c r="L269" s="876"/>
      <c r="M269" s="885"/>
      <c r="N269" s="876">
        <v>17</v>
      </c>
      <c r="O269" s="313"/>
      <c r="P269" s="315"/>
      <c r="Q269" s="315"/>
      <c r="R269" s="909"/>
      <c r="S269" s="738">
        <f t="shared" si="15"/>
        <v>775.5</v>
      </c>
      <c r="T269" s="738" t="str">
        <f t="shared" si="16"/>
        <v>M</v>
      </c>
      <c r="U269" s="738"/>
    </row>
    <row r="270" spans="1:21" x14ac:dyDescent="0.2">
      <c r="A270" s="908"/>
      <c r="B270" s="666"/>
      <c r="C270" s="580" t="s">
        <v>1336</v>
      </c>
      <c r="D270" s="870">
        <v>368</v>
      </c>
      <c r="E270" s="871" t="s">
        <v>8</v>
      </c>
      <c r="F270" s="668">
        <v>0</v>
      </c>
      <c r="G270" s="870"/>
      <c r="H270" s="871"/>
      <c r="I270" s="871"/>
      <c r="J270" s="349"/>
      <c r="K270" s="884"/>
      <c r="L270" s="876"/>
      <c r="M270" s="885"/>
      <c r="N270" s="876">
        <v>17</v>
      </c>
      <c r="O270" s="313"/>
      <c r="P270" s="315"/>
      <c r="Q270" s="315"/>
      <c r="R270" s="909"/>
      <c r="S270" s="738">
        <f t="shared" si="15"/>
        <v>775.5</v>
      </c>
      <c r="T270" s="738" t="str">
        <f t="shared" si="16"/>
        <v>M</v>
      </c>
      <c r="U270" s="738"/>
    </row>
    <row r="271" spans="1:21" x14ac:dyDescent="0.2">
      <c r="A271" s="908"/>
      <c r="B271" s="666"/>
      <c r="C271" s="580" t="s">
        <v>1337</v>
      </c>
      <c r="D271" s="870">
        <v>377</v>
      </c>
      <c r="E271" s="871" t="s">
        <v>8</v>
      </c>
      <c r="F271" s="668">
        <v>10</v>
      </c>
      <c r="G271" s="870"/>
      <c r="H271" s="871"/>
      <c r="I271" s="871"/>
      <c r="J271" s="349"/>
      <c r="K271" s="884"/>
      <c r="L271" s="876"/>
      <c r="M271" s="885"/>
      <c r="N271" s="876">
        <v>10</v>
      </c>
      <c r="O271" s="313"/>
      <c r="P271" s="315"/>
      <c r="Q271" s="315"/>
      <c r="R271" s="909"/>
      <c r="S271" s="738">
        <f t="shared" si="15"/>
        <v>775.5</v>
      </c>
      <c r="T271" s="738" t="str">
        <f t="shared" si="16"/>
        <v>M</v>
      </c>
      <c r="U271" s="738"/>
    </row>
    <row r="272" spans="1:21" x14ac:dyDescent="0.2">
      <c r="A272" s="908"/>
      <c r="B272" s="666"/>
      <c r="C272" s="580" t="s">
        <v>1338</v>
      </c>
      <c r="D272" s="870">
        <v>384</v>
      </c>
      <c r="E272" s="871" t="s">
        <v>8</v>
      </c>
      <c r="F272" s="668">
        <v>0</v>
      </c>
      <c r="G272" s="870"/>
      <c r="H272" s="871"/>
      <c r="I272" s="871"/>
      <c r="J272" s="349"/>
      <c r="K272" s="884"/>
      <c r="L272" s="876"/>
      <c r="M272" s="885"/>
      <c r="N272" s="876">
        <v>41</v>
      </c>
      <c r="O272" s="313"/>
      <c r="P272" s="315"/>
      <c r="Q272" s="315"/>
      <c r="R272" s="909"/>
      <c r="S272" s="738">
        <f t="shared" si="15"/>
        <v>775.5</v>
      </c>
      <c r="T272" s="738" t="str">
        <f t="shared" si="16"/>
        <v>M</v>
      </c>
      <c r="U272" s="738"/>
    </row>
    <row r="273" spans="1:32" x14ac:dyDescent="0.2">
      <c r="A273" s="908"/>
      <c r="B273" s="666"/>
      <c r="C273" s="580" t="s">
        <v>1339</v>
      </c>
      <c r="D273" s="870">
        <v>389</v>
      </c>
      <c r="E273" s="871" t="s">
        <v>8</v>
      </c>
      <c r="F273" s="668">
        <v>10</v>
      </c>
      <c r="G273" s="870"/>
      <c r="H273" s="871"/>
      <c r="I273" s="871"/>
      <c r="J273" s="349"/>
      <c r="K273" s="884"/>
      <c r="L273" s="876"/>
      <c r="M273" s="885"/>
      <c r="N273" s="876">
        <v>50</v>
      </c>
      <c r="O273" s="313"/>
      <c r="P273" s="315"/>
      <c r="Q273" s="315"/>
      <c r="R273" s="909"/>
      <c r="S273" s="738">
        <f t="shared" si="15"/>
        <v>775.5</v>
      </c>
      <c r="T273" s="738" t="str">
        <f t="shared" si="16"/>
        <v>M</v>
      </c>
      <c r="U273" s="738"/>
    </row>
    <row r="274" spans="1:32" x14ac:dyDescent="0.2">
      <c r="A274" s="908"/>
      <c r="B274" s="666"/>
      <c r="C274" s="580" t="s">
        <v>1340</v>
      </c>
      <c r="D274" s="870">
        <v>429</v>
      </c>
      <c r="E274" s="871" t="s">
        <v>8</v>
      </c>
      <c r="F274" s="668">
        <v>0</v>
      </c>
      <c r="G274" s="870"/>
      <c r="H274" s="871"/>
      <c r="I274" s="871"/>
      <c r="J274" s="349"/>
      <c r="K274" s="884"/>
      <c r="L274" s="876"/>
      <c r="M274" s="885"/>
      <c r="N274" s="876">
        <v>22</v>
      </c>
      <c r="O274" s="313"/>
      <c r="P274" s="315"/>
      <c r="Q274" s="315"/>
      <c r="R274" s="909"/>
      <c r="S274" s="738">
        <f t="shared" si="15"/>
        <v>775.5</v>
      </c>
      <c r="T274" s="738" t="str">
        <f t="shared" si="16"/>
        <v>M</v>
      </c>
      <c r="U274" s="738"/>
    </row>
    <row r="275" spans="1:32" x14ac:dyDescent="0.2">
      <c r="A275" s="908"/>
      <c r="B275" s="666"/>
      <c r="C275" s="580" t="s">
        <v>1341</v>
      </c>
      <c r="D275" s="870">
        <v>460</v>
      </c>
      <c r="E275" s="871" t="s">
        <v>8</v>
      </c>
      <c r="F275" s="668">
        <v>0</v>
      </c>
      <c r="G275" s="870"/>
      <c r="H275" s="871"/>
      <c r="I275" s="871"/>
      <c r="J275" s="349"/>
      <c r="K275" s="884"/>
      <c r="L275" s="876"/>
      <c r="M275" s="885"/>
      <c r="N275" s="876">
        <v>23</v>
      </c>
      <c r="O275" s="313"/>
      <c r="P275" s="315"/>
      <c r="Q275" s="315"/>
      <c r="R275" s="909"/>
      <c r="S275" s="738">
        <f t="shared" si="15"/>
        <v>775.5</v>
      </c>
      <c r="T275" s="738" t="str">
        <f t="shared" si="16"/>
        <v>M</v>
      </c>
      <c r="U275" s="738"/>
    </row>
    <row r="276" spans="1:32" x14ac:dyDescent="0.2">
      <c r="A276" s="908"/>
      <c r="B276" s="666"/>
      <c r="C276" s="580" t="s">
        <v>1342</v>
      </c>
      <c r="D276" s="870">
        <v>521</v>
      </c>
      <c r="E276" s="871" t="s">
        <v>8</v>
      </c>
      <c r="F276" s="668">
        <v>18</v>
      </c>
      <c r="G276" s="870"/>
      <c r="H276" s="871"/>
      <c r="I276" s="871"/>
      <c r="J276" s="349"/>
      <c r="K276" s="884"/>
      <c r="L276" s="876"/>
      <c r="M276" s="885"/>
      <c r="N276" s="876">
        <v>25</v>
      </c>
      <c r="O276" s="313"/>
      <c r="P276" s="315"/>
      <c r="Q276" s="315"/>
      <c r="R276" s="909"/>
      <c r="S276" s="738">
        <f t="shared" si="15"/>
        <v>775.5</v>
      </c>
      <c r="T276" s="738" t="str">
        <f t="shared" si="16"/>
        <v>M</v>
      </c>
      <c r="U276" s="738"/>
    </row>
    <row r="277" spans="1:32" x14ac:dyDescent="0.2">
      <c r="A277" s="908"/>
      <c r="B277" s="666"/>
      <c r="C277" s="580" t="s">
        <v>1343</v>
      </c>
      <c r="D277" s="870">
        <v>534</v>
      </c>
      <c r="E277" s="871" t="s">
        <v>8</v>
      </c>
      <c r="F277" s="668">
        <v>5</v>
      </c>
      <c r="G277" s="870"/>
      <c r="H277" s="871"/>
      <c r="I277" s="871"/>
      <c r="J277" s="349"/>
      <c r="K277" s="884"/>
      <c r="L277" s="876"/>
      <c r="M277" s="885"/>
      <c r="N277" s="876">
        <v>23</v>
      </c>
      <c r="O277" s="313"/>
      <c r="P277" s="315"/>
      <c r="Q277" s="315"/>
      <c r="R277" s="909"/>
      <c r="S277" s="738">
        <f t="shared" si="15"/>
        <v>775.5</v>
      </c>
      <c r="T277" s="738" t="str">
        <f t="shared" si="16"/>
        <v>M</v>
      </c>
      <c r="U277" s="738"/>
    </row>
    <row r="278" spans="1:32" x14ac:dyDescent="0.2">
      <c r="A278" s="908"/>
      <c r="B278" s="666"/>
      <c r="C278" s="580" t="s">
        <v>1344</v>
      </c>
      <c r="D278" s="870">
        <v>546</v>
      </c>
      <c r="E278" s="871" t="s">
        <v>8</v>
      </c>
      <c r="F278" s="668">
        <v>10</v>
      </c>
      <c r="G278" s="870"/>
      <c r="H278" s="871"/>
      <c r="I278" s="871"/>
      <c r="J278" s="349"/>
      <c r="K278" s="884"/>
      <c r="L278" s="876"/>
      <c r="M278" s="885"/>
      <c r="N278" s="876">
        <v>16</v>
      </c>
      <c r="O278" s="313"/>
      <c r="P278" s="315"/>
      <c r="Q278" s="315"/>
      <c r="R278" s="909"/>
      <c r="S278" s="738">
        <f t="shared" si="15"/>
        <v>775.5</v>
      </c>
      <c r="T278" s="738" t="str">
        <f t="shared" si="16"/>
        <v>M</v>
      </c>
      <c r="U278" s="738"/>
    </row>
    <row r="279" spans="1:32" x14ac:dyDescent="0.2">
      <c r="A279" s="908"/>
      <c r="B279" s="666"/>
      <c r="C279" s="580" t="s">
        <v>1345</v>
      </c>
      <c r="D279" s="870">
        <v>561</v>
      </c>
      <c r="E279" s="871" t="s">
        <v>8</v>
      </c>
      <c r="F279" s="668">
        <v>12.5</v>
      </c>
      <c r="G279" s="870"/>
      <c r="H279" s="871"/>
      <c r="I279" s="871"/>
      <c r="J279" s="349"/>
      <c r="K279" s="884"/>
      <c r="L279" s="876"/>
      <c r="M279" s="885"/>
      <c r="N279" s="876">
        <v>18</v>
      </c>
      <c r="O279" s="313"/>
      <c r="P279" s="315"/>
      <c r="Q279" s="315"/>
      <c r="R279" s="909"/>
      <c r="S279" s="738">
        <f t="shared" si="15"/>
        <v>775.5</v>
      </c>
      <c r="T279" s="738" t="str">
        <f t="shared" si="16"/>
        <v>M</v>
      </c>
      <c r="U279" s="738"/>
    </row>
    <row r="280" spans="1:32" x14ac:dyDescent="0.2">
      <c r="A280" s="294"/>
      <c r="B280" s="293"/>
      <c r="C280" s="744" t="s">
        <v>1553</v>
      </c>
      <c r="H280" s="292"/>
      <c r="N280" s="876">
        <f>+N269</f>
        <v>17</v>
      </c>
      <c r="O280" s="674"/>
      <c r="P280" s="301" t="s">
        <v>1563</v>
      </c>
      <c r="Q280" s="301">
        <f>+A258</f>
        <v>0</v>
      </c>
      <c r="R280" s="903"/>
      <c r="S280" s="738">
        <f t="shared" si="15"/>
        <v>775.5</v>
      </c>
      <c r="T280" s="738" t="str">
        <f t="shared" si="16"/>
        <v>M</v>
      </c>
      <c r="U280" s="738"/>
      <c r="W280" s="288"/>
      <c r="X280" s="288"/>
      <c r="Y280" s="288"/>
      <c r="Z280" s="288"/>
      <c r="AA280" s="288"/>
      <c r="AF280" s="288">
        <v>2400</v>
      </c>
    </row>
    <row r="281" spans="1:32" x14ac:dyDescent="0.2">
      <c r="A281" s="899"/>
      <c r="B281" s="353"/>
      <c r="C281" s="354" t="s">
        <v>2</v>
      </c>
      <c r="D281" s="355"/>
      <c r="E281" s="352"/>
      <c r="F281" s="356"/>
      <c r="G281" s="355"/>
      <c r="H281" s="356"/>
      <c r="I281" s="356"/>
      <c r="J281" s="353"/>
      <c r="K281" s="357"/>
      <c r="L281" s="358"/>
      <c r="M281" s="359"/>
      <c r="N281" s="360">
        <f>SUM(N248:N280)</f>
        <v>775.5</v>
      </c>
      <c r="O281" s="361" t="str">
        <f>IF(MID(B246,1,2)="LG",VLOOKUP(B246,'Compos lug'!J:M,4,FALSE),IF(MID(B246,1,1)="6",VLOOKUP(B246,tranp.!$A$6:$K$51,3,FALSE),VLOOKUP(B246,'DER 10-18'!$A$1:$I$1981,3,FALSE)))</f>
        <v>M</v>
      </c>
      <c r="P281" s="362"/>
      <c r="Q281" s="362"/>
      <c r="R281" s="900"/>
      <c r="S281" s="738">
        <f t="shared" si="15"/>
        <v>41</v>
      </c>
      <c r="T281" s="738" t="str">
        <f t="shared" si="16"/>
        <v>M</v>
      </c>
      <c r="U281" s="738"/>
    </row>
    <row r="282" spans="1:32" x14ac:dyDescent="0.2">
      <c r="A282" s="913"/>
      <c r="B282" s="666"/>
      <c r="C282" s="751"/>
      <c r="D282" s="751"/>
      <c r="E282" s="316"/>
      <c r="F282" s="752"/>
      <c r="G282" s="751"/>
      <c r="H282" s="752"/>
      <c r="I282" s="752"/>
      <c r="J282" s="666"/>
      <c r="L282" s="314"/>
      <c r="N282" s="314"/>
      <c r="O282" s="313"/>
      <c r="P282" s="315"/>
      <c r="Q282" s="315"/>
      <c r="R282" s="909"/>
      <c r="S282" s="738">
        <f t="shared" si="15"/>
        <v>41</v>
      </c>
      <c r="T282" s="738" t="str">
        <f t="shared" si="16"/>
        <v>M</v>
      </c>
      <c r="U282" s="738"/>
      <c r="W282" s="288"/>
      <c r="X282" s="288"/>
      <c r="Y282" s="288"/>
      <c r="Z282" s="288"/>
      <c r="AA282" s="288"/>
      <c r="AF282" s="288">
        <v>720</v>
      </c>
    </row>
    <row r="283" spans="1:32" x14ac:dyDescent="0.2">
      <c r="A283" s="913" t="s">
        <v>258</v>
      </c>
      <c r="B283" s="666">
        <v>40516</v>
      </c>
      <c r="C283" s="347" t="str">
        <f>IF(MID(B283,1,2)="LG",VLOOKUP(B283,'Compos lug'!J:M,3,FALSE),IF(MID(B283,1,1)="6",VLOOKUP(B283,tranp.!$A$4:$K$21,11,FALSE)&amp;" -  XP="&amp;TEXT(T283,"0,000")&amp;" / XR="&amp;TEXT(V283,"0,000"),VLOOKUP(B283,'DER 10-18'!$A$1:$I$1994,2,FALSE)))</f>
        <v>Berço de concreto ciclópico para BSTC diâmetro 1,00 m</v>
      </c>
      <c r="D283" s="751"/>
      <c r="E283" s="316"/>
      <c r="F283" s="752"/>
      <c r="G283" s="751"/>
      <c r="H283" s="752"/>
      <c r="I283" s="752"/>
      <c r="J283" s="666"/>
      <c r="K283" s="884"/>
      <c r="L283" s="876"/>
      <c r="M283" s="885"/>
      <c r="N283" s="876" t="str">
        <f>CONCATENATE("Total (",IF(MID(B283,1,2)="LG",VLOOKUP(B283,'Compos lug'!J:M,4,FALSE),IF(MID(B283,1,1)="6","t",VLOOKUP(B283,'DER 10-18'!$A$1:$I$1994,3,FALSE))),")")</f>
        <v>Total (M)</v>
      </c>
      <c r="O283" s="313"/>
      <c r="P283" s="1062" t="s">
        <v>1002</v>
      </c>
      <c r="Q283" s="1063"/>
      <c r="R283" s="909"/>
      <c r="S283" s="738">
        <f t="shared" ref="S283:S346" si="17">VLOOKUP("Total",C284:O1969,12,FALSE)</f>
        <v>41</v>
      </c>
      <c r="T283" s="738" t="str">
        <f t="shared" ref="T283:T346" si="18">VLOOKUP("Total",C284:O1969,13,FALSE)</f>
        <v>M</v>
      </c>
      <c r="U283" s="738"/>
      <c r="W283" s="288"/>
      <c r="X283" s="288"/>
      <c r="Y283" s="288"/>
      <c r="Z283" s="288"/>
      <c r="AA283" s="288"/>
      <c r="AF283" s="288">
        <v>2400</v>
      </c>
    </row>
    <row r="284" spans="1:32" x14ac:dyDescent="0.2">
      <c r="A284" s="294"/>
      <c r="B284" s="293"/>
      <c r="C284" s="744" t="s">
        <v>1553</v>
      </c>
      <c r="H284" s="292"/>
      <c r="N284" s="876">
        <f>+N272</f>
        <v>41</v>
      </c>
      <c r="O284" s="674"/>
      <c r="P284" s="301" t="s">
        <v>1563</v>
      </c>
      <c r="Q284" s="301">
        <f>+A270</f>
        <v>0</v>
      </c>
      <c r="R284" s="903"/>
      <c r="S284" s="738">
        <f t="shared" si="17"/>
        <v>41</v>
      </c>
      <c r="T284" s="738" t="str">
        <f t="shared" si="18"/>
        <v>M</v>
      </c>
      <c r="U284" s="738"/>
      <c r="W284" s="288"/>
      <c r="X284" s="288"/>
      <c r="Y284" s="288"/>
      <c r="Z284" s="288"/>
      <c r="AA284" s="288"/>
      <c r="AF284" s="288">
        <v>18</v>
      </c>
    </row>
    <row r="285" spans="1:32" x14ac:dyDescent="0.2">
      <c r="A285" s="899"/>
      <c r="B285" s="353"/>
      <c r="C285" s="354" t="s">
        <v>2</v>
      </c>
      <c r="D285" s="355"/>
      <c r="E285" s="352"/>
      <c r="F285" s="356"/>
      <c r="G285" s="355"/>
      <c r="H285" s="356"/>
      <c r="I285" s="356"/>
      <c r="J285" s="353"/>
      <c r="K285" s="357"/>
      <c r="L285" s="358"/>
      <c r="M285" s="359"/>
      <c r="N285" s="360">
        <f>SUM(N284:N284)</f>
        <v>41</v>
      </c>
      <c r="O285" s="361" t="str">
        <f>IF(MID(B283,1,2)="LG",VLOOKUP(B283,'Compos lug'!J:M,4,FALSE),IF(MID(B283,1,1)="6",VLOOKUP(B283,tranp.!$A$6:$K$38,3,FALSE),VLOOKUP(B283,'DER 10-18'!$A$1:$I$1994,3,FALSE)))</f>
        <v>M</v>
      </c>
      <c r="P285" s="362"/>
      <c r="Q285" s="362"/>
      <c r="R285" s="900"/>
      <c r="S285" s="738">
        <f t="shared" si="17"/>
        <v>4</v>
      </c>
      <c r="T285" s="738" t="str">
        <f t="shared" si="18"/>
        <v>Ud</v>
      </c>
      <c r="U285" s="738"/>
      <c r="W285" s="288"/>
      <c r="X285" s="288"/>
      <c r="Y285" s="288"/>
      <c r="Z285" s="288"/>
      <c r="AA285" s="288"/>
      <c r="AF285" s="288">
        <v>60</v>
      </c>
    </row>
    <row r="286" spans="1:32" x14ac:dyDescent="0.2">
      <c r="A286" s="294"/>
      <c r="B286" s="293"/>
      <c r="C286" s="343"/>
      <c r="H286" s="292"/>
      <c r="N286" s="314"/>
      <c r="O286" s="344"/>
      <c r="P286" s="315"/>
      <c r="Q286" s="315"/>
      <c r="R286" s="903"/>
      <c r="S286" s="738">
        <f t="shared" si="17"/>
        <v>4</v>
      </c>
      <c r="T286" s="738" t="str">
        <f t="shared" si="18"/>
        <v>Ud</v>
      </c>
      <c r="U286" s="738"/>
    </row>
    <row r="287" spans="1:32" ht="33" customHeight="1" x14ac:dyDescent="0.2">
      <c r="A287" s="908" t="s">
        <v>259</v>
      </c>
      <c r="B287" s="666">
        <v>40537</v>
      </c>
      <c r="C287" s="347" t="str">
        <f>IF(MID(B287,1,2)="LG",VLOOKUP(B287,'Compos lug'!J:M,3,FALSE),IF(MID(B287,1,1)="6",VLOOKUP(B287,tranp.!$A$4:$K$19,11,FALSE)&amp;" -  XP="&amp;TEXT(T287,"0.000")&amp;" / XR="&amp;TEXT(V287,"0.000"),VLOOKUP(B287,'DER 10-18'!$A$1:$I$1981,2,FALSE)))</f>
        <v>Boca de concreto ciclópico para BDTC diâmetro 1,00 m</v>
      </c>
      <c r="D287" s="1059" t="s">
        <v>7</v>
      </c>
      <c r="E287" s="1060"/>
      <c r="F287" s="1061"/>
      <c r="G287" s="1059"/>
      <c r="H287" s="1060"/>
      <c r="I287" s="1061"/>
      <c r="J287" s="349" t="s">
        <v>989</v>
      </c>
      <c r="K287" s="884"/>
      <c r="L287" s="876"/>
      <c r="M287" s="885"/>
      <c r="N287" s="876" t="str">
        <f>CONCATENATE("Total (",IF(MID(B287,1,2)="LG",VLOOKUP(B287,'Compos lug'!J:M,4,FALSE),IF(MID(B287,1,1)="6","t",VLOOKUP(B287,'DER 10-18'!$A$1:$I$1981,3,FALSE))),")")</f>
        <v>Total (Ud)</v>
      </c>
      <c r="O287" s="313"/>
      <c r="P287" s="315"/>
      <c r="Q287" s="315"/>
      <c r="R287" s="909"/>
      <c r="S287" s="738">
        <f t="shared" si="17"/>
        <v>4</v>
      </c>
      <c r="T287" s="738" t="str">
        <f t="shared" si="18"/>
        <v>Ud</v>
      </c>
      <c r="U287" s="738"/>
    </row>
    <row r="288" spans="1:32" x14ac:dyDescent="0.2">
      <c r="A288" s="294"/>
      <c r="B288" s="293"/>
      <c r="C288" s="744" t="s">
        <v>1552</v>
      </c>
      <c r="N288" s="876"/>
      <c r="R288" s="912"/>
      <c r="S288" s="738">
        <f t="shared" si="17"/>
        <v>4</v>
      </c>
      <c r="T288" s="738" t="str">
        <f t="shared" si="18"/>
        <v>Ud</v>
      </c>
    </row>
    <row r="289" spans="1:27" x14ac:dyDescent="0.2">
      <c r="A289" s="294"/>
      <c r="B289" s="293"/>
      <c r="C289" s="673" t="s">
        <v>1348</v>
      </c>
      <c r="D289" s="290">
        <v>60</v>
      </c>
      <c r="E289" s="291" t="s">
        <v>8</v>
      </c>
      <c r="F289" s="675">
        <v>0</v>
      </c>
      <c r="G289" s="1067"/>
      <c r="H289" s="1067"/>
      <c r="I289" s="1068"/>
      <c r="K289" s="298"/>
      <c r="L289" s="299"/>
      <c r="N289" s="876">
        <v>2</v>
      </c>
      <c r="O289" s="674"/>
      <c r="R289" s="903"/>
      <c r="S289" s="738">
        <f t="shared" si="17"/>
        <v>4</v>
      </c>
      <c r="T289" s="738" t="str">
        <f t="shared" si="18"/>
        <v>Ud</v>
      </c>
      <c r="U289" s="748"/>
    </row>
    <row r="290" spans="1:27" x14ac:dyDescent="0.2">
      <c r="A290" s="294"/>
      <c r="B290" s="293"/>
      <c r="C290" s="673" t="s">
        <v>1352</v>
      </c>
      <c r="D290" s="290">
        <v>200</v>
      </c>
      <c r="E290" s="291" t="s">
        <v>8</v>
      </c>
      <c r="F290" s="675">
        <v>0</v>
      </c>
      <c r="G290" s="1067"/>
      <c r="H290" s="1067"/>
      <c r="I290" s="1068"/>
      <c r="N290" s="876">
        <v>2</v>
      </c>
      <c r="O290" s="674"/>
      <c r="R290" s="903"/>
      <c r="S290" s="738">
        <f t="shared" si="17"/>
        <v>4</v>
      </c>
      <c r="T290" s="738" t="str">
        <f t="shared" si="18"/>
        <v>Ud</v>
      </c>
      <c r="U290" s="748"/>
    </row>
    <row r="291" spans="1:27" x14ac:dyDescent="0.2">
      <c r="A291" s="899"/>
      <c r="B291" s="353"/>
      <c r="C291" s="354" t="s">
        <v>2</v>
      </c>
      <c r="D291" s="355"/>
      <c r="E291" s="352"/>
      <c r="F291" s="356"/>
      <c r="G291" s="355"/>
      <c r="H291" s="356"/>
      <c r="I291" s="356"/>
      <c r="J291" s="353"/>
      <c r="K291" s="357"/>
      <c r="L291" s="358"/>
      <c r="M291" s="359"/>
      <c r="N291" s="360">
        <f>SUM(N289:N290)</f>
        <v>4</v>
      </c>
      <c r="O291" s="361" t="str">
        <f>IF(MID(B287,1,2)="LG",VLOOKUP(B287,'Compos lug'!J:M,4,FALSE),IF(MID(B287,1,1)="6",VLOOKUP(B287,tranp.!$A$6:$K$51,3,FALSE),VLOOKUP(B287,'DER 10-18'!$A$1:$I$1981,3,FALSE)))</f>
        <v>Ud</v>
      </c>
      <c r="P291" s="362"/>
      <c r="Q291" s="362"/>
      <c r="R291" s="900"/>
      <c r="S291" s="738">
        <f t="shared" si="17"/>
        <v>6</v>
      </c>
      <c r="T291" s="738" t="str">
        <f t="shared" si="18"/>
        <v>Ud</v>
      </c>
      <c r="U291" s="738"/>
    </row>
    <row r="292" spans="1:27" x14ac:dyDescent="0.2">
      <c r="A292" s="294"/>
      <c r="B292" s="293"/>
      <c r="C292" s="343"/>
      <c r="F292" s="675"/>
      <c r="G292" s="296"/>
      <c r="H292" s="292"/>
      <c r="K292" s="298"/>
      <c r="M292" s="298"/>
      <c r="N292" s="314"/>
      <c r="O292" s="344"/>
      <c r="P292" s="315"/>
      <c r="Q292" s="315"/>
      <c r="R292" s="903"/>
      <c r="S292" s="738">
        <f t="shared" si="17"/>
        <v>6</v>
      </c>
      <c r="T292" s="738" t="str">
        <f t="shared" si="18"/>
        <v>Ud</v>
      </c>
      <c r="U292" s="738"/>
    </row>
    <row r="293" spans="1:27" ht="27" customHeight="1" x14ac:dyDescent="0.2">
      <c r="A293" s="913" t="s">
        <v>260</v>
      </c>
      <c r="B293" s="666">
        <v>40538</v>
      </c>
      <c r="C293" s="347" t="str">
        <f>IF(MID(B293,1,2)="LG",VLOOKUP(B293,'Compos lug'!J:M,3,FALSE),IF(MID(B293,1,1)="6",VLOOKUP(B293,tranp.!$A$4:$K$19,11,FALSE)&amp;" -  XP="&amp;TEXT(T293,"0.000")&amp;" / XR="&amp;TEXT(V293,"0.000"),VLOOKUP(B293,'DER 10-18'!$A$1:$I$1981,2,FALSE)))</f>
        <v>Boca de concreto ciclópico para BDTC diâmetro 1,20 m</v>
      </c>
      <c r="D293" s="1059" t="s">
        <v>1000</v>
      </c>
      <c r="E293" s="1060"/>
      <c r="F293" s="1061"/>
      <c r="G293" s="1059" t="s">
        <v>1001</v>
      </c>
      <c r="H293" s="1060"/>
      <c r="I293" s="1061"/>
      <c r="J293" s="349" t="s">
        <v>989</v>
      </c>
      <c r="K293" s="876"/>
      <c r="L293" s="876"/>
      <c r="M293" s="876"/>
      <c r="N293" s="876" t="str">
        <f>CONCATENATE("Total (",IF(MID(B293,1,2)="LG",VLOOKUP(B293,'Compos lug'!J:M,4,FALSE),IF(MID(B293,1,1)="6","t",VLOOKUP(B293,'DER 10-18'!$A$1:$I$1981,3,FALSE))),")")</f>
        <v>Total (Ud)</v>
      </c>
      <c r="O293" s="313"/>
      <c r="P293" s="315"/>
      <c r="Q293" s="315"/>
      <c r="R293" s="909"/>
      <c r="S293" s="738">
        <f t="shared" si="17"/>
        <v>6</v>
      </c>
      <c r="T293" s="738" t="str">
        <f t="shared" si="18"/>
        <v>Ud</v>
      </c>
      <c r="U293" s="738"/>
    </row>
    <row r="294" spans="1:27" x14ac:dyDescent="0.2">
      <c r="A294" s="294"/>
      <c r="B294" s="293"/>
      <c r="C294" s="744" t="s">
        <v>1552</v>
      </c>
      <c r="N294" s="876"/>
      <c r="R294" s="912"/>
      <c r="S294" s="738">
        <f t="shared" si="17"/>
        <v>6</v>
      </c>
      <c r="T294" s="738" t="str">
        <f t="shared" si="18"/>
        <v>Ud</v>
      </c>
    </row>
    <row r="295" spans="1:27" x14ac:dyDescent="0.2">
      <c r="A295" s="294"/>
      <c r="B295" s="293"/>
      <c r="C295" s="673" t="s">
        <v>1349</v>
      </c>
      <c r="D295" s="290">
        <v>99</v>
      </c>
      <c r="E295" s="291" t="s">
        <v>8</v>
      </c>
      <c r="F295" s="675">
        <v>0</v>
      </c>
      <c r="G295" s="381"/>
      <c r="H295" s="524"/>
      <c r="J295" s="383"/>
      <c r="K295" s="875"/>
      <c r="M295" s="875"/>
      <c r="N295" s="876">
        <v>2</v>
      </c>
      <c r="R295" s="912"/>
      <c r="S295" s="738">
        <f t="shared" si="17"/>
        <v>6</v>
      </c>
      <c r="T295" s="738" t="str">
        <f t="shared" si="18"/>
        <v>Ud</v>
      </c>
      <c r="U295" s="738"/>
    </row>
    <row r="296" spans="1:27" x14ac:dyDescent="0.2">
      <c r="A296" s="294"/>
      <c r="B296" s="293"/>
      <c r="C296" s="673" t="s">
        <v>1350</v>
      </c>
      <c r="D296" s="290">
        <v>119</v>
      </c>
      <c r="E296" s="291" t="s">
        <v>8</v>
      </c>
      <c r="F296" s="675">
        <v>0</v>
      </c>
      <c r="G296" s="381"/>
      <c r="H296" s="524"/>
      <c r="J296" s="383"/>
      <c r="K296" s="875"/>
      <c r="M296" s="875"/>
      <c r="N296" s="876">
        <v>2</v>
      </c>
      <c r="R296" s="912"/>
      <c r="S296" s="738">
        <f t="shared" si="17"/>
        <v>6</v>
      </c>
      <c r="T296" s="738" t="str">
        <f t="shared" si="18"/>
        <v>Ud</v>
      </c>
      <c r="U296" s="738"/>
    </row>
    <row r="297" spans="1:27" x14ac:dyDescent="0.2">
      <c r="A297" s="294"/>
      <c r="B297" s="293"/>
      <c r="C297" s="673" t="s">
        <v>1353</v>
      </c>
      <c r="D297" s="290">
        <v>273</v>
      </c>
      <c r="E297" s="291" t="s">
        <v>8</v>
      </c>
      <c r="F297" s="675">
        <v>10</v>
      </c>
      <c r="G297" s="381"/>
      <c r="H297" s="524"/>
      <c r="J297" s="383"/>
      <c r="K297" s="875"/>
      <c r="M297" s="875"/>
      <c r="N297" s="876">
        <v>2</v>
      </c>
      <c r="R297" s="912"/>
      <c r="S297" s="738">
        <f t="shared" si="17"/>
        <v>6</v>
      </c>
      <c r="T297" s="738" t="str">
        <f t="shared" si="18"/>
        <v>Ud</v>
      </c>
      <c r="U297" s="738"/>
    </row>
    <row r="298" spans="1:27" x14ac:dyDescent="0.2">
      <c r="A298" s="899"/>
      <c r="B298" s="353"/>
      <c r="C298" s="354" t="s">
        <v>2</v>
      </c>
      <c r="D298" s="355"/>
      <c r="E298" s="352"/>
      <c r="F298" s="677"/>
      <c r="G298" s="678"/>
      <c r="H298" s="356"/>
      <c r="I298" s="356"/>
      <c r="J298" s="353"/>
      <c r="K298" s="358"/>
      <c r="L298" s="358"/>
      <c r="M298" s="358"/>
      <c r="N298" s="360">
        <f>SUM(N295:N297)</f>
        <v>6</v>
      </c>
      <c r="O298" s="361" t="str">
        <f>IF(MID(B293,1,2)="LG",VLOOKUP(B293,'Compos lug'!J:M,4,FALSE),IF(MID(B293,1,1)="6",VLOOKUP(B293,tranp.!$A$6:$K$51,3,FALSE),VLOOKUP(B293,'DER 10-18'!$A$1:$I$1981,3,FALSE)))</f>
        <v>Ud</v>
      </c>
      <c r="P298" s="362"/>
      <c r="Q298" s="362"/>
      <c r="R298" s="900"/>
      <c r="S298" s="738">
        <f t="shared" si="17"/>
        <v>37</v>
      </c>
      <c r="T298" s="738" t="str">
        <f t="shared" si="18"/>
        <v>Ud</v>
      </c>
      <c r="U298" s="738"/>
    </row>
    <row r="299" spans="1:27" s="651" customFormat="1" x14ac:dyDescent="0.2">
      <c r="A299" s="910"/>
      <c r="B299" s="655"/>
      <c r="C299" s="656"/>
      <c r="D299" s="657"/>
      <c r="E299" s="654"/>
      <c r="F299" s="663"/>
      <c r="G299" s="664"/>
      <c r="H299" s="652"/>
      <c r="I299" s="652"/>
      <c r="J299" s="655"/>
      <c r="K299" s="653"/>
      <c r="L299" s="653"/>
      <c r="M299" s="653"/>
      <c r="N299" s="648"/>
      <c r="O299" s="660"/>
      <c r="P299" s="661"/>
      <c r="Q299" s="661"/>
      <c r="R299" s="911"/>
      <c r="S299" s="738">
        <f t="shared" si="17"/>
        <v>37</v>
      </c>
      <c r="T299" s="738" t="str">
        <f t="shared" si="18"/>
        <v>Ud</v>
      </c>
      <c r="U299" s="749"/>
      <c r="W299" s="714"/>
      <c r="X299" s="714"/>
      <c r="Y299" s="714"/>
      <c r="Z299" s="714"/>
      <c r="AA299" s="714"/>
    </row>
    <row r="300" spans="1:27" ht="28.5" customHeight="1" x14ac:dyDescent="0.2">
      <c r="A300" s="913" t="s">
        <v>261</v>
      </c>
      <c r="B300" s="666">
        <v>40531</v>
      </c>
      <c r="C300" s="347" t="str">
        <f>IF(MID(B300,1,2)="LG",VLOOKUP(B300,'Compos lug'!J:M,3,FALSE),IF(MID(B300,1,1)="6",VLOOKUP(B300,tranp.!$A$4:$K$19,11,FALSE)&amp;" -  XP="&amp;TEXT(T300,"0.000")&amp;" / XR="&amp;TEXT(V300,"0.000"),VLOOKUP(B300,'DER 10-18'!$A$1:$I$1981,2,FALSE)))</f>
        <v>Boca de concreto ciclópico para BSTC diâmetro 0,80 m</v>
      </c>
      <c r="D300" s="1059" t="s">
        <v>1000</v>
      </c>
      <c r="E300" s="1060"/>
      <c r="F300" s="1061"/>
      <c r="G300" s="1059"/>
      <c r="H300" s="1060"/>
      <c r="I300" s="1061"/>
      <c r="J300" s="349"/>
      <c r="K300" s="876"/>
      <c r="L300" s="876"/>
      <c r="M300" s="876"/>
      <c r="N300" s="876" t="str">
        <f>CONCATENATE("Total (",IF(MID(B300,1,2)="LG",VLOOKUP(B300,'Compos lug'!J:M,4,FALSE),IF(MID(B300,1,1)="6","t",VLOOKUP(B300,'DER 10-18'!$A$1:$I$1981,3,FALSE))),")")</f>
        <v>Total (Ud)</v>
      </c>
      <c r="O300" s="313"/>
      <c r="P300" s="315"/>
      <c r="Q300" s="315"/>
      <c r="R300" s="909"/>
      <c r="S300" s="738">
        <f t="shared" si="17"/>
        <v>37</v>
      </c>
      <c r="T300" s="738" t="str">
        <f t="shared" si="18"/>
        <v>Ud</v>
      </c>
      <c r="U300" s="738"/>
    </row>
    <row r="301" spans="1:27" x14ac:dyDescent="0.2">
      <c r="A301" s="294"/>
      <c r="B301" s="293"/>
      <c r="C301" s="744" t="s">
        <v>1552</v>
      </c>
      <c r="N301" s="876"/>
      <c r="R301" s="912"/>
      <c r="S301" s="738">
        <f t="shared" si="17"/>
        <v>37</v>
      </c>
      <c r="T301" s="738" t="str">
        <f t="shared" si="18"/>
        <v>Ud</v>
      </c>
    </row>
    <row r="302" spans="1:27" x14ac:dyDescent="0.2">
      <c r="A302" s="908"/>
      <c r="B302" s="666"/>
      <c r="C302" s="580" t="s">
        <v>1273</v>
      </c>
      <c r="D302" s="870">
        <v>25</v>
      </c>
      <c r="E302" s="871" t="s">
        <v>8</v>
      </c>
      <c r="F302" s="668">
        <v>2</v>
      </c>
      <c r="G302" s="870"/>
      <c r="H302" s="871"/>
      <c r="I302" s="871"/>
      <c r="J302" s="349"/>
      <c r="K302" s="884"/>
      <c r="L302" s="876"/>
      <c r="M302" s="885"/>
      <c r="N302" s="876">
        <v>1</v>
      </c>
      <c r="O302" s="313"/>
      <c r="P302" s="315"/>
      <c r="Q302" s="315"/>
      <c r="R302" s="909"/>
      <c r="S302" s="738">
        <f t="shared" si="17"/>
        <v>37</v>
      </c>
      <c r="T302" s="738" t="str">
        <f t="shared" si="18"/>
        <v>Ud</v>
      </c>
      <c r="U302" s="738"/>
    </row>
    <row r="303" spans="1:27" x14ac:dyDescent="0.2">
      <c r="A303" s="908"/>
      <c r="B303" s="666"/>
      <c r="C303" s="580" t="s">
        <v>1316</v>
      </c>
      <c r="D303" s="870">
        <v>32</v>
      </c>
      <c r="E303" s="871" t="s">
        <v>8</v>
      </c>
      <c r="F303" s="668">
        <v>0</v>
      </c>
      <c r="G303" s="870"/>
      <c r="H303" s="871"/>
      <c r="I303" s="871"/>
      <c r="J303" s="349"/>
      <c r="K303" s="884"/>
      <c r="L303" s="876"/>
      <c r="M303" s="885"/>
      <c r="N303" s="876">
        <v>2</v>
      </c>
      <c r="O303" s="313"/>
      <c r="P303" s="315"/>
      <c r="Q303" s="315"/>
      <c r="R303" s="909"/>
      <c r="S303" s="738">
        <f t="shared" si="17"/>
        <v>37</v>
      </c>
      <c r="T303" s="738" t="str">
        <f t="shared" si="18"/>
        <v>Ud</v>
      </c>
      <c r="U303" s="738"/>
    </row>
    <row r="304" spans="1:27" x14ac:dyDescent="0.2">
      <c r="A304" s="908"/>
      <c r="B304" s="666"/>
      <c r="C304" s="580" t="s">
        <v>1317</v>
      </c>
      <c r="D304" s="870">
        <v>56</v>
      </c>
      <c r="E304" s="871" t="s">
        <v>8</v>
      </c>
      <c r="F304" s="668">
        <v>0</v>
      </c>
      <c r="G304" s="870"/>
      <c r="H304" s="871"/>
      <c r="I304" s="871"/>
      <c r="J304" s="349"/>
      <c r="K304" s="884"/>
      <c r="L304" s="876"/>
      <c r="M304" s="885"/>
      <c r="N304" s="876">
        <v>1</v>
      </c>
      <c r="O304" s="313"/>
      <c r="P304" s="315"/>
      <c r="Q304" s="315"/>
      <c r="R304" s="909"/>
      <c r="S304" s="738">
        <f t="shared" si="17"/>
        <v>37</v>
      </c>
      <c r="T304" s="738" t="str">
        <f t="shared" si="18"/>
        <v>Ud</v>
      </c>
      <c r="U304" s="738"/>
    </row>
    <row r="305" spans="1:21" x14ac:dyDescent="0.2">
      <c r="A305" s="908"/>
      <c r="B305" s="666"/>
      <c r="C305" s="580" t="s">
        <v>1318</v>
      </c>
      <c r="D305" s="870">
        <v>63</v>
      </c>
      <c r="E305" s="871" t="s">
        <v>8</v>
      </c>
      <c r="F305" s="668">
        <v>0</v>
      </c>
      <c r="G305" s="870"/>
      <c r="H305" s="871"/>
      <c r="I305" s="871"/>
      <c r="J305" s="349"/>
      <c r="K305" s="884"/>
      <c r="L305" s="876"/>
      <c r="M305" s="885"/>
      <c r="N305" s="876">
        <v>1</v>
      </c>
      <c r="O305" s="313"/>
      <c r="P305" s="315"/>
      <c r="Q305" s="315"/>
      <c r="R305" s="909"/>
      <c r="S305" s="738">
        <f t="shared" si="17"/>
        <v>37</v>
      </c>
      <c r="T305" s="738" t="str">
        <f t="shared" si="18"/>
        <v>Ud</v>
      </c>
      <c r="U305" s="738"/>
    </row>
    <row r="306" spans="1:21" x14ac:dyDescent="0.2">
      <c r="A306" s="908"/>
      <c r="B306" s="666"/>
      <c r="C306" s="580" t="s">
        <v>1319</v>
      </c>
      <c r="D306" s="870">
        <v>67</v>
      </c>
      <c r="E306" s="871" t="s">
        <v>8</v>
      </c>
      <c r="F306" s="668">
        <v>10</v>
      </c>
      <c r="G306" s="870"/>
      <c r="H306" s="871"/>
      <c r="I306" s="871"/>
      <c r="J306" s="349"/>
      <c r="K306" s="884"/>
      <c r="L306" s="876"/>
      <c r="M306" s="885"/>
      <c r="N306" s="876">
        <v>1</v>
      </c>
      <c r="O306" s="313"/>
      <c r="P306" s="315"/>
      <c r="Q306" s="315"/>
      <c r="R306" s="909"/>
      <c r="S306" s="738">
        <f t="shared" si="17"/>
        <v>37</v>
      </c>
      <c r="T306" s="738" t="str">
        <f t="shared" si="18"/>
        <v>Ud</v>
      </c>
      <c r="U306" s="738"/>
    </row>
    <row r="307" spans="1:21" x14ac:dyDescent="0.2">
      <c r="A307" s="908"/>
      <c r="B307" s="666"/>
      <c r="C307" s="580" t="s">
        <v>1320</v>
      </c>
      <c r="D307" s="870">
        <v>74</v>
      </c>
      <c r="E307" s="871" t="s">
        <v>8</v>
      </c>
      <c r="F307" s="668">
        <v>0</v>
      </c>
      <c r="G307" s="870"/>
      <c r="H307" s="871"/>
      <c r="I307" s="871"/>
      <c r="J307" s="349"/>
      <c r="K307" s="884"/>
      <c r="L307" s="876"/>
      <c r="M307" s="885"/>
      <c r="N307" s="876">
        <v>1</v>
      </c>
      <c r="O307" s="313"/>
      <c r="P307" s="315"/>
      <c r="Q307" s="315"/>
      <c r="R307" s="909"/>
      <c r="S307" s="738">
        <f t="shared" si="17"/>
        <v>37</v>
      </c>
      <c r="T307" s="738" t="str">
        <f t="shared" si="18"/>
        <v>Ud</v>
      </c>
      <c r="U307" s="738"/>
    </row>
    <row r="308" spans="1:21" x14ac:dyDescent="0.2">
      <c r="A308" s="908"/>
      <c r="B308" s="666"/>
      <c r="C308" s="580" t="s">
        <v>1321</v>
      </c>
      <c r="D308" s="870">
        <v>80</v>
      </c>
      <c r="E308" s="871" t="s">
        <v>8</v>
      </c>
      <c r="F308" s="668">
        <v>0</v>
      </c>
      <c r="G308" s="870"/>
      <c r="H308" s="871"/>
      <c r="I308" s="871"/>
      <c r="J308" s="349"/>
      <c r="K308" s="884"/>
      <c r="L308" s="876"/>
      <c r="M308" s="885"/>
      <c r="N308" s="876">
        <v>2</v>
      </c>
      <c r="O308" s="313"/>
      <c r="P308" s="315"/>
      <c r="Q308" s="315"/>
      <c r="R308" s="909"/>
      <c r="S308" s="738">
        <f t="shared" si="17"/>
        <v>37</v>
      </c>
      <c r="T308" s="738" t="str">
        <f t="shared" si="18"/>
        <v>Ud</v>
      </c>
      <c r="U308" s="738"/>
    </row>
    <row r="309" spans="1:21" x14ac:dyDescent="0.2">
      <c r="A309" s="908"/>
      <c r="B309" s="666"/>
      <c r="C309" s="580" t="s">
        <v>1322</v>
      </c>
      <c r="D309" s="870">
        <v>87</v>
      </c>
      <c r="E309" s="871" t="s">
        <v>8</v>
      </c>
      <c r="F309" s="668">
        <v>0</v>
      </c>
      <c r="G309" s="870"/>
      <c r="H309" s="871"/>
      <c r="I309" s="871"/>
      <c r="J309" s="349"/>
      <c r="K309" s="884"/>
      <c r="L309" s="876"/>
      <c r="M309" s="885"/>
      <c r="N309" s="876">
        <v>2</v>
      </c>
      <c r="O309" s="313"/>
      <c r="P309" s="315"/>
      <c r="Q309" s="315"/>
      <c r="R309" s="909"/>
      <c r="S309" s="738">
        <f t="shared" si="17"/>
        <v>37</v>
      </c>
      <c r="T309" s="738" t="str">
        <f t="shared" si="18"/>
        <v>Ud</v>
      </c>
      <c r="U309" s="738"/>
    </row>
    <row r="310" spans="1:21" x14ac:dyDescent="0.2">
      <c r="A310" s="908"/>
      <c r="B310" s="666"/>
      <c r="C310" s="580" t="s">
        <v>1323</v>
      </c>
      <c r="D310" s="870">
        <v>93</v>
      </c>
      <c r="E310" s="871" t="s">
        <v>8</v>
      </c>
      <c r="F310" s="668">
        <v>15</v>
      </c>
      <c r="G310" s="870"/>
      <c r="H310" s="871"/>
      <c r="I310" s="871"/>
      <c r="J310" s="349"/>
      <c r="K310" s="884"/>
      <c r="L310" s="876"/>
      <c r="M310" s="885"/>
      <c r="N310" s="876">
        <v>1</v>
      </c>
      <c r="O310" s="313"/>
      <c r="P310" s="315"/>
      <c r="Q310" s="315"/>
      <c r="R310" s="909"/>
      <c r="S310" s="738">
        <f t="shared" si="17"/>
        <v>37</v>
      </c>
      <c r="T310" s="738" t="str">
        <f t="shared" si="18"/>
        <v>Ud</v>
      </c>
      <c r="U310" s="738"/>
    </row>
    <row r="311" spans="1:21" x14ac:dyDescent="0.2">
      <c r="A311" s="908"/>
      <c r="B311" s="666"/>
      <c r="C311" s="580" t="s">
        <v>1324</v>
      </c>
      <c r="D311" s="870">
        <v>101</v>
      </c>
      <c r="E311" s="871" t="s">
        <v>8</v>
      </c>
      <c r="F311" s="668">
        <v>10</v>
      </c>
      <c r="G311" s="870"/>
      <c r="H311" s="871"/>
      <c r="I311" s="871"/>
      <c r="J311" s="349"/>
      <c r="K311" s="884"/>
      <c r="L311" s="876"/>
      <c r="M311" s="885"/>
      <c r="N311" s="876">
        <v>1</v>
      </c>
      <c r="O311" s="313"/>
      <c r="P311" s="315"/>
      <c r="Q311" s="315"/>
      <c r="R311" s="909"/>
      <c r="S311" s="738">
        <f t="shared" si="17"/>
        <v>37</v>
      </c>
      <c r="T311" s="738" t="str">
        <f t="shared" si="18"/>
        <v>Ud</v>
      </c>
      <c r="U311" s="738"/>
    </row>
    <row r="312" spans="1:21" x14ac:dyDescent="0.2">
      <c r="A312" s="908"/>
      <c r="B312" s="666"/>
      <c r="C312" s="580" t="s">
        <v>1325</v>
      </c>
      <c r="D312" s="870">
        <v>153</v>
      </c>
      <c r="E312" s="871" t="s">
        <v>8</v>
      </c>
      <c r="F312" s="668">
        <v>10</v>
      </c>
      <c r="G312" s="870"/>
      <c r="H312" s="871"/>
      <c r="I312" s="871"/>
      <c r="J312" s="349"/>
      <c r="K312" s="884"/>
      <c r="L312" s="876"/>
      <c r="M312" s="885"/>
      <c r="N312" s="876">
        <v>1</v>
      </c>
      <c r="O312" s="313"/>
      <c r="P312" s="315"/>
      <c r="Q312" s="315"/>
      <c r="R312" s="909"/>
      <c r="S312" s="738">
        <f t="shared" si="17"/>
        <v>37</v>
      </c>
      <c r="T312" s="738" t="str">
        <f t="shared" si="18"/>
        <v>Ud</v>
      </c>
      <c r="U312" s="738"/>
    </row>
    <row r="313" spans="1:21" x14ac:dyDescent="0.2">
      <c r="A313" s="908"/>
      <c r="B313" s="666"/>
      <c r="C313" s="580" t="s">
        <v>1326</v>
      </c>
      <c r="D313" s="870">
        <v>156</v>
      </c>
      <c r="E313" s="871" t="s">
        <v>8</v>
      </c>
      <c r="F313" s="668">
        <v>10</v>
      </c>
      <c r="G313" s="870"/>
      <c r="H313" s="871"/>
      <c r="I313" s="871"/>
      <c r="J313" s="349"/>
      <c r="K313" s="884"/>
      <c r="L313" s="876"/>
      <c r="M313" s="885"/>
      <c r="N313" s="876">
        <v>2</v>
      </c>
      <c r="O313" s="313"/>
      <c r="P313" s="315"/>
      <c r="Q313" s="315"/>
      <c r="R313" s="909"/>
      <c r="S313" s="738">
        <f t="shared" si="17"/>
        <v>37</v>
      </c>
      <c r="T313" s="738" t="str">
        <f t="shared" si="18"/>
        <v>Ud</v>
      </c>
      <c r="U313" s="738"/>
    </row>
    <row r="314" spans="1:21" x14ac:dyDescent="0.2">
      <c r="A314" s="908"/>
      <c r="B314" s="666"/>
      <c r="C314" s="580" t="s">
        <v>1327</v>
      </c>
      <c r="D314" s="870">
        <v>159</v>
      </c>
      <c r="E314" s="871" t="s">
        <v>8</v>
      </c>
      <c r="F314" s="668">
        <v>10</v>
      </c>
      <c r="G314" s="870"/>
      <c r="H314" s="871"/>
      <c r="I314" s="871"/>
      <c r="J314" s="349"/>
      <c r="K314" s="884"/>
      <c r="L314" s="876"/>
      <c r="M314" s="885"/>
      <c r="N314" s="876">
        <v>1</v>
      </c>
      <c r="O314" s="313"/>
      <c r="P314" s="315"/>
      <c r="Q314" s="315"/>
      <c r="R314" s="909"/>
      <c r="S314" s="738">
        <f t="shared" si="17"/>
        <v>37</v>
      </c>
      <c r="T314" s="738" t="str">
        <f t="shared" si="18"/>
        <v>Ud</v>
      </c>
      <c r="U314" s="738"/>
    </row>
    <row r="315" spans="1:21" x14ac:dyDescent="0.2">
      <c r="A315" s="908"/>
      <c r="B315" s="666"/>
      <c r="C315" s="580" t="s">
        <v>1328</v>
      </c>
      <c r="D315" s="870">
        <v>167</v>
      </c>
      <c r="E315" s="871" t="s">
        <v>8</v>
      </c>
      <c r="F315" s="668">
        <v>0</v>
      </c>
      <c r="G315" s="870"/>
      <c r="H315" s="871"/>
      <c r="I315" s="871"/>
      <c r="J315" s="349"/>
      <c r="K315" s="884"/>
      <c r="L315" s="876"/>
      <c r="M315" s="885"/>
      <c r="N315" s="876">
        <v>1</v>
      </c>
      <c r="O315" s="313"/>
      <c r="P315" s="315"/>
      <c r="Q315" s="315"/>
      <c r="R315" s="909"/>
      <c r="S315" s="738">
        <f t="shared" si="17"/>
        <v>37</v>
      </c>
      <c r="T315" s="738" t="str">
        <f t="shared" si="18"/>
        <v>Ud</v>
      </c>
      <c r="U315" s="738"/>
    </row>
    <row r="316" spans="1:21" x14ac:dyDescent="0.2">
      <c r="A316" s="908"/>
      <c r="B316" s="666"/>
      <c r="C316" s="580" t="s">
        <v>1329</v>
      </c>
      <c r="D316" s="870">
        <v>173</v>
      </c>
      <c r="E316" s="871" t="s">
        <v>8</v>
      </c>
      <c r="F316" s="668">
        <v>0</v>
      </c>
      <c r="G316" s="870"/>
      <c r="H316" s="871"/>
      <c r="I316" s="871"/>
      <c r="J316" s="349"/>
      <c r="K316" s="884"/>
      <c r="L316" s="876"/>
      <c r="M316" s="885"/>
      <c r="N316" s="876">
        <v>1</v>
      </c>
      <c r="O316" s="313"/>
      <c r="P316" s="315"/>
      <c r="Q316" s="315"/>
      <c r="R316" s="909"/>
      <c r="S316" s="738">
        <f t="shared" si="17"/>
        <v>37</v>
      </c>
      <c r="T316" s="738" t="str">
        <f t="shared" si="18"/>
        <v>Ud</v>
      </c>
      <c r="U316" s="738"/>
    </row>
    <row r="317" spans="1:21" x14ac:dyDescent="0.2">
      <c r="A317" s="908"/>
      <c r="B317" s="666"/>
      <c r="C317" s="580" t="s">
        <v>1330</v>
      </c>
      <c r="D317" s="870">
        <v>180</v>
      </c>
      <c r="E317" s="871" t="s">
        <v>8</v>
      </c>
      <c r="F317" s="668">
        <v>0</v>
      </c>
      <c r="G317" s="870"/>
      <c r="H317" s="871"/>
      <c r="I317" s="871"/>
      <c r="J317" s="349"/>
      <c r="K317" s="884"/>
      <c r="L317" s="876"/>
      <c r="M317" s="885"/>
      <c r="N317" s="876">
        <v>1</v>
      </c>
      <c r="O317" s="313"/>
      <c r="P317" s="315"/>
      <c r="Q317" s="315"/>
      <c r="R317" s="909"/>
      <c r="S317" s="738">
        <f t="shared" si="17"/>
        <v>37</v>
      </c>
      <c r="T317" s="738" t="str">
        <f t="shared" si="18"/>
        <v>Ud</v>
      </c>
      <c r="U317" s="738"/>
    </row>
    <row r="318" spans="1:21" x14ac:dyDescent="0.2">
      <c r="A318" s="908"/>
      <c r="B318" s="666"/>
      <c r="C318" s="580" t="s">
        <v>1331</v>
      </c>
      <c r="D318" s="870">
        <v>195</v>
      </c>
      <c r="E318" s="871" t="s">
        <v>8</v>
      </c>
      <c r="F318" s="668">
        <v>0</v>
      </c>
      <c r="G318" s="870"/>
      <c r="H318" s="871"/>
      <c r="I318" s="871"/>
      <c r="J318" s="349"/>
      <c r="K318" s="884"/>
      <c r="L318" s="876"/>
      <c r="M318" s="885"/>
      <c r="N318" s="876">
        <v>1</v>
      </c>
      <c r="O318" s="313"/>
      <c r="P318" s="315"/>
      <c r="Q318" s="315"/>
      <c r="R318" s="909"/>
      <c r="S318" s="738">
        <f t="shared" si="17"/>
        <v>37</v>
      </c>
      <c r="T318" s="738" t="str">
        <f t="shared" si="18"/>
        <v>Ud</v>
      </c>
      <c r="U318" s="738"/>
    </row>
    <row r="319" spans="1:21" x14ac:dyDescent="0.2">
      <c r="A319" s="908"/>
      <c r="B319" s="666"/>
      <c r="C319" s="580" t="s">
        <v>1332</v>
      </c>
      <c r="D319" s="870">
        <v>205</v>
      </c>
      <c r="E319" s="871" t="s">
        <v>8</v>
      </c>
      <c r="F319" s="668">
        <v>15</v>
      </c>
      <c r="G319" s="870"/>
      <c r="H319" s="871"/>
      <c r="I319" s="871"/>
      <c r="J319" s="349"/>
      <c r="K319" s="884"/>
      <c r="L319" s="876"/>
      <c r="M319" s="885"/>
      <c r="N319" s="876">
        <v>1</v>
      </c>
      <c r="O319" s="313"/>
      <c r="P319" s="315"/>
      <c r="Q319" s="315"/>
      <c r="R319" s="909"/>
      <c r="S319" s="738">
        <f t="shared" si="17"/>
        <v>37</v>
      </c>
      <c r="T319" s="738" t="str">
        <f t="shared" si="18"/>
        <v>Ud</v>
      </c>
      <c r="U319" s="738"/>
    </row>
    <row r="320" spans="1:21" x14ac:dyDescent="0.2">
      <c r="A320" s="908"/>
      <c r="B320" s="666"/>
      <c r="C320" s="580" t="s">
        <v>1333</v>
      </c>
      <c r="D320" s="870">
        <v>228</v>
      </c>
      <c r="E320" s="871" t="s">
        <v>8</v>
      </c>
      <c r="F320" s="668">
        <v>0</v>
      </c>
      <c r="G320" s="870"/>
      <c r="H320" s="871"/>
      <c r="I320" s="871"/>
      <c r="J320" s="349"/>
      <c r="K320" s="884"/>
      <c r="L320" s="876"/>
      <c r="M320" s="885"/>
      <c r="N320" s="876">
        <v>1</v>
      </c>
      <c r="O320" s="313"/>
      <c r="P320" s="315"/>
      <c r="Q320" s="315"/>
      <c r="R320" s="909"/>
      <c r="S320" s="738">
        <f t="shared" si="17"/>
        <v>37</v>
      </c>
      <c r="T320" s="738" t="str">
        <f t="shared" si="18"/>
        <v>Ud</v>
      </c>
      <c r="U320" s="738"/>
    </row>
    <row r="321" spans="1:32" x14ac:dyDescent="0.2">
      <c r="A321" s="908"/>
      <c r="B321" s="666"/>
      <c r="C321" s="580" t="s">
        <v>1334</v>
      </c>
      <c r="D321" s="870">
        <v>278</v>
      </c>
      <c r="E321" s="871" t="s">
        <v>8</v>
      </c>
      <c r="F321" s="668">
        <v>0</v>
      </c>
      <c r="G321" s="870"/>
      <c r="H321" s="871"/>
      <c r="I321" s="871"/>
      <c r="J321" s="349"/>
      <c r="K321" s="884"/>
      <c r="L321" s="876"/>
      <c r="M321" s="885"/>
      <c r="N321" s="876">
        <v>1</v>
      </c>
      <c r="O321" s="313"/>
      <c r="P321" s="315"/>
      <c r="Q321" s="315"/>
      <c r="R321" s="909"/>
      <c r="S321" s="738">
        <f t="shared" si="17"/>
        <v>37</v>
      </c>
      <c r="T321" s="738" t="str">
        <f t="shared" si="18"/>
        <v>Ud</v>
      </c>
      <c r="U321" s="738"/>
    </row>
    <row r="322" spans="1:32" x14ac:dyDescent="0.2">
      <c r="A322" s="908"/>
      <c r="B322" s="666"/>
      <c r="C322" s="580" t="s">
        <v>1337</v>
      </c>
      <c r="D322" s="870">
        <v>377</v>
      </c>
      <c r="E322" s="871" t="s">
        <v>8</v>
      </c>
      <c r="F322" s="668">
        <v>10</v>
      </c>
      <c r="G322" s="870"/>
      <c r="H322" s="871"/>
      <c r="I322" s="871"/>
      <c r="J322" s="349"/>
      <c r="K322" s="884"/>
      <c r="L322" s="876"/>
      <c r="M322" s="885"/>
      <c r="N322" s="876">
        <v>1</v>
      </c>
      <c r="O322" s="313"/>
      <c r="P322" s="315"/>
      <c r="Q322" s="315"/>
      <c r="R322" s="909"/>
      <c r="S322" s="738">
        <f t="shared" si="17"/>
        <v>37</v>
      </c>
      <c r="T322" s="738" t="str">
        <f t="shared" si="18"/>
        <v>Ud</v>
      </c>
      <c r="U322" s="738"/>
    </row>
    <row r="323" spans="1:32" x14ac:dyDescent="0.2">
      <c r="A323" s="908"/>
      <c r="B323" s="666"/>
      <c r="C323" s="580" t="s">
        <v>1338</v>
      </c>
      <c r="D323" s="870">
        <v>384</v>
      </c>
      <c r="E323" s="871" t="s">
        <v>8</v>
      </c>
      <c r="F323" s="668">
        <v>0</v>
      </c>
      <c r="G323" s="870"/>
      <c r="H323" s="871"/>
      <c r="I323" s="871"/>
      <c r="J323" s="349"/>
      <c r="K323" s="884"/>
      <c r="L323" s="876"/>
      <c r="M323" s="885"/>
      <c r="N323" s="876">
        <v>1</v>
      </c>
      <c r="O323" s="313"/>
      <c r="P323" s="315"/>
      <c r="Q323" s="315"/>
      <c r="R323" s="909"/>
      <c r="S323" s="738">
        <f t="shared" si="17"/>
        <v>37</v>
      </c>
      <c r="T323" s="738" t="str">
        <f t="shared" si="18"/>
        <v>Ud</v>
      </c>
      <c r="U323" s="738"/>
    </row>
    <row r="324" spans="1:32" x14ac:dyDescent="0.2">
      <c r="A324" s="908"/>
      <c r="B324" s="666"/>
      <c r="C324" s="580" t="s">
        <v>1339</v>
      </c>
      <c r="D324" s="870">
        <v>389</v>
      </c>
      <c r="E324" s="871" t="s">
        <v>8</v>
      </c>
      <c r="F324" s="668">
        <v>10</v>
      </c>
      <c r="G324" s="870"/>
      <c r="H324" s="871"/>
      <c r="I324" s="871"/>
      <c r="J324" s="349"/>
      <c r="K324" s="884"/>
      <c r="L324" s="876"/>
      <c r="M324" s="885"/>
      <c r="N324" s="876">
        <v>1</v>
      </c>
      <c r="O324" s="313"/>
      <c r="P324" s="315"/>
      <c r="Q324" s="315"/>
      <c r="R324" s="909"/>
      <c r="S324" s="738">
        <f t="shared" si="17"/>
        <v>37</v>
      </c>
      <c r="T324" s="738" t="str">
        <f t="shared" si="18"/>
        <v>Ud</v>
      </c>
      <c r="U324" s="738"/>
    </row>
    <row r="325" spans="1:32" x14ac:dyDescent="0.2">
      <c r="A325" s="908"/>
      <c r="B325" s="666"/>
      <c r="C325" s="580" t="s">
        <v>1340</v>
      </c>
      <c r="D325" s="870">
        <v>429</v>
      </c>
      <c r="E325" s="871" t="s">
        <v>8</v>
      </c>
      <c r="F325" s="668">
        <v>0</v>
      </c>
      <c r="G325" s="870"/>
      <c r="H325" s="871"/>
      <c r="I325" s="871"/>
      <c r="J325" s="349"/>
      <c r="K325" s="884"/>
      <c r="L325" s="876"/>
      <c r="M325" s="885"/>
      <c r="N325" s="876">
        <v>1</v>
      </c>
      <c r="O325" s="313"/>
      <c r="P325" s="315"/>
      <c r="Q325" s="315"/>
      <c r="R325" s="909"/>
      <c r="S325" s="738">
        <f t="shared" si="17"/>
        <v>37</v>
      </c>
      <c r="T325" s="738" t="str">
        <f t="shared" si="18"/>
        <v>Ud</v>
      </c>
      <c r="U325" s="738"/>
    </row>
    <row r="326" spans="1:32" x14ac:dyDescent="0.2">
      <c r="A326" s="908"/>
      <c r="B326" s="666"/>
      <c r="C326" s="580" t="s">
        <v>1341</v>
      </c>
      <c r="D326" s="870">
        <v>460</v>
      </c>
      <c r="E326" s="871" t="s">
        <v>8</v>
      </c>
      <c r="F326" s="668">
        <v>0</v>
      </c>
      <c r="G326" s="870"/>
      <c r="H326" s="871"/>
      <c r="I326" s="871"/>
      <c r="J326" s="349"/>
      <c r="K326" s="884"/>
      <c r="L326" s="876"/>
      <c r="M326" s="885"/>
      <c r="N326" s="876">
        <v>1</v>
      </c>
      <c r="O326" s="313"/>
      <c r="P326" s="315"/>
      <c r="Q326" s="315"/>
      <c r="R326" s="909"/>
      <c r="S326" s="738">
        <f t="shared" si="17"/>
        <v>37</v>
      </c>
      <c r="T326" s="738" t="str">
        <f t="shared" si="18"/>
        <v>Ud</v>
      </c>
      <c r="U326" s="738"/>
    </row>
    <row r="327" spans="1:32" x14ac:dyDescent="0.2">
      <c r="A327" s="908"/>
      <c r="B327" s="666"/>
      <c r="C327" s="580" t="s">
        <v>1342</v>
      </c>
      <c r="D327" s="870">
        <v>521</v>
      </c>
      <c r="E327" s="871" t="s">
        <v>8</v>
      </c>
      <c r="F327" s="668">
        <v>18</v>
      </c>
      <c r="G327" s="870"/>
      <c r="H327" s="871"/>
      <c r="I327" s="871"/>
      <c r="J327" s="349"/>
      <c r="K327" s="884"/>
      <c r="L327" s="876"/>
      <c r="M327" s="885"/>
      <c r="N327" s="876">
        <v>1</v>
      </c>
      <c r="O327" s="313"/>
      <c r="P327" s="315"/>
      <c r="Q327" s="315"/>
      <c r="R327" s="909"/>
      <c r="S327" s="738">
        <f t="shared" si="17"/>
        <v>37</v>
      </c>
      <c r="T327" s="738" t="str">
        <f t="shared" si="18"/>
        <v>Ud</v>
      </c>
      <c r="U327" s="738"/>
    </row>
    <row r="328" spans="1:32" x14ac:dyDescent="0.2">
      <c r="A328" s="908"/>
      <c r="B328" s="666"/>
      <c r="C328" s="580" t="s">
        <v>1343</v>
      </c>
      <c r="D328" s="870">
        <v>534</v>
      </c>
      <c r="E328" s="871" t="s">
        <v>8</v>
      </c>
      <c r="F328" s="668">
        <v>5</v>
      </c>
      <c r="G328" s="870"/>
      <c r="H328" s="871"/>
      <c r="I328" s="871"/>
      <c r="J328" s="349"/>
      <c r="K328" s="884"/>
      <c r="L328" s="876"/>
      <c r="M328" s="885"/>
      <c r="N328" s="876">
        <v>1</v>
      </c>
      <c r="O328" s="313"/>
      <c r="P328" s="315"/>
      <c r="Q328" s="315"/>
      <c r="R328" s="909"/>
      <c r="S328" s="738">
        <f t="shared" si="17"/>
        <v>37</v>
      </c>
      <c r="T328" s="738" t="str">
        <f t="shared" si="18"/>
        <v>Ud</v>
      </c>
      <c r="U328" s="738"/>
    </row>
    <row r="329" spans="1:32" x14ac:dyDescent="0.2">
      <c r="A329" s="908"/>
      <c r="B329" s="666"/>
      <c r="C329" s="580" t="s">
        <v>1345</v>
      </c>
      <c r="D329" s="870">
        <v>561</v>
      </c>
      <c r="E329" s="871" t="s">
        <v>8</v>
      </c>
      <c r="F329" s="668">
        <v>12.5</v>
      </c>
      <c r="G329" s="870"/>
      <c r="H329" s="871"/>
      <c r="I329" s="871"/>
      <c r="J329" s="349"/>
      <c r="K329" s="884"/>
      <c r="L329" s="876"/>
      <c r="M329" s="885"/>
      <c r="N329" s="876">
        <v>1</v>
      </c>
      <c r="O329" s="313"/>
      <c r="P329" s="315"/>
      <c r="Q329" s="315"/>
      <c r="R329" s="909"/>
      <c r="S329" s="738">
        <f t="shared" si="17"/>
        <v>37</v>
      </c>
      <c r="T329" s="738" t="str">
        <f t="shared" si="18"/>
        <v>Ud</v>
      </c>
      <c r="U329" s="738"/>
    </row>
    <row r="330" spans="1:32" x14ac:dyDescent="0.2">
      <c r="A330" s="908"/>
      <c r="B330" s="666"/>
      <c r="C330" s="744" t="s">
        <v>1553</v>
      </c>
      <c r="D330" s="870"/>
      <c r="E330" s="871"/>
      <c r="F330" s="668"/>
      <c r="G330" s="870"/>
      <c r="H330" s="871"/>
      <c r="I330" s="871"/>
      <c r="J330" s="349"/>
      <c r="K330" s="884"/>
      <c r="L330" s="876"/>
      <c r="M330" s="885"/>
      <c r="N330" s="883"/>
      <c r="O330" s="313"/>
      <c r="P330" s="315"/>
      <c r="Q330" s="315"/>
      <c r="R330" s="909"/>
      <c r="S330" s="738">
        <f t="shared" si="17"/>
        <v>37</v>
      </c>
      <c r="T330" s="738" t="str">
        <f t="shared" si="18"/>
        <v>Ud</v>
      </c>
      <c r="U330" s="738"/>
    </row>
    <row r="331" spans="1:32" x14ac:dyDescent="0.2">
      <c r="A331" s="913"/>
      <c r="B331" s="666"/>
      <c r="C331" s="380" t="s">
        <v>1272</v>
      </c>
      <c r="D331" s="381">
        <v>12</v>
      </c>
      <c r="E331" s="524" t="s">
        <v>8</v>
      </c>
      <c r="F331" s="292">
        <v>10</v>
      </c>
      <c r="G331" s="382"/>
      <c r="H331" s="524"/>
      <c r="I331" s="675"/>
      <c r="J331" s="383" t="s">
        <v>1564</v>
      </c>
      <c r="K331" s="350"/>
      <c r="M331" s="875"/>
      <c r="N331" s="883">
        <v>1</v>
      </c>
      <c r="O331" s="313"/>
      <c r="P331" s="315"/>
      <c r="Q331" s="315"/>
      <c r="R331" s="909"/>
      <c r="S331" s="738">
        <f t="shared" si="17"/>
        <v>37</v>
      </c>
      <c r="T331" s="738" t="str">
        <f t="shared" si="18"/>
        <v>Ud</v>
      </c>
      <c r="U331" s="738"/>
      <c r="W331" s="288"/>
      <c r="X331" s="288"/>
      <c r="Y331" s="288"/>
      <c r="Z331" s="288"/>
      <c r="AA331" s="288"/>
      <c r="AF331" s="288">
        <v>30</v>
      </c>
    </row>
    <row r="332" spans="1:32" x14ac:dyDescent="0.2">
      <c r="A332" s="294"/>
      <c r="B332" s="293"/>
      <c r="C332" s="380" t="s">
        <v>1319</v>
      </c>
      <c r="D332" s="381">
        <v>71</v>
      </c>
      <c r="E332" s="524" t="s">
        <v>8</v>
      </c>
      <c r="F332" s="292">
        <v>10</v>
      </c>
      <c r="G332" s="382"/>
      <c r="H332" s="524"/>
      <c r="I332" s="675"/>
      <c r="J332" s="383" t="s">
        <v>1564</v>
      </c>
      <c r="K332" s="350"/>
      <c r="M332" s="875"/>
      <c r="N332" s="883">
        <v>1</v>
      </c>
      <c r="R332" s="912"/>
      <c r="S332" s="738">
        <f t="shared" si="17"/>
        <v>37</v>
      </c>
      <c r="T332" s="738" t="str">
        <f t="shared" si="18"/>
        <v>Ud</v>
      </c>
      <c r="U332" s="738"/>
      <c r="W332" s="288"/>
      <c r="X332" s="288"/>
      <c r="Y332" s="288"/>
      <c r="Z332" s="288"/>
      <c r="AA332" s="288"/>
      <c r="AF332" s="288">
        <v>658</v>
      </c>
    </row>
    <row r="333" spans="1:32" x14ac:dyDescent="0.2">
      <c r="A333" s="294"/>
      <c r="B333" s="293"/>
      <c r="C333" s="380" t="s">
        <v>1320</v>
      </c>
      <c r="D333" s="381">
        <v>80</v>
      </c>
      <c r="E333" s="524" t="s">
        <v>8</v>
      </c>
      <c r="F333" s="292">
        <v>10</v>
      </c>
      <c r="G333" s="382"/>
      <c r="H333" s="524"/>
      <c r="I333" s="675"/>
      <c r="J333" s="383" t="s">
        <v>1564</v>
      </c>
      <c r="K333" s="350"/>
      <c r="M333" s="875"/>
      <c r="N333" s="883">
        <v>1</v>
      </c>
      <c r="R333" s="912"/>
      <c r="S333" s="738">
        <f t="shared" si="17"/>
        <v>37</v>
      </c>
      <c r="T333" s="738" t="str">
        <f t="shared" si="18"/>
        <v>Ud</v>
      </c>
      <c r="U333" s="738"/>
      <c r="W333" s="288"/>
      <c r="X333" s="288"/>
      <c r="Y333" s="288"/>
      <c r="Z333" s="288"/>
      <c r="AA333" s="288"/>
      <c r="AF333" s="288">
        <v>658</v>
      </c>
    </row>
    <row r="334" spans="1:32" x14ac:dyDescent="0.2">
      <c r="A334" s="294"/>
      <c r="B334" s="293"/>
      <c r="C334" s="380" t="s">
        <v>1321</v>
      </c>
      <c r="D334" s="381">
        <v>89</v>
      </c>
      <c r="E334" s="524" t="s">
        <v>8</v>
      </c>
      <c r="F334" s="292">
        <v>0</v>
      </c>
      <c r="G334" s="382"/>
      <c r="H334" s="524"/>
      <c r="I334" s="675"/>
      <c r="J334" s="383" t="s">
        <v>1564</v>
      </c>
      <c r="K334" s="350"/>
      <c r="M334" s="875"/>
      <c r="N334" s="883">
        <v>1</v>
      </c>
      <c r="R334" s="912"/>
      <c r="S334" s="738">
        <f t="shared" si="17"/>
        <v>37</v>
      </c>
      <c r="T334" s="738" t="str">
        <f t="shared" si="18"/>
        <v>Ud</v>
      </c>
      <c r="U334" s="738"/>
      <c r="W334" s="288"/>
      <c r="X334" s="288"/>
      <c r="Y334" s="288"/>
      <c r="Z334" s="288"/>
      <c r="AA334" s="288"/>
      <c r="AF334" s="288">
        <v>658</v>
      </c>
    </row>
    <row r="335" spans="1:32" x14ac:dyDescent="0.2">
      <c r="A335" s="294"/>
      <c r="B335" s="293"/>
      <c r="C335" s="380" t="s">
        <v>1322</v>
      </c>
      <c r="D335" s="381">
        <v>104</v>
      </c>
      <c r="E335" s="524" t="s">
        <v>8</v>
      </c>
      <c r="F335" s="292">
        <v>0</v>
      </c>
      <c r="G335" s="382"/>
      <c r="H335" s="524"/>
      <c r="I335" s="675"/>
      <c r="J335" s="383" t="s">
        <v>1564</v>
      </c>
      <c r="K335" s="350"/>
      <c r="M335" s="875"/>
      <c r="N335" s="883">
        <v>1</v>
      </c>
      <c r="R335" s="912"/>
      <c r="S335" s="738">
        <f t="shared" si="17"/>
        <v>37</v>
      </c>
      <c r="T335" s="738" t="str">
        <f t="shared" si="18"/>
        <v>Ud</v>
      </c>
      <c r="U335" s="738"/>
      <c r="W335" s="288"/>
      <c r="X335" s="288"/>
      <c r="Y335" s="288"/>
      <c r="Z335" s="288"/>
      <c r="AA335" s="288"/>
      <c r="AF335" s="288">
        <v>658</v>
      </c>
    </row>
    <row r="336" spans="1:32" x14ac:dyDescent="0.2">
      <c r="A336" s="899"/>
      <c r="B336" s="353"/>
      <c r="C336" s="354" t="s">
        <v>2</v>
      </c>
      <c r="D336" s="355"/>
      <c r="E336" s="352"/>
      <c r="F336" s="677"/>
      <c r="G336" s="678"/>
      <c r="H336" s="356"/>
      <c r="I336" s="356"/>
      <c r="J336" s="353"/>
      <c r="K336" s="358"/>
      <c r="L336" s="358"/>
      <c r="M336" s="358"/>
      <c r="N336" s="360">
        <f>SUM(N302:N335)</f>
        <v>37</v>
      </c>
      <c r="O336" s="361" t="str">
        <f>IF(MID(B300,1,2)="LG",VLOOKUP(B300,'Compos lug'!J:M,4,FALSE),IF(MID(B300,1,1)="6",VLOOKUP(B300,tranp.!$A$6:$K$51,3,FALSE),VLOOKUP(B300,'DER 10-18'!$A$1:$I$1981,3,FALSE)))</f>
        <v>Ud</v>
      </c>
      <c r="P336" s="362"/>
      <c r="Q336" s="362"/>
      <c r="R336" s="900"/>
      <c r="S336" s="738">
        <f t="shared" si="17"/>
        <v>2</v>
      </c>
      <c r="T336" s="738" t="str">
        <f t="shared" si="18"/>
        <v>Ud</v>
      </c>
      <c r="U336" s="738"/>
    </row>
    <row r="337" spans="1:32" x14ac:dyDescent="0.2">
      <c r="A337" s="913"/>
      <c r="B337" s="666"/>
      <c r="C337" s="751"/>
      <c r="D337" s="751"/>
      <c r="E337" s="316"/>
      <c r="F337" s="752"/>
      <c r="G337" s="751"/>
      <c r="H337" s="752"/>
      <c r="I337" s="752"/>
      <c r="J337" s="666"/>
      <c r="L337" s="314"/>
      <c r="N337" s="314"/>
      <c r="O337" s="313"/>
      <c r="P337" s="315"/>
      <c r="Q337" s="315"/>
      <c r="R337" s="909"/>
      <c r="S337" s="738">
        <f t="shared" si="17"/>
        <v>2</v>
      </c>
      <c r="T337" s="738" t="str">
        <f t="shared" si="18"/>
        <v>Ud</v>
      </c>
      <c r="U337" s="738"/>
      <c r="W337" s="288"/>
      <c r="X337" s="288"/>
      <c r="Y337" s="288"/>
      <c r="Z337" s="288"/>
      <c r="AA337" s="288"/>
      <c r="AF337" s="288">
        <v>13.16</v>
      </c>
    </row>
    <row r="338" spans="1:32" x14ac:dyDescent="0.2">
      <c r="A338" s="913" t="s">
        <v>262</v>
      </c>
      <c r="B338" s="666">
        <v>40532</v>
      </c>
      <c r="C338" s="347" t="str">
        <f>IF(MID(B338,1,2)="LG",VLOOKUP(B338,'Compos lug'!J:M,3,FALSE),IF(MID(B338,1,1)="6",VLOOKUP(B338,tranp.!$A$4:$K$21,11,FALSE)&amp;" -  XP="&amp;TEXT(T338,"0,000")&amp;" / XR="&amp;TEXT(V338,"0,000"),VLOOKUP(B338,'DER 10-18'!$A$1:$I$1994,2,FALSE)))</f>
        <v>Boca de concreto ciclópico para BSTC diâmetro 1,00 m</v>
      </c>
      <c r="D338" s="1059" t="s">
        <v>7</v>
      </c>
      <c r="E338" s="1060"/>
      <c r="F338" s="1061"/>
      <c r="G338" s="1059"/>
      <c r="H338" s="1060"/>
      <c r="I338" s="1061"/>
      <c r="J338" s="349" t="s">
        <v>989</v>
      </c>
      <c r="K338" s="884"/>
      <c r="L338" s="876"/>
      <c r="M338" s="885"/>
      <c r="N338" s="876" t="str">
        <f>CONCATENATE("Total (",IF(MID(B338,1,2)="LG",VLOOKUP(B338,'Compos lug'!J:M,4,FALSE),IF(MID(B338,1,1)="6","t",VLOOKUP(B338,'DER 10-18'!$A$1:$I$1994,3,FALSE))),")")</f>
        <v>Total (Ud)</v>
      </c>
      <c r="O338" s="313"/>
      <c r="P338" s="315"/>
      <c r="Q338" s="315"/>
      <c r="R338" s="909"/>
      <c r="S338" s="738">
        <f t="shared" si="17"/>
        <v>2</v>
      </c>
      <c r="T338" s="738" t="str">
        <f t="shared" si="18"/>
        <v>Ud</v>
      </c>
      <c r="U338" s="738"/>
      <c r="W338" s="288"/>
      <c r="X338" s="288"/>
      <c r="Y338" s="288"/>
      <c r="Z338" s="288"/>
      <c r="AA338" s="288"/>
      <c r="AF338" s="288">
        <v>160</v>
      </c>
    </row>
    <row r="339" spans="1:32" x14ac:dyDescent="0.2">
      <c r="A339" s="913"/>
      <c r="B339" s="666"/>
      <c r="C339" s="744" t="s">
        <v>1553</v>
      </c>
      <c r="D339" s="871"/>
      <c r="E339" s="871"/>
      <c r="F339" s="871"/>
      <c r="G339" s="870"/>
      <c r="H339" s="871"/>
      <c r="I339" s="872"/>
      <c r="J339" s="349"/>
      <c r="K339" s="884"/>
      <c r="L339" s="876"/>
      <c r="M339" s="885"/>
      <c r="N339" s="883"/>
      <c r="O339" s="313"/>
      <c r="P339" s="315"/>
      <c r="Q339" s="315"/>
      <c r="R339" s="909"/>
      <c r="S339" s="738">
        <f t="shared" si="17"/>
        <v>2</v>
      </c>
      <c r="T339" s="738" t="str">
        <f t="shared" si="18"/>
        <v>Ud</v>
      </c>
      <c r="U339" s="738"/>
      <c r="W339" s="288"/>
      <c r="X339" s="288"/>
      <c r="Y339" s="288"/>
      <c r="Z339" s="288"/>
      <c r="AA339" s="288"/>
    </row>
    <row r="340" spans="1:32" x14ac:dyDescent="0.2">
      <c r="A340" s="294"/>
      <c r="B340" s="293"/>
      <c r="C340" s="380" t="s">
        <v>1349</v>
      </c>
      <c r="D340" s="381">
        <v>38</v>
      </c>
      <c r="E340" s="524" t="s">
        <v>8</v>
      </c>
      <c r="F340" s="292">
        <v>0</v>
      </c>
      <c r="G340" s="382"/>
      <c r="H340" s="524"/>
      <c r="I340" s="675"/>
      <c r="J340" s="383" t="s">
        <v>1565</v>
      </c>
      <c r="K340" s="350"/>
      <c r="M340" s="875"/>
      <c r="N340" s="883">
        <v>2</v>
      </c>
      <c r="R340" s="912"/>
      <c r="S340" s="738">
        <f t="shared" si="17"/>
        <v>2</v>
      </c>
      <c r="T340" s="738" t="str">
        <f t="shared" si="18"/>
        <v>Ud</v>
      </c>
      <c r="U340" s="738"/>
      <c r="W340" s="288"/>
      <c r="X340" s="288"/>
      <c r="Y340" s="288"/>
      <c r="Z340" s="288"/>
      <c r="AA340" s="288"/>
      <c r="AF340" s="288">
        <v>15</v>
      </c>
    </row>
    <row r="341" spans="1:32" x14ac:dyDescent="0.2">
      <c r="A341" s="899"/>
      <c r="B341" s="353"/>
      <c r="C341" s="354" t="s">
        <v>2</v>
      </c>
      <c r="D341" s="355"/>
      <c r="E341" s="352"/>
      <c r="F341" s="356"/>
      <c r="G341" s="355"/>
      <c r="H341" s="356"/>
      <c r="I341" s="356"/>
      <c r="J341" s="353"/>
      <c r="K341" s="357"/>
      <c r="L341" s="358"/>
      <c r="M341" s="359"/>
      <c r="N341" s="360">
        <f>SUM(N340:N340)</f>
        <v>2</v>
      </c>
      <c r="O341" s="361" t="str">
        <f>IF(MID(B338,1,2)="LG",VLOOKUP(B338,'Compos lug'!J:M,4,FALSE),IF(MID(B338,1,1)="6",VLOOKUP(B338,tranp.!$A$6:$K$38,3,FALSE),VLOOKUP(B338,'DER 10-18'!$A$1:$I$1994,3,FALSE)))</f>
        <v>Ud</v>
      </c>
      <c r="P341" s="362"/>
      <c r="Q341" s="362"/>
      <c r="R341" s="900"/>
      <c r="S341" s="738">
        <f t="shared" si="17"/>
        <v>2</v>
      </c>
      <c r="T341" s="738" t="str">
        <f t="shared" si="18"/>
        <v>Ud</v>
      </c>
      <c r="U341" s="738"/>
      <c r="W341" s="288"/>
      <c r="X341" s="288"/>
      <c r="Y341" s="288"/>
      <c r="Z341" s="288"/>
      <c r="AA341" s="288"/>
      <c r="AF341" s="288">
        <v>24</v>
      </c>
    </row>
    <row r="342" spans="1:32" x14ac:dyDescent="0.2">
      <c r="A342" s="913"/>
      <c r="B342" s="666"/>
      <c r="C342" s="751"/>
      <c r="D342" s="751"/>
      <c r="E342" s="316"/>
      <c r="F342" s="752"/>
      <c r="G342" s="751"/>
      <c r="H342" s="752"/>
      <c r="I342" s="752"/>
      <c r="J342" s="666"/>
      <c r="L342" s="314"/>
      <c r="N342" s="314"/>
      <c r="O342" s="313"/>
      <c r="P342" s="315"/>
      <c r="Q342" s="315"/>
      <c r="R342" s="909"/>
      <c r="S342" s="738">
        <f t="shared" si="17"/>
        <v>2</v>
      </c>
      <c r="T342" s="738" t="str">
        <f t="shared" si="18"/>
        <v>Ud</v>
      </c>
      <c r="U342" s="738"/>
      <c r="W342" s="288"/>
      <c r="X342" s="288"/>
      <c r="Y342" s="288"/>
      <c r="Z342" s="288"/>
      <c r="AA342" s="288"/>
      <c r="AF342" s="288">
        <v>16</v>
      </c>
    </row>
    <row r="343" spans="1:32" x14ac:dyDescent="0.2">
      <c r="A343" s="913" t="s">
        <v>263</v>
      </c>
      <c r="B343" s="666">
        <v>40625</v>
      </c>
      <c r="C343" s="347" t="str">
        <f>IF(MID(B343,1,2)="LG",VLOOKUP(B343,'Compos lug'!J:M,3,FALSE),IF(MID(B343,1,1)="6",VLOOKUP(B343,tranp.!$A$4:$K$21,11,FALSE)&amp;" -  XP="&amp;TEXT(T343,"0,000")&amp;" / XR="&amp;TEXT(V343,"0,000"),VLOOKUP(B343,'DER 10-18'!$A$1:$I$1994,2,FALSE)))</f>
        <v>Boca de BDCC 3,00 x 3,00 m projeto DNIT</v>
      </c>
      <c r="D343" s="1059" t="s">
        <v>7</v>
      </c>
      <c r="E343" s="1060"/>
      <c r="F343" s="1061"/>
      <c r="G343" s="1059"/>
      <c r="H343" s="1060"/>
      <c r="I343" s="1061"/>
      <c r="J343" s="349" t="s">
        <v>989</v>
      </c>
      <c r="K343" s="884"/>
      <c r="L343" s="876"/>
      <c r="M343" s="885"/>
      <c r="N343" s="876" t="str">
        <f>CONCATENATE("Total (",IF(MID(B343,1,2)="LG",VLOOKUP(B343,'Compos lug'!J:M,4,FALSE),IF(MID(B343,1,1)="6","t",VLOOKUP(B343,'DER 10-18'!$A$1:$I$1994,3,FALSE))),")")</f>
        <v>Total (Ud)</v>
      </c>
      <c r="O343" s="313"/>
      <c r="P343" s="315"/>
      <c r="Q343" s="315"/>
      <c r="R343" s="909"/>
      <c r="S343" s="738">
        <f t="shared" si="17"/>
        <v>2</v>
      </c>
      <c r="T343" s="738" t="str">
        <f t="shared" si="18"/>
        <v>Ud</v>
      </c>
      <c r="U343" s="738"/>
      <c r="W343" s="288"/>
      <c r="X343" s="288"/>
      <c r="Y343" s="288"/>
      <c r="Z343" s="288"/>
      <c r="AA343" s="288"/>
      <c r="AF343" s="288">
        <v>6</v>
      </c>
    </row>
    <row r="344" spans="1:32" x14ac:dyDescent="0.2">
      <c r="A344" s="913"/>
      <c r="B344" s="666"/>
      <c r="C344" s="744" t="s">
        <v>1553</v>
      </c>
      <c r="D344" s="871"/>
      <c r="E344" s="871"/>
      <c r="F344" s="871"/>
      <c r="G344" s="870"/>
      <c r="H344" s="871"/>
      <c r="I344" s="872"/>
      <c r="J344" s="349"/>
      <c r="K344" s="884"/>
      <c r="L344" s="876"/>
      <c r="M344" s="885"/>
      <c r="N344" s="883"/>
      <c r="O344" s="313"/>
      <c r="P344" s="315"/>
      <c r="Q344" s="315"/>
      <c r="R344" s="909"/>
      <c r="S344" s="738">
        <f t="shared" si="17"/>
        <v>2</v>
      </c>
      <c r="T344" s="738" t="str">
        <f t="shared" si="18"/>
        <v>Ud</v>
      </c>
      <c r="U344" s="738"/>
      <c r="W344" s="288"/>
      <c r="X344" s="288"/>
      <c r="Y344" s="288"/>
      <c r="Z344" s="288"/>
      <c r="AA344" s="288"/>
    </row>
    <row r="345" spans="1:32" x14ac:dyDescent="0.2">
      <c r="A345" s="913"/>
      <c r="B345" s="666"/>
      <c r="C345" s="380" t="s">
        <v>1348</v>
      </c>
      <c r="D345" s="381">
        <v>3</v>
      </c>
      <c r="E345" s="524" t="s">
        <v>8</v>
      </c>
      <c r="F345" s="292">
        <v>0</v>
      </c>
      <c r="G345" s="382"/>
      <c r="H345" s="524"/>
      <c r="I345" s="675"/>
      <c r="J345" s="383" t="s">
        <v>1565</v>
      </c>
      <c r="K345" s="350"/>
      <c r="M345" s="875"/>
      <c r="N345" s="883">
        <v>2</v>
      </c>
      <c r="O345" s="313"/>
      <c r="P345" s="315"/>
      <c r="Q345" s="315"/>
      <c r="R345" s="909"/>
      <c r="S345" s="738">
        <f t="shared" si="17"/>
        <v>2</v>
      </c>
      <c r="T345" s="738" t="str">
        <f t="shared" si="18"/>
        <v>Ud</v>
      </c>
      <c r="U345" s="738"/>
      <c r="W345" s="288"/>
      <c r="X345" s="288"/>
      <c r="Y345" s="288"/>
      <c r="Z345" s="288"/>
      <c r="AA345" s="288"/>
      <c r="AF345" s="288">
        <v>6</v>
      </c>
    </row>
    <row r="346" spans="1:32" x14ac:dyDescent="0.2">
      <c r="A346" s="899"/>
      <c r="B346" s="353"/>
      <c r="C346" s="354" t="s">
        <v>2</v>
      </c>
      <c r="D346" s="355"/>
      <c r="E346" s="352"/>
      <c r="F346" s="356"/>
      <c r="G346" s="355"/>
      <c r="H346" s="356"/>
      <c r="I346" s="356"/>
      <c r="J346" s="353"/>
      <c r="K346" s="357"/>
      <c r="L346" s="358"/>
      <c r="M346" s="359"/>
      <c r="N346" s="360">
        <f>SUM(N345:N345)</f>
        <v>2</v>
      </c>
      <c r="O346" s="361" t="str">
        <f>IF(MID(B343,1,2)="LG",VLOOKUP(B343,'Compos lug'!J:M,4,FALSE),IF(MID(B343,1,1)="6",VLOOKUP(B343,tranp.!$A$6:$K$38,3,FALSE),VLOOKUP(B343,'DER 10-18'!$A$1:$I$1994,3,FALSE)))</f>
        <v>Ud</v>
      </c>
      <c r="P346" s="362"/>
      <c r="Q346" s="362"/>
      <c r="R346" s="900"/>
      <c r="S346" s="738">
        <f t="shared" si="17"/>
        <v>2</v>
      </c>
      <c r="T346" s="738" t="str">
        <f t="shared" si="18"/>
        <v>Ud</v>
      </c>
      <c r="U346" s="738"/>
      <c r="W346" s="288"/>
      <c r="X346" s="288"/>
      <c r="Y346" s="288"/>
      <c r="Z346" s="288"/>
      <c r="AA346" s="288"/>
      <c r="AF346" s="288">
        <v>1</v>
      </c>
    </row>
    <row r="347" spans="1:32" s="651" customFormat="1" x14ac:dyDescent="0.2">
      <c r="A347" s="910"/>
      <c r="B347" s="655"/>
      <c r="C347" s="656"/>
      <c r="D347" s="657"/>
      <c r="E347" s="654"/>
      <c r="F347" s="663"/>
      <c r="G347" s="664"/>
      <c r="H347" s="652"/>
      <c r="I347" s="652"/>
      <c r="J347" s="655"/>
      <c r="K347" s="653"/>
      <c r="L347" s="653"/>
      <c r="M347" s="653"/>
      <c r="N347" s="648"/>
      <c r="O347" s="660"/>
      <c r="P347" s="661"/>
      <c r="Q347" s="661"/>
      <c r="R347" s="911"/>
      <c r="S347" s="738">
        <f t="shared" ref="S347:S410" si="19">VLOOKUP("Total",C348:O2033,12,FALSE)</f>
        <v>2</v>
      </c>
      <c r="T347" s="738" t="str">
        <f t="shared" ref="T347:T410" si="20">VLOOKUP("Total",C348:O2033,13,FALSE)</f>
        <v>Ud</v>
      </c>
      <c r="U347" s="749"/>
      <c r="W347" s="714"/>
      <c r="X347" s="714"/>
      <c r="Y347" s="714"/>
      <c r="Z347" s="714"/>
      <c r="AA347" s="714"/>
    </row>
    <row r="348" spans="1:32" x14ac:dyDescent="0.2">
      <c r="A348" s="913" t="s">
        <v>264</v>
      </c>
      <c r="B348" s="666">
        <v>40613</v>
      </c>
      <c r="C348" s="347" t="str">
        <f>IF(MID(B348,1,2)="LG",VLOOKUP(B348,'Compos lug'!J:M,3,FALSE),IF(MID(B348,1,1)="6",VLOOKUP(B348,tranp.!$A$4:$K$19,11,FALSE)&amp;" -  XP="&amp;TEXT(T348,"0.000")&amp;" / XR="&amp;TEXT(V348,"0.000"),VLOOKUP(B348,'DER 10-18'!$A$1:$I$1981,2,FALSE)))</f>
        <v>Boca de BSCC 1,50 x 1,50 m projeto DNIT</v>
      </c>
      <c r="D348" s="1059" t="s">
        <v>1000</v>
      </c>
      <c r="E348" s="1060"/>
      <c r="F348" s="1061"/>
      <c r="G348" s="1059"/>
      <c r="H348" s="1060"/>
      <c r="I348" s="1061"/>
      <c r="J348" s="349"/>
      <c r="K348" s="876"/>
      <c r="L348" s="876"/>
      <c r="M348" s="876"/>
      <c r="N348" s="876" t="str">
        <f>CONCATENATE("Total (",IF(MID(B348,1,2)="LG",VLOOKUP(B348,'Compos lug'!J:M,4,FALSE),IF(MID(B348,1,1)="6","t",VLOOKUP(B348,'DER 10-18'!$A$1:$I$1981,3,FALSE))),")")</f>
        <v>Total (Ud)</v>
      </c>
      <c r="O348" s="313"/>
      <c r="P348" s="315"/>
      <c r="Q348" s="315"/>
      <c r="R348" s="909"/>
      <c r="S348" s="738">
        <f t="shared" si="19"/>
        <v>2</v>
      </c>
      <c r="T348" s="738" t="str">
        <f t="shared" si="20"/>
        <v>Ud</v>
      </c>
      <c r="U348" s="738"/>
    </row>
    <row r="349" spans="1:32" x14ac:dyDescent="0.2">
      <c r="A349" s="294"/>
      <c r="B349" s="293"/>
      <c r="C349" s="744" t="s">
        <v>1552</v>
      </c>
      <c r="N349" s="876"/>
      <c r="R349" s="912"/>
      <c r="S349" s="738">
        <f t="shared" si="19"/>
        <v>2</v>
      </c>
      <c r="T349" s="738" t="str">
        <f t="shared" si="20"/>
        <v>Ud</v>
      </c>
    </row>
    <row r="350" spans="1:32" x14ac:dyDescent="0.2">
      <c r="A350" s="294"/>
      <c r="B350" s="293"/>
      <c r="C350" s="673" t="s">
        <v>1351</v>
      </c>
      <c r="D350" s="290">
        <v>169</v>
      </c>
      <c r="E350" s="291" t="s">
        <v>8</v>
      </c>
      <c r="F350" s="675">
        <v>0</v>
      </c>
      <c r="G350" s="1087"/>
      <c r="H350" s="1067"/>
      <c r="I350" s="1068"/>
      <c r="K350" s="298"/>
      <c r="L350" s="299"/>
      <c r="N350" s="876">
        <v>2</v>
      </c>
      <c r="O350" s="674"/>
      <c r="R350" s="903"/>
      <c r="S350" s="738">
        <f t="shared" si="19"/>
        <v>2</v>
      </c>
      <c r="T350" s="738" t="str">
        <f t="shared" si="20"/>
        <v>Ud</v>
      </c>
      <c r="U350" s="748"/>
    </row>
    <row r="351" spans="1:32" x14ac:dyDescent="0.2">
      <c r="A351" s="899"/>
      <c r="B351" s="353"/>
      <c r="C351" s="354" t="s">
        <v>2</v>
      </c>
      <c r="D351" s="355"/>
      <c r="E351" s="352"/>
      <c r="F351" s="677"/>
      <c r="G351" s="678"/>
      <c r="H351" s="356"/>
      <c r="I351" s="356"/>
      <c r="J351" s="353"/>
      <c r="K351" s="358"/>
      <c r="L351" s="358"/>
      <c r="M351" s="358"/>
      <c r="N351" s="360">
        <f>N350</f>
        <v>2</v>
      </c>
      <c r="O351" s="361" t="str">
        <f>IF(MID(B348,1,2)="LG",VLOOKUP(B348,'Compos lug'!J:M,4,FALSE),IF(MID(B348,1,1)="6",VLOOKUP(B348,tranp.!$A$6:$K$51,3,FALSE),VLOOKUP(B348,'DER 10-18'!$A$1:$I$1981,3,FALSE)))</f>
        <v>Ud</v>
      </c>
      <c r="P351" s="362"/>
      <c r="Q351" s="362"/>
      <c r="R351" s="900"/>
      <c r="S351" s="738">
        <f t="shared" si="19"/>
        <v>2</v>
      </c>
      <c r="T351" s="738" t="str">
        <f t="shared" si="20"/>
        <v>Ud</v>
      </c>
      <c r="U351" s="738"/>
    </row>
    <row r="352" spans="1:32" s="651" customFormat="1" x14ac:dyDescent="0.2">
      <c r="A352" s="910"/>
      <c r="B352" s="655"/>
      <c r="C352" s="656"/>
      <c r="D352" s="657"/>
      <c r="E352" s="654"/>
      <c r="F352" s="663"/>
      <c r="G352" s="664"/>
      <c r="H352" s="652"/>
      <c r="I352" s="652"/>
      <c r="J352" s="655"/>
      <c r="K352" s="653"/>
      <c r="L352" s="653"/>
      <c r="M352" s="653"/>
      <c r="N352" s="648"/>
      <c r="O352" s="660"/>
      <c r="P352" s="661"/>
      <c r="Q352" s="661"/>
      <c r="R352" s="911"/>
      <c r="S352" s="738">
        <f t="shared" si="19"/>
        <v>2</v>
      </c>
      <c r="T352" s="738" t="str">
        <f t="shared" si="20"/>
        <v>Ud</v>
      </c>
      <c r="U352" s="749"/>
      <c r="W352" s="714"/>
      <c r="X352" s="714"/>
      <c r="Y352" s="714"/>
      <c r="Z352" s="714"/>
      <c r="AA352" s="714"/>
    </row>
    <row r="353" spans="1:27" x14ac:dyDescent="0.2">
      <c r="A353" s="913" t="s">
        <v>265</v>
      </c>
      <c r="B353" s="666">
        <v>40614</v>
      </c>
      <c r="C353" s="347" t="str">
        <f>IF(MID(B353,1,2)="LG",VLOOKUP(B353,'Compos lug'!J:M,3,FALSE),IF(MID(B353,1,1)="6",VLOOKUP(B353,tranp.!$A$4:$K$19,11,FALSE)&amp;" -  XP="&amp;TEXT(T353,"0.000")&amp;" / XR="&amp;TEXT(V353,"0.000"),VLOOKUP(B353,'DER 10-18'!$A$1:$I$1981,2,FALSE)))</f>
        <v>Boca de BSCC 2,00 x 2,00 m projeto DNIT</v>
      </c>
      <c r="D353" s="1059" t="s">
        <v>1000</v>
      </c>
      <c r="E353" s="1060"/>
      <c r="F353" s="1061"/>
      <c r="G353" s="1059"/>
      <c r="H353" s="1060"/>
      <c r="I353" s="1061"/>
      <c r="J353" s="349"/>
      <c r="K353" s="876"/>
      <c r="L353" s="876"/>
      <c r="M353" s="876"/>
      <c r="N353" s="876" t="str">
        <f>CONCATENATE("Total (",IF(MID(B353,1,2)="LG",VLOOKUP(B353,'Compos lug'!J:M,4,FALSE),IF(MID(B353,1,1)="6","t",VLOOKUP(B353,'DER 10-18'!$A$1:$I$1981,3,FALSE))),")")</f>
        <v>Total (Ud)</v>
      </c>
      <c r="O353" s="313"/>
      <c r="P353" s="315"/>
      <c r="Q353" s="315"/>
      <c r="R353" s="909"/>
      <c r="S353" s="738">
        <f t="shared" si="19"/>
        <v>2</v>
      </c>
      <c r="T353" s="738" t="str">
        <f t="shared" si="20"/>
        <v>Ud</v>
      </c>
      <c r="U353" s="738"/>
    </row>
    <row r="354" spans="1:27" x14ac:dyDescent="0.2">
      <c r="A354" s="294"/>
      <c r="B354" s="293"/>
      <c r="C354" s="744" t="s">
        <v>1552</v>
      </c>
      <c r="N354" s="876"/>
      <c r="R354" s="912"/>
      <c r="S354" s="738">
        <f t="shared" si="19"/>
        <v>2</v>
      </c>
      <c r="T354" s="738" t="str">
        <f t="shared" si="20"/>
        <v>Ud</v>
      </c>
    </row>
    <row r="355" spans="1:27" x14ac:dyDescent="0.2">
      <c r="A355" s="294"/>
      <c r="B355" s="293"/>
      <c r="C355" s="673" t="s">
        <v>1354</v>
      </c>
      <c r="D355" s="290">
        <v>375</v>
      </c>
      <c r="E355" s="291" t="s">
        <v>8</v>
      </c>
      <c r="F355" s="676">
        <v>18</v>
      </c>
      <c r="G355" s="1067"/>
      <c r="H355" s="1067"/>
      <c r="I355" s="1068"/>
      <c r="N355" s="876">
        <v>2</v>
      </c>
      <c r="O355" s="674"/>
      <c r="R355" s="903"/>
      <c r="S355" s="738">
        <f t="shared" si="19"/>
        <v>2</v>
      </c>
      <c r="T355" s="738" t="str">
        <f t="shared" si="20"/>
        <v>Ud</v>
      </c>
      <c r="U355" s="748"/>
    </row>
    <row r="356" spans="1:27" x14ac:dyDescent="0.2">
      <c r="A356" s="899"/>
      <c r="B356" s="353"/>
      <c r="C356" s="354" t="s">
        <v>2</v>
      </c>
      <c r="D356" s="355"/>
      <c r="E356" s="352"/>
      <c r="F356" s="677"/>
      <c r="G356" s="678"/>
      <c r="H356" s="356"/>
      <c r="I356" s="356"/>
      <c r="J356" s="353"/>
      <c r="K356" s="358"/>
      <c r="L356" s="358"/>
      <c r="M356" s="358"/>
      <c r="N356" s="360">
        <f>N355</f>
        <v>2</v>
      </c>
      <c r="O356" s="361" t="str">
        <f>IF(MID(B353,1,2)="LG",VLOOKUP(B353,'Compos lug'!J:M,4,FALSE),IF(MID(B353,1,1)="6",VLOOKUP(B353,tranp.!$A$6:$K$51,3,FALSE),VLOOKUP(B353,'DER 10-18'!$A$1:$I$1981,3,FALSE)))</f>
        <v>Ud</v>
      </c>
      <c r="P356" s="362"/>
      <c r="Q356" s="362"/>
      <c r="R356" s="900"/>
      <c r="S356" s="738">
        <f t="shared" si="19"/>
        <v>20</v>
      </c>
      <c r="T356" s="738" t="str">
        <f t="shared" si="20"/>
        <v>m</v>
      </c>
      <c r="U356" s="738"/>
    </row>
    <row r="357" spans="1:27" s="651" customFormat="1" x14ac:dyDescent="0.2">
      <c r="A357" s="910"/>
      <c r="B357" s="655"/>
      <c r="C357" s="656"/>
      <c r="D357" s="657"/>
      <c r="E357" s="654"/>
      <c r="F357" s="663"/>
      <c r="G357" s="664"/>
      <c r="H357" s="652"/>
      <c r="I357" s="652"/>
      <c r="J357" s="655"/>
      <c r="K357" s="653"/>
      <c r="L357" s="653"/>
      <c r="M357" s="653"/>
      <c r="N357" s="648"/>
      <c r="O357" s="660"/>
      <c r="P357" s="661"/>
      <c r="Q357" s="661"/>
      <c r="R357" s="911"/>
      <c r="S357" s="738">
        <f t="shared" si="19"/>
        <v>20</v>
      </c>
      <c r="T357" s="738" t="str">
        <f t="shared" si="20"/>
        <v>m</v>
      </c>
      <c r="U357" s="749"/>
      <c r="W357" s="714"/>
      <c r="X357" s="714"/>
      <c r="Y357" s="714"/>
      <c r="Z357" s="714"/>
      <c r="AA357" s="714"/>
    </row>
    <row r="358" spans="1:27" x14ac:dyDescent="0.2">
      <c r="A358" s="913" t="s">
        <v>266</v>
      </c>
      <c r="B358" s="666" t="s">
        <v>1218</v>
      </c>
      <c r="C358" s="347" t="str">
        <f>IF(MID(B358,1,2)="LG",VLOOKUP(B358,'Compos lug'!J:M,3,FALSE),IF(MID(B358,1,1)="6",VLOOKUP(B358,tranp.!$A$4:$K$19,11,FALSE)&amp;" -  XP="&amp;TEXT(T358,"0.000")&amp;" / XR="&amp;TEXT(V358,"0.000"),VLOOKUP(B358,'DER 10-18'!$A$1:$I$1981,2,FALSE)))</f>
        <v>Envelopamento de BDTC diâmetro 1,00 m</v>
      </c>
      <c r="D358" s="1059" t="s">
        <v>1000</v>
      </c>
      <c r="E358" s="1060"/>
      <c r="F358" s="1061"/>
      <c r="G358" s="1059"/>
      <c r="H358" s="1060"/>
      <c r="I358" s="1061"/>
      <c r="J358" s="349"/>
      <c r="K358" s="876"/>
      <c r="L358" s="876"/>
      <c r="M358" s="876"/>
      <c r="N358" s="876" t="str">
        <f>CONCATENATE("Total (",IF(MID(B358,1,2)="LG",VLOOKUP(B358,'Compos lug'!J:M,4,FALSE),IF(MID(B358,1,1)="6","t",VLOOKUP(B358,'DER 10-18'!$A$1:$I$1981,3,FALSE))),")")</f>
        <v>Total (m)</v>
      </c>
      <c r="O358" s="313"/>
      <c r="P358" s="315"/>
      <c r="Q358" s="315"/>
      <c r="R358" s="909"/>
      <c r="S358" s="738">
        <f t="shared" si="19"/>
        <v>20</v>
      </c>
      <c r="T358" s="738" t="str">
        <f t="shared" si="20"/>
        <v>m</v>
      </c>
      <c r="U358" s="738"/>
    </row>
    <row r="359" spans="1:27" x14ac:dyDescent="0.2">
      <c r="A359" s="294"/>
      <c r="B359" s="293"/>
      <c r="C359" s="744" t="s">
        <v>1552</v>
      </c>
      <c r="N359" s="876"/>
      <c r="R359" s="912"/>
      <c r="S359" s="738">
        <f t="shared" si="19"/>
        <v>20</v>
      </c>
      <c r="T359" s="738" t="str">
        <f t="shared" si="20"/>
        <v>m</v>
      </c>
    </row>
    <row r="360" spans="1:27" x14ac:dyDescent="0.2">
      <c r="A360" s="294"/>
      <c r="B360" s="293"/>
      <c r="C360" s="673" t="s">
        <v>1348</v>
      </c>
      <c r="D360" s="290">
        <v>60</v>
      </c>
      <c r="E360" s="291" t="s">
        <v>8</v>
      </c>
      <c r="F360" s="675">
        <v>0</v>
      </c>
      <c r="G360" s="1087"/>
      <c r="H360" s="1067"/>
      <c r="I360" s="1068"/>
      <c r="K360" s="298"/>
      <c r="L360" s="299"/>
      <c r="N360" s="876">
        <v>20</v>
      </c>
      <c r="O360" s="674"/>
      <c r="R360" s="903"/>
      <c r="S360" s="738">
        <f t="shared" si="19"/>
        <v>20</v>
      </c>
      <c r="T360" s="738" t="str">
        <f t="shared" si="20"/>
        <v>m</v>
      </c>
      <c r="U360" s="748"/>
    </row>
    <row r="361" spans="1:27" x14ac:dyDescent="0.2">
      <c r="A361" s="899"/>
      <c r="B361" s="353"/>
      <c r="C361" s="354" t="s">
        <v>2</v>
      </c>
      <c r="D361" s="355"/>
      <c r="E361" s="352"/>
      <c r="F361" s="677"/>
      <c r="G361" s="678"/>
      <c r="H361" s="356"/>
      <c r="I361" s="356"/>
      <c r="J361" s="353"/>
      <c r="K361" s="358"/>
      <c r="L361" s="358"/>
      <c r="M361" s="358"/>
      <c r="N361" s="360">
        <f>N360</f>
        <v>20</v>
      </c>
      <c r="O361" s="361" t="str">
        <f>IF(MID(B358,1,2)="LG",VLOOKUP(B358,'Compos lug'!J:M,4,FALSE),IF(MID(B358,1,1)="6",VLOOKUP(B358,tranp.!$A$6:$K$51,3,FALSE),VLOOKUP(B358,'DER 10-18'!$A$1:$I$1981,3,FALSE)))</f>
        <v>m</v>
      </c>
      <c r="P361" s="362"/>
      <c r="Q361" s="362"/>
      <c r="R361" s="900"/>
      <c r="S361" s="738">
        <f t="shared" si="19"/>
        <v>22</v>
      </c>
      <c r="T361" s="738" t="str">
        <f t="shared" si="20"/>
        <v>m</v>
      </c>
      <c r="U361" s="738"/>
    </row>
    <row r="362" spans="1:27" s="651" customFormat="1" x14ac:dyDescent="0.2">
      <c r="A362" s="910"/>
      <c r="B362" s="655"/>
      <c r="C362" s="656"/>
      <c r="D362" s="657"/>
      <c r="E362" s="654"/>
      <c r="F362" s="663"/>
      <c r="G362" s="664"/>
      <c r="H362" s="652"/>
      <c r="I362" s="652"/>
      <c r="J362" s="655"/>
      <c r="K362" s="653"/>
      <c r="L362" s="653"/>
      <c r="M362" s="653"/>
      <c r="N362" s="648"/>
      <c r="O362" s="660"/>
      <c r="P362" s="661"/>
      <c r="Q362" s="661"/>
      <c r="R362" s="911"/>
      <c r="S362" s="738">
        <f t="shared" si="19"/>
        <v>22</v>
      </c>
      <c r="T362" s="738" t="str">
        <f t="shared" si="20"/>
        <v>m</v>
      </c>
      <c r="U362" s="749"/>
      <c r="W362" s="714"/>
      <c r="X362" s="714"/>
      <c r="Y362" s="714"/>
      <c r="Z362" s="714"/>
      <c r="AA362" s="714"/>
    </row>
    <row r="363" spans="1:27" x14ac:dyDescent="0.2">
      <c r="A363" s="913" t="s">
        <v>1088</v>
      </c>
      <c r="B363" s="666" t="s">
        <v>1509</v>
      </c>
      <c r="C363" s="347" t="str">
        <f>IF(MID(B363,1,2)="LG",VLOOKUP(B363,'Compos lug'!J:M,3,FALSE),IF(MID(B363,1,1)="6",VLOOKUP(B363,tranp.!$A$4:$K$19,11,FALSE)&amp;" -  XP="&amp;TEXT(T363,"0.000")&amp;" / XR="&amp;TEXT(V363,"0.000"),VLOOKUP(B363,'DER 10-18'!$A$1:$I$1981,2,FALSE)))</f>
        <v>Envelopamento de BDTC diâmetro 1,20 m</v>
      </c>
      <c r="D363" s="1059" t="s">
        <v>1000</v>
      </c>
      <c r="E363" s="1060"/>
      <c r="F363" s="1061"/>
      <c r="G363" s="1059"/>
      <c r="H363" s="1060"/>
      <c r="I363" s="1061"/>
      <c r="J363" s="349"/>
      <c r="K363" s="876"/>
      <c r="L363" s="876"/>
      <c r="M363" s="876"/>
      <c r="N363" s="876" t="str">
        <f>CONCATENATE("Total (",IF(MID(B363,1,2)="LG",VLOOKUP(B363,'Compos lug'!J:M,4,FALSE),IF(MID(B363,1,1)="6","t",VLOOKUP(B363,'DER 10-18'!$A$1:$I$1981,3,FALSE))),")")</f>
        <v>Total (m)</v>
      </c>
      <c r="O363" s="313"/>
      <c r="P363" s="315"/>
      <c r="Q363" s="315"/>
      <c r="R363" s="909"/>
      <c r="S363" s="738">
        <f t="shared" si="19"/>
        <v>22</v>
      </c>
      <c r="T363" s="738" t="str">
        <f t="shared" si="20"/>
        <v>m</v>
      </c>
      <c r="U363" s="738"/>
    </row>
    <row r="364" spans="1:27" x14ac:dyDescent="0.2">
      <c r="A364" s="294"/>
      <c r="B364" s="293"/>
      <c r="C364" s="744" t="s">
        <v>1552</v>
      </c>
      <c r="N364" s="876"/>
      <c r="R364" s="912"/>
      <c r="S364" s="738">
        <f t="shared" si="19"/>
        <v>22</v>
      </c>
      <c r="T364" s="738" t="str">
        <f t="shared" si="20"/>
        <v>m</v>
      </c>
    </row>
    <row r="365" spans="1:27" x14ac:dyDescent="0.2">
      <c r="A365" s="294"/>
      <c r="B365" s="293"/>
      <c r="C365" s="673" t="s">
        <v>1353</v>
      </c>
      <c r="D365" s="290">
        <v>273</v>
      </c>
      <c r="E365" s="291" t="s">
        <v>8</v>
      </c>
      <c r="F365" s="675">
        <v>10</v>
      </c>
      <c r="G365" s="1067"/>
      <c r="H365" s="1067"/>
      <c r="I365" s="1068"/>
      <c r="N365" s="876">
        <v>22</v>
      </c>
      <c r="O365" s="674"/>
      <c r="R365" s="903"/>
      <c r="S365" s="738">
        <f t="shared" si="19"/>
        <v>22</v>
      </c>
      <c r="T365" s="738" t="str">
        <f t="shared" si="20"/>
        <v>m</v>
      </c>
      <c r="U365" s="748"/>
    </row>
    <row r="366" spans="1:27" x14ac:dyDescent="0.2">
      <c r="A366" s="899"/>
      <c r="B366" s="353"/>
      <c r="C366" s="354" t="s">
        <v>2</v>
      </c>
      <c r="D366" s="355"/>
      <c r="E366" s="352"/>
      <c r="F366" s="677"/>
      <c r="G366" s="678"/>
      <c r="H366" s="356"/>
      <c r="I366" s="356"/>
      <c r="J366" s="353"/>
      <c r="K366" s="358"/>
      <c r="L366" s="358"/>
      <c r="M366" s="358"/>
      <c r="N366" s="360">
        <f>N365</f>
        <v>22</v>
      </c>
      <c r="O366" s="361" t="str">
        <f>IF(MID(B363,1,2)="LG",VLOOKUP(B363,'Compos lug'!J:M,4,FALSE),IF(MID(B363,1,1)="6",VLOOKUP(B363,tranp.!$A$6:$K$51,3,FALSE),VLOOKUP(B363,'DER 10-18'!$A$1:$I$1981,3,FALSE)))</f>
        <v>m</v>
      </c>
      <c r="P366" s="362"/>
      <c r="Q366" s="362"/>
      <c r="R366" s="900"/>
      <c r="S366" s="738">
        <f t="shared" si="19"/>
        <v>74</v>
      </c>
      <c r="T366" s="738" t="str">
        <f t="shared" si="20"/>
        <v>Ud</v>
      </c>
      <c r="U366" s="738"/>
    </row>
    <row r="367" spans="1:27" x14ac:dyDescent="0.2">
      <c r="A367" s="294"/>
      <c r="B367" s="293"/>
      <c r="C367" s="343"/>
      <c r="F367" s="675"/>
      <c r="G367" s="296"/>
      <c r="H367" s="292"/>
      <c r="K367" s="298"/>
      <c r="M367" s="298"/>
      <c r="N367" s="314"/>
      <c r="O367" s="344"/>
      <c r="P367" s="315"/>
      <c r="Q367" s="315"/>
      <c r="R367" s="903"/>
      <c r="S367" s="738">
        <f t="shared" si="19"/>
        <v>74</v>
      </c>
      <c r="T367" s="738" t="str">
        <f t="shared" si="20"/>
        <v>Ud</v>
      </c>
      <c r="U367" s="738"/>
    </row>
    <row r="368" spans="1:27" x14ac:dyDescent="0.2">
      <c r="A368" s="913" t="s">
        <v>1356</v>
      </c>
      <c r="B368" s="666">
        <v>40673</v>
      </c>
      <c r="C368" s="347" t="str">
        <f>IF(MID(B368,1,2)="LG",VLOOKUP(B368,'Compos lug'!J:M,3,FALSE),IF(MID(B368,1,1)="6",VLOOKUP(B368,tranp.!$A$4:$K$19,11,FALSE)&amp;" -  XP="&amp;TEXT(T368,"0.000")&amp;" / XR="&amp;TEXT(V368,"0.000"),VLOOKUP(B368,'DER 10-18'!$A$1:$I$1981,2,FALSE)))</f>
        <v>Entrada para descida d'água EDA-01</v>
      </c>
      <c r="D368" s="1059" t="s">
        <v>1000</v>
      </c>
      <c r="E368" s="1060"/>
      <c r="F368" s="1061"/>
      <c r="G368" s="1059"/>
      <c r="H368" s="1060"/>
      <c r="I368" s="1061"/>
      <c r="J368" s="349" t="s">
        <v>989</v>
      </c>
      <c r="K368" s="876"/>
      <c r="L368" s="876"/>
      <c r="M368" s="876"/>
      <c r="N368" s="876" t="str">
        <f>CONCATENATE("Total (",IF(MID(B368,1,2)="LG",VLOOKUP(B368,'Compos lug'!J:M,4,FALSE),IF(MID(B368,1,1)="6","t",VLOOKUP(B368,'DER 10-18'!$A$1:$I$1981,3,FALSE))),")")</f>
        <v>Total (Ud)</v>
      </c>
      <c r="O368" s="313"/>
      <c r="P368" s="315"/>
      <c r="Q368" s="315"/>
      <c r="R368" s="909"/>
      <c r="S368" s="738">
        <f t="shared" si="19"/>
        <v>74</v>
      </c>
      <c r="T368" s="738" t="str">
        <f t="shared" si="20"/>
        <v>Ud</v>
      </c>
      <c r="U368" s="738"/>
    </row>
    <row r="369" spans="1:21" x14ac:dyDescent="0.2">
      <c r="A369" s="294"/>
      <c r="B369" s="293"/>
      <c r="C369" s="744" t="s">
        <v>1552</v>
      </c>
      <c r="N369" s="876"/>
      <c r="R369" s="912"/>
      <c r="S369" s="738">
        <f t="shared" si="19"/>
        <v>74</v>
      </c>
      <c r="T369" s="738" t="str">
        <f t="shared" si="20"/>
        <v>Ud</v>
      </c>
    </row>
    <row r="370" spans="1:21" x14ac:dyDescent="0.2">
      <c r="A370" s="913"/>
      <c r="B370" s="666"/>
      <c r="C370" s="347"/>
      <c r="D370" s="870">
        <v>12</v>
      </c>
      <c r="E370" s="871" t="s">
        <v>8</v>
      </c>
      <c r="F370" s="667">
        <v>0</v>
      </c>
      <c r="G370" s="871"/>
      <c r="H370" s="871"/>
      <c r="I370" s="872"/>
      <c r="J370" s="293" t="s">
        <v>1101</v>
      </c>
      <c r="K370" s="884"/>
      <c r="L370" s="876"/>
      <c r="M370" s="885"/>
      <c r="N370" s="876">
        <v>1</v>
      </c>
      <c r="O370" s="313"/>
      <c r="P370" s="315"/>
      <c r="Q370" s="315"/>
      <c r="R370" s="909"/>
      <c r="S370" s="738">
        <f t="shared" si="19"/>
        <v>74</v>
      </c>
      <c r="T370" s="738" t="str">
        <f t="shared" si="20"/>
        <v>Ud</v>
      </c>
      <c r="U370" s="738"/>
    </row>
    <row r="371" spans="1:21" x14ac:dyDescent="0.2">
      <c r="A371" s="913"/>
      <c r="B371" s="666"/>
      <c r="C371" s="347"/>
      <c r="D371" s="870">
        <v>12</v>
      </c>
      <c r="E371" s="871" t="s">
        <v>8</v>
      </c>
      <c r="F371" s="667">
        <v>0</v>
      </c>
      <c r="G371" s="871"/>
      <c r="H371" s="871"/>
      <c r="I371" s="872"/>
      <c r="J371" s="293" t="s">
        <v>1102</v>
      </c>
      <c r="K371" s="884"/>
      <c r="L371" s="876"/>
      <c r="M371" s="885"/>
      <c r="N371" s="876">
        <v>1</v>
      </c>
      <c r="O371" s="313"/>
      <c r="P371" s="315"/>
      <c r="Q371" s="315"/>
      <c r="R371" s="909"/>
      <c r="S371" s="738">
        <f t="shared" si="19"/>
        <v>74</v>
      </c>
      <c r="T371" s="738" t="str">
        <f t="shared" si="20"/>
        <v>Ud</v>
      </c>
      <c r="U371" s="738"/>
    </row>
    <row r="372" spans="1:21" x14ac:dyDescent="0.2">
      <c r="A372" s="913"/>
      <c r="B372" s="666"/>
      <c r="C372" s="347"/>
      <c r="D372" s="870">
        <v>25</v>
      </c>
      <c r="E372" s="871" t="s">
        <v>8</v>
      </c>
      <c r="F372" s="667">
        <v>2</v>
      </c>
      <c r="G372" s="871"/>
      <c r="H372" s="871"/>
      <c r="I372" s="872"/>
      <c r="J372" s="293" t="s">
        <v>1101</v>
      </c>
      <c r="K372" s="884"/>
      <c r="L372" s="876"/>
      <c r="M372" s="885"/>
      <c r="N372" s="876">
        <v>1</v>
      </c>
      <c r="O372" s="313"/>
      <c r="P372" s="315"/>
      <c r="Q372" s="315"/>
      <c r="R372" s="909"/>
      <c r="S372" s="738">
        <f t="shared" si="19"/>
        <v>74</v>
      </c>
      <c r="T372" s="738" t="str">
        <f t="shared" si="20"/>
        <v>Ud</v>
      </c>
      <c r="U372" s="738"/>
    </row>
    <row r="373" spans="1:21" x14ac:dyDescent="0.2">
      <c r="A373" s="913"/>
      <c r="B373" s="666"/>
      <c r="C373" s="347"/>
      <c r="D373" s="870">
        <v>25</v>
      </c>
      <c r="E373" s="871" t="s">
        <v>8</v>
      </c>
      <c r="F373" s="667">
        <v>2</v>
      </c>
      <c r="G373" s="871"/>
      <c r="H373" s="871"/>
      <c r="I373" s="872"/>
      <c r="J373" s="293" t="s">
        <v>1102</v>
      </c>
      <c r="K373" s="884"/>
      <c r="L373" s="876"/>
      <c r="M373" s="885"/>
      <c r="N373" s="876">
        <v>1</v>
      </c>
      <c r="O373" s="313"/>
      <c r="P373" s="315"/>
      <c r="Q373" s="315"/>
      <c r="R373" s="909"/>
      <c r="S373" s="738">
        <f t="shared" si="19"/>
        <v>74</v>
      </c>
      <c r="T373" s="738" t="str">
        <f t="shared" si="20"/>
        <v>Ud</v>
      </c>
      <c r="U373" s="738"/>
    </row>
    <row r="374" spans="1:21" x14ac:dyDescent="0.2">
      <c r="A374" s="913"/>
      <c r="B374" s="666"/>
      <c r="C374" s="347"/>
      <c r="D374" s="870">
        <v>37</v>
      </c>
      <c r="E374" s="871" t="s">
        <v>8</v>
      </c>
      <c r="F374" s="667">
        <v>10</v>
      </c>
      <c r="G374" s="871"/>
      <c r="H374" s="871"/>
      <c r="I374" s="872"/>
      <c r="J374" s="293" t="s">
        <v>1102</v>
      </c>
      <c r="K374" s="884"/>
      <c r="L374" s="876"/>
      <c r="M374" s="885"/>
      <c r="N374" s="876">
        <v>1</v>
      </c>
      <c r="O374" s="313"/>
      <c r="P374" s="315"/>
      <c r="Q374" s="315"/>
      <c r="R374" s="909"/>
      <c r="S374" s="738">
        <f t="shared" si="19"/>
        <v>74</v>
      </c>
      <c r="T374" s="738" t="str">
        <f t="shared" si="20"/>
        <v>Ud</v>
      </c>
      <c r="U374" s="738"/>
    </row>
    <row r="375" spans="1:21" x14ac:dyDescent="0.2">
      <c r="A375" s="913"/>
      <c r="B375" s="666"/>
      <c r="C375" s="347"/>
      <c r="D375" s="870">
        <v>56</v>
      </c>
      <c r="E375" s="871" t="s">
        <v>8</v>
      </c>
      <c r="F375" s="667">
        <v>0</v>
      </c>
      <c r="G375" s="871"/>
      <c r="H375" s="871"/>
      <c r="I375" s="872"/>
      <c r="J375" s="293" t="s">
        <v>1102</v>
      </c>
      <c r="K375" s="884"/>
      <c r="L375" s="876"/>
      <c r="M375" s="885"/>
      <c r="N375" s="876">
        <v>1</v>
      </c>
      <c r="O375" s="313"/>
      <c r="P375" s="315"/>
      <c r="Q375" s="315"/>
      <c r="R375" s="909"/>
      <c r="S375" s="738">
        <f t="shared" si="19"/>
        <v>74</v>
      </c>
      <c r="T375" s="738" t="str">
        <f t="shared" si="20"/>
        <v>Ud</v>
      </c>
      <c r="U375" s="738"/>
    </row>
    <row r="376" spans="1:21" x14ac:dyDescent="0.2">
      <c r="A376" s="913"/>
      <c r="B376" s="666"/>
      <c r="C376" s="347"/>
      <c r="D376" s="870">
        <v>60</v>
      </c>
      <c r="E376" s="871" t="s">
        <v>8</v>
      </c>
      <c r="F376" s="667">
        <v>0</v>
      </c>
      <c r="G376" s="871"/>
      <c r="H376" s="871"/>
      <c r="I376" s="872"/>
      <c r="J376" s="293" t="s">
        <v>1101</v>
      </c>
      <c r="K376" s="884"/>
      <c r="L376" s="876"/>
      <c r="M376" s="885"/>
      <c r="N376" s="876">
        <v>1</v>
      </c>
      <c r="O376" s="313"/>
      <c r="P376" s="315"/>
      <c r="Q376" s="315"/>
      <c r="R376" s="909"/>
      <c r="S376" s="738">
        <f t="shared" si="19"/>
        <v>74</v>
      </c>
      <c r="T376" s="738" t="str">
        <f t="shared" si="20"/>
        <v>Ud</v>
      </c>
      <c r="U376" s="738"/>
    </row>
    <row r="377" spans="1:21" x14ac:dyDescent="0.2">
      <c r="A377" s="913"/>
      <c r="B377" s="666"/>
      <c r="C377" s="347"/>
      <c r="D377" s="870">
        <v>63</v>
      </c>
      <c r="E377" s="871" t="s">
        <v>8</v>
      </c>
      <c r="F377" s="667">
        <v>0</v>
      </c>
      <c r="G377" s="871"/>
      <c r="H377" s="871"/>
      <c r="I377" s="872"/>
      <c r="J377" s="293" t="s">
        <v>1102</v>
      </c>
      <c r="K377" s="884"/>
      <c r="L377" s="876"/>
      <c r="M377" s="885"/>
      <c r="N377" s="876">
        <v>1</v>
      </c>
      <c r="O377" s="313"/>
      <c r="P377" s="315"/>
      <c r="Q377" s="315"/>
      <c r="R377" s="909"/>
      <c r="S377" s="738">
        <f t="shared" si="19"/>
        <v>74</v>
      </c>
      <c r="T377" s="738" t="str">
        <f t="shared" si="20"/>
        <v>Ud</v>
      </c>
      <c r="U377" s="738"/>
    </row>
    <row r="378" spans="1:21" x14ac:dyDescent="0.2">
      <c r="A378" s="913"/>
      <c r="B378" s="666"/>
      <c r="C378" s="347"/>
      <c r="D378" s="870">
        <v>74</v>
      </c>
      <c r="E378" s="871" t="s">
        <v>8</v>
      </c>
      <c r="F378" s="667">
        <v>0</v>
      </c>
      <c r="G378" s="871"/>
      <c r="H378" s="871"/>
      <c r="I378" s="872"/>
      <c r="J378" s="293" t="s">
        <v>1102</v>
      </c>
      <c r="K378" s="884"/>
      <c r="L378" s="876"/>
      <c r="M378" s="885"/>
      <c r="N378" s="876">
        <v>1</v>
      </c>
      <c r="O378" s="313"/>
      <c r="P378" s="315"/>
      <c r="Q378" s="315"/>
      <c r="R378" s="909"/>
      <c r="S378" s="738">
        <f t="shared" si="19"/>
        <v>74</v>
      </c>
      <c r="T378" s="738" t="str">
        <f t="shared" si="20"/>
        <v>Ud</v>
      </c>
      <c r="U378" s="738"/>
    </row>
    <row r="379" spans="1:21" x14ac:dyDescent="0.2">
      <c r="A379" s="913"/>
      <c r="B379" s="666"/>
      <c r="C379" s="347"/>
      <c r="D379" s="870">
        <v>80</v>
      </c>
      <c r="E379" s="871" t="s">
        <v>8</v>
      </c>
      <c r="F379" s="667">
        <v>0</v>
      </c>
      <c r="G379" s="871"/>
      <c r="H379" s="871"/>
      <c r="I379" s="872"/>
      <c r="J379" s="293" t="s">
        <v>1102</v>
      </c>
      <c r="K379" s="884"/>
      <c r="L379" s="876"/>
      <c r="M379" s="885"/>
      <c r="N379" s="876">
        <v>1</v>
      </c>
      <c r="O379" s="313"/>
      <c r="P379" s="315"/>
      <c r="Q379" s="315"/>
      <c r="R379" s="909"/>
      <c r="S379" s="738">
        <f t="shared" si="19"/>
        <v>74</v>
      </c>
      <c r="T379" s="738" t="str">
        <f t="shared" si="20"/>
        <v>Ud</v>
      </c>
      <c r="U379" s="738"/>
    </row>
    <row r="380" spans="1:21" x14ac:dyDescent="0.2">
      <c r="A380" s="913"/>
      <c r="B380" s="666"/>
      <c r="C380" s="347"/>
      <c r="D380" s="870">
        <v>97</v>
      </c>
      <c r="E380" s="871" t="s">
        <v>8</v>
      </c>
      <c r="F380" s="667">
        <v>0</v>
      </c>
      <c r="G380" s="871"/>
      <c r="H380" s="871"/>
      <c r="I380" s="872"/>
      <c r="J380" s="293" t="s">
        <v>1101</v>
      </c>
      <c r="K380" s="884"/>
      <c r="L380" s="876"/>
      <c r="M380" s="885"/>
      <c r="N380" s="876">
        <v>1</v>
      </c>
      <c r="O380" s="313"/>
      <c r="P380" s="315"/>
      <c r="Q380" s="315"/>
      <c r="R380" s="909"/>
      <c r="S380" s="738">
        <f t="shared" si="19"/>
        <v>74</v>
      </c>
      <c r="T380" s="738" t="str">
        <f t="shared" si="20"/>
        <v>Ud</v>
      </c>
      <c r="U380" s="738"/>
    </row>
    <row r="381" spans="1:21" x14ac:dyDescent="0.2">
      <c r="A381" s="913"/>
      <c r="B381" s="666"/>
      <c r="C381" s="347"/>
      <c r="D381" s="870">
        <v>101</v>
      </c>
      <c r="E381" s="871" t="s">
        <v>8</v>
      </c>
      <c r="F381" s="667">
        <v>10</v>
      </c>
      <c r="G381" s="871"/>
      <c r="H381" s="871"/>
      <c r="I381" s="872"/>
      <c r="J381" s="293" t="s">
        <v>1101</v>
      </c>
      <c r="K381" s="884"/>
      <c r="L381" s="876"/>
      <c r="M381" s="885"/>
      <c r="N381" s="876">
        <v>1</v>
      </c>
      <c r="O381" s="313"/>
      <c r="P381" s="315"/>
      <c r="Q381" s="315"/>
      <c r="R381" s="909"/>
      <c r="S381" s="738">
        <f t="shared" si="19"/>
        <v>74</v>
      </c>
      <c r="T381" s="738" t="str">
        <f t="shared" si="20"/>
        <v>Ud</v>
      </c>
      <c r="U381" s="738"/>
    </row>
    <row r="382" spans="1:21" x14ac:dyDescent="0.2">
      <c r="A382" s="913"/>
      <c r="B382" s="666"/>
      <c r="C382" s="347"/>
      <c r="D382" s="870">
        <v>101</v>
      </c>
      <c r="E382" s="871" t="s">
        <v>8</v>
      </c>
      <c r="F382" s="667">
        <v>10</v>
      </c>
      <c r="G382" s="871"/>
      <c r="H382" s="871"/>
      <c r="I382" s="872"/>
      <c r="J382" s="293" t="s">
        <v>1102</v>
      </c>
      <c r="K382" s="884"/>
      <c r="L382" s="876"/>
      <c r="M382" s="885"/>
      <c r="N382" s="876">
        <v>1</v>
      </c>
      <c r="O382" s="313"/>
      <c r="P382" s="315"/>
      <c r="Q382" s="315"/>
      <c r="R382" s="909"/>
      <c r="S382" s="738">
        <f t="shared" si="19"/>
        <v>74</v>
      </c>
      <c r="T382" s="738" t="str">
        <f t="shared" si="20"/>
        <v>Ud</v>
      </c>
      <c r="U382" s="738"/>
    </row>
    <row r="383" spans="1:21" x14ac:dyDescent="0.2">
      <c r="A383" s="913"/>
      <c r="B383" s="666"/>
      <c r="C383" s="347"/>
      <c r="D383" s="870">
        <v>118</v>
      </c>
      <c r="E383" s="871" t="s">
        <v>8</v>
      </c>
      <c r="F383" s="667">
        <v>0</v>
      </c>
      <c r="G383" s="871"/>
      <c r="H383" s="871"/>
      <c r="I383" s="872"/>
      <c r="J383" s="293" t="s">
        <v>1102</v>
      </c>
      <c r="K383" s="884"/>
      <c r="L383" s="876"/>
      <c r="M383" s="885"/>
      <c r="N383" s="876">
        <v>1</v>
      </c>
      <c r="O383" s="313"/>
      <c r="P383" s="315"/>
      <c r="Q383" s="315"/>
      <c r="R383" s="909"/>
      <c r="S383" s="738">
        <f t="shared" si="19"/>
        <v>74</v>
      </c>
      <c r="T383" s="738" t="str">
        <f t="shared" si="20"/>
        <v>Ud</v>
      </c>
      <c r="U383" s="738"/>
    </row>
    <row r="384" spans="1:21" x14ac:dyDescent="0.2">
      <c r="A384" s="913"/>
      <c r="B384" s="666"/>
      <c r="C384" s="347"/>
      <c r="D384" s="870">
        <v>153</v>
      </c>
      <c r="E384" s="871" t="s">
        <v>8</v>
      </c>
      <c r="F384" s="667">
        <v>10</v>
      </c>
      <c r="G384" s="871"/>
      <c r="H384" s="871"/>
      <c r="I384" s="872"/>
      <c r="J384" s="293" t="s">
        <v>1102</v>
      </c>
      <c r="K384" s="884"/>
      <c r="L384" s="876"/>
      <c r="M384" s="885"/>
      <c r="N384" s="876">
        <v>1</v>
      </c>
      <c r="O384" s="313"/>
      <c r="P384" s="315"/>
      <c r="Q384" s="315"/>
      <c r="R384" s="909"/>
      <c r="S384" s="738">
        <f t="shared" si="19"/>
        <v>74</v>
      </c>
      <c r="T384" s="738" t="str">
        <f t="shared" si="20"/>
        <v>Ud</v>
      </c>
      <c r="U384" s="738"/>
    </row>
    <row r="385" spans="1:21" x14ac:dyDescent="0.2">
      <c r="A385" s="913"/>
      <c r="B385" s="666"/>
      <c r="C385" s="347"/>
      <c r="D385" s="870">
        <v>159</v>
      </c>
      <c r="E385" s="871" t="s">
        <v>8</v>
      </c>
      <c r="F385" s="667">
        <v>10</v>
      </c>
      <c r="G385" s="871"/>
      <c r="H385" s="871"/>
      <c r="I385" s="872"/>
      <c r="J385" s="293" t="s">
        <v>1101</v>
      </c>
      <c r="K385" s="884"/>
      <c r="L385" s="876"/>
      <c r="M385" s="885"/>
      <c r="N385" s="876">
        <v>1</v>
      </c>
      <c r="O385" s="313"/>
      <c r="P385" s="315"/>
      <c r="Q385" s="315"/>
      <c r="R385" s="909"/>
      <c r="S385" s="738">
        <f t="shared" si="19"/>
        <v>74</v>
      </c>
      <c r="T385" s="738" t="str">
        <f t="shared" si="20"/>
        <v>Ud</v>
      </c>
      <c r="U385" s="738"/>
    </row>
    <row r="386" spans="1:21" x14ac:dyDescent="0.2">
      <c r="A386" s="913"/>
      <c r="B386" s="666"/>
      <c r="C386" s="347"/>
      <c r="D386" s="870">
        <v>159</v>
      </c>
      <c r="E386" s="871" t="s">
        <v>8</v>
      </c>
      <c r="F386" s="667">
        <v>10</v>
      </c>
      <c r="G386" s="871"/>
      <c r="H386" s="871"/>
      <c r="I386" s="872"/>
      <c r="J386" s="293" t="s">
        <v>1102</v>
      </c>
      <c r="K386" s="884"/>
      <c r="L386" s="876"/>
      <c r="M386" s="885"/>
      <c r="N386" s="876">
        <v>1</v>
      </c>
      <c r="O386" s="313"/>
      <c r="P386" s="315"/>
      <c r="Q386" s="315"/>
      <c r="R386" s="909"/>
      <c r="S386" s="738">
        <f t="shared" si="19"/>
        <v>74</v>
      </c>
      <c r="T386" s="738" t="str">
        <f t="shared" si="20"/>
        <v>Ud</v>
      </c>
      <c r="U386" s="738"/>
    </row>
    <row r="387" spans="1:21" x14ac:dyDescent="0.2">
      <c r="A387" s="913"/>
      <c r="B387" s="666"/>
      <c r="C387" s="347"/>
      <c r="D387" s="870">
        <v>167</v>
      </c>
      <c r="E387" s="871" t="s">
        <v>8</v>
      </c>
      <c r="F387" s="667">
        <v>0</v>
      </c>
      <c r="G387" s="871"/>
      <c r="H387" s="871"/>
      <c r="I387" s="872"/>
      <c r="J387" s="293" t="s">
        <v>1101</v>
      </c>
      <c r="K387" s="884"/>
      <c r="L387" s="876"/>
      <c r="M387" s="885"/>
      <c r="N387" s="876">
        <v>1</v>
      </c>
      <c r="O387" s="313"/>
      <c r="P387" s="315"/>
      <c r="Q387" s="315"/>
      <c r="R387" s="909"/>
      <c r="S387" s="738">
        <f t="shared" si="19"/>
        <v>74</v>
      </c>
      <c r="T387" s="738" t="str">
        <f t="shared" si="20"/>
        <v>Ud</v>
      </c>
      <c r="U387" s="738"/>
    </row>
    <row r="388" spans="1:21" x14ac:dyDescent="0.2">
      <c r="A388" s="913"/>
      <c r="B388" s="666"/>
      <c r="C388" s="347"/>
      <c r="D388" s="870">
        <v>167</v>
      </c>
      <c r="E388" s="871" t="s">
        <v>8</v>
      </c>
      <c r="F388" s="667">
        <v>0</v>
      </c>
      <c r="G388" s="871"/>
      <c r="H388" s="871"/>
      <c r="I388" s="872"/>
      <c r="J388" s="293" t="s">
        <v>1102</v>
      </c>
      <c r="K388" s="884"/>
      <c r="L388" s="876"/>
      <c r="M388" s="885"/>
      <c r="N388" s="876">
        <v>1</v>
      </c>
      <c r="O388" s="313"/>
      <c r="P388" s="315"/>
      <c r="Q388" s="315"/>
      <c r="R388" s="909"/>
      <c r="S388" s="738">
        <f t="shared" si="19"/>
        <v>74</v>
      </c>
      <c r="T388" s="738" t="str">
        <f t="shared" si="20"/>
        <v>Ud</v>
      </c>
      <c r="U388" s="738"/>
    </row>
    <row r="389" spans="1:21" x14ac:dyDescent="0.2">
      <c r="A389" s="913"/>
      <c r="B389" s="666"/>
      <c r="C389" s="347"/>
      <c r="D389" s="870">
        <v>173</v>
      </c>
      <c r="E389" s="871" t="s">
        <v>8</v>
      </c>
      <c r="F389" s="667">
        <v>0</v>
      </c>
      <c r="G389" s="871"/>
      <c r="H389" s="871"/>
      <c r="I389" s="872"/>
      <c r="J389" s="293" t="s">
        <v>1101</v>
      </c>
      <c r="K389" s="884"/>
      <c r="L389" s="876"/>
      <c r="M389" s="885"/>
      <c r="N389" s="876">
        <v>1</v>
      </c>
      <c r="O389" s="313"/>
      <c r="P389" s="315"/>
      <c r="Q389" s="315"/>
      <c r="R389" s="909"/>
      <c r="S389" s="738">
        <f t="shared" si="19"/>
        <v>74</v>
      </c>
      <c r="T389" s="738" t="str">
        <f t="shared" si="20"/>
        <v>Ud</v>
      </c>
      <c r="U389" s="738"/>
    </row>
    <row r="390" spans="1:21" x14ac:dyDescent="0.2">
      <c r="A390" s="913"/>
      <c r="B390" s="666"/>
      <c r="C390" s="347"/>
      <c r="D390" s="870">
        <v>173</v>
      </c>
      <c r="E390" s="871" t="s">
        <v>8</v>
      </c>
      <c r="F390" s="667">
        <v>0</v>
      </c>
      <c r="G390" s="871"/>
      <c r="H390" s="871"/>
      <c r="I390" s="872"/>
      <c r="J390" s="293" t="s">
        <v>1102</v>
      </c>
      <c r="K390" s="884"/>
      <c r="L390" s="876"/>
      <c r="M390" s="885"/>
      <c r="N390" s="876">
        <v>1</v>
      </c>
      <c r="O390" s="313"/>
      <c r="P390" s="315"/>
      <c r="Q390" s="315"/>
      <c r="R390" s="909"/>
      <c r="S390" s="738">
        <f t="shared" si="19"/>
        <v>74</v>
      </c>
      <c r="T390" s="738" t="str">
        <f t="shared" si="20"/>
        <v>Ud</v>
      </c>
      <c r="U390" s="738"/>
    </row>
    <row r="391" spans="1:21" x14ac:dyDescent="0.2">
      <c r="A391" s="913"/>
      <c r="B391" s="666"/>
      <c r="C391" s="347"/>
      <c r="D391" s="870">
        <v>180</v>
      </c>
      <c r="E391" s="871" t="s">
        <v>8</v>
      </c>
      <c r="F391" s="667">
        <v>0</v>
      </c>
      <c r="G391" s="871"/>
      <c r="H391" s="871"/>
      <c r="I391" s="872"/>
      <c r="J391" s="293" t="s">
        <v>1101</v>
      </c>
      <c r="K391" s="884"/>
      <c r="L391" s="876"/>
      <c r="M391" s="885"/>
      <c r="N391" s="876">
        <v>1</v>
      </c>
      <c r="O391" s="313"/>
      <c r="P391" s="315"/>
      <c r="Q391" s="315"/>
      <c r="R391" s="909"/>
      <c r="S391" s="738">
        <f t="shared" si="19"/>
        <v>74</v>
      </c>
      <c r="T391" s="738" t="str">
        <f t="shared" si="20"/>
        <v>Ud</v>
      </c>
      <c r="U391" s="738"/>
    </row>
    <row r="392" spans="1:21" x14ac:dyDescent="0.2">
      <c r="A392" s="913"/>
      <c r="B392" s="666"/>
      <c r="C392" s="347"/>
      <c r="D392" s="870">
        <v>180</v>
      </c>
      <c r="E392" s="871" t="s">
        <v>8</v>
      </c>
      <c r="F392" s="667">
        <v>0</v>
      </c>
      <c r="G392" s="871"/>
      <c r="H392" s="871"/>
      <c r="I392" s="872"/>
      <c r="J392" s="293" t="s">
        <v>1102</v>
      </c>
      <c r="K392" s="884"/>
      <c r="L392" s="876"/>
      <c r="M392" s="885"/>
      <c r="N392" s="876">
        <v>1</v>
      </c>
      <c r="O392" s="313"/>
      <c r="P392" s="315"/>
      <c r="Q392" s="315"/>
      <c r="R392" s="909"/>
      <c r="S392" s="738">
        <f t="shared" si="19"/>
        <v>74</v>
      </c>
      <c r="T392" s="738" t="str">
        <f t="shared" si="20"/>
        <v>Ud</v>
      </c>
      <c r="U392" s="738"/>
    </row>
    <row r="393" spans="1:21" x14ac:dyDescent="0.2">
      <c r="A393" s="913"/>
      <c r="B393" s="666"/>
      <c r="C393" s="347"/>
      <c r="D393" s="870">
        <v>195</v>
      </c>
      <c r="E393" s="871" t="s">
        <v>8</v>
      </c>
      <c r="F393" s="667">
        <v>0</v>
      </c>
      <c r="G393" s="871"/>
      <c r="H393" s="871"/>
      <c r="I393" s="872"/>
      <c r="J393" s="293" t="s">
        <v>1101</v>
      </c>
      <c r="K393" s="884"/>
      <c r="L393" s="876"/>
      <c r="M393" s="885"/>
      <c r="N393" s="876">
        <v>1</v>
      </c>
      <c r="O393" s="313"/>
      <c r="P393" s="315"/>
      <c r="Q393" s="315"/>
      <c r="R393" s="909"/>
      <c r="S393" s="738">
        <f t="shared" si="19"/>
        <v>74</v>
      </c>
      <c r="T393" s="738" t="str">
        <f t="shared" si="20"/>
        <v>Ud</v>
      </c>
      <c r="U393" s="738"/>
    </row>
    <row r="394" spans="1:21" x14ac:dyDescent="0.2">
      <c r="A394" s="913"/>
      <c r="B394" s="666"/>
      <c r="C394" s="347"/>
      <c r="D394" s="870">
        <v>195</v>
      </c>
      <c r="E394" s="871" t="s">
        <v>8</v>
      </c>
      <c r="F394" s="667">
        <v>0</v>
      </c>
      <c r="G394" s="871"/>
      <c r="H394" s="871"/>
      <c r="I394" s="872"/>
      <c r="J394" s="293" t="s">
        <v>1102</v>
      </c>
      <c r="K394" s="884"/>
      <c r="L394" s="876"/>
      <c r="M394" s="885"/>
      <c r="N394" s="876">
        <v>1</v>
      </c>
      <c r="O394" s="313"/>
      <c r="P394" s="315"/>
      <c r="Q394" s="315"/>
      <c r="R394" s="909"/>
      <c r="S394" s="738">
        <f t="shared" si="19"/>
        <v>74</v>
      </c>
      <c r="T394" s="738" t="str">
        <f t="shared" si="20"/>
        <v>Ud</v>
      </c>
      <c r="U394" s="738"/>
    </row>
    <row r="395" spans="1:21" x14ac:dyDescent="0.2">
      <c r="A395" s="913"/>
      <c r="B395" s="666"/>
      <c r="C395" s="347"/>
      <c r="D395" s="870">
        <v>200</v>
      </c>
      <c r="E395" s="871" t="s">
        <v>8</v>
      </c>
      <c r="F395" s="667">
        <v>0</v>
      </c>
      <c r="G395" s="871"/>
      <c r="H395" s="871"/>
      <c r="I395" s="872"/>
      <c r="J395" s="293" t="s">
        <v>1101</v>
      </c>
      <c r="K395" s="884"/>
      <c r="L395" s="876"/>
      <c r="M395" s="885"/>
      <c r="N395" s="876">
        <v>1</v>
      </c>
      <c r="O395" s="313"/>
      <c r="P395" s="315"/>
      <c r="Q395" s="315"/>
      <c r="R395" s="909"/>
      <c r="S395" s="738">
        <f t="shared" si="19"/>
        <v>74</v>
      </c>
      <c r="T395" s="738" t="str">
        <f t="shared" si="20"/>
        <v>Ud</v>
      </c>
      <c r="U395" s="738"/>
    </row>
    <row r="396" spans="1:21" x14ac:dyDescent="0.2">
      <c r="A396" s="913"/>
      <c r="B396" s="666"/>
      <c r="C396" s="347"/>
      <c r="D396" s="870">
        <v>200</v>
      </c>
      <c r="E396" s="871" t="s">
        <v>8</v>
      </c>
      <c r="F396" s="667">
        <v>0</v>
      </c>
      <c r="G396" s="871"/>
      <c r="H396" s="871"/>
      <c r="I396" s="872"/>
      <c r="J396" s="293" t="s">
        <v>1102</v>
      </c>
      <c r="K396" s="884"/>
      <c r="L396" s="876"/>
      <c r="M396" s="885"/>
      <c r="N396" s="876">
        <v>1</v>
      </c>
      <c r="O396" s="313"/>
      <c r="P396" s="315"/>
      <c r="Q396" s="315"/>
      <c r="R396" s="909"/>
      <c r="S396" s="738">
        <f t="shared" si="19"/>
        <v>74</v>
      </c>
      <c r="T396" s="738" t="str">
        <f t="shared" si="20"/>
        <v>Ud</v>
      </c>
      <c r="U396" s="738"/>
    </row>
    <row r="397" spans="1:21" x14ac:dyDescent="0.2">
      <c r="A397" s="913"/>
      <c r="B397" s="666"/>
      <c r="C397" s="347"/>
      <c r="D397" s="870">
        <v>205</v>
      </c>
      <c r="E397" s="871" t="s">
        <v>8</v>
      </c>
      <c r="F397" s="667">
        <v>15</v>
      </c>
      <c r="G397" s="871"/>
      <c r="H397" s="871"/>
      <c r="I397" s="872"/>
      <c r="J397" s="293" t="s">
        <v>1101</v>
      </c>
      <c r="K397" s="884"/>
      <c r="L397" s="876"/>
      <c r="M397" s="885"/>
      <c r="N397" s="876">
        <v>1</v>
      </c>
      <c r="O397" s="313"/>
      <c r="P397" s="315"/>
      <c r="Q397" s="315"/>
      <c r="R397" s="909"/>
      <c r="S397" s="738">
        <f t="shared" si="19"/>
        <v>74</v>
      </c>
      <c r="T397" s="738" t="str">
        <f t="shared" si="20"/>
        <v>Ud</v>
      </c>
      <c r="U397" s="738"/>
    </row>
    <row r="398" spans="1:21" x14ac:dyDescent="0.2">
      <c r="A398" s="913"/>
      <c r="B398" s="666"/>
      <c r="C398" s="347"/>
      <c r="D398" s="870">
        <v>228</v>
      </c>
      <c r="E398" s="871" t="s">
        <v>8</v>
      </c>
      <c r="F398" s="667">
        <v>0</v>
      </c>
      <c r="G398" s="871"/>
      <c r="H398" s="871"/>
      <c r="I398" s="872"/>
      <c r="J398" s="293" t="s">
        <v>1101</v>
      </c>
      <c r="K398" s="884"/>
      <c r="L398" s="876"/>
      <c r="M398" s="885"/>
      <c r="N398" s="876">
        <v>1</v>
      </c>
      <c r="O398" s="313"/>
      <c r="P398" s="315"/>
      <c r="Q398" s="315"/>
      <c r="R398" s="909"/>
      <c r="S398" s="738">
        <f t="shared" si="19"/>
        <v>74</v>
      </c>
      <c r="T398" s="738" t="str">
        <f t="shared" si="20"/>
        <v>Ud</v>
      </c>
      <c r="U398" s="738"/>
    </row>
    <row r="399" spans="1:21" x14ac:dyDescent="0.2">
      <c r="A399" s="913"/>
      <c r="B399" s="666"/>
      <c r="C399" s="347"/>
      <c r="D399" s="870">
        <v>228</v>
      </c>
      <c r="E399" s="871" t="s">
        <v>8</v>
      </c>
      <c r="F399" s="667">
        <v>0</v>
      </c>
      <c r="G399" s="871"/>
      <c r="H399" s="871"/>
      <c r="I399" s="872"/>
      <c r="J399" s="293" t="s">
        <v>1102</v>
      </c>
      <c r="K399" s="884"/>
      <c r="L399" s="876"/>
      <c r="M399" s="885"/>
      <c r="N399" s="876">
        <v>1</v>
      </c>
      <c r="O399" s="313"/>
      <c r="P399" s="315"/>
      <c r="Q399" s="315"/>
      <c r="R399" s="909"/>
      <c r="S399" s="738">
        <f t="shared" si="19"/>
        <v>74</v>
      </c>
      <c r="T399" s="738" t="str">
        <f t="shared" si="20"/>
        <v>Ud</v>
      </c>
      <c r="U399" s="738"/>
    </row>
    <row r="400" spans="1:21" x14ac:dyDescent="0.2">
      <c r="A400" s="913"/>
      <c r="B400" s="666"/>
      <c r="C400" s="347"/>
      <c r="D400" s="870">
        <v>278</v>
      </c>
      <c r="E400" s="871" t="s">
        <v>8</v>
      </c>
      <c r="F400" s="667">
        <v>0</v>
      </c>
      <c r="G400" s="871"/>
      <c r="H400" s="871"/>
      <c r="I400" s="872"/>
      <c r="J400" s="293" t="s">
        <v>1101</v>
      </c>
      <c r="K400" s="884"/>
      <c r="L400" s="876"/>
      <c r="M400" s="885"/>
      <c r="N400" s="876">
        <v>1</v>
      </c>
      <c r="O400" s="313"/>
      <c r="P400" s="315"/>
      <c r="Q400" s="315"/>
      <c r="R400" s="909"/>
      <c r="S400" s="738">
        <f t="shared" si="19"/>
        <v>74</v>
      </c>
      <c r="T400" s="738" t="str">
        <f t="shared" si="20"/>
        <v>Ud</v>
      </c>
      <c r="U400" s="738"/>
    </row>
    <row r="401" spans="1:21" x14ac:dyDescent="0.2">
      <c r="A401" s="913"/>
      <c r="B401" s="666"/>
      <c r="C401" s="347"/>
      <c r="D401" s="870">
        <v>278</v>
      </c>
      <c r="E401" s="871" t="s">
        <v>8</v>
      </c>
      <c r="F401" s="667">
        <v>0</v>
      </c>
      <c r="G401" s="871"/>
      <c r="H401" s="871"/>
      <c r="I401" s="872"/>
      <c r="J401" s="293" t="s">
        <v>1102</v>
      </c>
      <c r="K401" s="884"/>
      <c r="L401" s="876"/>
      <c r="M401" s="885"/>
      <c r="N401" s="876">
        <v>1</v>
      </c>
      <c r="O401" s="313"/>
      <c r="P401" s="315"/>
      <c r="Q401" s="315"/>
      <c r="R401" s="909"/>
      <c r="S401" s="738">
        <f t="shared" si="19"/>
        <v>74</v>
      </c>
      <c r="T401" s="738" t="str">
        <f t="shared" si="20"/>
        <v>Ud</v>
      </c>
      <c r="U401" s="738"/>
    </row>
    <row r="402" spans="1:21" x14ac:dyDescent="0.2">
      <c r="A402" s="913"/>
      <c r="B402" s="666"/>
      <c r="C402" s="347"/>
      <c r="D402" s="870">
        <v>341</v>
      </c>
      <c r="E402" s="871" t="s">
        <v>8</v>
      </c>
      <c r="F402" s="667">
        <v>8</v>
      </c>
      <c r="G402" s="871"/>
      <c r="H402" s="871"/>
      <c r="I402" s="872"/>
      <c r="J402" s="293" t="s">
        <v>1101</v>
      </c>
      <c r="K402" s="884"/>
      <c r="L402" s="876"/>
      <c r="M402" s="885"/>
      <c r="N402" s="876">
        <v>1</v>
      </c>
      <c r="O402" s="313"/>
      <c r="P402" s="315"/>
      <c r="Q402" s="315"/>
      <c r="R402" s="909"/>
      <c r="S402" s="738">
        <f t="shared" si="19"/>
        <v>74</v>
      </c>
      <c r="T402" s="738" t="str">
        <f t="shared" si="20"/>
        <v>Ud</v>
      </c>
      <c r="U402" s="738"/>
    </row>
    <row r="403" spans="1:21" x14ac:dyDescent="0.2">
      <c r="A403" s="913"/>
      <c r="B403" s="666"/>
      <c r="C403" s="347"/>
      <c r="D403" s="870">
        <v>341</v>
      </c>
      <c r="E403" s="871" t="s">
        <v>8</v>
      </c>
      <c r="F403" s="667">
        <v>8</v>
      </c>
      <c r="G403" s="871"/>
      <c r="H403" s="871"/>
      <c r="I403" s="872"/>
      <c r="J403" s="293" t="s">
        <v>1102</v>
      </c>
      <c r="K403" s="884"/>
      <c r="L403" s="876"/>
      <c r="M403" s="885"/>
      <c r="N403" s="876">
        <v>1</v>
      </c>
      <c r="O403" s="313"/>
      <c r="P403" s="315"/>
      <c r="Q403" s="315"/>
      <c r="R403" s="909"/>
      <c r="S403" s="738">
        <f t="shared" si="19"/>
        <v>74</v>
      </c>
      <c r="T403" s="738" t="str">
        <f t="shared" si="20"/>
        <v>Ud</v>
      </c>
      <c r="U403" s="738"/>
    </row>
    <row r="404" spans="1:21" x14ac:dyDescent="0.2">
      <c r="A404" s="913"/>
      <c r="B404" s="666"/>
      <c r="C404" s="347"/>
      <c r="D404" s="870">
        <v>342</v>
      </c>
      <c r="E404" s="871" t="s">
        <v>8</v>
      </c>
      <c r="F404" s="667">
        <v>3</v>
      </c>
      <c r="G404" s="871"/>
      <c r="H404" s="871"/>
      <c r="I404" s="872"/>
      <c r="J404" s="293" t="s">
        <v>1101</v>
      </c>
      <c r="K404" s="884"/>
      <c r="L404" s="876"/>
      <c r="M404" s="885"/>
      <c r="N404" s="876">
        <v>1</v>
      </c>
      <c r="O404" s="313"/>
      <c r="P404" s="315"/>
      <c r="Q404" s="315"/>
      <c r="R404" s="909"/>
      <c r="S404" s="738">
        <f t="shared" si="19"/>
        <v>74</v>
      </c>
      <c r="T404" s="738" t="str">
        <f t="shared" si="20"/>
        <v>Ud</v>
      </c>
      <c r="U404" s="738"/>
    </row>
    <row r="405" spans="1:21" x14ac:dyDescent="0.2">
      <c r="A405" s="913"/>
      <c r="B405" s="666"/>
      <c r="C405" s="347"/>
      <c r="D405" s="870">
        <v>342</v>
      </c>
      <c r="E405" s="871" t="s">
        <v>8</v>
      </c>
      <c r="F405" s="667">
        <v>3</v>
      </c>
      <c r="G405" s="871"/>
      <c r="H405" s="871"/>
      <c r="I405" s="872"/>
      <c r="J405" s="293" t="s">
        <v>1102</v>
      </c>
      <c r="K405" s="884"/>
      <c r="L405" s="876"/>
      <c r="M405" s="885"/>
      <c r="N405" s="876">
        <v>1</v>
      </c>
      <c r="O405" s="313"/>
      <c r="P405" s="315"/>
      <c r="Q405" s="315"/>
      <c r="R405" s="909"/>
      <c r="S405" s="738">
        <f t="shared" si="19"/>
        <v>74</v>
      </c>
      <c r="T405" s="738" t="str">
        <f t="shared" si="20"/>
        <v>Ud</v>
      </c>
      <c r="U405" s="738"/>
    </row>
    <row r="406" spans="1:21" x14ac:dyDescent="0.2">
      <c r="A406" s="913"/>
      <c r="B406" s="666"/>
      <c r="C406" s="347"/>
      <c r="D406" s="870">
        <v>345</v>
      </c>
      <c r="E406" s="871" t="s">
        <v>8</v>
      </c>
      <c r="F406" s="667">
        <v>0</v>
      </c>
      <c r="G406" s="871"/>
      <c r="H406" s="871"/>
      <c r="I406" s="872"/>
      <c r="J406" s="293" t="s">
        <v>1102</v>
      </c>
      <c r="K406" s="884"/>
      <c r="L406" s="876"/>
      <c r="M406" s="885"/>
      <c r="N406" s="876">
        <v>1</v>
      </c>
      <c r="O406" s="313"/>
      <c r="P406" s="315"/>
      <c r="Q406" s="315"/>
      <c r="R406" s="909"/>
      <c r="S406" s="738">
        <f t="shared" si="19"/>
        <v>74</v>
      </c>
      <c r="T406" s="738" t="str">
        <f t="shared" si="20"/>
        <v>Ud</v>
      </c>
      <c r="U406" s="738"/>
    </row>
    <row r="407" spans="1:21" x14ac:dyDescent="0.2">
      <c r="A407" s="913"/>
      <c r="B407" s="666"/>
      <c r="C407" s="347"/>
      <c r="D407" s="870">
        <v>359</v>
      </c>
      <c r="E407" s="871" t="s">
        <v>8</v>
      </c>
      <c r="F407" s="667">
        <v>10</v>
      </c>
      <c r="G407" s="871"/>
      <c r="H407" s="871"/>
      <c r="I407" s="872"/>
      <c r="J407" s="293" t="s">
        <v>1101</v>
      </c>
      <c r="K407" s="884"/>
      <c r="L407" s="876"/>
      <c r="M407" s="885"/>
      <c r="N407" s="876">
        <v>1</v>
      </c>
      <c r="O407" s="313"/>
      <c r="P407" s="315"/>
      <c r="Q407" s="315"/>
      <c r="R407" s="909"/>
      <c r="S407" s="738">
        <f t="shared" si="19"/>
        <v>74</v>
      </c>
      <c r="T407" s="738" t="str">
        <f t="shared" si="20"/>
        <v>Ud</v>
      </c>
      <c r="U407" s="738"/>
    </row>
    <row r="408" spans="1:21" x14ac:dyDescent="0.2">
      <c r="A408" s="913"/>
      <c r="B408" s="666"/>
      <c r="C408" s="347"/>
      <c r="D408" s="870">
        <v>363</v>
      </c>
      <c r="E408" s="871" t="s">
        <v>8</v>
      </c>
      <c r="F408" s="667">
        <v>0</v>
      </c>
      <c r="G408" s="871"/>
      <c r="H408" s="871"/>
      <c r="I408" s="872"/>
      <c r="J408" s="293" t="s">
        <v>1102</v>
      </c>
      <c r="K408" s="884"/>
      <c r="L408" s="876"/>
      <c r="M408" s="885"/>
      <c r="N408" s="876">
        <v>1</v>
      </c>
      <c r="O408" s="313"/>
      <c r="P408" s="315"/>
      <c r="Q408" s="315"/>
      <c r="R408" s="909"/>
      <c r="S408" s="738">
        <f t="shared" si="19"/>
        <v>74</v>
      </c>
      <c r="T408" s="738" t="str">
        <f t="shared" si="20"/>
        <v>Ud</v>
      </c>
      <c r="U408" s="738"/>
    </row>
    <row r="409" spans="1:21" x14ac:dyDescent="0.2">
      <c r="A409" s="913"/>
      <c r="B409" s="666"/>
      <c r="C409" s="347"/>
      <c r="D409" s="870">
        <v>368</v>
      </c>
      <c r="E409" s="871" t="s">
        <v>8</v>
      </c>
      <c r="F409" s="667">
        <v>0</v>
      </c>
      <c r="G409" s="871"/>
      <c r="H409" s="871"/>
      <c r="I409" s="872"/>
      <c r="J409" s="293" t="s">
        <v>1101</v>
      </c>
      <c r="K409" s="884"/>
      <c r="L409" s="876"/>
      <c r="M409" s="885"/>
      <c r="N409" s="876">
        <v>1</v>
      </c>
      <c r="O409" s="313"/>
      <c r="P409" s="315"/>
      <c r="Q409" s="315"/>
      <c r="R409" s="909"/>
      <c r="S409" s="738">
        <f t="shared" si="19"/>
        <v>74</v>
      </c>
      <c r="T409" s="738" t="str">
        <f t="shared" si="20"/>
        <v>Ud</v>
      </c>
      <c r="U409" s="738"/>
    </row>
    <row r="410" spans="1:21" x14ac:dyDescent="0.2">
      <c r="A410" s="913"/>
      <c r="B410" s="666"/>
      <c r="C410" s="347"/>
      <c r="D410" s="870">
        <v>377</v>
      </c>
      <c r="E410" s="871" t="s">
        <v>8</v>
      </c>
      <c r="F410" s="667">
        <v>10</v>
      </c>
      <c r="G410" s="871"/>
      <c r="H410" s="871"/>
      <c r="I410" s="872"/>
      <c r="J410" s="293" t="s">
        <v>1102</v>
      </c>
      <c r="K410" s="884"/>
      <c r="L410" s="876"/>
      <c r="M410" s="885"/>
      <c r="N410" s="876">
        <v>1</v>
      </c>
      <c r="O410" s="313"/>
      <c r="P410" s="315"/>
      <c r="Q410" s="315"/>
      <c r="R410" s="909"/>
      <c r="S410" s="738">
        <f t="shared" si="19"/>
        <v>74</v>
      </c>
      <c r="T410" s="738" t="str">
        <f t="shared" si="20"/>
        <v>Ud</v>
      </c>
      <c r="U410" s="738"/>
    </row>
    <row r="411" spans="1:21" x14ac:dyDescent="0.2">
      <c r="A411" s="913"/>
      <c r="B411" s="666"/>
      <c r="C411" s="347"/>
      <c r="D411" s="870">
        <v>384</v>
      </c>
      <c r="E411" s="871" t="s">
        <v>8</v>
      </c>
      <c r="F411" s="667">
        <v>0</v>
      </c>
      <c r="G411" s="871"/>
      <c r="H411" s="871"/>
      <c r="I411" s="872"/>
      <c r="J411" s="293" t="s">
        <v>1101</v>
      </c>
      <c r="K411" s="884"/>
      <c r="L411" s="876"/>
      <c r="M411" s="885"/>
      <c r="N411" s="876">
        <v>1</v>
      </c>
      <c r="O411" s="313"/>
      <c r="P411" s="315"/>
      <c r="Q411" s="315"/>
      <c r="R411" s="909"/>
      <c r="S411" s="738">
        <f t="shared" ref="S411:S474" si="21">VLOOKUP("Total",C412:O2097,12,FALSE)</f>
        <v>74</v>
      </c>
      <c r="T411" s="738" t="str">
        <f t="shared" ref="T411:T474" si="22">VLOOKUP("Total",C412:O2097,13,FALSE)</f>
        <v>Ud</v>
      </c>
      <c r="U411" s="738"/>
    </row>
    <row r="412" spans="1:21" x14ac:dyDescent="0.2">
      <c r="A412" s="913"/>
      <c r="B412" s="666"/>
      <c r="C412" s="347"/>
      <c r="D412" s="870">
        <v>384</v>
      </c>
      <c r="E412" s="871" t="s">
        <v>8</v>
      </c>
      <c r="F412" s="667">
        <v>0</v>
      </c>
      <c r="G412" s="871"/>
      <c r="H412" s="871"/>
      <c r="I412" s="872"/>
      <c r="J412" s="293" t="s">
        <v>1102</v>
      </c>
      <c r="K412" s="884"/>
      <c r="L412" s="876"/>
      <c r="M412" s="885"/>
      <c r="N412" s="876">
        <v>1</v>
      </c>
      <c r="O412" s="313"/>
      <c r="P412" s="315"/>
      <c r="Q412" s="315"/>
      <c r="R412" s="909"/>
      <c r="S412" s="738">
        <f t="shared" si="21"/>
        <v>74</v>
      </c>
      <c r="T412" s="738" t="str">
        <f t="shared" si="22"/>
        <v>Ud</v>
      </c>
      <c r="U412" s="738"/>
    </row>
    <row r="413" spans="1:21" x14ac:dyDescent="0.2">
      <c r="A413" s="913"/>
      <c r="B413" s="666"/>
      <c r="C413" s="347"/>
      <c r="D413" s="870">
        <v>389</v>
      </c>
      <c r="E413" s="871" t="s">
        <v>8</v>
      </c>
      <c r="F413" s="667">
        <v>10</v>
      </c>
      <c r="G413" s="871"/>
      <c r="H413" s="871"/>
      <c r="I413" s="872"/>
      <c r="J413" s="293" t="s">
        <v>1101</v>
      </c>
      <c r="K413" s="884"/>
      <c r="L413" s="876"/>
      <c r="M413" s="885"/>
      <c r="N413" s="876">
        <v>1</v>
      </c>
      <c r="O413" s="313"/>
      <c r="P413" s="315"/>
      <c r="Q413" s="315"/>
      <c r="R413" s="909"/>
      <c r="S413" s="738">
        <f t="shared" si="21"/>
        <v>74</v>
      </c>
      <c r="T413" s="738" t="str">
        <f t="shared" si="22"/>
        <v>Ud</v>
      </c>
      <c r="U413" s="738"/>
    </row>
    <row r="414" spans="1:21" x14ac:dyDescent="0.2">
      <c r="A414" s="913"/>
      <c r="B414" s="666"/>
      <c r="C414" s="347"/>
      <c r="D414" s="870">
        <v>389</v>
      </c>
      <c r="E414" s="871" t="s">
        <v>8</v>
      </c>
      <c r="F414" s="667">
        <v>10</v>
      </c>
      <c r="G414" s="871"/>
      <c r="H414" s="871"/>
      <c r="I414" s="872"/>
      <c r="J414" s="293" t="s">
        <v>1102</v>
      </c>
      <c r="K414" s="884"/>
      <c r="L414" s="876"/>
      <c r="M414" s="885"/>
      <c r="N414" s="876">
        <v>1</v>
      </c>
      <c r="O414" s="313"/>
      <c r="P414" s="315"/>
      <c r="Q414" s="315"/>
      <c r="R414" s="909"/>
      <c r="S414" s="738">
        <f t="shared" si="21"/>
        <v>74</v>
      </c>
      <c r="T414" s="738" t="str">
        <f t="shared" si="22"/>
        <v>Ud</v>
      </c>
      <c r="U414" s="738"/>
    </row>
    <row r="415" spans="1:21" x14ac:dyDescent="0.2">
      <c r="A415" s="913"/>
      <c r="B415" s="666"/>
      <c r="C415" s="347"/>
      <c r="D415" s="870">
        <v>429</v>
      </c>
      <c r="E415" s="871" t="s">
        <v>8</v>
      </c>
      <c r="F415" s="667">
        <v>0</v>
      </c>
      <c r="G415" s="871"/>
      <c r="H415" s="871"/>
      <c r="I415" s="872"/>
      <c r="J415" s="293" t="s">
        <v>1101</v>
      </c>
      <c r="K415" s="884"/>
      <c r="L415" s="876"/>
      <c r="M415" s="885"/>
      <c r="N415" s="876">
        <v>1</v>
      </c>
      <c r="O415" s="313"/>
      <c r="P415" s="315"/>
      <c r="Q415" s="315"/>
      <c r="R415" s="909"/>
      <c r="S415" s="738">
        <f t="shared" si="21"/>
        <v>74</v>
      </c>
      <c r="T415" s="738" t="str">
        <f t="shared" si="22"/>
        <v>Ud</v>
      </c>
      <c r="U415" s="738"/>
    </row>
    <row r="416" spans="1:21" x14ac:dyDescent="0.2">
      <c r="A416" s="913"/>
      <c r="B416" s="666"/>
      <c r="C416" s="347"/>
      <c r="D416" s="870">
        <v>460</v>
      </c>
      <c r="E416" s="871" t="s">
        <v>8</v>
      </c>
      <c r="F416" s="667">
        <v>0</v>
      </c>
      <c r="G416" s="871"/>
      <c r="H416" s="871"/>
      <c r="I416" s="872"/>
      <c r="J416" s="293" t="s">
        <v>1101</v>
      </c>
      <c r="K416" s="884"/>
      <c r="L416" s="876"/>
      <c r="M416" s="885"/>
      <c r="N416" s="876">
        <v>1</v>
      </c>
      <c r="O416" s="313"/>
      <c r="P416" s="315"/>
      <c r="Q416" s="315"/>
      <c r="R416" s="909"/>
      <c r="S416" s="738">
        <f t="shared" si="21"/>
        <v>74</v>
      </c>
      <c r="T416" s="738" t="str">
        <f t="shared" si="22"/>
        <v>Ud</v>
      </c>
      <c r="U416" s="738"/>
    </row>
    <row r="417" spans="1:27" x14ac:dyDescent="0.2">
      <c r="A417" s="913"/>
      <c r="B417" s="666"/>
      <c r="C417" s="347"/>
      <c r="D417" s="870">
        <v>460</v>
      </c>
      <c r="E417" s="871" t="s">
        <v>8</v>
      </c>
      <c r="F417" s="667">
        <v>0</v>
      </c>
      <c r="G417" s="871"/>
      <c r="H417" s="871"/>
      <c r="I417" s="872"/>
      <c r="J417" s="293" t="s">
        <v>1102</v>
      </c>
      <c r="K417" s="884"/>
      <c r="L417" s="876"/>
      <c r="M417" s="885"/>
      <c r="N417" s="876">
        <v>1</v>
      </c>
      <c r="O417" s="313"/>
      <c r="P417" s="315"/>
      <c r="Q417" s="315"/>
      <c r="R417" s="909"/>
      <c r="S417" s="738">
        <f t="shared" si="21"/>
        <v>74</v>
      </c>
      <c r="T417" s="738" t="str">
        <f t="shared" si="22"/>
        <v>Ud</v>
      </c>
      <c r="U417" s="738"/>
    </row>
    <row r="418" spans="1:27" x14ac:dyDescent="0.2">
      <c r="A418" s="913"/>
      <c r="B418" s="666"/>
      <c r="C418" s="347"/>
      <c r="D418" s="870">
        <v>521</v>
      </c>
      <c r="E418" s="871" t="s">
        <v>8</v>
      </c>
      <c r="F418" s="667">
        <v>15</v>
      </c>
      <c r="G418" s="871"/>
      <c r="H418" s="871"/>
      <c r="I418" s="872"/>
      <c r="J418" s="293" t="s">
        <v>1101</v>
      </c>
      <c r="K418" s="884"/>
      <c r="L418" s="876"/>
      <c r="M418" s="885"/>
      <c r="N418" s="876">
        <v>1</v>
      </c>
      <c r="O418" s="313"/>
      <c r="P418" s="315"/>
      <c r="Q418" s="315"/>
      <c r="R418" s="909"/>
      <c r="S418" s="738">
        <f t="shared" si="21"/>
        <v>74</v>
      </c>
      <c r="T418" s="738" t="str">
        <f t="shared" si="22"/>
        <v>Ud</v>
      </c>
      <c r="U418" s="738"/>
    </row>
    <row r="419" spans="1:27" x14ac:dyDescent="0.2">
      <c r="A419" s="913"/>
      <c r="B419" s="666"/>
      <c r="C419" s="347"/>
      <c r="D419" s="870">
        <v>521</v>
      </c>
      <c r="E419" s="871" t="s">
        <v>8</v>
      </c>
      <c r="F419" s="667">
        <v>15</v>
      </c>
      <c r="G419" s="871"/>
      <c r="H419" s="871"/>
      <c r="I419" s="872"/>
      <c r="J419" s="293" t="s">
        <v>1102</v>
      </c>
      <c r="K419" s="884"/>
      <c r="L419" s="876"/>
      <c r="M419" s="885"/>
      <c r="N419" s="876">
        <v>1</v>
      </c>
      <c r="O419" s="313"/>
      <c r="P419" s="315"/>
      <c r="Q419" s="315"/>
      <c r="R419" s="909"/>
      <c r="S419" s="738">
        <f t="shared" si="21"/>
        <v>74</v>
      </c>
      <c r="T419" s="738" t="str">
        <f t="shared" si="22"/>
        <v>Ud</v>
      </c>
      <c r="U419" s="738"/>
    </row>
    <row r="420" spans="1:27" x14ac:dyDescent="0.2">
      <c r="A420" s="913"/>
      <c r="B420" s="666"/>
      <c r="C420" s="347"/>
      <c r="D420" s="870">
        <v>536</v>
      </c>
      <c r="E420" s="871" t="s">
        <v>8</v>
      </c>
      <c r="F420" s="667">
        <v>6</v>
      </c>
      <c r="G420" s="871"/>
      <c r="H420" s="871"/>
      <c r="I420" s="872"/>
      <c r="J420" s="293" t="s">
        <v>1102</v>
      </c>
      <c r="K420" s="884"/>
      <c r="L420" s="876"/>
      <c r="M420" s="885"/>
      <c r="N420" s="876">
        <v>1</v>
      </c>
      <c r="O420" s="313"/>
      <c r="P420" s="301" t="s">
        <v>1378</v>
      </c>
      <c r="Q420" s="315"/>
      <c r="R420" s="909"/>
      <c r="S420" s="738">
        <f t="shared" si="21"/>
        <v>74</v>
      </c>
      <c r="T420" s="738" t="str">
        <f t="shared" si="22"/>
        <v>Ud</v>
      </c>
      <c r="U420" s="738"/>
    </row>
    <row r="421" spans="1:27" x14ac:dyDescent="0.2">
      <c r="A421" s="913"/>
      <c r="B421" s="666"/>
      <c r="C421" s="347"/>
      <c r="D421" s="870">
        <v>536</v>
      </c>
      <c r="E421" s="871" t="s">
        <v>8</v>
      </c>
      <c r="F421" s="667">
        <v>6</v>
      </c>
      <c r="G421" s="871"/>
      <c r="H421" s="871"/>
      <c r="I421" s="872"/>
      <c r="J421" s="293" t="s">
        <v>1101</v>
      </c>
      <c r="K421" s="884"/>
      <c r="L421" s="876"/>
      <c r="M421" s="885"/>
      <c r="N421" s="876">
        <v>1</v>
      </c>
      <c r="O421" s="313"/>
      <c r="P421" s="301" t="s">
        <v>1378</v>
      </c>
      <c r="Q421" s="315"/>
      <c r="R421" s="909"/>
      <c r="S421" s="738">
        <f t="shared" si="21"/>
        <v>74</v>
      </c>
      <c r="T421" s="738" t="str">
        <f t="shared" si="22"/>
        <v>Ud</v>
      </c>
      <c r="U421" s="738"/>
    </row>
    <row r="422" spans="1:27" x14ac:dyDescent="0.2">
      <c r="A422" s="913"/>
      <c r="B422" s="666"/>
      <c r="C422" s="347"/>
      <c r="D422" s="870">
        <v>536</v>
      </c>
      <c r="E422" s="871" t="s">
        <v>8</v>
      </c>
      <c r="F422" s="667">
        <v>16</v>
      </c>
      <c r="G422" s="871"/>
      <c r="H422" s="871"/>
      <c r="I422" s="872"/>
      <c r="J422" s="293" t="s">
        <v>1101</v>
      </c>
      <c r="K422" s="884"/>
      <c r="L422" s="876"/>
      <c r="M422" s="885"/>
      <c r="N422" s="876">
        <v>1</v>
      </c>
      <c r="O422" s="313"/>
      <c r="P422" s="301" t="s">
        <v>1378</v>
      </c>
      <c r="Q422" s="315"/>
      <c r="R422" s="909"/>
      <c r="S422" s="738">
        <f t="shared" si="21"/>
        <v>74</v>
      </c>
      <c r="T422" s="738" t="str">
        <f t="shared" si="22"/>
        <v>Ud</v>
      </c>
      <c r="U422" s="738"/>
    </row>
    <row r="423" spans="1:27" x14ac:dyDescent="0.2">
      <c r="A423" s="294"/>
      <c r="B423" s="293"/>
      <c r="C423" s="343"/>
      <c r="D423" s="870">
        <v>536</v>
      </c>
      <c r="E423" s="871" t="s">
        <v>8</v>
      </c>
      <c r="F423" s="667">
        <v>18</v>
      </c>
      <c r="G423" s="296"/>
      <c r="H423" s="292"/>
      <c r="I423" s="675"/>
      <c r="J423" s="293" t="s">
        <v>1102</v>
      </c>
      <c r="N423" s="876">
        <v>1</v>
      </c>
      <c r="O423" s="344"/>
      <c r="P423" s="315"/>
      <c r="Q423" s="315"/>
      <c r="R423" s="903"/>
      <c r="S423" s="738">
        <f t="shared" si="21"/>
        <v>74</v>
      </c>
      <c r="T423" s="738" t="str">
        <f t="shared" si="22"/>
        <v>Ud</v>
      </c>
      <c r="U423" s="738"/>
    </row>
    <row r="424" spans="1:27" x14ac:dyDescent="0.2">
      <c r="A424" s="294"/>
      <c r="B424" s="293"/>
      <c r="C424" s="343"/>
      <c r="D424" s="870">
        <v>540</v>
      </c>
      <c r="E424" s="871" t="s">
        <v>8</v>
      </c>
      <c r="F424" s="667">
        <v>10</v>
      </c>
      <c r="G424" s="296"/>
      <c r="H424" s="292"/>
      <c r="I424" s="675"/>
      <c r="J424" s="293" t="s">
        <v>1102</v>
      </c>
      <c r="N424" s="876">
        <v>1</v>
      </c>
      <c r="O424" s="344"/>
      <c r="P424" s="315"/>
      <c r="Q424" s="315"/>
      <c r="R424" s="903"/>
      <c r="S424" s="738">
        <f t="shared" si="21"/>
        <v>74</v>
      </c>
      <c r="T424" s="738" t="str">
        <f t="shared" si="22"/>
        <v>Ud</v>
      </c>
      <c r="U424" s="738"/>
    </row>
    <row r="425" spans="1:27" x14ac:dyDescent="0.2">
      <c r="A425" s="294"/>
      <c r="B425" s="293"/>
      <c r="C425" s="343"/>
      <c r="D425" s="870">
        <v>546</v>
      </c>
      <c r="E425" s="871" t="s">
        <v>8</v>
      </c>
      <c r="F425" s="667">
        <v>10</v>
      </c>
      <c r="G425" s="296"/>
      <c r="H425" s="292"/>
      <c r="I425" s="675"/>
      <c r="J425" s="293" t="s">
        <v>1101</v>
      </c>
      <c r="N425" s="876">
        <v>1</v>
      </c>
      <c r="O425" s="344"/>
      <c r="P425" s="315"/>
      <c r="Q425" s="315"/>
      <c r="R425" s="903"/>
      <c r="S425" s="738">
        <f t="shared" si="21"/>
        <v>74</v>
      </c>
      <c r="T425" s="738" t="str">
        <f t="shared" si="22"/>
        <v>Ud</v>
      </c>
      <c r="U425" s="738"/>
    </row>
    <row r="426" spans="1:27" x14ac:dyDescent="0.2">
      <c r="A426" s="294"/>
      <c r="B426" s="293"/>
      <c r="C426" s="343"/>
      <c r="D426" s="870">
        <v>546</v>
      </c>
      <c r="E426" s="871" t="s">
        <v>8</v>
      </c>
      <c r="F426" s="667">
        <v>10</v>
      </c>
      <c r="G426" s="296"/>
      <c r="H426" s="292"/>
      <c r="I426" s="675"/>
      <c r="J426" s="293" t="s">
        <v>1102</v>
      </c>
      <c r="N426" s="876">
        <v>1</v>
      </c>
      <c r="O426" s="344"/>
      <c r="P426" s="315"/>
      <c r="Q426" s="315"/>
      <c r="R426" s="903"/>
      <c r="S426" s="738">
        <f t="shared" si="21"/>
        <v>74</v>
      </c>
      <c r="T426" s="738" t="str">
        <f t="shared" si="22"/>
        <v>Ud</v>
      </c>
      <c r="U426" s="738"/>
    </row>
    <row r="427" spans="1:27" x14ac:dyDescent="0.2">
      <c r="A427" s="294"/>
      <c r="B427" s="293"/>
      <c r="C427" s="343"/>
      <c r="D427" s="870">
        <v>561</v>
      </c>
      <c r="E427" s="871" t="s">
        <v>8</v>
      </c>
      <c r="F427" s="667">
        <v>12.5</v>
      </c>
      <c r="G427" s="296"/>
      <c r="H427" s="292"/>
      <c r="I427" s="675"/>
      <c r="J427" s="293" t="s">
        <v>1101</v>
      </c>
      <c r="N427" s="876">
        <v>1</v>
      </c>
      <c r="O427" s="344"/>
      <c r="P427" s="315"/>
      <c r="Q427" s="315"/>
      <c r="R427" s="903"/>
      <c r="S427" s="738">
        <f t="shared" si="21"/>
        <v>74</v>
      </c>
      <c r="T427" s="738" t="str">
        <f t="shared" si="22"/>
        <v>Ud</v>
      </c>
      <c r="U427" s="738"/>
    </row>
    <row r="428" spans="1:27" x14ac:dyDescent="0.2">
      <c r="A428" s="294"/>
      <c r="B428" s="293"/>
      <c r="C428" s="744" t="s">
        <v>1553</v>
      </c>
      <c r="D428" s="870"/>
      <c r="E428" s="871"/>
      <c r="F428" s="667"/>
      <c r="G428" s="296"/>
      <c r="H428" s="292"/>
      <c r="I428" s="675"/>
      <c r="N428" s="876"/>
      <c r="O428" s="344"/>
      <c r="P428" s="315"/>
      <c r="Q428" s="315"/>
      <c r="R428" s="903"/>
      <c r="S428" s="738">
        <f t="shared" si="21"/>
        <v>74</v>
      </c>
      <c r="T428" s="738" t="str">
        <f t="shared" si="22"/>
        <v>Ud</v>
      </c>
      <c r="U428" s="738"/>
    </row>
    <row r="429" spans="1:27" x14ac:dyDescent="0.2">
      <c r="A429" s="294"/>
      <c r="B429" s="293"/>
      <c r="C429" s="380"/>
      <c r="D429" s="381">
        <v>3</v>
      </c>
      <c r="E429" s="524" t="s">
        <v>8</v>
      </c>
      <c r="F429" s="292">
        <v>10</v>
      </c>
      <c r="G429" s="753"/>
      <c r="H429" s="754"/>
      <c r="I429" s="755"/>
      <c r="J429" s="383" t="s">
        <v>1564</v>
      </c>
      <c r="K429" s="875"/>
      <c r="M429" s="875"/>
      <c r="N429" s="876">
        <v>1</v>
      </c>
      <c r="R429" s="912"/>
      <c r="S429" s="738">
        <f t="shared" si="21"/>
        <v>74</v>
      </c>
      <c r="T429" s="738" t="str">
        <f t="shared" si="22"/>
        <v>Ud</v>
      </c>
      <c r="U429" s="738"/>
      <c r="W429" s="288"/>
      <c r="X429" s="288"/>
      <c r="Y429" s="288"/>
      <c r="Z429" s="288"/>
      <c r="AA429" s="288"/>
    </row>
    <row r="430" spans="1:27" x14ac:dyDescent="0.2">
      <c r="A430" s="294"/>
      <c r="B430" s="293"/>
      <c r="C430" s="380"/>
      <c r="D430" s="381">
        <v>12</v>
      </c>
      <c r="E430" s="524" t="s">
        <v>8</v>
      </c>
      <c r="F430" s="292">
        <v>10</v>
      </c>
      <c r="G430" s="753"/>
      <c r="H430" s="754"/>
      <c r="I430" s="755"/>
      <c r="J430" s="383" t="s">
        <v>1556</v>
      </c>
      <c r="K430" s="875"/>
      <c r="M430" s="875"/>
      <c r="N430" s="876">
        <v>1</v>
      </c>
      <c r="R430" s="912"/>
      <c r="S430" s="738">
        <f t="shared" si="21"/>
        <v>74</v>
      </c>
      <c r="T430" s="738" t="str">
        <f t="shared" si="22"/>
        <v>Ud</v>
      </c>
      <c r="U430" s="738"/>
      <c r="W430" s="288"/>
      <c r="X430" s="288"/>
      <c r="Y430" s="288"/>
      <c r="Z430" s="288"/>
      <c r="AA430" s="288"/>
    </row>
    <row r="431" spans="1:27" x14ac:dyDescent="0.2">
      <c r="A431" s="294"/>
      <c r="B431" s="293"/>
      <c r="C431" s="380"/>
      <c r="D431" s="381">
        <v>12</v>
      </c>
      <c r="E431" s="524" t="s">
        <v>8</v>
      </c>
      <c r="F431" s="292">
        <v>10</v>
      </c>
      <c r="G431" s="753"/>
      <c r="H431" s="754"/>
      <c r="I431" s="755"/>
      <c r="J431" s="383" t="s">
        <v>1564</v>
      </c>
      <c r="K431" s="875"/>
      <c r="M431" s="875"/>
      <c r="N431" s="876">
        <v>1</v>
      </c>
      <c r="R431" s="912"/>
      <c r="S431" s="738">
        <f t="shared" si="21"/>
        <v>74</v>
      </c>
      <c r="T431" s="738" t="str">
        <f t="shared" si="22"/>
        <v>Ud</v>
      </c>
      <c r="U431" s="738"/>
      <c r="W431" s="288"/>
      <c r="X431" s="288"/>
      <c r="Y431" s="288"/>
      <c r="Z431" s="288"/>
      <c r="AA431" s="288"/>
    </row>
    <row r="432" spans="1:27" x14ac:dyDescent="0.2">
      <c r="A432" s="294"/>
      <c r="B432" s="293"/>
      <c r="C432" s="380"/>
      <c r="D432" s="381">
        <v>19</v>
      </c>
      <c r="E432" s="524" t="s">
        <v>8</v>
      </c>
      <c r="F432" s="292">
        <v>5</v>
      </c>
      <c r="G432" s="753"/>
      <c r="H432" s="754"/>
      <c r="I432" s="755"/>
      <c r="J432" s="383" t="s">
        <v>1556</v>
      </c>
      <c r="K432" s="875"/>
      <c r="M432" s="875"/>
      <c r="N432" s="876">
        <v>1</v>
      </c>
      <c r="R432" s="912"/>
      <c r="S432" s="738">
        <f t="shared" si="21"/>
        <v>74</v>
      </c>
      <c r="T432" s="738" t="str">
        <f t="shared" si="22"/>
        <v>Ud</v>
      </c>
      <c r="U432" s="738"/>
      <c r="W432" s="288"/>
      <c r="X432" s="288"/>
      <c r="Y432" s="288"/>
      <c r="Z432" s="288"/>
      <c r="AA432" s="288"/>
    </row>
    <row r="433" spans="1:27" x14ac:dyDescent="0.2">
      <c r="A433" s="294"/>
      <c r="B433" s="293"/>
      <c r="C433" s="380"/>
      <c r="D433" s="381">
        <v>19</v>
      </c>
      <c r="E433" s="524" t="s">
        <v>8</v>
      </c>
      <c r="F433" s="292">
        <v>5</v>
      </c>
      <c r="G433" s="753"/>
      <c r="H433" s="754"/>
      <c r="I433" s="755"/>
      <c r="J433" s="383" t="s">
        <v>1564</v>
      </c>
      <c r="K433" s="875"/>
      <c r="M433" s="875"/>
      <c r="N433" s="876">
        <v>1</v>
      </c>
      <c r="R433" s="912"/>
      <c r="S433" s="738">
        <f t="shared" si="21"/>
        <v>74</v>
      </c>
      <c r="T433" s="738" t="str">
        <f t="shared" si="22"/>
        <v>Ud</v>
      </c>
      <c r="U433" s="738"/>
      <c r="W433" s="288"/>
      <c r="X433" s="288"/>
      <c r="Y433" s="288"/>
      <c r="Z433" s="288"/>
      <c r="AA433" s="288"/>
    </row>
    <row r="434" spans="1:27" x14ac:dyDescent="0.2">
      <c r="A434" s="294"/>
      <c r="B434" s="293"/>
      <c r="C434" s="380"/>
      <c r="D434" s="381">
        <v>29</v>
      </c>
      <c r="E434" s="524" t="s">
        <v>8</v>
      </c>
      <c r="F434" s="292">
        <v>10</v>
      </c>
      <c r="G434" s="753"/>
      <c r="H434" s="754"/>
      <c r="I434" s="755"/>
      <c r="J434" s="383" t="s">
        <v>1556</v>
      </c>
      <c r="K434" s="875"/>
      <c r="M434" s="875"/>
      <c r="N434" s="876">
        <v>1</v>
      </c>
      <c r="R434" s="912"/>
      <c r="S434" s="738">
        <f t="shared" si="21"/>
        <v>74</v>
      </c>
      <c r="T434" s="738" t="str">
        <f t="shared" si="22"/>
        <v>Ud</v>
      </c>
      <c r="U434" s="738"/>
      <c r="W434" s="288"/>
      <c r="X434" s="288"/>
      <c r="Y434" s="288"/>
      <c r="Z434" s="288"/>
      <c r="AA434" s="288"/>
    </row>
    <row r="435" spans="1:27" x14ac:dyDescent="0.2">
      <c r="A435" s="294"/>
      <c r="B435" s="293"/>
      <c r="C435" s="380"/>
      <c r="D435" s="381">
        <v>29</v>
      </c>
      <c r="E435" s="524" t="s">
        <v>8</v>
      </c>
      <c r="F435" s="292">
        <v>10</v>
      </c>
      <c r="G435" s="753"/>
      <c r="H435" s="754"/>
      <c r="I435" s="755"/>
      <c r="J435" s="383" t="s">
        <v>1564</v>
      </c>
      <c r="K435" s="875"/>
      <c r="M435" s="875"/>
      <c r="N435" s="876">
        <v>1</v>
      </c>
      <c r="R435" s="912"/>
      <c r="S435" s="738">
        <f t="shared" si="21"/>
        <v>74</v>
      </c>
      <c r="T435" s="738" t="str">
        <f t="shared" si="22"/>
        <v>Ud</v>
      </c>
      <c r="U435" s="738"/>
      <c r="W435" s="288"/>
      <c r="X435" s="288"/>
      <c r="Y435" s="288"/>
      <c r="Z435" s="288"/>
      <c r="AA435" s="288"/>
    </row>
    <row r="436" spans="1:27" x14ac:dyDescent="0.2">
      <c r="A436" s="294"/>
      <c r="B436" s="293"/>
      <c r="C436" s="380"/>
      <c r="D436" s="381">
        <v>45</v>
      </c>
      <c r="E436" s="524" t="s">
        <v>8</v>
      </c>
      <c r="F436" s="292">
        <v>0</v>
      </c>
      <c r="G436" s="753"/>
      <c r="H436" s="754"/>
      <c r="I436" s="755"/>
      <c r="J436" s="383" t="s">
        <v>1556</v>
      </c>
      <c r="K436" s="875"/>
      <c r="M436" s="875"/>
      <c r="N436" s="876">
        <v>1</v>
      </c>
      <c r="R436" s="912"/>
      <c r="S436" s="738">
        <f t="shared" si="21"/>
        <v>74</v>
      </c>
      <c r="T436" s="738" t="str">
        <f t="shared" si="22"/>
        <v>Ud</v>
      </c>
      <c r="U436" s="738"/>
      <c r="W436" s="288"/>
      <c r="X436" s="288"/>
      <c r="Y436" s="288"/>
      <c r="Z436" s="288"/>
      <c r="AA436" s="288"/>
    </row>
    <row r="437" spans="1:27" x14ac:dyDescent="0.2">
      <c r="A437" s="294"/>
      <c r="B437" s="293"/>
      <c r="C437" s="380"/>
      <c r="D437" s="381">
        <v>45</v>
      </c>
      <c r="E437" s="524" t="s">
        <v>8</v>
      </c>
      <c r="F437" s="292">
        <v>0</v>
      </c>
      <c r="G437" s="753"/>
      <c r="H437" s="754"/>
      <c r="I437" s="755"/>
      <c r="J437" s="383" t="s">
        <v>1564</v>
      </c>
      <c r="K437" s="875"/>
      <c r="M437" s="875"/>
      <c r="N437" s="876">
        <v>1</v>
      </c>
      <c r="R437" s="912"/>
      <c r="S437" s="738">
        <f t="shared" si="21"/>
        <v>74</v>
      </c>
      <c r="T437" s="738" t="str">
        <f t="shared" si="22"/>
        <v>Ud</v>
      </c>
      <c r="U437" s="738"/>
      <c r="W437" s="288"/>
      <c r="X437" s="288"/>
      <c r="Y437" s="288"/>
      <c r="Z437" s="288"/>
      <c r="AA437" s="288"/>
    </row>
    <row r="438" spans="1:27" x14ac:dyDescent="0.2">
      <c r="A438" s="294"/>
      <c r="B438" s="293"/>
      <c r="C438" s="380"/>
      <c r="D438" s="381">
        <v>55</v>
      </c>
      <c r="E438" s="524" t="s">
        <v>8</v>
      </c>
      <c r="F438" s="292">
        <v>10</v>
      </c>
      <c r="G438" s="753"/>
      <c r="H438" s="754"/>
      <c r="I438" s="755"/>
      <c r="J438" s="383" t="s">
        <v>1556</v>
      </c>
      <c r="K438" s="875"/>
      <c r="M438" s="875"/>
      <c r="N438" s="876">
        <v>1</v>
      </c>
      <c r="R438" s="912"/>
      <c r="S438" s="738">
        <f t="shared" si="21"/>
        <v>74</v>
      </c>
      <c r="T438" s="738" t="str">
        <f t="shared" si="22"/>
        <v>Ud</v>
      </c>
      <c r="U438" s="738"/>
      <c r="W438" s="288"/>
      <c r="X438" s="288"/>
      <c r="Y438" s="288"/>
      <c r="Z438" s="288"/>
      <c r="AA438" s="288"/>
    </row>
    <row r="439" spans="1:27" x14ac:dyDescent="0.2">
      <c r="A439" s="294"/>
      <c r="B439" s="293"/>
      <c r="C439" s="380"/>
      <c r="D439" s="381">
        <v>55</v>
      </c>
      <c r="E439" s="524" t="s">
        <v>8</v>
      </c>
      <c r="F439" s="292">
        <v>10</v>
      </c>
      <c r="G439" s="753"/>
      <c r="H439" s="754"/>
      <c r="I439" s="755"/>
      <c r="J439" s="383" t="s">
        <v>1564</v>
      </c>
      <c r="K439" s="875"/>
      <c r="M439" s="875"/>
      <c r="N439" s="876">
        <v>1</v>
      </c>
      <c r="R439" s="912"/>
      <c r="S439" s="738">
        <f t="shared" si="21"/>
        <v>74</v>
      </c>
      <c r="T439" s="738" t="str">
        <f t="shared" si="22"/>
        <v>Ud</v>
      </c>
      <c r="U439" s="738"/>
      <c r="W439" s="288"/>
      <c r="X439" s="288"/>
      <c r="Y439" s="288"/>
      <c r="Z439" s="288"/>
      <c r="AA439" s="288"/>
    </row>
    <row r="440" spans="1:27" x14ac:dyDescent="0.2">
      <c r="A440" s="294"/>
      <c r="B440" s="293"/>
      <c r="C440" s="380"/>
      <c r="D440" s="381">
        <v>71</v>
      </c>
      <c r="E440" s="524" t="s">
        <v>8</v>
      </c>
      <c r="F440" s="292">
        <v>10</v>
      </c>
      <c r="G440" s="753"/>
      <c r="H440" s="754"/>
      <c r="I440" s="755"/>
      <c r="J440" s="383" t="s">
        <v>1556</v>
      </c>
      <c r="K440" s="875"/>
      <c r="M440" s="875"/>
      <c r="N440" s="876">
        <v>1</v>
      </c>
      <c r="R440" s="912"/>
      <c r="S440" s="738">
        <f t="shared" si="21"/>
        <v>74</v>
      </c>
      <c r="T440" s="738" t="str">
        <f t="shared" si="22"/>
        <v>Ud</v>
      </c>
      <c r="U440" s="738"/>
      <c r="W440" s="288"/>
      <c r="X440" s="288"/>
      <c r="Y440" s="288"/>
      <c r="Z440" s="288"/>
      <c r="AA440" s="288"/>
    </row>
    <row r="441" spans="1:27" x14ac:dyDescent="0.2">
      <c r="A441" s="294"/>
      <c r="B441" s="293"/>
      <c r="C441" s="380"/>
      <c r="D441" s="381">
        <v>71</v>
      </c>
      <c r="E441" s="524" t="s">
        <v>8</v>
      </c>
      <c r="F441" s="292">
        <v>10</v>
      </c>
      <c r="G441" s="753"/>
      <c r="H441" s="754"/>
      <c r="I441" s="755"/>
      <c r="J441" s="383" t="s">
        <v>1564</v>
      </c>
      <c r="K441" s="875"/>
      <c r="M441" s="875"/>
      <c r="N441" s="876">
        <v>1</v>
      </c>
      <c r="R441" s="912"/>
      <c r="S441" s="738">
        <f t="shared" si="21"/>
        <v>74</v>
      </c>
      <c r="T441" s="738" t="str">
        <f t="shared" si="22"/>
        <v>Ud</v>
      </c>
      <c r="U441" s="738"/>
      <c r="W441" s="288"/>
      <c r="X441" s="288"/>
      <c r="Y441" s="288"/>
      <c r="Z441" s="288"/>
      <c r="AA441" s="288"/>
    </row>
    <row r="442" spans="1:27" x14ac:dyDescent="0.2">
      <c r="A442" s="294"/>
      <c r="B442" s="293"/>
      <c r="C442" s="380"/>
      <c r="D442" s="381">
        <v>80</v>
      </c>
      <c r="E442" s="524" t="s">
        <v>8</v>
      </c>
      <c r="F442" s="292">
        <v>10</v>
      </c>
      <c r="G442" s="753"/>
      <c r="H442" s="754"/>
      <c r="I442" s="755"/>
      <c r="J442" s="383" t="s">
        <v>1556</v>
      </c>
      <c r="K442" s="875"/>
      <c r="M442" s="875"/>
      <c r="N442" s="876">
        <v>1</v>
      </c>
      <c r="R442" s="912"/>
      <c r="S442" s="738">
        <f t="shared" si="21"/>
        <v>74</v>
      </c>
      <c r="T442" s="738" t="str">
        <f t="shared" si="22"/>
        <v>Ud</v>
      </c>
      <c r="U442" s="738"/>
      <c r="W442" s="288"/>
      <c r="X442" s="288"/>
      <c r="Y442" s="288"/>
      <c r="Z442" s="288"/>
      <c r="AA442" s="288"/>
    </row>
    <row r="443" spans="1:27" x14ac:dyDescent="0.2">
      <c r="A443" s="294"/>
      <c r="B443" s="293"/>
      <c r="C443" s="380"/>
      <c r="D443" s="381">
        <v>89</v>
      </c>
      <c r="E443" s="524" t="s">
        <v>8</v>
      </c>
      <c r="F443" s="292">
        <v>0</v>
      </c>
      <c r="G443" s="753"/>
      <c r="H443" s="754"/>
      <c r="I443" s="755"/>
      <c r="J443" s="383" t="s">
        <v>1556</v>
      </c>
      <c r="K443" s="875"/>
      <c r="M443" s="875"/>
      <c r="N443" s="876">
        <v>1</v>
      </c>
      <c r="R443" s="912"/>
      <c r="S443" s="738">
        <f t="shared" si="21"/>
        <v>74</v>
      </c>
      <c r="T443" s="738" t="str">
        <f t="shared" si="22"/>
        <v>Ud</v>
      </c>
      <c r="U443" s="738"/>
      <c r="W443" s="288"/>
      <c r="X443" s="288"/>
      <c r="Y443" s="288"/>
      <c r="Z443" s="288"/>
      <c r="AA443" s="288"/>
    </row>
    <row r="444" spans="1:27" x14ac:dyDescent="0.2">
      <c r="A444" s="294"/>
      <c r="B444" s="293"/>
      <c r="C444" s="380"/>
      <c r="D444" s="381">
        <v>104</v>
      </c>
      <c r="E444" s="524" t="s">
        <v>8</v>
      </c>
      <c r="F444" s="292">
        <v>0</v>
      </c>
      <c r="G444" s="756"/>
      <c r="H444" s="757"/>
      <c r="I444" s="758"/>
      <c r="J444" s="383" t="s">
        <v>1556</v>
      </c>
      <c r="K444" s="875"/>
      <c r="M444" s="875"/>
      <c r="N444" s="876">
        <v>1</v>
      </c>
      <c r="R444" s="912"/>
      <c r="S444" s="738">
        <f t="shared" si="21"/>
        <v>74</v>
      </c>
      <c r="T444" s="738" t="str">
        <f t="shared" si="22"/>
        <v>Ud</v>
      </c>
      <c r="U444" s="738"/>
      <c r="W444" s="288"/>
      <c r="X444" s="288"/>
      <c r="Y444" s="288"/>
      <c r="Z444" s="288"/>
      <c r="AA444" s="288"/>
    </row>
    <row r="445" spans="1:27" x14ac:dyDescent="0.2">
      <c r="A445" s="899"/>
      <c r="B445" s="353"/>
      <c r="C445" s="354" t="s">
        <v>2</v>
      </c>
      <c r="D445" s="355"/>
      <c r="E445" s="352"/>
      <c r="F445" s="677"/>
      <c r="G445" s="678"/>
      <c r="H445" s="356"/>
      <c r="I445" s="356"/>
      <c r="J445" s="353"/>
      <c r="K445" s="358"/>
      <c r="L445" s="358"/>
      <c r="M445" s="358"/>
      <c r="N445" s="360">
        <f>SUM(N370:N444)</f>
        <v>74</v>
      </c>
      <c r="O445" s="361" t="str">
        <f>IF(MID(B368,1,2)="LG",VLOOKUP(B368,'Compos lug'!J:M,4,FALSE),IF(MID(B368,1,1)="6",VLOOKUP(B368,tranp.!$A$6:$K$51,3,FALSE),VLOOKUP(B368,'DER 10-18'!$A$1:$I$1981,3,FALSE)))</f>
        <v>Ud</v>
      </c>
      <c r="P445" s="362"/>
      <c r="Q445" s="362"/>
      <c r="R445" s="900"/>
      <c r="S445" s="738">
        <f t="shared" si="21"/>
        <v>4</v>
      </c>
      <c r="T445" s="738" t="str">
        <f t="shared" si="22"/>
        <v>Ud</v>
      </c>
      <c r="U445" s="738"/>
    </row>
    <row r="446" spans="1:27" s="651" customFormat="1" x14ac:dyDescent="0.2">
      <c r="A446" s="910"/>
      <c r="B446" s="655"/>
      <c r="C446" s="656"/>
      <c r="D446" s="657"/>
      <c r="E446" s="654"/>
      <c r="F446" s="663"/>
      <c r="G446" s="664"/>
      <c r="H446" s="652"/>
      <c r="I446" s="652"/>
      <c r="J446" s="655"/>
      <c r="K446" s="653"/>
      <c r="L446" s="653"/>
      <c r="M446" s="653"/>
      <c r="N446" s="648"/>
      <c r="O446" s="660"/>
      <c r="P446" s="661"/>
      <c r="Q446" s="661"/>
      <c r="R446" s="911"/>
      <c r="S446" s="738">
        <f t="shared" si="21"/>
        <v>4</v>
      </c>
      <c r="T446" s="738" t="str">
        <f t="shared" si="22"/>
        <v>Ud</v>
      </c>
      <c r="U446" s="749"/>
      <c r="W446" s="714"/>
      <c r="X446" s="714"/>
      <c r="Y446" s="714"/>
      <c r="Z446" s="714"/>
      <c r="AA446" s="714"/>
    </row>
    <row r="447" spans="1:27" x14ac:dyDescent="0.2">
      <c r="A447" s="913" t="s">
        <v>1357</v>
      </c>
      <c r="B447" s="666">
        <v>40674</v>
      </c>
      <c r="C447" s="347" t="str">
        <f>IF(MID(B447,1,2)="LG",VLOOKUP(B447,'Compos lug'!J:M,3,FALSE),IF(MID(B447,1,1)="6",VLOOKUP(B447,tranp.!$A$4:$K$19,11,FALSE)&amp;" -  XP="&amp;TEXT(T447,"0.000")&amp;" / XR="&amp;TEXT(V447,"0.000"),VLOOKUP(B447,'DER 10-18'!$A$1:$I$1981,2,FALSE)))</f>
        <v>Entrada para descida d'água EDA-02</v>
      </c>
      <c r="D447" s="1059" t="s">
        <v>1000</v>
      </c>
      <c r="E447" s="1060"/>
      <c r="F447" s="1061"/>
      <c r="G447" s="1059"/>
      <c r="H447" s="1060"/>
      <c r="I447" s="1061"/>
      <c r="J447" s="349" t="s">
        <v>989</v>
      </c>
      <c r="K447" s="876"/>
      <c r="L447" s="876"/>
      <c r="M447" s="876"/>
      <c r="N447" s="876" t="str">
        <f>CONCATENATE("Total (",IF(MID(B447,1,2)="LG",VLOOKUP(B447,'Compos lug'!J:M,4,FALSE),IF(MID(B447,1,1)="6","t",VLOOKUP(B447,'DER 10-18'!$A$1:$I$1981,3,FALSE))),")")</f>
        <v>Total (Ud)</v>
      </c>
      <c r="O447" s="313"/>
      <c r="P447" s="315"/>
      <c r="Q447" s="315"/>
      <c r="R447" s="909"/>
      <c r="S447" s="738">
        <f t="shared" si="21"/>
        <v>4</v>
      </c>
      <c r="T447" s="738" t="str">
        <f t="shared" si="22"/>
        <v>Ud</v>
      </c>
      <c r="U447" s="738"/>
    </row>
    <row r="448" spans="1:27" x14ac:dyDescent="0.2">
      <c r="A448" s="294"/>
      <c r="B448" s="293"/>
      <c r="C448" s="744" t="s">
        <v>1552</v>
      </c>
      <c r="N448" s="876"/>
      <c r="R448" s="912"/>
      <c r="S448" s="738">
        <f t="shared" si="21"/>
        <v>4</v>
      </c>
      <c r="T448" s="738" t="str">
        <f t="shared" si="22"/>
        <v>Ud</v>
      </c>
    </row>
    <row r="449" spans="1:27" x14ac:dyDescent="0.2">
      <c r="A449" s="294"/>
      <c r="B449" s="293"/>
      <c r="C449" s="343"/>
      <c r="D449" s="290">
        <v>345</v>
      </c>
      <c r="E449" s="291" t="s">
        <v>8</v>
      </c>
      <c r="F449" s="675">
        <v>0</v>
      </c>
      <c r="G449" s="296"/>
      <c r="H449" s="292"/>
      <c r="J449" s="293" t="s">
        <v>1101</v>
      </c>
      <c r="N449" s="876">
        <v>1</v>
      </c>
      <c r="O449" s="344"/>
      <c r="P449" s="315"/>
      <c r="Q449" s="315"/>
      <c r="R449" s="903"/>
      <c r="S449" s="738">
        <f t="shared" si="21"/>
        <v>4</v>
      </c>
      <c r="T449" s="738" t="str">
        <f t="shared" si="22"/>
        <v>Ud</v>
      </c>
      <c r="U449" s="738"/>
    </row>
    <row r="450" spans="1:27" x14ac:dyDescent="0.2">
      <c r="A450" s="294"/>
      <c r="B450" s="293"/>
      <c r="C450" s="343"/>
      <c r="D450" s="290">
        <v>534</v>
      </c>
      <c r="E450" s="291" t="s">
        <v>8</v>
      </c>
      <c r="F450" s="675">
        <v>5</v>
      </c>
      <c r="G450" s="296"/>
      <c r="H450" s="292"/>
      <c r="J450" s="293" t="s">
        <v>1102</v>
      </c>
      <c r="N450" s="876">
        <v>1</v>
      </c>
      <c r="O450" s="344"/>
      <c r="P450" s="315"/>
      <c r="Q450" s="315"/>
      <c r="R450" s="903"/>
      <c r="S450" s="738">
        <f t="shared" si="21"/>
        <v>4</v>
      </c>
      <c r="T450" s="738" t="str">
        <f t="shared" si="22"/>
        <v>Ud</v>
      </c>
      <c r="U450" s="738"/>
    </row>
    <row r="451" spans="1:27" x14ac:dyDescent="0.2">
      <c r="A451" s="913"/>
      <c r="B451" s="666"/>
      <c r="C451" s="744" t="s">
        <v>1553</v>
      </c>
      <c r="D451" s="381">
        <v>38</v>
      </c>
      <c r="E451" s="524" t="s">
        <v>8</v>
      </c>
      <c r="F451" s="292">
        <v>0</v>
      </c>
      <c r="G451" s="381"/>
      <c r="H451" s="524"/>
      <c r="J451" s="383" t="s">
        <v>1565</v>
      </c>
      <c r="K451" s="875"/>
      <c r="M451" s="875"/>
      <c r="N451" s="876">
        <v>2</v>
      </c>
      <c r="O451" s="313"/>
      <c r="P451" s="315"/>
      <c r="Q451" s="315"/>
      <c r="R451" s="909"/>
      <c r="S451" s="738">
        <f t="shared" si="21"/>
        <v>4</v>
      </c>
      <c r="T451" s="738" t="str">
        <f t="shared" si="22"/>
        <v>Ud</v>
      </c>
      <c r="U451" s="738"/>
      <c r="W451" s="288"/>
      <c r="X451" s="288"/>
      <c r="Y451" s="288"/>
      <c r="Z451" s="288"/>
      <c r="AA451" s="288"/>
    </row>
    <row r="452" spans="1:27" x14ac:dyDescent="0.2">
      <c r="A452" s="899"/>
      <c r="B452" s="353"/>
      <c r="C452" s="354" t="s">
        <v>2</v>
      </c>
      <c r="D452" s="355"/>
      <c r="E452" s="352"/>
      <c r="F452" s="677"/>
      <c r="G452" s="678"/>
      <c r="H452" s="356"/>
      <c r="I452" s="356"/>
      <c r="J452" s="353"/>
      <c r="K452" s="358"/>
      <c r="L452" s="358"/>
      <c r="M452" s="358"/>
      <c r="N452" s="360">
        <f>SUM(N449:N451)</f>
        <v>4</v>
      </c>
      <c r="O452" s="361" t="str">
        <f>IF(MID(B447,1,2)="LG",VLOOKUP(B447,'Compos lug'!J:M,4,FALSE),IF(MID(B447,1,1)="6",VLOOKUP(B447,tranp.!$A$6:$K$51,3,FALSE),VLOOKUP(B447,'DER 10-18'!$A$1:$I$1981,3,FALSE)))</f>
        <v>Ud</v>
      </c>
      <c r="P452" s="362"/>
      <c r="Q452" s="362"/>
      <c r="R452" s="900"/>
      <c r="S452" s="738">
        <f t="shared" si="21"/>
        <v>16</v>
      </c>
      <c r="T452" s="738" t="str">
        <f t="shared" si="22"/>
        <v>Ud</v>
      </c>
      <c r="U452" s="738"/>
    </row>
    <row r="453" spans="1:27" s="651" customFormat="1" x14ac:dyDescent="0.2">
      <c r="A453" s="910"/>
      <c r="B453" s="655"/>
      <c r="C453" s="656"/>
      <c r="D453" s="657"/>
      <c r="E453" s="654"/>
      <c r="F453" s="663"/>
      <c r="G453" s="664"/>
      <c r="H453" s="652"/>
      <c r="I453" s="652"/>
      <c r="J453" s="655"/>
      <c r="K453" s="653"/>
      <c r="L453" s="653"/>
      <c r="M453" s="653"/>
      <c r="N453" s="648"/>
      <c r="O453" s="660"/>
      <c r="P453" s="661"/>
      <c r="Q453" s="661"/>
      <c r="R453" s="911"/>
      <c r="S453" s="738">
        <f t="shared" si="21"/>
        <v>16</v>
      </c>
      <c r="T453" s="738" t="str">
        <f t="shared" si="22"/>
        <v>Ud</v>
      </c>
      <c r="U453" s="749"/>
      <c r="W453" s="714"/>
      <c r="X453" s="714"/>
      <c r="Y453" s="714"/>
      <c r="Z453" s="714"/>
      <c r="AA453" s="714"/>
    </row>
    <row r="454" spans="1:27" x14ac:dyDescent="0.2">
      <c r="A454" s="913" t="s">
        <v>1358</v>
      </c>
      <c r="B454" s="666">
        <v>40690</v>
      </c>
      <c r="C454" s="347" t="str">
        <f>IF(MID(B454,1,2)="LG",VLOOKUP(B454,'Compos lug'!J:M,3,FALSE),IF(MID(B454,1,1)="6",VLOOKUP(B454,tranp.!$A$4:$K$19,11,FALSE)&amp;" -  XP="&amp;TEXT(T454,"0.000")&amp;" / XR="&amp;TEXT(V454,"0.000"),VLOOKUP(B454,'DER 10-18'!$A$1:$I$1981,2,FALSE)))</f>
        <v>Saída d'água concreto p/ aterro c/ caiação (SDA-01)</v>
      </c>
      <c r="D454" s="1059" t="s">
        <v>1000</v>
      </c>
      <c r="E454" s="1060"/>
      <c r="F454" s="1061"/>
      <c r="G454" s="1059"/>
      <c r="H454" s="1060"/>
      <c r="I454" s="1061"/>
      <c r="J454" s="349" t="s">
        <v>989</v>
      </c>
      <c r="K454" s="876"/>
      <c r="L454" s="876"/>
      <c r="M454" s="876"/>
      <c r="N454" s="876" t="str">
        <f>CONCATENATE("Total (",IF(MID(B454,1,2)="LG",VLOOKUP(B454,'Compos lug'!J:M,4,FALSE),IF(MID(B454,1,1)="6","t",VLOOKUP(B454,'DER 10-18'!$A$1:$I$1981,3,FALSE))),")")</f>
        <v>Total (Ud)</v>
      </c>
      <c r="O454" s="313"/>
      <c r="P454" s="315"/>
      <c r="Q454" s="315"/>
      <c r="R454" s="909"/>
      <c r="S454" s="738">
        <f t="shared" si="21"/>
        <v>16</v>
      </c>
      <c r="T454" s="738" t="str">
        <f t="shared" si="22"/>
        <v>Ud</v>
      </c>
      <c r="U454" s="738"/>
    </row>
    <row r="455" spans="1:27" x14ac:dyDescent="0.2">
      <c r="A455" s="294"/>
      <c r="B455" s="293"/>
      <c r="C455" s="744" t="s">
        <v>1552</v>
      </c>
      <c r="N455" s="876"/>
      <c r="R455" s="912"/>
      <c r="S455" s="738">
        <f t="shared" si="21"/>
        <v>16</v>
      </c>
      <c r="T455" s="738" t="str">
        <f t="shared" si="22"/>
        <v>Ud</v>
      </c>
    </row>
    <row r="456" spans="1:27" x14ac:dyDescent="0.2">
      <c r="A456" s="913"/>
      <c r="B456" s="666"/>
      <c r="C456" s="347"/>
      <c r="D456" s="405">
        <v>5</v>
      </c>
      <c r="E456" s="871" t="s">
        <v>8</v>
      </c>
      <c r="F456" s="667">
        <v>0</v>
      </c>
      <c r="G456" s="871"/>
      <c r="H456" s="871"/>
      <c r="I456" s="872"/>
      <c r="J456" s="759" t="s">
        <v>1101</v>
      </c>
      <c r="K456" s="884"/>
      <c r="L456" s="876"/>
      <c r="M456" s="885"/>
      <c r="N456" s="876">
        <v>1</v>
      </c>
      <c r="O456" s="313"/>
      <c r="P456" s="315"/>
      <c r="Q456" s="315"/>
      <c r="R456" s="909"/>
      <c r="S456" s="738">
        <f t="shared" si="21"/>
        <v>16</v>
      </c>
      <c r="T456" s="738" t="str">
        <f t="shared" si="22"/>
        <v>Ud</v>
      </c>
      <c r="U456" s="738"/>
    </row>
    <row r="457" spans="1:27" x14ac:dyDescent="0.2">
      <c r="A457" s="913"/>
      <c r="B457" s="666"/>
      <c r="C457" s="347"/>
      <c r="D457" s="405">
        <v>151</v>
      </c>
      <c r="E457" s="871" t="s">
        <v>8</v>
      </c>
      <c r="F457" s="667">
        <v>10</v>
      </c>
      <c r="G457" s="871"/>
      <c r="H457" s="871"/>
      <c r="I457" s="872"/>
      <c r="J457" s="759" t="s">
        <v>1101</v>
      </c>
      <c r="K457" s="884"/>
      <c r="L457" s="876"/>
      <c r="M457" s="885"/>
      <c r="N457" s="876">
        <v>1</v>
      </c>
      <c r="O457" s="313"/>
      <c r="P457" s="315"/>
      <c r="Q457" s="315"/>
      <c r="R457" s="909"/>
      <c r="S457" s="738">
        <f t="shared" si="21"/>
        <v>16</v>
      </c>
      <c r="T457" s="738" t="str">
        <f t="shared" si="22"/>
        <v>Ud</v>
      </c>
      <c r="U457" s="738"/>
    </row>
    <row r="458" spans="1:27" x14ac:dyDescent="0.2">
      <c r="A458" s="913"/>
      <c r="B458" s="666"/>
      <c r="C458" s="347"/>
      <c r="D458" s="405">
        <v>203</v>
      </c>
      <c r="E458" s="871" t="s">
        <v>8</v>
      </c>
      <c r="F458" s="667">
        <v>0</v>
      </c>
      <c r="G458" s="871"/>
      <c r="H458" s="871"/>
      <c r="I458" s="872"/>
      <c r="J458" s="759" t="s">
        <v>1101</v>
      </c>
      <c r="K458" s="884"/>
      <c r="L458" s="876"/>
      <c r="M458" s="885"/>
      <c r="N458" s="876">
        <v>1</v>
      </c>
      <c r="O458" s="313"/>
      <c r="P458" s="315"/>
      <c r="Q458" s="315"/>
      <c r="R458" s="909"/>
      <c r="S458" s="738">
        <f t="shared" si="21"/>
        <v>16</v>
      </c>
      <c r="T458" s="738" t="str">
        <f t="shared" si="22"/>
        <v>Ud</v>
      </c>
      <c r="U458" s="738"/>
    </row>
    <row r="459" spans="1:27" x14ac:dyDescent="0.2">
      <c r="A459" s="294"/>
      <c r="B459" s="293"/>
      <c r="C459" s="343"/>
      <c r="D459" s="680">
        <v>203</v>
      </c>
      <c r="E459" s="871" t="s">
        <v>8</v>
      </c>
      <c r="F459" s="667">
        <v>0</v>
      </c>
      <c r="G459" s="296"/>
      <c r="H459" s="292"/>
      <c r="J459" s="293" t="s">
        <v>1102</v>
      </c>
      <c r="N459" s="876">
        <v>1</v>
      </c>
      <c r="O459" s="344"/>
      <c r="P459" s="315"/>
      <c r="Q459" s="315"/>
      <c r="R459" s="903"/>
      <c r="S459" s="738">
        <f t="shared" si="21"/>
        <v>16</v>
      </c>
      <c r="T459" s="738" t="str">
        <f t="shared" si="22"/>
        <v>Ud</v>
      </c>
      <c r="U459" s="738"/>
    </row>
    <row r="460" spans="1:27" x14ac:dyDescent="0.2">
      <c r="A460" s="294"/>
      <c r="B460" s="293"/>
      <c r="C460" s="343"/>
      <c r="D460" s="680">
        <v>237</v>
      </c>
      <c r="E460" s="871" t="s">
        <v>8</v>
      </c>
      <c r="F460" s="667">
        <v>0</v>
      </c>
      <c r="G460" s="296"/>
      <c r="H460" s="292"/>
      <c r="J460" s="293" t="s">
        <v>1102</v>
      </c>
      <c r="N460" s="876">
        <v>1</v>
      </c>
      <c r="O460" s="344"/>
      <c r="P460" s="315"/>
      <c r="Q460" s="315"/>
      <c r="R460" s="903"/>
      <c r="S460" s="738">
        <f t="shared" si="21"/>
        <v>16</v>
      </c>
      <c r="T460" s="738" t="str">
        <f t="shared" si="22"/>
        <v>Ud</v>
      </c>
      <c r="U460" s="738"/>
    </row>
    <row r="461" spans="1:27" x14ac:dyDescent="0.2">
      <c r="A461" s="294"/>
      <c r="B461" s="293"/>
      <c r="C461" s="343"/>
      <c r="D461" s="680">
        <v>250</v>
      </c>
      <c r="E461" s="871" t="s">
        <v>8</v>
      </c>
      <c r="F461" s="667">
        <v>10</v>
      </c>
      <c r="G461" s="296"/>
      <c r="H461" s="292"/>
      <c r="J461" s="293" t="s">
        <v>1101</v>
      </c>
      <c r="N461" s="876">
        <v>1</v>
      </c>
      <c r="O461" s="344"/>
      <c r="P461" s="315"/>
      <c r="Q461" s="315"/>
      <c r="R461" s="903"/>
      <c r="S461" s="738">
        <f t="shared" si="21"/>
        <v>16</v>
      </c>
      <c r="T461" s="738" t="str">
        <f t="shared" si="22"/>
        <v>Ud</v>
      </c>
      <c r="U461" s="738"/>
    </row>
    <row r="462" spans="1:27" x14ac:dyDescent="0.2">
      <c r="A462" s="294"/>
      <c r="B462" s="293"/>
      <c r="C462" s="343"/>
      <c r="D462" s="680">
        <v>251</v>
      </c>
      <c r="E462" s="871" t="s">
        <v>8</v>
      </c>
      <c r="F462" s="667">
        <v>0</v>
      </c>
      <c r="G462" s="296"/>
      <c r="H462" s="292"/>
      <c r="J462" s="293" t="s">
        <v>1102</v>
      </c>
      <c r="N462" s="876">
        <v>1</v>
      </c>
      <c r="O462" s="344"/>
      <c r="P462" s="315"/>
      <c r="Q462" s="315"/>
      <c r="R462" s="903"/>
      <c r="S462" s="738">
        <f t="shared" si="21"/>
        <v>16</v>
      </c>
      <c r="T462" s="738" t="str">
        <f t="shared" si="22"/>
        <v>Ud</v>
      </c>
      <c r="U462" s="738"/>
    </row>
    <row r="463" spans="1:27" x14ac:dyDescent="0.2">
      <c r="A463" s="294"/>
      <c r="B463" s="293"/>
      <c r="C463" s="343"/>
      <c r="D463" s="680">
        <v>264</v>
      </c>
      <c r="E463" s="871" t="s">
        <v>8</v>
      </c>
      <c r="F463" s="667">
        <v>10</v>
      </c>
      <c r="G463" s="296"/>
      <c r="H463" s="292"/>
      <c r="J463" s="293" t="s">
        <v>1101</v>
      </c>
      <c r="N463" s="876">
        <v>1</v>
      </c>
      <c r="O463" s="344"/>
      <c r="P463" s="315"/>
      <c r="Q463" s="315"/>
      <c r="R463" s="903"/>
      <c r="S463" s="738">
        <f t="shared" si="21"/>
        <v>16</v>
      </c>
      <c r="T463" s="738" t="str">
        <f t="shared" si="22"/>
        <v>Ud</v>
      </c>
      <c r="U463" s="738"/>
    </row>
    <row r="464" spans="1:27" x14ac:dyDescent="0.2">
      <c r="A464" s="294"/>
      <c r="B464" s="293"/>
      <c r="C464" s="343"/>
      <c r="D464" s="680">
        <v>265</v>
      </c>
      <c r="E464" s="871" t="s">
        <v>8</v>
      </c>
      <c r="F464" s="667">
        <v>0</v>
      </c>
      <c r="G464" s="296"/>
      <c r="H464" s="292"/>
      <c r="J464" s="293" t="s">
        <v>1102</v>
      </c>
      <c r="N464" s="876">
        <v>1</v>
      </c>
      <c r="O464" s="344"/>
      <c r="P464" s="315"/>
      <c r="Q464" s="315"/>
      <c r="R464" s="903"/>
      <c r="S464" s="738">
        <f t="shared" si="21"/>
        <v>16</v>
      </c>
      <c r="T464" s="738" t="str">
        <f t="shared" si="22"/>
        <v>Ud</v>
      </c>
      <c r="U464" s="738"/>
    </row>
    <row r="465" spans="1:27" x14ac:dyDescent="0.2">
      <c r="A465" s="294"/>
      <c r="B465" s="293"/>
      <c r="C465" s="343"/>
      <c r="D465" s="680">
        <v>273</v>
      </c>
      <c r="E465" s="871" t="s">
        <v>8</v>
      </c>
      <c r="F465" s="667">
        <v>0</v>
      </c>
      <c r="G465" s="296"/>
      <c r="H465" s="292"/>
      <c r="J465" s="293" t="s">
        <v>1101</v>
      </c>
      <c r="N465" s="876">
        <v>1</v>
      </c>
      <c r="O465" s="344"/>
      <c r="P465" s="315"/>
      <c r="Q465" s="315"/>
      <c r="R465" s="903"/>
      <c r="S465" s="738">
        <f t="shared" si="21"/>
        <v>16</v>
      </c>
      <c r="T465" s="738" t="str">
        <f t="shared" si="22"/>
        <v>Ud</v>
      </c>
      <c r="U465" s="738"/>
    </row>
    <row r="466" spans="1:27" x14ac:dyDescent="0.2">
      <c r="A466" s="294"/>
      <c r="B466" s="293"/>
      <c r="C466" s="343"/>
      <c r="D466" s="680">
        <v>438</v>
      </c>
      <c r="E466" s="871" t="s">
        <v>8</v>
      </c>
      <c r="F466" s="667">
        <v>0</v>
      </c>
      <c r="G466" s="296"/>
      <c r="H466" s="292"/>
      <c r="J466" s="293" t="s">
        <v>1101</v>
      </c>
      <c r="N466" s="876">
        <v>1</v>
      </c>
      <c r="O466" s="344"/>
      <c r="P466" s="315"/>
      <c r="Q466" s="315"/>
      <c r="R466" s="903"/>
      <c r="S466" s="738">
        <f t="shared" si="21"/>
        <v>16</v>
      </c>
      <c r="T466" s="738" t="str">
        <f t="shared" si="22"/>
        <v>Ud</v>
      </c>
      <c r="U466" s="738"/>
    </row>
    <row r="467" spans="1:27" x14ac:dyDescent="0.2">
      <c r="A467" s="294"/>
      <c r="B467" s="293"/>
      <c r="C467" s="343"/>
      <c r="D467" s="680">
        <v>486</v>
      </c>
      <c r="E467" s="871" t="s">
        <v>8</v>
      </c>
      <c r="F467" s="667">
        <v>0</v>
      </c>
      <c r="G467" s="296"/>
      <c r="H467" s="292"/>
      <c r="J467" s="293" t="s">
        <v>1101</v>
      </c>
      <c r="N467" s="876">
        <v>1</v>
      </c>
      <c r="O467" s="344"/>
      <c r="P467" s="315"/>
      <c r="Q467" s="315"/>
      <c r="R467" s="903"/>
      <c r="S467" s="738">
        <f t="shared" si="21"/>
        <v>16</v>
      </c>
      <c r="T467" s="738" t="str">
        <f t="shared" si="22"/>
        <v>Ud</v>
      </c>
      <c r="U467" s="738"/>
    </row>
    <row r="468" spans="1:27" x14ac:dyDescent="0.2">
      <c r="A468" s="294"/>
      <c r="B468" s="293"/>
      <c r="C468" s="343"/>
      <c r="D468" s="680">
        <v>486</v>
      </c>
      <c r="E468" s="871" t="s">
        <v>8</v>
      </c>
      <c r="F468" s="667">
        <v>0</v>
      </c>
      <c r="G468" s="296"/>
      <c r="H468" s="292"/>
      <c r="J468" s="293" t="s">
        <v>1102</v>
      </c>
      <c r="N468" s="876">
        <v>1</v>
      </c>
      <c r="O468" s="344"/>
      <c r="P468" s="315"/>
      <c r="Q468" s="315"/>
      <c r="R468" s="903"/>
      <c r="S468" s="738">
        <f t="shared" si="21"/>
        <v>16</v>
      </c>
      <c r="T468" s="738" t="str">
        <f t="shared" si="22"/>
        <v>Ud</v>
      </c>
      <c r="U468" s="738"/>
    </row>
    <row r="469" spans="1:27" x14ac:dyDescent="0.2">
      <c r="A469" s="294"/>
      <c r="B469" s="293"/>
      <c r="C469" s="744" t="s">
        <v>1553</v>
      </c>
      <c r="D469" s="680"/>
      <c r="E469" s="871"/>
      <c r="F469" s="667"/>
      <c r="G469" s="296"/>
      <c r="H469" s="292"/>
      <c r="N469" s="876"/>
      <c r="O469" s="344"/>
      <c r="P469" s="315"/>
      <c r="Q469" s="315"/>
      <c r="R469" s="903"/>
      <c r="S469" s="738">
        <f t="shared" si="21"/>
        <v>16</v>
      </c>
      <c r="T469" s="738" t="str">
        <f t="shared" si="22"/>
        <v>Ud</v>
      </c>
      <c r="U469" s="738"/>
    </row>
    <row r="470" spans="1:27" x14ac:dyDescent="0.2">
      <c r="A470" s="294"/>
      <c r="B470" s="293"/>
      <c r="C470" s="384"/>
      <c r="D470" s="382">
        <v>76</v>
      </c>
      <c r="E470" s="524" t="s">
        <v>8</v>
      </c>
      <c r="F470" s="675">
        <v>0</v>
      </c>
      <c r="G470" s="381"/>
      <c r="H470" s="524"/>
      <c r="J470" s="383" t="s">
        <v>1564</v>
      </c>
      <c r="K470" s="875"/>
      <c r="M470" s="875"/>
      <c r="N470" s="876">
        <v>1</v>
      </c>
      <c r="R470" s="912"/>
      <c r="S470" s="738">
        <f t="shared" si="21"/>
        <v>16</v>
      </c>
      <c r="T470" s="738" t="str">
        <f t="shared" si="22"/>
        <v>Ud</v>
      </c>
      <c r="U470" s="738"/>
      <c r="W470" s="288"/>
      <c r="X470" s="288"/>
      <c r="Y470" s="288"/>
      <c r="Z470" s="288"/>
      <c r="AA470" s="288"/>
    </row>
    <row r="471" spans="1:27" x14ac:dyDescent="0.2">
      <c r="A471" s="294"/>
      <c r="B471" s="293"/>
      <c r="C471" s="384"/>
      <c r="D471" s="382">
        <v>111</v>
      </c>
      <c r="E471" s="524" t="s">
        <v>8</v>
      </c>
      <c r="F471" s="675">
        <v>0</v>
      </c>
      <c r="G471" s="381"/>
      <c r="H471" s="524"/>
      <c r="J471" s="383" t="s">
        <v>1564</v>
      </c>
      <c r="K471" s="875"/>
      <c r="M471" s="875"/>
      <c r="N471" s="876">
        <v>1</v>
      </c>
      <c r="R471" s="912"/>
      <c r="S471" s="738">
        <f t="shared" si="21"/>
        <v>16</v>
      </c>
      <c r="T471" s="738" t="str">
        <f t="shared" si="22"/>
        <v>Ud</v>
      </c>
      <c r="U471" s="738"/>
      <c r="W471" s="288"/>
      <c r="X471" s="288"/>
      <c r="Y471" s="288"/>
      <c r="Z471" s="288"/>
      <c r="AA471" s="288"/>
    </row>
    <row r="472" spans="1:27" x14ac:dyDescent="0.2">
      <c r="A472" s="294"/>
      <c r="B472" s="293"/>
      <c r="C472" s="384"/>
      <c r="D472" s="382">
        <v>111</v>
      </c>
      <c r="E472" s="524" t="s">
        <v>8</v>
      </c>
      <c r="F472" s="675">
        <v>0</v>
      </c>
      <c r="G472" s="381"/>
      <c r="H472" s="524"/>
      <c r="J472" s="383" t="s">
        <v>1556</v>
      </c>
      <c r="K472" s="875"/>
      <c r="M472" s="875"/>
      <c r="N472" s="876">
        <v>1</v>
      </c>
      <c r="R472" s="912"/>
      <c r="S472" s="738">
        <f t="shared" si="21"/>
        <v>16</v>
      </c>
      <c r="T472" s="738" t="str">
        <f t="shared" si="22"/>
        <v>Ud</v>
      </c>
      <c r="U472" s="738"/>
      <c r="W472" s="288"/>
      <c r="X472" s="288"/>
      <c r="Y472" s="288"/>
      <c r="Z472" s="288"/>
      <c r="AA472" s="288"/>
    </row>
    <row r="473" spans="1:27" x14ac:dyDescent="0.2">
      <c r="A473" s="899"/>
      <c r="B473" s="353"/>
      <c r="C473" s="354" t="s">
        <v>2</v>
      </c>
      <c r="D473" s="355"/>
      <c r="E473" s="352"/>
      <c r="F473" s="677"/>
      <c r="G473" s="678"/>
      <c r="H473" s="356"/>
      <c r="I473" s="356"/>
      <c r="J473" s="353"/>
      <c r="K473" s="358"/>
      <c r="L473" s="358"/>
      <c r="M473" s="358"/>
      <c r="N473" s="360">
        <f>SUM(N456:N472)</f>
        <v>16</v>
      </c>
      <c r="O473" s="361" t="str">
        <f>IF(MID(B454,1,2)="LG",VLOOKUP(B454,'Compos lug'!J:M,4,FALSE),IF(MID(B454,1,1)="6",VLOOKUP(B454,tranp.!$A$6:$K$51,3,FALSE),VLOOKUP(B454,'DER 10-18'!$A$1:$I$1981,3,FALSE)))</f>
        <v>Ud</v>
      </c>
      <c r="P473" s="362"/>
      <c r="Q473" s="362"/>
      <c r="R473" s="900"/>
      <c r="S473" s="738">
        <f t="shared" si="21"/>
        <v>128</v>
      </c>
      <c r="T473" s="738" t="str">
        <f t="shared" si="22"/>
        <v>M</v>
      </c>
      <c r="U473" s="738"/>
    </row>
    <row r="474" spans="1:27" s="651" customFormat="1" x14ac:dyDescent="0.2">
      <c r="A474" s="910"/>
      <c r="B474" s="655"/>
      <c r="C474" s="656"/>
      <c r="D474" s="657"/>
      <c r="E474" s="654"/>
      <c r="F474" s="663"/>
      <c r="G474" s="664"/>
      <c r="H474" s="652"/>
      <c r="I474" s="652"/>
      <c r="J474" s="655"/>
      <c r="K474" s="653"/>
      <c r="L474" s="653"/>
      <c r="M474" s="653"/>
      <c r="N474" s="648"/>
      <c r="O474" s="660"/>
      <c r="P474" s="661"/>
      <c r="Q474" s="661"/>
      <c r="R474" s="911"/>
      <c r="S474" s="738">
        <f t="shared" si="21"/>
        <v>128</v>
      </c>
      <c r="T474" s="738" t="str">
        <f t="shared" si="22"/>
        <v>M</v>
      </c>
      <c r="U474" s="749"/>
      <c r="W474" s="714"/>
      <c r="X474" s="714"/>
      <c r="Y474" s="714"/>
      <c r="Z474" s="714"/>
      <c r="AA474" s="714"/>
    </row>
    <row r="475" spans="1:27" ht="25.5" x14ac:dyDescent="0.2">
      <c r="A475" s="913" t="s">
        <v>1359</v>
      </c>
      <c r="B475" s="666">
        <v>40683</v>
      </c>
      <c r="C475" s="347" t="str">
        <f>IF(MID(B475,1,2)="LG",VLOOKUP(B475,'Compos lug'!J:M,3,FALSE),IF(MID(B475,1,1)="6",VLOOKUP(B475,tranp.!$A$4:$K$19,11,FALSE)&amp;" -  XP="&amp;TEXT(T475,"0.000")&amp;" / XR="&amp;TEXT(V475,"0.000"),VLOOKUP(B475,'DER 10-18'!$A$1:$I$1981,2,FALSE)))</f>
        <v>Descida d'água concreto armado (degraus) c/ caiação (DSA-03A) degrau</v>
      </c>
      <c r="D475" s="1059" t="s">
        <v>1000</v>
      </c>
      <c r="E475" s="1060"/>
      <c r="F475" s="1061"/>
      <c r="G475" s="1059"/>
      <c r="H475" s="1060"/>
      <c r="I475" s="1061"/>
      <c r="J475" s="349" t="s">
        <v>989</v>
      </c>
      <c r="K475" s="876"/>
      <c r="L475" s="876"/>
      <c r="M475" s="876"/>
      <c r="N475" s="876" t="str">
        <f>CONCATENATE("Total (",IF(MID(B475,1,2)="LG",VLOOKUP(B475,'Compos lug'!J:M,4,FALSE),IF(MID(B475,1,1)="6","t",VLOOKUP(B475,'DER 10-18'!$A$1:$I$1981,3,FALSE))),")")</f>
        <v>Total (M)</v>
      </c>
      <c r="O475" s="313"/>
      <c r="P475" s="315"/>
      <c r="Q475" s="315"/>
      <c r="R475" s="909"/>
      <c r="S475" s="738">
        <f t="shared" ref="S475:S538" si="23">VLOOKUP("Total",C476:O2161,12,FALSE)</f>
        <v>128</v>
      </c>
      <c r="T475" s="738" t="str">
        <f t="shared" ref="T475:T538" si="24">VLOOKUP("Total",C476:O2161,13,FALSE)</f>
        <v>M</v>
      </c>
      <c r="U475" s="738"/>
    </row>
    <row r="476" spans="1:27" x14ac:dyDescent="0.2">
      <c r="A476" s="294"/>
      <c r="B476" s="293"/>
      <c r="C476" s="744" t="s">
        <v>1552</v>
      </c>
      <c r="N476" s="876"/>
      <c r="R476" s="912"/>
      <c r="S476" s="738">
        <f t="shared" si="23"/>
        <v>128</v>
      </c>
      <c r="T476" s="738" t="str">
        <f t="shared" si="24"/>
        <v>M</v>
      </c>
    </row>
    <row r="477" spans="1:27" x14ac:dyDescent="0.2">
      <c r="A477" s="913"/>
      <c r="B477" s="666"/>
      <c r="C477" s="347"/>
      <c r="D477" s="405">
        <v>12</v>
      </c>
      <c r="E477" s="871" t="s">
        <v>8</v>
      </c>
      <c r="F477" s="667">
        <v>0</v>
      </c>
      <c r="G477" s="871"/>
      <c r="H477" s="871"/>
      <c r="I477" s="872"/>
      <c r="J477" s="293" t="s">
        <v>1101</v>
      </c>
      <c r="K477" s="884"/>
      <c r="L477" s="876"/>
      <c r="M477" s="885"/>
      <c r="N477" s="876">
        <v>5.5</v>
      </c>
      <c r="O477" s="313"/>
      <c r="P477" s="315"/>
      <c r="Q477" s="315"/>
      <c r="R477" s="909"/>
      <c r="S477" s="738">
        <f t="shared" si="23"/>
        <v>128</v>
      </c>
      <c r="T477" s="738" t="str">
        <f t="shared" si="24"/>
        <v>M</v>
      </c>
      <c r="U477" s="738"/>
    </row>
    <row r="478" spans="1:27" x14ac:dyDescent="0.2">
      <c r="A478" s="913"/>
      <c r="B478" s="666"/>
      <c r="C478" s="347"/>
      <c r="D478" s="405">
        <v>97</v>
      </c>
      <c r="E478" s="871" t="s">
        <v>8</v>
      </c>
      <c r="F478" s="667">
        <v>0</v>
      </c>
      <c r="G478" s="871"/>
      <c r="H478" s="871"/>
      <c r="I478" s="872"/>
      <c r="J478" s="293" t="s">
        <v>1101</v>
      </c>
      <c r="K478" s="884"/>
      <c r="L478" s="876"/>
      <c r="M478" s="885"/>
      <c r="N478" s="876">
        <v>2.5</v>
      </c>
      <c r="O478" s="313"/>
      <c r="P478" s="315"/>
      <c r="Q478" s="315"/>
      <c r="R478" s="909"/>
      <c r="S478" s="738">
        <f t="shared" si="23"/>
        <v>128</v>
      </c>
      <c r="T478" s="738" t="str">
        <f t="shared" si="24"/>
        <v>M</v>
      </c>
      <c r="U478" s="738"/>
    </row>
    <row r="479" spans="1:27" x14ac:dyDescent="0.2">
      <c r="A479" s="913"/>
      <c r="B479" s="666"/>
      <c r="C479" s="347"/>
      <c r="D479" s="405">
        <v>118</v>
      </c>
      <c r="E479" s="871" t="s">
        <v>8</v>
      </c>
      <c r="F479" s="667">
        <v>0</v>
      </c>
      <c r="G479" s="871"/>
      <c r="H479" s="871"/>
      <c r="I479" s="872"/>
      <c r="J479" s="293" t="s">
        <v>1102</v>
      </c>
      <c r="K479" s="884"/>
      <c r="L479" s="876"/>
      <c r="M479" s="885"/>
      <c r="N479" s="876">
        <v>3</v>
      </c>
      <c r="O479" s="313"/>
      <c r="P479" s="315"/>
      <c r="Q479" s="315"/>
      <c r="R479" s="909"/>
      <c r="S479" s="738">
        <f t="shared" si="23"/>
        <v>128</v>
      </c>
      <c r="T479" s="738" t="str">
        <f t="shared" si="24"/>
        <v>M</v>
      </c>
      <c r="U479" s="738"/>
    </row>
    <row r="480" spans="1:27" x14ac:dyDescent="0.2">
      <c r="A480" s="294"/>
      <c r="B480" s="293"/>
      <c r="C480" s="343"/>
      <c r="D480" s="680">
        <v>345</v>
      </c>
      <c r="E480" s="871" t="s">
        <v>8</v>
      </c>
      <c r="F480" s="667">
        <v>0</v>
      </c>
      <c r="G480" s="296"/>
      <c r="H480" s="292"/>
      <c r="J480" s="293" t="s">
        <v>1101</v>
      </c>
      <c r="N480" s="876">
        <v>8</v>
      </c>
      <c r="O480" s="344"/>
      <c r="P480" s="315"/>
      <c r="Q480" s="315"/>
      <c r="R480" s="903"/>
      <c r="S480" s="738">
        <f t="shared" si="23"/>
        <v>128</v>
      </c>
      <c r="T480" s="738" t="str">
        <f t="shared" si="24"/>
        <v>M</v>
      </c>
      <c r="U480" s="738"/>
    </row>
    <row r="481" spans="1:27" x14ac:dyDescent="0.2">
      <c r="A481" s="294"/>
      <c r="B481" s="293"/>
      <c r="C481" s="343"/>
      <c r="D481" s="680">
        <v>345</v>
      </c>
      <c r="E481" s="871" t="s">
        <v>8</v>
      </c>
      <c r="F481" s="667">
        <v>0</v>
      </c>
      <c r="G481" s="296"/>
      <c r="H481" s="292"/>
      <c r="J481" s="293" t="s">
        <v>1102</v>
      </c>
      <c r="N481" s="876">
        <v>7.5</v>
      </c>
      <c r="O481" s="344"/>
      <c r="P481" s="315"/>
      <c r="Q481" s="315"/>
      <c r="R481" s="903"/>
      <c r="S481" s="738">
        <f t="shared" si="23"/>
        <v>128</v>
      </c>
      <c r="T481" s="738" t="str">
        <f t="shared" si="24"/>
        <v>M</v>
      </c>
      <c r="U481" s="738"/>
    </row>
    <row r="482" spans="1:27" x14ac:dyDescent="0.2">
      <c r="A482" s="294"/>
      <c r="B482" s="293"/>
      <c r="C482" s="343"/>
      <c r="D482" s="680">
        <v>359</v>
      </c>
      <c r="E482" s="871" t="s">
        <v>8</v>
      </c>
      <c r="F482" s="667">
        <v>10</v>
      </c>
      <c r="G482" s="296"/>
      <c r="H482" s="292"/>
      <c r="J482" s="293" t="s">
        <v>1102</v>
      </c>
      <c r="N482" s="876">
        <v>1.5</v>
      </c>
      <c r="O482" s="344"/>
      <c r="P482" s="315"/>
      <c r="Q482" s="315"/>
      <c r="R482" s="903"/>
      <c r="S482" s="738">
        <f t="shared" si="23"/>
        <v>128</v>
      </c>
      <c r="T482" s="738" t="str">
        <f t="shared" si="24"/>
        <v>M</v>
      </c>
      <c r="U482" s="738"/>
    </row>
    <row r="483" spans="1:27" x14ac:dyDescent="0.2">
      <c r="A483" s="294"/>
      <c r="B483" s="293"/>
      <c r="C483" s="343"/>
      <c r="D483" s="680">
        <v>363</v>
      </c>
      <c r="E483" s="871" t="s">
        <v>8</v>
      </c>
      <c r="F483" s="667">
        <v>0</v>
      </c>
      <c r="G483" s="296"/>
      <c r="H483" s="292"/>
      <c r="J483" s="293" t="s">
        <v>1102</v>
      </c>
      <c r="N483" s="876">
        <v>8</v>
      </c>
      <c r="O483" s="344"/>
      <c r="P483" s="315"/>
      <c r="Q483" s="315"/>
      <c r="R483" s="903"/>
      <c r="S483" s="738">
        <f t="shared" si="23"/>
        <v>128</v>
      </c>
      <c r="T483" s="738" t="str">
        <f t="shared" si="24"/>
        <v>M</v>
      </c>
      <c r="U483" s="738"/>
    </row>
    <row r="484" spans="1:27" x14ac:dyDescent="0.2">
      <c r="A484" s="294"/>
      <c r="B484" s="293"/>
      <c r="C484" s="343"/>
      <c r="D484" s="680">
        <v>368</v>
      </c>
      <c r="E484" s="871" t="s">
        <v>8</v>
      </c>
      <c r="F484" s="667">
        <v>0</v>
      </c>
      <c r="G484" s="296"/>
      <c r="H484" s="292"/>
      <c r="J484" s="293" t="s">
        <v>1102</v>
      </c>
      <c r="N484" s="876">
        <v>2</v>
      </c>
      <c r="O484" s="344"/>
      <c r="P484" s="315"/>
      <c r="Q484" s="315"/>
      <c r="R484" s="903"/>
      <c r="S484" s="738">
        <f t="shared" si="23"/>
        <v>128</v>
      </c>
      <c r="T484" s="738" t="str">
        <f t="shared" si="24"/>
        <v>M</v>
      </c>
      <c r="U484" s="738"/>
    </row>
    <row r="485" spans="1:27" x14ac:dyDescent="0.2">
      <c r="A485" s="294"/>
      <c r="B485" s="293"/>
      <c r="C485" s="343"/>
      <c r="D485" s="680">
        <v>536</v>
      </c>
      <c r="E485" s="871" t="s">
        <v>8</v>
      </c>
      <c r="F485" s="667">
        <v>18</v>
      </c>
      <c r="G485" s="296"/>
      <c r="H485" s="292"/>
      <c r="J485" s="293" t="s">
        <v>1102</v>
      </c>
      <c r="N485" s="876">
        <v>10.5</v>
      </c>
      <c r="O485" s="344"/>
      <c r="P485" s="315"/>
      <c r="Q485" s="315"/>
      <c r="R485" s="903"/>
      <c r="S485" s="738">
        <f t="shared" si="23"/>
        <v>128</v>
      </c>
      <c r="T485" s="738" t="str">
        <f t="shared" si="24"/>
        <v>M</v>
      </c>
      <c r="U485" s="738"/>
    </row>
    <row r="486" spans="1:27" x14ac:dyDescent="0.2">
      <c r="A486" s="294"/>
      <c r="B486" s="293"/>
      <c r="C486" s="343"/>
      <c r="D486" s="680">
        <v>540</v>
      </c>
      <c r="E486" s="871" t="s">
        <v>8</v>
      </c>
      <c r="F486" s="667">
        <v>10</v>
      </c>
      <c r="G486" s="296"/>
      <c r="H486" s="292"/>
      <c r="J486" s="293" t="s">
        <v>1102</v>
      </c>
      <c r="N486" s="876">
        <v>8</v>
      </c>
      <c r="O486" s="344"/>
      <c r="P486" s="315"/>
      <c r="Q486" s="315"/>
      <c r="R486" s="903"/>
      <c r="S486" s="738">
        <f t="shared" si="23"/>
        <v>128</v>
      </c>
      <c r="T486" s="738" t="str">
        <f t="shared" si="24"/>
        <v>M</v>
      </c>
      <c r="U486" s="738"/>
    </row>
    <row r="487" spans="1:27" x14ac:dyDescent="0.2">
      <c r="A487" s="294"/>
      <c r="B487" s="293"/>
      <c r="C487" s="343"/>
      <c r="D487" s="680">
        <v>546</v>
      </c>
      <c r="E487" s="871" t="s">
        <v>8</v>
      </c>
      <c r="F487" s="667">
        <v>10</v>
      </c>
      <c r="G487" s="296"/>
      <c r="H487" s="292"/>
      <c r="J487" s="293" t="s">
        <v>1102</v>
      </c>
      <c r="N487" s="876">
        <v>4.5</v>
      </c>
      <c r="O487" s="344"/>
      <c r="P487" s="315"/>
      <c r="Q487" s="315"/>
      <c r="R487" s="903"/>
      <c r="S487" s="738">
        <f t="shared" si="23"/>
        <v>128</v>
      </c>
      <c r="T487" s="738" t="str">
        <f t="shared" si="24"/>
        <v>M</v>
      </c>
      <c r="U487" s="738"/>
    </row>
    <row r="488" spans="1:27" x14ac:dyDescent="0.2">
      <c r="A488" s="294"/>
      <c r="B488" s="293"/>
      <c r="C488" s="744" t="s">
        <v>1553</v>
      </c>
      <c r="D488" s="680"/>
      <c r="E488" s="871"/>
      <c r="F488" s="667"/>
      <c r="G488" s="296"/>
      <c r="H488" s="292"/>
      <c r="N488" s="876"/>
      <c r="O488" s="344"/>
      <c r="P488" s="315"/>
      <c r="Q488" s="315"/>
      <c r="R488" s="903"/>
      <c r="S488" s="738">
        <f t="shared" si="23"/>
        <v>128</v>
      </c>
      <c r="T488" s="738" t="str">
        <f t="shared" si="24"/>
        <v>M</v>
      </c>
      <c r="U488" s="738"/>
    </row>
    <row r="489" spans="1:27" x14ac:dyDescent="0.2">
      <c r="A489" s="294"/>
      <c r="B489" s="293"/>
      <c r="C489" s="384"/>
      <c r="D489" s="382">
        <v>19</v>
      </c>
      <c r="E489" s="524" t="s">
        <v>8</v>
      </c>
      <c r="F489" s="675">
        <v>5</v>
      </c>
      <c r="G489" s="381"/>
      <c r="H489" s="524"/>
      <c r="J489" s="383" t="s">
        <v>1564</v>
      </c>
      <c r="K489" s="875"/>
      <c r="M489" s="875"/>
      <c r="N489" s="876">
        <v>12</v>
      </c>
      <c r="R489" s="912"/>
      <c r="S489" s="738">
        <f t="shared" si="23"/>
        <v>128</v>
      </c>
      <c r="T489" s="738" t="str">
        <f t="shared" si="24"/>
        <v>M</v>
      </c>
      <c r="U489" s="738"/>
      <c r="W489" s="288"/>
      <c r="X489" s="288"/>
      <c r="Y489" s="288"/>
      <c r="Z489" s="288"/>
      <c r="AA489" s="288"/>
    </row>
    <row r="490" spans="1:27" x14ac:dyDescent="0.2">
      <c r="A490" s="294"/>
      <c r="B490" s="293"/>
      <c r="C490" s="384"/>
      <c r="D490" s="382">
        <v>29</v>
      </c>
      <c r="E490" s="524" t="s">
        <v>8</v>
      </c>
      <c r="F490" s="675">
        <v>10</v>
      </c>
      <c r="G490" s="381"/>
      <c r="H490" s="524"/>
      <c r="J490" s="383" t="s">
        <v>1564</v>
      </c>
      <c r="K490" s="875"/>
      <c r="M490" s="875"/>
      <c r="N490" s="876">
        <v>20</v>
      </c>
      <c r="R490" s="912"/>
      <c r="S490" s="738">
        <f t="shared" si="23"/>
        <v>128</v>
      </c>
      <c r="T490" s="738" t="str">
        <f t="shared" si="24"/>
        <v>M</v>
      </c>
      <c r="U490" s="738"/>
      <c r="W490" s="288"/>
      <c r="X490" s="288"/>
      <c r="Y490" s="288"/>
      <c r="Z490" s="288"/>
      <c r="AA490" s="288"/>
    </row>
    <row r="491" spans="1:27" x14ac:dyDescent="0.2">
      <c r="A491" s="294"/>
      <c r="B491" s="293"/>
      <c r="C491" s="384"/>
      <c r="D491" s="382">
        <v>45</v>
      </c>
      <c r="E491" s="524" t="s">
        <v>8</v>
      </c>
      <c r="F491" s="675">
        <v>0</v>
      </c>
      <c r="G491" s="381"/>
      <c r="H491" s="524"/>
      <c r="J491" s="383" t="s">
        <v>1556</v>
      </c>
      <c r="K491" s="875"/>
      <c r="M491" s="875"/>
      <c r="N491" s="876">
        <v>20</v>
      </c>
      <c r="R491" s="912"/>
      <c r="S491" s="738">
        <f t="shared" si="23"/>
        <v>128</v>
      </c>
      <c r="T491" s="738" t="str">
        <f t="shared" si="24"/>
        <v>M</v>
      </c>
      <c r="U491" s="738"/>
      <c r="W491" s="288"/>
      <c r="X491" s="288"/>
      <c r="Y491" s="288"/>
      <c r="Z491" s="288"/>
      <c r="AA491" s="288"/>
    </row>
    <row r="492" spans="1:27" x14ac:dyDescent="0.2">
      <c r="A492" s="294"/>
      <c r="B492" s="293"/>
      <c r="C492" s="384"/>
      <c r="D492" s="382">
        <v>55</v>
      </c>
      <c r="E492" s="524" t="s">
        <v>8</v>
      </c>
      <c r="F492" s="675">
        <v>10</v>
      </c>
      <c r="G492" s="381"/>
      <c r="H492" s="524"/>
      <c r="J492" s="383" t="s">
        <v>1556</v>
      </c>
      <c r="K492" s="875"/>
      <c r="M492" s="875"/>
      <c r="N492" s="876">
        <v>15</v>
      </c>
      <c r="R492" s="912"/>
      <c r="S492" s="738">
        <f t="shared" si="23"/>
        <v>128</v>
      </c>
      <c r="T492" s="738" t="str">
        <f t="shared" si="24"/>
        <v>M</v>
      </c>
      <c r="U492" s="738"/>
      <c r="W492" s="288"/>
      <c r="X492" s="288"/>
      <c r="Y492" s="288"/>
      <c r="Z492" s="288"/>
      <c r="AA492" s="288"/>
    </row>
    <row r="493" spans="1:27" x14ac:dyDescent="0.2">
      <c r="A493" s="899"/>
      <c r="B493" s="353"/>
      <c r="C493" s="354" t="s">
        <v>2</v>
      </c>
      <c r="D493" s="355"/>
      <c r="E493" s="352"/>
      <c r="F493" s="677"/>
      <c r="G493" s="678"/>
      <c r="H493" s="356"/>
      <c r="I493" s="356"/>
      <c r="J493" s="353"/>
      <c r="K493" s="358"/>
      <c r="L493" s="358"/>
      <c r="M493" s="358"/>
      <c r="N493" s="360">
        <f>SUM(N477:N492)</f>
        <v>128</v>
      </c>
      <c r="O493" s="361" t="str">
        <f>IF(MID(B475,1,2)="LG",VLOOKUP(B475,'Compos lug'!J:M,4,FALSE),IF(MID(B475,1,1)="6",VLOOKUP(B475,tranp.!$A$6:$K$51,3,FALSE),VLOOKUP(B475,'DER 10-18'!$A$1:$I$1981,3,FALSE)))</f>
        <v>M</v>
      </c>
      <c r="P493" s="362"/>
      <c r="Q493" s="362"/>
      <c r="R493" s="900"/>
      <c r="S493" s="738">
        <f t="shared" si="23"/>
        <v>15</v>
      </c>
      <c r="T493" s="738" t="str">
        <f t="shared" si="24"/>
        <v>Ud</v>
      </c>
      <c r="U493" s="738"/>
    </row>
    <row r="494" spans="1:27" s="651" customFormat="1" x14ac:dyDescent="0.2">
      <c r="A494" s="910"/>
      <c r="B494" s="655"/>
      <c r="C494" s="656"/>
      <c r="D494" s="657"/>
      <c r="E494" s="654"/>
      <c r="F494" s="663"/>
      <c r="G494" s="664"/>
      <c r="H494" s="652"/>
      <c r="I494" s="652"/>
      <c r="J494" s="655"/>
      <c r="K494" s="653"/>
      <c r="L494" s="653"/>
      <c r="M494" s="653"/>
      <c r="N494" s="648"/>
      <c r="O494" s="660"/>
      <c r="P494" s="661"/>
      <c r="Q494" s="661"/>
      <c r="R494" s="911"/>
      <c r="S494" s="738">
        <f t="shared" si="23"/>
        <v>15</v>
      </c>
      <c r="T494" s="738" t="str">
        <f t="shared" si="24"/>
        <v>Ud</v>
      </c>
      <c r="U494" s="749"/>
      <c r="W494" s="714"/>
      <c r="X494" s="714"/>
      <c r="Y494" s="714"/>
      <c r="Z494" s="714"/>
      <c r="AA494" s="714"/>
    </row>
    <row r="495" spans="1:27" ht="25.5" x14ac:dyDescent="0.2">
      <c r="A495" s="913" t="s">
        <v>1360</v>
      </c>
      <c r="B495" s="666">
        <v>40684</v>
      </c>
      <c r="C495" s="347" t="str">
        <f>IF(MID(B495,1,2)="LG",VLOOKUP(B495,'Compos lug'!J:M,3,FALSE),IF(MID(B495,1,1)="6",VLOOKUP(B495,tranp.!$A$4:$K$19,11,FALSE)&amp;" -  XP="&amp;TEXT(T495,"0.000")&amp;" / XR="&amp;TEXT(V495,"0.000"),VLOOKUP(B495,'DER 10-18'!$A$1:$I$1981,2,FALSE)))</f>
        <v>Descida d'água concreto armado (degraus) c/ caiação (DSA-03A) apoio</v>
      </c>
      <c r="D495" s="1059" t="s">
        <v>1000</v>
      </c>
      <c r="E495" s="1060"/>
      <c r="F495" s="1061"/>
      <c r="G495" s="1059"/>
      <c r="H495" s="1060"/>
      <c r="I495" s="1061"/>
      <c r="J495" s="349" t="s">
        <v>989</v>
      </c>
      <c r="K495" s="876"/>
      <c r="L495" s="876"/>
      <c r="M495" s="876"/>
      <c r="N495" s="876" t="str">
        <f>CONCATENATE("Total (",IF(MID(B495,1,2)="LG",VLOOKUP(B495,'Compos lug'!J:M,4,FALSE),IF(MID(B495,1,1)="6","t",VLOOKUP(B495,'DER 10-18'!$A$1:$I$1981,3,FALSE))),")")</f>
        <v>Total (Ud)</v>
      </c>
      <c r="O495" s="313"/>
      <c r="P495" s="315"/>
      <c r="Q495" s="315"/>
      <c r="R495" s="909"/>
      <c r="S495" s="738">
        <f t="shared" si="23"/>
        <v>15</v>
      </c>
      <c r="T495" s="738" t="str">
        <f t="shared" si="24"/>
        <v>Ud</v>
      </c>
      <c r="U495" s="738"/>
    </row>
    <row r="496" spans="1:27" x14ac:dyDescent="0.2">
      <c r="A496" s="294"/>
      <c r="B496" s="293"/>
      <c r="C496" s="744" t="s">
        <v>1552</v>
      </c>
      <c r="N496" s="876"/>
      <c r="R496" s="912"/>
      <c r="S496" s="738">
        <f t="shared" si="23"/>
        <v>15</v>
      </c>
      <c r="T496" s="738" t="str">
        <f t="shared" si="24"/>
        <v>Ud</v>
      </c>
    </row>
    <row r="497" spans="1:27" x14ac:dyDescent="0.2">
      <c r="A497" s="913"/>
      <c r="B497" s="666"/>
      <c r="C497" s="347"/>
      <c r="D497" s="680">
        <v>12</v>
      </c>
      <c r="E497" s="871" t="s">
        <v>8</v>
      </c>
      <c r="F497" s="667">
        <v>0</v>
      </c>
      <c r="G497" s="296"/>
      <c r="H497" s="292"/>
      <c r="J497" s="293" t="s">
        <v>1101</v>
      </c>
      <c r="K497" s="884"/>
      <c r="L497" s="876"/>
      <c r="M497" s="885"/>
      <c r="N497" s="876">
        <v>1</v>
      </c>
      <c r="O497" s="313"/>
      <c r="P497" s="315"/>
      <c r="Q497" s="315"/>
      <c r="R497" s="909"/>
      <c r="S497" s="738">
        <f t="shared" si="23"/>
        <v>15</v>
      </c>
      <c r="T497" s="738" t="str">
        <f t="shared" si="24"/>
        <v>Ud</v>
      </c>
      <c r="U497" s="738"/>
    </row>
    <row r="498" spans="1:27" x14ac:dyDescent="0.2">
      <c r="A498" s="913"/>
      <c r="B498" s="666"/>
      <c r="C498" s="347"/>
      <c r="D498" s="680">
        <v>97</v>
      </c>
      <c r="E498" s="871" t="s">
        <v>8</v>
      </c>
      <c r="F498" s="667">
        <v>0</v>
      </c>
      <c r="G498" s="296"/>
      <c r="H498" s="292"/>
      <c r="J498" s="293" t="s">
        <v>1101</v>
      </c>
      <c r="K498" s="884"/>
      <c r="L498" s="876"/>
      <c r="M498" s="885"/>
      <c r="N498" s="876">
        <v>1</v>
      </c>
      <c r="O498" s="313"/>
      <c r="P498" s="315"/>
      <c r="Q498" s="315"/>
      <c r="R498" s="909"/>
      <c r="S498" s="738">
        <f t="shared" si="23"/>
        <v>15</v>
      </c>
      <c r="T498" s="738" t="str">
        <f t="shared" si="24"/>
        <v>Ud</v>
      </c>
      <c r="U498" s="738"/>
    </row>
    <row r="499" spans="1:27" x14ac:dyDescent="0.2">
      <c r="A499" s="913"/>
      <c r="B499" s="666"/>
      <c r="C499" s="347"/>
      <c r="D499" s="680">
        <v>118</v>
      </c>
      <c r="E499" s="871" t="s">
        <v>8</v>
      </c>
      <c r="F499" s="667">
        <v>0</v>
      </c>
      <c r="G499" s="296"/>
      <c r="H499" s="292"/>
      <c r="J499" s="293" t="s">
        <v>1102</v>
      </c>
      <c r="K499" s="884"/>
      <c r="L499" s="876"/>
      <c r="M499" s="885"/>
      <c r="N499" s="876">
        <v>1</v>
      </c>
      <c r="O499" s="313"/>
      <c r="P499" s="315"/>
      <c r="Q499" s="315"/>
      <c r="R499" s="909"/>
      <c r="S499" s="738">
        <f t="shared" si="23"/>
        <v>15</v>
      </c>
      <c r="T499" s="738" t="str">
        <f t="shared" si="24"/>
        <v>Ud</v>
      </c>
      <c r="U499" s="738"/>
    </row>
    <row r="500" spans="1:27" x14ac:dyDescent="0.2">
      <c r="A500" s="294"/>
      <c r="B500" s="293"/>
      <c r="C500" s="343"/>
      <c r="D500" s="680">
        <v>345</v>
      </c>
      <c r="E500" s="871" t="s">
        <v>8</v>
      </c>
      <c r="F500" s="667">
        <v>0</v>
      </c>
      <c r="G500" s="296"/>
      <c r="H500" s="292"/>
      <c r="J500" s="293" t="s">
        <v>1101</v>
      </c>
      <c r="N500" s="876">
        <v>1</v>
      </c>
      <c r="O500" s="344"/>
      <c r="P500" s="315"/>
      <c r="Q500" s="315"/>
      <c r="R500" s="903"/>
      <c r="S500" s="738">
        <f t="shared" si="23"/>
        <v>15</v>
      </c>
      <c r="T500" s="738" t="str">
        <f t="shared" si="24"/>
        <v>Ud</v>
      </c>
      <c r="U500" s="738"/>
    </row>
    <row r="501" spans="1:27" x14ac:dyDescent="0.2">
      <c r="A501" s="294"/>
      <c r="B501" s="293"/>
      <c r="C501" s="343"/>
      <c r="D501" s="680">
        <v>345</v>
      </c>
      <c r="E501" s="871" t="s">
        <v>8</v>
      </c>
      <c r="F501" s="667">
        <v>0</v>
      </c>
      <c r="G501" s="296"/>
      <c r="H501" s="292"/>
      <c r="J501" s="293" t="s">
        <v>1102</v>
      </c>
      <c r="N501" s="876">
        <v>1</v>
      </c>
      <c r="O501" s="344"/>
      <c r="P501" s="315"/>
      <c r="Q501" s="315"/>
      <c r="R501" s="903"/>
      <c r="S501" s="738">
        <f t="shared" si="23"/>
        <v>15</v>
      </c>
      <c r="T501" s="738" t="str">
        <f t="shared" si="24"/>
        <v>Ud</v>
      </c>
      <c r="U501" s="738"/>
    </row>
    <row r="502" spans="1:27" x14ac:dyDescent="0.2">
      <c r="A502" s="294"/>
      <c r="B502" s="293"/>
      <c r="C502" s="343"/>
      <c r="D502" s="680">
        <v>359</v>
      </c>
      <c r="E502" s="871" t="s">
        <v>8</v>
      </c>
      <c r="F502" s="667">
        <v>10</v>
      </c>
      <c r="G502" s="296"/>
      <c r="H502" s="292"/>
      <c r="J502" s="293" t="s">
        <v>1102</v>
      </c>
      <c r="N502" s="876">
        <v>1</v>
      </c>
      <c r="O502" s="344"/>
      <c r="P502" s="315"/>
      <c r="Q502" s="315"/>
      <c r="R502" s="903"/>
      <c r="S502" s="738">
        <f t="shared" si="23"/>
        <v>15</v>
      </c>
      <c r="T502" s="738" t="str">
        <f t="shared" si="24"/>
        <v>Ud</v>
      </c>
      <c r="U502" s="738"/>
    </row>
    <row r="503" spans="1:27" x14ac:dyDescent="0.2">
      <c r="A503" s="294"/>
      <c r="B503" s="293"/>
      <c r="C503" s="343"/>
      <c r="D503" s="680">
        <v>363</v>
      </c>
      <c r="E503" s="871" t="s">
        <v>8</v>
      </c>
      <c r="F503" s="667">
        <v>0</v>
      </c>
      <c r="G503" s="296"/>
      <c r="H503" s="292"/>
      <c r="J503" s="293" t="s">
        <v>1102</v>
      </c>
      <c r="N503" s="876">
        <v>1</v>
      </c>
      <c r="O503" s="344"/>
      <c r="P503" s="315"/>
      <c r="Q503" s="315"/>
      <c r="R503" s="903"/>
      <c r="S503" s="738">
        <f t="shared" si="23"/>
        <v>15</v>
      </c>
      <c r="T503" s="738" t="str">
        <f t="shared" si="24"/>
        <v>Ud</v>
      </c>
      <c r="U503" s="738"/>
    </row>
    <row r="504" spans="1:27" x14ac:dyDescent="0.2">
      <c r="A504" s="294"/>
      <c r="B504" s="293"/>
      <c r="C504" s="343"/>
      <c r="D504" s="680">
        <v>368</v>
      </c>
      <c r="E504" s="871" t="s">
        <v>8</v>
      </c>
      <c r="F504" s="667">
        <v>0</v>
      </c>
      <c r="G504" s="296"/>
      <c r="H504" s="292"/>
      <c r="J504" s="293" t="s">
        <v>1102</v>
      </c>
      <c r="N504" s="876">
        <v>1</v>
      </c>
      <c r="O504" s="344"/>
      <c r="P504" s="315"/>
      <c r="Q504" s="315"/>
      <c r="R504" s="903"/>
      <c r="S504" s="738">
        <f t="shared" si="23"/>
        <v>15</v>
      </c>
      <c r="T504" s="738" t="str">
        <f t="shared" si="24"/>
        <v>Ud</v>
      </c>
      <c r="U504" s="738"/>
    </row>
    <row r="505" spans="1:27" x14ac:dyDescent="0.2">
      <c r="A505" s="294"/>
      <c r="B505" s="293"/>
      <c r="C505" s="343"/>
      <c r="D505" s="680">
        <v>536</v>
      </c>
      <c r="E505" s="871" t="s">
        <v>8</v>
      </c>
      <c r="F505" s="667">
        <v>18</v>
      </c>
      <c r="G505" s="296"/>
      <c r="H505" s="292"/>
      <c r="J505" s="293" t="s">
        <v>1102</v>
      </c>
      <c r="N505" s="876">
        <v>1</v>
      </c>
      <c r="O505" s="344"/>
      <c r="P505" s="315"/>
      <c r="Q505" s="315"/>
      <c r="R505" s="903"/>
      <c r="S505" s="738">
        <f t="shared" si="23"/>
        <v>15</v>
      </c>
      <c r="T505" s="738" t="str">
        <f t="shared" si="24"/>
        <v>Ud</v>
      </c>
      <c r="U505" s="738"/>
    </row>
    <row r="506" spans="1:27" x14ac:dyDescent="0.2">
      <c r="A506" s="294"/>
      <c r="B506" s="293"/>
      <c r="C506" s="343"/>
      <c r="D506" s="680">
        <v>540</v>
      </c>
      <c r="E506" s="871" t="s">
        <v>8</v>
      </c>
      <c r="F506" s="667">
        <v>10</v>
      </c>
      <c r="G506" s="296"/>
      <c r="H506" s="292"/>
      <c r="J506" s="293" t="s">
        <v>1102</v>
      </c>
      <c r="N506" s="876">
        <v>1</v>
      </c>
      <c r="O506" s="344"/>
      <c r="P506" s="315"/>
      <c r="Q506" s="315"/>
      <c r="R506" s="903"/>
      <c r="S506" s="738">
        <f t="shared" si="23"/>
        <v>15</v>
      </c>
      <c r="T506" s="738" t="str">
        <f t="shared" si="24"/>
        <v>Ud</v>
      </c>
      <c r="U506" s="738"/>
    </row>
    <row r="507" spans="1:27" x14ac:dyDescent="0.2">
      <c r="A507" s="294"/>
      <c r="B507" s="293"/>
      <c r="C507" s="343"/>
      <c r="D507" s="680">
        <v>546</v>
      </c>
      <c r="E507" s="871" t="s">
        <v>8</v>
      </c>
      <c r="F507" s="667">
        <v>10</v>
      </c>
      <c r="G507" s="296"/>
      <c r="H507" s="292"/>
      <c r="J507" s="293" t="s">
        <v>1102</v>
      </c>
      <c r="N507" s="876">
        <v>1</v>
      </c>
      <c r="O507" s="344"/>
      <c r="P507" s="315"/>
      <c r="Q507" s="315"/>
      <c r="R507" s="903"/>
      <c r="S507" s="738">
        <f t="shared" si="23"/>
        <v>15</v>
      </c>
      <c r="T507" s="738" t="str">
        <f t="shared" si="24"/>
        <v>Ud</v>
      </c>
      <c r="U507" s="738"/>
    </row>
    <row r="508" spans="1:27" x14ac:dyDescent="0.2">
      <c r="A508" s="294"/>
      <c r="B508" s="293"/>
      <c r="C508" s="744" t="s">
        <v>1553</v>
      </c>
      <c r="D508" s="680"/>
      <c r="E508" s="871"/>
      <c r="F508" s="667"/>
      <c r="G508" s="296"/>
      <c r="H508" s="292"/>
      <c r="N508" s="876"/>
      <c r="O508" s="344"/>
      <c r="P508" s="315"/>
      <c r="Q508" s="315"/>
      <c r="R508" s="903"/>
      <c r="S508" s="738">
        <f t="shared" si="23"/>
        <v>15</v>
      </c>
      <c r="T508" s="738" t="str">
        <f t="shared" si="24"/>
        <v>Ud</v>
      </c>
      <c r="U508" s="738"/>
    </row>
    <row r="509" spans="1:27" x14ac:dyDescent="0.2">
      <c r="A509" s="294"/>
      <c r="B509" s="293"/>
      <c r="C509" s="384"/>
      <c r="D509" s="382">
        <v>19</v>
      </c>
      <c r="E509" s="524" t="s">
        <v>8</v>
      </c>
      <c r="F509" s="675">
        <v>5</v>
      </c>
      <c r="G509" s="381"/>
      <c r="H509" s="524"/>
      <c r="J509" s="383" t="s">
        <v>1564</v>
      </c>
      <c r="K509" s="875"/>
      <c r="M509" s="875"/>
      <c r="N509" s="876">
        <v>1</v>
      </c>
      <c r="R509" s="912"/>
      <c r="S509" s="738">
        <f t="shared" si="23"/>
        <v>15</v>
      </c>
      <c r="T509" s="738" t="str">
        <f t="shared" si="24"/>
        <v>Ud</v>
      </c>
      <c r="U509" s="738"/>
      <c r="W509" s="288"/>
      <c r="X509" s="288"/>
      <c r="Y509" s="288"/>
      <c r="Z509" s="288"/>
      <c r="AA509" s="288"/>
    </row>
    <row r="510" spans="1:27" x14ac:dyDescent="0.2">
      <c r="A510" s="294"/>
      <c r="B510" s="293"/>
      <c r="C510" s="384"/>
      <c r="D510" s="382">
        <v>29</v>
      </c>
      <c r="E510" s="524" t="s">
        <v>8</v>
      </c>
      <c r="F510" s="675">
        <v>10</v>
      </c>
      <c r="G510" s="381"/>
      <c r="H510" s="524"/>
      <c r="J510" s="383" t="s">
        <v>1564</v>
      </c>
      <c r="K510" s="875"/>
      <c r="M510" s="875"/>
      <c r="N510" s="876">
        <v>1</v>
      </c>
      <c r="R510" s="912"/>
      <c r="S510" s="738">
        <f t="shared" si="23"/>
        <v>15</v>
      </c>
      <c r="T510" s="738" t="str">
        <f t="shared" si="24"/>
        <v>Ud</v>
      </c>
      <c r="U510" s="738"/>
      <c r="W510" s="288"/>
      <c r="X510" s="288"/>
      <c r="Y510" s="288"/>
      <c r="Z510" s="288"/>
      <c r="AA510" s="288"/>
    </row>
    <row r="511" spans="1:27" x14ac:dyDescent="0.2">
      <c r="A511" s="294"/>
      <c r="B511" s="293"/>
      <c r="C511" s="384"/>
      <c r="D511" s="382">
        <v>45</v>
      </c>
      <c r="E511" s="524" t="s">
        <v>8</v>
      </c>
      <c r="F511" s="675">
        <v>0</v>
      </c>
      <c r="G511" s="381"/>
      <c r="H511" s="524"/>
      <c r="J511" s="383" t="s">
        <v>1556</v>
      </c>
      <c r="K511" s="875"/>
      <c r="M511" s="875"/>
      <c r="N511" s="876">
        <v>1</v>
      </c>
      <c r="R511" s="912"/>
      <c r="S511" s="738">
        <f t="shared" si="23"/>
        <v>15</v>
      </c>
      <c r="T511" s="738" t="str">
        <f t="shared" si="24"/>
        <v>Ud</v>
      </c>
      <c r="U511" s="738"/>
      <c r="W511" s="288"/>
      <c r="X511" s="288"/>
      <c r="Y511" s="288"/>
      <c r="Z511" s="288"/>
      <c r="AA511" s="288"/>
    </row>
    <row r="512" spans="1:27" x14ac:dyDescent="0.2">
      <c r="A512" s="294"/>
      <c r="B512" s="293"/>
      <c r="C512" s="384"/>
      <c r="D512" s="382">
        <v>55</v>
      </c>
      <c r="E512" s="524" t="s">
        <v>8</v>
      </c>
      <c r="F512" s="675">
        <v>10</v>
      </c>
      <c r="G512" s="381"/>
      <c r="H512" s="524"/>
      <c r="J512" s="383" t="s">
        <v>1556</v>
      </c>
      <c r="K512" s="875"/>
      <c r="M512" s="875"/>
      <c r="N512" s="876">
        <v>1</v>
      </c>
      <c r="R512" s="912"/>
      <c r="S512" s="738">
        <f t="shared" si="23"/>
        <v>15</v>
      </c>
      <c r="T512" s="738" t="str">
        <f t="shared" si="24"/>
        <v>Ud</v>
      </c>
      <c r="U512" s="738"/>
      <c r="W512" s="288"/>
      <c r="X512" s="288"/>
      <c r="Y512" s="288"/>
      <c r="Z512" s="288"/>
      <c r="AA512" s="288"/>
    </row>
    <row r="513" spans="1:27" x14ac:dyDescent="0.2">
      <c r="A513" s="899"/>
      <c r="B513" s="353"/>
      <c r="C513" s="354" t="s">
        <v>2</v>
      </c>
      <c r="D513" s="355"/>
      <c r="E513" s="352"/>
      <c r="F513" s="677"/>
      <c r="G513" s="678"/>
      <c r="H513" s="356"/>
      <c r="I513" s="356"/>
      <c r="J513" s="353"/>
      <c r="K513" s="358"/>
      <c r="L513" s="358"/>
      <c r="M513" s="358"/>
      <c r="N513" s="360">
        <f>SUM(N497:N512)</f>
        <v>15</v>
      </c>
      <c r="O513" s="361" t="str">
        <f>IF(MID(B495,1,2)="LG",VLOOKUP(B495,'Compos lug'!J:M,4,FALSE),IF(MID(B495,1,1)="6",VLOOKUP(B495,tranp.!$A$6:$K$51,3,FALSE),VLOOKUP(B495,'DER 10-18'!$A$1:$I$1981,3,FALSE)))</f>
        <v>Ud</v>
      </c>
      <c r="P513" s="362"/>
      <c r="Q513" s="362"/>
      <c r="R513" s="900"/>
      <c r="S513" s="738">
        <f t="shared" si="23"/>
        <v>78.5</v>
      </c>
      <c r="T513" s="738" t="str">
        <f t="shared" si="24"/>
        <v>M</v>
      </c>
      <c r="U513" s="738"/>
    </row>
    <row r="514" spans="1:27" s="651" customFormat="1" x14ac:dyDescent="0.2">
      <c r="A514" s="910"/>
      <c r="B514" s="655"/>
      <c r="C514" s="656"/>
      <c r="D514" s="657"/>
      <c r="E514" s="654"/>
      <c r="F514" s="663"/>
      <c r="G514" s="664"/>
      <c r="H514" s="652"/>
      <c r="I514" s="652"/>
      <c r="J514" s="655"/>
      <c r="K514" s="653"/>
      <c r="L514" s="653"/>
      <c r="M514" s="653"/>
      <c r="N514" s="648"/>
      <c r="O514" s="660"/>
      <c r="P514" s="661"/>
      <c r="Q514" s="661"/>
      <c r="R514" s="911"/>
      <c r="S514" s="738">
        <f t="shared" si="23"/>
        <v>78.5</v>
      </c>
      <c r="T514" s="738" t="str">
        <f t="shared" si="24"/>
        <v>M</v>
      </c>
      <c r="U514" s="749"/>
      <c r="W514" s="714"/>
      <c r="X514" s="714"/>
      <c r="Y514" s="714"/>
      <c r="Z514" s="714"/>
      <c r="AA514" s="714"/>
    </row>
    <row r="515" spans="1:27" ht="25.5" x14ac:dyDescent="0.2">
      <c r="A515" s="913" t="s">
        <v>1431</v>
      </c>
      <c r="B515" s="666">
        <v>40678</v>
      </c>
      <c r="C515" s="347" t="str">
        <f>IF(MID(B515,1,2)="LG",VLOOKUP(B515,'Compos lug'!J:M,3,FALSE),IF(MID(B515,1,1)="6",VLOOKUP(B515,tranp.!$A$4:$K$19,11,FALSE)&amp;" -  XP="&amp;TEXT(T515,"0.000")&amp;" / XR="&amp;TEXT(V515,"0.000"),VLOOKUP(B515,'DER 10-18'!$A$1:$I$1981,2,FALSE)))</f>
        <v>Descida d'água concreto armado (calha) c/ caiação (DSA-01A) canal</v>
      </c>
      <c r="D515" s="1059" t="s">
        <v>1000</v>
      </c>
      <c r="E515" s="1060"/>
      <c r="F515" s="1061"/>
      <c r="G515" s="1059"/>
      <c r="H515" s="1060"/>
      <c r="I515" s="1061"/>
      <c r="J515" s="349" t="s">
        <v>989</v>
      </c>
      <c r="K515" s="876"/>
      <c r="L515" s="876"/>
      <c r="M515" s="876"/>
      <c r="N515" s="876" t="str">
        <f>CONCATENATE("Total (",IF(MID(B515,1,2)="LG",VLOOKUP(B515,'Compos lug'!J:M,4,FALSE),IF(MID(B515,1,1)="6","t",VLOOKUP(B515,'DER 10-18'!$A$1:$I$1981,3,FALSE))),")")</f>
        <v>Total (M)</v>
      </c>
      <c r="O515" s="313"/>
      <c r="P515" s="315"/>
      <c r="Q515" s="315"/>
      <c r="R515" s="909"/>
      <c r="S515" s="738">
        <f t="shared" si="23"/>
        <v>78.5</v>
      </c>
      <c r="T515" s="738" t="str">
        <f t="shared" si="24"/>
        <v>M</v>
      </c>
      <c r="U515" s="738"/>
    </row>
    <row r="516" spans="1:27" x14ac:dyDescent="0.2">
      <c r="A516" s="294"/>
      <c r="B516" s="293"/>
      <c r="C516" s="744" t="s">
        <v>1552</v>
      </c>
      <c r="N516" s="876"/>
      <c r="R516" s="912"/>
      <c r="S516" s="738">
        <f t="shared" si="23"/>
        <v>78.5</v>
      </c>
      <c r="T516" s="738" t="str">
        <f t="shared" si="24"/>
        <v>M</v>
      </c>
    </row>
    <row r="517" spans="1:27" x14ac:dyDescent="0.2">
      <c r="A517" s="913"/>
      <c r="B517" s="666"/>
      <c r="C517" s="347"/>
      <c r="D517" s="680">
        <v>200</v>
      </c>
      <c r="E517" s="871" t="s">
        <v>8</v>
      </c>
      <c r="F517" s="667">
        <v>0</v>
      </c>
      <c r="G517" s="296"/>
      <c r="H517" s="292"/>
      <c r="J517" s="293" t="s">
        <v>1101</v>
      </c>
      <c r="K517" s="884"/>
      <c r="L517" s="876"/>
      <c r="M517" s="885"/>
      <c r="N517" s="876">
        <v>3</v>
      </c>
      <c r="O517" s="313"/>
      <c r="P517" s="315"/>
      <c r="Q517" s="315"/>
      <c r="R517" s="909"/>
      <c r="S517" s="738">
        <f t="shared" si="23"/>
        <v>78.5</v>
      </c>
      <c r="T517" s="738" t="str">
        <f t="shared" si="24"/>
        <v>M</v>
      </c>
      <c r="U517" s="738"/>
    </row>
    <row r="518" spans="1:27" x14ac:dyDescent="0.2">
      <c r="A518" s="913"/>
      <c r="B518" s="666"/>
      <c r="C518" s="347"/>
      <c r="D518" s="680">
        <v>200</v>
      </c>
      <c r="E518" s="871" t="s">
        <v>8</v>
      </c>
      <c r="F518" s="667">
        <v>0</v>
      </c>
      <c r="G518" s="296"/>
      <c r="H518" s="292"/>
      <c r="J518" s="293" t="s">
        <v>1102</v>
      </c>
      <c r="K518" s="884"/>
      <c r="L518" s="876"/>
      <c r="M518" s="885"/>
      <c r="N518" s="876">
        <v>4.5</v>
      </c>
      <c r="O518" s="313"/>
      <c r="P518" s="315"/>
      <c r="Q518" s="315"/>
      <c r="R518" s="909"/>
      <c r="S518" s="738">
        <f t="shared" si="23"/>
        <v>78.5</v>
      </c>
      <c r="T518" s="738" t="str">
        <f t="shared" si="24"/>
        <v>M</v>
      </c>
      <c r="U518" s="738"/>
    </row>
    <row r="519" spans="1:27" x14ac:dyDescent="0.2">
      <c r="A519" s="913"/>
      <c r="B519" s="666"/>
      <c r="C519" s="580" t="s">
        <v>1419</v>
      </c>
      <c r="D519" s="680"/>
      <c r="E519" s="871"/>
      <c r="F519" s="667"/>
      <c r="G519" s="296"/>
      <c r="H519" s="292"/>
      <c r="J519" s="293" t="s">
        <v>1101</v>
      </c>
      <c r="K519" s="884"/>
      <c r="L519" s="876"/>
      <c r="M519" s="885"/>
      <c r="N519" s="876">
        <v>5</v>
      </c>
      <c r="O519" s="313"/>
      <c r="P519" s="315"/>
      <c r="Q519" s="315"/>
      <c r="R519" s="909"/>
      <c r="S519" s="738">
        <f t="shared" si="23"/>
        <v>78.5</v>
      </c>
      <c r="T519" s="738" t="str">
        <f t="shared" si="24"/>
        <v>M</v>
      </c>
      <c r="U519" s="738"/>
    </row>
    <row r="520" spans="1:27" x14ac:dyDescent="0.2">
      <c r="A520" s="913"/>
      <c r="B520" s="666"/>
      <c r="C520" s="580" t="s">
        <v>1419</v>
      </c>
      <c r="D520" s="680"/>
      <c r="E520" s="871"/>
      <c r="F520" s="667"/>
      <c r="G520" s="296"/>
      <c r="H520" s="292"/>
      <c r="J520" s="293" t="s">
        <v>1101</v>
      </c>
      <c r="K520" s="884"/>
      <c r="L520" s="876"/>
      <c r="M520" s="885"/>
      <c r="N520" s="876">
        <v>5</v>
      </c>
      <c r="O520" s="313"/>
      <c r="P520" s="315"/>
      <c r="Q520" s="315"/>
      <c r="R520" s="909"/>
      <c r="S520" s="738">
        <f t="shared" si="23"/>
        <v>78.5</v>
      </c>
      <c r="T520" s="738" t="str">
        <f t="shared" si="24"/>
        <v>M</v>
      </c>
      <c r="U520" s="738"/>
    </row>
    <row r="521" spans="1:27" x14ac:dyDescent="0.2">
      <c r="A521" s="913"/>
      <c r="B521" s="666"/>
      <c r="C521" s="580" t="s">
        <v>1419</v>
      </c>
      <c r="D521" s="680"/>
      <c r="E521" s="871"/>
      <c r="F521" s="667"/>
      <c r="G521" s="296"/>
      <c r="H521" s="292"/>
      <c r="J521" s="293" t="s">
        <v>1102</v>
      </c>
      <c r="K521" s="884"/>
      <c r="L521" s="876"/>
      <c r="M521" s="885"/>
      <c r="N521" s="876">
        <v>5</v>
      </c>
      <c r="O521" s="313"/>
      <c r="P521" s="315"/>
      <c r="Q521" s="315"/>
      <c r="R521" s="909"/>
      <c r="S521" s="738">
        <f t="shared" si="23"/>
        <v>78.5</v>
      </c>
      <c r="T521" s="738" t="str">
        <f t="shared" si="24"/>
        <v>M</v>
      </c>
      <c r="U521" s="738"/>
    </row>
    <row r="522" spans="1:27" x14ac:dyDescent="0.2">
      <c r="A522" s="913"/>
      <c r="B522" s="666"/>
      <c r="C522" s="580" t="s">
        <v>1419</v>
      </c>
      <c r="D522" s="680"/>
      <c r="E522" s="871"/>
      <c r="F522" s="667"/>
      <c r="G522" s="296"/>
      <c r="H522" s="292"/>
      <c r="J522" s="293" t="s">
        <v>1102</v>
      </c>
      <c r="K522" s="884"/>
      <c r="L522" s="876"/>
      <c r="M522" s="885"/>
      <c r="N522" s="876">
        <v>5</v>
      </c>
      <c r="O522" s="313"/>
      <c r="P522" s="315"/>
      <c r="Q522" s="315"/>
      <c r="R522" s="909"/>
      <c r="S522" s="738">
        <f t="shared" si="23"/>
        <v>78.5</v>
      </c>
      <c r="T522" s="738" t="str">
        <f t="shared" si="24"/>
        <v>M</v>
      </c>
      <c r="U522" s="738"/>
    </row>
    <row r="523" spans="1:27" x14ac:dyDescent="0.2">
      <c r="A523" s="913"/>
      <c r="B523" s="666"/>
      <c r="C523" s="580" t="s">
        <v>1378</v>
      </c>
      <c r="D523" s="680"/>
      <c r="E523" s="871"/>
      <c r="F523" s="667"/>
      <c r="G523" s="296"/>
      <c r="H523" s="292"/>
      <c r="J523" s="293" t="s">
        <v>1101</v>
      </c>
      <c r="K523" s="884"/>
      <c r="L523" s="876"/>
      <c r="M523" s="885"/>
      <c r="N523" s="876">
        <v>5</v>
      </c>
      <c r="O523" s="313"/>
      <c r="P523" s="315"/>
      <c r="Q523" s="315"/>
      <c r="R523" s="909"/>
      <c r="S523" s="738">
        <f t="shared" si="23"/>
        <v>78.5</v>
      </c>
      <c r="T523" s="738" t="str">
        <f t="shared" si="24"/>
        <v>M</v>
      </c>
      <c r="U523" s="738"/>
    </row>
    <row r="524" spans="1:27" x14ac:dyDescent="0.2">
      <c r="A524" s="913"/>
      <c r="B524" s="666"/>
      <c r="C524" s="580" t="s">
        <v>1378</v>
      </c>
      <c r="D524" s="680"/>
      <c r="E524" s="871"/>
      <c r="F524" s="667"/>
      <c r="G524" s="296"/>
      <c r="H524" s="292"/>
      <c r="J524" s="293" t="s">
        <v>1101</v>
      </c>
      <c r="K524" s="884"/>
      <c r="L524" s="876"/>
      <c r="M524" s="885"/>
      <c r="N524" s="876">
        <v>5</v>
      </c>
      <c r="O524" s="313"/>
      <c r="P524" s="315"/>
      <c r="Q524" s="315"/>
      <c r="R524" s="909"/>
      <c r="S524" s="738">
        <f t="shared" si="23"/>
        <v>78.5</v>
      </c>
      <c r="T524" s="738" t="str">
        <f t="shared" si="24"/>
        <v>M</v>
      </c>
      <c r="U524" s="738"/>
    </row>
    <row r="525" spans="1:27" x14ac:dyDescent="0.2">
      <c r="A525" s="913"/>
      <c r="B525" s="666"/>
      <c r="C525" s="580" t="s">
        <v>1378</v>
      </c>
      <c r="D525" s="680"/>
      <c r="E525" s="871"/>
      <c r="F525" s="667"/>
      <c r="G525" s="296"/>
      <c r="H525" s="292"/>
      <c r="J525" s="293" t="s">
        <v>1102</v>
      </c>
      <c r="K525" s="884"/>
      <c r="L525" s="876"/>
      <c r="M525" s="885"/>
      <c r="N525" s="876">
        <v>5</v>
      </c>
      <c r="O525" s="313"/>
      <c r="P525" s="315"/>
      <c r="Q525" s="315"/>
      <c r="R525" s="909"/>
      <c r="S525" s="738">
        <f t="shared" si="23"/>
        <v>78.5</v>
      </c>
      <c r="T525" s="738" t="str">
        <f t="shared" si="24"/>
        <v>M</v>
      </c>
      <c r="U525" s="738"/>
    </row>
    <row r="526" spans="1:27" x14ac:dyDescent="0.2">
      <c r="A526" s="913"/>
      <c r="B526" s="666"/>
      <c r="C526" s="744" t="s">
        <v>1553</v>
      </c>
      <c r="D526" s="680"/>
      <c r="E526" s="871"/>
      <c r="F526" s="667"/>
      <c r="G526" s="296"/>
      <c r="H526" s="292"/>
      <c r="K526" s="884"/>
      <c r="L526" s="876"/>
      <c r="M526" s="885"/>
      <c r="N526" s="876"/>
      <c r="O526" s="313"/>
      <c r="P526" s="315"/>
      <c r="Q526" s="315"/>
      <c r="R526" s="909"/>
      <c r="S526" s="738">
        <f t="shared" si="23"/>
        <v>78.5</v>
      </c>
      <c r="T526" s="738" t="str">
        <f t="shared" si="24"/>
        <v>M</v>
      </c>
      <c r="U526" s="738"/>
    </row>
    <row r="527" spans="1:27" x14ac:dyDescent="0.2">
      <c r="A527" s="294"/>
      <c r="B527" s="293"/>
      <c r="C527" s="384"/>
      <c r="D527" s="382">
        <v>3</v>
      </c>
      <c r="E527" s="524" t="s">
        <v>8</v>
      </c>
      <c r="F527" s="675">
        <v>0</v>
      </c>
      <c r="G527" s="381"/>
      <c r="H527" s="524"/>
      <c r="J527" s="383" t="s">
        <v>1556</v>
      </c>
      <c r="K527" s="875"/>
      <c r="M527" s="875"/>
      <c r="N527" s="876">
        <v>8</v>
      </c>
      <c r="R527" s="912"/>
      <c r="S527" s="738">
        <f t="shared" si="23"/>
        <v>78.5</v>
      </c>
      <c r="T527" s="738" t="str">
        <f t="shared" si="24"/>
        <v>M</v>
      </c>
      <c r="U527" s="738"/>
      <c r="W527" s="288"/>
      <c r="X527" s="288"/>
      <c r="Y527" s="288"/>
      <c r="Z527" s="288"/>
      <c r="AA527" s="288"/>
    </row>
    <row r="528" spans="1:27" x14ac:dyDescent="0.2">
      <c r="A528" s="294"/>
      <c r="B528" s="293"/>
      <c r="C528" s="384"/>
      <c r="D528" s="382">
        <v>3</v>
      </c>
      <c r="E528" s="524" t="s">
        <v>8</v>
      </c>
      <c r="F528" s="675">
        <v>0</v>
      </c>
      <c r="G528" s="381"/>
      <c r="H528" s="524"/>
      <c r="J528" s="383" t="s">
        <v>1564</v>
      </c>
      <c r="K528" s="875"/>
      <c r="M528" s="875"/>
      <c r="N528" s="876">
        <v>8</v>
      </c>
      <c r="R528" s="912"/>
      <c r="S528" s="738">
        <f t="shared" si="23"/>
        <v>78.5</v>
      </c>
      <c r="T528" s="738" t="str">
        <f t="shared" si="24"/>
        <v>M</v>
      </c>
      <c r="U528" s="738"/>
      <c r="W528" s="288"/>
      <c r="X528" s="288"/>
      <c r="Y528" s="288"/>
      <c r="Z528" s="288"/>
      <c r="AA528" s="288"/>
    </row>
    <row r="529" spans="1:27" x14ac:dyDescent="0.2">
      <c r="A529" s="294"/>
      <c r="B529" s="293"/>
      <c r="C529" s="384"/>
      <c r="D529" s="382">
        <v>38</v>
      </c>
      <c r="E529" s="524" t="s">
        <v>8</v>
      </c>
      <c r="F529" s="675">
        <v>0</v>
      </c>
      <c r="G529" s="381"/>
      <c r="H529" s="524"/>
      <c r="J529" s="383" t="s">
        <v>1556</v>
      </c>
      <c r="K529" s="875"/>
      <c r="M529" s="875"/>
      <c r="N529" s="876">
        <v>10</v>
      </c>
      <c r="R529" s="912"/>
      <c r="S529" s="738">
        <f t="shared" si="23"/>
        <v>78.5</v>
      </c>
      <c r="T529" s="738" t="str">
        <f t="shared" si="24"/>
        <v>M</v>
      </c>
      <c r="U529" s="738"/>
      <c r="W529" s="288"/>
      <c r="X529" s="288"/>
      <c r="Y529" s="288"/>
      <c r="Z529" s="288"/>
      <c r="AA529" s="288"/>
    </row>
    <row r="530" spans="1:27" x14ac:dyDescent="0.2">
      <c r="A530" s="294"/>
      <c r="B530" s="293"/>
      <c r="C530" s="384"/>
      <c r="D530" s="382">
        <v>38</v>
      </c>
      <c r="E530" s="524" t="s">
        <v>8</v>
      </c>
      <c r="F530" s="675">
        <v>0</v>
      </c>
      <c r="G530" s="381"/>
      <c r="H530" s="524"/>
      <c r="J530" s="383" t="s">
        <v>1564</v>
      </c>
      <c r="K530" s="875"/>
      <c r="M530" s="875"/>
      <c r="N530" s="876">
        <v>10</v>
      </c>
      <c r="R530" s="912"/>
      <c r="S530" s="738">
        <f t="shared" si="23"/>
        <v>78.5</v>
      </c>
      <c r="T530" s="738" t="str">
        <f t="shared" si="24"/>
        <v>M</v>
      </c>
      <c r="U530" s="738"/>
      <c r="W530" s="288"/>
      <c r="X530" s="288"/>
      <c r="Y530" s="288"/>
      <c r="Z530" s="288"/>
      <c r="AA530" s="288"/>
    </row>
    <row r="531" spans="1:27" x14ac:dyDescent="0.2">
      <c r="A531" s="899"/>
      <c r="B531" s="353"/>
      <c r="C531" s="354" t="s">
        <v>2</v>
      </c>
      <c r="D531" s="355"/>
      <c r="E531" s="352"/>
      <c r="F531" s="677"/>
      <c r="G531" s="678"/>
      <c r="H531" s="356"/>
      <c r="I531" s="356"/>
      <c r="J531" s="353"/>
      <c r="K531" s="358"/>
      <c r="L531" s="358"/>
      <c r="M531" s="358"/>
      <c r="N531" s="360">
        <f>SUM(N517:N530)</f>
        <v>78.5</v>
      </c>
      <c r="O531" s="361" t="str">
        <f>IF(MID(B515,1,2)="LG",VLOOKUP(B515,'Compos lug'!J:M,4,FALSE),IF(MID(B515,1,1)="6",VLOOKUP(B515,tranp.!$A$6:$K$51,3,FALSE),VLOOKUP(B515,'DER 10-18'!$A$1:$I$1981,3,FALSE)))</f>
        <v>M</v>
      </c>
      <c r="P531" s="362"/>
      <c r="Q531" s="362"/>
      <c r="R531" s="900"/>
      <c r="S531" s="738">
        <f t="shared" si="23"/>
        <v>13</v>
      </c>
      <c r="T531" s="738" t="str">
        <f t="shared" si="24"/>
        <v>Ud</v>
      </c>
      <c r="U531" s="738"/>
    </row>
    <row r="532" spans="1:27" s="651" customFormat="1" x14ac:dyDescent="0.2">
      <c r="A532" s="910"/>
      <c r="B532" s="655"/>
      <c r="C532" s="656"/>
      <c r="D532" s="657"/>
      <c r="E532" s="654"/>
      <c r="F532" s="663"/>
      <c r="G532" s="664"/>
      <c r="H532" s="652"/>
      <c r="I532" s="652"/>
      <c r="J532" s="655"/>
      <c r="K532" s="653"/>
      <c r="L532" s="653"/>
      <c r="M532" s="653"/>
      <c r="N532" s="648"/>
      <c r="O532" s="660"/>
      <c r="P532" s="661"/>
      <c r="Q532" s="661"/>
      <c r="R532" s="911"/>
      <c r="S532" s="738">
        <f t="shared" si="23"/>
        <v>13</v>
      </c>
      <c r="T532" s="738" t="str">
        <f t="shared" si="24"/>
        <v>Ud</v>
      </c>
      <c r="U532" s="749"/>
      <c r="W532" s="714"/>
      <c r="X532" s="714"/>
      <c r="Y532" s="714"/>
      <c r="Z532" s="714"/>
      <c r="AA532" s="714"/>
    </row>
    <row r="533" spans="1:27" ht="25.5" x14ac:dyDescent="0.2">
      <c r="A533" s="913" t="s">
        <v>1507</v>
      </c>
      <c r="B533" s="666">
        <v>40679</v>
      </c>
      <c r="C533" s="347" t="str">
        <f>IF(MID(B533,1,2)="LG",VLOOKUP(B533,'Compos lug'!J:M,3,FALSE),IF(MID(B533,1,1)="6",VLOOKUP(B533,tranp.!$A$4:$K$19,11,FALSE)&amp;" -  XP="&amp;TEXT(T533,"0.000")&amp;" / XR="&amp;TEXT(V533,"0.000"),VLOOKUP(B533,'DER 10-18'!$A$1:$I$1981,2,FALSE)))</f>
        <v>Descida d'água concreto armado (calha) c/ caiação (DSA-01A) dispersor</v>
      </c>
      <c r="D533" s="1059" t="s">
        <v>1000</v>
      </c>
      <c r="E533" s="1060"/>
      <c r="F533" s="1061"/>
      <c r="G533" s="1059"/>
      <c r="H533" s="1060"/>
      <c r="I533" s="1061"/>
      <c r="J533" s="349" t="s">
        <v>989</v>
      </c>
      <c r="K533" s="876"/>
      <c r="L533" s="876"/>
      <c r="M533" s="876"/>
      <c r="N533" s="876" t="str">
        <f>CONCATENATE("Total (",IF(MID(B533,1,2)="LG",VLOOKUP(B533,'Compos lug'!J:M,4,FALSE),IF(MID(B533,1,1)="6","t",VLOOKUP(B533,'DER 10-18'!$A$1:$I$1981,3,FALSE))),")")</f>
        <v>Total (Ud)</v>
      </c>
      <c r="O533" s="313"/>
      <c r="P533" s="315"/>
      <c r="Q533" s="315"/>
      <c r="R533" s="909"/>
      <c r="S533" s="738">
        <f t="shared" si="23"/>
        <v>13</v>
      </c>
      <c r="T533" s="738" t="str">
        <f t="shared" si="24"/>
        <v>Ud</v>
      </c>
      <c r="U533" s="738"/>
    </row>
    <row r="534" spans="1:27" x14ac:dyDescent="0.2">
      <c r="A534" s="294"/>
      <c r="B534" s="293"/>
      <c r="C534" s="744" t="s">
        <v>1552</v>
      </c>
      <c r="N534" s="876"/>
      <c r="R534" s="912"/>
      <c r="S534" s="738">
        <f t="shared" si="23"/>
        <v>13</v>
      </c>
      <c r="T534" s="738" t="str">
        <f t="shared" si="24"/>
        <v>Ud</v>
      </c>
    </row>
    <row r="535" spans="1:27" x14ac:dyDescent="0.2">
      <c r="A535" s="913"/>
      <c r="B535" s="666"/>
      <c r="C535" s="347"/>
      <c r="D535" s="680">
        <v>200</v>
      </c>
      <c r="E535" s="871" t="s">
        <v>8</v>
      </c>
      <c r="F535" s="667">
        <v>0</v>
      </c>
      <c r="G535" s="296"/>
      <c r="H535" s="292"/>
      <c r="J535" s="293" t="s">
        <v>1101</v>
      </c>
      <c r="K535" s="884"/>
      <c r="L535" s="876"/>
      <c r="M535" s="885"/>
      <c r="N535" s="876">
        <v>1</v>
      </c>
      <c r="O535" s="313"/>
      <c r="P535" s="315"/>
      <c r="Q535" s="315"/>
      <c r="R535" s="909"/>
      <c r="S535" s="738">
        <f t="shared" si="23"/>
        <v>13</v>
      </c>
      <c r="T535" s="738" t="str">
        <f t="shared" si="24"/>
        <v>Ud</v>
      </c>
      <c r="U535" s="738"/>
    </row>
    <row r="536" spans="1:27" x14ac:dyDescent="0.2">
      <c r="A536" s="913"/>
      <c r="B536" s="666"/>
      <c r="C536" s="347"/>
      <c r="D536" s="680">
        <v>200</v>
      </c>
      <c r="E536" s="871" t="s">
        <v>8</v>
      </c>
      <c r="F536" s="667">
        <v>0</v>
      </c>
      <c r="G536" s="296"/>
      <c r="H536" s="292"/>
      <c r="J536" s="293" t="s">
        <v>1102</v>
      </c>
      <c r="K536" s="884"/>
      <c r="L536" s="876"/>
      <c r="M536" s="885"/>
      <c r="N536" s="876">
        <v>1</v>
      </c>
      <c r="O536" s="313"/>
      <c r="P536" s="315"/>
      <c r="Q536" s="315"/>
      <c r="R536" s="909"/>
      <c r="S536" s="738">
        <f t="shared" si="23"/>
        <v>13</v>
      </c>
      <c r="T536" s="738" t="str">
        <f t="shared" si="24"/>
        <v>Ud</v>
      </c>
      <c r="U536" s="738"/>
    </row>
    <row r="537" spans="1:27" x14ac:dyDescent="0.2">
      <c r="A537" s="913"/>
      <c r="B537" s="666"/>
      <c r="C537" s="580" t="s">
        <v>1419</v>
      </c>
      <c r="D537" s="680"/>
      <c r="E537" s="871"/>
      <c r="F537" s="667"/>
      <c r="G537" s="296"/>
      <c r="H537" s="292"/>
      <c r="J537" s="293" t="s">
        <v>1101</v>
      </c>
      <c r="K537" s="884"/>
      <c r="L537" s="876"/>
      <c r="M537" s="885"/>
      <c r="N537" s="876">
        <v>1</v>
      </c>
      <c r="O537" s="313"/>
      <c r="P537" s="315"/>
      <c r="Q537" s="315"/>
      <c r="R537" s="909"/>
      <c r="S537" s="738">
        <f t="shared" si="23"/>
        <v>13</v>
      </c>
      <c r="T537" s="738" t="str">
        <f t="shared" si="24"/>
        <v>Ud</v>
      </c>
      <c r="U537" s="738"/>
    </row>
    <row r="538" spans="1:27" x14ac:dyDescent="0.2">
      <c r="A538" s="913"/>
      <c r="B538" s="666"/>
      <c r="C538" s="580" t="s">
        <v>1419</v>
      </c>
      <c r="D538" s="680"/>
      <c r="E538" s="871"/>
      <c r="F538" s="667"/>
      <c r="G538" s="296"/>
      <c r="H538" s="292"/>
      <c r="J538" s="293" t="s">
        <v>1101</v>
      </c>
      <c r="K538" s="884"/>
      <c r="L538" s="876"/>
      <c r="M538" s="885"/>
      <c r="N538" s="876">
        <v>1</v>
      </c>
      <c r="O538" s="313"/>
      <c r="P538" s="315"/>
      <c r="Q538" s="315"/>
      <c r="R538" s="909"/>
      <c r="S538" s="738">
        <f t="shared" si="23"/>
        <v>13</v>
      </c>
      <c r="T538" s="738" t="str">
        <f t="shared" si="24"/>
        <v>Ud</v>
      </c>
      <c r="U538" s="738"/>
    </row>
    <row r="539" spans="1:27" x14ac:dyDescent="0.2">
      <c r="A539" s="913"/>
      <c r="B539" s="666"/>
      <c r="C539" s="580" t="s">
        <v>1419</v>
      </c>
      <c r="D539" s="680"/>
      <c r="E539" s="871"/>
      <c r="F539" s="667"/>
      <c r="G539" s="296"/>
      <c r="H539" s="292"/>
      <c r="J539" s="293" t="s">
        <v>1102</v>
      </c>
      <c r="K539" s="884"/>
      <c r="L539" s="876"/>
      <c r="M539" s="885"/>
      <c r="N539" s="876">
        <v>1</v>
      </c>
      <c r="O539" s="313"/>
      <c r="P539" s="315"/>
      <c r="Q539" s="315"/>
      <c r="R539" s="909"/>
      <c r="S539" s="738">
        <f t="shared" ref="S539:S602" si="25">VLOOKUP("Total",C540:O2225,12,FALSE)</f>
        <v>13</v>
      </c>
      <c r="T539" s="738" t="str">
        <f t="shared" ref="T539:T602" si="26">VLOOKUP("Total",C540:O2225,13,FALSE)</f>
        <v>Ud</v>
      </c>
      <c r="U539" s="738"/>
    </row>
    <row r="540" spans="1:27" x14ac:dyDescent="0.2">
      <c r="A540" s="913"/>
      <c r="B540" s="666"/>
      <c r="C540" s="580" t="s">
        <v>1419</v>
      </c>
      <c r="D540" s="680"/>
      <c r="E540" s="871"/>
      <c r="F540" s="667"/>
      <c r="G540" s="296"/>
      <c r="H540" s="292"/>
      <c r="J540" s="293" t="s">
        <v>1102</v>
      </c>
      <c r="K540" s="884"/>
      <c r="L540" s="876"/>
      <c r="M540" s="885"/>
      <c r="N540" s="876">
        <v>1</v>
      </c>
      <c r="O540" s="313"/>
      <c r="P540" s="315"/>
      <c r="Q540" s="315"/>
      <c r="R540" s="909"/>
      <c r="S540" s="738">
        <f t="shared" si="25"/>
        <v>13</v>
      </c>
      <c r="T540" s="738" t="str">
        <f t="shared" si="26"/>
        <v>Ud</v>
      </c>
      <c r="U540" s="738"/>
    </row>
    <row r="541" spans="1:27" x14ac:dyDescent="0.2">
      <c r="A541" s="913"/>
      <c r="B541" s="666"/>
      <c r="C541" s="580" t="s">
        <v>1378</v>
      </c>
      <c r="D541" s="680"/>
      <c r="E541" s="871"/>
      <c r="F541" s="667"/>
      <c r="G541" s="296"/>
      <c r="H541" s="292"/>
      <c r="J541" s="293" t="s">
        <v>1101</v>
      </c>
      <c r="K541" s="884"/>
      <c r="L541" s="876"/>
      <c r="M541" s="885"/>
      <c r="N541" s="876">
        <v>1</v>
      </c>
      <c r="O541" s="313"/>
      <c r="P541" s="315"/>
      <c r="Q541" s="315"/>
      <c r="R541" s="909"/>
      <c r="S541" s="738">
        <f t="shared" si="25"/>
        <v>13</v>
      </c>
      <c r="T541" s="738" t="str">
        <f t="shared" si="26"/>
        <v>Ud</v>
      </c>
      <c r="U541" s="738"/>
    </row>
    <row r="542" spans="1:27" x14ac:dyDescent="0.2">
      <c r="A542" s="913"/>
      <c r="B542" s="666"/>
      <c r="C542" s="580" t="s">
        <v>1378</v>
      </c>
      <c r="D542" s="680"/>
      <c r="E542" s="871"/>
      <c r="F542" s="667"/>
      <c r="G542" s="296"/>
      <c r="H542" s="292"/>
      <c r="J542" s="293" t="s">
        <v>1102</v>
      </c>
      <c r="K542" s="884"/>
      <c r="L542" s="876"/>
      <c r="M542" s="885"/>
      <c r="N542" s="876">
        <v>1</v>
      </c>
      <c r="O542" s="313"/>
      <c r="P542" s="315"/>
      <c r="Q542" s="315"/>
      <c r="R542" s="909"/>
      <c r="S542" s="738">
        <f t="shared" si="25"/>
        <v>13</v>
      </c>
      <c r="T542" s="738" t="str">
        <f t="shared" si="26"/>
        <v>Ud</v>
      </c>
      <c r="U542" s="738"/>
    </row>
    <row r="543" spans="1:27" x14ac:dyDescent="0.2">
      <c r="A543" s="913"/>
      <c r="B543" s="666"/>
      <c r="C543" s="580" t="s">
        <v>1378</v>
      </c>
      <c r="D543" s="680"/>
      <c r="E543" s="871"/>
      <c r="F543" s="667"/>
      <c r="G543" s="296"/>
      <c r="H543" s="292"/>
      <c r="J543" s="293" t="s">
        <v>1102</v>
      </c>
      <c r="K543" s="884"/>
      <c r="L543" s="876"/>
      <c r="M543" s="885"/>
      <c r="N543" s="876">
        <v>1</v>
      </c>
      <c r="O543" s="313"/>
      <c r="P543" s="315"/>
      <c r="Q543" s="315"/>
      <c r="R543" s="909"/>
      <c r="S543" s="738">
        <f t="shared" si="25"/>
        <v>13</v>
      </c>
      <c r="T543" s="738" t="str">
        <f t="shared" si="26"/>
        <v>Ud</v>
      </c>
      <c r="U543" s="738"/>
    </row>
    <row r="544" spans="1:27" x14ac:dyDescent="0.2">
      <c r="A544" s="913"/>
      <c r="B544" s="666"/>
      <c r="C544" s="744" t="s">
        <v>1553</v>
      </c>
      <c r="D544" s="680"/>
      <c r="E544" s="871"/>
      <c r="F544" s="667"/>
      <c r="G544" s="296"/>
      <c r="H544" s="292"/>
      <c r="K544" s="884"/>
      <c r="L544" s="876"/>
      <c r="M544" s="885"/>
      <c r="N544" s="876"/>
      <c r="O544" s="313"/>
      <c r="P544" s="315"/>
      <c r="Q544" s="315"/>
      <c r="R544" s="909"/>
      <c r="S544" s="738">
        <f t="shared" si="25"/>
        <v>13</v>
      </c>
      <c r="T544" s="738" t="str">
        <f t="shared" si="26"/>
        <v>Ud</v>
      </c>
      <c r="U544" s="738"/>
    </row>
    <row r="545" spans="1:27" x14ac:dyDescent="0.2">
      <c r="A545" s="294"/>
      <c r="B545" s="293"/>
      <c r="C545" s="384"/>
      <c r="D545" s="382">
        <v>3</v>
      </c>
      <c r="E545" s="524" t="s">
        <v>8</v>
      </c>
      <c r="F545" s="675">
        <v>0</v>
      </c>
      <c r="G545" s="381"/>
      <c r="H545" s="524"/>
      <c r="J545" s="383" t="s">
        <v>1556</v>
      </c>
      <c r="K545" s="875"/>
      <c r="M545" s="875"/>
      <c r="N545" s="876">
        <v>1</v>
      </c>
      <c r="R545" s="912"/>
      <c r="S545" s="738">
        <f t="shared" si="25"/>
        <v>13</v>
      </c>
      <c r="T545" s="738" t="str">
        <f t="shared" si="26"/>
        <v>Ud</v>
      </c>
      <c r="U545" s="738"/>
      <c r="W545" s="288"/>
      <c r="X545" s="288"/>
      <c r="Y545" s="288"/>
      <c r="Z545" s="288"/>
      <c r="AA545" s="288"/>
    </row>
    <row r="546" spans="1:27" x14ac:dyDescent="0.2">
      <c r="A546" s="294"/>
      <c r="B546" s="293"/>
      <c r="C546" s="384"/>
      <c r="D546" s="382">
        <v>3</v>
      </c>
      <c r="E546" s="524" t="s">
        <v>8</v>
      </c>
      <c r="F546" s="675">
        <v>0</v>
      </c>
      <c r="G546" s="381"/>
      <c r="H546" s="524"/>
      <c r="J546" s="383" t="s">
        <v>1564</v>
      </c>
      <c r="K546" s="875"/>
      <c r="M546" s="875"/>
      <c r="N546" s="876">
        <v>1</v>
      </c>
      <c r="R546" s="912"/>
      <c r="S546" s="738">
        <f t="shared" si="25"/>
        <v>13</v>
      </c>
      <c r="T546" s="738" t="str">
        <f t="shared" si="26"/>
        <v>Ud</v>
      </c>
      <c r="U546" s="738"/>
      <c r="W546" s="288"/>
      <c r="X546" s="288"/>
      <c r="Y546" s="288"/>
      <c r="Z546" s="288"/>
      <c r="AA546" s="288"/>
    </row>
    <row r="547" spans="1:27" x14ac:dyDescent="0.2">
      <c r="A547" s="294"/>
      <c r="B547" s="293"/>
      <c r="C547" s="384"/>
      <c r="D547" s="382">
        <v>38</v>
      </c>
      <c r="E547" s="524" t="s">
        <v>8</v>
      </c>
      <c r="F547" s="675">
        <v>0</v>
      </c>
      <c r="G547" s="381"/>
      <c r="H547" s="524"/>
      <c r="J547" s="383" t="s">
        <v>1556</v>
      </c>
      <c r="K547" s="875"/>
      <c r="M547" s="875"/>
      <c r="N547" s="876">
        <v>1</v>
      </c>
      <c r="R547" s="912"/>
      <c r="S547" s="738">
        <f t="shared" si="25"/>
        <v>13</v>
      </c>
      <c r="T547" s="738" t="str">
        <f t="shared" si="26"/>
        <v>Ud</v>
      </c>
      <c r="U547" s="738"/>
      <c r="W547" s="288"/>
      <c r="X547" s="288"/>
      <c r="Y547" s="288"/>
      <c r="Z547" s="288"/>
      <c r="AA547" s="288"/>
    </row>
    <row r="548" spans="1:27" x14ac:dyDescent="0.2">
      <c r="A548" s="294"/>
      <c r="B548" s="293"/>
      <c r="C548" s="384"/>
      <c r="D548" s="382">
        <v>38</v>
      </c>
      <c r="E548" s="524" t="s">
        <v>8</v>
      </c>
      <c r="F548" s="675">
        <v>0</v>
      </c>
      <c r="G548" s="381"/>
      <c r="H548" s="524"/>
      <c r="J548" s="383" t="s">
        <v>1564</v>
      </c>
      <c r="K548" s="875"/>
      <c r="M548" s="875"/>
      <c r="N548" s="876">
        <v>1</v>
      </c>
      <c r="R548" s="912"/>
      <c r="S548" s="738">
        <f t="shared" si="25"/>
        <v>13</v>
      </c>
      <c r="T548" s="738" t="str">
        <f t="shared" si="26"/>
        <v>Ud</v>
      </c>
      <c r="U548" s="738"/>
      <c r="W548" s="288"/>
      <c r="X548" s="288"/>
      <c r="Y548" s="288"/>
      <c r="Z548" s="288"/>
      <c r="AA548" s="288"/>
    </row>
    <row r="549" spans="1:27" x14ac:dyDescent="0.2">
      <c r="A549" s="899"/>
      <c r="B549" s="353"/>
      <c r="C549" s="354" t="s">
        <v>2</v>
      </c>
      <c r="D549" s="355"/>
      <c r="E549" s="352"/>
      <c r="F549" s="677"/>
      <c r="G549" s="678"/>
      <c r="H549" s="356"/>
      <c r="I549" s="356"/>
      <c r="J549" s="353"/>
      <c r="K549" s="358"/>
      <c r="L549" s="358"/>
      <c r="M549" s="358"/>
      <c r="N549" s="360">
        <f>SUM(N535:N548)</f>
        <v>13</v>
      </c>
      <c r="O549" s="361" t="str">
        <f>IF(MID(B533,1,2)="LG",VLOOKUP(B533,'Compos lug'!J:M,4,FALSE),IF(MID(B533,1,1)="6",VLOOKUP(B533,tranp.!$A$6:$K$51,3,FALSE),VLOOKUP(B533,'DER 10-18'!$A$1:$I$1981,3,FALSE)))</f>
        <v>Ud</v>
      </c>
      <c r="P549" s="362"/>
      <c r="Q549" s="362"/>
      <c r="R549" s="900"/>
      <c r="S549" s="738">
        <f t="shared" si="25"/>
        <v>15</v>
      </c>
      <c r="T549" s="738" t="str">
        <f t="shared" si="26"/>
        <v>Ud</v>
      </c>
      <c r="U549" s="738"/>
    </row>
    <row r="550" spans="1:27" s="651" customFormat="1" x14ac:dyDescent="0.2">
      <c r="A550" s="910"/>
      <c r="B550" s="655"/>
      <c r="C550" s="656"/>
      <c r="D550" s="657"/>
      <c r="E550" s="654"/>
      <c r="F550" s="663"/>
      <c r="G550" s="664"/>
      <c r="H550" s="652"/>
      <c r="I550" s="652"/>
      <c r="J550" s="655"/>
      <c r="K550" s="653"/>
      <c r="L550" s="653"/>
      <c r="M550" s="653"/>
      <c r="N550" s="648"/>
      <c r="O550" s="660"/>
      <c r="P550" s="661"/>
      <c r="Q550" s="661"/>
      <c r="R550" s="911"/>
      <c r="S550" s="738">
        <f t="shared" si="25"/>
        <v>15</v>
      </c>
      <c r="T550" s="738" t="str">
        <f t="shared" si="26"/>
        <v>Ud</v>
      </c>
      <c r="U550" s="749"/>
      <c r="W550" s="714"/>
      <c r="X550" s="714"/>
      <c r="Y550" s="714"/>
      <c r="Z550" s="714"/>
      <c r="AA550" s="714"/>
    </row>
    <row r="551" spans="1:27" ht="25.5" x14ac:dyDescent="0.2">
      <c r="A551" s="913" t="s">
        <v>1508</v>
      </c>
      <c r="B551" s="666">
        <v>40685</v>
      </c>
      <c r="C551" s="347" t="str">
        <f>IF(MID(B551,1,2)="LG",VLOOKUP(B551,'Compos lug'!J:M,3,FALSE),IF(MID(B551,1,1)="6",VLOOKUP(B551,tranp.!$A$4:$K$19,11,FALSE)&amp;" -  XP="&amp;TEXT(T551,"0.000")&amp;" / XR="&amp;TEXT(V551,"0.000"),VLOOKUP(B551,'DER 10-18'!$A$1:$I$1981,2,FALSE)))</f>
        <v>Descida d'água concreto armado (degraus) c/ caiação (DSA-03A) dispersor</v>
      </c>
      <c r="D551" s="1059" t="s">
        <v>1000</v>
      </c>
      <c r="E551" s="1060"/>
      <c r="F551" s="1061"/>
      <c r="G551" s="1059"/>
      <c r="H551" s="1060"/>
      <c r="I551" s="1061"/>
      <c r="J551" s="349" t="s">
        <v>989</v>
      </c>
      <c r="K551" s="876"/>
      <c r="L551" s="876"/>
      <c r="M551" s="876"/>
      <c r="N551" s="876" t="str">
        <f>CONCATENATE("Total (",IF(MID(B551,1,2)="LG",VLOOKUP(B551,'Compos lug'!J:M,4,FALSE),IF(MID(B551,1,1)="6","t",VLOOKUP(B551,'DER 10-18'!$A$1:$I$1981,3,FALSE))),")")</f>
        <v>Total (Ud)</v>
      </c>
      <c r="O551" s="313"/>
      <c r="P551" s="315"/>
      <c r="Q551" s="315"/>
      <c r="R551" s="909"/>
      <c r="S551" s="738">
        <f t="shared" si="25"/>
        <v>15</v>
      </c>
      <c r="T551" s="738" t="str">
        <f t="shared" si="26"/>
        <v>Ud</v>
      </c>
      <c r="U551" s="738"/>
    </row>
    <row r="552" spans="1:27" x14ac:dyDescent="0.2">
      <c r="A552" s="294"/>
      <c r="B552" s="293"/>
      <c r="C552" s="744" t="s">
        <v>1552</v>
      </c>
      <c r="N552" s="876"/>
      <c r="R552" s="912"/>
      <c r="S552" s="738">
        <f t="shared" si="25"/>
        <v>15</v>
      </c>
      <c r="T552" s="738" t="str">
        <f t="shared" si="26"/>
        <v>Ud</v>
      </c>
    </row>
    <row r="553" spans="1:27" x14ac:dyDescent="0.2">
      <c r="A553" s="913"/>
      <c r="B553" s="666"/>
      <c r="C553" s="347"/>
      <c r="D553" s="680">
        <v>12</v>
      </c>
      <c r="E553" s="871" t="s">
        <v>8</v>
      </c>
      <c r="F553" s="667">
        <v>0</v>
      </c>
      <c r="G553" s="296"/>
      <c r="H553" s="292"/>
      <c r="J553" s="293" t="s">
        <v>1101</v>
      </c>
      <c r="K553" s="884"/>
      <c r="L553" s="876"/>
      <c r="M553" s="885"/>
      <c r="N553" s="876">
        <v>1</v>
      </c>
      <c r="O553" s="313"/>
      <c r="P553" s="315"/>
      <c r="Q553" s="315"/>
      <c r="R553" s="909"/>
      <c r="S553" s="738">
        <f t="shared" si="25"/>
        <v>15</v>
      </c>
      <c r="T553" s="738" t="str">
        <f t="shared" si="26"/>
        <v>Ud</v>
      </c>
      <c r="U553" s="738"/>
    </row>
    <row r="554" spans="1:27" x14ac:dyDescent="0.2">
      <c r="A554" s="913"/>
      <c r="B554" s="666"/>
      <c r="C554" s="347"/>
      <c r="D554" s="680">
        <v>97</v>
      </c>
      <c r="E554" s="871" t="s">
        <v>8</v>
      </c>
      <c r="F554" s="667">
        <v>0</v>
      </c>
      <c r="G554" s="296"/>
      <c r="H554" s="292"/>
      <c r="J554" s="293" t="s">
        <v>1101</v>
      </c>
      <c r="K554" s="884"/>
      <c r="L554" s="876"/>
      <c r="M554" s="885"/>
      <c r="N554" s="876">
        <v>1</v>
      </c>
      <c r="O554" s="313"/>
      <c r="P554" s="315"/>
      <c r="Q554" s="315"/>
      <c r="R554" s="909"/>
      <c r="S554" s="738">
        <f t="shared" si="25"/>
        <v>15</v>
      </c>
      <c r="T554" s="738" t="str">
        <f t="shared" si="26"/>
        <v>Ud</v>
      </c>
      <c r="U554" s="738"/>
    </row>
    <row r="555" spans="1:27" x14ac:dyDescent="0.2">
      <c r="A555" s="913"/>
      <c r="B555" s="666"/>
      <c r="C555" s="347"/>
      <c r="D555" s="680">
        <v>118</v>
      </c>
      <c r="E555" s="871" t="s">
        <v>8</v>
      </c>
      <c r="F555" s="667">
        <v>0</v>
      </c>
      <c r="G555" s="296"/>
      <c r="H555" s="292"/>
      <c r="J555" s="293" t="s">
        <v>1102</v>
      </c>
      <c r="K555" s="884"/>
      <c r="L555" s="876"/>
      <c r="M555" s="885"/>
      <c r="N555" s="876">
        <v>1</v>
      </c>
      <c r="O555" s="313"/>
      <c r="P555" s="315"/>
      <c r="Q555" s="315"/>
      <c r="R555" s="909"/>
      <c r="S555" s="738">
        <f t="shared" si="25"/>
        <v>15</v>
      </c>
      <c r="T555" s="738" t="str">
        <f t="shared" si="26"/>
        <v>Ud</v>
      </c>
      <c r="U555" s="738"/>
    </row>
    <row r="556" spans="1:27" x14ac:dyDescent="0.2">
      <c r="A556" s="294"/>
      <c r="B556" s="293"/>
      <c r="C556" s="343"/>
      <c r="D556" s="680">
        <v>345</v>
      </c>
      <c r="E556" s="871" t="s">
        <v>8</v>
      </c>
      <c r="F556" s="667">
        <v>0</v>
      </c>
      <c r="G556" s="296"/>
      <c r="H556" s="292"/>
      <c r="J556" s="293" t="s">
        <v>1101</v>
      </c>
      <c r="N556" s="876">
        <v>1</v>
      </c>
      <c r="O556" s="344"/>
      <c r="P556" s="315"/>
      <c r="Q556" s="315"/>
      <c r="R556" s="903"/>
      <c r="S556" s="738">
        <f t="shared" si="25"/>
        <v>15</v>
      </c>
      <c r="T556" s="738" t="str">
        <f t="shared" si="26"/>
        <v>Ud</v>
      </c>
      <c r="U556" s="738"/>
    </row>
    <row r="557" spans="1:27" x14ac:dyDescent="0.2">
      <c r="A557" s="294"/>
      <c r="B557" s="293"/>
      <c r="C557" s="343"/>
      <c r="D557" s="680">
        <v>345</v>
      </c>
      <c r="E557" s="871" t="s">
        <v>8</v>
      </c>
      <c r="F557" s="667">
        <v>0</v>
      </c>
      <c r="G557" s="296"/>
      <c r="H557" s="292"/>
      <c r="J557" s="293" t="s">
        <v>1102</v>
      </c>
      <c r="N557" s="876">
        <v>1</v>
      </c>
      <c r="O557" s="344"/>
      <c r="P557" s="315"/>
      <c r="Q557" s="315"/>
      <c r="R557" s="903"/>
      <c r="S557" s="738">
        <f t="shared" si="25"/>
        <v>15</v>
      </c>
      <c r="T557" s="738" t="str">
        <f t="shared" si="26"/>
        <v>Ud</v>
      </c>
      <c r="U557" s="738"/>
    </row>
    <row r="558" spans="1:27" x14ac:dyDescent="0.2">
      <c r="A558" s="294"/>
      <c r="B558" s="293"/>
      <c r="C558" s="343"/>
      <c r="D558" s="680">
        <v>359</v>
      </c>
      <c r="E558" s="871" t="s">
        <v>8</v>
      </c>
      <c r="F558" s="667">
        <v>10</v>
      </c>
      <c r="G558" s="296"/>
      <c r="H558" s="292"/>
      <c r="J558" s="293" t="s">
        <v>1102</v>
      </c>
      <c r="N558" s="876">
        <v>1</v>
      </c>
      <c r="O558" s="344"/>
      <c r="P558" s="315"/>
      <c r="Q558" s="315"/>
      <c r="R558" s="903"/>
      <c r="S558" s="738">
        <f t="shared" si="25"/>
        <v>15</v>
      </c>
      <c r="T558" s="738" t="str">
        <f t="shared" si="26"/>
        <v>Ud</v>
      </c>
      <c r="U558" s="738"/>
    </row>
    <row r="559" spans="1:27" x14ac:dyDescent="0.2">
      <c r="A559" s="294"/>
      <c r="B559" s="293"/>
      <c r="C559" s="343"/>
      <c r="D559" s="680">
        <v>363</v>
      </c>
      <c r="E559" s="871" t="s">
        <v>8</v>
      </c>
      <c r="F559" s="667">
        <v>0</v>
      </c>
      <c r="G559" s="296"/>
      <c r="H559" s="292"/>
      <c r="J559" s="293" t="s">
        <v>1102</v>
      </c>
      <c r="N559" s="876">
        <v>1</v>
      </c>
      <c r="O559" s="344"/>
      <c r="P559" s="315"/>
      <c r="Q559" s="315"/>
      <c r="R559" s="903"/>
      <c r="S559" s="738">
        <f t="shared" si="25"/>
        <v>15</v>
      </c>
      <c r="T559" s="738" t="str">
        <f t="shared" si="26"/>
        <v>Ud</v>
      </c>
      <c r="U559" s="738"/>
    </row>
    <row r="560" spans="1:27" x14ac:dyDescent="0.2">
      <c r="A560" s="294"/>
      <c r="B560" s="293"/>
      <c r="C560" s="343"/>
      <c r="D560" s="680">
        <v>368</v>
      </c>
      <c r="E560" s="871" t="s">
        <v>8</v>
      </c>
      <c r="F560" s="667">
        <v>0</v>
      </c>
      <c r="G560" s="296"/>
      <c r="H560" s="292"/>
      <c r="J560" s="293" t="s">
        <v>1102</v>
      </c>
      <c r="N560" s="876">
        <v>1</v>
      </c>
      <c r="O560" s="344"/>
      <c r="P560" s="315"/>
      <c r="Q560" s="315"/>
      <c r="R560" s="903"/>
      <c r="S560" s="738">
        <f t="shared" si="25"/>
        <v>15</v>
      </c>
      <c r="T560" s="738" t="str">
        <f t="shared" si="26"/>
        <v>Ud</v>
      </c>
      <c r="U560" s="738"/>
    </row>
    <row r="561" spans="1:27" x14ac:dyDescent="0.2">
      <c r="A561" s="294"/>
      <c r="B561" s="293"/>
      <c r="C561" s="343"/>
      <c r="D561" s="680">
        <v>537</v>
      </c>
      <c r="E561" s="871" t="s">
        <v>8</v>
      </c>
      <c r="F561" s="667">
        <v>0</v>
      </c>
      <c r="G561" s="296"/>
      <c r="H561" s="292"/>
      <c r="J561" s="293" t="s">
        <v>1102</v>
      </c>
      <c r="N561" s="876">
        <v>1</v>
      </c>
      <c r="O561" s="344"/>
      <c r="P561" s="315"/>
      <c r="Q561" s="315"/>
      <c r="R561" s="903"/>
      <c r="S561" s="738">
        <f t="shared" si="25"/>
        <v>15</v>
      </c>
      <c r="T561" s="738" t="str">
        <f t="shared" si="26"/>
        <v>Ud</v>
      </c>
      <c r="U561" s="738"/>
    </row>
    <row r="562" spans="1:27" x14ac:dyDescent="0.2">
      <c r="A562" s="294"/>
      <c r="B562" s="293"/>
      <c r="C562" s="343"/>
      <c r="D562" s="680">
        <v>540</v>
      </c>
      <c r="E562" s="871" t="s">
        <v>8</v>
      </c>
      <c r="F562" s="667">
        <v>10</v>
      </c>
      <c r="G562" s="296"/>
      <c r="H562" s="292"/>
      <c r="J562" s="293" t="s">
        <v>1102</v>
      </c>
      <c r="N562" s="876">
        <v>1</v>
      </c>
      <c r="O562" s="344"/>
      <c r="P562" s="315"/>
      <c r="Q562" s="315"/>
      <c r="R562" s="903"/>
      <c r="S562" s="738">
        <f t="shared" si="25"/>
        <v>15</v>
      </c>
      <c r="T562" s="738" t="str">
        <f t="shared" si="26"/>
        <v>Ud</v>
      </c>
      <c r="U562" s="738"/>
    </row>
    <row r="563" spans="1:27" x14ac:dyDescent="0.2">
      <c r="A563" s="294"/>
      <c r="B563" s="293"/>
      <c r="C563" s="343"/>
      <c r="D563" s="680">
        <v>546</v>
      </c>
      <c r="E563" s="871" t="s">
        <v>8</v>
      </c>
      <c r="F563" s="667">
        <v>10</v>
      </c>
      <c r="G563" s="296"/>
      <c r="H563" s="292"/>
      <c r="J563" s="293" t="s">
        <v>1102</v>
      </c>
      <c r="N563" s="876">
        <v>1</v>
      </c>
      <c r="O563" s="344"/>
      <c r="P563" s="315"/>
      <c r="Q563" s="315"/>
      <c r="R563" s="903"/>
      <c r="S563" s="738">
        <f t="shared" si="25"/>
        <v>15</v>
      </c>
      <c r="T563" s="738" t="str">
        <f t="shared" si="26"/>
        <v>Ud</v>
      </c>
      <c r="U563" s="738"/>
    </row>
    <row r="564" spans="1:27" x14ac:dyDescent="0.2">
      <c r="A564" s="294"/>
      <c r="B564" s="293"/>
      <c r="C564" s="744" t="s">
        <v>1553</v>
      </c>
      <c r="D564" s="680"/>
      <c r="E564" s="871"/>
      <c r="F564" s="667"/>
      <c r="G564" s="296"/>
      <c r="H564" s="292"/>
      <c r="N564" s="876"/>
      <c r="O564" s="344"/>
      <c r="P564" s="315"/>
      <c r="Q564" s="315"/>
      <c r="R564" s="903"/>
      <c r="S564" s="738">
        <f t="shared" si="25"/>
        <v>15</v>
      </c>
      <c r="T564" s="738" t="str">
        <f t="shared" si="26"/>
        <v>Ud</v>
      </c>
      <c r="U564" s="738"/>
    </row>
    <row r="565" spans="1:27" x14ac:dyDescent="0.2">
      <c r="A565" s="294"/>
      <c r="B565" s="293"/>
      <c r="C565" s="384"/>
      <c r="D565" s="382">
        <v>19</v>
      </c>
      <c r="E565" s="524" t="s">
        <v>8</v>
      </c>
      <c r="F565" s="675">
        <v>5</v>
      </c>
      <c r="G565" s="381"/>
      <c r="H565" s="524"/>
      <c r="J565" s="383" t="s">
        <v>1564</v>
      </c>
      <c r="K565" s="875"/>
      <c r="M565" s="875"/>
      <c r="N565" s="876">
        <v>1</v>
      </c>
      <c r="R565" s="912"/>
      <c r="S565" s="738">
        <f t="shared" si="25"/>
        <v>15</v>
      </c>
      <c r="T565" s="738" t="str">
        <f t="shared" si="26"/>
        <v>Ud</v>
      </c>
      <c r="U565" s="738"/>
      <c r="W565" s="288"/>
      <c r="X565" s="288"/>
      <c r="Y565" s="288"/>
      <c r="Z565" s="288"/>
      <c r="AA565" s="288"/>
    </row>
    <row r="566" spans="1:27" x14ac:dyDescent="0.2">
      <c r="A566" s="294"/>
      <c r="B566" s="293"/>
      <c r="C566" s="384"/>
      <c r="D566" s="382">
        <v>29</v>
      </c>
      <c r="E566" s="524" t="s">
        <v>8</v>
      </c>
      <c r="F566" s="675">
        <v>10</v>
      </c>
      <c r="G566" s="381"/>
      <c r="H566" s="524"/>
      <c r="J566" s="383" t="s">
        <v>1564</v>
      </c>
      <c r="K566" s="875"/>
      <c r="M566" s="875"/>
      <c r="N566" s="876">
        <v>1</v>
      </c>
      <c r="R566" s="912"/>
      <c r="S566" s="738">
        <f t="shared" si="25"/>
        <v>15</v>
      </c>
      <c r="T566" s="738" t="str">
        <f t="shared" si="26"/>
        <v>Ud</v>
      </c>
      <c r="U566" s="738"/>
      <c r="W566" s="288"/>
      <c r="X566" s="288"/>
      <c r="Y566" s="288"/>
      <c r="Z566" s="288"/>
      <c r="AA566" s="288"/>
    </row>
    <row r="567" spans="1:27" x14ac:dyDescent="0.2">
      <c r="A567" s="294"/>
      <c r="B567" s="293"/>
      <c r="C567" s="384"/>
      <c r="D567" s="382">
        <v>45</v>
      </c>
      <c r="E567" s="524" t="s">
        <v>8</v>
      </c>
      <c r="F567" s="675">
        <v>0</v>
      </c>
      <c r="G567" s="381"/>
      <c r="H567" s="524"/>
      <c r="J567" s="383" t="s">
        <v>1556</v>
      </c>
      <c r="K567" s="875"/>
      <c r="M567" s="875"/>
      <c r="N567" s="876">
        <v>1</v>
      </c>
      <c r="R567" s="912"/>
      <c r="S567" s="738">
        <f t="shared" si="25"/>
        <v>15</v>
      </c>
      <c r="T567" s="738" t="str">
        <f t="shared" si="26"/>
        <v>Ud</v>
      </c>
      <c r="U567" s="738"/>
      <c r="W567" s="288"/>
      <c r="X567" s="288"/>
      <c r="Y567" s="288"/>
      <c r="Z567" s="288"/>
      <c r="AA567" s="288"/>
    </row>
    <row r="568" spans="1:27" x14ac:dyDescent="0.2">
      <c r="A568" s="294"/>
      <c r="B568" s="293"/>
      <c r="C568" s="384"/>
      <c r="D568" s="382">
        <v>55</v>
      </c>
      <c r="E568" s="524" t="s">
        <v>8</v>
      </c>
      <c r="F568" s="675">
        <v>10</v>
      </c>
      <c r="G568" s="381"/>
      <c r="H568" s="524"/>
      <c r="J568" s="383" t="s">
        <v>1556</v>
      </c>
      <c r="K568" s="875"/>
      <c r="M568" s="875"/>
      <c r="N568" s="876">
        <v>1</v>
      </c>
      <c r="R568" s="912"/>
      <c r="S568" s="738">
        <f t="shared" si="25"/>
        <v>15</v>
      </c>
      <c r="T568" s="738" t="str">
        <f t="shared" si="26"/>
        <v>Ud</v>
      </c>
      <c r="U568" s="738"/>
      <c r="W568" s="288"/>
      <c r="X568" s="288"/>
      <c r="Y568" s="288"/>
      <c r="Z568" s="288"/>
      <c r="AA568" s="288"/>
    </row>
    <row r="569" spans="1:27" x14ac:dyDescent="0.2">
      <c r="A569" s="899"/>
      <c r="B569" s="353"/>
      <c r="C569" s="354" t="s">
        <v>2</v>
      </c>
      <c r="D569" s="355"/>
      <c r="E569" s="352"/>
      <c r="F569" s="677"/>
      <c r="G569" s="678"/>
      <c r="H569" s="356"/>
      <c r="I569" s="356"/>
      <c r="J569" s="353"/>
      <c r="K569" s="358"/>
      <c r="L569" s="358"/>
      <c r="M569" s="358"/>
      <c r="N569" s="360">
        <f>SUM(N553:N568)</f>
        <v>15</v>
      </c>
      <c r="O569" s="361" t="str">
        <f>IF(MID(B551,1,2)="LG",VLOOKUP(B551,'Compos lug'!J:M,4,FALSE),IF(MID(B551,1,1)="6",VLOOKUP(B551,tranp.!$A$6:$K$51,3,FALSE),VLOOKUP(B551,'DER 10-18'!$A$1:$I$1981,3,FALSE)))</f>
        <v>Ud</v>
      </c>
      <c r="P569" s="362"/>
      <c r="Q569" s="362"/>
      <c r="R569" s="900"/>
      <c r="S569" s="738">
        <f t="shared" si="25"/>
        <v>30</v>
      </c>
      <c r="T569" s="738" t="str">
        <f t="shared" si="26"/>
        <v>m</v>
      </c>
      <c r="U569" s="738"/>
    </row>
    <row r="570" spans="1:27" x14ac:dyDescent="0.2">
      <c r="A570" s="294"/>
      <c r="B570" s="293"/>
      <c r="C570" s="343"/>
      <c r="F570" s="675"/>
      <c r="G570" s="296"/>
      <c r="H570" s="292"/>
      <c r="K570" s="298"/>
      <c r="M570" s="298"/>
      <c r="N570" s="314"/>
      <c r="O570" s="344"/>
      <c r="P570" s="315"/>
      <c r="Q570" s="315"/>
      <c r="R570" s="903"/>
      <c r="S570" s="738">
        <f t="shared" si="25"/>
        <v>30</v>
      </c>
      <c r="T570" s="738" t="str">
        <f t="shared" si="26"/>
        <v>m</v>
      </c>
      <c r="U570" s="738"/>
    </row>
    <row r="571" spans="1:27" x14ac:dyDescent="0.2">
      <c r="A571" s="913" t="s">
        <v>1524</v>
      </c>
      <c r="B571" s="666" t="s">
        <v>1511</v>
      </c>
      <c r="C571" s="347" t="str">
        <f>IF(MID(B571,1,2)="LG",VLOOKUP(B571,'Compos lug'!J:M,3,FALSE),IF(MID(B571,1,1)="6",VLOOKUP(B571,tranp.!$A$4:$K$21,11,FALSE)&amp;" -  XP="&amp;TEXT(T571,"0,000")&amp;" / XR="&amp;TEXT(V571,"0,000"),VLOOKUP(B571,'DER 10-18'!$A$1:$I$1994,2,FALSE)))</f>
        <v>Descida d'agua para Cortes - DCD 02</v>
      </c>
      <c r="D571" s="1059" t="s">
        <v>1000</v>
      </c>
      <c r="E571" s="1060"/>
      <c r="F571" s="1061"/>
      <c r="G571" s="1059" t="s">
        <v>1001</v>
      </c>
      <c r="H571" s="1060"/>
      <c r="I571" s="1061"/>
      <c r="J571" s="349" t="s">
        <v>989</v>
      </c>
      <c r="K571" s="876"/>
      <c r="L571" s="876"/>
      <c r="M571" s="876"/>
      <c r="N571" s="876" t="str">
        <f>CONCATENATE("Total (",IF(MID(B571,1,2)="LG",VLOOKUP(B571,'Compos lug'!J:M,4,FALSE),IF(MID(B571,1,1)="6","t",VLOOKUP(B571,'DER 10-18'!$A$1:$I$1994,3,FALSE))),")")</f>
        <v>Total (m)</v>
      </c>
      <c r="O571" s="313"/>
      <c r="P571" s="315"/>
      <c r="Q571" s="315"/>
      <c r="R571" s="909"/>
      <c r="S571" s="738">
        <f t="shared" si="25"/>
        <v>30</v>
      </c>
      <c r="T571" s="738" t="str">
        <f t="shared" si="26"/>
        <v>m</v>
      </c>
      <c r="U571" s="738"/>
      <c r="W571" s="288"/>
      <c r="X571" s="288"/>
      <c r="Y571" s="288"/>
      <c r="Z571" s="288"/>
      <c r="AA571" s="288"/>
    </row>
    <row r="572" spans="1:27" x14ac:dyDescent="0.2">
      <c r="A572" s="294"/>
      <c r="B572" s="293"/>
      <c r="C572" s="384"/>
      <c r="D572" s="382">
        <v>12</v>
      </c>
      <c r="E572" s="524" t="s">
        <v>8</v>
      </c>
      <c r="F572" s="675">
        <v>10</v>
      </c>
      <c r="G572" s="381"/>
      <c r="H572" s="524"/>
      <c r="J572" s="383" t="s">
        <v>1556</v>
      </c>
      <c r="K572" s="875"/>
      <c r="M572" s="875"/>
      <c r="N572" s="876">
        <v>15</v>
      </c>
      <c r="R572" s="912"/>
      <c r="S572" s="738">
        <f t="shared" si="25"/>
        <v>30</v>
      </c>
      <c r="T572" s="738" t="str">
        <f t="shared" si="26"/>
        <v>m</v>
      </c>
      <c r="U572" s="738"/>
      <c r="W572" s="288"/>
      <c r="X572" s="288"/>
      <c r="Y572" s="288"/>
      <c r="Z572" s="288"/>
      <c r="AA572" s="288"/>
    </row>
    <row r="573" spans="1:27" x14ac:dyDescent="0.2">
      <c r="A573" s="294"/>
      <c r="B573" s="293"/>
      <c r="C573" s="384"/>
      <c r="D573" s="382">
        <v>45</v>
      </c>
      <c r="E573" s="524" t="s">
        <v>8</v>
      </c>
      <c r="F573" s="675">
        <v>0</v>
      </c>
      <c r="G573" s="381"/>
      <c r="H573" s="524"/>
      <c r="J573" s="383" t="s">
        <v>1564</v>
      </c>
      <c r="K573" s="875"/>
      <c r="M573" s="875"/>
      <c r="N573" s="876">
        <v>15</v>
      </c>
      <c r="R573" s="912"/>
      <c r="S573" s="738">
        <f t="shared" si="25"/>
        <v>30</v>
      </c>
      <c r="T573" s="738" t="str">
        <f t="shared" si="26"/>
        <v>m</v>
      </c>
      <c r="U573" s="738"/>
      <c r="W573" s="288"/>
      <c r="X573" s="288"/>
      <c r="Y573" s="288"/>
      <c r="Z573" s="288"/>
      <c r="AA573" s="288"/>
    </row>
    <row r="574" spans="1:27" x14ac:dyDescent="0.2">
      <c r="A574" s="899"/>
      <c r="B574" s="353"/>
      <c r="C574" s="354" t="s">
        <v>2</v>
      </c>
      <c r="D574" s="355"/>
      <c r="E574" s="352"/>
      <c r="F574" s="677"/>
      <c r="G574" s="678"/>
      <c r="H574" s="356"/>
      <c r="I574" s="356"/>
      <c r="J574" s="353"/>
      <c r="K574" s="358"/>
      <c r="L574" s="358"/>
      <c r="M574" s="358"/>
      <c r="N574" s="360">
        <f>SUM(N572:N573)</f>
        <v>30</v>
      </c>
      <c r="O574" s="361" t="str">
        <f>IF(MID(B571,1,2)="LG",VLOOKUP(B571,'Compos lug'!J:M,4,FALSE),IF(MID(B571,1,1)="6",VLOOKUP(B571,tranp.!$A$6:$K$38,3,FALSE),VLOOKUP(B571,'DER 10-18'!$A$1:$I$1994,3,FALSE)))</f>
        <v>m</v>
      </c>
      <c r="P574" s="362"/>
      <c r="Q574" s="362"/>
      <c r="R574" s="900"/>
      <c r="S574" s="738">
        <f t="shared" si="25"/>
        <v>4</v>
      </c>
      <c r="T574" s="738" t="str">
        <f t="shared" si="26"/>
        <v>Ud</v>
      </c>
      <c r="U574" s="738"/>
      <c r="W574" s="288"/>
      <c r="X574" s="288"/>
      <c r="Y574" s="288"/>
      <c r="Z574" s="288"/>
      <c r="AA574" s="288"/>
    </row>
    <row r="575" spans="1:27" s="651" customFormat="1" x14ac:dyDescent="0.2">
      <c r="A575" s="910"/>
      <c r="B575" s="655"/>
      <c r="C575" s="656"/>
      <c r="D575" s="657"/>
      <c r="E575" s="654"/>
      <c r="F575" s="663"/>
      <c r="G575" s="664"/>
      <c r="H575" s="652"/>
      <c r="I575" s="652"/>
      <c r="J575" s="655"/>
      <c r="K575" s="653"/>
      <c r="L575" s="653"/>
      <c r="M575" s="653"/>
      <c r="N575" s="648"/>
      <c r="O575" s="660"/>
      <c r="P575" s="661"/>
      <c r="Q575" s="661"/>
      <c r="R575" s="911"/>
      <c r="S575" s="738">
        <f t="shared" si="25"/>
        <v>4</v>
      </c>
      <c r="T575" s="738" t="str">
        <f t="shared" si="26"/>
        <v>Ud</v>
      </c>
      <c r="U575" s="749"/>
      <c r="W575" s="714"/>
      <c r="X575" s="714"/>
      <c r="Y575" s="714"/>
      <c r="Z575" s="714"/>
      <c r="AA575" s="714"/>
    </row>
    <row r="576" spans="1:27" ht="28.5" customHeight="1" x14ac:dyDescent="0.2">
      <c r="A576" s="913" t="s">
        <v>1525</v>
      </c>
      <c r="B576" s="666">
        <v>40735</v>
      </c>
      <c r="C576" s="347" t="str">
        <f>IF(MID(B576,1,2)="LG",VLOOKUP(B576,'Compos lug'!J:M,3,FALSE),IF(MID(B576,1,1)="6",VLOOKUP(B576,tranp.!$A$4:$K$19,11,FALSE)&amp;" -  XP="&amp;TEXT(T576,"0.000")&amp;" / XR="&amp;TEXT(V576,"0.000"),VLOOKUP(B576,'DER 10-18'!$A$1:$I$1981,2,FALSE)))</f>
        <v>Dissipador de energia aplicado a saída de bueiro/descida d'água de aterro (DEB-04)</v>
      </c>
      <c r="D576" s="1059" t="s">
        <v>1000</v>
      </c>
      <c r="E576" s="1060"/>
      <c r="F576" s="1061"/>
      <c r="G576" s="1059"/>
      <c r="H576" s="1060"/>
      <c r="I576" s="1061"/>
      <c r="J576" s="349" t="s">
        <v>989</v>
      </c>
      <c r="K576" s="876"/>
      <c r="L576" s="876"/>
      <c r="M576" s="876"/>
      <c r="N576" s="876" t="str">
        <f>CONCATENATE("Total (",IF(MID(B576,1,2)="LG",VLOOKUP(B576,'Compos lug'!J:M,4,FALSE),IF(MID(B576,1,1)="6","t",VLOOKUP(B576,'DER 10-18'!$A$1:$I$1981,3,FALSE))),")")</f>
        <v>Total (Ud)</v>
      </c>
      <c r="O576" s="313"/>
      <c r="P576" s="315"/>
      <c r="Q576" s="315"/>
      <c r="R576" s="909"/>
      <c r="S576" s="738">
        <f t="shared" si="25"/>
        <v>4</v>
      </c>
      <c r="T576" s="738" t="str">
        <f t="shared" si="26"/>
        <v>Ud</v>
      </c>
      <c r="U576" s="738"/>
    </row>
    <row r="577" spans="1:27" x14ac:dyDescent="0.2">
      <c r="A577" s="294"/>
      <c r="B577" s="293"/>
      <c r="C577" s="744" t="s">
        <v>1552</v>
      </c>
      <c r="N577" s="876"/>
      <c r="R577" s="912"/>
      <c r="S577" s="738">
        <f t="shared" si="25"/>
        <v>4</v>
      </c>
      <c r="T577" s="738" t="str">
        <f t="shared" si="26"/>
        <v>Ud</v>
      </c>
    </row>
    <row r="578" spans="1:27" x14ac:dyDescent="0.2">
      <c r="A578" s="913"/>
      <c r="B578" s="666"/>
      <c r="C578" s="347"/>
      <c r="D578" s="870">
        <v>12</v>
      </c>
      <c r="E578" s="871" t="s">
        <v>8</v>
      </c>
      <c r="F578" s="667">
        <v>0</v>
      </c>
      <c r="G578" s="871"/>
      <c r="H578" s="871"/>
      <c r="I578" s="871"/>
      <c r="J578" s="349" t="s">
        <v>1101</v>
      </c>
      <c r="K578" s="884"/>
      <c r="L578" s="876"/>
      <c r="M578" s="885"/>
      <c r="N578" s="876">
        <v>1</v>
      </c>
      <c r="O578" s="313"/>
      <c r="P578" s="315"/>
      <c r="Q578" s="315"/>
      <c r="R578" s="909"/>
      <c r="S578" s="738">
        <f t="shared" si="25"/>
        <v>4</v>
      </c>
      <c r="T578" s="738" t="str">
        <f t="shared" si="26"/>
        <v>Ud</v>
      </c>
      <c r="U578" s="738"/>
    </row>
    <row r="579" spans="1:27" x14ac:dyDescent="0.2">
      <c r="A579" s="913"/>
      <c r="B579" s="666"/>
      <c r="C579" s="347"/>
      <c r="D579" s="870">
        <v>359</v>
      </c>
      <c r="E579" s="871" t="s">
        <v>8</v>
      </c>
      <c r="F579" s="667">
        <v>10</v>
      </c>
      <c r="G579" s="871"/>
      <c r="H579" s="871"/>
      <c r="I579" s="871"/>
      <c r="J579" s="349" t="s">
        <v>1102</v>
      </c>
      <c r="K579" s="884"/>
      <c r="L579" s="876"/>
      <c r="M579" s="885"/>
      <c r="N579" s="876">
        <v>1</v>
      </c>
      <c r="O579" s="313"/>
      <c r="P579" s="315"/>
      <c r="Q579" s="315"/>
      <c r="R579" s="909"/>
      <c r="S579" s="738">
        <f t="shared" si="25"/>
        <v>4</v>
      </c>
      <c r="T579" s="738" t="str">
        <f t="shared" si="26"/>
        <v>Ud</v>
      </c>
      <c r="U579" s="738"/>
    </row>
    <row r="580" spans="1:27" x14ac:dyDescent="0.2">
      <c r="A580" s="913"/>
      <c r="B580" s="666"/>
      <c r="C580" s="347"/>
      <c r="D580" s="870">
        <v>368</v>
      </c>
      <c r="E580" s="871" t="s">
        <v>8</v>
      </c>
      <c r="F580" s="667">
        <v>0</v>
      </c>
      <c r="G580" s="871"/>
      <c r="H580" s="871"/>
      <c r="I580" s="871"/>
      <c r="J580" s="349" t="s">
        <v>1102</v>
      </c>
      <c r="K580" s="884"/>
      <c r="L580" s="876"/>
      <c r="M580" s="885"/>
      <c r="N580" s="876">
        <v>1</v>
      </c>
      <c r="O580" s="313"/>
      <c r="P580" s="315"/>
      <c r="Q580" s="315"/>
      <c r="R580" s="909"/>
      <c r="S580" s="738">
        <f t="shared" si="25"/>
        <v>4</v>
      </c>
      <c r="T580" s="738" t="str">
        <f t="shared" si="26"/>
        <v>Ud</v>
      </c>
      <c r="U580" s="738"/>
    </row>
    <row r="581" spans="1:27" x14ac:dyDescent="0.2">
      <c r="A581" s="913"/>
      <c r="B581" s="666"/>
      <c r="C581" s="347"/>
      <c r="D581" s="870">
        <v>546</v>
      </c>
      <c r="E581" s="871" t="s">
        <v>8</v>
      </c>
      <c r="F581" s="667">
        <v>10</v>
      </c>
      <c r="G581" s="871"/>
      <c r="H581" s="871"/>
      <c r="I581" s="871"/>
      <c r="J581" s="349" t="s">
        <v>1102</v>
      </c>
      <c r="K581" s="884"/>
      <c r="L581" s="876"/>
      <c r="M581" s="885"/>
      <c r="N581" s="876">
        <v>1</v>
      </c>
      <c r="O581" s="313"/>
      <c r="P581" s="315"/>
      <c r="Q581" s="315"/>
      <c r="R581" s="909"/>
      <c r="S581" s="738">
        <f t="shared" si="25"/>
        <v>4</v>
      </c>
      <c r="T581" s="738" t="str">
        <f t="shared" si="26"/>
        <v>Ud</v>
      </c>
      <c r="U581" s="738"/>
    </row>
    <row r="582" spans="1:27" x14ac:dyDescent="0.2">
      <c r="A582" s="899"/>
      <c r="B582" s="353"/>
      <c r="C582" s="354" t="s">
        <v>2</v>
      </c>
      <c r="D582" s="355"/>
      <c r="E582" s="352"/>
      <c r="F582" s="677"/>
      <c r="G582" s="678"/>
      <c r="H582" s="356"/>
      <c r="I582" s="356"/>
      <c r="J582" s="353"/>
      <c r="K582" s="358"/>
      <c r="L582" s="358"/>
      <c r="M582" s="358"/>
      <c r="N582" s="360">
        <f>SUM(N578:N581)</f>
        <v>4</v>
      </c>
      <c r="O582" s="361" t="str">
        <f>IF(MID(B576,1,2)="LG",VLOOKUP(B576,'Compos lug'!J:M,4,FALSE),IF(MID(B576,1,1)="6",VLOOKUP(B576,tranp.!$A$6:$K$51,3,FALSE),VLOOKUP(B576,'DER 10-18'!$A$1:$I$1981,3,FALSE)))</f>
        <v>Ud</v>
      </c>
      <c r="P582" s="362"/>
      <c r="Q582" s="362"/>
      <c r="R582" s="900"/>
      <c r="S582" s="738">
        <f t="shared" si="25"/>
        <v>41.3</v>
      </c>
      <c r="T582" s="738" t="str">
        <f t="shared" si="26"/>
        <v>M</v>
      </c>
      <c r="U582" s="738"/>
    </row>
    <row r="583" spans="1:27" s="651" customFormat="1" x14ac:dyDescent="0.2">
      <c r="A583" s="910"/>
      <c r="B583" s="655"/>
      <c r="C583" s="656"/>
      <c r="D583" s="657"/>
      <c r="E583" s="654"/>
      <c r="F583" s="663"/>
      <c r="G583" s="664"/>
      <c r="H583" s="652"/>
      <c r="I583" s="652"/>
      <c r="J583" s="655"/>
      <c r="K583" s="653"/>
      <c r="L583" s="653"/>
      <c r="M583" s="653"/>
      <c r="N583" s="648"/>
      <c r="O583" s="660"/>
      <c r="P583" s="661"/>
      <c r="Q583" s="661"/>
      <c r="R583" s="911"/>
      <c r="S583" s="738">
        <f t="shared" si="25"/>
        <v>41.3</v>
      </c>
      <c r="T583" s="738" t="str">
        <f t="shared" si="26"/>
        <v>M</v>
      </c>
      <c r="U583" s="749"/>
      <c r="W583" s="714"/>
      <c r="X583" s="714"/>
      <c r="Y583" s="714"/>
      <c r="Z583" s="714"/>
      <c r="AA583" s="714"/>
    </row>
    <row r="584" spans="1:27" ht="25.5" x14ac:dyDescent="0.2">
      <c r="A584" s="913" t="s">
        <v>1526</v>
      </c>
      <c r="B584" s="666">
        <v>40706</v>
      </c>
      <c r="C584" s="347" t="str">
        <f>IF(MID(B584,1,2)="LG",VLOOKUP(B584,'Compos lug'!J:M,3,FALSE),IF(MID(B584,1,1)="6",VLOOKUP(B584,tranp.!$A$4:$K$19,11,FALSE)&amp;" -  XP="&amp;TEXT(T584,"0.000")&amp;" / XR="&amp;TEXT(V584,"0.000"),VLOOKUP(B584,'DER 10-18'!$A$1:$I$1981,2,FALSE)))</f>
        <v>Transposição de segmento de sarjeta - TSS 01, inclusive transporte do tubo de concreto</v>
      </c>
      <c r="D584" s="1059" t="s">
        <v>1000</v>
      </c>
      <c r="E584" s="1060"/>
      <c r="F584" s="1061"/>
      <c r="G584" s="1059"/>
      <c r="H584" s="1060"/>
      <c r="I584" s="1061"/>
      <c r="J584" s="349" t="s">
        <v>989</v>
      </c>
      <c r="K584" s="876"/>
      <c r="L584" s="876"/>
      <c r="M584" s="876"/>
      <c r="N584" s="876" t="str">
        <f>CONCATENATE("Total (",IF(MID(B584,1,2)="LG",VLOOKUP(B584,'Compos lug'!J:M,4,FALSE),IF(MID(B584,1,1)="6","t",VLOOKUP(B584,'DER 10-18'!$A$1:$I$1981,3,FALSE))),")")</f>
        <v>Total (M)</v>
      </c>
      <c r="O584" s="313"/>
      <c r="P584" s="315"/>
      <c r="Q584" s="315"/>
      <c r="R584" s="909"/>
      <c r="S584" s="738">
        <f t="shared" si="25"/>
        <v>41.3</v>
      </c>
      <c r="T584" s="738" t="str">
        <f t="shared" si="26"/>
        <v>M</v>
      </c>
      <c r="U584" s="738"/>
    </row>
    <row r="585" spans="1:27" x14ac:dyDescent="0.2">
      <c r="A585" s="294"/>
      <c r="B585" s="293"/>
      <c r="C585" s="744" t="s">
        <v>1552</v>
      </c>
      <c r="N585" s="876"/>
      <c r="R585" s="912"/>
      <c r="S585" s="738">
        <f t="shared" si="25"/>
        <v>41.3</v>
      </c>
      <c r="T585" s="738" t="str">
        <f t="shared" si="26"/>
        <v>M</v>
      </c>
    </row>
    <row r="586" spans="1:27" x14ac:dyDescent="0.2">
      <c r="A586" s="913"/>
      <c r="B586" s="666"/>
      <c r="C586" s="347"/>
      <c r="D586" s="870">
        <v>24</v>
      </c>
      <c r="E586" s="871" t="s">
        <v>8</v>
      </c>
      <c r="F586" s="667">
        <v>10</v>
      </c>
      <c r="G586" s="871"/>
      <c r="H586" s="871"/>
      <c r="I586" s="871"/>
      <c r="J586" s="349"/>
      <c r="K586" s="884"/>
      <c r="L586" s="876"/>
      <c r="M586" s="885"/>
      <c r="N586" s="876">
        <v>17</v>
      </c>
      <c r="O586" s="313"/>
      <c r="P586" s="315"/>
      <c r="Q586" s="315"/>
      <c r="R586" s="909"/>
      <c r="S586" s="738">
        <f t="shared" si="25"/>
        <v>41.3</v>
      </c>
      <c r="T586" s="738" t="str">
        <f t="shared" si="26"/>
        <v>M</v>
      </c>
      <c r="U586" s="738"/>
    </row>
    <row r="587" spans="1:27" x14ac:dyDescent="0.2">
      <c r="A587" s="913"/>
      <c r="B587" s="666"/>
      <c r="C587" s="347"/>
      <c r="D587" s="870">
        <v>164</v>
      </c>
      <c r="E587" s="871" t="s">
        <v>8</v>
      </c>
      <c r="F587" s="667">
        <v>10</v>
      </c>
      <c r="G587" s="871"/>
      <c r="H587" s="871"/>
      <c r="I587" s="871"/>
      <c r="J587" s="349"/>
      <c r="K587" s="884"/>
      <c r="L587" s="876"/>
      <c r="M587" s="885"/>
      <c r="N587" s="876">
        <v>8.1</v>
      </c>
      <c r="O587" s="313"/>
      <c r="P587" s="315"/>
      <c r="Q587" s="315"/>
      <c r="R587" s="909"/>
      <c r="S587" s="738">
        <f t="shared" si="25"/>
        <v>41.3</v>
      </c>
      <c r="T587" s="738" t="str">
        <f t="shared" si="26"/>
        <v>M</v>
      </c>
      <c r="U587" s="738"/>
    </row>
    <row r="588" spans="1:27" x14ac:dyDescent="0.2">
      <c r="A588" s="913"/>
      <c r="B588" s="666"/>
      <c r="C588" s="347"/>
      <c r="D588" s="870">
        <v>282</v>
      </c>
      <c r="E588" s="871" t="s">
        <v>8</v>
      </c>
      <c r="F588" s="667">
        <v>17</v>
      </c>
      <c r="G588" s="871"/>
      <c r="H588" s="871"/>
      <c r="I588" s="871"/>
      <c r="J588" s="349"/>
      <c r="K588" s="884"/>
      <c r="L588" s="876"/>
      <c r="M588" s="885"/>
      <c r="N588" s="876">
        <v>8.1</v>
      </c>
      <c r="O588" s="313"/>
      <c r="P588" s="315"/>
      <c r="Q588" s="315"/>
      <c r="R588" s="909"/>
      <c r="S588" s="738">
        <f t="shared" si="25"/>
        <v>41.3</v>
      </c>
      <c r="T588" s="738" t="str">
        <f t="shared" si="26"/>
        <v>M</v>
      </c>
      <c r="U588" s="738"/>
    </row>
    <row r="589" spans="1:27" x14ac:dyDescent="0.2">
      <c r="A589" s="913"/>
      <c r="B589" s="666"/>
      <c r="C589" s="347"/>
      <c r="D589" s="870">
        <v>192</v>
      </c>
      <c r="E589" s="871" t="s">
        <v>8</v>
      </c>
      <c r="F589" s="667">
        <v>10</v>
      </c>
      <c r="G589" s="871"/>
      <c r="H589" s="871"/>
      <c r="I589" s="871"/>
      <c r="J589" s="349"/>
      <c r="K589" s="884"/>
      <c r="L589" s="876"/>
      <c r="M589" s="885"/>
      <c r="N589" s="876">
        <v>8.1</v>
      </c>
      <c r="O589" s="313"/>
      <c r="P589" s="315"/>
      <c r="Q589" s="315"/>
      <c r="R589" s="909"/>
      <c r="S589" s="738">
        <f t="shared" si="25"/>
        <v>41.3</v>
      </c>
      <c r="T589" s="738" t="str">
        <f t="shared" si="26"/>
        <v>M</v>
      </c>
      <c r="U589" s="738"/>
    </row>
    <row r="590" spans="1:27" x14ac:dyDescent="0.2">
      <c r="A590" s="899"/>
      <c r="B590" s="353"/>
      <c r="C590" s="354" t="s">
        <v>2</v>
      </c>
      <c r="D590" s="355"/>
      <c r="E590" s="352"/>
      <c r="F590" s="677"/>
      <c r="G590" s="678"/>
      <c r="H590" s="356"/>
      <c r="I590" s="356"/>
      <c r="J590" s="353"/>
      <c r="K590" s="358"/>
      <c r="L590" s="358"/>
      <c r="M590" s="358"/>
      <c r="N590" s="360">
        <f>SUM(N586:N589)</f>
        <v>41.3</v>
      </c>
      <c r="O590" s="361" t="str">
        <f>IF(MID(B584,1,2)="LG",VLOOKUP(B584,'Compos lug'!J:M,4,FALSE),IF(MID(B584,1,1)="6",VLOOKUP(B584,tranp.!$A$6:$K$51,3,FALSE),VLOOKUP(B584,'DER 10-18'!$A$1:$I$1981,3,FALSE)))</f>
        <v>M</v>
      </c>
      <c r="P590" s="362"/>
      <c r="Q590" s="362"/>
      <c r="R590" s="900"/>
      <c r="S590" s="738">
        <f t="shared" si="25"/>
        <v>24</v>
      </c>
      <c r="T590" s="738" t="str">
        <f t="shared" si="26"/>
        <v>M</v>
      </c>
      <c r="U590" s="738"/>
    </row>
    <row r="591" spans="1:27" s="651" customFormat="1" x14ac:dyDescent="0.2">
      <c r="A591" s="910"/>
      <c r="B591" s="655"/>
      <c r="C591" s="656"/>
      <c r="D591" s="657"/>
      <c r="E591" s="654"/>
      <c r="F591" s="663"/>
      <c r="G591" s="664"/>
      <c r="H591" s="652"/>
      <c r="I591" s="652"/>
      <c r="J591" s="655"/>
      <c r="K591" s="653"/>
      <c r="L591" s="653"/>
      <c r="M591" s="653"/>
      <c r="N591" s="648"/>
      <c r="O591" s="660"/>
      <c r="P591" s="661"/>
      <c r="Q591" s="661"/>
      <c r="R591" s="911"/>
      <c r="S591" s="738">
        <f t="shared" si="25"/>
        <v>24</v>
      </c>
      <c r="T591" s="738" t="str">
        <f t="shared" si="26"/>
        <v>M</v>
      </c>
      <c r="U591" s="749"/>
      <c r="W591" s="714"/>
      <c r="X591" s="714"/>
      <c r="Y591" s="714"/>
      <c r="Z591" s="714"/>
      <c r="AA591" s="714"/>
    </row>
    <row r="592" spans="1:27" x14ac:dyDescent="0.2">
      <c r="A592" s="914" t="s">
        <v>1533</v>
      </c>
      <c r="B592" s="666">
        <v>40672</v>
      </c>
      <c r="C592" s="347" t="str">
        <f>IF(MID(B592,1,2)="LG",VLOOKUP(B592,'Compos lug'!J:M,3,FALSE),IF(MID(B592,1,1)="6",VLOOKUP(B592,tranp.!$A$4:$K$19,11,FALSE)&amp;" -  XP="&amp;TEXT(T592,"0.000")&amp;" / XR="&amp;TEXT(V592,"0.000"),VLOOKUP(B592,'DER 10-18'!$A$1:$I$1981,2,FALSE)))</f>
        <v>Canaleta com grelha DP-1, inclusive transporte da grelha</v>
      </c>
      <c r="D592" s="1059" t="s">
        <v>1000</v>
      </c>
      <c r="E592" s="1060"/>
      <c r="F592" s="1061"/>
      <c r="G592" s="1059"/>
      <c r="H592" s="1060"/>
      <c r="I592" s="1061"/>
      <c r="J592" s="349" t="s">
        <v>989</v>
      </c>
      <c r="K592" s="876"/>
      <c r="L592" s="876"/>
      <c r="M592" s="876"/>
      <c r="N592" s="876" t="str">
        <f>CONCATENATE("Total (",IF(MID(B592,1,2)="LG",VLOOKUP(B592,'Compos lug'!J:M,4,FALSE),IF(MID(B592,1,1)="6","t",VLOOKUP(B592,'DER 10-18'!$A$1:$I$1981,3,FALSE))),")")</f>
        <v>Total (M)</v>
      </c>
      <c r="O592" s="313"/>
      <c r="P592" s="315"/>
      <c r="Q592" s="315"/>
      <c r="R592" s="909"/>
      <c r="S592" s="738">
        <f t="shared" si="25"/>
        <v>24</v>
      </c>
      <c r="T592" s="738" t="str">
        <f t="shared" si="26"/>
        <v>M</v>
      </c>
      <c r="U592" s="738"/>
    </row>
    <row r="593" spans="1:27" x14ac:dyDescent="0.2">
      <c r="A593" s="294"/>
      <c r="B593" s="293"/>
      <c r="C593" s="744" t="s">
        <v>1552</v>
      </c>
      <c r="N593" s="876"/>
      <c r="R593" s="912"/>
      <c r="S593" s="738">
        <f t="shared" si="25"/>
        <v>24</v>
      </c>
      <c r="T593" s="738" t="str">
        <f t="shared" si="26"/>
        <v>M</v>
      </c>
    </row>
    <row r="594" spans="1:27" x14ac:dyDescent="0.2">
      <c r="A594" s="913"/>
      <c r="B594" s="666"/>
      <c r="C594" s="347"/>
      <c r="D594" s="870">
        <v>404</v>
      </c>
      <c r="E594" s="871" t="s">
        <v>8</v>
      </c>
      <c r="F594" s="667">
        <v>15</v>
      </c>
      <c r="G594" s="871"/>
      <c r="H594" s="871"/>
      <c r="I594" s="871"/>
      <c r="J594" s="349" t="s">
        <v>1102</v>
      </c>
      <c r="K594" s="884"/>
      <c r="L594" s="876"/>
      <c r="M594" s="885"/>
      <c r="N594" s="876">
        <v>12</v>
      </c>
      <c r="O594" s="313"/>
      <c r="P594" s="315"/>
      <c r="Q594" s="315"/>
      <c r="R594" s="909"/>
      <c r="S594" s="738">
        <f t="shared" si="25"/>
        <v>24</v>
      </c>
      <c r="T594" s="738" t="str">
        <f t="shared" si="26"/>
        <v>M</v>
      </c>
      <c r="U594" s="738"/>
    </row>
    <row r="595" spans="1:27" x14ac:dyDescent="0.2">
      <c r="A595" s="913"/>
      <c r="B595" s="666"/>
      <c r="C595" s="347"/>
      <c r="D595" s="870">
        <v>518</v>
      </c>
      <c r="E595" s="871" t="s">
        <v>8</v>
      </c>
      <c r="F595" s="667">
        <v>0</v>
      </c>
      <c r="G595" s="871"/>
      <c r="H595" s="871"/>
      <c r="I595" s="871"/>
      <c r="J595" s="349" t="s">
        <v>1101</v>
      </c>
      <c r="K595" s="884"/>
      <c r="L595" s="876"/>
      <c r="M595" s="885"/>
      <c r="N595" s="876">
        <v>12</v>
      </c>
      <c r="O595" s="313"/>
      <c r="P595" s="315"/>
      <c r="Q595" s="315"/>
      <c r="R595" s="909"/>
      <c r="S595" s="738">
        <f t="shared" si="25"/>
        <v>24</v>
      </c>
      <c r="T595" s="738" t="str">
        <f t="shared" si="26"/>
        <v>M</v>
      </c>
      <c r="U595" s="738"/>
    </row>
    <row r="596" spans="1:27" x14ac:dyDescent="0.2">
      <c r="A596" s="899"/>
      <c r="B596" s="353"/>
      <c r="C596" s="354" t="s">
        <v>2</v>
      </c>
      <c r="D596" s="355"/>
      <c r="E596" s="352"/>
      <c r="F596" s="677"/>
      <c r="G596" s="678"/>
      <c r="H596" s="356"/>
      <c r="I596" s="356"/>
      <c r="J596" s="353"/>
      <c r="K596" s="358"/>
      <c r="L596" s="358"/>
      <c r="M596" s="358"/>
      <c r="N596" s="360">
        <f>SUM(N594:N595)</f>
        <v>24</v>
      </c>
      <c r="O596" s="361" t="str">
        <f>IF(MID(B592,1,2)="LG",VLOOKUP(B592,'Compos lug'!J:M,4,FALSE),IF(MID(B592,1,1)="6",VLOOKUP(B592,tranp.!$A$6:$K$51,3,FALSE),VLOOKUP(B592,'DER 10-18'!$A$1:$I$1981,3,FALSE)))</f>
        <v>M</v>
      </c>
      <c r="P596" s="362"/>
      <c r="Q596" s="362"/>
      <c r="R596" s="900"/>
      <c r="S596" s="738">
        <f t="shared" si="25"/>
        <v>2106</v>
      </c>
      <c r="T596" s="738" t="str">
        <f t="shared" si="26"/>
        <v>M</v>
      </c>
      <c r="U596" s="738"/>
    </row>
    <row r="597" spans="1:27" s="651" customFormat="1" x14ac:dyDescent="0.2">
      <c r="A597" s="910"/>
      <c r="B597" s="655"/>
      <c r="C597" s="656"/>
      <c r="D597" s="657"/>
      <c r="E597" s="654"/>
      <c r="F597" s="663"/>
      <c r="G597" s="664"/>
      <c r="H597" s="652"/>
      <c r="I597" s="652"/>
      <c r="J597" s="655"/>
      <c r="K597" s="653"/>
      <c r="L597" s="653"/>
      <c r="M597" s="653"/>
      <c r="N597" s="648"/>
      <c r="O597" s="660"/>
      <c r="P597" s="661"/>
      <c r="Q597" s="661"/>
      <c r="R597" s="911"/>
      <c r="S597" s="738">
        <f t="shared" si="25"/>
        <v>2106</v>
      </c>
      <c r="T597" s="738" t="str">
        <f t="shared" si="26"/>
        <v>M</v>
      </c>
      <c r="U597" s="749"/>
      <c r="W597" s="714"/>
      <c r="X597" s="714"/>
      <c r="Y597" s="714"/>
      <c r="Z597" s="714"/>
      <c r="AA597" s="714"/>
    </row>
    <row r="598" spans="1:27" ht="25.5" x14ac:dyDescent="0.2">
      <c r="A598" s="913" t="s">
        <v>1534</v>
      </c>
      <c r="B598" s="666">
        <v>42699</v>
      </c>
      <c r="C598" s="347" t="str">
        <f>IF(MID(B598,1,2)="LG",VLOOKUP(B598,'Compos lug'!J:M,3,FALSE),IF(MID(B598,1,1)="6",VLOOKUP(B598,tranp.!$A$4:$K$19,11,FALSE)&amp;" -  XP="&amp;TEXT(T598,"0.000")&amp;" / XR="&amp;TEXT(V598,"0.000"),VLOOKUP(B598,'DER 10-18'!$A$1:$I$1981,2,FALSE)))</f>
        <v>Canaleta de concreto retangular (0,130m³/m) inclusive caiação em Vias Urbanas</v>
      </c>
      <c r="D598" s="1059" t="s">
        <v>1000</v>
      </c>
      <c r="E598" s="1060"/>
      <c r="F598" s="1061"/>
      <c r="G598" s="1059" t="s">
        <v>1001</v>
      </c>
      <c r="H598" s="1060"/>
      <c r="I598" s="1061"/>
      <c r="J598" s="349" t="s">
        <v>989</v>
      </c>
      <c r="K598" s="876"/>
      <c r="L598" s="876"/>
      <c r="M598" s="876"/>
      <c r="N598" s="876" t="str">
        <f>CONCATENATE("Total (",IF(MID(B598,1,2)="LG",VLOOKUP(B598,'Compos lug'!J:M,4,FALSE),IF(MID(B598,1,1)="6","t",VLOOKUP(B598,'DER 10-18'!$A$1:$I$1981,3,FALSE))),")")</f>
        <v>Total (M)</v>
      </c>
      <c r="O598" s="313"/>
      <c r="P598" s="315"/>
      <c r="Q598" s="315"/>
      <c r="R598" s="909"/>
      <c r="S598" s="738">
        <f t="shared" si="25"/>
        <v>2106</v>
      </c>
      <c r="T598" s="738" t="str">
        <f t="shared" si="26"/>
        <v>M</v>
      </c>
      <c r="U598" s="738"/>
    </row>
    <row r="599" spans="1:27" x14ac:dyDescent="0.2">
      <c r="A599" s="294"/>
      <c r="B599" s="293"/>
      <c r="C599" s="744" t="s">
        <v>1552</v>
      </c>
      <c r="N599" s="876"/>
      <c r="R599" s="912"/>
      <c r="S599" s="738">
        <f t="shared" si="25"/>
        <v>2106</v>
      </c>
      <c r="T599" s="738" t="str">
        <f t="shared" si="26"/>
        <v>M</v>
      </c>
    </row>
    <row r="600" spans="1:27" x14ac:dyDescent="0.2">
      <c r="A600" s="913"/>
      <c r="B600" s="666"/>
      <c r="C600" s="347"/>
      <c r="D600" s="870">
        <v>45</v>
      </c>
      <c r="E600" s="871" t="s">
        <v>8</v>
      </c>
      <c r="F600" s="667">
        <v>0</v>
      </c>
      <c r="G600" s="871">
        <v>60</v>
      </c>
      <c r="H600" s="871" t="s">
        <v>8</v>
      </c>
      <c r="I600" s="668">
        <v>0</v>
      </c>
      <c r="J600" s="349"/>
      <c r="K600" s="884"/>
      <c r="L600" s="876"/>
      <c r="M600" s="885"/>
      <c r="N600" s="876">
        <f t="shared" ref="N600:N603" si="27">(G600*20+I600)-(D600*20+F600)</f>
        <v>300</v>
      </c>
      <c r="O600" s="313"/>
      <c r="P600" s="315"/>
      <c r="Q600" s="315"/>
      <c r="R600" s="909"/>
      <c r="S600" s="738">
        <f t="shared" si="25"/>
        <v>2106</v>
      </c>
      <c r="T600" s="738" t="str">
        <f t="shared" si="26"/>
        <v>M</v>
      </c>
      <c r="U600" s="738"/>
    </row>
    <row r="601" spans="1:27" x14ac:dyDescent="0.2">
      <c r="A601" s="913"/>
      <c r="B601" s="666"/>
      <c r="C601" s="347"/>
      <c r="D601" s="870">
        <v>45</v>
      </c>
      <c r="E601" s="871" t="s">
        <v>8</v>
      </c>
      <c r="F601" s="667">
        <v>0</v>
      </c>
      <c r="G601" s="871">
        <v>56</v>
      </c>
      <c r="H601" s="871" t="s">
        <v>8</v>
      </c>
      <c r="I601" s="668">
        <v>0</v>
      </c>
      <c r="J601" s="349"/>
      <c r="K601" s="884"/>
      <c r="L601" s="876"/>
      <c r="M601" s="885"/>
      <c r="N601" s="876">
        <f t="shared" si="27"/>
        <v>220</v>
      </c>
      <c r="O601" s="313"/>
      <c r="P601" s="315"/>
      <c r="Q601" s="315"/>
      <c r="R601" s="909"/>
      <c r="S601" s="738">
        <f t="shared" si="25"/>
        <v>2106</v>
      </c>
      <c r="T601" s="738" t="str">
        <f t="shared" si="26"/>
        <v>M</v>
      </c>
      <c r="U601" s="738"/>
    </row>
    <row r="602" spans="1:27" x14ac:dyDescent="0.2">
      <c r="A602" s="913"/>
      <c r="B602" s="666"/>
      <c r="C602" s="347"/>
      <c r="D602" s="870">
        <v>389</v>
      </c>
      <c r="E602" s="871" t="s">
        <v>8</v>
      </c>
      <c r="F602" s="667">
        <v>10</v>
      </c>
      <c r="G602" s="871">
        <v>413</v>
      </c>
      <c r="H602" s="871" t="s">
        <v>8</v>
      </c>
      <c r="I602" s="668">
        <v>0</v>
      </c>
      <c r="J602" s="349"/>
      <c r="K602" s="884"/>
      <c r="L602" s="876"/>
      <c r="M602" s="885"/>
      <c r="N602" s="876">
        <f t="shared" si="27"/>
        <v>470</v>
      </c>
      <c r="O602" s="313"/>
      <c r="P602" s="315"/>
      <c r="Q602" s="315"/>
      <c r="R602" s="909"/>
      <c r="S602" s="738">
        <f t="shared" si="25"/>
        <v>2106</v>
      </c>
      <c r="T602" s="738" t="str">
        <f t="shared" si="26"/>
        <v>M</v>
      </c>
      <c r="U602" s="738"/>
    </row>
    <row r="603" spans="1:27" x14ac:dyDescent="0.2">
      <c r="A603" s="913"/>
      <c r="B603" s="666"/>
      <c r="C603" s="347"/>
      <c r="D603" s="870">
        <v>389</v>
      </c>
      <c r="E603" s="871" t="s">
        <v>8</v>
      </c>
      <c r="F603" s="667">
        <v>10</v>
      </c>
      <c r="G603" s="871">
        <v>404</v>
      </c>
      <c r="H603" s="871" t="s">
        <v>8</v>
      </c>
      <c r="I603" s="668">
        <v>9</v>
      </c>
      <c r="J603" s="349"/>
      <c r="K603" s="884"/>
      <c r="L603" s="876"/>
      <c r="M603" s="885"/>
      <c r="N603" s="876">
        <f t="shared" si="27"/>
        <v>299</v>
      </c>
      <c r="O603" s="313"/>
      <c r="P603" s="315"/>
      <c r="Q603" s="315"/>
      <c r="R603" s="909"/>
      <c r="S603" s="738">
        <f t="shared" ref="S603:S666" si="28">VLOOKUP("Total",C604:O2289,12,FALSE)</f>
        <v>2106</v>
      </c>
      <c r="T603" s="738" t="str">
        <f t="shared" ref="T603:T666" si="29">VLOOKUP("Total",C604:O2289,13,FALSE)</f>
        <v>M</v>
      </c>
      <c r="U603" s="738"/>
    </row>
    <row r="604" spans="1:27" x14ac:dyDescent="0.2">
      <c r="A604" s="913"/>
      <c r="B604" s="666"/>
      <c r="C604" s="347"/>
      <c r="D604" s="870">
        <v>405</v>
      </c>
      <c r="E604" s="871" t="s">
        <v>8</v>
      </c>
      <c r="F604" s="667">
        <v>1</v>
      </c>
      <c r="G604" s="871">
        <v>413</v>
      </c>
      <c r="H604" s="871" t="s">
        <v>8</v>
      </c>
      <c r="I604" s="668">
        <v>0</v>
      </c>
      <c r="J604" s="349"/>
      <c r="K604" s="884"/>
      <c r="L604" s="876"/>
      <c r="M604" s="885"/>
      <c r="N604" s="876">
        <f>(G604*20+I604)-(D604*20+F604)</f>
        <v>159</v>
      </c>
      <c r="O604" s="313"/>
      <c r="P604" s="315"/>
      <c r="Q604" s="315"/>
      <c r="R604" s="909"/>
      <c r="S604" s="738">
        <f t="shared" si="28"/>
        <v>2106</v>
      </c>
      <c r="T604" s="738" t="str">
        <f t="shared" si="29"/>
        <v>M</v>
      </c>
      <c r="U604" s="738"/>
    </row>
    <row r="605" spans="1:27" x14ac:dyDescent="0.2">
      <c r="A605" s="913"/>
      <c r="B605" s="666"/>
      <c r="C605" s="347"/>
      <c r="D605" s="870">
        <v>505</v>
      </c>
      <c r="E605" s="871" t="s">
        <v>8</v>
      </c>
      <c r="F605" s="667">
        <v>0</v>
      </c>
      <c r="G605" s="871">
        <v>517</v>
      </c>
      <c r="H605" s="871" t="s">
        <v>8</v>
      </c>
      <c r="I605" s="668">
        <v>14</v>
      </c>
      <c r="J605" s="349"/>
      <c r="K605" s="884"/>
      <c r="L605" s="876"/>
      <c r="M605" s="885"/>
      <c r="N605" s="876">
        <f t="shared" ref="N605:N607" si="30">(G605*20+I605)-(D605*20+F605)</f>
        <v>254</v>
      </c>
      <c r="O605" s="313"/>
      <c r="P605" s="315"/>
      <c r="Q605" s="315"/>
      <c r="R605" s="909"/>
      <c r="S605" s="738">
        <f t="shared" si="28"/>
        <v>2106</v>
      </c>
      <c r="T605" s="738" t="str">
        <f t="shared" si="29"/>
        <v>M</v>
      </c>
      <c r="U605" s="738"/>
    </row>
    <row r="606" spans="1:27" x14ac:dyDescent="0.2">
      <c r="A606" s="913"/>
      <c r="B606" s="666"/>
      <c r="C606" s="347"/>
      <c r="D606" s="870">
        <v>505</v>
      </c>
      <c r="E606" s="871" t="s">
        <v>8</v>
      </c>
      <c r="F606" s="667">
        <v>0</v>
      </c>
      <c r="G606" s="871">
        <v>521</v>
      </c>
      <c r="H606" s="871" t="s">
        <v>8</v>
      </c>
      <c r="I606" s="668">
        <v>15</v>
      </c>
      <c r="J606" s="349"/>
      <c r="K606" s="884"/>
      <c r="L606" s="876"/>
      <c r="M606" s="885"/>
      <c r="N606" s="876">
        <f t="shared" si="30"/>
        <v>335</v>
      </c>
      <c r="O606" s="313"/>
      <c r="P606" s="315"/>
      <c r="Q606" s="315"/>
      <c r="R606" s="909"/>
      <c r="S606" s="738">
        <f t="shared" si="28"/>
        <v>2106</v>
      </c>
      <c r="T606" s="738" t="str">
        <f t="shared" si="29"/>
        <v>M</v>
      </c>
      <c r="U606" s="738"/>
    </row>
    <row r="607" spans="1:27" x14ac:dyDescent="0.2">
      <c r="A607" s="913"/>
      <c r="B607" s="666"/>
      <c r="C607" s="347"/>
      <c r="D607" s="870">
        <v>518</v>
      </c>
      <c r="E607" s="871" t="s">
        <v>8</v>
      </c>
      <c r="F607" s="667">
        <v>6</v>
      </c>
      <c r="G607" s="871">
        <v>521</v>
      </c>
      <c r="H607" s="871" t="s">
        <v>8</v>
      </c>
      <c r="I607" s="668">
        <v>15</v>
      </c>
      <c r="J607" s="349"/>
      <c r="K607" s="884"/>
      <c r="L607" s="876"/>
      <c r="M607" s="885"/>
      <c r="N607" s="876">
        <f t="shared" si="30"/>
        <v>69</v>
      </c>
      <c r="O607" s="313"/>
      <c r="P607" s="315"/>
      <c r="Q607" s="315"/>
      <c r="R607" s="909"/>
      <c r="S607" s="738">
        <f t="shared" si="28"/>
        <v>2106</v>
      </c>
      <c r="T607" s="738" t="str">
        <f t="shared" si="29"/>
        <v>M</v>
      </c>
      <c r="U607" s="738"/>
    </row>
    <row r="608" spans="1:27" x14ac:dyDescent="0.2">
      <c r="A608" s="899"/>
      <c r="B608" s="353"/>
      <c r="C608" s="354" t="s">
        <v>2</v>
      </c>
      <c r="D608" s="355"/>
      <c r="E608" s="352"/>
      <c r="F608" s="677"/>
      <c r="G608" s="678"/>
      <c r="H608" s="356"/>
      <c r="I608" s="356"/>
      <c r="J608" s="353"/>
      <c r="K608" s="358"/>
      <c r="L608" s="358"/>
      <c r="M608" s="358"/>
      <c r="N608" s="360">
        <f>SUM(N600:N607)</f>
        <v>2106</v>
      </c>
      <c r="O608" s="361" t="str">
        <f>IF(MID(B598,1,2)="LG",VLOOKUP(B598,'Compos lug'!J:M,4,FALSE),IF(MID(B598,1,1)="6",VLOOKUP(B598,tranp.!$A$6:$K$51,3,FALSE),VLOOKUP(B598,'DER 10-18'!$A$1:$I$1981,3,FALSE)))</f>
        <v>M</v>
      </c>
      <c r="P608" s="362"/>
      <c r="Q608" s="362"/>
      <c r="R608" s="900"/>
      <c r="S608" s="738">
        <f t="shared" si="28"/>
        <v>2794</v>
      </c>
      <c r="T608" s="738" t="str">
        <f t="shared" si="29"/>
        <v>M</v>
      </c>
      <c r="U608" s="738"/>
    </row>
    <row r="609" spans="1:27" s="651" customFormat="1" x14ac:dyDescent="0.2">
      <c r="A609" s="910"/>
      <c r="B609" s="655"/>
      <c r="C609" s="656"/>
      <c r="D609" s="657"/>
      <c r="E609" s="654"/>
      <c r="F609" s="663"/>
      <c r="G609" s="664"/>
      <c r="H609" s="652"/>
      <c r="I609" s="652"/>
      <c r="J609" s="655"/>
      <c r="K609" s="653"/>
      <c r="L609" s="653"/>
      <c r="M609" s="653"/>
      <c r="N609" s="648"/>
      <c r="O609" s="660"/>
      <c r="P609" s="661"/>
      <c r="Q609" s="661"/>
      <c r="R609" s="911"/>
      <c r="S609" s="738">
        <f t="shared" si="28"/>
        <v>2794</v>
      </c>
      <c r="T609" s="738" t="str">
        <f t="shared" si="29"/>
        <v>M</v>
      </c>
      <c r="U609" s="749"/>
      <c r="W609" s="714"/>
      <c r="X609" s="714"/>
      <c r="Y609" s="714"/>
      <c r="Z609" s="714"/>
      <c r="AA609" s="714"/>
    </row>
    <row r="610" spans="1:27" ht="25.5" x14ac:dyDescent="0.2">
      <c r="A610" s="913" t="s">
        <v>1535</v>
      </c>
      <c r="B610" s="666">
        <v>40668</v>
      </c>
      <c r="C610" s="347" t="str">
        <f>IF(MID(B610,1,2)="LG",VLOOKUP(B610,'Compos lug'!J:M,3,FALSE),IF(MID(B610,1,1)="6",VLOOKUP(B610,tranp.!$A$4:$K$19,11,FALSE)&amp;" -  XP="&amp;TEXT(T610,"0.000")&amp;" / XR="&amp;TEXT(V610,"0.000"),VLOOKUP(B610,'DER 10-18'!$A$1:$I$1981,2,FALSE)))</f>
        <v>Sarjeta de concreto (SCA 70/15) calha triangular, inclusive caiação</v>
      </c>
      <c r="D610" s="1059" t="s">
        <v>1000</v>
      </c>
      <c r="E610" s="1060"/>
      <c r="F610" s="1061"/>
      <c r="G610" s="1059" t="s">
        <v>1001</v>
      </c>
      <c r="H610" s="1060"/>
      <c r="I610" s="1061"/>
      <c r="J610" s="349" t="s">
        <v>989</v>
      </c>
      <c r="K610" s="876"/>
      <c r="L610" s="876"/>
      <c r="M610" s="876"/>
      <c r="N610" s="876" t="str">
        <f>CONCATENATE("Total (",IF(MID(B610,1,2)="LG",VLOOKUP(B610,'Compos lug'!J:M,4,FALSE),IF(MID(B610,1,1)="6","t",VLOOKUP(B610,'DER 10-18'!$A$1:$I$1981,3,FALSE))),")")</f>
        <v>Total (M)</v>
      </c>
      <c r="O610" s="313"/>
      <c r="P610" s="315"/>
      <c r="Q610" s="315"/>
      <c r="R610" s="909"/>
      <c r="S610" s="738">
        <f t="shared" si="28"/>
        <v>2794</v>
      </c>
      <c r="T610" s="738" t="str">
        <f t="shared" si="29"/>
        <v>M</v>
      </c>
      <c r="U610" s="738"/>
    </row>
    <row r="611" spans="1:27" x14ac:dyDescent="0.2">
      <c r="A611" s="294"/>
      <c r="B611" s="293"/>
      <c r="C611" s="744" t="s">
        <v>1552</v>
      </c>
      <c r="N611" s="876"/>
      <c r="R611" s="912"/>
      <c r="S611" s="738">
        <f t="shared" si="28"/>
        <v>2794</v>
      </c>
      <c r="T611" s="738" t="str">
        <f t="shared" si="29"/>
        <v>M</v>
      </c>
    </row>
    <row r="612" spans="1:27" x14ac:dyDescent="0.2">
      <c r="A612" s="913"/>
      <c r="B612" s="666"/>
      <c r="C612" s="347"/>
      <c r="D612" s="870">
        <v>5</v>
      </c>
      <c r="E612" s="871" t="s">
        <v>8</v>
      </c>
      <c r="F612" s="667">
        <v>0</v>
      </c>
      <c r="G612" s="871">
        <v>13</v>
      </c>
      <c r="H612" s="871" t="s">
        <v>8</v>
      </c>
      <c r="I612" s="668">
        <v>0</v>
      </c>
      <c r="J612" s="349" t="s">
        <v>1101</v>
      </c>
      <c r="K612" s="884"/>
      <c r="L612" s="876"/>
      <c r="M612" s="885"/>
      <c r="N612" s="876">
        <f>(G612*20+I612)-(D612*20+F612)</f>
        <v>160</v>
      </c>
      <c r="O612" s="313"/>
      <c r="P612" s="315"/>
      <c r="Q612" s="315"/>
      <c r="R612" s="909"/>
      <c r="S612" s="738">
        <f t="shared" si="28"/>
        <v>2794</v>
      </c>
      <c r="T612" s="738" t="str">
        <f t="shared" si="29"/>
        <v>M</v>
      </c>
      <c r="U612" s="738"/>
    </row>
    <row r="613" spans="1:27" x14ac:dyDescent="0.2">
      <c r="A613" s="913"/>
      <c r="B613" s="666"/>
      <c r="C613" s="347"/>
      <c r="D613" s="870">
        <v>97</v>
      </c>
      <c r="E613" s="871" t="s">
        <v>8</v>
      </c>
      <c r="F613" s="667">
        <v>0</v>
      </c>
      <c r="G613" s="871">
        <v>101</v>
      </c>
      <c r="H613" s="871" t="s">
        <v>8</v>
      </c>
      <c r="I613" s="668">
        <v>10</v>
      </c>
      <c r="J613" s="349" t="s">
        <v>1101</v>
      </c>
      <c r="K613" s="884"/>
      <c r="L613" s="876"/>
      <c r="M613" s="885"/>
      <c r="N613" s="876">
        <f t="shared" ref="N613:N629" si="31">(G613*20+I613)-(D613*20+F613)</f>
        <v>90</v>
      </c>
      <c r="O613" s="313"/>
      <c r="P613" s="315"/>
      <c r="Q613" s="315"/>
      <c r="R613" s="909"/>
      <c r="S613" s="738">
        <f t="shared" si="28"/>
        <v>2794</v>
      </c>
      <c r="T613" s="738" t="str">
        <f t="shared" si="29"/>
        <v>M</v>
      </c>
      <c r="U613" s="738"/>
    </row>
    <row r="614" spans="1:27" x14ac:dyDescent="0.2">
      <c r="A614" s="913"/>
      <c r="B614" s="666"/>
      <c r="C614" s="347"/>
      <c r="D614" s="870">
        <v>101</v>
      </c>
      <c r="E614" s="871" t="s">
        <v>8</v>
      </c>
      <c r="F614" s="667">
        <v>10</v>
      </c>
      <c r="G614" s="871">
        <v>102</v>
      </c>
      <c r="H614" s="871" t="s">
        <v>8</v>
      </c>
      <c r="I614" s="668">
        <v>4</v>
      </c>
      <c r="J614" s="349" t="s">
        <v>1102</v>
      </c>
      <c r="K614" s="884"/>
      <c r="L614" s="876"/>
      <c r="M614" s="885"/>
      <c r="N614" s="876">
        <f t="shared" si="31"/>
        <v>14</v>
      </c>
      <c r="O614" s="313"/>
      <c r="P614" s="315"/>
      <c r="Q614" s="315"/>
      <c r="R614" s="909"/>
      <c r="S614" s="738">
        <f t="shared" si="28"/>
        <v>2794</v>
      </c>
      <c r="T614" s="738" t="str">
        <f t="shared" si="29"/>
        <v>M</v>
      </c>
      <c r="U614" s="738"/>
    </row>
    <row r="615" spans="1:27" x14ac:dyDescent="0.2">
      <c r="A615" s="913"/>
      <c r="B615" s="666"/>
      <c r="C615" s="347"/>
      <c r="D615" s="870">
        <v>118</v>
      </c>
      <c r="E615" s="871" t="s">
        <v>8</v>
      </c>
      <c r="F615" s="667">
        <v>0</v>
      </c>
      <c r="G615" s="871">
        <v>119</v>
      </c>
      <c r="H615" s="871" t="s">
        <v>8</v>
      </c>
      <c r="I615" s="668">
        <v>10</v>
      </c>
      <c r="J615" s="349" t="s">
        <v>1102</v>
      </c>
      <c r="K615" s="884"/>
      <c r="L615" s="876"/>
      <c r="M615" s="885"/>
      <c r="N615" s="876">
        <f t="shared" si="31"/>
        <v>30</v>
      </c>
      <c r="O615" s="313"/>
      <c r="P615" s="315"/>
      <c r="Q615" s="315"/>
      <c r="R615" s="909"/>
      <c r="S615" s="738">
        <f t="shared" si="28"/>
        <v>2794</v>
      </c>
      <c r="T615" s="738" t="str">
        <f t="shared" si="29"/>
        <v>M</v>
      </c>
      <c r="U615" s="738"/>
    </row>
    <row r="616" spans="1:27" x14ac:dyDescent="0.2">
      <c r="A616" s="913"/>
      <c r="B616" s="666"/>
      <c r="C616" s="347"/>
      <c r="D616" s="870">
        <v>152</v>
      </c>
      <c r="E616" s="871" t="s">
        <v>8</v>
      </c>
      <c r="F616" s="667">
        <v>10</v>
      </c>
      <c r="G616" s="871">
        <v>159</v>
      </c>
      <c r="H616" s="871" t="s">
        <v>8</v>
      </c>
      <c r="I616" s="668">
        <v>10</v>
      </c>
      <c r="J616" s="349" t="s">
        <v>1102</v>
      </c>
      <c r="K616" s="884"/>
      <c r="L616" s="876"/>
      <c r="M616" s="885"/>
      <c r="N616" s="876">
        <f t="shared" si="31"/>
        <v>140</v>
      </c>
      <c r="O616" s="313"/>
      <c r="P616" s="315"/>
      <c r="Q616" s="315"/>
      <c r="R616" s="909"/>
      <c r="S616" s="738">
        <f t="shared" si="28"/>
        <v>2794</v>
      </c>
      <c r="T616" s="738" t="str">
        <f t="shared" si="29"/>
        <v>M</v>
      </c>
      <c r="U616" s="738"/>
    </row>
    <row r="617" spans="1:27" x14ac:dyDescent="0.2">
      <c r="A617" s="913"/>
      <c r="B617" s="666"/>
      <c r="C617" s="347"/>
      <c r="D617" s="870">
        <v>156</v>
      </c>
      <c r="E617" s="871" t="s">
        <v>8</v>
      </c>
      <c r="F617" s="667">
        <v>0</v>
      </c>
      <c r="G617" s="871">
        <v>159</v>
      </c>
      <c r="H617" s="871" t="s">
        <v>8</v>
      </c>
      <c r="I617" s="668">
        <v>10</v>
      </c>
      <c r="J617" s="349" t="s">
        <v>1101</v>
      </c>
      <c r="K617" s="884"/>
      <c r="L617" s="876"/>
      <c r="M617" s="885"/>
      <c r="N617" s="876">
        <f t="shared" si="31"/>
        <v>70</v>
      </c>
      <c r="O617" s="313"/>
      <c r="P617" s="315"/>
      <c r="Q617" s="315"/>
      <c r="R617" s="909"/>
      <c r="S617" s="738">
        <f t="shared" si="28"/>
        <v>2794</v>
      </c>
      <c r="T617" s="738" t="str">
        <f t="shared" si="29"/>
        <v>M</v>
      </c>
      <c r="U617" s="738"/>
    </row>
    <row r="618" spans="1:27" x14ac:dyDescent="0.2">
      <c r="A618" s="913"/>
      <c r="B618" s="666"/>
      <c r="C618" s="347"/>
      <c r="D618" s="870">
        <v>167</v>
      </c>
      <c r="E618" s="871" t="s">
        <v>8</v>
      </c>
      <c r="F618" s="667">
        <v>0</v>
      </c>
      <c r="G618" s="871">
        <v>173</v>
      </c>
      <c r="H618" s="871" t="s">
        <v>8</v>
      </c>
      <c r="I618" s="668">
        <v>0</v>
      </c>
      <c r="J618" s="349" t="s">
        <v>1101</v>
      </c>
      <c r="K618" s="884"/>
      <c r="L618" s="876"/>
      <c r="M618" s="885"/>
      <c r="N618" s="876">
        <f t="shared" si="31"/>
        <v>120</v>
      </c>
      <c r="O618" s="313"/>
      <c r="P618" s="315"/>
      <c r="Q618" s="315"/>
      <c r="R618" s="909"/>
      <c r="S618" s="738">
        <f t="shared" si="28"/>
        <v>2794</v>
      </c>
      <c r="T618" s="738" t="str">
        <f t="shared" si="29"/>
        <v>M</v>
      </c>
      <c r="U618" s="738"/>
    </row>
    <row r="619" spans="1:27" x14ac:dyDescent="0.2">
      <c r="A619" s="913"/>
      <c r="B619" s="666"/>
      <c r="C619" s="347"/>
      <c r="D619" s="870">
        <v>167</v>
      </c>
      <c r="E619" s="871" t="s">
        <v>8</v>
      </c>
      <c r="F619" s="667">
        <v>0</v>
      </c>
      <c r="G619" s="871">
        <v>173</v>
      </c>
      <c r="H619" s="871" t="s">
        <v>8</v>
      </c>
      <c r="I619" s="668">
        <v>0</v>
      </c>
      <c r="J619" s="349" t="s">
        <v>1102</v>
      </c>
      <c r="K619" s="884"/>
      <c r="L619" s="876"/>
      <c r="M619" s="885"/>
      <c r="N619" s="876">
        <f t="shared" si="31"/>
        <v>120</v>
      </c>
      <c r="O619" s="313"/>
      <c r="P619" s="315"/>
      <c r="Q619" s="315"/>
      <c r="R619" s="909"/>
      <c r="S619" s="738">
        <f t="shared" si="28"/>
        <v>2794</v>
      </c>
      <c r="T619" s="738" t="str">
        <f t="shared" si="29"/>
        <v>M</v>
      </c>
      <c r="U619" s="738"/>
    </row>
    <row r="620" spans="1:27" x14ac:dyDescent="0.2">
      <c r="A620" s="913"/>
      <c r="B620" s="666"/>
      <c r="C620" s="347"/>
      <c r="D620" s="870">
        <v>179</v>
      </c>
      <c r="E620" s="871" t="s">
        <v>8</v>
      </c>
      <c r="F620" s="667">
        <v>0</v>
      </c>
      <c r="G620" s="871">
        <v>180</v>
      </c>
      <c r="H620" s="871" t="s">
        <v>8</v>
      </c>
      <c r="I620" s="668">
        <v>0</v>
      </c>
      <c r="J620" s="349" t="s">
        <v>1101</v>
      </c>
      <c r="K620" s="884"/>
      <c r="L620" s="876"/>
      <c r="M620" s="885"/>
      <c r="N620" s="876">
        <f t="shared" si="31"/>
        <v>20</v>
      </c>
      <c r="O620" s="313"/>
      <c r="P620" s="315"/>
      <c r="Q620" s="315"/>
      <c r="R620" s="909"/>
      <c r="S620" s="738">
        <f t="shared" si="28"/>
        <v>2794</v>
      </c>
      <c r="T620" s="738" t="str">
        <f t="shared" si="29"/>
        <v>M</v>
      </c>
      <c r="U620" s="738"/>
    </row>
    <row r="621" spans="1:27" x14ac:dyDescent="0.2">
      <c r="A621" s="913"/>
      <c r="B621" s="666"/>
      <c r="C621" s="347"/>
      <c r="D621" s="870">
        <v>199</v>
      </c>
      <c r="E621" s="871" t="s">
        <v>8</v>
      </c>
      <c r="F621" s="667">
        <v>0</v>
      </c>
      <c r="G621" s="871">
        <v>203</v>
      </c>
      <c r="H621" s="871" t="s">
        <v>8</v>
      </c>
      <c r="I621" s="668">
        <v>0</v>
      </c>
      <c r="J621" s="349" t="s">
        <v>1101</v>
      </c>
      <c r="K621" s="884"/>
      <c r="L621" s="876"/>
      <c r="M621" s="885"/>
      <c r="N621" s="876">
        <f t="shared" si="31"/>
        <v>80</v>
      </c>
      <c r="O621" s="313"/>
      <c r="P621" s="315"/>
      <c r="Q621" s="315"/>
      <c r="R621" s="909"/>
      <c r="S621" s="738">
        <f t="shared" si="28"/>
        <v>2794</v>
      </c>
      <c r="T621" s="738" t="str">
        <f t="shared" si="29"/>
        <v>M</v>
      </c>
      <c r="U621" s="738"/>
    </row>
    <row r="622" spans="1:27" x14ac:dyDescent="0.2">
      <c r="A622" s="913"/>
      <c r="B622" s="666"/>
      <c r="C622" s="347"/>
      <c r="D622" s="870">
        <v>199</v>
      </c>
      <c r="E622" s="871" t="s">
        <v>8</v>
      </c>
      <c r="F622" s="667">
        <v>0</v>
      </c>
      <c r="G622" s="871">
        <v>203</v>
      </c>
      <c r="H622" s="871" t="s">
        <v>8</v>
      </c>
      <c r="I622" s="668">
        <v>0</v>
      </c>
      <c r="J622" s="349" t="s">
        <v>1102</v>
      </c>
      <c r="K622" s="884"/>
      <c r="L622" s="876"/>
      <c r="M622" s="885"/>
      <c r="N622" s="876">
        <f t="shared" si="31"/>
        <v>80</v>
      </c>
      <c r="O622" s="313"/>
      <c r="P622" s="315"/>
      <c r="Q622" s="315"/>
      <c r="R622" s="909"/>
      <c r="S622" s="738">
        <f t="shared" si="28"/>
        <v>2794</v>
      </c>
      <c r="T622" s="738" t="str">
        <f t="shared" si="29"/>
        <v>M</v>
      </c>
      <c r="U622" s="738"/>
    </row>
    <row r="623" spans="1:27" x14ac:dyDescent="0.2">
      <c r="A623" s="913"/>
      <c r="B623" s="666"/>
      <c r="C623" s="347"/>
      <c r="D623" s="870">
        <v>237</v>
      </c>
      <c r="E623" s="871" t="s">
        <v>8</v>
      </c>
      <c r="F623" s="667">
        <v>0</v>
      </c>
      <c r="G623" s="871">
        <v>240</v>
      </c>
      <c r="H623" s="871" t="s">
        <v>8</v>
      </c>
      <c r="I623" s="668">
        <v>0</v>
      </c>
      <c r="J623" s="349" t="s">
        <v>1102</v>
      </c>
      <c r="K623" s="884"/>
      <c r="L623" s="876"/>
      <c r="M623" s="885"/>
      <c r="N623" s="876">
        <f t="shared" si="31"/>
        <v>60</v>
      </c>
      <c r="O623" s="313"/>
      <c r="P623" s="315"/>
      <c r="Q623" s="315"/>
      <c r="R623" s="909"/>
      <c r="S623" s="738">
        <f t="shared" si="28"/>
        <v>2794</v>
      </c>
      <c r="T623" s="738" t="str">
        <f t="shared" si="29"/>
        <v>M</v>
      </c>
      <c r="U623" s="738"/>
    </row>
    <row r="624" spans="1:27" x14ac:dyDescent="0.2">
      <c r="A624" s="913"/>
      <c r="B624" s="666"/>
      <c r="C624" s="347"/>
      <c r="D624" s="870">
        <v>273</v>
      </c>
      <c r="E624" s="871" t="s">
        <v>8</v>
      </c>
      <c r="F624" s="667">
        <v>0</v>
      </c>
      <c r="G624" s="871">
        <v>279</v>
      </c>
      <c r="H624" s="871" t="s">
        <v>8</v>
      </c>
      <c r="I624" s="668">
        <v>0</v>
      </c>
      <c r="J624" s="349" t="s">
        <v>1101</v>
      </c>
      <c r="K624" s="884"/>
      <c r="L624" s="876"/>
      <c r="M624" s="885"/>
      <c r="N624" s="876">
        <f t="shared" si="31"/>
        <v>120</v>
      </c>
      <c r="O624" s="313"/>
      <c r="P624" s="315"/>
      <c r="Q624" s="315"/>
      <c r="R624" s="909"/>
      <c r="S624" s="738">
        <f t="shared" si="28"/>
        <v>2794</v>
      </c>
      <c r="T624" s="738" t="str">
        <f t="shared" si="29"/>
        <v>M</v>
      </c>
      <c r="U624" s="738"/>
    </row>
    <row r="625" spans="1:27" x14ac:dyDescent="0.2">
      <c r="A625" s="913"/>
      <c r="B625" s="666"/>
      <c r="C625" s="347"/>
      <c r="D625" s="870">
        <v>342</v>
      </c>
      <c r="E625" s="871" t="s">
        <v>8</v>
      </c>
      <c r="F625" s="667">
        <v>0</v>
      </c>
      <c r="G625" s="871">
        <v>345</v>
      </c>
      <c r="H625" s="871" t="s">
        <v>8</v>
      </c>
      <c r="I625" s="668">
        <v>10</v>
      </c>
      <c r="J625" s="349" t="s">
        <v>1101</v>
      </c>
      <c r="K625" s="884"/>
      <c r="L625" s="876"/>
      <c r="M625" s="885"/>
      <c r="N625" s="876">
        <f t="shared" si="31"/>
        <v>70</v>
      </c>
      <c r="O625" s="313"/>
      <c r="P625" s="315"/>
      <c r="Q625" s="315"/>
      <c r="R625" s="909"/>
      <c r="S625" s="738">
        <f t="shared" si="28"/>
        <v>2794</v>
      </c>
      <c r="T625" s="738" t="str">
        <f t="shared" si="29"/>
        <v>M</v>
      </c>
      <c r="U625" s="738"/>
    </row>
    <row r="626" spans="1:27" x14ac:dyDescent="0.2">
      <c r="A626" s="913"/>
      <c r="B626" s="666"/>
      <c r="C626" s="347"/>
      <c r="D626" s="870">
        <v>345</v>
      </c>
      <c r="E626" s="871" t="s">
        <v>8</v>
      </c>
      <c r="F626" s="667">
        <v>0</v>
      </c>
      <c r="G626" s="871">
        <v>347</v>
      </c>
      <c r="H626" s="871" t="s">
        <v>8</v>
      </c>
      <c r="I626" s="668">
        <v>0</v>
      </c>
      <c r="J626" s="349" t="s">
        <v>1102</v>
      </c>
      <c r="K626" s="884"/>
      <c r="L626" s="876"/>
      <c r="M626" s="885"/>
      <c r="N626" s="876">
        <f t="shared" si="31"/>
        <v>40</v>
      </c>
      <c r="O626" s="313"/>
      <c r="P626" s="315"/>
      <c r="Q626" s="315"/>
      <c r="R626" s="909"/>
      <c r="S626" s="738">
        <f t="shared" si="28"/>
        <v>2794</v>
      </c>
      <c r="T626" s="738" t="str">
        <f t="shared" si="29"/>
        <v>M</v>
      </c>
      <c r="U626" s="738"/>
    </row>
    <row r="627" spans="1:27" x14ac:dyDescent="0.2">
      <c r="A627" s="913"/>
      <c r="B627" s="666"/>
      <c r="C627" s="347"/>
      <c r="D627" s="870">
        <v>360</v>
      </c>
      <c r="E627" s="871" t="s">
        <v>8</v>
      </c>
      <c r="F627" s="667">
        <v>10</v>
      </c>
      <c r="G627" s="871">
        <v>361</v>
      </c>
      <c r="H627" s="871" t="s">
        <v>8</v>
      </c>
      <c r="I627" s="668">
        <v>10</v>
      </c>
      <c r="J627" s="349" t="s">
        <v>1101</v>
      </c>
      <c r="K627" s="884"/>
      <c r="L627" s="876"/>
      <c r="M627" s="885"/>
      <c r="N627" s="876">
        <f t="shared" si="31"/>
        <v>20</v>
      </c>
      <c r="O627" s="313"/>
      <c r="P627" s="315"/>
      <c r="Q627" s="315"/>
      <c r="R627" s="909"/>
      <c r="S627" s="738">
        <f t="shared" si="28"/>
        <v>2794</v>
      </c>
      <c r="T627" s="738" t="str">
        <f t="shared" si="29"/>
        <v>M</v>
      </c>
      <c r="U627" s="738"/>
    </row>
    <row r="628" spans="1:27" x14ac:dyDescent="0.2">
      <c r="A628" s="913"/>
      <c r="B628" s="666"/>
      <c r="C628" s="347"/>
      <c r="D628" s="870">
        <v>363</v>
      </c>
      <c r="E628" s="871" t="s">
        <v>8</v>
      </c>
      <c r="F628" s="667">
        <v>0</v>
      </c>
      <c r="G628" s="871">
        <v>365</v>
      </c>
      <c r="H628" s="871" t="s">
        <v>8</v>
      </c>
      <c r="I628" s="668">
        <v>0</v>
      </c>
      <c r="J628" s="349" t="s">
        <v>1102</v>
      </c>
      <c r="K628" s="884"/>
      <c r="L628" s="876"/>
      <c r="M628" s="885"/>
      <c r="N628" s="876">
        <f t="shared" si="31"/>
        <v>40</v>
      </c>
      <c r="O628" s="313"/>
      <c r="P628" s="315"/>
      <c r="Q628" s="315"/>
      <c r="R628" s="909"/>
      <c r="S628" s="738">
        <f t="shared" si="28"/>
        <v>2794</v>
      </c>
      <c r="T628" s="738" t="str">
        <f t="shared" si="29"/>
        <v>M</v>
      </c>
      <c r="U628" s="738"/>
    </row>
    <row r="629" spans="1:27" x14ac:dyDescent="0.2">
      <c r="A629" s="913"/>
      <c r="B629" s="666"/>
      <c r="C629" s="347"/>
      <c r="D629" s="870">
        <v>529</v>
      </c>
      <c r="E629" s="871" t="s">
        <v>8</v>
      </c>
      <c r="F629" s="667">
        <v>0</v>
      </c>
      <c r="G629" s="871">
        <v>548</v>
      </c>
      <c r="H629" s="871" t="s">
        <v>8</v>
      </c>
      <c r="I629" s="668">
        <v>10</v>
      </c>
      <c r="J629" s="349" t="s">
        <v>1102</v>
      </c>
      <c r="K629" s="884"/>
      <c r="L629" s="876"/>
      <c r="M629" s="885"/>
      <c r="N629" s="876">
        <f t="shared" si="31"/>
        <v>390</v>
      </c>
      <c r="O629" s="313"/>
      <c r="P629" s="315"/>
      <c r="Q629" s="315"/>
      <c r="R629" s="909"/>
      <c r="S629" s="738">
        <f t="shared" si="28"/>
        <v>2794</v>
      </c>
      <c r="T629" s="738" t="str">
        <f t="shared" si="29"/>
        <v>M</v>
      </c>
      <c r="U629" s="738"/>
    </row>
    <row r="630" spans="1:27" x14ac:dyDescent="0.2">
      <c r="A630" s="913"/>
      <c r="B630" s="666"/>
      <c r="C630" s="744" t="s">
        <v>1553</v>
      </c>
      <c r="D630" s="870"/>
      <c r="E630" s="871"/>
      <c r="F630" s="667"/>
      <c r="G630" s="871"/>
      <c r="H630" s="871"/>
      <c r="I630" s="668"/>
      <c r="J630" s="349"/>
      <c r="K630" s="884"/>
      <c r="L630" s="876"/>
      <c r="M630" s="885"/>
      <c r="N630" s="876"/>
      <c r="O630" s="313"/>
      <c r="P630" s="315"/>
      <c r="Q630" s="315"/>
      <c r="R630" s="909"/>
      <c r="S630" s="738">
        <f t="shared" si="28"/>
        <v>2794</v>
      </c>
      <c r="T630" s="738" t="str">
        <f t="shared" si="29"/>
        <v>M</v>
      </c>
      <c r="U630" s="738"/>
    </row>
    <row r="631" spans="1:27" x14ac:dyDescent="0.2">
      <c r="A631" s="294"/>
      <c r="B631" s="293"/>
      <c r="C631" s="384"/>
      <c r="D631" s="382">
        <v>3</v>
      </c>
      <c r="E631" s="524" t="s">
        <v>8</v>
      </c>
      <c r="F631" s="675">
        <v>0</v>
      </c>
      <c r="G631" s="381">
        <v>7</v>
      </c>
      <c r="H631" s="524" t="s">
        <v>8</v>
      </c>
      <c r="I631" s="292">
        <v>0</v>
      </c>
      <c r="J631" s="383" t="s">
        <v>1556</v>
      </c>
      <c r="K631" s="875"/>
      <c r="M631" s="875"/>
      <c r="N631" s="876">
        <f t="shared" ref="N631:N637" si="32">G631*20+I631-D631*20-F631</f>
        <v>80</v>
      </c>
      <c r="R631" s="912"/>
      <c r="S631" s="738">
        <f t="shared" si="28"/>
        <v>2794</v>
      </c>
      <c r="T631" s="738" t="str">
        <f t="shared" si="29"/>
        <v>M</v>
      </c>
      <c r="U631" s="738"/>
      <c r="W631" s="288"/>
      <c r="X631" s="288"/>
      <c r="Y631" s="288"/>
      <c r="Z631" s="288"/>
      <c r="AA631" s="288"/>
    </row>
    <row r="632" spans="1:27" x14ac:dyDescent="0.2">
      <c r="A632" s="294"/>
      <c r="B632" s="293"/>
      <c r="C632" s="384"/>
      <c r="D632" s="382">
        <v>3</v>
      </c>
      <c r="E632" s="524" t="s">
        <v>8</v>
      </c>
      <c r="F632" s="675">
        <v>10</v>
      </c>
      <c r="G632" s="381">
        <v>21</v>
      </c>
      <c r="H632" s="524" t="s">
        <v>8</v>
      </c>
      <c r="I632" s="292">
        <v>0</v>
      </c>
      <c r="J632" s="383" t="s">
        <v>1564</v>
      </c>
      <c r="K632" s="875"/>
      <c r="M632" s="875"/>
      <c r="N632" s="876">
        <f t="shared" si="32"/>
        <v>350</v>
      </c>
      <c r="R632" s="912"/>
      <c r="S632" s="738">
        <f t="shared" si="28"/>
        <v>2794</v>
      </c>
      <c r="T632" s="738" t="str">
        <f t="shared" si="29"/>
        <v>M</v>
      </c>
      <c r="U632" s="738"/>
      <c r="W632" s="288"/>
      <c r="X632" s="288"/>
      <c r="Y632" s="288"/>
      <c r="Z632" s="288"/>
      <c r="AA632" s="288"/>
    </row>
    <row r="633" spans="1:27" x14ac:dyDescent="0.2">
      <c r="A633" s="294"/>
      <c r="B633" s="293"/>
      <c r="C633" s="384"/>
      <c r="D633" s="382">
        <v>33</v>
      </c>
      <c r="E633" s="524" t="s">
        <v>8</v>
      </c>
      <c r="F633" s="675">
        <v>0</v>
      </c>
      <c r="G633" s="381">
        <v>40</v>
      </c>
      <c r="H633" s="524" t="s">
        <v>8</v>
      </c>
      <c r="I633" s="292">
        <v>0</v>
      </c>
      <c r="J633" s="383" t="s">
        <v>1564</v>
      </c>
      <c r="K633" s="875"/>
      <c r="M633" s="875"/>
      <c r="N633" s="876">
        <f t="shared" si="32"/>
        <v>140</v>
      </c>
      <c r="R633" s="912"/>
      <c r="S633" s="738">
        <f t="shared" si="28"/>
        <v>2794</v>
      </c>
      <c r="T633" s="738" t="str">
        <f t="shared" si="29"/>
        <v>M</v>
      </c>
      <c r="U633" s="738"/>
      <c r="W633" s="288"/>
      <c r="X633" s="288"/>
      <c r="Y633" s="288"/>
      <c r="Z633" s="288"/>
      <c r="AA633" s="288"/>
    </row>
    <row r="634" spans="1:27" x14ac:dyDescent="0.2">
      <c r="A634" s="294"/>
      <c r="B634" s="293"/>
      <c r="C634" s="384"/>
      <c r="D634" s="382">
        <v>35</v>
      </c>
      <c r="E634" s="524" t="s">
        <v>8</v>
      </c>
      <c r="F634" s="675">
        <v>0</v>
      </c>
      <c r="G634" s="381">
        <v>46</v>
      </c>
      <c r="H634" s="524" t="s">
        <v>8</v>
      </c>
      <c r="I634" s="292">
        <v>0</v>
      </c>
      <c r="J634" s="383" t="s">
        <v>1556</v>
      </c>
      <c r="K634" s="875"/>
      <c r="M634" s="875"/>
      <c r="N634" s="876">
        <f t="shared" si="32"/>
        <v>220</v>
      </c>
      <c r="R634" s="912"/>
      <c r="S634" s="738">
        <f t="shared" si="28"/>
        <v>2794</v>
      </c>
      <c r="T634" s="738" t="str">
        <f t="shared" si="29"/>
        <v>M</v>
      </c>
      <c r="U634" s="738"/>
      <c r="W634" s="288"/>
      <c r="X634" s="288"/>
      <c r="Y634" s="288"/>
      <c r="Z634" s="288"/>
      <c r="AA634" s="288"/>
    </row>
    <row r="635" spans="1:27" x14ac:dyDescent="0.2">
      <c r="A635" s="294"/>
      <c r="B635" s="293"/>
      <c r="C635" s="384"/>
      <c r="D635" s="382">
        <v>54</v>
      </c>
      <c r="E635" s="524" t="s">
        <v>8</v>
      </c>
      <c r="F635" s="675">
        <v>0</v>
      </c>
      <c r="G635" s="381">
        <v>57</v>
      </c>
      <c r="H635" s="524" t="s">
        <v>8</v>
      </c>
      <c r="I635" s="292">
        <v>0</v>
      </c>
      <c r="J635" s="383" t="s">
        <v>1556</v>
      </c>
      <c r="K635" s="875"/>
      <c r="M635" s="875"/>
      <c r="N635" s="876">
        <f t="shared" si="32"/>
        <v>60</v>
      </c>
      <c r="R635" s="912"/>
      <c r="S635" s="738">
        <f t="shared" si="28"/>
        <v>2794</v>
      </c>
      <c r="T635" s="738" t="str">
        <f t="shared" si="29"/>
        <v>M</v>
      </c>
      <c r="U635" s="738"/>
      <c r="W635" s="288"/>
      <c r="X635" s="288"/>
      <c r="Y635" s="288"/>
      <c r="Z635" s="288"/>
      <c r="AA635" s="288"/>
    </row>
    <row r="636" spans="1:27" x14ac:dyDescent="0.2">
      <c r="A636" s="294"/>
      <c r="B636" s="293"/>
      <c r="C636" s="384"/>
      <c r="D636" s="382">
        <v>70</v>
      </c>
      <c r="E636" s="524" t="s">
        <v>8</v>
      </c>
      <c r="F636" s="675">
        <v>0</v>
      </c>
      <c r="G636" s="381">
        <v>80</v>
      </c>
      <c r="H636" s="524" t="s">
        <v>8</v>
      </c>
      <c r="I636" s="292">
        <v>0</v>
      </c>
      <c r="J636" s="383" t="s">
        <v>1564</v>
      </c>
      <c r="K636" s="875"/>
      <c r="M636" s="875"/>
      <c r="N636" s="876">
        <f t="shared" si="32"/>
        <v>200</v>
      </c>
      <c r="R636" s="912"/>
      <c r="S636" s="738">
        <f t="shared" si="28"/>
        <v>2794</v>
      </c>
      <c r="T636" s="738" t="str">
        <f t="shared" si="29"/>
        <v>M</v>
      </c>
      <c r="U636" s="738"/>
      <c r="W636" s="288"/>
      <c r="X636" s="288"/>
      <c r="Y636" s="288"/>
      <c r="Z636" s="288"/>
      <c r="AA636" s="288"/>
    </row>
    <row r="637" spans="1:27" x14ac:dyDescent="0.2">
      <c r="A637" s="294"/>
      <c r="B637" s="293"/>
      <c r="C637" s="384"/>
      <c r="D637" s="382">
        <v>107</v>
      </c>
      <c r="E637" s="524" t="s">
        <v>8</v>
      </c>
      <c r="F637" s="675">
        <v>0</v>
      </c>
      <c r="G637" s="381">
        <v>111</v>
      </c>
      <c r="H637" s="524" t="s">
        <v>8</v>
      </c>
      <c r="I637" s="292">
        <v>0</v>
      </c>
      <c r="J637" s="383" t="s">
        <v>1564</v>
      </c>
      <c r="K637" s="875"/>
      <c r="M637" s="875"/>
      <c r="N637" s="876">
        <f t="shared" si="32"/>
        <v>80</v>
      </c>
      <c r="R637" s="912"/>
      <c r="S637" s="738">
        <f t="shared" si="28"/>
        <v>2794</v>
      </c>
      <c r="T637" s="738" t="str">
        <f t="shared" si="29"/>
        <v>M</v>
      </c>
      <c r="U637" s="738"/>
      <c r="W637" s="288"/>
      <c r="X637" s="288"/>
      <c r="Y637" s="288"/>
      <c r="Z637" s="288"/>
      <c r="AA637" s="288"/>
    </row>
    <row r="638" spans="1:27" x14ac:dyDescent="0.2">
      <c r="A638" s="899"/>
      <c r="B638" s="353"/>
      <c r="C638" s="354" t="s">
        <v>2</v>
      </c>
      <c r="D638" s="355"/>
      <c r="E638" s="352"/>
      <c r="F638" s="677"/>
      <c r="G638" s="678"/>
      <c r="H638" s="356"/>
      <c r="I638" s="356"/>
      <c r="J638" s="353"/>
      <c r="K638" s="358"/>
      <c r="L638" s="358"/>
      <c r="M638" s="358"/>
      <c r="N638" s="360">
        <f>SUM(N612:N637)</f>
        <v>2794</v>
      </c>
      <c r="O638" s="361" t="str">
        <f>IF(MID(B610,1,2)="LG",VLOOKUP(B610,'Compos lug'!J:M,4,FALSE),IF(MID(B610,1,1)="6",VLOOKUP(B610,tranp.!$A$6:$K$51,3,FALSE),VLOOKUP(B610,'DER 10-18'!$A$1:$I$1981,3,FALSE)))</f>
        <v>M</v>
      </c>
      <c r="P638" s="362"/>
      <c r="Q638" s="362"/>
      <c r="R638" s="900"/>
      <c r="S638" s="738">
        <f t="shared" si="28"/>
        <v>9326</v>
      </c>
      <c r="T638" s="738" t="str">
        <f t="shared" si="29"/>
        <v>M</v>
      </c>
      <c r="U638" s="738"/>
    </row>
    <row r="639" spans="1:27" s="651" customFormat="1" x14ac:dyDescent="0.2">
      <c r="A639" s="910"/>
      <c r="B639" s="655"/>
      <c r="C639" s="656"/>
      <c r="D639" s="657"/>
      <c r="E639" s="654"/>
      <c r="F639" s="663"/>
      <c r="G639" s="664"/>
      <c r="H639" s="652"/>
      <c r="I639" s="652"/>
      <c r="J639" s="655"/>
      <c r="K639" s="653"/>
      <c r="L639" s="653"/>
      <c r="M639" s="653"/>
      <c r="N639" s="648"/>
      <c r="O639" s="660"/>
      <c r="P639" s="661"/>
      <c r="Q639" s="661"/>
      <c r="R639" s="911"/>
      <c r="S639" s="738">
        <f t="shared" si="28"/>
        <v>9326</v>
      </c>
      <c r="T639" s="738" t="str">
        <f t="shared" si="29"/>
        <v>M</v>
      </c>
      <c r="U639" s="749"/>
      <c r="W639" s="714"/>
      <c r="X639" s="714"/>
      <c r="Y639" s="714"/>
      <c r="Z639" s="714"/>
      <c r="AA639" s="714"/>
    </row>
    <row r="640" spans="1:27" ht="25.5" x14ac:dyDescent="0.2">
      <c r="A640" s="913" t="s">
        <v>1536</v>
      </c>
      <c r="B640" s="666">
        <v>40667</v>
      </c>
      <c r="C640" s="347" t="str">
        <f>IF(MID(B640,1,2)="LG",VLOOKUP(B640,'Compos lug'!J:M,3,FALSE),IF(MID(B640,1,1)="6",VLOOKUP(B640,tranp.!$A$4:$K$19,11,FALSE)&amp;" -  XP="&amp;TEXT(T640,"0.000")&amp;" / XR="&amp;TEXT(V640,"0.000"),VLOOKUP(B640,'DER 10-18'!$A$1:$I$1981,2,FALSE)))</f>
        <v>Sarjeta de concreto DP-2 (0,085 m³/m) calha triangular, inclusive caiação</v>
      </c>
      <c r="D640" s="1059" t="s">
        <v>1000</v>
      </c>
      <c r="E640" s="1060"/>
      <c r="F640" s="1061"/>
      <c r="G640" s="1059" t="s">
        <v>1001</v>
      </c>
      <c r="H640" s="1060"/>
      <c r="I640" s="1061"/>
      <c r="J640" s="349" t="s">
        <v>989</v>
      </c>
      <c r="K640" s="876"/>
      <c r="L640" s="876"/>
      <c r="M640" s="876"/>
      <c r="N640" s="876" t="str">
        <f>CONCATENATE("Total (",IF(MID(B640,1,2)="LG",VLOOKUP(B640,'Compos lug'!J:M,4,FALSE),IF(MID(B640,1,1)="6","t",VLOOKUP(B640,'DER 10-18'!$A$1:$I$1981,3,FALSE))),")")</f>
        <v>Total (M)</v>
      </c>
      <c r="O640" s="313"/>
      <c r="P640" s="315"/>
      <c r="Q640" s="315"/>
      <c r="R640" s="909"/>
      <c r="S640" s="738">
        <f t="shared" si="28"/>
        <v>9326</v>
      </c>
      <c r="T640" s="738" t="str">
        <f t="shared" si="29"/>
        <v>M</v>
      </c>
      <c r="U640" s="738"/>
    </row>
    <row r="641" spans="1:21" x14ac:dyDescent="0.2">
      <c r="A641" s="294"/>
      <c r="B641" s="293"/>
      <c r="C641" s="744" t="s">
        <v>1552</v>
      </c>
      <c r="N641" s="876"/>
      <c r="R641" s="912"/>
      <c r="S641" s="738">
        <f t="shared" si="28"/>
        <v>9326</v>
      </c>
      <c r="T641" s="738" t="str">
        <f t="shared" si="29"/>
        <v>M</v>
      </c>
    </row>
    <row r="642" spans="1:21" x14ac:dyDescent="0.2">
      <c r="A642" s="913"/>
      <c r="B642" s="666"/>
      <c r="C642" s="347"/>
      <c r="D642" s="870">
        <v>12</v>
      </c>
      <c r="E642" s="871" t="s">
        <v>8</v>
      </c>
      <c r="F642" s="667">
        <v>0</v>
      </c>
      <c r="G642" s="871">
        <v>25</v>
      </c>
      <c r="H642" s="871" t="s">
        <v>8</v>
      </c>
      <c r="I642" s="668">
        <v>5</v>
      </c>
      <c r="J642" s="349" t="s">
        <v>1102</v>
      </c>
      <c r="K642" s="884"/>
      <c r="L642" s="876"/>
      <c r="M642" s="885"/>
      <c r="N642" s="876">
        <f t="shared" ref="N642:N677" si="33">(G642*20+I642)-(D642*20+F642)</f>
        <v>265</v>
      </c>
      <c r="O642" s="313"/>
      <c r="P642" s="315"/>
      <c r="Q642" s="315"/>
      <c r="R642" s="909"/>
      <c r="S642" s="738">
        <f t="shared" si="28"/>
        <v>9326</v>
      </c>
      <c r="T642" s="738" t="str">
        <f t="shared" si="29"/>
        <v>M</v>
      </c>
      <c r="U642" s="738"/>
    </row>
    <row r="643" spans="1:21" x14ac:dyDescent="0.2">
      <c r="A643" s="913"/>
      <c r="B643" s="666"/>
      <c r="C643" s="347"/>
      <c r="D643" s="870">
        <v>13</v>
      </c>
      <c r="E643" s="871" t="s">
        <v>8</v>
      </c>
      <c r="F643" s="667">
        <v>0</v>
      </c>
      <c r="G643" s="871">
        <v>24</v>
      </c>
      <c r="H643" s="871" t="s">
        <v>8</v>
      </c>
      <c r="I643" s="668">
        <v>5</v>
      </c>
      <c r="J643" s="349" t="s">
        <v>1101</v>
      </c>
      <c r="K643" s="884"/>
      <c r="L643" s="876"/>
      <c r="M643" s="885"/>
      <c r="N643" s="876">
        <f t="shared" si="33"/>
        <v>225</v>
      </c>
      <c r="O643" s="313"/>
      <c r="P643" s="315"/>
      <c r="Q643" s="315"/>
      <c r="R643" s="909"/>
      <c r="S643" s="738">
        <f t="shared" si="28"/>
        <v>9326</v>
      </c>
      <c r="T643" s="738" t="str">
        <f t="shared" si="29"/>
        <v>M</v>
      </c>
      <c r="U643" s="738"/>
    </row>
    <row r="644" spans="1:21" x14ac:dyDescent="0.2">
      <c r="A644" s="913"/>
      <c r="B644" s="666"/>
      <c r="C644" s="347"/>
      <c r="D644" s="870">
        <v>37</v>
      </c>
      <c r="E644" s="871" t="s">
        <v>8</v>
      </c>
      <c r="F644" s="667">
        <v>0</v>
      </c>
      <c r="G644" s="871">
        <v>45</v>
      </c>
      <c r="H644" s="871" t="s">
        <v>8</v>
      </c>
      <c r="I644" s="668">
        <v>0</v>
      </c>
      <c r="J644" s="349" t="s">
        <v>1101</v>
      </c>
      <c r="K644" s="884"/>
      <c r="L644" s="876"/>
      <c r="M644" s="885"/>
      <c r="N644" s="876">
        <f t="shared" si="33"/>
        <v>160</v>
      </c>
      <c r="O644" s="313"/>
      <c r="P644" s="315"/>
      <c r="Q644" s="315"/>
      <c r="R644" s="909"/>
      <c r="S644" s="738">
        <f t="shared" si="28"/>
        <v>9326</v>
      </c>
      <c r="T644" s="738" t="str">
        <f t="shared" si="29"/>
        <v>M</v>
      </c>
      <c r="U644" s="738"/>
    </row>
    <row r="645" spans="1:21" x14ac:dyDescent="0.2">
      <c r="A645" s="913"/>
      <c r="B645" s="666"/>
      <c r="C645" s="347"/>
      <c r="D645" s="870">
        <v>61</v>
      </c>
      <c r="E645" s="871" t="s">
        <v>8</v>
      </c>
      <c r="F645" s="667">
        <v>0</v>
      </c>
      <c r="G645" s="871">
        <v>67</v>
      </c>
      <c r="H645" s="871" t="s">
        <v>8</v>
      </c>
      <c r="I645" s="668">
        <v>10</v>
      </c>
      <c r="J645" s="349" t="s">
        <v>1102</v>
      </c>
      <c r="K645" s="884"/>
      <c r="L645" s="876"/>
      <c r="M645" s="885"/>
      <c r="N645" s="876">
        <f t="shared" si="33"/>
        <v>130</v>
      </c>
      <c r="O645" s="313"/>
      <c r="P645" s="315"/>
      <c r="Q645" s="315"/>
      <c r="R645" s="909"/>
      <c r="S645" s="738">
        <f t="shared" si="28"/>
        <v>9326</v>
      </c>
      <c r="T645" s="738" t="str">
        <f t="shared" si="29"/>
        <v>M</v>
      </c>
      <c r="U645" s="738"/>
    </row>
    <row r="646" spans="1:21" x14ac:dyDescent="0.2">
      <c r="A646" s="913"/>
      <c r="B646" s="666"/>
      <c r="C646" s="347"/>
      <c r="D646" s="870">
        <v>70</v>
      </c>
      <c r="E646" s="871" t="s">
        <v>8</v>
      </c>
      <c r="F646" s="667">
        <v>0</v>
      </c>
      <c r="G646" s="871">
        <v>84</v>
      </c>
      <c r="H646" s="871" t="s">
        <v>8</v>
      </c>
      <c r="I646" s="668">
        <v>0</v>
      </c>
      <c r="J646" s="349" t="s">
        <v>1102</v>
      </c>
      <c r="K646" s="884"/>
      <c r="L646" s="876"/>
      <c r="M646" s="885"/>
      <c r="N646" s="876">
        <f t="shared" si="33"/>
        <v>280</v>
      </c>
      <c r="O646" s="313"/>
      <c r="P646" s="315"/>
      <c r="Q646" s="315"/>
      <c r="R646" s="909"/>
      <c r="S646" s="738">
        <f t="shared" si="28"/>
        <v>9326</v>
      </c>
      <c r="T646" s="738" t="str">
        <f t="shared" si="29"/>
        <v>M</v>
      </c>
      <c r="U646" s="738"/>
    </row>
    <row r="647" spans="1:21" x14ac:dyDescent="0.2">
      <c r="A647" s="913"/>
      <c r="B647" s="666"/>
      <c r="C647" s="347"/>
      <c r="D647" s="870">
        <v>101</v>
      </c>
      <c r="E647" s="871" t="s">
        <v>8</v>
      </c>
      <c r="F647" s="667">
        <v>10</v>
      </c>
      <c r="G647" s="871">
        <v>106</v>
      </c>
      <c r="H647" s="871" t="s">
        <v>8</v>
      </c>
      <c r="I647" s="668">
        <v>0</v>
      </c>
      <c r="J647" s="349" t="s">
        <v>1101</v>
      </c>
      <c r="K647" s="884"/>
      <c r="L647" s="876"/>
      <c r="M647" s="885"/>
      <c r="N647" s="876">
        <f t="shared" si="33"/>
        <v>90</v>
      </c>
      <c r="O647" s="313"/>
      <c r="P647" s="315"/>
      <c r="Q647" s="315"/>
      <c r="R647" s="909"/>
      <c r="S647" s="738">
        <f t="shared" si="28"/>
        <v>9326</v>
      </c>
      <c r="T647" s="738" t="str">
        <f t="shared" si="29"/>
        <v>M</v>
      </c>
      <c r="U647" s="738"/>
    </row>
    <row r="648" spans="1:21" x14ac:dyDescent="0.2">
      <c r="A648" s="913"/>
      <c r="B648" s="666"/>
      <c r="C648" s="347"/>
      <c r="D648" s="870">
        <v>102</v>
      </c>
      <c r="E648" s="871" t="s">
        <v>8</v>
      </c>
      <c r="F648" s="667">
        <v>4</v>
      </c>
      <c r="G648" s="871">
        <v>105</v>
      </c>
      <c r="H648" s="871" t="s">
        <v>8</v>
      </c>
      <c r="I648" s="668">
        <v>15</v>
      </c>
      <c r="J648" s="349" t="s">
        <v>1102</v>
      </c>
      <c r="K648" s="884"/>
      <c r="L648" s="876"/>
      <c r="M648" s="885"/>
      <c r="N648" s="876">
        <f t="shared" si="33"/>
        <v>71</v>
      </c>
      <c r="O648" s="313"/>
      <c r="P648" s="315"/>
      <c r="Q648" s="315"/>
      <c r="R648" s="909"/>
      <c r="S648" s="738">
        <f t="shared" si="28"/>
        <v>9326</v>
      </c>
      <c r="T648" s="738" t="str">
        <f t="shared" si="29"/>
        <v>M</v>
      </c>
      <c r="U648" s="738"/>
    </row>
    <row r="649" spans="1:21" x14ac:dyDescent="0.2">
      <c r="A649" s="913"/>
      <c r="B649" s="666"/>
      <c r="C649" s="347"/>
      <c r="D649" s="870">
        <v>148</v>
      </c>
      <c r="E649" s="871" t="s">
        <v>8</v>
      </c>
      <c r="F649" s="667">
        <v>0</v>
      </c>
      <c r="G649" s="871">
        <v>152</v>
      </c>
      <c r="H649" s="871" t="s">
        <v>8</v>
      </c>
      <c r="I649" s="668">
        <v>10</v>
      </c>
      <c r="J649" s="349" t="s">
        <v>1102</v>
      </c>
      <c r="K649" s="884"/>
      <c r="L649" s="876"/>
      <c r="M649" s="885"/>
      <c r="N649" s="876">
        <f t="shared" si="33"/>
        <v>90</v>
      </c>
      <c r="O649" s="313"/>
      <c r="P649" s="315"/>
      <c r="Q649" s="315"/>
      <c r="R649" s="909"/>
      <c r="S649" s="738">
        <f t="shared" si="28"/>
        <v>9326</v>
      </c>
      <c r="T649" s="738" t="str">
        <f t="shared" si="29"/>
        <v>M</v>
      </c>
      <c r="U649" s="738"/>
    </row>
    <row r="650" spans="1:21" x14ac:dyDescent="0.2">
      <c r="A650" s="913"/>
      <c r="B650" s="666"/>
      <c r="C650" s="347"/>
      <c r="D650" s="870">
        <v>149</v>
      </c>
      <c r="E650" s="871" t="s">
        <v>8</v>
      </c>
      <c r="F650" s="667">
        <v>0</v>
      </c>
      <c r="G650" s="871">
        <v>151</v>
      </c>
      <c r="H650" s="871" t="s">
        <v>8</v>
      </c>
      <c r="I650" s="668">
        <v>10</v>
      </c>
      <c r="J650" s="349" t="s">
        <v>1101</v>
      </c>
      <c r="K650" s="884"/>
      <c r="L650" s="876"/>
      <c r="M650" s="885"/>
      <c r="N650" s="876">
        <f t="shared" si="33"/>
        <v>50</v>
      </c>
      <c r="O650" s="313"/>
      <c r="P650" s="315"/>
      <c r="Q650" s="315"/>
      <c r="R650" s="909"/>
      <c r="S650" s="738">
        <f t="shared" si="28"/>
        <v>9326</v>
      </c>
      <c r="T650" s="738" t="str">
        <f t="shared" si="29"/>
        <v>M</v>
      </c>
      <c r="U650" s="738"/>
    </row>
    <row r="651" spans="1:21" x14ac:dyDescent="0.2">
      <c r="A651" s="913"/>
      <c r="B651" s="666"/>
      <c r="C651" s="347"/>
      <c r="D651" s="870">
        <v>159</v>
      </c>
      <c r="E651" s="871" t="s">
        <v>8</v>
      </c>
      <c r="F651" s="667">
        <v>10</v>
      </c>
      <c r="G651" s="871">
        <v>164</v>
      </c>
      <c r="H651" s="871" t="s">
        <v>8</v>
      </c>
      <c r="I651" s="668">
        <v>0</v>
      </c>
      <c r="J651" s="349" t="s">
        <v>1101</v>
      </c>
      <c r="K651" s="884"/>
      <c r="L651" s="876"/>
      <c r="M651" s="885"/>
      <c r="N651" s="876">
        <f t="shared" si="33"/>
        <v>90</v>
      </c>
      <c r="O651" s="313"/>
      <c r="P651" s="315"/>
      <c r="Q651" s="315"/>
      <c r="R651" s="909"/>
      <c r="S651" s="738">
        <f t="shared" si="28"/>
        <v>9326</v>
      </c>
      <c r="T651" s="738" t="str">
        <f t="shared" si="29"/>
        <v>M</v>
      </c>
      <c r="U651" s="738"/>
    </row>
    <row r="652" spans="1:21" x14ac:dyDescent="0.2">
      <c r="A652" s="913"/>
      <c r="B652" s="666"/>
      <c r="C652" s="347"/>
      <c r="D652" s="870">
        <v>159</v>
      </c>
      <c r="E652" s="871" t="s">
        <v>8</v>
      </c>
      <c r="F652" s="667">
        <v>10</v>
      </c>
      <c r="G652" s="871">
        <v>167</v>
      </c>
      <c r="H652" s="871" t="s">
        <v>8</v>
      </c>
      <c r="I652" s="668">
        <v>0</v>
      </c>
      <c r="J652" s="349" t="s">
        <v>1102</v>
      </c>
      <c r="K652" s="884"/>
      <c r="L652" s="876"/>
      <c r="M652" s="885"/>
      <c r="N652" s="876">
        <f t="shared" si="33"/>
        <v>150</v>
      </c>
      <c r="O652" s="313"/>
      <c r="P652" s="315"/>
      <c r="Q652" s="315"/>
      <c r="R652" s="909"/>
      <c r="S652" s="738">
        <f t="shared" si="28"/>
        <v>9326</v>
      </c>
      <c r="T652" s="738" t="str">
        <f t="shared" si="29"/>
        <v>M</v>
      </c>
      <c r="U652" s="738"/>
    </row>
    <row r="653" spans="1:21" x14ac:dyDescent="0.2">
      <c r="A653" s="913"/>
      <c r="B653" s="666"/>
      <c r="C653" s="347"/>
      <c r="D653" s="870">
        <v>164</v>
      </c>
      <c r="E653" s="871" t="s">
        <v>8</v>
      </c>
      <c r="F653" s="667">
        <v>0</v>
      </c>
      <c r="G653" s="871">
        <v>167</v>
      </c>
      <c r="H653" s="871" t="s">
        <v>8</v>
      </c>
      <c r="I653" s="668">
        <v>0</v>
      </c>
      <c r="J653" s="349" t="s">
        <v>1101</v>
      </c>
      <c r="K653" s="884"/>
      <c r="L653" s="876"/>
      <c r="M653" s="885"/>
      <c r="N653" s="876">
        <f t="shared" si="33"/>
        <v>60</v>
      </c>
      <c r="O653" s="313"/>
      <c r="P653" s="315"/>
      <c r="Q653" s="315"/>
      <c r="R653" s="909"/>
      <c r="S653" s="738">
        <f t="shared" si="28"/>
        <v>9326</v>
      </c>
      <c r="T653" s="738" t="str">
        <f t="shared" si="29"/>
        <v>M</v>
      </c>
      <c r="U653" s="738"/>
    </row>
    <row r="654" spans="1:21" x14ac:dyDescent="0.2">
      <c r="A654" s="913"/>
      <c r="B654" s="666"/>
      <c r="C654" s="347"/>
      <c r="D654" s="870">
        <v>173</v>
      </c>
      <c r="E654" s="871" t="s">
        <v>8</v>
      </c>
      <c r="F654" s="667">
        <v>0</v>
      </c>
      <c r="G654" s="871">
        <v>180</v>
      </c>
      <c r="H654" s="871" t="s">
        <v>8</v>
      </c>
      <c r="I654" s="668">
        <v>0</v>
      </c>
      <c r="J654" s="349" t="s">
        <v>1102</v>
      </c>
      <c r="K654" s="884"/>
      <c r="L654" s="876"/>
      <c r="M654" s="885"/>
      <c r="N654" s="876">
        <f t="shared" si="33"/>
        <v>140</v>
      </c>
      <c r="O654" s="313"/>
      <c r="P654" s="315"/>
      <c r="Q654" s="315"/>
      <c r="R654" s="909"/>
      <c r="S654" s="738">
        <f t="shared" si="28"/>
        <v>9326</v>
      </c>
      <c r="T654" s="738" t="str">
        <f t="shared" si="29"/>
        <v>M</v>
      </c>
      <c r="U654" s="738"/>
    </row>
    <row r="655" spans="1:21" x14ac:dyDescent="0.2">
      <c r="A655" s="913"/>
      <c r="B655" s="666"/>
      <c r="C655" s="347"/>
      <c r="D655" s="870">
        <v>174</v>
      </c>
      <c r="E655" s="871" t="s">
        <v>8</v>
      </c>
      <c r="F655" s="667">
        <v>0</v>
      </c>
      <c r="G655" s="871">
        <v>179</v>
      </c>
      <c r="H655" s="871" t="s">
        <v>8</v>
      </c>
      <c r="I655" s="668">
        <v>0</v>
      </c>
      <c r="J655" s="349" t="s">
        <v>1101</v>
      </c>
      <c r="K655" s="884"/>
      <c r="L655" s="876"/>
      <c r="M655" s="885"/>
      <c r="N655" s="876">
        <f t="shared" si="33"/>
        <v>100</v>
      </c>
      <c r="O655" s="313"/>
      <c r="P655" s="315"/>
      <c r="Q655" s="315"/>
      <c r="R655" s="909"/>
      <c r="S655" s="738">
        <f t="shared" si="28"/>
        <v>9326</v>
      </c>
      <c r="T655" s="738" t="str">
        <f t="shared" si="29"/>
        <v>M</v>
      </c>
      <c r="U655" s="738"/>
    </row>
    <row r="656" spans="1:21" x14ac:dyDescent="0.2">
      <c r="A656" s="913"/>
      <c r="B656" s="666"/>
      <c r="C656" s="347"/>
      <c r="D656" s="870">
        <v>189</v>
      </c>
      <c r="E656" s="871" t="s">
        <v>8</v>
      </c>
      <c r="F656" s="667">
        <v>10</v>
      </c>
      <c r="G656" s="871">
        <v>192</v>
      </c>
      <c r="H656" s="871" t="s">
        <v>8</v>
      </c>
      <c r="I656" s="668">
        <v>10</v>
      </c>
      <c r="J656" s="349" t="s">
        <v>1102</v>
      </c>
      <c r="K656" s="884"/>
      <c r="L656" s="876"/>
      <c r="M656" s="885"/>
      <c r="N656" s="876">
        <f t="shared" si="33"/>
        <v>60</v>
      </c>
      <c r="O656" s="313"/>
      <c r="P656" s="315"/>
      <c r="Q656" s="315"/>
      <c r="R656" s="909"/>
      <c r="S656" s="738">
        <f t="shared" si="28"/>
        <v>9326</v>
      </c>
      <c r="T656" s="738" t="str">
        <f t="shared" si="29"/>
        <v>M</v>
      </c>
      <c r="U656" s="738"/>
    </row>
    <row r="657" spans="1:21" x14ac:dyDescent="0.2">
      <c r="A657" s="913"/>
      <c r="B657" s="666"/>
      <c r="C657" s="347"/>
      <c r="D657" s="870">
        <v>190</v>
      </c>
      <c r="E657" s="871" t="s">
        <v>8</v>
      </c>
      <c r="F657" s="667">
        <v>0</v>
      </c>
      <c r="G657" s="871">
        <v>195</v>
      </c>
      <c r="H657" s="871" t="s">
        <v>8</v>
      </c>
      <c r="I657" s="668">
        <v>0</v>
      </c>
      <c r="J657" s="349" t="s">
        <v>1101</v>
      </c>
      <c r="K657" s="884"/>
      <c r="L657" s="876"/>
      <c r="M657" s="885"/>
      <c r="N657" s="876">
        <f t="shared" si="33"/>
        <v>100</v>
      </c>
      <c r="O657" s="313"/>
      <c r="P657" s="315"/>
      <c r="Q657" s="315"/>
      <c r="R657" s="909"/>
      <c r="S657" s="738">
        <f t="shared" si="28"/>
        <v>9326</v>
      </c>
      <c r="T657" s="738" t="str">
        <f t="shared" si="29"/>
        <v>M</v>
      </c>
      <c r="U657" s="738"/>
    </row>
    <row r="658" spans="1:21" x14ac:dyDescent="0.2">
      <c r="A658" s="913"/>
      <c r="B658" s="666"/>
      <c r="C658" s="347"/>
      <c r="D658" s="870">
        <v>192</v>
      </c>
      <c r="E658" s="871" t="s">
        <v>8</v>
      </c>
      <c r="F658" s="667">
        <v>10</v>
      </c>
      <c r="G658" s="871">
        <v>195</v>
      </c>
      <c r="H658" s="871" t="s">
        <v>8</v>
      </c>
      <c r="I658" s="668">
        <v>0</v>
      </c>
      <c r="J658" s="349" t="s">
        <v>1102</v>
      </c>
      <c r="K658" s="884"/>
      <c r="L658" s="876"/>
      <c r="M658" s="885"/>
      <c r="N658" s="876">
        <f t="shared" si="33"/>
        <v>50</v>
      </c>
      <c r="O658" s="313"/>
      <c r="P658" s="315"/>
      <c r="Q658" s="315"/>
      <c r="R658" s="909"/>
      <c r="S658" s="738">
        <f t="shared" si="28"/>
        <v>9326</v>
      </c>
      <c r="T658" s="738" t="str">
        <f t="shared" si="29"/>
        <v>M</v>
      </c>
      <c r="U658" s="738"/>
    </row>
    <row r="659" spans="1:21" x14ac:dyDescent="0.2">
      <c r="A659" s="913"/>
      <c r="B659" s="666"/>
      <c r="C659" s="347"/>
      <c r="D659" s="870">
        <v>203</v>
      </c>
      <c r="E659" s="871" t="s">
        <v>8</v>
      </c>
      <c r="F659" s="667">
        <v>0</v>
      </c>
      <c r="G659" s="871">
        <v>209</v>
      </c>
      <c r="H659" s="871" t="s">
        <v>8</v>
      </c>
      <c r="I659" s="668">
        <v>0</v>
      </c>
      <c r="J659" s="349" t="s">
        <v>1101</v>
      </c>
      <c r="K659" s="884"/>
      <c r="L659" s="876"/>
      <c r="M659" s="885"/>
      <c r="N659" s="876">
        <f t="shared" si="33"/>
        <v>120</v>
      </c>
      <c r="O659" s="313"/>
      <c r="P659" s="315"/>
      <c r="Q659" s="315"/>
      <c r="R659" s="909"/>
      <c r="S659" s="738">
        <f t="shared" si="28"/>
        <v>9326</v>
      </c>
      <c r="T659" s="738" t="str">
        <f t="shared" si="29"/>
        <v>M</v>
      </c>
      <c r="U659" s="738"/>
    </row>
    <row r="660" spans="1:21" x14ac:dyDescent="0.2">
      <c r="A660" s="913"/>
      <c r="B660" s="666"/>
      <c r="C660" s="347"/>
      <c r="D660" s="870">
        <v>228</v>
      </c>
      <c r="E660" s="871" t="s">
        <v>8</v>
      </c>
      <c r="F660" s="667">
        <v>0</v>
      </c>
      <c r="G660" s="871">
        <v>232</v>
      </c>
      <c r="H660" s="871" t="s">
        <v>8</v>
      </c>
      <c r="I660" s="668">
        <v>0</v>
      </c>
      <c r="J660" s="349" t="s">
        <v>1101</v>
      </c>
      <c r="K660" s="884"/>
      <c r="L660" s="876"/>
      <c r="M660" s="885"/>
      <c r="N660" s="876">
        <f t="shared" si="33"/>
        <v>80</v>
      </c>
      <c r="O660" s="313"/>
      <c r="P660" s="315"/>
      <c r="Q660" s="315"/>
      <c r="R660" s="909"/>
      <c r="S660" s="738">
        <f t="shared" si="28"/>
        <v>9326</v>
      </c>
      <c r="T660" s="738" t="str">
        <f t="shared" si="29"/>
        <v>M</v>
      </c>
      <c r="U660" s="738"/>
    </row>
    <row r="661" spans="1:21" x14ac:dyDescent="0.2">
      <c r="A661" s="913"/>
      <c r="B661" s="666"/>
      <c r="C661" s="347"/>
      <c r="D661" s="870">
        <v>228</v>
      </c>
      <c r="E661" s="871" t="s">
        <v>8</v>
      </c>
      <c r="F661" s="667">
        <v>0</v>
      </c>
      <c r="G661" s="871">
        <v>234</v>
      </c>
      <c r="H661" s="871" t="s">
        <v>8</v>
      </c>
      <c r="I661" s="668">
        <v>0</v>
      </c>
      <c r="J661" s="349" t="s">
        <v>1102</v>
      </c>
      <c r="K661" s="884"/>
      <c r="L661" s="876"/>
      <c r="M661" s="885"/>
      <c r="N661" s="876">
        <f t="shared" si="33"/>
        <v>120</v>
      </c>
      <c r="O661" s="313"/>
      <c r="P661" s="315"/>
      <c r="Q661" s="315"/>
      <c r="R661" s="909"/>
      <c r="S661" s="738">
        <f t="shared" si="28"/>
        <v>9326</v>
      </c>
      <c r="T661" s="738" t="str">
        <f t="shared" si="29"/>
        <v>M</v>
      </c>
      <c r="U661" s="738"/>
    </row>
    <row r="662" spans="1:21" x14ac:dyDescent="0.2">
      <c r="A662" s="913"/>
      <c r="B662" s="666"/>
      <c r="C662" s="347"/>
      <c r="D662" s="870">
        <v>250</v>
      </c>
      <c r="E662" s="871" t="s">
        <v>8</v>
      </c>
      <c r="F662" s="667">
        <v>10</v>
      </c>
      <c r="G662" s="871">
        <v>264</v>
      </c>
      <c r="H662" s="871" t="s">
        <v>8</v>
      </c>
      <c r="I662" s="668">
        <v>0</v>
      </c>
      <c r="J662" s="349" t="s">
        <v>1101</v>
      </c>
      <c r="K662" s="884"/>
      <c r="L662" s="876"/>
      <c r="M662" s="885"/>
      <c r="N662" s="876">
        <f t="shared" si="33"/>
        <v>270</v>
      </c>
      <c r="O662" s="313"/>
      <c r="P662" s="315"/>
      <c r="Q662" s="315"/>
      <c r="R662" s="909"/>
      <c r="S662" s="738">
        <f t="shared" si="28"/>
        <v>9326</v>
      </c>
      <c r="T662" s="738" t="str">
        <f t="shared" si="29"/>
        <v>M</v>
      </c>
      <c r="U662" s="738"/>
    </row>
    <row r="663" spans="1:21" x14ac:dyDescent="0.2">
      <c r="A663" s="913"/>
      <c r="B663" s="666"/>
      <c r="C663" s="347"/>
      <c r="D663" s="870">
        <v>251</v>
      </c>
      <c r="E663" s="871" t="s">
        <v>8</v>
      </c>
      <c r="F663" s="667">
        <v>0</v>
      </c>
      <c r="G663" s="871">
        <v>265</v>
      </c>
      <c r="H663" s="871" t="s">
        <v>8</v>
      </c>
      <c r="I663" s="668">
        <v>0</v>
      </c>
      <c r="J663" s="349" t="s">
        <v>1102</v>
      </c>
      <c r="K663" s="884"/>
      <c r="L663" s="876"/>
      <c r="M663" s="885"/>
      <c r="N663" s="876">
        <f t="shared" si="33"/>
        <v>280</v>
      </c>
      <c r="O663" s="313"/>
      <c r="P663" s="315"/>
      <c r="Q663" s="315"/>
      <c r="R663" s="909"/>
      <c r="S663" s="738">
        <f t="shared" si="28"/>
        <v>9326</v>
      </c>
      <c r="T663" s="738" t="str">
        <f t="shared" si="29"/>
        <v>M</v>
      </c>
      <c r="U663" s="738"/>
    </row>
    <row r="664" spans="1:21" x14ac:dyDescent="0.2">
      <c r="A664" s="913"/>
      <c r="B664" s="666"/>
      <c r="C664" s="347"/>
      <c r="D664" s="870">
        <v>278</v>
      </c>
      <c r="E664" s="871" t="s">
        <v>8</v>
      </c>
      <c r="F664" s="667">
        <v>0</v>
      </c>
      <c r="G664" s="871">
        <v>284</v>
      </c>
      <c r="H664" s="871" t="s">
        <v>8</v>
      </c>
      <c r="I664" s="668">
        <v>0</v>
      </c>
      <c r="J664" s="349" t="s">
        <v>1102</v>
      </c>
      <c r="K664" s="884"/>
      <c r="L664" s="876"/>
      <c r="M664" s="885"/>
      <c r="N664" s="876">
        <f t="shared" si="33"/>
        <v>120</v>
      </c>
      <c r="O664" s="313"/>
      <c r="P664" s="315"/>
      <c r="Q664" s="315"/>
      <c r="R664" s="909"/>
      <c r="S664" s="738">
        <f t="shared" si="28"/>
        <v>9326</v>
      </c>
      <c r="T664" s="738" t="str">
        <f t="shared" si="29"/>
        <v>M</v>
      </c>
      <c r="U664" s="738"/>
    </row>
    <row r="665" spans="1:21" x14ac:dyDescent="0.2">
      <c r="A665" s="913"/>
      <c r="B665" s="666"/>
      <c r="C665" s="347"/>
      <c r="D665" s="870">
        <v>279</v>
      </c>
      <c r="E665" s="871" t="s">
        <v>8</v>
      </c>
      <c r="F665" s="667">
        <v>0</v>
      </c>
      <c r="G665" s="871">
        <v>282</v>
      </c>
      <c r="H665" s="871" t="s">
        <v>8</v>
      </c>
      <c r="I665" s="668">
        <v>17</v>
      </c>
      <c r="J665" s="349" t="s">
        <v>1101</v>
      </c>
      <c r="K665" s="884"/>
      <c r="L665" s="876"/>
      <c r="M665" s="885"/>
      <c r="N665" s="876">
        <f t="shared" si="33"/>
        <v>77</v>
      </c>
      <c r="O665" s="313"/>
      <c r="P665" s="315"/>
      <c r="Q665" s="315"/>
      <c r="R665" s="909"/>
      <c r="S665" s="738">
        <f t="shared" si="28"/>
        <v>9326</v>
      </c>
      <c r="T665" s="738" t="str">
        <f t="shared" si="29"/>
        <v>M</v>
      </c>
      <c r="U665" s="738"/>
    </row>
    <row r="666" spans="1:21" x14ac:dyDescent="0.2">
      <c r="A666" s="913"/>
      <c r="B666" s="666"/>
      <c r="C666" s="347"/>
      <c r="D666" s="870">
        <v>282</v>
      </c>
      <c r="E666" s="871" t="s">
        <v>8</v>
      </c>
      <c r="F666" s="667">
        <v>17</v>
      </c>
      <c r="G666" s="871">
        <v>284</v>
      </c>
      <c r="H666" s="871" t="s">
        <v>8</v>
      </c>
      <c r="I666" s="668">
        <v>0</v>
      </c>
      <c r="J666" s="349" t="s">
        <v>1101</v>
      </c>
      <c r="K666" s="884"/>
      <c r="L666" s="876"/>
      <c r="M666" s="885"/>
      <c r="N666" s="876">
        <f t="shared" si="33"/>
        <v>23</v>
      </c>
      <c r="O666" s="313"/>
      <c r="P666" s="315"/>
      <c r="Q666" s="315"/>
      <c r="R666" s="909"/>
      <c r="S666" s="738">
        <f t="shared" si="28"/>
        <v>9326</v>
      </c>
      <c r="T666" s="738" t="str">
        <f t="shared" si="29"/>
        <v>M</v>
      </c>
      <c r="U666" s="738"/>
    </row>
    <row r="667" spans="1:21" x14ac:dyDescent="0.2">
      <c r="A667" s="913"/>
      <c r="B667" s="666"/>
      <c r="C667" s="347"/>
      <c r="D667" s="870">
        <v>359</v>
      </c>
      <c r="E667" s="871" t="s">
        <v>8</v>
      </c>
      <c r="F667" s="667">
        <v>10</v>
      </c>
      <c r="G667" s="871">
        <v>360</v>
      </c>
      <c r="H667" s="871" t="s">
        <v>8</v>
      </c>
      <c r="I667" s="668">
        <v>10</v>
      </c>
      <c r="J667" s="349" t="s">
        <v>1101</v>
      </c>
      <c r="K667" s="884"/>
      <c r="L667" s="876"/>
      <c r="M667" s="885"/>
      <c r="N667" s="876">
        <f t="shared" si="33"/>
        <v>20</v>
      </c>
      <c r="O667" s="313"/>
      <c r="P667" s="315"/>
      <c r="Q667" s="315"/>
      <c r="R667" s="909"/>
      <c r="S667" s="738">
        <f t="shared" ref="S667:S730" si="34">VLOOKUP("Total",C668:O2353,12,FALSE)</f>
        <v>9326</v>
      </c>
      <c r="T667" s="738" t="str">
        <f t="shared" ref="T667:T730" si="35">VLOOKUP("Total",C668:O2353,13,FALSE)</f>
        <v>M</v>
      </c>
      <c r="U667" s="738"/>
    </row>
    <row r="668" spans="1:21" x14ac:dyDescent="0.2">
      <c r="A668" s="913"/>
      <c r="B668" s="666"/>
      <c r="C668" s="347"/>
      <c r="D668" s="870">
        <v>361</v>
      </c>
      <c r="E668" s="871" t="s">
        <v>8</v>
      </c>
      <c r="F668" s="667">
        <v>10</v>
      </c>
      <c r="G668" s="871">
        <v>374</v>
      </c>
      <c r="H668" s="871" t="s">
        <v>8</v>
      </c>
      <c r="I668" s="668">
        <v>0</v>
      </c>
      <c r="J668" s="349" t="s">
        <v>1101</v>
      </c>
      <c r="K668" s="884"/>
      <c r="L668" s="876"/>
      <c r="M668" s="885"/>
      <c r="N668" s="876">
        <f t="shared" si="33"/>
        <v>250</v>
      </c>
      <c r="O668" s="313"/>
      <c r="P668" s="315"/>
      <c r="Q668" s="315"/>
      <c r="R668" s="909"/>
      <c r="S668" s="738">
        <f t="shared" si="34"/>
        <v>9326</v>
      </c>
      <c r="T668" s="738" t="str">
        <f t="shared" si="35"/>
        <v>M</v>
      </c>
      <c r="U668" s="738"/>
    </row>
    <row r="669" spans="1:21" x14ac:dyDescent="0.2">
      <c r="A669" s="913"/>
      <c r="B669" s="666"/>
      <c r="C669" s="347"/>
      <c r="D669" s="870">
        <v>377</v>
      </c>
      <c r="E669" s="871" t="s">
        <v>8</v>
      </c>
      <c r="F669" s="667">
        <v>10</v>
      </c>
      <c r="G669" s="871">
        <v>389</v>
      </c>
      <c r="H669" s="871" t="s">
        <v>8</v>
      </c>
      <c r="I669" s="668">
        <v>10</v>
      </c>
      <c r="J669" s="349" t="s">
        <v>1102</v>
      </c>
      <c r="K669" s="884"/>
      <c r="L669" s="876"/>
      <c r="M669" s="885"/>
      <c r="N669" s="876">
        <f t="shared" si="33"/>
        <v>240</v>
      </c>
      <c r="O669" s="313"/>
      <c r="P669" s="315"/>
      <c r="Q669" s="315"/>
      <c r="R669" s="909"/>
      <c r="S669" s="738">
        <f t="shared" si="34"/>
        <v>9326</v>
      </c>
      <c r="T669" s="738" t="str">
        <f t="shared" si="35"/>
        <v>M</v>
      </c>
      <c r="U669" s="738"/>
    </row>
    <row r="670" spans="1:21" x14ac:dyDescent="0.2">
      <c r="A670" s="913"/>
      <c r="B670" s="666"/>
      <c r="C670" s="347"/>
      <c r="D670" s="870">
        <v>384</v>
      </c>
      <c r="E670" s="871" t="s">
        <v>8</v>
      </c>
      <c r="F670" s="667">
        <v>0</v>
      </c>
      <c r="G670" s="871">
        <v>389</v>
      </c>
      <c r="H670" s="871" t="s">
        <v>8</v>
      </c>
      <c r="I670" s="668">
        <v>10</v>
      </c>
      <c r="J670" s="349" t="s">
        <v>1101</v>
      </c>
      <c r="K670" s="884"/>
      <c r="L670" s="876"/>
      <c r="M670" s="885"/>
      <c r="N670" s="876">
        <f t="shared" si="33"/>
        <v>110</v>
      </c>
      <c r="O670" s="313"/>
      <c r="P670" s="315"/>
      <c r="Q670" s="315"/>
      <c r="R670" s="909"/>
      <c r="S670" s="738">
        <f t="shared" si="34"/>
        <v>9326</v>
      </c>
      <c r="T670" s="738" t="str">
        <f t="shared" si="35"/>
        <v>M</v>
      </c>
      <c r="U670" s="738"/>
    </row>
    <row r="671" spans="1:21" x14ac:dyDescent="0.2">
      <c r="A671" s="913"/>
      <c r="B671" s="666"/>
      <c r="C671" s="347"/>
      <c r="D671" s="870">
        <v>413</v>
      </c>
      <c r="E671" s="871" t="s">
        <v>8</v>
      </c>
      <c r="F671" s="667">
        <v>0</v>
      </c>
      <c r="G671" s="871">
        <v>438</v>
      </c>
      <c r="H671" s="871" t="s">
        <v>8</v>
      </c>
      <c r="I671" s="668">
        <v>0</v>
      </c>
      <c r="J671" s="349" t="s">
        <v>1101</v>
      </c>
      <c r="K671" s="884"/>
      <c r="L671" s="876"/>
      <c r="M671" s="885"/>
      <c r="N671" s="876">
        <f t="shared" si="33"/>
        <v>500</v>
      </c>
      <c r="O671" s="313"/>
      <c r="P671" s="315"/>
      <c r="Q671" s="315"/>
      <c r="R671" s="909"/>
      <c r="S671" s="738">
        <f t="shared" si="34"/>
        <v>9326</v>
      </c>
      <c r="T671" s="738" t="str">
        <f t="shared" si="35"/>
        <v>M</v>
      </c>
      <c r="U671" s="738"/>
    </row>
    <row r="672" spans="1:21" x14ac:dyDescent="0.2">
      <c r="A672" s="913"/>
      <c r="B672" s="666"/>
      <c r="C672" s="347"/>
      <c r="D672" s="870">
        <v>413</v>
      </c>
      <c r="E672" s="871" t="s">
        <v>8</v>
      </c>
      <c r="F672" s="667">
        <v>0</v>
      </c>
      <c r="G672" s="871">
        <v>428</v>
      </c>
      <c r="H672" s="871" t="s">
        <v>8</v>
      </c>
      <c r="I672" s="668">
        <v>0</v>
      </c>
      <c r="J672" s="349" t="s">
        <v>1102</v>
      </c>
      <c r="K672" s="884"/>
      <c r="L672" s="876"/>
      <c r="M672" s="885"/>
      <c r="N672" s="876">
        <f t="shared" si="33"/>
        <v>300</v>
      </c>
      <c r="O672" s="313"/>
      <c r="P672" s="315"/>
      <c r="Q672" s="315"/>
      <c r="R672" s="909"/>
      <c r="S672" s="738">
        <f t="shared" si="34"/>
        <v>9326</v>
      </c>
      <c r="T672" s="738" t="str">
        <f t="shared" si="35"/>
        <v>M</v>
      </c>
      <c r="U672" s="738"/>
    </row>
    <row r="673" spans="1:27" x14ac:dyDescent="0.2">
      <c r="A673" s="913"/>
      <c r="B673" s="666"/>
      <c r="C673" s="347"/>
      <c r="D673" s="870">
        <v>460</v>
      </c>
      <c r="E673" s="871" t="s">
        <v>8</v>
      </c>
      <c r="F673" s="667">
        <v>0</v>
      </c>
      <c r="G673" s="871">
        <v>477</v>
      </c>
      <c r="H673" s="871" t="s">
        <v>8</v>
      </c>
      <c r="I673" s="668">
        <v>0</v>
      </c>
      <c r="J673" s="349" t="s">
        <v>1101</v>
      </c>
      <c r="K673" s="884"/>
      <c r="L673" s="876"/>
      <c r="M673" s="885"/>
      <c r="N673" s="876">
        <f t="shared" si="33"/>
        <v>340</v>
      </c>
      <c r="O673" s="313"/>
      <c r="P673" s="315"/>
      <c r="Q673" s="315"/>
      <c r="R673" s="909"/>
      <c r="S673" s="738">
        <f t="shared" si="34"/>
        <v>9326</v>
      </c>
      <c r="T673" s="738" t="str">
        <f t="shared" si="35"/>
        <v>M</v>
      </c>
      <c r="U673" s="738"/>
    </row>
    <row r="674" spans="1:27" x14ac:dyDescent="0.2">
      <c r="A674" s="913"/>
      <c r="B674" s="666"/>
      <c r="C674" s="347"/>
      <c r="D674" s="870">
        <v>460</v>
      </c>
      <c r="E674" s="871" t="s">
        <v>8</v>
      </c>
      <c r="F674" s="667">
        <v>0</v>
      </c>
      <c r="G674" s="871">
        <v>477</v>
      </c>
      <c r="H674" s="871" t="s">
        <v>8</v>
      </c>
      <c r="I674" s="668">
        <v>0</v>
      </c>
      <c r="J674" s="349" t="s">
        <v>1102</v>
      </c>
      <c r="K674" s="884"/>
      <c r="L674" s="876"/>
      <c r="M674" s="885"/>
      <c r="N674" s="876">
        <f t="shared" si="33"/>
        <v>340</v>
      </c>
      <c r="O674" s="313"/>
      <c r="P674" s="315"/>
      <c r="Q674" s="315"/>
      <c r="R674" s="909"/>
      <c r="S674" s="738">
        <f t="shared" si="34"/>
        <v>9326</v>
      </c>
      <c r="T674" s="738" t="str">
        <f t="shared" si="35"/>
        <v>M</v>
      </c>
      <c r="U674" s="738"/>
    </row>
    <row r="675" spans="1:27" x14ac:dyDescent="0.2">
      <c r="A675" s="913"/>
      <c r="B675" s="666"/>
      <c r="C675" s="347"/>
      <c r="D675" s="870">
        <v>479</v>
      </c>
      <c r="E675" s="871" t="s">
        <v>8</v>
      </c>
      <c r="F675" s="667">
        <v>0</v>
      </c>
      <c r="G675" s="871">
        <v>505</v>
      </c>
      <c r="H675" s="871" t="s">
        <v>8</v>
      </c>
      <c r="I675" s="668">
        <v>0</v>
      </c>
      <c r="J675" s="349" t="s">
        <v>1101</v>
      </c>
      <c r="K675" s="884"/>
      <c r="L675" s="876"/>
      <c r="M675" s="885"/>
      <c r="N675" s="876">
        <f t="shared" si="33"/>
        <v>520</v>
      </c>
      <c r="O675" s="313"/>
      <c r="P675" s="315"/>
      <c r="Q675" s="315"/>
      <c r="R675" s="909"/>
      <c r="S675" s="738">
        <f t="shared" si="34"/>
        <v>9326</v>
      </c>
      <c r="T675" s="738" t="str">
        <f t="shared" si="35"/>
        <v>M</v>
      </c>
      <c r="U675" s="738"/>
    </row>
    <row r="676" spans="1:27" x14ac:dyDescent="0.2">
      <c r="A676" s="913"/>
      <c r="B676" s="666"/>
      <c r="C676" s="347"/>
      <c r="D676" s="870">
        <v>479</v>
      </c>
      <c r="E676" s="871" t="s">
        <v>8</v>
      </c>
      <c r="F676" s="667">
        <v>0</v>
      </c>
      <c r="G676" s="871">
        <v>505</v>
      </c>
      <c r="H676" s="871" t="s">
        <v>8</v>
      </c>
      <c r="I676" s="668">
        <v>0</v>
      </c>
      <c r="J676" s="349" t="s">
        <v>1102</v>
      </c>
      <c r="K676" s="884"/>
      <c r="L676" s="876"/>
      <c r="M676" s="885"/>
      <c r="N676" s="876">
        <f t="shared" si="33"/>
        <v>520</v>
      </c>
      <c r="O676" s="313"/>
      <c r="P676" s="315"/>
      <c r="Q676" s="315"/>
      <c r="R676" s="909"/>
      <c r="S676" s="738">
        <f t="shared" si="34"/>
        <v>9326</v>
      </c>
      <c r="T676" s="738" t="str">
        <f t="shared" si="35"/>
        <v>M</v>
      </c>
      <c r="U676" s="738"/>
    </row>
    <row r="677" spans="1:27" x14ac:dyDescent="0.2">
      <c r="A677" s="913"/>
      <c r="B677" s="666"/>
      <c r="C677" s="347"/>
      <c r="D677" s="870">
        <v>546</v>
      </c>
      <c r="E677" s="871" t="s">
        <v>8</v>
      </c>
      <c r="F677" s="667">
        <v>0</v>
      </c>
      <c r="G677" s="871">
        <v>561</v>
      </c>
      <c r="H677" s="871" t="s">
        <v>8</v>
      </c>
      <c r="I677" s="668">
        <v>15</v>
      </c>
      <c r="J677" s="349" t="s">
        <v>1101</v>
      </c>
      <c r="K677" s="884"/>
      <c r="L677" s="876"/>
      <c r="M677" s="885"/>
      <c r="N677" s="876">
        <f t="shared" si="33"/>
        <v>315</v>
      </c>
      <c r="O677" s="313"/>
      <c r="P677" s="315"/>
      <c r="Q677" s="315"/>
      <c r="R677" s="909"/>
      <c r="S677" s="738">
        <f t="shared" si="34"/>
        <v>9326</v>
      </c>
      <c r="T677" s="738" t="str">
        <f t="shared" si="35"/>
        <v>M</v>
      </c>
      <c r="U677" s="738"/>
    </row>
    <row r="678" spans="1:27" x14ac:dyDescent="0.2">
      <c r="A678" s="913"/>
      <c r="B678" s="666"/>
      <c r="C678" s="744" t="s">
        <v>1553</v>
      </c>
      <c r="D678" s="870"/>
      <c r="E678" s="871"/>
      <c r="F678" s="667"/>
      <c r="G678" s="871"/>
      <c r="H678" s="871"/>
      <c r="I678" s="668"/>
      <c r="J678" s="349"/>
      <c r="K678" s="884"/>
      <c r="L678" s="876"/>
      <c r="M678" s="885"/>
      <c r="N678" s="876"/>
      <c r="O678" s="313"/>
      <c r="P678" s="315"/>
      <c r="Q678" s="315"/>
      <c r="R678" s="909"/>
      <c r="S678" s="738">
        <f t="shared" si="34"/>
        <v>9326</v>
      </c>
      <c r="T678" s="738" t="str">
        <f t="shared" si="35"/>
        <v>M</v>
      </c>
      <c r="U678" s="738"/>
    </row>
    <row r="679" spans="1:27" x14ac:dyDescent="0.2">
      <c r="A679" s="294"/>
      <c r="B679" s="293"/>
      <c r="C679" s="384"/>
      <c r="D679" s="382">
        <v>12</v>
      </c>
      <c r="E679" s="524" t="s">
        <v>8</v>
      </c>
      <c r="F679" s="675">
        <v>10</v>
      </c>
      <c r="G679" s="381">
        <v>35</v>
      </c>
      <c r="H679" s="524" t="s">
        <v>8</v>
      </c>
      <c r="I679" s="292">
        <v>0</v>
      </c>
      <c r="J679" s="383" t="s">
        <v>1556</v>
      </c>
      <c r="K679" s="875"/>
      <c r="M679" s="875"/>
      <c r="N679" s="876">
        <f t="shared" ref="N679:N684" si="36">G679*20+I679-D679*20-F679</f>
        <v>450</v>
      </c>
      <c r="R679" s="912"/>
      <c r="S679" s="738">
        <f t="shared" si="34"/>
        <v>9326</v>
      </c>
      <c r="T679" s="738" t="str">
        <f t="shared" si="35"/>
        <v>M</v>
      </c>
      <c r="U679" s="738"/>
      <c r="W679" s="288"/>
      <c r="X679" s="288"/>
      <c r="Y679" s="288"/>
      <c r="Z679" s="288"/>
      <c r="AA679" s="288"/>
    </row>
    <row r="680" spans="1:27" x14ac:dyDescent="0.2">
      <c r="A680" s="294"/>
      <c r="B680" s="293"/>
      <c r="C680" s="384"/>
      <c r="D680" s="382">
        <v>21</v>
      </c>
      <c r="E680" s="524" t="s">
        <v>8</v>
      </c>
      <c r="F680" s="675">
        <v>0</v>
      </c>
      <c r="G680" s="381">
        <v>33</v>
      </c>
      <c r="H680" s="524" t="s">
        <v>8</v>
      </c>
      <c r="I680" s="292">
        <v>0</v>
      </c>
      <c r="J680" s="383" t="s">
        <v>1564</v>
      </c>
      <c r="K680" s="875"/>
      <c r="M680" s="875"/>
      <c r="N680" s="876">
        <f t="shared" si="36"/>
        <v>240</v>
      </c>
      <c r="R680" s="912"/>
      <c r="S680" s="738">
        <f t="shared" si="34"/>
        <v>9326</v>
      </c>
      <c r="T680" s="738" t="str">
        <f t="shared" si="35"/>
        <v>M</v>
      </c>
      <c r="U680" s="738"/>
      <c r="W680" s="288"/>
      <c r="X680" s="288"/>
      <c r="Y680" s="288"/>
      <c r="Z680" s="288"/>
      <c r="AA680" s="288"/>
    </row>
    <row r="681" spans="1:27" x14ac:dyDescent="0.2">
      <c r="A681" s="294"/>
      <c r="B681" s="293"/>
      <c r="C681" s="384"/>
      <c r="D681" s="382">
        <v>40</v>
      </c>
      <c r="E681" s="524" t="s">
        <v>8</v>
      </c>
      <c r="F681" s="675">
        <v>0</v>
      </c>
      <c r="G681" s="381">
        <v>70</v>
      </c>
      <c r="H681" s="524" t="s">
        <v>8</v>
      </c>
      <c r="I681" s="292">
        <v>0</v>
      </c>
      <c r="J681" s="383" t="s">
        <v>1564</v>
      </c>
      <c r="K681" s="875"/>
      <c r="M681" s="875"/>
      <c r="N681" s="876">
        <f t="shared" si="36"/>
        <v>600</v>
      </c>
      <c r="R681" s="912"/>
      <c r="S681" s="738">
        <f t="shared" si="34"/>
        <v>9326</v>
      </c>
      <c r="T681" s="738" t="str">
        <f t="shared" si="35"/>
        <v>M</v>
      </c>
      <c r="U681" s="738"/>
      <c r="W681" s="288"/>
      <c r="X681" s="288"/>
      <c r="Y681" s="288"/>
      <c r="Z681" s="288"/>
      <c r="AA681" s="288"/>
    </row>
    <row r="682" spans="1:27" x14ac:dyDescent="0.2">
      <c r="A682" s="294"/>
      <c r="B682" s="293"/>
      <c r="C682" s="384"/>
      <c r="D682" s="382">
        <v>46</v>
      </c>
      <c r="E682" s="524" t="s">
        <v>8</v>
      </c>
      <c r="F682" s="675">
        <v>0</v>
      </c>
      <c r="G682" s="381">
        <v>54</v>
      </c>
      <c r="H682" s="524" t="s">
        <v>8</v>
      </c>
      <c r="I682" s="292">
        <v>0</v>
      </c>
      <c r="J682" s="383" t="s">
        <v>1556</v>
      </c>
      <c r="K682" s="875"/>
      <c r="M682" s="875"/>
      <c r="N682" s="876">
        <f t="shared" si="36"/>
        <v>160</v>
      </c>
      <c r="R682" s="912"/>
      <c r="S682" s="738">
        <f t="shared" si="34"/>
        <v>9326</v>
      </c>
      <c r="T682" s="738" t="str">
        <f t="shared" si="35"/>
        <v>M</v>
      </c>
      <c r="U682" s="738"/>
      <c r="W682" s="288"/>
      <c r="X682" s="288"/>
      <c r="Y682" s="288"/>
      <c r="Z682" s="288"/>
      <c r="AA682" s="288"/>
    </row>
    <row r="683" spans="1:27" x14ac:dyDescent="0.2">
      <c r="A683" s="294"/>
      <c r="B683" s="293"/>
      <c r="C683" s="384"/>
      <c r="D683" s="382">
        <v>57</v>
      </c>
      <c r="E683" s="524" t="s">
        <v>8</v>
      </c>
      <c r="F683" s="675">
        <v>0</v>
      </c>
      <c r="G683" s="381">
        <v>109</v>
      </c>
      <c r="H683" s="524" t="s">
        <v>8</v>
      </c>
      <c r="I683" s="292">
        <v>0</v>
      </c>
      <c r="J683" s="383" t="s">
        <v>1556</v>
      </c>
      <c r="K683" s="875"/>
      <c r="M683" s="875"/>
      <c r="N683" s="876">
        <f t="shared" si="36"/>
        <v>1040</v>
      </c>
      <c r="R683" s="912"/>
      <c r="S683" s="738">
        <f t="shared" si="34"/>
        <v>9326</v>
      </c>
      <c r="T683" s="738" t="str">
        <f t="shared" si="35"/>
        <v>M</v>
      </c>
      <c r="U683" s="738"/>
      <c r="W683" s="288"/>
      <c r="X683" s="288"/>
      <c r="Y683" s="288"/>
      <c r="Z683" s="288"/>
      <c r="AA683" s="288"/>
    </row>
    <row r="684" spans="1:27" x14ac:dyDescent="0.2">
      <c r="A684" s="294"/>
      <c r="B684" s="293"/>
      <c r="C684" s="384"/>
      <c r="D684" s="382">
        <v>80</v>
      </c>
      <c r="E684" s="524" t="s">
        <v>8</v>
      </c>
      <c r="F684" s="675">
        <v>0</v>
      </c>
      <c r="G684" s="381">
        <v>89</v>
      </c>
      <c r="H684" s="524" t="s">
        <v>8</v>
      </c>
      <c r="I684" s="292">
        <v>0</v>
      </c>
      <c r="J684" s="383" t="s">
        <v>1564</v>
      </c>
      <c r="K684" s="875"/>
      <c r="M684" s="875"/>
      <c r="N684" s="876">
        <f t="shared" si="36"/>
        <v>180</v>
      </c>
      <c r="R684" s="912"/>
      <c r="S684" s="738">
        <f t="shared" si="34"/>
        <v>9326</v>
      </c>
      <c r="T684" s="738" t="str">
        <f t="shared" si="35"/>
        <v>M</v>
      </c>
      <c r="U684" s="738"/>
      <c r="W684" s="288"/>
      <c r="X684" s="288"/>
      <c r="Y684" s="288"/>
      <c r="Z684" s="288"/>
      <c r="AA684" s="288"/>
    </row>
    <row r="685" spans="1:27" x14ac:dyDescent="0.2">
      <c r="A685" s="899"/>
      <c r="B685" s="353"/>
      <c r="C685" s="354" t="s">
        <v>2</v>
      </c>
      <c r="D685" s="355"/>
      <c r="E685" s="352"/>
      <c r="F685" s="677"/>
      <c r="G685" s="678"/>
      <c r="H685" s="356"/>
      <c r="I685" s="356"/>
      <c r="J685" s="353"/>
      <c r="K685" s="358"/>
      <c r="L685" s="358"/>
      <c r="M685" s="358"/>
      <c r="N685" s="360">
        <f>SUM(N642:N684)</f>
        <v>9326</v>
      </c>
      <c r="O685" s="361" t="str">
        <f>IF(MID(B640,1,2)="LG",VLOOKUP(B640,'Compos lug'!J:M,4,FALSE),IF(MID(B640,1,1)="6",VLOOKUP(B640,tranp.!$A$6:$K$51,3,FALSE),VLOOKUP(B640,'DER 10-18'!$A$1:$I$1981,3,FALSE)))</f>
        <v>M</v>
      </c>
      <c r="P685" s="362"/>
      <c r="Q685" s="362"/>
      <c r="R685" s="900"/>
      <c r="S685" s="738">
        <f t="shared" si="34"/>
        <v>570</v>
      </c>
      <c r="T685" s="738" t="str">
        <f t="shared" si="35"/>
        <v>M</v>
      </c>
      <c r="U685" s="738"/>
    </row>
    <row r="686" spans="1:27" x14ac:dyDescent="0.2">
      <c r="A686" s="294"/>
      <c r="B686" s="293"/>
      <c r="C686" s="343"/>
      <c r="F686" s="675"/>
      <c r="G686" s="296"/>
      <c r="H686" s="292"/>
      <c r="N686" s="314"/>
      <c r="O686" s="344"/>
      <c r="P686" s="315"/>
      <c r="Q686" s="315"/>
      <c r="R686" s="903"/>
      <c r="S686" s="738">
        <f t="shared" si="34"/>
        <v>570</v>
      </c>
      <c r="T686" s="738" t="str">
        <f t="shared" si="35"/>
        <v>M</v>
      </c>
      <c r="U686" s="738"/>
    </row>
    <row r="687" spans="1:27" s="318" customFormat="1" x14ac:dyDescent="0.2">
      <c r="A687" s="913" t="s">
        <v>1537</v>
      </c>
      <c r="B687" s="666">
        <v>40693</v>
      </c>
      <c r="C687" s="347" t="str">
        <f>IF(MID(B687,1,2)="LG",VLOOKUP(B687,'Compos lug'!J:M,3,FALSE),IF(MID(B687,1,1)="6",VLOOKUP(B687,tranp.!$A$4:$K$21,11,FALSE)&amp;" -  XP="&amp;TEXT(T687,"0,000")&amp;" / XR="&amp;TEXT(V687,"0,000"),VLOOKUP(B687,'DER 10-18'!$A$1:$I$1994,2,FALSE)))</f>
        <v>Valeta de proteção de corte VPC-01 (escavação)</v>
      </c>
      <c r="D687" s="1059" t="s">
        <v>1000</v>
      </c>
      <c r="E687" s="1060"/>
      <c r="F687" s="1061"/>
      <c r="G687" s="1059" t="s">
        <v>1001</v>
      </c>
      <c r="H687" s="1060"/>
      <c r="I687" s="1061"/>
      <c r="J687" s="349" t="s">
        <v>989</v>
      </c>
      <c r="K687" s="884"/>
      <c r="L687" s="876"/>
      <c r="M687" s="885"/>
      <c r="N687" s="876" t="str">
        <f>CONCATENATE("Total (",IF(MID(B687,1,2)="LG",VLOOKUP(B687,'Compos lug'!J:M,4,FALSE),IF(MID(B687,1,1)="6","t",VLOOKUP(B687,'DER 10-18'!$A$1:$I$1994,3,FALSE))),")")</f>
        <v>Total (M)</v>
      </c>
      <c r="O687" s="313"/>
      <c r="P687" s="315"/>
      <c r="Q687" s="315"/>
      <c r="R687" s="909"/>
      <c r="S687" s="738">
        <f t="shared" si="34"/>
        <v>570</v>
      </c>
      <c r="T687" s="738" t="str">
        <f t="shared" si="35"/>
        <v>M</v>
      </c>
      <c r="U687" s="738"/>
      <c r="V687" s="710"/>
      <c r="W687" s="710" t="s">
        <v>1567</v>
      </c>
      <c r="Y687" s="710" t="s">
        <v>1568</v>
      </c>
      <c r="Z687" s="710" t="s">
        <v>1569</v>
      </c>
    </row>
    <row r="688" spans="1:27" s="318" customFormat="1" x14ac:dyDescent="0.2">
      <c r="A688" s="913"/>
      <c r="B688" s="666"/>
      <c r="C688" s="744" t="s">
        <v>1553</v>
      </c>
      <c r="D688" s="870"/>
      <c r="E688" s="871"/>
      <c r="F688" s="872"/>
      <c r="G688" s="871"/>
      <c r="H688" s="871"/>
      <c r="I688" s="871"/>
      <c r="J688" s="349"/>
      <c r="K688" s="884"/>
      <c r="L688" s="876"/>
      <c r="M688" s="885"/>
      <c r="N688" s="876"/>
      <c r="O688" s="313"/>
      <c r="P688" s="315"/>
      <c r="Q688" s="315"/>
      <c r="R688" s="909"/>
      <c r="S688" s="738">
        <f t="shared" si="34"/>
        <v>570</v>
      </c>
      <c r="T688" s="738" t="str">
        <f t="shared" si="35"/>
        <v>M</v>
      </c>
      <c r="U688" s="738"/>
      <c r="V688" s="710"/>
      <c r="W688" s="710"/>
      <c r="Y688" s="710"/>
      <c r="Z688" s="710"/>
    </row>
    <row r="689" spans="1:27" s="318" customFormat="1" x14ac:dyDescent="0.2">
      <c r="A689" s="913"/>
      <c r="B689" s="666"/>
      <c r="C689" s="380"/>
      <c r="D689" s="382">
        <v>12</v>
      </c>
      <c r="E689" s="524" t="s">
        <v>8</v>
      </c>
      <c r="F689" s="675">
        <v>10</v>
      </c>
      <c r="G689" s="381">
        <v>32</v>
      </c>
      <c r="H689" s="524" t="s">
        <v>8</v>
      </c>
      <c r="I689" s="292">
        <v>0</v>
      </c>
      <c r="J689" s="383" t="s">
        <v>1556</v>
      </c>
      <c r="K689" s="669"/>
      <c r="L689" s="298"/>
      <c r="M689" s="875"/>
      <c r="N689" s="876">
        <f t="shared" ref="N689:N690" si="37">G689*20+I689-D689*20-F689</f>
        <v>390</v>
      </c>
      <c r="O689" s="740"/>
      <c r="P689" s="881"/>
      <c r="Q689" s="315"/>
      <c r="R689" s="909"/>
      <c r="S689" s="738">
        <f t="shared" si="34"/>
        <v>570</v>
      </c>
      <c r="T689" s="738" t="str">
        <f t="shared" si="35"/>
        <v>M</v>
      </c>
      <c r="U689" s="738"/>
      <c r="V689" s="710"/>
      <c r="W689" s="710"/>
      <c r="Y689" s="710"/>
      <c r="Z689" s="710"/>
    </row>
    <row r="690" spans="1:27" s="318" customFormat="1" x14ac:dyDescent="0.2">
      <c r="A690" s="913"/>
      <c r="B690" s="666"/>
      <c r="C690" s="380"/>
      <c r="D690" s="382">
        <v>45</v>
      </c>
      <c r="E690" s="524" t="s">
        <v>8</v>
      </c>
      <c r="F690" s="675">
        <v>0</v>
      </c>
      <c r="G690" s="381">
        <v>54</v>
      </c>
      <c r="H690" s="524" t="s">
        <v>8</v>
      </c>
      <c r="I690" s="292">
        <v>0</v>
      </c>
      <c r="J690" s="383" t="s">
        <v>1564</v>
      </c>
      <c r="K690" s="669"/>
      <c r="L690" s="298"/>
      <c r="M690" s="875"/>
      <c r="N690" s="876">
        <f t="shared" si="37"/>
        <v>180</v>
      </c>
      <c r="O690" s="740"/>
      <c r="P690" s="881"/>
      <c r="Q690" s="315"/>
      <c r="R690" s="909"/>
      <c r="S690" s="738">
        <f t="shared" si="34"/>
        <v>570</v>
      </c>
      <c r="T690" s="738" t="str">
        <f t="shared" si="35"/>
        <v>M</v>
      </c>
      <c r="U690" s="738"/>
      <c r="V690" s="710"/>
      <c r="W690" s="710"/>
      <c r="Y690" s="710"/>
      <c r="Z690" s="710"/>
    </row>
    <row r="691" spans="1:27" s="318" customFormat="1" x14ac:dyDescent="0.2">
      <c r="A691" s="899"/>
      <c r="B691" s="353"/>
      <c r="C691" s="354" t="s">
        <v>2</v>
      </c>
      <c r="D691" s="355"/>
      <c r="E691" s="352"/>
      <c r="F691" s="356"/>
      <c r="G691" s="355"/>
      <c r="H691" s="356"/>
      <c r="I691" s="356"/>
      <c r="J691" s="353"/>
      <c r="K691" s="357"/>
      <c r="L691" s="358"/>
      <c r="M691" s="359"/>
      <c r="N691" s="360">
        <f>SUM(N689:N690)</f>
        <v>570</v>
      </c>
      <c r="O691" s="361" t="str">
        <f>IF(MID(B687,1,2)="LG",VLOOKUP(B687,'Compos lug'!J:M,4,FALSE),IF(MID(B687,1,1)="6",VLOOKUP(B687,tranp.!$A$6:$K$38,3,FALSE),VLOOKUP(B687,'DER 10-18'!$A$1:$I$1994,3,FALSE)))</f>
        <v>M</v>
      </c>
      <c r="P691" s="362"/>
      <c r="Q691" s="362"/>
      <c r="R691" s="900"/>
      <c r="S691" s="738">
        <f t="shared" si="34"/>
        <v>66</v>
      </c>
      <c r="T691" s="738" t="str">
        <f t="shared" si="35"/>
        <v>Ud</v>
      </c>
      <c r="U691" s="738"/>
    </row>
    <row r="692" spans="1:27" s="651" customFormat="1" x14ac:dyDescent="0.2">
      <c r="A692" s="910"/>
      <c r="B692" s="655"/>
      <c r="C692" s="656"/>
      <c r="D692" s="657"/>
      <c r="E692" s="654"/>
      <c r="F692" s="663"/>
      <c r="G692" s="664"/>
      <c r="H692" s="652"/>
      <c r="I692" s="652"/>
      <c r="J692" s="655"/>
      <c r="K692" s="653"/>
      <c r="L692" s="653"/>
      <c r="M692" s="653"/>
      <c r="N692" s="648"/>
      <c r="O692" s="660"/>
      <c r="P692" s="661"/>
      <c r="Q692" s="661"/>
      <c r="R692" s="911"/>
      <c r="S692" s="738">
        <f t="shared" si="34"/>
        <v>66</v>
      </c>
      <c r="T692" s="738" t="str">
        <f t="shared" si="35"/>
        <v>Ud</v>
      </c>
      <c r="U692" s="749"/>
      <c r="W692" s="714"/>
      <c r="X692" s="714"/>
      <c r="Y692" s="714"/>
      <c r="Z692" s="714"/>
      <c r="AA692" s="714"/>
    </row>
    <row r="693" spans="1:27" x14ac:dyDescent="0.2">
      <c r="A693" s="913" t="s">
        <v>1538</v>
      </c>
      <c r="B693" s="666">
        <v>40547</v>
      </c>
      <c r="C693" s="347" t="str">
        <f>IF(MID(B693,1,2)="LG",VLOOKUP(B693,'Compos lug'!J:M,3,FALSE),IF(MID(B693,1,1)="6",VLOOKUP(B693,tranp.!$A$4:$K$19,11,FALSE)&amp;" -  XP="&amp;TEXT(T693,"0.000")&amp;" / XR="&amp;TEXT(V693,"0.000"),VLOOKUP(B693,'DER 10-18'!$A$1:$I$1981,2,FALSE)))</f>
        <v>Caixa de concreto para BSTC diâmetro 0,80 m H=2,50 m</v>
      </c>
      <c r="D693" s="1059" t="s">
        <v>1000</v>
      </c>
      <c r="E693" s="1060"/>
      <c r="F693" s="1061"/>
      <c r="G693" s="1059"/>
      <c r="H693" s="1060"/>
      <c r="I693" s="1061"/>
      <c r="J693" s="349" t="s">
        <v>989</v>
      </c>
      <c r="K693" s="876"/>
      <c r="L693" s="876"/>
      <c r="M693" s="876"/>
      <c r="N693" s="876" t="str">
        <f>CONCATENATE("Total (",IF(MID(B693,1,2)="LG",VLOOKUP(B693,'Compos lug'!J:M,4,FALSE),IF(MID(B693,1,1)="6","t",VLOOKUP(B693,'DER 10-18'!$A$1:$I$1981,3,FALSE))),")")</f>
        <v>Total (Ud)</v>
      </c>
      <c r="O693" s="313"/>
      <c r="P693" s="315"/>
      <c r="Q693" s="315"/>
      <c r="R693" s="909"/>
      <c r="S693" s="738">
        <f t="shared" si="34"/>
        <v>66</v>
      </c>
      <c r="T693" s="738" t="str">
        <f t="shared" si="35"/>
        <v>Ud</v>
      </c>
      <c r="U693" s="738"/>
    </row>
    <row r="694" spans="1:27" x14ac:dyDescent="0.2">
      <c r="A694" s="294"/>
      <c r="B694" s="293"/>
      <c r="C694" s="744" t="s">
        <v>1552</v>
      </c>
      <c r="N694" s="876"/>
      <c r="R694" s="912"/>
      <c r="S694" s="738">
        <f t="shared" si="34"/>
        <v>66</v>
      </c>
      <c r="T694" s="738" t="str">
        <f t="shared" si="35"/>
        <v>Ud</v>
      </c>
    </row>
    <row r="695" spans="1:27" x14ac:dyDescent="0.2">
      <c r="A695" s="913"/>
      <c r="B695" s="666"/>
      <c r="C695" s="347"/>
      <c r="D695" s="870">
        <v>12</v>
      </c>
      <c r="E695" s="871" t="s">
        <v>8</v>
      </c>
      <c r="F695" s="667">
        <v>0</v>
      </c>
      <c r="G695" s="871"/>
      <c r="H695" s="871"/>
      <c r="I695" s="871"/>
      <c r="J695" s="349" t="s">
        <v>1102</v>
      </c>
      <c r="K695" s="884"/>
      <c r="L695" s="876"/>
      <c r="M695" s="885"/>
      <c r="N695" s="876">
        <v>2</v>
      </c>
      <c r="O695" s="313"/>
      <c r="P695" s="315"/>
      <c r="Q695" s="315"/>
      <c r="R695" s="909"/>
      <c r="S695" s="738">
        <f t="shared" si="34"/>
        <v>66</v>
      </c>
      <c r="T695" s="738" t="str">
        <f t="shared" si="35"/>
        <v>Ud</v>
      </c>
      <c r="U695" s="738"/>
    </row>
    <row r="696" spans="1:27" x14ac:dyDescent="0.2">
      <c r="A696" s="913"/>
      <c r="B696" s="666"/>
      <c r="C696" s="347"/>
      <c r="D696" s="870">
        <v>25</v>
      </c>
      <c r="E696" s="871" t="s">
        <v>8</v>
      </c>
      <c r="F696" s="667">
        <v>2</v>
      </c>
      <c r="G696" s="871"/>
      <c r="H696" s="871"/>
      <c r="I696" s="871"/>
      <c r="J696" s="349" t="s">
        <v>1102</v>
      </c>
      <c r="K696" s="884"/>
      <c r="L696" s="876"/>
      <c r="M696" s="885"/>
      <c r="N696" s="876">
        <v>2</v>
      </c>
      <c r="O696" s="313"/>
      <c r="P696" s="315"/>
      <c r="Q696" s="315"/>
      <c r="R696" s="909"/>
      <c r="S696" s="738">
        <f t="shared" si="34"/>
        <v>66</v>
      </c>
      <c r="T696" s="738" t="str">
        <f t="shared" si="35"/>
        <v>Ud</v>
      </c>
      <c r="U696" s="738"/>
    </row>
    <row r="697" spans="1:27" x14ac:dyDescent="0.2">
      <c r="A697" s="913"/>
      <c r="B697" s="666"/>
      <c r="C697" s="347"/>
      <c r="D697" s="870">
        <v>56</v>
      </c>
      <c r="E697" s="871" t="s">
        <v>8</v>
      </c>
      <c r="F697" s="667">
        <v>0</v>
      </c>
      <c r="G697" s="871"/>
      <c r="H697" s="871"/>
      <c r="I697" s="871"/>
      <c r="J697" s="349" t="s">
        <v>1101</v>
      </c>
      <c r="K697" s="884"/>
      <c r="L697" s="876"/>
      <c r="M697" s="885"/>
      <c r="N697" s="876">
        <v>1</v>
      </c>
      <c r="O697" s="313"/>
      <c r="P697" s="315"/>
      <c r="Q697" s="315"/>
      <c r="R697" s="909"/>
      <c r="S697" s="738">
        <f t="shared" si="34"/>
        <v>66</v>
      </c>
      <c r="T697" s="738" t="str">
        <f t="shared" si="35"/>
        <v>Ud</v>
      </c>
      <c r="U697" s="738"/>
    </row>
    <row r="698" spans="1:27" x14ac:dyDescent="0.2">
      <c r="A698" s="913"/>
      <c r="B698" s="666"/>
      <c r="C698" s="347"/>
      <c r="D698" s="870">
        <v>63</v>
      </c>
      <c r="E698" s="871" t="s">
        <v>8</v>
      </c>
      <c r="F698" s="667">
        <v>0</v>
      </c>
      <c r="G698" s="871"/>
      <c r="H698" s="871"/>
      <c r="I698" s="871"/>
      <c r="J698" s="349" t="s">
        <v>1102</v>
      </c>
      <c r="K698" s="884"/>
      <c r="L698" s="876"/>
      <c r="M698" s="885"/>
      <c r="N698" s="876">
        <v>2</v>
      </c>
      <c r="O698" s="313"/>
      <c r="P698" s="315"/>
      <c r="Q698" s="315"/>
      <c r="R698" s="909"/>
      <c r="S698" s="738">
        <f t="shared" si="34"/>
        <v>66</v>
      </c>
      <c r="T698" s="738" t="str">
        <f t="shared" si="35"/>
        <v>Ud</v>
      </c>
      <c r="U698" s="738"/>
    </row>
    <row r="699" spans="1:27" x14ac:dyDescent="0.2">
      <c r="A699" s="913"/>
      <c r="B699" s="666"/>
      <c r="C699" s="347"/>
      <c r="D699" s="870">
        <v>67</v>
      </c>
      <c r="E699" s="871" t="s">
        <v>8</v>
      </c>
      <c r="F699" s="667">
        <v>10</v>
      </c>
      <c r="G699" s="871"/>
      <c r="H699" s="871"/>
      <c r="I699" s="871"/>
      <c r="J699" s="349" t="s">
        <v>1102</v>
      </c>
      <c r="K699" s="884"/>
      <c r="L699" s="876"/>
      <c r="M699" s="885"/>
      <c r="N699" s="876">
        <v>1</v>
      </c>
      <c r="O699" s="313"/>
      <c r="P699" s="315"/>
      <c r="Q699" s="315"/>
      <c r="R699" s="909"/>
      <c r="S699" s="738">
        <f t="shared" si="34"/>
        <v>66</v>
      </c>
      <c r="T699" s="738" t="str">
        <f t="shared" si="35"/>
        <v>Ud</v>
      </c>
      <c r="U699" s="738"/>
    </row>
    <row r="700" spans="1:27" x14ac:dyDescent="0.2">
      <c r="A700" s="913"/>
      <c r="B700" s="666"/>
      <c r="C700" s="347"/>
      <c r="D700" s="870">
        <v>74</v>
      </c>
      <c r="E700" s="871" t="s">
        <v>8</v>
      </c>
      <c r="F700" s="667">
        <v>0</v>
      </c>
      <c r="G700" s="871"/>
      <c r="H700" s="871"/>
      <c r="I700" s="871"/>
      <c r="J700" s="349" t="s">
        <v>1102</v>
      </c>
      <c r="K700" s="884"/>
      <c r="L700" s="876"/>
      <c r="M700" s="885"/>
      <c r="N700" s="876">
        <v>1</v>
      </c>
      <c r="O700" s="313"/>
      <c r="P700" s="315"/>
      <c r="Q700" s="315"/>
      <c r="R700" s="909"/>
      <c r="S700" s="738">
        <f t="shared" si="34"/>
        <v>66</v>
      </c>
      <c r="T700" s="738" t="str">
        <f t="shared" si="35"/>
        <v>Ud</v>
      </c>
      <c r="U700" s="738"/>
    </row>
    <row r="701" spans="1:27" x14ac:dyDescent="0.2">
      <c r="A701" s="913"/>
      <c r="B701" s="666"/>
      <c r="C701" s="347"/>
      <c r="D701" s="870">
        <v>80</v>
      </c>
      <c r="E701" s="871" t="s">
        <v>8</v>
      </c>
      <c r="F701" s="667">
        <v>0</v>
      </c>
      <c r="G701" s="871"/>
      <c r="H701" s="871"/>
      <c r="I701" s="871"/>
      <c r="J701" s="349" t="s">
        <v>1102</v>
      </c>
      <c r="K701" s="884"/>
      <c r="L701" s="876"/>
      <c r="M701" s="885"/>
      <c r="N701" s="876">
        <v>1</v>
      </c>
      <c r="O701" s="313"/>
      <c r="P701" s="315"/>
      <c r="Q701" s="315"/>
      <c r="R701" s="909"/>
      <c r="S701" s="738">
        <f t="shared" si="34"/>
        <v>66</v>
      </c>
      <c r="T701" s="738" t="str">
        <f t="shared" si="35"/>
        <v>Ud</v>
      </c>
      <c r="U701" s="738"/>
    </row>
    <row r="702" spans="1:27" x14ac:dyDescent="0.2">
      <c r="A702" s="913"/>
      <c r="B702" s="666"/>
      <c r="C702" s="347"/>
      <c r="D702" s="870">
        <v>87</v>
      </c>
      <c r="E702" s="871" t="s">
        <v>8</v>
      </c>
      <c r="F702" s="667">
        <v>0</v>
      </c>
      <c r="G702" s="871"/>
      <c r="H702" s="871"/>
      <c r="I702" s="871"/>
      <c r="J702" s="349" t="s">
        <v>1102</v>
      </c>
      <c r="K702" s="884"/>
      <c r="L702" s="876"/>
      <c r="M702" s="885"/>
      <c r="N702" s="876">
        <v>1</v>
      </c>
      <c r="O702" s="313"/>
      <c r="P702" s="315"/>
      <c r="Q702" s="315"/>
      <c r="R702" s="909"/>
      <c r="S702" s="738">
        <f t="shared" si="34"/>
        <v>66</v>
      </c>
      <c r="T702" s="738" t="str">
        <f t="shared" si="35"/>
        <v>Ud</v>
      </c>
      <c r="U702" s="738"/>
    </row>
    <row r="703" spans="1:27" x14ac:dyDescent="0.2">
      <c r="A703" s="913"/>
      <c r="B703" s="666"/>
      <c r="C703" s="347"/>
      <c r="D703" s="870">
        <v>93</v>
      </c>
      <c r="E703" s="871" t="s">
        <v>8</v>
      </c>
      <c r="F703" s="667">
        <v>15</v>
      </c>
      <c r="G703" s="871"/>
      <c r="H703" s="871"/>
      <c r="I703" s="871"/>
      <c r="J703" s="349" t="s">
        <v>1102</v>
      </c>
      <c r="K703" s="884"/>
      <c r="L703" s="876"/>
      <c r="M703" s="885"/>
      <c r="N703" s="876">
        <v>1</v>
      </c>
      <c r="O703" s="313"/>
      <c r="P703" s="315"/>
      <c r="Q703" s="315"/>
      <c r="R703" s="909"/>
      <c r="S703" s="738">
        <f t="shared" si="34"/>
        <v>66</v>
      </c>
      <c r="T703" s="738" t="str">
        <f t="shared" si="35"/>
        <v>Ud</v>
      </c>
      <c r="U703" s="738"/>
    </row>
    <row r="704" spans="1:27" x14ac:dyDescent="0.2">
      <c r="A704" s="913"/>
      <c r="B704" s="666"/>
      <c r="C704" s="347"/>
      <c r="D704" s="870">
        <v>101</v>
      </c>
      <c r="E704" s="871" t="s">
        <v>8</v>
      </c>
      <c r="F704" s="667">
        <v>10</v>
      </c>
      <c r="G704" s="871"/>
      <c r="H704" s="871"/>
      <c r="I704" s="871"/>
      <c r="J704" s="349" t="s">
        <v>1101</v>
      </c>
      <c r="K704" s="884"/>
      <c r="L704" s="876"/>
      <c r="M704" s="885"/>
      <c r="N704" s="876">
        <v>2</v>
      </c>
      <c r="O704" s="313"/>
      <c r="P704" s="315"/>
      <c r="Q704" s="315"/>
      <c r="R704" s="909"/>
      <c r="S704" s="738">
        <f t="shared" si="34"/>
        <v>66</v>
      </c>
      <c r="T704" s="738" t="str">
        <f t="shared" si="35"/>
        <v>Ud</v>
      </c>
      <c r="U704" s="738"/>
    </row>
    <row r="705" spans="1:21" x14ac:dyDescent="0.2">
      <c r="A705" s="913"/>
      <c r="B705" s="666"/>
      <c r="C705" s="347"/>
      <c r="D705" s="870">
        <v>153</v>
      </c>
      <c r="E705" s="871" t="s">
        <v>8</v>
      </c>
      <c r="F705" s="667">
        <v>10</v>
      </c>
      <c r="G705" s="871"/>
      <c r="H705" s="871"/>
      <c r="I705" s="871"/>
      <c r="J705" s="349" t="s">
        <v>1102</v>
      </c>
      <c r="K705" s="884"/>
      <c r="L705" s="876"/>
      <c r="M705" s="885"/>
      <c r="N705" s="876">
        <v>1</v>
      </c>
      <c r="O705" s="313"/>
      <c r="P705" s="315"/>
      <c r="Q705" s="315"/>
      <c r="R705" s="909"/>
      <c r="S705" s="738">
        <f t="shared" si="34"/>
        <v>66</v>
      </c>
      <c r="T705" s="738" t="str">
        <f t="shared" si="35"/>
        <v>Ud</v>
      </c>
      <c r="U705" s="738"/>
    </row>
    <row r="706" spans="1:21" x14ac:dyDescent="0.2">
      <c r="A706" s="913"/>
      <c r="B706" s="666"/>
      <c r="C706" s="347"/>
      <c r="D706" s="870">
        <v>159</v>
      </c>
      <c r="E706" s="871" t="s">
        <v>8</v>
      </c>
      <c r="F706" s="667">
        <v>10</v>
      </c>
      <c r="G706" s="871"/>
      <c r="H706" s="871"/>
      <c r="I706" s="871"/>
      <c r="J706" s="349" t="s">
        <v>1101</v>
      </c>
      <c r="K706" s="884"/>
      <c r="L706" s="876"/>
      <c r="M706" s="885"/>
      <c r="N706" s="876">
        <v>2</v>
      </c>
      <c r="O706" s="313"/>
      <c r="P706" s="315"/>
      <c r="Q706" s="315"/>
      <c r="R706" s="909"/>
      <c r="S706" s="738">
        <f t="shared" si="34"/>
        <v>66</v>
      </c>
      <c r="T706" s="738" t="str">
        <f t="shared" si="35"/>
        <v>Ud</v>
      </c>
      <c r="U706" s="738"/>
    </row>
    <row r="707" spans="1:21" x14ac:dyDescent="0.2">
      <c r="A707" s="913"/>
      <c r="B707" s="666"/>
      <c r="C707" s="347"/>
      <c r="D707" s="870">
        <v>167</v>
      </c>
      <c r="E707" s="871" t="s">
        <v>8</v>
      </c>
      <c r="F707" s="667">
        <v>0</v>
      </c>
      <c r="G707" s="871"/>
      <c r="H707" s="871"/>
      <c r="I707" s="871"/>
      <c r="J707" s="349" t="s">
        <v>1101</v>
      </c>
      <c r="K707" s="884"/>
      <c r="L707" s="876"/>
      <c r="M707" s="885"/>
      <c r="N707" s="876">
        <v>2</v>
      </c>
      <c r="O707" s="313"/>
      <c r="P707" s="315"/>
      <c r="Q707" s="315"/>
      <c r="R707" s="909"/>
      <c r="S707" s="738">
        <f t="shared" si="34"/>
        <v>66</v>
      </c>
      <c r="T707" s="738" t="str">
        <f t="shared" si="35"/>
        <v>Ud</v>
      </c>
      <c r="U707" s="738"/>
    </row>
    <row r="708" spans="1:21" x14ac:dyDescent="0.2">
      <c r="A708" s="913"/>
      <c r="B708" s="666"/>
      <c r="C708" s="347"/>
      <c r="D708" s="870">
        <v>173</v>
      </c>
      <c r="E708" s="871" t="s">
        <v>8</v>
      </c>
      <c r="F708" s="667">
        <v>0</v>
      </c>
      <c r="G708" s="871"/>
      <c r="H708" s="871"/>
      <c r="I708" s="871"/>
      <c r="J708" s="349" t="s">
        <v>1102</v>
      </c>
      <c r="K708" s="884"/>
      <c r="L708" s="876"/>
      <c r="M708" s="885"/>
      <c r="N708" s="876">
        <v>2</v>
      </c>
      <c r="O708" s="313"/>
      <c r="P708" s="315"/>
      <c r="Q708" s="315"/>
      <c r="R708" s="909"/>
      <c r="S708" s="738">
        <f t="shared" si="34"/>
        <v>66</v>
      </c>
      <c r="T708" s="738" t="str">
        <f t="shared" si="35"/>
        <v>Ud</v>
      </c>
      <c r="U708" s="738"/>
    </row>
    <row r="709" spans="1:21" x14ac:dyDescent="0.2">
      <c r="A709" s="913"/>
      <c r="B709" s="666"/>
      <c r="C709" s="347"/>
      <c r="D709" s="870">
        <v>180</v>
      </c>
      <c r="E709" s="871" t="s">
        <v>8</v>
      </c>
      <c r="F709" s="667">
        <v>0</v>
      </c>
      <c r="G709" s="871"/>
      <c r="H709" s="871"/>
      <c r="I709" s="871"/>
      <c r="J709" s="349" t="s">
        <v>1102</v>
      </c>
      <c r="K709" s="884"/>
      <c r="L709" s="876"/>
      <c r="M709" s="885"/>
      <c r="N709" s="876">
        <v>2</v>
      </c>
      <c r="O709" s="313"/>
      <c r="P709" s="315"/>
      <c r="Q709" s="315"/>
      <c r="R709" s="909"/>
      <c r="S709" s="738">
        <f t="shared" si="34"/>
        <v>66</v>
      </c>
      <c r="T709" s="738" t="str">
        <f t="shared" si="35"/>
        <v>Ud</v>
      </c>
      <c r="U709" s="738"/>
    </row>
    <row r="710" spans="1:21" x14ac:dyDescent="0.2">
      <c r="A710" s="913"/>
      <c r="B710" s="666"/>
      <c r="C710" s="347"/>
      <c r="D710" s="870">
        <v>195</v>
      </c>
      <c r="E710" s="871" t="s">
        <v>8</v>
      </c>
      <c r="F710" s="667">
        <v>0</v>
      </c>
      <c r="G710" s="871"/>
      <c r="H710" s="871"/>
      <c r="I710" s="871"/>
      <c r="J710" s="349" t="s">
        <v>1102</v>
      </c>
      <c r="K710" s="884"/>
      <c r="L710" s="876"/>
      <c r="M710" s="885"/>
      <c r="N710" s="876">
        <v>2</v>
      </c>
      <c r="O710" s="313"/>
      <c r="P710" s="315"/>
      <c r="Q710" s="315"/>
      <c r="R710" s="909"/>
      <c r="S710" s="738">
        <f t="shared" si="34"/>
        <v>66</v>
      </c>
      <c r="T710" s="738" t="str">
        <f t="shared" si="35"/>
        <v>Ud</v>
      </c>
      <c r="U710" s="738"/>
    </row>
    <row r="711" spans="1:21" x14ac:dyDescent="0.2">
      <c r="A711" s="913"/>
      <c r="B711" s="666"/>
      <c r="C711" s="347"/>
      <c r="D711" s="870">
        <v>205</v>
      </c>
      <c r="E711" s="871" t="s">
        <v>8</v>
      </c>
      <c r="F711" s="667">
        <v>15</v>
      </c>
      <c r="G711" s="871"/>
      <c r="H711" s="871"/>
      <c r="I711" s="871"/>
      <c r="J711" s="349" t="s">
        <v>1101</v>
      </c>
      <c r="K711" s="884"/>
      <c r="L711" s="876"/>
      <c r="M711" s="885"/>
      <c r="N711" s="876">
        <v>2</v>
      </c>
      <c r="O711" s="313"/>
      <c r="P711" s="315"/>
      <c r="Q711" s="315"/>
      <c r="R711" s="909"/>
      <c r="S711" s="738">
        <f t="shared" si="34"/>
        <v>66</v>
      </c>
      <c r="T711" s="738" t="str">
        <f t="shared" si="35"/>
        <v>Ud</v>
      </c>
      <c r="U711" s="738"/>
    </row>
    <row r="712" spans="1:21" x14ac:dyDescent="0.2">
      <c r="A712" s="913"/>
      <c r="B712" s="666"/>
      <c r="C712" s="347"/>
      <c r="D712" s="870">
        <v>228</v>
      </c>
      <c r="E712" s="871" t="s">
        <v>8</v>
      </c>
      <c r="F712" s="667">
        <v>0</v>
      </c>
      <c r="G712" s="871"/>
      <c r="H712" s="871"/>
      <c r="I712" s="871"/>
      <c r="J712" s="349" t="s">
        <v>1101</v>
      </c>
      <c r="K712" s="884"/>
      <c r="L712" s="876"/>
      <c r="M712" s="885"/>
      <c r="N712" s="876">
        <v>2</v>
      </c>
      <c r="O712" s="313"/>
      <c r="P712" s="315"/>
      <c r="Q712" s="315"/>
      <c r="R712" s="909"/>
      <c r="S712" s="738">
        <f t="shared" si="34"/>
        <v>66</v>
      </c>
      <c r="T712" s="738" t="str">
        <f t="shared" si="35"/>
        <v>Ud</v>
      </c>
      <c r="U712" s="738"/>
    </row>
    <row r="713" spans="1:21" x14ac:dyDescent="0.2">
      <c r="A713" s="913"/>
      <c r="B713" s="666"/>
      <c r="C713" s="347"/>
      <c r="D713" s="870">
        <v>278</v>
      </c>
      <c r="E713" s="871" t="s">
        <v>8</v>
      </c>
      <c r="F713" s="667">
        <v>0</v>
      </c>
      <c r="G713" s="871"/>
      <c r="H713" s="871"/>
      <c r="I713" s="871"/>
      <c r="J713" s="349" t="s">
        <v>1102</v>
      </c>
      <c r="K713" s="884"/>
      <c r="L713" s="876"/>
      <c r="M713" s="885"/>
      <c r="N713" s="876">
        <v>2</v>
      </c>
      <c r="O713" s="313"/>
      <c r="P713" s="315"/>
      <c r="Q713" s="315"/>
      <c r="R713" s="909"/>
      <c r="S713" s="738">
        <f t="shared" si="34"/>
        <v>66</v>
      </c>
      <c r="T713" s="738" t="str">
        <f t="shared" si="35"/>
        <v>Ud</v>
      </c>
      <c r="U713" s="738"/>
    </row>
    <row r="714" spans="1:21" x14ac:dyDescent="0.2">
      <c r="A714" s="913"/>
      <c r="B714" s="666"/>
      <c r="C714" s="347"/>
      <c r="D714" s="870">
        <v>359</v>
      </c>
      <c r="E714" s="871" t="s">
        <v>8</v>
      </c>
      <c r="F714" s="667">
        <v>10</v>
      </c>
      <c r="G714" s="871"/>
      <c r="H714" s="871"/>
      <c r="I714" s="871"/>
      <c r="J714" s="349" t="s">
        <v>1101</v>
      </c>
      <c r="K714" s="884"/>
      <c r="L714" s="876"/>
      <c r="M714" s="885"/>
      <c r="N714" s="876">
        <v>1</v>
      </c>
      <c r="O714" s="313"/>
      <c r="P714" s="315"/>
      <c r="Q714" s="315"/>
      <c r="R714" s="909"/>
      <c r="S714" s="738">
        <f t="shared" si="34"/>
        <v>66</v>
      </c>
      <c r="T714" s="738" t="str">
        <f t="shared" si="35"/>
        <v>Ud</v>
      </c>
      <c r="U714" s="738"/>
    </row>
    <row r="715" spans="1:21" x14ac:dyDescent="0.2">
      <c r="A715" s="913"/>
      <c r="B715" s="666"/>
      <c r="C715" s="347"/>
      <c r="D715" s="870">
        <v>368</v>
      </c>
      <c r="E715" s="871" t="s">
        <v>8</v>
      </c>
      <c r="F715" s="667">
        <v>0</v>
      </c>
      <c r="G715" s="871"/>
      <c r="H715" s="871"/>
      <c r="I715" s="871"/>
      <c r="J715" s="349" t="s">
        <v>1101</v>
      </c>
      <c r="K715" s="884"/>
      <c r="L715" s="876"/>
      <c r="M715" s="885"/>
      <c r="N715" s="876">
        <v>1</v>
      </c>
      <c r="O715" s="313"/>
      <c r="P715" s="315"/>
      <c r="Q715" s="315"/>
      <c r="R715" s="909"/>
      <c r="S715" s="738">
        <f t="shared" si="34"/>
        <v>66</v>
      </c>
      <c r="T715" s="738" t="str">
        <f t="shared" si="35"/>
        <v>Ud</v>
      </c>
      <c r="U715" s="738"/>
    </row>
    <row r="716" spans="1:21" x14ac:dyDescent="0.2">
      <c r="A716" s="913"/>
      <c r="B716" s="666"/>
      <c r="C716" s="347"/>
      <c r="D716" s="870">
        <v>377</v>
      </c>
      <c r="E716" s="871" t="s">
        <v>8</v>
      </c>
      <c r="F716" s="667">
        <v>10</v>
      </c>
      <c r="G716" s="871"/>
      <c r="H716" s="871"/>
      <c r="I716" s="871"/>
      <c r="J716" s="349" t="s">
        <v>1102</v>
      </c>
      <c r="K716" s="884"/>
      <c r="L716" s="876"/>
      <c r="M716" s="885"/>
      <c r="N716" s="876">
        <v>1</v>
      </c>
      <c r="O716" s="313"/>
      <c r="P716" s="315"/>
      <c r="Q716" s="315"/>
      <c r="R716" s="909"/>
      <c r="S716" s="738">
        <f t="shared" si="34"/>
        <v>66</v>
      </c>
      <c r="T716" s="738" t="str">
        <f t="shared" si="35"/>
        <v>Ud</v>
      </c>
      <c r="U716" s="738"/>
    </row>
    <row r="717" spans="1:21" x14ac:dyDescent="0.2">
      <c r="A717" s="913"/>
      <c r="B717" s="666"/>
      <c r="C717" s="347"/>
      <c r="D717" s="870">
        <v>384</v>
      </c>
      <c r="E717" s="871" t="s">
        <v>8</v>
      </c>
      <c r="F717" s="667">
        <v>0</v>
      </c>
      <c r="G717" s="871"/>
      <c r="H717" s="871"/>
      <c r="I717" s="871"/>
      <c r="J717" s="349" t="s">
        <v>1102</v>
      </c>
      <c r="K717" s="884"/>
      <c r="L717" s="876"/>
      <c r="M717" s="885"/>
      <c r="N717" s="876">
        <v>3</v>
      </c>
      <c r="O717" s="313"/>
      <c r="P717" s="315"/>
      <c r="Q717" s="315"/>
      <c r="R717" s="909"/>
      <c r="S717" s="738">
        <f t="shared" si="34"/>
        <v>66</v>
      </c>
      <c r="T717" s="738" t="str">
        <f t="shared" si="35"/>
        <v>Ud</v>
      </c>
      <c r="U717" s="738"/>
    </row>
    <row r="718" spans="1:21" x14ac:dyDescent="0.2">
      <c r="A718" s="913"/>
      <c r="B718" s="666"/>
      <c r="C718" s="347"/>
      <c r="D718" s="870">
        <v>389</v>
      </c>
      <c r="E718" s="871" t="s">
        <v>8</v>
      </c>
      <c r="F718" s="667">
        <v>10</v>
      </c>
      <c r="G718" s="871"/>
      <c r="H718" s="871"/>
      <c r="I718" s="871"/>
      <c r="J718" s="349" t="s">
        <v>1102</v>
      </c>
      <c r="K718" s="884"/>
      <c r="L718" s="876"/>
      <c r="M718" s="885"/>
      <c r="N718" s="876">
        <v>2</v>
      </c>
      <c r="O718" s="313"/>
      <c r="P718" s="315"/>
      <c r="Q718" s="315"/>
      <c r="R718" s="909"/>
      <c r="S718" s="738">
        <f t="shared" si="34"/>
        <v>66</v>
      </c>
      <c r="T718" s="738" t="str">
        <f t="shared" si="35"/>
        <v>Ud</v>
      </c>
      <c r="U718" s="738"/>
    </row>
    <row r="719" spans="1:21" x14ac:dyDescent="0.2">
      <c r="A719" s="913"/>
      <c r="B719" s="666"/>
      <c r="C719" s="347"/>
      <c r="D719" s="870">
        <v>429</v>
      </c>
      <c r="E719" s="871" t="s">
        <v>8</v>
      </c>
      <c r="F719" s="667">
        <v>0</v>
      </c>
      <c r="G719" s="871"/>
      <c r="H719" s="871"/>
      <c r="I719" s="871"/>
      <c r="J719" s="349" t="s">
        <v>1101</v>
      </c>
      <c r="K719" s="884"/>
      <c r="L719" s="876"/>
      <c r="M719" s="885"/>
      <c r="N719" s="876">
        <v>1</v>
      </c>
      <c r="O719" s="313"/>
      <c r="P719" s="315"/>
      <c r="Q719" s="315"/>
      <c r="R719" s="909"/>
      <c r="S719" s="738">
        <f t="shared" si="34"/>
        <v>66</v>
      </c>
      <c r="T719" s="738" t="str">
        <f t="shared" si="35"/>
        <v>Ud</v>
      </c>
      <c r="U719" s="738"/>
    </row>
    <row r="720" spans="1:21" x14ac:dyDescent="0.2">
      <c r="A720" s="913"/>
      <c r="B720" s="666"/>
      <c r="C720" s="347"/>
      <c r="D720" s="870">
        <v>460</v>
      </c>
      <c r="E720" s="871" t="s">
        <v>8</v>
      </c>
      <c r="F720" s="667">
        <v>0</v>
      </c>
      <c r="G720" s="871"/>
      <c r="H720" s="871"/>
      <c r="I720" s="871"/>
      <c r="J720" s="349" t="s">
        <v>1102</v>
      </c>
      <c r="K720" s="884"/>
      <c r="L720" s="876"/>
      <c r="M720" s="885"/>
      <c r="N720" s="876">
        <v>2</v>
      </c>
      <c r="O720" s="313"/>
      <c r="P720" s="315"/>
      <c r="Q720" s="315"/>
      <c r="R720" s="909"/>
      <c r="S720" s="738">
        <f t="shared" si="34"/>
        <v>66</v>
      </c>
      <c r="T720" s="738" t="str">
        <f t="shared" si="35"/>
        <v>Ud</v>
      </c>
      <c r="U720" s="738"/>
    </row>
    <row r="721" spans="1:32" x14ac:dyDescent="0.2">
      <c r="A721" s="913"/>
      <c r="B721" s="666"/>
      <c r="C721" s="347"/>
      <c r="D721" s="870">
        <v>521</v>
      </c>
      <c r="E721" s="871" t="s">
        <v>8</v>
      </c>
      <c r="F721" s="667">
        <v>18</v>
      </c>
      <c r="G721" s="871"/>
      <c r="H721" s="871"/>
      <c r="I721" s="871"/>
      <c r="J721" s="349" t="s">
        <v>1102</v>
      </c>
      <c r="K721" s="884"/>
      <c r="L721" s="876"/>
      <c r="M721" s="885"/>
      <c r="N721" s="876">
        <v>2</v>
      </c>
      <c r="O721" s="313"/>
      <c r="P721" s="315"/>
      <c r="Q721" s="315"/>
      <c r="R721" s="909"/>
      <c r="S721" s="738">
        <f t="shared" si="34"/>
        <v>66</v>
      </c>
      <c r="T721" s="738" t="str">
        <f t="shared" si="35"/>
        <v>Ud</v>
      </c>
      <c r="U721" s="738"/>
    </row>
    <row r="722" spans="1:32" x14ac:dyDescent="0.2">
      <c r="A722" s="913"/>
      <c r="B722" s="666"/>
      <c r="C722" s="347"/>
      <c r="D722" s="870">
        <v>534</v>
      </c>
      <c r="E722" s="871" t="s">
        <v>8</v>
      </c>
      <c r="F722" s="667">
        <v>5</v>
      </c>
      <c r="G722" s="871"/>
      <c r="H722" s="871"/>
      <c r="I722" s="871"/>
      <c r="J722" s="349" t="s">
        <v>1102</v>
      </c>
      <c r="K722" s="884"/>
      <c r="L722" s="876"/>
      <c r="M722" s="885"/>
      <c r="N722" s="876">
        <v>1</v>
      </c>
      <c r="O722" s="313"/>
      <c r="P722" s="315"/>
      <c r="Q722" s="315"/>
      <c r="R722" s="909"/>
      <c r="S722" s="738">
        <f t="shared" si="34"/>
        <v>66</v>
      </c>
      <c r="T722" s="738" t="str">
        <f t="shared" si="35"/>
        <v>Ud</v>
      </c>
      <c r="U722" s="738"/>
    </row>
    <row r="723" spans="1:32" x14ac:dyDescent="0.2">
      <c r="A723" s="913"/>
      <c r="B723" s="666"/>
      <c r="C723" s="347"/>
      <c r="D723" s="870">
        <v>546</v>
      </c>
      <c r="E723" s="871" t="s">
        <v>8</v>
      </c>
      <c r="F723" s="667">
        <v>10</v>
      </c>
      <c r="G723" s="871"/>
      <c r="H723" s="871"/>
      <c r="I723" s="871"/>
      <c r="J723" s="349" t="s">
        <v>1101</v>
      </c>
      <c r="K723" s="884"/>
      <c r="L723" s="876"/>
      <c r="M723" s="885"/>
      <c r="N723" s="876">
        <v>2</v>
      </c>
      <c r="O723" s="313"/>
      <c r="P723" s="315"/>
      <c r="Q723" s="315"/>
      <c r="R723" s="909"/>
      <c r="S723" s="738">
        <f t="shared" si="34"/>
        <v>66</v>
      </c>
      <c r="T723" s="738" t="str">
        <f t="shared" si="35"/>
        <v>Ud</v>
      </c>
      <c r="U723" s="738"/>
    </row>
    <row r="724" spans="1:32" x14ac:dyDescent="0.2">
      <c r="A724" s="913"/>
      <c r="B724" s="666"/>
      <c r="C724" s="347"/>
      <c r="D724" s="870">
        <v>561</v>
      </c>
      <c r="E724" s="871" t="s">
        <v>8</v>
      </c>
      <c r="F724" s="667">
        <v>12.5</v>
      </c>
      <c r="G724" s="871"/>
      <c r="H724" s="871"/>
      <c r="I724" s="871"/>
      <c r="J724" s="349" t="s">
        <v>1101</v>
      </c>
      <c r="K724" s="884"/>
      <c r="L724" s="876"/>
      <c r="M724" s="885"/>
      <c r="N724" s="876">
        <v>1</v>
      </c>
      <c r="O724" s="313"/>
      <c r="P724" s="315"/>
      <c r="Q724" s="315"/>
      <c r="R724" s="909"/>
      <c r="S724" s="738">
        <f t="shared" si="34"/>
        <v>66</v>
      </c>
      <c r="T724" s="738" t="str">
        <f t="shared" si="35"/>
        <v>Ud</v>
      </c>
      <c r="U724" s="738"/>
    </row>
    <row r="725" spans="1:32" x14ac:dyDescent="0.2">
      <c r="A725" s="913"/>
      <c r="B725" s="666"/>
      <c r="C725" s="347" t="s">
        <v>1553</v>
      </c>
      <c r="D725" s="870"/>
      <c r="E725" s="871"/>
      <c r="F725" s="667"/>
      <c r="G725" s="871"/>
      <c r="H725" s="871"/>
      <c r="I725" s="871"/>
      <c r="J725" s="349"/>
      <c r="K725" s="884"/>
      <c r="L725" s="876"/>
      <c r="M725" s="885"/>
      <c r="N725" s="883"/>
      <c r="O725" s="313"/>
      <c r="P725" s="315"/>
      <c r="Q725" s="315"/>
      <c r="R725" s="909"/>
      <c r="S725" s="738">
        <f t="shared" si="34"/>
        <v>66</v>
      </c>
      <c r="T725" s="738" t="str">
        <f t="shared" si="35"/>
        <v>Ud</v>
      </c>
      <c r="U725" s="738"/>
    </row>
    <row r="726" spans="1:32" x14ac:dyDescent="0.2">
      <c r="A726" s="294"/>
      <c r="B726" s="293"/>
      <c r="C726" s="380" t="s">
        <v>1272</v>
      </c>
      <c r="D726" s="381">
        <v>12</v>
      </c>
      <c r="E726" s="524" t="s">
        <v>8</v>
      </c>
      <c r="F726" s="292">
        <v>10</v>
      </c>
      <c r="G726" s="382"/>
      <c r="H726" s="524"/>
      <c r="I726" s="675"/>
      <c r="J726" s="383" t="s">
        <v>1565</v>
      </c>
      <c r="K726" s="350"/>
      <c r="M726" s="875"/>
      <c r="N726" s="883">
        <v>2</v>
      </c>
      <c r="R726" s="912"/>
      <c r="S726" s="738">
        <f t="shared" si="34"/>
        <v>66</v>
      </c>
      <c r="T726" s="738" t="str">
        <f t="shared" si="35"/>
        <v>Ud</v>
      </c>
      <c r="U726" s="738"/>
      <c r="W726" s="288"/>
      <c r="X726" s="288"/>
      <c r="Y726" s="288"/>
      <c r="Z726" s="288"/>
      <c r="AA726" s="288"/>
      <c r="AF726" s="288">
        <v>1</v>
      </c>
    </row>
    <row r="727" spans="1:32" x14ac:dyDescent="0.2">
      <c r="A727" s="294"/>
      <c r="B727" s="293"/>
      <c r="C727" s="380" t="s">
        <v>1273</v>
      </c>
      <c r="D727" s="381">
        <v>19</v>
      </c>
      <c r="E727" s="524" t="s">
        <v>8</v>
      </c>
      <c r="F727" s="292">
        <v>5</v>
      </c>
      <c r="G727" s="382"/>
      <c r="H727" s="524"/>
      <c r="I727" s="675"/>
      <c r="J727" s="383" t="s">
        <v>1565</v>
      </c>
      <c r="K727" s="350"/>
      <c r="M727" s="875"/>
      <c r="N727" s="883">
        <v>2</v>
      </c>
      <c r="R727" s="912"/>
      <c r="S727" s="738">
        <f t="shared" si="34"/>
        <v>66</v>
      </c>
      <c r="T727" s="738" t="str">
        <f t="shared" si="35"/>
        <v>Ud</v>
      </c>
      <c r="U727" s="738"/>
      <c r="W727" s="288"/>
      <c r="X727" s="288"/>
      <c r="Y727" s="288"/>
      <c r="Z727" s="288"/>
      <c r="AA727" s="288"/>
      <c r="AF727" s="288">
        <v>6</v>
      </c>
    </row>
    <row r="728" spans="1:32" x14ac:dyDescent="0.2">
      <c r="A728" s="294"/>
      <c r="B728" s="293"/>
      <c r="C728" s="380" t="s">
        <v>1316</v>
      </c>
      <c r="D728" s="381">
        <v>29</v>
      </c>
      <c r="E728" s="524" t="s">
        <v>8</v>
      </c>
      <c r="F728" s="292">
        <v>10</v>
      </c>
      <c r="G728" s="382"/>
      <c r="H728" s="524"/>
      <c r="I728" s="675"/>
      <c r="J728" s="383" t="s">
        <v>1565</v>
      </c>
      <c r="K728" s="350"/>
      <c r="M728" s="875"/>
      <c r="N728" s="883">
        <v>2</v>
      </c>
      <c r="R728" s="912"/>
      <c r="S728" s="738">
        <f t="shared" si="34"/>
        <v>66</v>
      </c>
      <c r="T728" s="738" t="str">
        <f t="shared" si="35"/>
        <v>Ud</v>
      </c>
      <c r="U728" s="738"/>
      <c r="W728" s="288"/>
      <c r="X728" s="288"/>
      <c r="Y728" s="288"/>
      <c r="Z728" s="288"/>
      <c r="AA728" s="288"/>
      <c r="AF728" s="288">
        <v>6</v>
      </c>
    </row>
    <row r="729" spans="1:32" x14ac:dyDescent="0.2">
      <c r="A729" s="294"/>
      <c r="B729" s="293"/>
      <c r="C729" s="380" t="s">
        <v>1317</v>
      </c>
      <c r="D729" s="381">
        <v>45</v>
      </c>
      <c r="E729" s="524" t="s">
        <v>8</v>
      </c>
      <c r="F729" s="292">
        <v>0</v>
      </c>
      <c r="G729" s="382"/>
      <c r="H729" s="524"/>
      <c r="I729" s="675"/>
      <c r="J729" s="383" t="s">
        <v>1565</v>
      </c>
      <c r="K729" s="350"/>
      <c r="M729" s="875"/>
      <c r="N729" s="883">
        <v>2</v>
      </c>
      <c r="R729" s="912"/>
      <c r="S729" s="738">
        <f t="shared" si="34"/>
        <v>66</v>
      </c>
      <c r="T729" s="738" t="str">
        <f t="shared" si="35"/>
        <v>Ud</v>
      </c>
      <c r="U729" s="738"/>
      <c r="W729" s="288"/>
      <c r="X729" s="288"/>
      <c r="Y729" s="288"/>
      <c r="Z729" s="288"/>
      <c r="AA729" s="288"/>
      <c r="AF729" s="288">
        <v>6</v>
      </c>
    </row>
    <row r="730" spans="1:32" x14ac:dyDescent="0.2">
      <c r="A730" s="294"/>
      <c r="B730" s="293"/>
      <c r="C730" s="380" t="s">
        <v>1318</v>
      </c>
      <c r="D730" s="381">
        <v>55</v>
      </c>
      <c r="E730" s="524" t="s">
        <v>8</v>
      </c>
      <c r="F730" s="292">
        <v>10</v>
      </c>
      <c r="G730" s="382"/>
      <c r="H730" s="524"/>
      <c r="I730" s="675"/>
      <c r="J730" s="383" t="s">
        <v>1565</v>
      </c>
      <c r="K730" s="350"/>
      <c r="M730" s="875"/>
      <c r="N730" s="883">
        <v>2</v>
      </c>
      <c r="R730" s="912"/>
      <c r="S730" s="738">
        <f t="shared" si="34"/>
        <v>66</v>
      </c>
      <c r="T730" s="738" t="str">
        <f t="shared" si="35"/>
        <v>Ud</v>
      </c>
      <c r="U730" s="738"/>
      <c r="W730" s="288"/>
      <c r="X730" s="288"/>
      <c r="Y730" s="288"/>
      <c r="Z730" s="288"/>
      <c r="AA730" s="288"/>
      <c r="AF730" s="288">
        <v>6</v>
      </c>
    </row>
    <row r="731" spans="1:32" x14ac:dyDescent="0.2">
      <c r="A731" s="294"/>
      <c r="B731" s="293"/>
      <c r="C731" s="380" t="s">
        <v>1319</v>
      </c>
      <c r="D731" s="381">
        <v>71</v>
      </c>
      <c r="E731" s="524" t="s">
        <v>8</v>
      </c>
      <c r="F731" s="292">
        <v>10</v>
      </c>
      <c r="G731" s="382"/>
      <c r="H731" s="524"/>
      <c r="I731" s="675"/>
      <c r="J731" s="383" t="s">
        <v>1565</v>
      </c>
      <c r="K731" s="350"/>
      <c r="M731" s="875"/>
      <c r="N731" s="883">
        <v>2</v>
      </c>
      <c r="R731" s="912"/>
      <c r="S731" s="738">
        <f t="shared" ref="S731:S794" si="38">VLOOKUP("Total",C732:O2417,12,FALSE)</f>
        <v>66</v>
      </c>
      <c r="T731" s="738" t="str">
        <f t="shared" ref="T731:T794" si="39">VLOOKUP("Total",C732:O2417,13,FALSE)</f>
        <v>Ud</v>
      </c>
      <c r="U731" s="738"/>
      <c r="W731" s="288"/>
      <c r="X731" s="288"/>
      <c r="Y731" s="288"/>
      <c r="Z731" s="288"/>
      <c r="AA731" s="288"/>
      <c r="AF731" s="288">
        <v>6</v>
      </c>
    </row>
    <row r="732" spans="1:32" x14ac:dyDescent="0.2">
      <c r="A732" s="294"/>
      <c r="B732" s="293"/>
      <c r="C732" s="380" t="s">
        <v>1320</v>
      </c>
      <c r="D732" s="381">
        <v>80</v>
      </c>
      <c r="E732" s="524" t="s">
        <v>8</v>
      </c>
      <c r="F732" s="292">
        <v>10</v>
      </c>
      <c r="G732" s="382"/>
      <c r="H732" s="524"/>
      <c r="I732" s="675"/>
      <c r="J732" s="383" t="s">
        <v>1565</v>
      </c>
      <c r="K732" s="350"/>
      <c r="M732" s="875"/>
      <c r="N732" s="883">
        <v>2</v>
      </c>
      <c r="R732" s="912"/>
      <c r="S732" s="738">
        <f t="shared" si="38"/>
        <v>66</v>
      </c>
      <c r="T732" s="738" t="str">
        <f t="shared" si="39"/>
        <v>Ud</v>
      </c>
      <c r="U732" s="738"/>
      <c r="W732" s="288"/>
      <c r="X732" s="288"/>
      <c r="Y732" s="288"/>
      <c r="Z732" s="288"/>
      <c r="AA732" s="288"/>
      <c r="AF732" s="288">
        <v>6</v>
      </c>
    </row>
    <row r="733" spans="1:32" x14ac:dyDescent="0.2">
      <c r="A733" s="294"/>
      <c r="B733" s="293"/>
      <c r="C733" s="380" t="s">
        <v>1321</v>
      </c>
      <c r="D733" s="381">
        <v>89</v>
      </c>
      <c r="E733" s="524" t="s">
        <v>8</v>
      </c>
      <c r="F733" s="292">
        <v>0</v>
      </c>
      <c r="G733" s="382"/>
      <c r="H733" s="524"/>
      <c r="I733" s="675"/>
      <c r="J733" s="383" t="s">
        <v>1565</v>
      </c>
      <c r="K733" s="350"/>
      <c r="M733" s="875"/>
      <c r="N733" s="883">
        <v>2</v>
      </c>
      <c r="R733" s="912"/>
      <c r="S733" s="738">
        <f t="shared" si="38"/>
        <v>66</v>
      </c>
      <c r="T733" s="738" t="str">
        <f t="shared" si="39"/>
        <v>Ud</v>
      </c>
      <c r="U733" s="738"/>
      <c r="W733" s="288"/>
      <c r="X733" s="288"/>
      <c r="Y733" s="288"/>
      <c r="Z733" s="288"/>
      <c r="AA733" s="288"/>
      <c r="AF733" s="288">
        <v>6</v>
      </c>
    </row>
    <row r="734" spans="1:32" x14ac:dyDescent="0.2">
      <c r="A734" s="294"/>
      <c r="B734" s="293"/>
      <c r="C734" s="380" t="s">
        <v>1322</v>
      </c>
      <c r="D734" s="381">
        <v>104</v>
      </c>
      <c r="E734" s="524" t="s">
        <v>8</v>
      </c>
      <c r="F734" s="292">
        <v>0</v>
      </c>
      <c r="G734" s="382"/>
      <c r="H734" s="524"/>
      <c r="I734" s="675"/>
      <c r="J734" s="383" t="s">
        <v>1565</v>
      </c>
      <c r="K734" s="350"/>
      <c r="M734" s="875"/>
      <c r="N734" s="883">
        <v>2</v>
      </c>
      <c r="R734" s="912"/>
      <c r="S734" s="738">
        <f t="shared" si="38"/>
        <v>66</v>
      </c>
      <c r="T734" s="738" t="str">
        <f t="shared" si="39"/>
        <v>Ud</v>
      </c>
      <c r="U734" s="738"/>
      <c r="W734" s="288"/>
      <c r="X734" s="288"/>
      <c r="Y734" s="288"/>
      <c r="Z734" s="288"/>
      <c r="AA734" s="288"/>
      <c r="AF734" s="288">
        <v>6</v>
      </c>
    </row>
    <row r="735" spans="1:32" x14ac:dyDescent="0.2">
      <c r="A735" s="899"/>
      <c r="B735" s="353"/>
      <c r="C735" s="354" t="s">
        <v>2</v>
      </c>
      <c r="D735" s="355"/>
      <c r="E735" s="352"/>
      <c r="F735" s="677"/>
      <c r="G735" s="678"/>
      <c r="H735" s="356"/>
      <c r="I735" s="356"/>
      <c r="J735" s="353"/>
      <c r="K735" s="358"/>
      <c r="L735" s="358"/>
      <c r="M735" s="358"/>
      <c r="N735" s="360">
        <f>SUM(N695:N734)</f>
        <v>66</v>
      </c>
      <c r="O735" s="361" t="str">
        <f>IF(MID(B693,1,2)="LG",VLOOKUP(B693,'Compos lug'!J:M,4,FALSE),IF(MID(B693,1,1)="6",VLOOKUP(B693,tranp.!$A$6:$K$51,3,FALSE),VLOOKUP(B693,'DER 10-18'!$A$1:$I$1981,3,FALSE)))</f>
        <v>Ud</v>
      </c>
      <c r="P735" s="362"/>
      <c r="Q735" s="362"/>
      <c r="R735" s="900"/>
      <c r="S735" s="738">
        <f t="shared" si="38"/>
        <v>5860</v>
      </c>
      <c r="T735" s="738" t="str">
        <f t="shared" si="39"/>
        <v>M</v>
      </c>
      <c r="U735" s="738"/>
    </row>
    <row r="736" spans="1:32" s="651" customFormat="1" x14ac:dyDescent="0.2">
      <c r="A736" s="910"/>
      <c r="B736" s="655"/>
      <c r="C736" s="656"/>
      <c r="D736" s="657"/>
      <c r="E736" s="654"/>
      <c r="F736" s="663"/>
      <c r="G736" s="664"/>
      <c r="H736" s="652"/>
      <c r="I736" s="652"/>
      <c r="J736" s="655"/>
      <c r="K736" s="653"/>
      <c r="L736" s="653"/>
      <c r="M736" s="653"/>
      <c r="N736" s="648"/>
      <c r="O736" s="660"/>
      <c r="P736" s="661"/>
      <c r="Q736" s="661"/>
      <c r="R736" s="911"/>
      <c r="S736" s="738">
        <f t="shared" si="38"/>
        <v>5860</v>
      </c>
      <c r="T736" s="738" t="str">
        <f t="shared" si="39"/>
        <v>M</v>
      </c>
      <c r="U736" s="749"/>
      <c r="W736" s="714"/>
      <c r="X736" s="714"/>
      <c r="Y736" s="714"/>
      <c r="Z736" s="714"/>
      <c r="AA736" s="714"/>
    </row>
    <row r="737" spans="1:27" ht="38.25" x14ac:dyDescent="0.2">
      <c r="A737" s="913" t="s">
        <v>1539</v>
      </c>
      <c r="B737" s="666">
        <v>40647</v>
      </c>
      <c r="C737" s="347" t="str">
        <f>IF(MID(B737,1,2)="LG",VLOOKUP(B737,'Compos lug'!J:M,3,FALSE),IF(MID(B737,1,1)="6",VLOOKUP(B737,tranp.!$A$4:$K$19,11,FALSE)&amp;" -  XP="&amp;TEXT(T737,"0.000")&amp;" / XR="&amp;TEXT(V737,"0.000"),VLOOKUP(B737,'DER 10-18'!$A$1:$I$1981,2,FALSE)))</f>
        <v>Dreno profundo D = 0,20 m com enchimento de brita e areia, escavação em material 1ª categoria, inclusive transporte da brita e da areia</v>
      </c>
      <c r="D737" s="1059" t="s">
        <v>1000</v>
      </c>
      <c r="E737" s="1060"/>
      <c r="F737" s="1061"/>
      <c r="G737" s="1059" t="s">
        <v>1001</v>
      </c>
      <c r="H737" s="1060"/>
      <c r="I737" s="1061"/>
      <c r="J737" s="349" t="s">
        <v>989</v>
      </c>
      <c r="K737" s="884"/>
      <c r="L737" s="876"/>
      <c r="M737" s="885"/>
      <c r="N737" s="876" t="str">
        <f>CONCATENATE("Total (",IF(MID(B737,1,2)="LG",VLOOKUP(B737,'[1]Compos lug'!J:M,4,FALSE),IF(MID(B737,1,1)="6","t",VLOOKUP(B737,'[1]DER 06-16'!$A$1:$I$2000,3,FALSE))),")")</f>
        <v>Total (m)</v>
      </c>
      <c r="O737" s="313"/>
      <c r="P737" s="315"/>
      <c r="Q737" s="315"/>
      <c r="R737" s="909"/>
      <c r="S737" s="738">
        <f t="shared" si="38"/>
        <v>5860</v>
      </c>
      <c r="T737" s="738" t="str">
        <f t="shared" si="39"/>
        <v>M</v>
      </c>
      <c r="U737" s="738"/>
    </row>
    <row r="738" spans="1:27" x14ac:dyDescent="0.2">
      <c r="A738" s="294"/>
      <c r="B738" s="293"/>
      <c r="C738" s="744" t="s">
        <v>1552</v>
      </c>
      <c r="N738" s="876"/>
      <c r="R738" s="912"/>
      <c r="S738" s="738">
        <f t="shared" si="38"/>
        <v>5860</v>
      </c>
      <c r="T738" s="738" t="str">
        <f t="shared" si="39"/>
        <v>M</v>
      </c>
    </row>
    <row r="739" spans="1:27" x14ac:dyDescent="0.2">
      <c r="A739" s="913"/>
      <c r="B739" s="666"/>
      <c r="C739" s="347"/>
      <c r="D739" s="870">
        <v>12</v>
      </c>
      <c r="E739" s="871" t="s">
        <v>8</v>
      </c>
      <c r="F739" s="667">
        <v>0</v>
      </c>
      <c r="G739" s="871">
        <v>25</v>
      </c>
      <c r="H739" s="871" t="s">
        <v>8</v>
      </c>
      <c r="I739" s="668">
        <v>0</v>
      </c>
      <c r="J739" s="349" t="s">
        <v>1101</v>
      </c>
      <c r="K739" s="884"/>
      <c r="L739" s="876"/>
      <c r="M739" s="885"/>
      <c r="N739" s="876">
        <f>(G739*20+I739)-(D739*20+F739)</f>
        <v>260</v>
      </c>
      <c r="O739" s="313"/>
      <c r="P739" s="315"/>
      <c r="Q739" s="315"/>
      <c r="R739" s="909"/>
      <c r="S739" s="738">
        <f t="shared" si="38"/>
        <v>5860</v>
      </c>
      <c r="T739" s="738" t="str">
        <f t="shared" si="39"/>
        <v>M</v>
      </c>
      <c r="U739" s="738"/>
    </row>
    <row r="740" spans="1:27" x14ac:dyDescent="0.2">
      <c r="A740" s="294"/>
      <c r="B740" s="293"/>
      <c r="C740" s="343"/>
      <c r="D740" s="870">
        <v>12</v>
      </c>
      <c r="E740" s="871" t="s">
        <v>8</v>
      </c>
      <c r="F740" s="667">
        <v>0</v>
      </c>
      <c r="G740" s="871">
        <v>25</v>
      </c>
      <c r="H740" s="871" t="s">
        <v>8</v>
      </c>
      <c r="I740" s="668">
        <v>0</v>
      </c>
      <c r="J740" s="349" t="s">
        <v>1102</v>
      </c>
      <c r="N740" s="876">
        <f t="shared" ref="N740:N746" si="40">(G740*20+I740)-(D740*20+F740)</f>
        <v>260</v>
      </c>
      <c r="O740" s="344"/>
      <c r="P740" s="315"/>
      <c r="Q740" s="315"/>
      <c r="R740" s="903"/>
      <c r="S740" s="738">
        <f t="shared" si="38"/>
        <v>5860</v>
      </c>
      <c r="T740" s="738" t="str">
        <f t="shared" si="39"/>
        <v>M</v>
      </c>
      <c r="U740" s="738"/>
    </row>
    <row r="741" spans="1:27" x14ac:dyDescent="0.2">
      <c r="A741" s="294"/>
      <c r="B741" s="293"/>
      <c r="C741" s="343"/>
      <c r="D741" s="870">
        <v>40</v>
      </c>
      <c r="E741" s="871" t="s">
        <v>8</v>
      </c>
      <c r="F741" s="667">
        <v>0</v>
      </c>
      <c r="G741" s="871">
        <v>56</v>
      </c>
      <c r="H741" s="871" t="s">
        <v>8</v>
      </c>
      <c r="I741" s="668">
        <v>0</v>
      </c>
      <c r="J741" s="349" t="s">
        <v>1101</v>
      </c>
      <c r="N741" s="876">
        <f t="shared" si="40"/>
        <v>320</v>
      </c>
      <c r="O741" s="344"/>
      <c r="P741" s="315"/>
      <c r="Q741" s="315"/>
      <c r="R741" s="903"/>
      <c r="S741" s="738">
        <f t="shared" si="38"/>
        <v>5860</v>
      </c>
      <c r="T741" s="738" t="str">
        <f t="shared" si="39"/>
        <v>M</v>
      </c>
      <c r="U741" s="738"/>
    </row>
    <row r="742" spans="1:27" x14ac:dyDescent="0.2">
      <c r="A742" s="294"/>
      <c r="B742" s="293"/>
      <c r="C742" s="343"/>
      <c r="D742" s="870">
        <v>40</v>
      </c>
      <c r="E742" s="871" t="s">
        <v>8</v>
      </c>
      <c r="F742" s="667">
        <v>0</v>
      </c>
      <c r="G742" s="871">
        <v>56</v>
      </c>
      <c r="H742" s="871" t="s">
        <v>8</v>
      </c>
      <c r="I742" s="668">
        <v>0</v>
      </c>
      <c r="J742" s="349" t="s">
        <v>1102</v>
      </c>
      <c r="N742" s="876">
        <f t="shared" si="40"/>
        <v>320</v>
      </c>
      <c r="O742" s="344"/>
      <c r="P742" s="315"/>
      <c r="Q742" s="315"/>
      <c r="R742" s="903"/>
      <c r="S742" s="738">
        <f t="shared" si="38"/>
        <v>5860</v>
      </c>
      <c r="T742" s="738" t="str">
        <f t="shared" si="39"/>
        <v>M</v>
      </c>
      <c r="U742" s="738"/>
    </row>
    <row r="743" spans="1:27" x14ac:dyDescent="0.2">
      <c r="A743" s="294"/>
      <c r="B743" s="293"/>
      <c r="C743" s="343"/>
      <c r="D743" s="870">
        <v>343</v>
      </c>
      <c r="E743" s="871" t="s">
        <v>8</v>
      </c>
      <c r="F743" s="667">
        <v>0</v>
      </c>
      <c r="G743" s="871">
        <v>428</v>
      </c>
      <c r="H743" s="871" t="s">
        <v>8</v>
      </c>
      <c r="I743" s="668">
        <v>0</v>
      </c>
      <c r="J743" s="349" t="s">
        <v>1101</v>
      </c>
      <c r="N743" s="876">
        <f t="shared" si="40"/>
        <v>1700</v>
      </c>
      <c r="O743" s="344"/>
      <c r="P743" s="315"/>
      <c r="Q743" s="315"/>
      <c r="R743" s="903"/>
      <c r="S743" s="738">
        <f t="shared" si="38"/>
        <v>5860</v>
      </c>
      <c r="T743" s="738" t="str">
        <f t="shared" si="39"/>
        <v>M</v>
      </c>
      <c r="U743" s="738"/>
    </row>
    <row r="744" spans="1:27" x14ac:dyDescent="0.2">
      <c r="A744" s="294"/>
      <c r="B744" s="293"/>
      <c r="C744" s="343"/>
      <c r="D744" s="870">
        <v>343</v>
      </c>
      <c r="E744" s="871" t="s">
        <v>8</v>
      </c>
      <c r="F744" s="667">
        <v>0</v>
      </c>
      <c r="G744" s="871">
        <v>428</v>
      </c>
      <c r="H744" s="871" t="s">
        <v>8</v>
      </c>
      <c r="I744" s="668">
        <v>0</v>
      </c>
      <c r="J744" s="349" t="s">
        <v>1102</v>
      </c>
      <c r="N744" s="876">
        <f t="shared" si="40"/>
        <v>1700</v>
      </c>
      <c r="O744" s="344"/>
      <c r="P744" s="315"/>
      <c r="Q744" s="315"/>
      <c r="R744" s="903"/>
      <c r="S744" s="738">
        <f t="shared" si="38"/>
        <v>5860</v>
      </c>
      <c r="T744" s="738" t="str">
        <f t="shared" si="39"/>
        <v>M</v>
      </c>
      <c r="U744" s="738"/>
    </row>
    <row r="745" spans="1:27" x14ac:dyDescent="0.2">
      <c r="A745" s="294"/>
      <c r="B745" s="293"/>
      <c r="C745" s="343"/>
      <c r="D745" s="870">
        <v>525</v>
      </c>
      <c r="E745" s="871" t="s">
        <v>8</v>
      </c>
      <c r="F745" s="667">
        <v>0</v>
      </c>
      <c r="G745" s="871">
        <v>545</v>
      </c>
      <c r="H745" s="871" t="s">
        <v>8</v>
      </c>
      <c r="I745" s="668">
        <v>0</v>
      </c>
      <c r="J745" s="349" t="s">
        <v>1101</v>
      </c>
      <c r="N745" s="876">
        <f t="shared" si="40"/>
        <v>400</v>
      </c>
      <c r="O745" s="344"/>
      <c r="P745" s="315"/>
      <c r="Q745" s="315"/>
      <c r="R745" s="903"/>
      <c r="S745" s="738">
        <f t="shared" si="38"/>
        <v>5860</v>
      </c>
      <c r="T745" s="738" t="str">
        <f t="shared" si="39"/>
        <v>M</v>
      </c>
      <c r="U745" s="738"/>
    </row>
    <row r="746" spans="1:27" x14ac:dyDescent="0.2">
      <c r="A746" s="294"/>
      <c r="B746" s="293"/>
      <c r="C746" s="343"/>
      <c r="D746" s="870">
        <v>525</v>
      </c>
      <c r="E746" s="871" t="s">
        <v>8</v>
      </c>
      <c r="F746" s="667">
        <v>0</v>
      </c>
      <c r="G746" s="871">
        <v>545</v>
      </c>
      <c r="H746" s="871" t="s">
        <v>8</v>
      </c>
      <c r="I746" s="668">
        <v>0</v>
      </c>
      <c r="J746" s="349" t="s">
        <v>1102</v>
      </c>
      <c r="N746" s="876">
        <f t="shared" si="40"/>
        <v>400</v>
      </c>
      <c r="O746" s="344"/>
      <c r="P746" s="315"/>
      <c r="Q746" s="315"/>
      <c r="R746" s="903"/>
      <c r="S746" s="738">
        <f t="shared" si="38"/>
        <v>5860</v>
      </c>
      <c r="T746" s="738" t="str">
        <f t="shared" si="39"/>
        <v>M</v>
      </c>
      <c r="U746" s="738"/>
    </row>
    <row r="747" spans="1:27" x14ac:dyDescent="0.2">
      <c r="A747" s="294"/>
      <c r="B747" s="293"/>
      <c r="C747" s="744" t="s">
        <v>1553</v>
      </c>
      <c r="D747" s="870"/>
      <c r="E747" s="871"/>
      <c r="F747" s="667"/>
      <c r="G747" s="871"/>
      <c r="H747" s="871"/>
      <c r="I747" s="668"/>
      <c r="J747" s="349"/>
      <c r="N747" s="876">
        <v>500</v>
      </c>
      <c r="O747" s="344"/>
      <c r="P747" s="315"/>
      <c r="Q747" s="315"/>
      <c r="R747" s="903"/>
      <c r="S747" s="738">
        <f t="shared" si="38"/>
        <v>5860</v>
      </c>
      <c r="T747" s="738" t="str">
        <f t="shared" si="39"/>
        <v>M</v>
      </c>
      <c r="U747" s="738"/>
    </row>
    <row r="748" spans="1:27" x14ac:dyDescent="0.2">
      <c r="A748" s="899"/>
      <c r="B748" s="353"/>
      <c r="C748" s="354" t="s">
        <v>2</v>
      </c>
      <c r="D748" s="355"/>
      <c r="E748" s="352"/>
      <c r="F748" s="677"/>
      <c r="G748" s="678"/>
      <c r="H748" s="356"/>
      <c r="I748" s="356"/>
      <c r="J748" s="353"/>
      <c r="K748" s="358"/>
      <c r="L748" s="358"/>
      <c r="M748" s="358"/>
      <c r="N748" s="360">
        <f>SUM(N739:N747)</f>
        <v>5860</v>
      </c>
      <c r="O748" s="361" t="str">
        <f>IF(MID(B737,1,2)="LG",VLOOKUP(B737,'Compos lug'!J:M,4,FALSE),IF(MID(B737,1,1)="6",VLOOKUP(B737,tranp.!$A$6:$K$51,3,FALSE),VLOOKUP(B737,'DER 10-18'!$A$1:$I$1981,3,FALSE)))</f>
        <v>M</v>
      </c>
      <c r="P748" s="362"/>
      <c r="Q748" s="362"/>
      <c r="R748" s="900"/>
      <c r="S748" s="738">
        <f t="shared" si="38"/>
        <v>423</v>
      </c>
      <c r="T748" s="738" t="str">
        <f t="shared" si="39"/>
        <v>M</v>
      </c>
      <c r="U748" s="738"/>
    </row>
    <row r="749" spans="1:27" s="651" customFormat="1" x14ac:dyDescent="0.2">
      <c r="A749" s="910"/>
      <c r="B749" s="655"/>
      <c r="C749" s="656"/>
      <c r="D749" s="657"/>
      <c r="E749" s="654"/>
      <c r="F749" s="663"/>
      <c r="G749" s="664"/>
      <c r="H749" s="652"/>
      <c r="I749" s="652"/>
      <c r="J749" s="655"/>
      <c r="K749" s="653"/>
      <c r="L749" s="653"/>
      <c r="M749" s="653"/>
      <c r="N749" s="648"/>
      <c r="O749" s="660"/>
      <c r="P749" s="661"/>
      <c r="Q749" s="661"/>
      <c r="R749" s="911"/>
      <c r="S749" s="738">
        <f t="shared" si="38"/>
        <v>423</v>
      </c>
      <c r="T749" s="738" t="str">
        <f t="shared" si="39"/>
        <v>M</v>
      </c>
      <c r="U749" s="749"/>
      <c r="W749" s="714"/>
      <c r="X749" s="714"/>
      <c r="Y749" s="714"/>
      <c r="Z749" s="714"/>
      <c r="AA749" s="714"/>
    </row>
    <row r="750" spans="1:27" x14ac:dyDescent="0.2">
      <c r="A750" s="913" t="s">
        <v>1540</v>
      </c>
      <c r="B750" s="666">
        <v>40662</v>
      </c>
      <c r="C750" s="347" t="str">
        <f>IF(MID(B750,1,2)="LG",VLOOKUP(B750,'Compos lug'!J:M,3,FALSE),IF(MID(B750,1,1)="6",VLOOKUP(B750,tranp.!$A$4:$K$19,11,FALSE)&amp;" -  XP="&amp;TEXT(T750,"0.000")&amp;" / XR="&amp;TEXT(V750,"0.000"),VLOOKUP(B750,'DER 10-18'!$A$1:$I$1981,2,FALSE)))</f>
        <v>Meio fio de concreto MFC 05, inclusive caiação</v>
      </c>
      <c r="D750" s="1059" t="s">
        <v>1000</v>
      </c>
      <c r="E750" s="1060"/>
      <c r="F750" s="1061"/>
      <c r="G750" s="1059"/>
      <c r="H750" s="1060"/>
      <c r="I750" s="1061"/>
      <c r="J750" s="349"/>
      <c r="K750" s="884"/>
      <c r="L750" s="876"/>
      <c r="M750" s="885"/>
      <c r="N750" s="876" t="str">
        <f>CONCATENATE("Total (",IF(MID(B750,1,2)="LG",VLOOKUP(B750,'[1]Compos lug'!J:M,4,FALSE),IF(MID(B750,1,1)="6","t",VLOOKUP(B750,'[1]DER 06-16'!$A$1:$I$2000,3,FALSE))),")")</f>
        <v>Total (m)</v>
      </c>
      <c r="O750" s="313"/>
      <c r="P750" s="315"/>
      <c r="Q750" s="315"/>
      <c r="R750" s="909"/>
      <c r="S750" s="738">
        <f t="shared" si="38"/>
        <v>423</v>
      </c>
      <c r="T750" s="738" t="str">
        <f t="shared" si="39"/>
        <v>M</v>
      </c>
      <c r="U750" s="738"/>
    </row>
    <row r="751" spans="1:27" x14ac:dyDescent="0.2">
      <c r="A751" s="294"/>
      <c r="B751" s="293"/>
      <c r="C751" s="744" t="s">
        <v>1552</v>
      </c>
      <c r="N751" s="876"/>
      <c r="R751" s="912"/>
      <c r="S751" s="738">
        <f t="shared" si="38"/>
        <v>423</v>
      </c>
      <c r="T751" s="738" t="str">
        <f t="shared" si="39"/>
        <v>M</v>
      </c>
    </row>
    <row r="752" spans="1:27" x14ac:dyDescent="0.2">
      <c r="A752" s="913"/>
      <c r="B752" s="666"/>
      <c r="C752" s="580" t="s">
        <v>1428</v>
      </c>
      <c r="D752" s="870"/>
      <c r="E752" s="871"/>
      <c r="F752" s="667"/>
      <c r="G752" s="871"/>
      <c r="H752" s="871"/>
      <c r="I752" s="668"/>
      <c r="J752" s="349"/>
      <c r="K752" s="884"/>
      <c r="L752" s="876"/>
      <c r="M752" s="885"/>
      <c r="N752" s="876">
        <v>291</v>
      </c>
      <c r="O752" s="313"/>
      <c r="P752" s="315"/>
      <c r="Q752" s="315"/>
      <c r="R752" s="909"/>
      <c r="S752" s="738">
        <f t="shared" si="38"/>
        <v>423</v>
      </c>
      <c r="T752" s="738" t="str">
        <f t="shared" si="39"/>
        <v>M</v>
      </c>
      <c r="U752" s="738"/>
    </row>
    <row r="753" spans="1:27" x14ac:dyDescent="0.2">
      <c r="A753" s="294"/>
      <c r="B753" s="293"/>
      <c r="C753" s="580" t="s">
        <v>1429</v>
      </c>
      <c r="D753" s="870"/>
      <c r="E753" s="871"/>
      <c r="F753" s="667"/>
      <c r="G753" s="871"/>
      <c r="H753" s="871"/>
      <c r="I753" s="668"/>
      <c r="J753" s="349"/>
      <c r="N753" s="876">
        <v>21</v>
      </c>
      <c r="O753" s="344"/>
      <c r="P753" s="315"/>
      <c r="Q753" s="315"/>
      <c r="R753" s="903"/>
      <c r="S753" s="738">
        <f t="shared" si="38"/>
        <v>423</v>
      </c>
      <c r="T753" s="738" t="str">
        <f t="shared" si="39"/>
        <v>M</v>
      </c>
      <c r="U753" s="738"/>
    </row>
    <row r="754" spans="1:27" x14ac:dyDescent="0.2">
      <c r="A754" s="294"/>
      <c r="B754" s="293"/>
      <c r="C754" s="580" t="s">
        <v>1430</v>
      </c>
      <c r="D754" s="870"/>
      <c r="E754" s="871"/>
      <c r="F754" s="667"/>
      <c r="G754" s="871"/>
      <c r="H754" s="871"/>
      <c r="I754" s="668"/>
      <c r="J754" s="349"/>
      <c r="N754" s="876">
        <v>111</v>
      </c>
      <c r="O754" s="344"/>
      <c r="P754" s="315"/>
      <c r="Q754" s="315"/>
      <c r="R754" s="903"/>
      <c r="S754" s="738">
        <f t="shared" si="38"/>
        <v>423</v>
      </c>
      <c r="T754" s="738" t="str">
        <f t="shared" si="39"/>
        <v>M</v>
      </c>
      <c r="U754" s="738"/>
    </row>
    <row r="755" spans="1:27" x14ac:dyDescent="0.2">
      <c r="A755" s="899"/>
      <c r="B755" s="353"/>
      <c r="C755" s="354" t="s">
        <v>2</v>
      </c>
      <c r="D755" s="355"/>
      <c r="E755" s="352"/>
      <c r="F755" s="677"/>
      <c r="G755" s="678"/>
      <c r="H755" s="356"/>
      <c r="I755" s="356"/>
      <c r="J755" s="353"/>
      <c r="K755" s="358"/>
      <c r="L755" s="358"/>
      <c r="M755" s="358"/>
      <c r="N755" s="360">
        <f>SUM(N752:N754)</f>
        <v>423</v>
      </c>
      <c r="O755" s="361" t="str">
        <f>IF(MID(B750,1,2)="LG",VLOOKUP(B750,'Compos lug'!J:M,4,FALSE),IF(MID(B750,1,1)="6",VLOOKUP(B750,tranp.!$A$6:$K$51,3,FALSE),VLOOKUP(B750,'DER 10-18'!$A$1:$I$1981,3,FALSE)))</f>
        <v>M</v>
      </c>
      <c r="P755" s="362"/>
      <c r="Q755" s="362"/>
      <c r="R755" s="900"/>
      <c r="S755" s="738">
        <f t="shared" si="38"/>
        <v>4</v>
      </c>
      <c r="T755" s="738" t="str">
        <f t="shared" si="39"/>
        <v>Ud</v>
      </c>
      <c r="U755" s="738"/>
    </row>
    <row r="756" spans="1:27" x14ac:dyDescent="0.2">
      <c r="A756" s="294"/>
      <c r="B756" s="293"/>
      <c r="C756" s="343"/>
      <c r="F756" s="675"/>
      <c r="G756" s="296"/>
      <c r="H756" s="292"/>
      <c r="N756" s="314"/>
      <c r="O756" s="344"/>
      <c r="P756" s="315"/>
      <c r="Q756" s="315"/>
      <c r="R756" s="903"/>
      <c r="S756" s="738">
        <f t="shared" si="38"/>
        <v>4</v>
      </c>
      <c r="T756" s="738" t="str">
        <f t="shared" si="39"/>
        <v>Ud</v>
      </c>
      <c r="U756" s="738"/>
    </row>
    <row r="757" spans="1:27" s="318" customFormat="1" ht="25.5" x14ac:dyDescent="0.2">
      <c r="A757" s="913" t="s">
        <v>1541</v>
      </c>
      <c r="B757" s="666">
        <v>40734</v>
      </c>
      <c r="C757" s="347" t="str">
        <f>IF(MID(B757,1,2)="LG",VLOOKUP(B757,'Compos lug'!J:M,3,FALSE),IF(MID(B757,1,1)="6",VLOOKUP(B757,tranp.!$A$4:$K$21,11,FALSE)&amp;" -  XP="&amp;TEXT(T757,"0,000")&amp;" / XR="&amp;TEXT(V757,"0,000"),VLOOKUP(B757,'DER 10-18'!$A$1:$I$1994,2,FALSE)))</f>
        <v>Dissipador de energia aplicado a saída de bueiro/descida d'água de aterro (DEB-03)</v>
      </c>
      <c r="D757" s="1059" t="s">
        <v>1000</v>
      </c>
      <c r="E757" s="1060"/>
      <c r="F757" s="1061"/>
      <c r="G757" s="1059" t="s">
        <v>1001</v>
      </c>
      <c r="H757" s="1060"/>
      <c r="I757" s="1061"/>
      <c r="J757" s="349" t="s">
        <v>989</v>
      </c>
      <c r="K757" s="884"/>
      <c r="L757" s="876"/>
      <c r="M757" s="885"/>
      <c r="N757" s="876" t="str">
        <f>CONCATENATE("Total (",IF(MID(B757,1,2)="LG",VLOOKUP(B757,'Compos lug'!J:M,4,FALSE),IF(MID(B757,1,1)="6","t",VLOOKUP(B757,'DER 10-18'!$A$1:$I$1994,3,FALSE))),")")</f>
        <v>Total (Ud)</v>
      </c>
      <c r="O757" s="313"/>
      <c r="P757" s="315"/>
      <c r="Q757" s="315"/>
      <c r="R757" s="909"/>
      <c r="S757" s="738">
        <f t="shared" si="38"/>
        <v>4</v>
      </c>
      <c r="T757" s="738" t="str">
        <f t="shared" si="39"/>
        <v>Ud</v>
      </c>
      <c r="U757" s="738"/>
      <c r="V757" s="710"/>
      <c r="W757" s="710" t="s">
        <v>1567</v>
      </c>
      <c r="Y757" s="710" t="s">
        <v>1568</v>
      </c>
      <c r="Z757" s="710" t="s">
        <v>1569</v>
      </c>
    </row>
    <row r="758" spans="1:27" s="318" customFormat="1" x14ac:dyDescent="0.2">
      <c r="A758" s="913"/>
      <c r="B758" s="666"/>
      <c r="C758" s="744" t="s">
        <v>1553</v>
      </c>
      <c r="D758" s="870"/>
      <c r="E758" s="871"/>
      <c r="F758" s="872"/>
      <c r="G758" s="871"/>
      <c r="H758" s="871"/>
      <c r="I758" s="871"/>
      <c r="J758" s="349"/>
      <c r="K758" s="884"/>
      <c r="L758" s="876"/>
      <c r="M758" s="885"/>
      <c r="N758" s="876"/>
      <c r="O758" s="313"/>
      <c r="P758" s="315"/>
      <c r="Q758" s="315"/>
      <c r="R758" s="909"/>
      <c r="S758" s="738">
        <f t="shared" si="38"/>
        <v>4</v>
      </c>
      <c r="T758" s="738" t="str">
        <f t="shared" si="39"/>
        <v>Ud</v>
      </c>
      <c r="U758" s="738"/>
      <c r="V758" s="710"/>
      <c r="W758" s="710"/>
      <c r="Y758" s="710"/>
      <c r="Z758" s="710"/>
    </row>
    <row r="759" spans="1:27" s="318" customFormat="1" x14ac:dyDescent="0.2">
      <c r="A759" s="913"/>
      <c r="B759" s="666"/>
      <c r="C759" s="380"/>
      <c r="D759" s="382">
        <v>19</v>
      </c>
      <c r="E759" s="524" t="s">
        <v>8</v>
      </c>
      <c r="F759" s="675">
        <v>5</v>
      </c>
      <c r="G759" s="381"/>
      <c r="H759" s="524"/>
      <c r="I759" s="292"/>
      <c r="J759" s="383" t="s">
        <v>1564</v>
      </c>
      <c r="K759" s="669"/>
      <c r="L759" s="298"/>
      <c r="M759" s="875"/>
      <c r="N759" s="876">
        <v>1</v>
      </c>
      <c r="O759" s="740"/>
      <c r="P759" s="881"/>
      <c r="Q759" s="315"/>
      <c r="R759" s="909"/>
      <c r="S759" s="738">
        <f t="shared" si="38"/>
        <v>4</v>
      </c>
      <c r="T759" s="738" t="str">
        <f t="shared" si="39"/>
        <v>Ud</v>
      </c>
      <c r="U759" s="738"/>
      <c r="V759" s="710"/>
      <c r="W759" s="710"/>
      <c r="Y759" s="710"/>
      <c r="Z759" s="710"/>
    </row>
    <row r="760" spans="1:27" s="318" customFormat="1" x14ac:dyDescent="0.2">
      <c r="A760" s="913"/>
      <c r="B760" s="666"/>
      <c r="C760" s="380"/>
      <c r="D760" s="382">
        <v>29</v>
      </c>
      <c r="E760" s="524" t="s">
        <v>8</v>
      </c>
      <c r="F760" s="675">
        <v>10</v>
      </c>
      <c r="G760" s="381"/>
      <c r="H760" s="524"/>
      <c r="I760" s="292"/>
      <c r="J760" s="383" t="s">
        <v>1564</v>
      </c>
      <c r="K760" s="669"/>
      <c r="L760" s="298"/>
      <c r="M760" s="875"/>
      <c r="N760" s="876">
        <v>1</v>
      </c>
      <c r="O760" s="740"/>
      <c r="P760" s="881"/>
      <c r="Q760" s="315"/>
      <c r="R760" s="909"/>
      <c r="S760" s="738">
        <f t="shared" si="38"/>
        <v>4</v>
      </c>
      <c r="T760" s="738" t="str">
        <f t="shared" si="39"/>
        <v>Ud</v>
      </c>
      <c r="U760" s="738"/>
      <c r="V760" s="710"/>
      <c r="W760" s="710"/>
      <c r="Y760" s="710"/>
      <c r="Z760" s="710"/>
    </row>
    <row r="761" spans="1:27" s="318" customFormat="1" x14ac:dyDescent="0.2">
      <c r="A761" s="913"/>
      <c r="B761" s="666"/>
      <c r="C761" s="380"/>
      <c r="D761" s="382">
        <v>45</v>
      </c>
      <c r="E761" s="524" t="s">
        <v>8</v>
      </c>
      <c r="F761" s="675">
        <v>0</v>
      </c>
      <c r="G761" s="381"/>
      <c r="H761" s="524"/>
      <c r="I761" s="292"/>
      <c r="J761" s="383" t="s">
        <v>1556</v>
      </c>
      <c r="K761" s="669"/>
      <c r="L761" s="298"/>
      <c r="M761" s="875"/>
      <c r="N761" s="876">
        <v>1</v>
      </c>
      <c r="O761" s="740"/>
      <c r="P761" s="881"/>
      <c r="Q761" s="315"/>
      <c r="R761" s="909"/>
      <c r="S761" s="738">
        <f t="shared" si="38"/>
        <v>4</v>
      </c>
      <c r="T761" s="738" t="str">
        <f t="shared" si="39"/>
        <v>Ud</v>
      </c>
      <c r="U761" s="738"/>
      <c r="V761" s="710"/>
      <c r="W761" s="710"/>
      <c r="Y761" s="710"/>
      <c r="Z761" s="710"/>
    </row>
    <row r="762" spans="1:27" s="318" customFormat="1" x14ac:dyDescent="0.2">
      <c r="A762" s="913"/>
      <c r="B762" s="666"/>
      <c r="C762" s="380"/>
      <c r="D762" s="382">
        <v>55</v>
      </c>
      <c r="E762" s="524" t="s">
        <v>8</v>
      </c>
      <c r="F762" s="675">
        <v>0</v>
      </c>
      <c r="G762" s="381"/>
      <c r="H762" s="524"/>
      <c r="I762" s="292"/>
      <c r="J762" s="383" t="s">
        <v>1556</v>
      </c>
      <c r="K762" s="669"/>
      <c r="L762" s="298"/>
      <c r="M762" s="875"/>
      <c r="N762" s="876">
        <v>1</v>
      </c>
      <c r="O762" s="740"/>
      <c r="P762" s="881"/>
      <c r="Q762" s="315"/>
      <c r="R762" s="909"/>
      <c r="S762" s="738">
        <f t="shared" si="38"/>
        <v>4</v>
      </c>
      <c r="T762" s="738" t="str">
        <f t="shared" si="39"/>
        <v>Ud</v>
      </c>
      <c r="U762" s="738"/>
      <c r="V762" s="710"/>
      <c r="W762" s="710"/>
      <c r="Y762" s="710"/>
      <c r="Z762" s="710"/>
    </row>
    <row r="763" spans="1:27" s="318" customFormat="1" x14ac:dyDescent="0.2">
      <c r="A763" s="899"/>
      <c r="B763" s="353"/>
      <c r="C763" s="354" t="s">
        <v>2</v>
      </c>
      <c r="D763" s="355"/>
      <c r="E763" s="352"/>
      <c r="F763" s="356"/>
      <c r="G763" s="355"/>
      <c r="H763" s="356"/>
      <c r="I763" s="356"/>
      <c r="J763" s="353"/>
      <c r="K763" s="357"/>
      <c r="L763" s="358"/>
      <c r="M763" s="359"/>
      <c r="N763" s="360">
        <f>SUM(N759:N762)</f>
        <v>4</v>
      </c>
      <c r="O763" s="361" t="str">
        <f>IF(MID(B757,1,2)="LG",VLOOKUP(B757,'Compos lug'!J:M,4,FALSE),IF(MID(B757,1,1)="6",VLOOKUP(B757,tranp.!$A$6:$K$38,3,FALSE),VLOOKUP(B757,'DER 10-18'!$A$1:$I$1994,3,FALSE)))</f>
        <v>Ud</v>
      </c>
      <c r="P763" s="362"/>
      <c r="Q763" s="362"/>
      <c r="R763" s="900"/>
      <c r="S763" s="738">
        <f t="shared" si="38"/>
        <v>84658.7</v>
      </c>
      <c r="T763" s="738" t="str">
        <f t="shared" si="39"/>
        <v>M2</v>
      </c>
      <c r="U763" s="738"/>
    </row>
    <row r="764" spans="1:27" s="651" customFormat="1" x14ac:dyDescent="0.2">
      <c r="A764" s="910"/>
      <c r="B764" s="655"/>
      <c r="C764" s="656"/>
      <c r="D764" s="657"/>
      <c r="E764" s="654"/>
      <c r="F764" s="663"/>
      <c r="G764" s="664"/>
      <c r="H764" s="652"/>
      <c r="I764" s="652"/>
      <c r="J764" s="655"/>
      <c r="K764" s="658"/>
      <c r="L764" s="653"/>
      <c r="M764" s="659"/>
      <c r="N764" s="648"/>
      <c r="O764" s="660"/>
      <c r="P764" s="661"/>
      <c r="Q764" s="661"/>
      <c r="R764" s="911"/>
      <c r="S764" s="738">
        <f t="shared" si="38"/>
        <v>84658.7</v>
      </c>
      <c r="T764" s="738" t="str">
        <f t="shared" si="39"/>
        <v>M2</v>
      </c>
      <c r="U764" s="749"/>
      <c r="W764" s="714"/>
      <c r="X764" s="714"/>
      <c r="Y764" s="714"/>
      <c r="Z764" s="714"/>
      <c r="AA764" s="714"/>
    </row>
    <row r="765" spans="1:27" s="662" customFormat="1" x14ac:dyDescent="0.2">
      <c r="A765" s="906">
        <v>3</v>
      </c>
      <c r="B765" s="643"/>
      <c r="C765" s="665" t="s">
        <v>1020</v>
      </c>
      <c r="D765" s="579"/>
      <c r="E765" s="644"/>
      <c r="F765" s="679"/>
      <c r="G765" s="644"/>
      <c r="H765" s="644"/>
      <c r="I765" s="645"/>
      <c r="J765" s="646"/>
      <c r="K765" s="647"/>
      <c r="L765" s="648"/>
      <c r="M765" s="649"/>
      <c r="N765" s="648"/>
      <c r="O765" s="646"/>
      <c r="P765" s="650"/>
      <c r="Q765" s="650"/>
      <c r="R765" s="915"/>
      <c r="S765" s="738">
        <f t="shared" si="38"/>
        <v>84658.7</v>
      </c>
      <c r="T765" s="738" t="str">
        <f t="shared" si="39"/>
        <v>M2</v>
      </c>
      <c r="U765" s="749"/>
      <c r="W765" s="715"/>
      <c r="X765" s="715"/>
      <c r="Y765" s="715"/>
      <c r="Z765" s="715"/>
      <c r="AA765" s="715"/>
    </row>
    <row r="766" spans="1:27" ht="25.5" x14ac:dyDescent="0.2">
      <c r="A766" s="913" t="s">
        <v>267</v>
      </c>
      <c r="B766" s="666">
        <v>40754</v>
      </c>
      <c r="C766" s="347" t="str">
        <f>IF(MID(B766,1,2)="LG",VLOOKUP(B766,'Compos lug'!J:M,3,FALSE),IF(MID(B766,1,1)="6",VLOOKUP(B766,tranp.!$A$4:$K$19,11,FALSE)&amp;" -  XP="&amp;TEXT(T766,"0.000")&amp;" / XR="&amp;TEXT(V766,"0.000"),VLOOKUP(B766,'DER 10-18'!$A$1:$I$1981,2,FALSE)))</f>
        <v>Regularização e compactação do sub-leito (100% P.I.) H = 0,20 m</v>
      </c>
      <c r="D766" s="1059" t="s">
        <v>1000</v>
      </c>
      <c r="E766" s="1060"/>
      <c r="F766" s="1061"/>
      <c r="G766" s="1059" t="s">
        <v>1001</v>
      </c>
      <c r="H766" s="1060"/>
      <c r="I766" s="1061"/>
      <c r="J766" s="349" t="s">
        <v>1222</v>
      </c>
      <c r="K766" s="876" t="s">
        <v>998</v>
      </c>
      <c r="L766" s="876" t="s">
        <v>994</v>
      </c>
      <c r="M766" s="876" t="s">
        <v>1066</v>
      </c>
      <c r="N766" s="876" t="str">
        <f>CONCATENATE("Total (",IF(MID(B766,1,2)="LG",VLOOKUP(B766,'Compos lug'!J:M,4,FALSE),IF(MID(B766,1,1)="6","t",VLOOKUP(B766,'DER 10-18'!$A$1:$I$1981,3,FALSE))),")")</f>
        <v>Total (M2)</v>
      </c>
      <c r="O766" s="313"/>
      <c r="P766" s="315"/>
      <c r="Q766" s="315"/>
      <c r="R766" s="909"/>
      <c r="S766" s="738">
        <f t="shared" si="38"/>
        <v>84658.7</v>
      </c>
      <c r="T766" s="738" t="str">
        <f t="shared" si="39"/>
        <v>M2</v>
      </c>
      <c r="U766" s="738"/>
    </row>
    <row r="767" spans="1:27" x14ac:dyDescent="0.2">
      <c r="A767" s="294"/>
      <c r="B767" s="293"/>
      <c r="C767" s="744" t="s">
        <v>1552</v>
      </c>
      <c r="N767" s="876"/>
      <c r="R767" s="912"/>
      <c r="S767" s="738">
        <f t="shared" si="38"/>
        <v>84658.7</v>
      </c>
      <c r="T767" s="738" t="str">
        <f t="shared" si="39"/>
        <v>M2</v>
      </c>
    </row>
    <row r="768" spans="1:27" x14ac:dyDescent="0.2">
      <c r="A768" s="913"/>
      <c r="B768" s="666"/>
      <c r="C768" s="347"/>
      <c r="D768" s="870">
        <v>0</v>
      </c>
      <c r="E768" s="871" t="s">
        <v>8</v>
      </c>
      <c r="F768" s="667">
        <v>0</v>
      </c>
      <c r="G768" s="871">
        <v>2</v>
      </c>
      <c r="H768" s="871" t="s">
        <v>8</v>
      </c>
      <c r="I768" s="668">
        <v>15</v>
      </c>
      <c r="J768" s="349" t="s">
        <v>1102</v>
      </c>
      <c r="K768" s="876">
        <f t="shared" ref="K768:K805" si="41">(G768*20+I768)-(D768*20+F768)</f>
        <v>55</v>
      </c>
      <c r="L768" s="876">
        <v>6.8</v>
      </c>
      <c r="M768" s="298"/>
      <c r="N768" s="876">
        <f t="shared" ref="N768:N805" si="42">L768*K768</f>
        <v>374</v>
      </c>
      <c r="O768" s="313"/>
      <c r="P768" s="315" t="s">
        <v>1230</v>
      </c>
      <c r="Q768" s="315"/>
      <c r="R768" s="909"/>
      <c r="S768" s="738">
        <f t="shared" si="38"/>
        <v>84658.7</v>
      </c>
      <c r="T768" s="738" t="str">
        <f t="shared" si="39"/>
        <v>M2</v>
      </c>
      <c r="U768" s="738"/>
    </row>
    <row r="769" spans="1:21" x14ac:dyDescent="0.2">
      <c r="A769" s="913"/>
      <c r="B769" s="666"/>
      <c r="C769" s="347"/>
      <c r="D769" s="870">
        <v>11</v>
      </c>
      <c r="E769" s="871" t="s">
        <v>8</v>
      </c>
      <c r="F769" s="667">
        <v>0</v>
      </c>
      <c r="G769" s="871">
        <v>25</v>
      </c>
      <c r="H769" s="871" t="s">
        <v>8</v>
      </c>
      <c r="I769" s="668">
        <v>0</v>
      </c>
      <c r="J769" s="349" t="s">
        <v>1102</v>
      </c>
      <c r="K769" s="876">
        <f t="shared" si="41"/>
        <v>280</v>
      </c>
      <c r="L769" s="876">
        <v>6.8</v>
      </c>
      <c r="M769" s="298"/>
      <c r="N769" s="876">
        <f t="shared" si="42"/>
        <v>1904</v>
      </c>
      <c r="O769" s="313"/>
      <c r="P769" s="315" t="s">
        <v>1230</v>
      </c>
      <c r="Q769" s="315"/>
      <c r="R769" s="909"/>
      <c r="S769" s="738">
        <f t="shared" si="38"/>
        <v>84658.7</v>
      </c>
      <c r="T769" s="738" t="str">
        <f t="shared" si="39"/>
        <v>M2</v>
      </c>
      <c r="U769" s="738"/>
    </row>
    <row r="770" spans="1:21" x14ac:dyDescent="0.2">
      <c r="A770" s="913"/>
      <c r="B770" s="666"/>
      <c r="C770" s="347"/>
      <c r="D770" s="870">
        <v>13</v>
      </c>
      <c r="E770" s="871" t="s">
        <v>8</v>
      </c>
      <c r="F770" s="667">
        <v>0</v>
      </c>
      <c r="G770" s="871">
        <v>23</v>
      </c>
      <c r="H770" s="871" t="s">
        <v>8</v>
      </c>
      <c r="I770" s="668">
        <v>15</v>
      </c>
      <c r="J770" s="349" t="s">
        <v>1101</v>
      </c>
      <c r="K770" s="876">
        <f t="shared" si="41"/>
        <v>215</v>
      </c>
      <c r="L770" s="876">
        <v>6.8</v>
      </c>
      <c r="M770" s="876"/>
      <c r="N770" s="876">
        <f t="shared" si="42"/>
        <v>1462</v>
      </c>
      <c r="O770" s="313"/>
      <c r="P770" s="315" t="s">
        <v>1230</v>
      </c>
      <c r="Q770" s="315"/>
      <c r="R770" s="909"/>
      <c r="S770" s="738">
        <f t="shared" si="38"/>
        <v>84658.7</v>
      </c>
      <c r="T770" s="738" t="str">
        <f t="shared" si="39"/>
        <v>M2</v>
      </c>
      <c r="U770" s="738"/>
    </row>
    <row r="771" spans="1:21" x14ac:dyDescent="0.2">
      <c r="A771" s="913"/>
      <c r="B771" s="666"/>
      <c r="C771" s="347"/>
      <c r="D771" s="870">
        <v>34</v>
      </c>
      <c r="E771" s="871" t="s">
        <v>8</v>
      </c>
      <c r="F771" s="667">
        <v>10</v>
      </c>
      <c r="G771" s="871">
        <v>55</v>
      </c>
      <c r="H771" s="871" t="s">
        <v>8</v>
      </c>
      <c r="I771" s="668">
        <v>10</v>
      </c>
      <c r="J771" s="349" t="s">
        <v>1102</v>
      </c>
      <c r="K771" s="876">
        <f t="shared" si="41"/>
        <v>420</v>
      </c>
      <c r="L771" s="876">
        <v>6.8</v>
      </c>
      <c r="M771" s="298"/>
      <c r="N771" s="876">
        <f t="shared" si="42"/>
        <v>2856</v>
      </c>
      <c r="O771" s="313"/>
      <c r="P771" s="315" t="s">
        <v>1230</v>
      </c>
      <c r="Q771" s="315"/>
      <c r="R771" s="909"/>
      <c r="S771" s="738">
        <f t="shared" si="38"/>
        <v>84658.7</v>
      </c>
      <c r="T771" s="738" t="str">
        <f t="shared" si="39"/>
        <v>M2</v>
      </c>
      <c r="U771" s="738"/>
    </row>
    <row r="772" spans="1:21" x14ac:dyDescent="0.2">
      <c r="A772" s="913"/>
      <c r="B772" s="666"/>
      <c r="C772" s="347"/>
      <c r="D772" s="870">
        <v>35</v>
      </c>
      <c r="E772" s="871" t="s">
        <v>8</v>
      </c>
      <c r="F772" s="667">
        <v>5</v>
      </c>
      <c r="G772" s="871">
        <v>56</v>
      </c>
      <c r="H772" s="871" t="s">
        <v>8</v>
      </c>
      <c r="I772" s="668">
        <v>10</v>
      </c>
      <c r="J772" s="349" t="s">
        <v>1101</v>
      </c>
      <c r="K772" s="876">
        <f t="shared" si="41"/>
        <v>425</v>
      </c>
      <c r="L772" s="876">
        <v>6.8</v>
      </c>
      <c r="M772" s="876"/>
      <c r="N772" s="876">
        <f t="shared" si="42"/>
        <v>2890</v>
      </c>
      <c r="O772" s="313"/>
      <c r="P772" s="315" t="s">
        <v>1230</v>
      </c>
      <c r="Q772" s="315"/>
      <c r="R772" s="909"/>
      <c r="S772" s="738">
        <f t="shared" si="38"/>
        <v>84658.7</v>
      </c>
      <c r="T772" s="738" t="str">
        <f t="shared" si="39"/>
        <v>M2</v>
      </c>
      <c r="U772" s="738"/>
    </row>
    <row r="773" spans="1:21" x14ac:dyDescent="0.2">
      <c r="A773" s="913"/>
      <c r="B773" s="666"/>
      <c r="C773" s="347"/>
      <c r="D773" s="870">
        <v>61</v>
      </c>
      <c r="E773" s="871" t="s">
        <v>8</v>
      </c>
      <c r="F773" s="667">
        <v>0</v>
      </c>
      <c r="G773" s="871">
        <v>86</v>
      </c>
      <c r="H773" s="871" t="s">
        <v>8</v>
      </c>
      <c r="I773" s="668">
        <v>10</v>
      </c>
      <c r="J773" s="349" t="s">
        <v>1102</v>
      </c>
      <c r="K773" s="876">
        <f t="shared" si="41"/>
        <v>510</v>
      </c>
      <c r="L773" s="876">
        <v>6.8</v>
      </c>
      <c r="M773" s="298"/>
      <c r="N773" s="876">
        <f t="shared" si="42"/>
        <v>3468</v>
      </c>
      <c r="O773" s="313"/>
      <c r="P773" s="315" t="s">
        <v>1230</v>
      </c>
      <c r="Q773" s="315"/>
      <c r="R773" s="909"/>
      <c r="S773" s="738">
        <f t="shared" si="38"/>
        <v>84658.7</v>
      </c>
      <c r="T773" s="738" t="str">
        <f t="shared" si="39"/>
        <v>M2</v>
      </c>
      <c r="U773" s="738"/>
    </row>
    <row r="774" spans="1:21" x14ac:dyDescent="0.2">
      <c r="A774" s="913"/>
      <c r="B774" s="666"/>
      <c r="C774" s="347"/>
      <c r="D774" s="870">
        <v>88</v>
      </c>
      <c r="E774" s="871" t="s">
        <v>8</v>
      </c>
      <c r="F774" s="667">
        <v>5</v>
      </c>
      <c r="G774" s="871">
        <v>97</v>
      </c>
      <c r="H774" s="871" t="s">
        <v>8</v>
      </c>
      <c r="I774" s="668">
        <v>0</v>
      </c>
      <c r="J774" s="349" t="s">
        <v>1102</v>
      </c>
      <c r="K774" s="876">
        <f t="shared" si="41"/>
        <v>175</v>
      </c>
      <c r="L774" s="876">
        <v>6.8</v>
      </c>
      <c r="M774" s="298"/>
      <c r="N774" s="876">
        <f t="shared" si="42"/>
        <v>1190</v>
      </c>
      <c r="O774" s="313"/>
      <c r="P774" s="315" t="s">
        <v>1230</v>
      </c>
      <c r="Q774" s="315"/>
      <c r="R774" s="909"/>
      <c r="S774" s="738">
        <f t="shared" si="38"/>
        <v>84658.7</v>
      </c>
      <c r="T774" s="738" t="str">
        <f t="shared" si="39"/>
        <v>M2</v>
      </c>
      <c r="U774" s="738"/>
    </row>
    <row r="775" spans="1:21" x14ac:dyDescent="0.2">
      <c r="A775" s="913"/>
      <c r="B775" s="666"/>
      <c r="C775" s="347"/>
      <c r="D775" s="870">
        <v>101</v>
      </c>
      <c r="E775" s="871" t="s">
        <v>8</v>
      </c>
      <c r="F775" s="667">
        <v>0</v>
      </c>
      <c r="G775" s="871">
        <v>111</v>
      </c>
      <c r="H775" s="871" t="s">
        <v>8</v>
      </c>
      <c r="I775" s="668">
        <v>0</v>
      </c>
      <c r="J775" s="349" t="s">
        <v>1101</v>
      </c>
      <c r="K775" s="876">
        <f t="shared" si="41"/>
        <v>200</v>
      </c>
      <c r="L775" s="876">
        <v>6.8</v>
      </c>
      <c r="M775" s="876"/>
      <c r="N775" s="876">
        <f t="shared" si="42"/>
        <v>1360</v>
      </c>
      <c r="O775" s="313"/>
      <c r="P775" s="315" t="s">
        <v>1230</v>
      </c>
      <c r="Q775" s="315"/>
      <c r="R775" s="909"/>
      <c r="S775" s="738">
        <f t="shared" si="38"/>
        <v>84658.7</v>
      </c>
      <c r="T775" s="738" t="str">
        <f t="shared" si="39"/>
        <v>M2</v>
      </c>
      <c r="U775" s="738"/>
    </row>
    <row r="776" spans="1:21" x14ac:dyDescent="0.2">
      <c r="A776" s="913"/>
      <c r="B776" s="666"/>
      <c r="C776" s="347"/>
      <c r="D776" s="870">
        <v>102</v>
      </c>
      <c r="E776" s="871" t="s">
        <v>8</v>
      </c>
      <c r="F776" s="667">
        <v>5</v>
      </c>
      <c r="G776" s="871">
        <v>117</v>
      </c>
      <c r="H776" s="871" t="s">
        <v>8</v>
      </c>
      <c r="I776" s="668">
        <v>0</v>
      </c>
      <c r="J776" s="349" t="s">
        <v>1102</v>
      </c>
      <c r="K776" s="876">
        <f t="shared" si="41"/>
        <v>295</v>
      </c>
      <c r="L776" s="876">
        <v>6.8</v>
      </c>
      <c r="M776" s="298"/>
      <c r="N776" s="876">
        <f t="shared" si="42"/>
        <v>2006</v>
      </c>
      <c r="O776" s="313"/>
      <c r="P776" s="315" t="s">
        <v>1230</v>
      </c>
      <c r="Q776" s="315"/>
      <c r="R776" s="909"/>
      <c r="S776" s="738">
        <f t="shared" si="38"/>
        <v>84658.7</v>
      </c>
      <c r="T776" s="738" t="str">
        <f t="shared" si="39"/>
        <v>M2</v>
      </c>
      <c r="U776" s="738"/>
    </row>
    <row r="777" spans="1:21" x14ac:dyDescent="0.2">
      <c r="A777" s="913"/>
      <c r="B777" s="666"/>
      <c r="C777" s="347"/>
      <c r="D777" s="870">
        <v>147</v>
      </c>
      <c r="E777" s="871" t="s">
        <v>8</v>
      </c>
      <c r="F777" s="667">
        <v>5</v>
      </c>
      <c r="G777" s="871">
        <v>153</v>
      </c>
      <c r="H777" s="871" t="s">
        <v>8</v>
      </c>
      <c r="I777" s="668">
        <v>0</v>
      </c>
      <c r="J777" s="349" t="s">
        <v>1102</v>
      </c>
      <c r="K777" s="876">
        <f t="shared" si="41"/>
        <v>115</v>
      </c>
      <c r="L777" s="876">
        <v>6.8</v>
      </c>
      <c r="M777" s="298"/>
      <c r="N777" s="876">
        <f t="shared" si="42"/>
        <v>782</v>
      </c>
      <c r="O777" s="313"/>
      <c r="P777" s="315" t="s">
        <v>1230</v>
      </c>
      <c r="Q777" s="315"/>
      <c r="R777" s="909"/>
      <c r="S777" s="738">
        <f t="shared" si="38"/>
        <v>84658.7</v>
      </c>
      <c r="T777" s="738" t="str">
        <f t="shared" si="39"/>
        <v>M2</v>
      </c>
      <c r="U777" s="738"/>
    </row>
    <row r="778" spans="1:21" x14ac:dyDescent="0.2">
      <c r="A778" s="913"/>
      <c r="B778" s="666"/>
      <c r="C778" s="347"/>
      <c r="D778" s="870">
        <v>148</v>
      </c>
      <c r="E778" s="871" t="s">
        <v>8</v>
      </c>
      <c r="F778" s="667">
        <v>0</v>
      </c>
      <c r="G778" s="871">
        <v>152</v>
      </c>
      <c r="H778" s="871" t="s">
        <v>8</v>
      </c>
      <c r="I778" s="668">
        <v>10</v>
      </c>
      <c r="J778" s="349" t="s">
        <v>1101</v>
      </c>
      <c r="K778" s="876">
        <f t="shared" si="41"/>
        <v>90</v>
      </c>
      <c r="L778" s="876">
        <v>6.8</v>
      </c>
      <c r="M778" s="876"/>
      <c r="N778" s="876">
        <f t="shared" si="42"/>
        <v>612</v>
      </c>
      <c r="O778" s="313"/>
      <c r="P778" s="315" t="s">
        <v>1230</v>
      </c>
      <c r="Q778" s="315"/>
      <c r="R778" s="909"/>
      <c r="S778" s="738">
        <f t="shared" si="38"/>
        <v>84658.7</v>
      </c>
      <c r="T778" s="738" t="str">
        <f t="shared" si="39"/>
        <v>M2</v>
      </c>
      <c r="U778" s="738"/>
    </row>
    <row r="779" spans="1:21" x14ac:dyDescent="0.2">
      <c r="A779" s="913"/>
      <c r="B779" s="666"/>
      <c r="C779" s="580"/>
      <c r="D779" s="870">
        <v>159</v>
      </c>
      <c r="E779" s="871" t="s">
        <v>8</v>
      </c>
      <c r="F779" s="667">
        <v>0</v>
      </c>
      <c r="G779" s="871">
        <v>167</v>
      </c>
      <c r="H779" s="871" t="s">
        <v>8</v>
      </c>
      <c r="I779" s="668">
        <v>0</v>
      </c>
      <c r="J779" s="349" t="s">
        <v>1101</v>
      </c>
      <c r="K779" s="876">
        <f t="shared" si="41"/>
        <v>160</v>
      </c>
      <c r="L779" s="876">
        <v>6.8</v>
      </c>
      <c r="M779" s="876"/>
      <c r="N779" s="876">
        <f t="shared" si="42"/>
        <v>1088</v>
      </c>
      <c r="O779" s="313"/>
      <c r="P779" s="315" t="s">
        <v>1230</v>
      </c>
      <c r="Q779" s="315"/>
      <c r="R779" s="909"/>
      <c r="S779" s="738">
        <f t="shared" si="38"/>
        <v>84658.7</v>
      </c>
      <c r="T779" s="738" t="str">
        <f t="shared" si="39"/>
        <v>M2</v>
      </c>
      <c r="U779" s="738"/>
    </row>
    <row r="780" spans="1:21" x14ac:dyDescent="0.2">
      <c r="A780" s="913"/>
      <c r="B780" s="666"/>
      <c r="C780" s="580"/>
      <c r="D780" s="870">
        <v>159</v>
      </c>
      <c r="E780" s="871" t="s">
        <v>8</v>
      </c>
      <c r="F780" s="667">
        <v>10</v>
      </c>
      <c r="G780" s="871">
        <v>167</v>
      </c>
      <c r="H780" s="871" t="s">
        <v>8</v>
      </c>
      <c r="I780" s="668">
        <v>0</v>
      </c>
      <c r="J780" s="349" t="s">
        <v>1102</v>
      </c>
      <c r="K780" s="876">
        <f t="shared" si="41"/>
        <v>150</v>
      </c>
      <c r="L780" s="876">
        <v>6.8</v>
      </c>
      <c r="M780" s="298"/>
      <c r="N780" s="876">
        <f t="shared" si="42"/>
        <v>1020</v>
      </c>
      <c r="O780" s="313"/>
      <c r="P780" s="315" t="s">
        <v>1230</v>
      </c>
      <c r="Q780" s="315"/>
      <c r="R780" s="909"/>
      <c r="S780" s="738">
        <f t="shared" si="38"/>
        <v>84658.7</v>
      </c>
      <c r="T780" s="738" t="str">
        <f t="shared" si="39"/>
        <v>M2</v>
      </c>
      <c r="U780" s="738"/>
    </row>
    <row r="781" spans="1:21" x14ac:dyDescent="0.2">
      <c r="A781" s="913"/>
      <c r="B781" s="666"/>
      <c r="C781" s="580"/>
      <c r="D781" s="870">
        <v>173</v>
      </c>
      <c r="E781" s="871" t="s">
        <v>8</v>
      </c>
      <c r="F781" s="667">
        <v>10</v>
      </c>
      <c r="G781" s="871">
        <v>179</v>
      </c>
      <c r="H781" s="871" t="s">
        <v>8</v>
      </c>
      <c r="I781" s="668">
        <v>10</v>
      </c>
      <c r="J781" s="349" t="s">
        <v>1101</v>
      </c>
      <c r="K781" s="876">
        <f t="shared" si="41"/>
        <v>120</v>
      </c>
      <c r="L781" s="876">
        <v>6.8</v>
      </c>
      <c r="M781" s="876"/>
      <c r="N781" s="876">
        <f t="shared" si="42"/>
        <v>816</v>
      </c>
      <c r="O781" s="313"/>
      <c r="P781" s="315" t="s">
        <v>1230</v>
      </c>
      <c r="Q781" s="315"/>
      <c r="R781" s="909"/>
      <c r="S781" s="738">
        <f t="shared" si="38"/>
        <v>84658.7</v>
      </c>
      <c r="T781" s="738" t="str">
        <f t="shared" si="39"/>
        <v>M2</v>
      </c>
      <c r="U781" s="738"/>
    </row>
    <row r="782" spans="1:21" x14ac:dyDescent="0.2">
      <c r="A782" s="913"/>
      <c r="B782" s="666"/>
      <c r="C782" s="580"/>
      <c r="D782" s="870">
        <v>173</v>
      </c>
      <c r="E782" s="871" t="s">
        <v>8</v>
      </c>
      <c r="F782" s="667">
        <v>0</v>
      </c>
      <c r="G782" s="871">
        <v>180</v>
      </c>
      <c r="H782" s="871" t="s">
        <v>8</v>
      </c>
      <c r="I782" s="668">
        <v>10</v>
      </c>
      <c r="J782" s="349" t="s">
        <v>1102</v>
      </c>
      <c r="K782" s="876">
        <f t="shared" si="41"/>
        <v>150</v>
      </c>
      <c r="L782" s="876">
        <v>6.8</v>
      </c>
      <c r="M782" s="298"/>
      <c r="N782" s="876">
        <f t="shared" si="42"/>
        <v>1020</v>
      </c>
      <c r="O782" s="313"/>
      <c r="P782" s="315" t="s">
        <v>1230</v>
      </c>
      <c r="Q782" s="315"/>
      <c r="R782" s="909"/>
      <c r="S782" s="738">
        <f t="shared" si="38"/>
        <v>84658.7</v>
      </c>
      <c r="T782" s="738" t="str">
        <f t="shared" si="39"/>
        <v>M2</v>
      </c>
      <c r="U782" s="738"/>
    </row>
    <row r="783" spans="1:21" x14ac:dyDescent="0.2">
      <c r="A783" s="913"/>
      <c r="B783" s="666"/>
      <c r="C783" s="580"/>
      <c r="D783" s="870">
        <v>188</v>
      </c>
      <c r="E783" s="871" t="s">
        <v>8</v>
      </c>
      <c r="F783" s="667">
        <v>10</v>
      </c>
      <c r="G783" s="871">
        <v>196</v>
      </c>
      <c r="H783" s="871" t="s">
        <v>8</v>
      </c>
      <c r="I783" s="668">
        <v>15</v>
      </c>
      <c r="J783" s="349" t="s">
        <v>1102</v>
      </c>
      <c r="K783" s="876">
        <f t="shared" si="41"/>
        <v>165</v>
      </c>
      <c r="L783" s="876">
        <v>6.8</v>
      </c>
      <c r="M783" s="298"/>
      <c r="N783" s="876">
        <f t="shared" si="42"/>
        <v>1122</v>
      </c>
      <c r="O783" s="313"/>
      <c r="P783" s="315" t="s">
        <v>1230</v>
      </c>
      <c r="Q783" s="315"/>
      <c r="R783" s="909"/>
      <c r="S783" s="738">
        <f t="shared" si="38"/>
        <v>84658.7</v>
      </c>
      <c r="T783" s="738" t="str">
        <f t="shared" si="39"/>
        <v>M2</v>
      </c>
      <c r="U783" s="738"/>
    </row>
    <row r="784" spans="1:21" x14ac:dyDescent="0.2">
      <c r="A784" s="913"/>
      <c r="B784" s="666"/>
      <c r="C784" s="580"/>
      <c r="D784" s="870">
        <v>190</v>
      </c>
      <c r="E784" s="871" t="s">
        <v>8</v>
      </c>
      <c r="F784" s="667">
        <v>0</v>
      </c>
      <c r="G784" s="871">
        <v>197</v>
      </c>
      <c r="H784" s="871" t="s">
        <v>8</v>
      </c>
      <c r="I784" s="668">
        <v>0</v>
      </c>
      <c r="J784" s="349" t="s">
        <v>1101</v>
      </c>
      <c r="K784" s="876">
        <f t="shared" si="41"/>
        <v>140</v>
      </c>
      <c r="L784" s="876">
        <v>6.8</v>
      </c>
      <c r="M784" s="876"/>
      <c r="N784" s="876">
        <f t="shared" si="42"/>
        <v>952</v>
      </c>
      <c r="O784" s="313"/>
      <c r="P784" s="315" t="s">
        <v>1230</v>
      </c>
      <c r="Q784" s="315"/>
      <c r="R784" s="909"/>
      <c r="S784" s="738">
        <f t="shared" si="38"/>
        <v>84658.7</v>
      </c>
      <c r="T784" s="738" t="str">
        <f t="shared" si="39"/>
        <v>M2</v>
      </c>
      <c r="U784" s="738"/>
    </row>
    <row r="785" spans="1:21" x14ac:dyDescent="0.2">
      <c r="A785" s="913"/>
      <c r="B785" s="666"/>
      <c r="C785" s="580"/>
      <c r="D785" s="870">
        <v>203</v>
      </c>
      <c r="E785" s="871" t="s">
        <v>8</v>
      </c>
      <c r="F785" s="667">
        <v>0</v>
      </c>
      <c r="G785" s="871">
        <v>206</v>
      </c>
      <c r="H785" s="871" t="s">
        <v>8</v>
      </c>
      <c r="I785" s="668">
        <v>15</v>
      </c>
      <c r="J785" s="349" t="s">
        <v>1101</v>
      </c>
      <c r="K785" s="876">
        <f t="shared" si="41"/>
        <v>75</v>
      </c>
      <c r="L785" s="876">
        <v>6.8</v>
      </c>
      <c r="M785" s="876"/>
      <c r="N785" s="876">
        <f t="shared" si="42"/>
        <v>510</v>
      </c>
      <c r="O785" s="313"/>
      <c r="P785" s="315" t="s">
        <v>1230</v>
      </c>
      <c r="Q785" s="315"/>
      <c r="R785" s="909"/>
      <c r="S785" s="738">
        <f t="shared" si="38"/>
        <v>84658.7</v>
      </c>
      <c r="T785" s="738" t="str">
        <f t="shared" si="39"/>
        <v>M2</v>
      </c>
      <c r="U785" s="738"/>
    </row>
    <row r="786" spans="1:21" x14ac:dyDescent="0.2">
      <c r="A786" s="913"/>
      <c r="B786" s="666"/>
      <c r="C786" s="580"/>
      <c r="D786" s="870">
        <v>203</v>
      </c>
      <c r="E786" s="871" t="s">
        <v>8</v>
      </c>
      <c r="F786" s="667">
        <v>0</v>
      </c>
      <c r="G786" s="871">
        <v>208</v>
      </c>
      <c r="H786" s="871" t="s">
        <v>8</v>
      </c>
      <c r="I786" s="668">
        <v>5</v>
      </c>
      <c r="J786" s="349" t="s">
        <v>1102</v>
      </c>
      <c r="K786" s="876">
        <f t="shared" si="41"/>
        <v>105</v>
      </c>
      <c r="L786" s="876">
        <v>6.8</v>
      </c>
      <c r="M786" s="298"/>
      <c r="N786" s="876">
        <f t="shared" si="42"/>
        <v>714</v>
      </c>
      <c r="O786" s="313"/>
      <c r="P786" s="315" t="s">
        <v>1230</v>
      </c>
      <c r="Q786" s="315"/>
      <c r="R786" s="909"/>
      <c r="S786" s="738">
        <f t="shared" si="38"/>
        <v>84658.7</v>
      </c>
      <c r="T786" s="738" t="str">
        <f t="shared" si="39"/>
        <v>M2</v>
      </c>
      <c r="U786" s="738"/>
    </row>
    <row r="787" spans="1:21" x14ac:dyDescent="0.2">
      <c r="A787" s="913"/>
      <c r="B787" s="666"/>
      <c r="C787" s="580"/>
      <c r="D787" s="870">
        <v>208</v>
      </c>
      <c r="E787" s="871" t="s">
        <v>8</v>
      </c>
      <c r="F787" s="667">
        <v>0</v>
      </c>
      <c r="G787" s="871">
        <v>210</v>
      </c>
      <c r="H787" s="871" t="s">
        <v>8</v>
      </c>
      <c r="I787" s="668">
        <v>10</v>
      </c>
      <c r="J787" s="349" t="s">
        <v>1101</v>
      </c>
      <c r="K787" s="876">
        <f t="shared" si="41"/>
        <v>50</v>
      </c>
      <c r="L787" s="876">
        <v>6.8</v>
      </c>
      <c r="M787" s="876"/>
      <c r="N787" s="876">
        <f t="shared" si="42"/>
        <v>340</v>
      </c>
      <c r="O787" s="313"/>
      <c r="P787" s="315" t="s">
        <v>1230</v>
      </c>
      <c r="Q787" s="315"/>
      <c r="R787" s="909"/>
      <c r="S787" s="738">
        <f t="shared" si="38"/>
        <v>84658.7</v>
      </c>
      <c r="T787" s="738" t="str">
        <f t="shared" si="39"/>
        <v>M2</v>
      </c>
      <c r="U787" s="738"/>
    </row>
    <row r="788" spans="1:21" x14ac:dyDescent="0.2">
      <c r="A788" s="913"/>
      <c r="B788" s="666"/>
      <c r="C788" s="580"/>
      <c r="D788" s="870">
        <v>209</v>
      </c>
      <c r="E788" s="871" t="s">
        <v>8</v>
      </c>
      <c r="F788" s="667">
        <v>10</v>
      </c>
      <c r="G788" s="871">
        <v>214</v>
      </c>
      <c r="H788" s="871" t="s">
        <v>8</v>
      </c>
      <c r="I788" s="668">
        <v>5</v>
      </c>
      <c r="J788" s="349" t="s">
        <v>1102</v>
      </c>
      <c r="K788" s="876">
        <f t="shared" si="41"/>
        <v>95</v>
      </c>
      <c r="L788" s="876">
        <v>6.8</v>
      </c>
      <c r="M788" s="298"/>
      <c r="N788" s="876">
        <f t="shared" si="42"/>
        <v>646</v>
      </c>
      <c r="O788" s="313"/>
      <c r="P788" s="315" t="s">
        <v>1230</v>
      </c>
      <c r="Q788" s="315"/>
      <c r="R788" s="909"/>
      <c r="S788" s="738">
        <f t="shared" si="38"/>
        <v>84658.7</v>
      </c>
      <c r="T788" s="738" t="str">
        <f t="shared" si="39"/>
        <v>M2</v>
      </c>
      <c r="U788" s="738"/>
    </row>
    <row r="789" spans="1:21" x14ac:dyDescent="0.2">
      <c r="A789" s="913"/>
      <c r="B789" s="666"/>
      <c r="C789" s="580"/>
      <c r="D789" s="870">
        <v>224</v>
      </c>
      <c r="E789" s="871" t="s">
        <v>8</v>
      </c>
      <c r="F789" s="667">
        <v>10</v>
      </c>
      <c r="G789" s="871">
        <v>234</v>
      </c>
      <c r="H789" s="871" t="s">
        <v>8</v>
      </c>
      <c r="I789" s="668">
        <v>5</v>
      </c>
      <c r="J789" s="349" t="s">
        <v>1102</v>
      </c>
      <c r="K789" s="876">
        <f t="shared" si="41"/>
        <v>195</v>
      </c>
      <c r="L789" s="876">
        <v>6.8</v>
      </c>
      <c r="M789" s="298"/>
      <c r="N789" s="876">
        <f t="shared" si="42"/>
        <v>1326</v>
      </c>
      <c r="O789" s="313"/>
      <c r="P789" s="315" t="s">
        <v>1230</v>
      </c>
      <c r="Q789" s="315"/>
      <c r="R789" s="909"/>
      <c r="S789" s="738">
        <f t="shared" si="38"/>
        <v>84658.7</v>
      </c>
      <c r="T789" s="738" t="str">
        <f t="shared" si="39"/>
        <v>M2</v>
      </c>
      <c r="U789" s="738"/>
    </row>
    <row r="790" spans="1:21" x14ac:dyDescent="0.2">
      <c r="A790" s="913"/>
      <c r="B790" s="666"/>
      <c r="C790" s="580"/>
      <c r="D790" s="870">
        <v>226</v>
      </c>
      <c r="E790" s="871" t="s">
        <v>8</v>
      </c>
      <c r="F790" s="667">
        <v>15</v>
      </c>
      <c r="G790" s="871">
        <v>232</v>
      </c>
      <c r="H790" s="871" t="s">
        <v>8</v>
      </c>
      <c r="I790" s="668">
        <v>10</v>
      </c>
      <c r="J790" s="349" t="s">
        <v>1101</v>
      </c>
      <c r="K790" s="876">
        <f t="shared" si="41"/>
        <v>115</v>
      </c>
      <c r="L790" s="876">
        <v>6.8</v>
      </c>
      <c r="M790" s="876"/>
      <c r="N790" s="876">
        <f t="shared" si="42"/>
        <v>782</v>
      </c>
      <c r="O790" s="313"/>
      <c r="P790" s="315" t="s">
        <v>1230</v>
      </c>
      <c r="Q790" s="315"/>
      <c r="R790" s="909"/>
      <c r="S790" s="738">
        <f t="shared" si="38"/>
        <v>84658.7</v>
      </c>
      <c r="T790" s="738" t="str">
        <f t="shared" si="39"/>
        <v>M2</v>
      </c>
      <c r="U790" s="738"/>
    </row>
    <row r="791" spans="1:21" x14ac:dyDescent="0.2">
      <c r="A791" s="913"/>
      <c r="B791" s="666"/>
      <c r="C791" s="580"/>
      <c r="D791" s="870">
        <v>250</v>
      </c>
      <c r="E791" s="871" t="s">
        <v>8</v>
      </c>
      <c r="F791" s="667">
        <v>0</v>
      </c>
      <c r="G791" s="871">
        <v>264</v>
      </c>
      <c r="H791" s="871" t="s">
        <v>8</v>
      </c>
      <c r="I791" s="668">
        <v>10</v>
      </c>
      <c r="J791" s="349" t="s">
        <v>1101</v>
      </c>
      <c r="K791" s="876">
        <f t="shared" si="41"/>
        <v>290</v>
      </c>
      <c r="L791" s="876">
        <v>6.8</v>
      </c>
      <c r="M791" s="876"/>
      <c r="N791" s="876">
        <f t="shared" si="42"/>
        <v>1972</v>
      </c>
      <c r="O791" s="313"/>
      <c r="P791" s="315" t="s">
        <v>1230</v>
      </c>
      <c r="Q791" s="315"/>
      <c r="R791" s="909"/>
      <c r="S791" s="738">
        <f t="shared" si="38"/>
        <v>84658.7</v>
      </c>
      <c r="T791" s="738" t="str">
        <f t="shared" si="39"/>
        <v>M2</v>
      </c>
      <c r="U791" s="738"/>
    </row>
    <row r="792" spans="1:21" x14ac:dyDescent="0.2">
      <c r="A792" s="913"/>
      <c r="B792" s="666"/>
      <c r="C792" s="580"/>
      <c r="D792" s="870">
        <v>251</v>
      </c>
      <c r="E792" s="871" t="s">
        <v>8</v>
      </c>
      <c r="F792" s="667">
        <v>0</v>
      </c>
      <c r="G792" s="871">
        <v>265</v>
      </c>
      <c r="H792" s="871" t="s">
        <v>8</v>
      </c>
      <c r="I792" s="668">
        <v>10</v>
      </c>
      <c r="J792" s="349" t="s">
        <v>1102</v>
      </c>
      <c r="K792" s="876">
        <f t="shared" si="41"/>
        <v>290</v>
      </c>
      <c r="L792" s="876">
        <v>6.8</v>
      </c>
      <c r="M792" s="298"/>
      <c r="N792" s="876">
        <f t="shared" si="42"/>
        <v>1972</v>
      </c>
      <c r="O792" s="313"/>
      <c r="P792" s="315" t="s">
        <v>1230</v>
      </c>
      <c r="Q792" s="315"/>
      <c r="R792" s="909"/>
      <c r="S792" s="738">
        <f t="shared" si="38"/>
        <v>84658.7</v>
      </c>
      <c r="T792" s="738" t="str">
        <f t="shared" si="39"/>
        <v>M2</v>
      </c>
      <c r="U792" s="738"/>
    </row>
    <row r="793" spans="1:21" x14ac:dyDescent="0.2">
      <c r="A793" s="913"/>
      <c r="B793" s="666"/>
      <c r="C793" s="580"/>
      <c r="D793" s="870">
        <v>270</v>
      </c>
      <c r="E793" s="871" t="s">
        <v>8</v>
      </c>
      <c r="F793" s="667">
        <v>10</v>
      </c>
      <c r="G793" s="871">
        <v>272</v>
      </c>
      <c r="H793" s="871" t="s">
        <v>8</v>
      </c>
      <c r="I793" s="668">
        <v>10</v>
      </c>
      <c r="J793" s="349" t="s">
        <v>1102</v>
      </c>
      <c r="K793" s="876">
        <f t="shared" si="41"/>
        <v>40</v>
      </c>
      <c r="L793" s="876">
        <v>6.8</v>
      </c>
      <c r="M793" s="298"/>
      <c r="N793" s="876">
        <f t="shared" si="42"/>
        <v>272</v>
      </c>
      <c r="O793" s="313"/>
      <c r="P793" s="315" t="s">
        <v>1230</v>
      </c>
      <c r="Q793" s="315"/>
      <c r="R793" s="909"/>
      <c r="S793" s="738">
        <f t="shared" si="38"/>
        <v>84658.7</v>
      </c>
      <c r="T793" s="738" t="str">
        <f t="shared" si="39"/>
        <v>M2</v>
      </c>
      <c r="U793" s="738"/>
    </row>
    <row r="794" spans="1:21" x14ac:dyDescent="0.2">
      <c r="A794" s="913"/>
      <c r="B794" s="666"/>
      <c r="C794" s="580"/>
      <c r="D794" s="870">
        <v>277</v>
      </c>
      <c r="E794" s="871" t="s">
        <v>8</v>
      </c>
      <c r="F794" s="667">
        <v>10</v>
      </c>
      <c r="G794" s="871">
        <v>284</v>
      </c>
      <c r="H794" s="871" t="s">
        <v>8</v>
      </c>
      <c r="I794" s="668">
        <v>15</v>
      </c>
      <c r="J794" s="349" t="s">
        <v>1102</v>
      </c>
      <c r="K794" s="876">
        <f t="shared" si="41"/>
        <v>145</v>
      </c>
      <c r="L794" s="876">
        <v>6.8</v>
      </c>
      <c r="M794" s="298"/>
      <c r="N794" s="876">
        <f t="shared" si="42"/>
        <v>986</v>
      </c>
      <c r="O794" s="313"/>
      <c r="P794" s="315" t="s">
        <v>1230</v>
      </c>
      <c r="Q794" s="315"/>
      <c r="R794" s="909"/>
      <c r="S794" s="738">
        <f t="shared" si="38"/>
        <v>84658.7</v>
      </c>
      <c r="T794" s="738" t="str">
        <f t="shared" si="39"/>
        <v>M2</v>
      </c>
      <c r="U794" s="738"/>
    </row>
    <row r="795" spans="1:21" x14ac:dyDescent="0.2">
      <c r="A795" s="913"/>
      <c r="B795" s="666"/>
      <c r="C795" s="580"/>
      <c r="D795" s="870">
        <v>278</v>
      </c>
      <c r="E795" s="871" t="s">
        <v>8</v>
      </c>
      <c r="F795" s="667">
        <v>15</v>
      </c>
      <c r="G795" s="871">
        <v>284</v>
      </c>
      <c r="H795" s="871" t="s">
        <v>8</v>
      </c>
      <c r="I795" s="668">
        <v>15</v>
      </c>
      <c r="J795" s="349" t="s">
        <v>1101</v>
      </c>
      <c r="K795" s="876">
        <f t="shared" si="41"/>
        <v>120</v>
      </c>
      <c r="L795" s="876">
        <v>6.8</v>
      </c>
      <c r="M795" s="298"/>
      <c r="N795" s="876">
        <f t="shared" si="42"/>
        <v>816</v>
      </c>
      <c r="O795" s="313"/>
      <c r="P795" s="315" t="s">
        <v>1230</v>
      </c>
      <c r="Q795" s="315"/>
      <c r="R795" s="909"/>
      <c r="S795" s="738">
        <f t="shared" ref="S795:S858" si="43">VLOOKUP("Total",C796:O2481,12,FALSE)</f>
        <v>84658.7</v>
      </c>
      <c r="T795" s="738" t="str">
        <f t="shared" ref="T795:T858" si="44">VLOOKUP("Total",C796:O2481,13,FALSE)</f>
        <v>M2</v>
      </c>
      <c r="U795" s="738"/>
    </row>
    <row r="796" spans="1:21" x14ac:dyDescent="0.2">
      <c r="A796" s="913"/>
      <c r="B796" s="666"/>
      <c r="C796" s="580"/>
      <c r="D796" s="870">
        <v>382</v>
      </c>
      <c r="E796" s="871" t="s">
        <v>8</v>
      </c>
      <c r="F796" s="667">
        <v>0</v>
      </c>
      <c r="G796" s="871">
        <v>428</v>
      </c>
      <c r="H796" s="871" t="s">
        <v>8</v>
      </c>
      <c r="I796" s="668">
        <v>0</v>
      </c>
      <c r="J796" s="349" t="s">
        <v>1102</v>
      </c>
      <c r="K796" s="876">
        <f t="shared" si="41"/>
        <v>920</v>
      </c>
      <c r="L796" s="876">
        <v>6.8</v>
      </c>
      <c r="M796" s="298"/>
      <c r="N796" s="876">
        <f t="shared" si="42"/>
        <v>6256</v>
      </c>
      <c r="O796" s="313"/>
      <c r="P796" s="315" t="s">
        <v>1230</v>
      </c>
      <c r="Q796" s="315"/>
      <c r="R796" s="909"/>
      <c r="S796" s="738">
        <f t="shared" si="43"/>
        <v>84658.7</v>
      </c>
      <c r="T796" s="738" t="str">
        <f t="shared" si="44"/>
        <v>M2</v>
      </c>
      <c r="U796" s="738"/>
    </row>
    <row r="797" spans="1:21" x14ac:dyDescent="0.2">
      <c r="A797" s="913"/>
      <c r="B797" s="666"/>
      <c r="C797" s="580"/>
      <c r="D797" s="870">
        <v>383</v>
      </c>
      <c r="E797" s="871" t="s">
        <v>8</v>
      </c>
      <c r="F797" s="667">
        <v>0</v>
      </c>
      <c r="G797" s="871">
        <v>430</v>
      </c>
      <c r="H797" s="871" t="s">
        <v>8</v>
      </c>
      <c r="I797" s="668">
        <v>10</v>
      </c>
      <c r="J797" s="349" t="s">
        <v>1101</v>
      </c>
      <c r="K797" s="876">
        <f t="shared" si="41"/>
        <v>950</v>
      </c>
      <c r="L797" s="876">
        <v>6.8</v>
      </c>
      <c r="M797" s="298"/>
      <c r="N797" s="876">
        <f t="shared" si="42"/>
        <v>6460</v>
      </c>
      <c r="O797" s="313"/>
      <c r="P797" s="315" t="s">
        <v>1230</v>
      </c>
      <c r="Q797" s="315"/>
      <c r="R797" s="909"/>
      <c r="S797" s="738">
        <f t="shared" si="43"/>
        <v>84658.7</v>
      </c>
      <c r="T797" s="738" t="str">
        <f t="shared" si="44"/>
        <v>M2</v>
      </c>
      <c r="U797" s="738"/>
    </row>
    <row r="798" spans="1:21" x14ac:dyDescent="0.2">
      <c r="A798" s="913"/>
      <c r="B798" s="666"/>
      <c r="C798" s="580"/>
      <c r="D798" s="870">
        <v>431</v>
      </c>
      <c r="E798" s="871" t="s">
        <v>8</v>
      </c>
      <c r="F798" s="667">
        <v>15</v>
      </c>
      <c r="G798" s="871">
        <v>439</v>
      </c>
      <c r="H798" s="871" t="s">
        <v>8</v>
      </c>
      <c r="I798" s="668">
        <v>0</v>
      </c>
      <c r="J798" s="349" t="s">
        <v>1101</v>
      </c>
      <c r="K798" s="876">
        <f t="shared" si="41"/>
        <v>145</v>
      </c>
      <c r="L798" s="876">
        <v>6.8</v>
      </c>
      <c r="M798" s="298"/>
      <c r="N798" s="876">
        <f t="shared" si="42"/>
        <v>986</v>
      </c>
      <c r="O798" s="313"/>
      <c r="P798" s="315" t="s">
        <v>1230</v>
      </c>
      <c r="Q798" s="315"/>
      <c r="R798" s="909"/>
      <c r="S798" s="738">
        <f t="shared" si="43"/>
        <v>84658.7</v>
      </c>
      <c r="T798" s="738" t="str">
        <f t="shared" si="44"/>
        <v>M2</v>
      </c>
      <c r="U798" s="738"/>
    </row>
    <row r="799" spans="1:21" x14ac:dyDescent="0.2">
      <c r="A799" s="913"/>
      <c r="B799" s="666"/>
      <c r="C799" s="580"/>
      <c r="D799" s="870">
        <v>432</v>
      </c>
      <c r="E799" s="871" t="s">
        <v>8</v>
      </c>
      <c r="F799" s="667">
        <v>10</v>
      </c>
      <c r="G799" s="871">
        <v>440</v>
      </c>
      <c r="H799" s="871" t="s">
        <v>8</v>
      </c>
      <c r="I799" s="668">
        <v>0</v>
      </c>
      <c r="J799" s="349" t="s">
        <v>1102</v>
      </c>
      <c r="K799" s="876">
        <f t="shared" si="41"/>
        <v>150</v>
      </c>
      <c r="L799" s="876">
        <v>6.8</v>
      </c>
      <c r="M799" s="298"/>
      <c r="N799" s="876">
        <f t="shared" si="42"/>
        <v>1020</v>
      </c>
      <c r="O799" s="313"/>
      <c r="P799" s="315" t="s">
        <v>1230</v>
      </c>
      <c r="Q799" s="315"/>
      <c r="R799" s="909"/>
      <c r="S799" s="738">
        <f t="shared" si="43"/>
        <v>84658.7</v>
      </c>
      <c r="T799" s="738" t="str">
        <f t="shared" si="44"/>
        <v>M2</v>
      </c>
      <c r="U799" s="738"/>
    </row>
    <row r="800" spans="1:21" x14ac:dyDescent="0.2">
      <c r="A800" s="913"/>
      <c r="B800" s="666"/>
      <c r="C800" s="580"/>
      <c r="D800" s="870">
        <v>447</v>
      </c>
      <c r="E800" s="871" t="s">
        <v>8</v>
      </c>
      <c r="F800" s="667">
        <v>10</v>
      </c>
      <c r="G800" s="871">
        <v>451</v>
      </c>
      <c r="H800" s="871" t="s">
        <v>8</v>
      </c>
      <c r="I800" s="668">
        <v>5</v>
      </c>
      <c r="J800" s="349" t="s">
        <v>1102</v>
      </c>
      <c r="K800" s="876">
        <f t="shared" si="41"/>
        <v>75</v>
      </c>
      <c r="L800" s="876">
        <v>6.8</v>
      </c>
      <c r="M800" s="298"/>
      <c r="N800" s="876">
        <f t="shared" si="42"/>
        <v>510</v>
      </c>
      <c r="O800" s="313"/>
      <c r="P800" s="315" t="s">
        <v>1230</v>
      </c>
      <c r="Q800" s="315"/>
      <c r="R800" s="909"/>
      <c r="S800" s="738">
        <f t="shared" si="43"/>
        <v>84658.7</v>
      </c>
      <c r="T800" s="738" t="str">
        <f t="shared" si="44"/>
        <v>M2</v>
      </c>
      <c r="U800" s="738"/>
    </row>
    <row r="801" spans="1:27" x14ac:dyDescent="0.2">
      <c r="A801" s="913"/>
      <c r="B801" s="666"/>
      <c r="C801" s="580"/>
      <c r="D801" s="870">
        <v>457</v>
      </c>
      <c r="E801" s="871" t="s">
        <v>8</v>
      </c>
      <c r="F801" s="667">
        <v>15</v>
      </c>
      <c r="G801" s="871">
        <v>524</v>
      </c>
      <c r="H801" s="871" t="s">
        <v>8</v>
      </c>
      <c r="I801" s="668">
        <v>10</v>
      </c>
      <c r="J801" s="349" t="s">
        <v>1102</v>
      </c>
      <c r="K801" s="876">
        <f t="shared" si="41"/>
        <v>1335</v>
      </c>
      <c r="L801" s="876">
        <v>6.8</v>
      </c>
      <c r="M801" s="298"/>
      <c r="N801" s="876">
        <f t="shared" si="42"/>
        <v>9078</v>
      </c>
      <c r="O801" s="313"/>
      <c r="P801" s="315" t="s">
        <v>1230</v>
      </c>
      <c r="Q801" s="315"/>
      <c r="R801" s="909"/>
      <c r="S801" s="738">
        <f t="shared" si="43"/>
        <v>84658.7</v>
      </c>
      <c r="T801" s="738" t="str">
        <f t="shared" si="44"/>
        <v>M2</v>
      </c>
      <c r="U801" s="738"/>
    </row>
    <row r="802" spans="1:27" x14ac:dyDescent="0.2">
      <c r="A802" s="913"/>
      <c r="B802" s="666"/>
      <c r="C802" s="580"/>
      <c r="D802" s="870">
        <v>459</v>
      </c>
      <c r="E802" s="871" t="s">
        <v>8</v>
      </c>
      <c r="F802" s="667">
        <v>0</v>
      </c>
      <c r="G802" s="871">
        <v>522</v>
      </c>
      <c r="H802" s="871" t="s">
        <v>8</v>
      </c>
      <c r="I802" s="668">
        <v>0</v>
      </c>
      <c r="J802" s="349" t="s">
        <v>1101</v>
      </c>
      <c r="K802" s="876">
        <f t="shared" si="41"/>
        <v>1260</v>
      </c>
      <c r="L802" s="876">
        <v>6.8</v>
      </c>
      <c r="M802" s="298"/>
      <c r="N802" s="876">
        <f t="shared" si="42"/>
        <v>8568</v>
      </c>
      <c r="O802" s="313"/>
      <c r="P802" s="315" t="s">
        <v>1230</v>
      </c>
      <c r="Q802" s="315"/>
      <c r="R802" s="909"/>
      <c r="S802" s="738">
        <f t="shared" si="43"/>
        <v>84658.7</v>
      </c>
      <c r="T802" s="738" t="str">
        <f t="shared" si="44"/>
        <v>M2</v>
      </c>
      <c r="U802" s="738"/>
    </row>
    <row r="803" spans="1:27" x14ac:dyDescent="0.2">
      <c r="A803" s="913"/>
      <c r="B803" s="666"/>
      <c r="C803" s="580"/>
      <c r="D803" s="870">
        <v>546</v>
      </c>
      <c r="E803" s="871" t="s">
        <v>8</v>
      </c>
      <c r="F803" s="667">
        <v>15</v>
      </c>
      <c r="G803" s="871">
        <v>558</v>
      </c>
      <c r="H803" s="871" t="s">
        <v>8</v>
      </c>
      <c r="I803" s="668">
        <v>10</v>
      </c>
      <c r="J803" s="349" t="s">
        <v>1101</v>
      </c>
      <c r="K803" s="876">
        <f t="shared" si="41"/>
        <v>235</v>
      </c>
      <c r="L803" s="876">
        <v>6.8</v>
      </c>
      <c r="M803" s="298"/>
      <c r="N803" s="876">
        <f t="shared" si="42"/>
        <v>1598</v>
      </c>
      <c r="O803" s="313"/>
      <c r="P803" s="315" t="s">
        <v>1230</v>
      </c>
      <c r="Q803" s="315"/>
      <c r="R803" s="909"/>
      <c r="S803" s="738">
        <f t="shared" si="43"/>
        <v>84658.7</v>
      </c>
      <c r="T803" s="738" t="str">
        <f t="shared" si="44"/>
        <v>M2</v>
      </c>
      <c r="U803" s="738"/>
    </row>
    <row r="804" spans="1:27" x14ac:dyDescent="0.2">
      <c r="A804" s="913"/>
      <c r="B804" s="666"/>
      <c r="C804" s="580"/>
      <c r="D804" s="870">
        <v>551</v>
      </c>
      <c r="E804" s="871" t="s">
        <v>8</v>
      </c>
      <c r="F804" s="667">
        <v>0</v>
      </c>
      <c r="G804" s="871">
        <v>561</v>
      </c>
      <c r="H804" s="871" t="s">
        <v>8</v>
      </c>
      <c r="I804" s="668">
        <v>12</v>
      </c>
      <c r="J804" s="349" t="s">
        <v>1102</v>
      </c>
      <c r="K804" s="876">
        <f t="shared" si="41"/>
        <v>212</v>
      </c>
      <c r="L804" s="876">
        <v>6.8</v>
      </c>
      <c r="M804" s="298"/>
      <c r="N804" s="876">
        <f t="shared" si="42"/>
        <v>1441.6</v>
      </c>
      <c r="O804" s="313"/>
      <c r="P804" s="315" t="s">
        <v>1230</v>
      </c>
      <c r="Q804" s="315"/>
      <c r="R804" s="909"/>
      <c r="S804" s="738">
        <f t="shared" si="43"/>
        <v>84658.7</v>
      </c>
      <c r="T804" s="738" t="str">
        <f t="shared" si="44"/>
        <v>M2</v>
      </c>
      <c r="U804" s="738"/>
    </row>
    <row r="805" spans="1:27" x14ac:dyDescent="0.2">
      <c r="A805" s="913"/>
      <c r="B805" s="666"/>
      <c r="C805" s="580"/>
      <c r="D805" s="870">
        <v>561</v>
      </c>
      <c r="E805" s="871" t="s">
        <v>8</v>
      </c>
      <c r="F805" s="667">
        <v>5</v>
      </c>
      <c r="G805" s="871">
        <v>561</v>
      </c>
      <c r="H805" s="871" t="s">
        <v>8</v>
      </c>
      <c r="I805" s="668">
        <v>12</v>
      </c>
      <c r="J805" s="349" t="s">
        <v>1101</v>
      </c>
      <c r="K805" s="876">
        <f t="shared" si="41"/>
        <v>7</v>
      </c>
      <c r="L805" s="876">
        <v>6.8</v>
      </c>
      <c r="M805" s="298"/>
      <c r="N805" s="876">
        <f t="shared" si="42"/>
        <v>47.6</v>
      </c>
      <c r="O805" s="313"/>
      <c r="P805" s="315" t="s">
        <v>1230</v>
      </c>
      <c r="Q805" s="315"/>
      <c r="R805" s="909"/>
      <c r="S805" s="738">
        <f t="shared" si="43"/>
        <v>84658.7</v>
      </c>
      <c r="T805" s="738" t="str">
        <f t="shared" si="44"/>
        <v>M2</v>
      </c>
      <c r="U805" s="738"/>
    </row>
    <row r="806" spans="1:27" x14ac:dyDescent="0.2">
      <c r="A806" s="913"/>
      <c r="B806" s="666"/>
      <c r="C806" s="744" t="s">
        <v>1553</v>
      </c>
      <c r="D806" s="870"/>
      <c r="E806" s="871"/>
      <c r="F806" s="667"/>
      <c r="G806" s="871"/>
      <c r="H806" s="871"/>
      <c r="I806" s="668"/>
      <c r="J806" s="349"/>
      <c r="K806" s="876"/>
      <c r="L806" s="876"/>
      <c r="M806" s="298"/>
      <c r="N806" s="876"/>
      <c r="O806" s="313"/>
      <c r="P806" s="315"/>
      <c r="Q806" s="315"/>
      <c r="R806" s="909"/>
      <c r="S806" s="738">
        <f t="shared" si="43"/>
        <v>84658.7</v>
      </c>
      <c r="T806" s="738" t="str">
        <f t="shared" si="44"/>
        <v>M2</v>
      </c>
      <c r="U806" s="738"/>
    </row>
    <row r="807" spans="1:27" x14ac:dyDescent="0.2">
      <c r="A807" s="913"/>
      <c r="B807" s="666"/>
      <c r="C807" s="290" t="s">
        <v>1065</v>
      </c>
      <c r="D807" s="870">
        <v>12</v>
      </c>
      <c r="E807" s="291" t="s">
        <v>8</v>
      </c>
      <c r="F807" s="667">
        <v>5</v>
      </c>
      <c r="G807" s="871">
        <v>35</v>
      </c>
      <c r="H807" s="291" t="s">
        <v>8</v>
      </c>
      <c r="I807" s="668">
        <v>0</v>
      </c>
      <c r="J807" s="349" t="s">
        <v>1101</v>
      </c>
      <c r="K807" s="298">
        <f>+(G807*20+I807)-(D807*20+F807)</f>
        <v>455</v>
      </c>
      <c r="L807" s="876">
        <v>5.3</v>
      </c>
      <c r="M807" s="876"/>
      <c r="N807" s="876">
        <f t="shared" ref="N807:N814" si="45">+K807*L807</f>
        <v>2411.5</v>
      </c>
      <c r="O807" s="313"/>
      <c r="P807" s="315" t="s">
        <v>1230</v>
      </c>
      <c r="Q807" s="315"/>
      <c r="R807" s="909"/>
      <c r="S807" s="738">
        <f t="shared" si="43"/>
        <v>84658.7</v>
      </c>
      <c r="T807" s="738" t="str">
        <f t="shared" si="44"/>
        <v>M2</v>
      </c>
      <c r="U807" s="738"/>
      <c r="W807" s="288"/>
      <c r="X807" s="288"/>
      <c r="Y807" s="288"/>
      <c r="Z807" s="288"/>
      <c r="AA807" s="288"/>
    </row>
    <row r="808" spans="1:27" x14ac:dyDescent="0.2">
      <c r="A808" s="913"/>
      <c r="B808" s="666"/>
      <c r="C808" s="290" t="s">
        <v>1065</v>
      </c>
      <c r="D808" s="870">
        <v>46</v>
      </c>
      <c r="E808" s="291" t="s">
        <v>8</v>
      </c>
      <c r="F808" s="667">
        <v>10</v>
      </c>
      <c r="G808" s="871">
        <v>89</v>
      </c>
      <c r="H808" s="291" t="s">
        <v>8</v>
      </c>
      <c r="I808" s="668">
        <v>10</v>
      </c>
      <c r="J808" s="349" t="s">
        <v>1101</v>
      </c>
      <c r="K808" s="298">
        <f t="shared" ref="K808:K814" si="46">+(G808*20+I808)-(D808*20+F808)</f>
        <v>860</v>
      </c>
      <c r="L808" s="876">
        <v>5.3</v>
      </c>
      <c r="M808" s="876"/>
      <c r="N808" s="876">
        <f t="shared" si="45"/>
        <v>4558</v>
      </c>
      <c r="O808" s="313"/>
      <c r="P808" s="315" t="s">
        <v>1230</v>
      </c>
      <c r="Q808" s="315"/>
      <c r="R808" s="909"/>
      <c r="S808" s="738">
        <f t="shared" si="43"/>
        <v>84658.7</v>
      </c>
      <c r="T808" s="738" t="str">
        <f t="shared" si="44"/>
        <v>M2</v>
      </c>
      <c r="U808" s="738"/>
      <c r="W808" s="288"/>
      <c r="X808" s="288"/>
      <c r="Y808" s="288"/>
      <c r="Z808" s="288"/>
      <c r="AA808" s="288"/>
    </row>
    <row r="809" spans="1:27" x14ac:dyDescent="0.2">
      <c r="A809" s="913"/>
      <c r="B809" s="666"/>
      <c r="C809" s="290" t="s">
        <v>1065</v>
      </c>
      <c r="D809" s="870">
        <v>92</v>
      </c>
      <c r="E809" s="291" t="s">
        <v>8</v>
      </c>
      <c r="F809" s="667">
        <v>10</v>
      </c>
      <c r="G809" s="871">
        <v>108</v>
      </c>
      <c r="H809" s="291" t="s">
        <v>8</v>
      </c>
      <c r="I809" s="668">
        <v>10</v>
      </c>
      <c r="J809" s="349" t="s">
        <v>1101</v>
      </c>
      <c r="K809" s="298">
        <f t="shared" si="46"/>
        <v>320</v>
      </c>
      <c r="L809" s="876">
        <v>5.3</v>
      </c>
      <c r="M809" s="876"/>
      <c r="N809" s="876">
        <f t="shared" si="45"/>
        <v>1696</v>
      </c>
      <c r="O809" s="313"/>
      <c r="P809" s="315" t="s">
        <v>1230</v>
      </c>
      <c r="Q809" s="315"/>
      <c r="R809" s="909"/>
      <c r="S809" s="738">
        <f t="shared" si="43"/>
        <v>84658.7</v>
      </c>
      <c r="T809" s="738" t="str">
        <f t="shared" si="44"/>
        <v>M2</v>
      </c>
      <c r="U809" s="738"/>
      <c r="W809" s="288"/>
      <c r="X809" s="288"/>
      <c r="Y809" s="288"/>
      <c r="Z809" s="288"/>
      <c r="AA809" s="288"/>
    </row>
    <row r="810" spans="1:27" x14ac:dyDescent="0.2">
      <c r="A810" s="913"/>
      <c r="B810" s="666"/>
      <c r="C810" s="290" t="s">
        <v>1065</v>
      </c>
      <c r="D810" s="870">
        <v>20</v>
      </c>
      <c r="E810" s="291" t="s">
        <v>8</v>
      </c>
      <c r="F810" s="667">
        <v>10</v>
      </c>
      <c r="G810" s="871">
        <v>23</v>
      </c>
      <c r="H810" s="291" t="s">
        <v>8</v>
      </c>
      <c r="I810" s="668">
        <v>15</v>
      </c>
      <c r="J810" s="349" t="s">
        <v>1102</v>
      </c>
      <c r="K810" s="298">
        <f t="shared" si="46"/>
        <v>65</v>
      </c>
      <c r="L810" s="876">
        <v>5.3</v>
      </c>
      <c r="M810" s="876"/>
      <c r="N810" s="876">
        <f t="shared" si="45"/>
        <v>344.5</v>
      </c>
      <c r="O810" s="313"/>
      <c r="P810" s="315" t="s">
        <v>1230</v>
      </c>
      <c r="Q810" s="315"/>
      <c r="R810" s="909"/>
      <c r="S810" s="738">
        <f t="shared" si="43"/>
        <v>84658.7</v>
      </c>
      <c r="T810" s="738" t="str">
        <f t="shared" si="44"/>
        <v>M2</v>
      </c>
      <c r="U810" s="738"/>
      <c r="W810" s="288"/>
      <c r="X810" s="288"/>
      <c r="Y810" s="288"/>
      <c r="Z810" s="288"/>
      <c r="AA810" s="288"/>
    </row>
    <row r="811" spans="1:27" x14ac:dyDescent="0.2">
      <c r="A811" s="913"/>
      <c r="B811" s="666"/>
      <c r="C811" s="290" t="s">
        <v>1065</v>
      </c>
      <c r="D811" s="870">
        <v>31</v>
      </c>
      <c r="E811" s="291" t="s">
        <v>8</v>
      </c>
      <c r="F811" s="667">
        <v>10</v>
      </c>
      <c r="G811" s="871">
        <v>33</v>
      </c>
      <c r="H811" s="291" t="s">
        <v>8</v>
      </c>
      <c r="I811" s="668">
        <v>0</v>
      </c>
      <c r="J811" s="349" t="s">
        <v>1102</v>
      </c>
      <c r="K811" s="298">
        <f t="shared" si="46"/>
        <v>30</v>
      </c>
      <c r="L811" s="876">
        <v>5.3</v>
      </c>
      <c r="M811" s="876"/>
      <c r="N811" s="876">
        <f t="shared" si="45"/>
        <v>159</v>
      </c>
      <c r="O811" s="313"/>
      <c r="P811" s="315" t="s">
        <v>1230</v>
      </c>
      <c r="Q811" s="315"/>
      <c r="R811" s="909"/>
      <c r="S811" s="738">
        <f t="shared" si="43"/>
        <v>84658.7</v>
      </c>
      <c r="T811" s="738" t="str">
        <f t="shared" si="44"/>
        <v>M2</v>
      </c>
      <c r="U811" s="738"/>
      <c r="W811" s="288"/>
      <c r="X811" s="288"/>
      <c r="Y811" s="288"/>
      <c r="Z811" s="288"/>
      <c r="AA811" s="288"/>
    </row>
    <row r="812" spans="1:27" x14ac:dyDescent="0.2">
      <c r="A812" s="913"/>
      <c r="B812" s="666"/>
      <c r="C812" s="290" t="s">
        <v>1065</v>
      </c>
      <c r="D812" s="870">
        <v>41</v>
      </c>
      <c r="E812" s="291" t="s">
        <v>8</v>
      </c>
      <c r="F812" s="667">
        <v>5</v>
      </c>
      <c r="G812" s="871">
        <v>69</v>
      </c>
      <c r="H812" s="291" t="s">
        <v>8</v>
      </c>
      <c r="I812" s="668">
        <v>10</v>
      </c>
      <c r="J812" s="349" t="s">
        <v>1102</v>
      </c>
      <c r="K812" s="298">
        <f t="shared" si="46"/>
        <v>565</v>
      </c>
      <c r="L812" s="876">
        <v>5.3</v>
      </c>
      <c r="M812" s="876"/>
      <c r="N812" s="876">
        <f t="shared" si="45"/>
        <v>2994.5</v>
      </c>
      <c r="O812" s="313"/>
      <c r="P812" s="315" t="s">
        <v>1230</v>
      </c>
      <c r="Q812" s="315"/>
      <c r="R812" s="909"/>
      <c r="S812" s="738">
        <f t="shared" si="43"/>
        <v>84658.7</v>
      </c>
      <c r="T812" s="738" t="str">
        <f t="shared" si="44"/>
        <v>M2</v>
      </c>
      <c r="U812" s="738"/>
      <c r="W812" s="288"/>
      <c r="X812" s="288"/>
      <c r="Y812" s="288"/>
      <c r="Z812" s="288"/>
      <c r="AA812" s="288"/>
    </row>
    <row r="813" spans="1:27" x14ac:dyDescent="0.2">
      <c r="A813" s="913"/>
      <c r="B813" s="666"/>
      <c r="C813" s="290" t="s">
        <v>1065</v>
      </c>
      <c r="D813" s="870">
        <v>80</v>
      </c>
      <c r="E813" s="291" t="s">
        <v>8</v>
      </c>
      <c r="F813" s="667">
        <v>10</v>
      </c>
      <c r="G813" s="871">
        <v>89</v>
      </c>
      <c r="H813" s="291" t="s">
        <v>8</v>
      </c>
      <c r="I813" s="668">
        <v>10</v>
      </c>
      <c r="J813" s="349" t="s">
        <v>1102</v>
      </c>
      <c r="K813" s="298">
        <f t="shared" si="46"/>
        <v>180</v>
      </c>
      <c r="L813" s="876">
        <v>5.3</v>
      </c>
      <c r="M813" s="876"/>
      <c r="N813" s="876">
        <f t="shared" si="45"/>
        <v>954</v>
      </c>
      <c r="O813" s="313"/>
      <c r="P813" s="315" t="s">
        <v>1230</v>
      </c>
      <c r="Q813" s="315"/>
      <c r="R813" s="909"/>
      <c r="S813" s="738">
        <f t="shared" si="43"/>
        <v>84658.7</v>
      </c>
      <c r="T813" s="738" t="str">
        <f t="shared" si="44"/>
        <v>M2</v>
      </c>
      <c r="U813" s="738"/>
      <c r="W813" s="288"/>
      <c r="X813" s="288"/>
      <c r="Y813" s="288"/>
      <c r="Z813" s="288"/>
      <c r="AA813" s="288"/>
    </row>
    <row r="814" spans="1:27" x14ac:dyDescent="0.2">
      <c r="A814" s="913"/>
      <c r="B814" s="666"/>
      <c r="C814" s="290" t="s">
        <v>1065</v>
      </c>
      <c r="D814" s="870">
        <v>102</v>
      </c>
      <c r="E814" s="291" t="s">
        <v>8</v>
      </c>
      <c r="F814" s="667">
        <v>0</v>
      </c>
      <c r="G814" s="871">
        <v>105</v>
      </c>
      <c r="H814" s="291" t="s">
        <v>8</v>
      </c>
      <c r="I814" s="668">
        <v>0</v>
      </c>
      <c r="J814" s="349" t="s">
        <v>1102</v>
      </c>
      <c r="K814" s="298">
        <f t="shared" si="46"/>
        <v>60</v>
      </c>
      <c r="L814" s="876">
        <v>5.3</v>
      </c>
      <c r="M814" s="876"/>
      <c r="N814" s="876">
        <f t="shared" si="45"/>
        <v>318</v>
      </c>
      <c r="O814" s="313"/>
      <c r="P814" s="315" t="s">
        <v>1230</v>
      </c>
      <c r="Q814" s="315"/>
      <c r="R814" s="909"/>
      <c r="S814" s="738">
        <f t="shared" si="43"/>
        <v>84658.7</v>
      </c>
      <c r="T814" s="738" t="str">
        <f t="shared" si="44"/>
        <v>M2</v>
      </c>
      <c r="U814" s="738"/>
      <c r="W814" s="288"/>
      <c r="X814" s="288"/>
      <c r="Y814" s="288"/>
      <c r="Z814" s="288"/>
      <c r="AA814" s="288"/>
    </row>
    <row r="815" spans="1:27" x14ac:dyDescent="0.2">
      <c r="A815" s="899"/>
      <c r="B815" s="353"/>
      <c r="C815" s="354" t="s">
        <v>2</v>
      </c>
      <c r="D815" s="355"/>
      <c r="E815" s="352"/>
      <c r="F815" s="356"/>
      <c r="G815" s="355"/>
      <c r="H815" s="356"/>
      <c r="I815" s="356"/>
      <c r="J815" s="353"/>
      <c r="K815" s="357"/>
      <c r="L815" s="358"/>
      <c r="M815" s="359"/>
      <c r="N815" s="360">
        <f>SUM(N768:N814)</f>
        <v>84658.7</v>
      </c>
      <c r="O815" s="361" t="str">
        <f>IF(MID(B766,1,2)="LG",VLOOKUP(B766,'Compos lug'!J:M,4,FALSE),IF(MID(B766,1,1)="6",VLOOKUP(B766,tranp.!$A$6:$K$51,3,FALSE),VLOOKUP(B766,'DER 10-18'!$A$1:$I$1981,3,FALSE)))</f>
        <v>M2</v>
      </c>
      <c r="P815" s="362"/>
      <c r="Q815" s="362"/>
      <c r="R815" s="900"/>
      <c r="S815" s="738">
        <f t="shared" si="43"/>
        <v>4478.54</v>
      </c>
      <c r="T815" s="738" t="str">
        <f t="shared" si="44"/>
        <v>M3</v>
      </c>
      <c r="U815" s="738"/>
    </row>
    <row r="816" spans="1:27" x14ac:dyDescent="0.2">
      <c r="A816" s="294"/>
      <c r="B816" s="293"/>
      <c r="C816" s="343"/>
      <c r="H816" s="292"/>
      <c r="N816" s="314"/>
      <c r="O816" s="344"/>
      <c r="P816" s="315"/>
      <c r="Q816" s="315"/>
      <c r="R816" s="903"/>
      <c r="S816" s="738">
        <f t="shared" si="43"/>
        <v>4478.54</v>
      </c>
      <c r="T816" s="738" t="str">
        <f t="shared" si="44"/>
        <v>M3</v>
      </c>
      <c r="U816" s="738"/>
      <c r="W816" s="288"/>
      <c r="X816" s="288"/>
      <c r="Y816" s="288"/>
      <c r="Z816" s="288"/>
      <c r="AA816" s="288"/>
    </row>
    <row r="817" spans="1:27" ht="39.75" customHeight="1" x14ac:dyDescent="0.2">
      <c r="A817" s="913" t="s">
        <v>268</v>
      </c>
      <c r="B817" s="666">
        <v>40757</v>
      </c>
      <c r="C817" s="347" t="str">
        <f>IF(MID(B817,1,2)="LG",VLOOKUP(B817,'Compos lug'!J:M,3,FALSE),IF(MID(B817,1,1)="6",VLOOKUP(B817,tranp.!$A$4:$K$21,11,FALSE)&amp;" -  XP="&amp;TEXT(T817,"0,000")&amp;" / XR="&amp;TEXT(V817,"0,000"),VLOOKUP(B817,'DER 10-18'!$A$1:$I$1994,2,FALSE)))</f>
        <v>Estabilização granulométrica de solo s/ mistura 100% P.I.</v>
      </c>
      <c r="D817" s="1059" t="s">
        <v>1000</v>
      </c>
      <c r="E817" s="1060"/>
      <c r="F817" s="1061"/>
      <c r="G817" s="1059" t="s">
        <v>1001</v>
      </c>
      <c r="H817" s="1060"/>
      <c r="I817" s="1061"/>
      <c r="J817" s="349" t="s">
        <v>989</v>
      </c>
      <c r="K817" s="876" t="s">
        <v>998</v>
      </c>
      <c r="L817" s="876" t="s">
        <v>994</v>
      </c>
      <c r="M817" s="876" t="s">
        <v>1009</v>
      </c>
      <c r="N817" s="876" t="str">
        <f>CONCATENATE("Total (",IF(MID(B817,1,2)="LG",VLOOKUP(B817,'Compos lug'!J:M,4,FALSE),IF(MID(B817,1,1)="6","t",VLOOKUP(B817,'DER 10-18'!$A$1:$I$1994,3,FALSE))),")")</f>
        <v>Total (M3)</v>
      </c>
      <c r="O817" s="313"/>
      <c r="P817" s="315"/>
      <c r="Q817" s="315"/>
      <c r="R817" s="909"/>
      <c r="S817" s="738">
        <f t="shared" si="43"/>
        <v>4478.54</v>
      </c>
      <c r="T817" s="738" t="str">
        <f t="shared" si="44"/>
        <v>M3</v>
      </c>
      <c r="U817" s="738"/>
      <c r="W817" s="288"/>
      <c r="X817" s="288"/>
      <c r="Y817" s="288"/>
      <c r="Z817" s="288"/>
      <c r="AA817" s="288"/>
    </row>
    <row r="818" spans="1:27" x14ac:dyDescent="0.2">
      <c r="A818" s="913"/>
      <c r="B818" s="666"/>
      <c r="C818" s="744" t="s">
        <v>1553</v>
      </c>
      <c r="D818" s="870"/>
      <c r="E818" s="871"/>
      <c r="F818" s="872"/>
      <c r="G818" s="871"/>
      <c r="H818" s="871"/>
      <c r="I818" s="871"/>
      <c r="J818" s="349"/>
      <c r="K818" s="876"/>
      <c r="L818" s="876"/>
      <c r="M818" s="876"/>
      <c r="N818" s="876"/>
      <c r="O818" s="313"/>
      <c r="P818" s="315"/>
      <c r="Q818" s="315"/>
      <c r="R818" s="909"/>
      <c r="S818" s="738">
        <f t="shared" si="43"/>
        <v>4478.54</v>
      </c>
      <c r="T818" s="738" t="str">
        <f t="shared" si="44"/>
        <v>M3</v>
      </c>
      <c r="U818" s="738"/>
      <c r="W818" s="288"/>
      <c r="X818" s="288"/>
      <c r="Y818" s="288"/>
      <c r="Z818" s="288"/>
      <c r="AA818" s="288"/>
    </row>
    <row r="819" spans="1:27" x14ac:dyDescent="0.2">
      <c r="A819" s="913"/>
      <c r="B819" s="666"/>
      <c r="C819" s="290" t="s">
        <v>1065</v>
      </c>
      <c r="D819" s="290">
        <v>0</v>
      </c>
      <c r="E819" s="291" t="s">
        <v>8</v>
      </c>
      <c r="F819" s="675">
        <v>0</v>
      </c>
      <c r="G819" s="381">
        <v>111</v>
      </c>
      <c r="H819" s="291" t="s">
        <v>8</v>
      </c>
      <c r="I819" s="292">
        <v>11.53</v>
      </c>
      <c r="J819" s="383"/>
      <c r="K819" s="298">
        <f>+(G819*20+I819)-(D819*20+F819)</f>
        <v>2231.5300000000002</v>
      </c>
      <c r="L819" s="298">
        <v>9.6</v>
      </c>
      <c r="M819" s="298">
        <v>0.2</v>
      </c>
      <c r="N819" s="876">
        <f>+K819*L819*M819</f>
        <v>4284.54</v>
      </c>
      <c r="O819" s="313"/>
      <c r="P819" s="315"/>
      <c r="Q819" s="315"/>
      <c r="R819" s="909"/>
      <c r="S819" s="738">
        <f t="shared" si="43"/>
        <v>4478.54</v>
      </c>
      <c r="T819" s="738" t="str">
        <f t="shared" si="44"/>
        <v>M3</v>
      </c>
      <c r="U819" s="738"/>
      <c r="W819" s="288"/>
      <c r="X819" s="288"/>
      <c r="Y819" s="288"/>
      <c r="Z819" s="288"/>
      <c r="AA819" s="288"/>
    </row>
    <row r="820" spans="1:27" x14ac:dyDescent="0.2">
      <c r="A820" s="913"/>
      <c r="B820" s="666"/>
      <c r="C820" s="290" t="s">
        <v>1570</v>
      </c>
      <c r="D820" s="290">
        <v>15</v>
      </c>
      <c r="E820" s="291" t="s">
        <v>8</v>
      </c>
      <c r="F820" s="675">
        <v>15</v>
      </c>
      <c r="G820" s="381"/>
      <c r="J820" s="383" t="s">
        <v>1556</v>
      </c>
      <c r="K820" s="298"/>
      <c r="M820" s="298">
        <v>0.2</v>
      </c>
      <c r="N820" s="876">
        <f>97*0.2</f>
        <v>19.399999999999999</v>
      </c>
      <c r="O820" s="313"/>
      <c r="P820" s="301" t="s">
        <v>1571</v>
      </c>
      <c r="Q820" s="315"/>
      <c r="R820" s="909"/>
      <c r="S820" s="738">
        <f t="shared" si="43"/>
        <v>4478.54</v>
      </c>
      <c r="T820" s="738" t="str">
        <f t="shared" si="44"/>
        <v>M3</v>
      </c>
      <c r="U820" s="738"/>
      <c r="W820" s="288"/>
      <c r="X820" s="288"/>
      <c r="Y820" s="288"/>
      <c r="Z820" s="288"/>
      <c r="AA820" s="288"/>
    </row>
    <row r="821" spans="1:27" x14ac:dyDescent="0.2">
      <c r="A821" s="913"/>
      <c r="B821" s="666"/>
      <c r="C821" s="290" t="s">
        <v>1570</v>
      </c>
      <c r="D821" s="290">
        <v>16</v>
      </c>
      <c r="E821" s="291" t="s">
        <v>8</v>
      </c>
      <c r="F821" s="675">
        <v>5</v>
      </c>
      <c r="G821" s="381"/>
      <c r="J821" s="383" t="s">
        <v>1564</v>
      </c>
      <c r="K821" s="298"/>
      <c r="M821" s="298">
        <v>0.2</v>
      </c>
      <c r="N821" s="876">
        <f t="shared" ref="N821:N829" si="47">97*0.2</f>
        <v>19.399999999999999</v>
      </c>
      <c r="O821" s="313"/>
      <c r="P821" s="301" t="s">
        <v>1571</v>
      </c>
      <c r="Q821" s="315"/>
      <c r="R821" s="909"/>
      <c r="S821" s="738">
        <f t="shared" si="43"/>
        <v>4478.54</v>
      </c>
      <c r="T821" s="738" t="str">
        <f t="shared" si="44"/>
        <v>M3</v>
      </c>
      <c r="U821" s="738"/>
      <c r="W821" s="288"/>
      <c r="X821" s="288"/>
      <c r="Y821" s="288"/>
      <c r="Z821" s="288"/>
      <c r="AA821" s="288"/>
    </row>
    <row r="822" spans="1:27" x14ac:dyDescent="0.2">
      <c r="A822" s="913"/>
      <c r="B822" s="666"/>
      <c r="C822" s="290" t="s">
        <v>1570</v>
      </c>
      <c r="D822" s="290">
        <v>26</v>
      </c>
      <c r="E822" s="291" t="s">
        <v>8</v>
      </c>
      <c r="F822" s="675">
        <v>15</v>
      </c>
      <c r="G822" s="381"/>
      <c r="J822" s="383" t="s">
        <v>1556</v>
      </c>
      <c r="K822" s="298"/>
      <c r="M822" s="298">
        <v>0.2</v>
      </c>
      <c r="N822" s="876">
        <f t="shared" si="47"/>
        <v>19.399999999999999</v>
      </c>
      <c r="O822" s="313"/>
      <c r="P822" s="301" t="s">
        <v>1571</v>
      </c>
      <c r="Q822" s="315"/>
      <c r="R822" s="909"/>
      <c r="S822" s="738">
        <f t="shared" si="43"/>
        <v>4478.54</v>
      </c>
      <c r="T822" s="738" t="str">
        <f t="shared" si="44"/>
        <v>M3</v>
      </c>
      <c r="U822" s="738"/>
      <c r="W822" s="288"/>
      <c r="X822" s="288"/>
      <c r="Y822" s="288"/>
      <c r="Z822" s="288"/>
      <c r="AA822" s="288"/>
    </row>
    <row r="823" spans="1:27" x14ac:dyDescent="0.2">
      <c r="A823" s="913"/>
      <c r="B823" s="666"/>
      <c r="C823" s="290" t="s">
        <v>1570</v>
      </c>
      <c r="D823" s="290">
        <v>29</v>
      </c>
      <c r="E823" s="291" t="s">
        <v>8</v>
      </c>
      <c r="F823" s="675">
        <v>5</v>
      </c>
      <c r="G823" s="381"/>
      <c r="J823" s="383" t="s">
        <v>1564</v>
      </c>
      <c r="K823" s="298"/>
      <c r="M823" s="298">
        <v>0.2</v>
      </c>
      <c r="N823" s="876">
        <f t="shared" si="47"/>
        <v>19.399999999999999</v>
      </c>
      <c r="O823" s="313"/>
      <c r="P823" s="301" t="s">
        <v>1571</v>
      </c>
      <c r="Q823" s="315"/>
      <c r="R823" s="909"/>
      <c r="S823" s="738">
        <f t="shared" si="43"/>
        <v>4478.54</v>
      </c>
      <c r="T823" s="738" t="str">
        <f t="shared" si="44"/>
        <v>M3</v>
      </c>
      <c r="U823" s="738"/>
      <c r="W823" s="288"/>
      <c r="X823" s="288"/>
      <c r="Y823" s="288"/>
      <c r="Z823" s="288"/>
      <c r="AA823" s="288"/>
    </row>
    <row r="824" spans="1:27" x14ac:dyDescent="0.2">
      <c r="A824" s="913"/>
      <c r="B824" s="666"/>
      <c r="C824" s="290" t="s">
        <v>1570</v>
      </c>
      <c r="D824" s="290">
        <v>60</v>
      </c>
      <c r="E824" s="291" t="s">
        <v>8</v>
      </c>
      <c r="F824" s="675">
        <v>5</v>
      </c>
      <c r="G824" s="381"/>
      <c r="J824" s="383" t="s">
        <v>1556</v>
      </c>
      <c r="K824" s="298"/>
      <c r="M824" s="298">
        <v>0.2</v>
      </c>
      <c r="N824" s="876">
        <f t="shared" si="47"/>
        <v>19.399999999999999</v>
      </c>
      <c r="O824" s="313"/>
      <c r="P824" s="301" t="s">
        <v>1571</v>
      </c>
      <c r="Q824" s="315"/>
      <c r="R824" s="909"/>
      <c r="S824" s="738">
        <f t="shared" si="43"/>
        <v>4478.54</v>
      </c>
      <c r="T824" s="738" t="str">
        <f t="shared" si="44"/>
        <v>M3</v>
      </c>
      <c r="U824" s="738"/>
      <c r="W824" s="288"/>
      <c r="X824" s="288"/>
      <c r="Y824" s="288"/>
      <c r="Z824" s="288"/>
      <c r="AA824" s="288"/>
    </row>
    <row r="825" spans="1:27" x14ac:dyDescent="0.2">
      <c r="A825" s="913"/>
      <c r="B825" s="666"/>
      <c r="C825" s="290" t="s">
        <v>1570</v>
      </c>
      <c r="D825" s="290">
        <v>60</v>
      </c>
      <c r="E825" s="291" t="s">
        <v>8</v>
      </c>
      <c r="F825" s="675">
        <v>15</v>
      </c>
      <c r="G825" s="381"/>
      <c r="J825" s="383" t="s">
        <v>1564</v>
      </c>
      <c r="K825" s="298"/>
      <c r="M825" s="298">
        <v>0.2</v>
      </c>
      <c r="N825" s="876">
        <f t="shared" si="47"/>
        <v>19.399999999999999</v>
      </c>
      <c r="O825" s="313"/>
      <c r="P825" s="301" t="s">
        <v>1571</v>
      </c>
      <c r="Q825" s="315"/>
      <c r="R825" s="909"/>
      <c r="S825" s="738">
        <f t="shared" si="43"/>
        <v>4478.54</v>
      </c>
      <c r="T825" s="738" t="str">
        <f t="shared" si="44"/>
        <v>M3</v>
      </c>
      <c r="U825" s="738"/>
      <c r="W825" s="288"/>
      <c r="X825" s="288"/>
      <c r="Y825" s="288"/>
      <c r="Z825" s="288"/>
      <c r="AA825" s="288"/>
    </row>
    <row r="826" spans="1:27" x14ac:dyDescent="0.2">
      <c r="A826" s="913"/>
      <c r="B826" s="666"/>
      <c r="C826" s="290" t="s">
        <v>1570</v>
      </c>
      <c r="D826" s="290">
        <v>76</v>
      </c>
      <c r="E826" s="291" t="s">
        <v>8</v>
      </c>
      <c r="F826" s="675">
        <v>5</v>
      </c>
      <c r="G826" s="381"/>
      <c r="J826" s="383" t="s">
        <v>1556</v>
      </c>
      <c r="K826" s="298"/>
      <c r="M826" s="298">
        <v>0.2</v>
      </c>
      <c r="N826" s="876">
        <f t="shared" si="47"/>
        <v>19.399999999999999</v>
      </c>
      <c r="O826" s="313"/>
      <c r="P826" s="301" t="s">
        <v>1571</v>
      </c>
      <c r="Q826" s="315"/>
      <c r="R826" s="909"/>
      <c r="S826" s="738">
        <f t="shared" si="43"/>
        <v>4478.54</v>
      </c>
      <c r="T826" s="738" t="str">
        <f t="shared" si="44"/>
        <v>M3</v>
      </c>
      <c r="U826" s="738"/>
      <c r="W826" s="288"/>
      <c r="X826" s="288"/>
      <c r="Y826" s="288"/>
      <c r="Z826" s="288"/>
      <c r="AA826" s="288"/>
    </row>
    <row r="827" spans="1:27" x14ac:dyDescent="0.2">
      <c r="A827" s="913"/>
      <c r="B827" s="666"/>
      <c r="C827" s="290" t="s">
        <v>1570</v>
      </c>
      <c r="D827" s="290">
        <v>77</v>
      </c>
      <c r="E827" s="291" t="s">
        <v>8</v>
      </c>
      <c r="F827" s="675">
        <v>15</v>
      </c>
      <c r="G827" s="381"/>
      <c r="J827" s="383" t="s">
        <v>1564</v>
      </c>
      <c r="K827" s="298"/>
      <c r="M827" s="298">
        <v>0.2</v>
      </c>
      <c r="N827" s="876">
        <f t="shared" si="47"/>
        <v>19.399999999999999</v>
      </c>
      <c r="O827" s="313"/>
      <c r="P827" s="301" t="s">
        <v>1571</v>
      </c>
      <c r="Q827" s="315"/>
      <c r="R827" s="909"/>
      <c r="S827" s="738">
        <f t="shared" si="43"/>
        <v>4478.54</v>
      </c>
      <c r="T827" s="738" t="str">
        <f t="shared" si="44"/>
        <v>M3</v>
      </c>
      <c r="U827" s="738"/>
      <c r="W827" s="288"/>
      <c r="X827" s="288"/>
      <c r="Y827" s="288"/>
      <c r="Z827" s="288"/>
      <c r="AA827" s="288"/>
    </row>
    <row r="828" spans="1:27" x14ac:dyDescent="0.2">
      <c r="A828" s="913"/>
      <c r="B828" s="666"/>
      <c r="C828" s="290" t="s">
        <v>1570</v>
      </c>
      <c r="D828" s="290">
        <v>106</v>
      </c>
      <c r="E828" s="291" t="s">
        <v>8</v>
      </c>
      <c r="F828" s="675">
        <v>5</v>
      </c>
      <c r="G828" s="381"/>
      <c r="J828" s="383" t="s">
        <v>1556</v>
      </c>
      <c r="K828" s="298"/>
      <c r="M828" s="298">
        <v>0.2</v>
      </c>
      <c r="N828" s="876">
        <f t="shared" si="47"/>
        <v>19.399999999999999</v>
      </c>
      <c r="O828" s="313"/>
      <c r="P828" s="301" t="s">
        <v>1571</v>
      </c>
      <c r="Q828" s="315"/>
      <c r="R828" s="909"/>
      <c r="S828" s="738">
        <f t="shared" si="43"/>
        <v>4478.54</v>
      </c>
      <c r="T828" s="738" t="str">
        <f t="shared" si="44"/>
        <v>M3</v>
      </c>
      <c r="U828" s="738"/>
      <c r="W828" s="288"/>
      <c r="X828" s="288"/>
      <c r="Y828" s="288"/>
      <c r="Z828" s="288"/>
      <c r="AA828" s="288"/>
    </row>
    <row r="829" spans="1:27" x14ac:dyDescent="0.2">
      <c r="A829" s="913"/>
      <c r="B829" s="666"/>
      <c r="C829" s="290" t="s">
        <v>1570</v>
      </c>
      <c r="D829" s="290">
        <v>109</v>
      </c>
      <c r="E829" s="291" t="s">
        <v>8</v>
      </c>
      <c r="F829" s="675">
        <v>15</v>
      </c>
      <c r="G829" s="381"/>
      <c r="J829" s="383" t="s">
        <v>1564</v>
      </c>
      <c r="K829" s="298"/>
      <c r="M829" s="298">
        <v>0.2</v>
      </c>
      <c r="N829" s="876">
        <f t="shared" si="47"/>
        <v>19.399999999999999</v>
      </c>
      <c r="O829" s="313"/>
      <c r="P829" s="301" t="s">
        <v>1571</v>
      </c>
      <c r="Q829" s="315"/>
      <c r="R829" s="909"/>
      <c r="S829" s="738">
        <f t="shared" si="43"/>
        <v>4478.54</v>
      </c>
      <c r="T829" s="738" t="str">
        <f t="shared" si="44"/>
        <v>M3</v>
      </c>
      <c r="U829" s="738"/>
      <c r="W829" s="288"/>
      <c r="X829" s="288"/>
      <c r="Y829" s="288"/>
      <c r="Z829" s="288"/>
      <c r="AA829" s="288"/>
    </row>
    <row r="830" spans="1:27" x14ac:dyDescent="0.2">
      <c r="A830" s="899"/>
      <c r="B830" s="353"/>
      <c r="C830" s="354" t="s">
        <v>2</v>
      </c>
      <c r="D830" s="355"/>
      <c r="E830" s="352"/>
      <c r="F830" s="356"/>
      <c r="G830" s="355"/>
      <c r="H830" s="356"/>
      <c r="I830" s="356"/>
      <c r="J830" s="353"/>
      <c r="K830" s="357"/>
      <c r="L830" s="358"/>
      <c r="M830" s="359"/>
      <c r="N830" s="360">
        <f>SUM(N819:N829)</f>
        <v>4478.54</v>
      </c>
      <c r="O830" s="361" t="str">
        <f>IF(MID(B817,1,2)="LG",VLOOKUP(B817,'Compos lug'!J:M,4,FALSE),IF(MID(B817,1,1)="6",VLOOKUP(B817,tranp.!$A$6:$K$38,3,FALSE),VLOOKUP(B817,'DER 10-18'!$A$1:$I$1994,3,FALSE)))</f>
        <v>M3</v>
      </c>
      <c r="P830" s="362"/>
      <c r="Q830" s="362"/>
      <c r="R830" s="900"/>
      <c r="S830" s="738">
        <f t="shared" si="43"/>
        <v>4210.75</v>
      </c>
      <c r="T830" s="738" t="str">
        <f t="shared" si="44"/>
        <v>m³</v>
      </c>
      <c r="U830" s="738"/>
      <c r="W830" s="288"/>
      <c r="X830" s="288"/>
      <c r="Y830" s="288"/>
      <c r="Z830" s="288"/>
      <c r="AA830" s="288"/>
    </row>
    <row r="831" spans="1:27" x14ac:dyDescent="0.2">
      <c r="A831" s="294"/>
      <c r="B831" s="293"/>
      <c r="C831" s="343"/>
      <c r="H831" s="292"/>
      <c r="N831" s="314"/>
      <c r="O831" s="344"/>
      <c r="P831" s="315"/>
      <c r="Q831" s="315"/>
      <c r="R831" s="903"/>
      <c r="S831" s="738">
        <f t="shared" si="43"/>
        <v>4210.75</v>
      </c>
      <c r="T831" s="738" t="str">
        <f t="shared" si="44"/>
        <v>m³</v>
      </c>
      <c r="U831" s="738"/>
      <c r="W831" s="288"/>
      <c r="X831" s="288"/>
      <c r="Y831" s="288"/>
      <c r="Z831" s="288"/>
      <c r="AA831" s="288"/>
    </row>
    <row r="832" spans="1:27" ht="42" customHeight="1" x14ac:dyDescent="0.2">
      <c r="A832" s="913" t="s">
        <v>269</v>
      </c>
      <c r="B832" s="666" t="s">
        <v>1566</v>
      </c>
      <c r="C832" s="347" t="str">
        <f>IF(MID(B832,1,2)="LG",VLOOKUP(B832,'Compos lug'!J:M,3,FALSE),IF(MID(B832,1,1)="6",VLOOKUP(B832,tranp.!$A$4:$K$21,11,FALSE)&amp;" -  XP="&amp;TEXT(T832,"0,000")&amp;" / XR="&amp;TEXT(V832,"0,000"),VLOOKUP(B832,'DER 10-18'!$A$1:$I$1994,2,FALSE)))</f>
        <v>Base mistura em peso 60% de brita graduada / 40% solo</v>
      </c>
      <c r="D832" s="1059" t="s">
        <v>1000</v>
      </c>
      <c r="E832" s="1060"/>
      <c r="F832" s="1061"/>
      <c r="G832" s="1059" t="s">
        <v>1001</v>
      </c>
      <c r="H832" s="1060"/>
      <c r="I832" s="1061"/>
      <c r="J832" s="349" t="s">
        <v>989</v>
      </c>
      <c r="K832" s="876" t="s">
        <v>998</v>
      </c>
      <c r="L832" s="876" t="s">
        <v>994</v>
      </c>
      <c r="M832" s="876" t="s">
        <v>1009</v>
      </c>
      <c r="N832" s="876" t="str">
        <f>CONCATENATE("Total (",IF(MID(B832,1,2)="LG",VLOOKUP(B832,'Compos lug'!J:M,4,FALSE),IF(MID(B832,1,1)="6","t",VLOOKUP(B832,'DER 10-18'!$A$1:$I$1994,3,FALSE))),")")</f>
        <v>Total (m³)</v>
      </c>
      <c r="O832" s="313"/>
      <c r="P832" s="315"/>
      <c r="Q832" s="315"/>
      <c r="R832" s="909"/>
      <c r="S832" s="738">
        <f t="shared" si="43"/>
        <v>4210.75</v>
      </c>
      <c r="T832" s="738" t="str">
        <f t="shared" si="44"/>
        <v>m³</v>
      </c>
      <c r="U832" s="738"/>
      <c r="W832" s="288"/>
      <c r="X832" s="288"/>
      <c r="Y832" s="288"/>
      <c r="Z832" s="288"/>
      <c r="AA832" s="288"/>
    </row>
    <row r="833" spans="1:27" x14ac:dyDescent="0.2">
      <c r="A833" s="913"/>
      <c r="B833" s="666"/>
      <c r="C833" s="744" t="s">
        <v>1553</v>
      </c>
      <c r="D833" s="870"/>
      <c r="E833" s="871"/>
      <c r="F833" s="872"/>
      <c r="G833" s="871"/>
      <c r="H833" s="871"/>
      <c r="I833" s="871"/>
      <c r="J833" s="349"/>
      <c r="K833" s="876"/>
      <c r="L833" s="876"/>
      <c r="M833" s="876"/>
      <c r="N833" s="876"/>
      <c r="O833" s="313"/>
      <c r="P833" s="315"/>
      <c r="Q833" s="315"/>
      <c r="R833" s="909"/>
      <c r="S833" s="738">
        <f t="shared" si="43"/>
        <v>4210.75</v>
      </c>
      <c r="T833" s="738" t="str">
        <f t="shared" si="44"/>
        <v>m³</v>
      </c>
      <c r="U833" s="738"/>
      <c r="W833" s="288"/>
      <c r="X833" s="288"/>
      <c r="Y833" s="288"/>
      <c r="Z833" s="288"/>
      <c r="AA833" s="288"/>
    </row>
    <row r="834" spans="1:27" x14ac:dyDescent="0.2">
      <c r="A834" s="913"/>
      <c r="B834" s="666"/>
      <c r="C834" s="290" t="s">
        <v>1065</v>
      </c>
      <c r="D834" s="290">
        <v>0</v>
      </c>
      <c r="E834" s="291" t="s">
        <v>8</v>
      </c>
      <c r="F834" s="675">
        <v>0</v>
      </c>
      <c r="G834" s="381">
        <v>111</v>
      </c>
      <c r="H834" s="291" t="s">
        <v>8</v>
      </c>
      <c r="I834" s="292">
        <v>11.53</v>
      </c>
      <c r="J834" s="383"/>
      <c r="K834" s="298">
        <f>+(G834*20+I834)-(D834*20+F834)</f>
        <v>2231.5300000000002</v>
      </c>
      <c r="L834" s="298">
        <v>9</v>
      </c>
      <c r="M834" s="298">
        <v>0.2</v>
      </c>
      <c r="N834" s="876">
        <f>+K834*L834*M834</f>
        <v>4016.75</v>
      </c>
      <c r="O834" s="313"/>
      <c r="P834" s="315"/>
      <c r="Q834" s="315"/>
      <c r="R834" s="909"/>
      <c r="S834" s="738">
        <f t="shared" si="43"/>
        <v>4210.75</v>
      </c>
      <c r="T834" s="738" t="str">
        <f t="shared" si="44"/>
        <v>m³</v>
      </c>
      <c r="U834" s="738"/>
      <c r="W834" s="288"/>
      <c r="X834" s="288"/>
      <c r="Y834" s="288"/>
      <c r="Z834" s="288"/>
      <c r="AA834" s="288"/>
    </row>
    <row r="835" spans="1:27" x14ac:dyDescent="0.2">
      <c r="A835" s="913"/>
      <c r="B835" s="666"/>
      <c r="C835" s="290" t="s">
        <v>1570</v>
      </c>
      <c r="D835" s="290">
        <v>15</v>
      </c>
      <c r="E835" s="291" t="s">
        <v>8</v>
      </c>
      <c r="F835" s="675">
        <v>15</v>
      </c>
      <c r="G835" s="381"/>
      <c r="J835" s="383" t="s">
        <v>1556</v>
      </c>
      <c r="K835" s="298"/>
      <c r="M835" s="298">
        <v>0.2</v>
      </c>
      <c r="N835" s="876">
        <f>97*0.2</f>
        <v>19.399999999999999</v>
      </c>
      <c r="O835" s="313"/>
      <c r="P835" s="301" t="s">
        <v>1571</v>
      </c>
      <c r="Q835" s="315"/>
      <c r="R835" s="909"/>
      <c r="S835" s="738">
        <f t="shared" si="43"/>
        <v>4210.75</v>
      </c>
      <c r="T835" s="738" t="str">
        <f t="shared" si="44"/>
        <v>m³</v>
      </c>
      <c r="U835" s="738"/>
      <c r="W835" s="288"/>
      <c r="X835" s="288"/>
      <c r="Y835" s="288"/>
      <c r="Z835" s="288"/>
      <c r="AA835" s="288"/>
    </row>
    <row r="836" spans="1:27" x14ac:dyDescent="0.2">
      <c r="A836" s="913"/>
      <c r="B836" s="666"/>
      <c r="C836" s="290" t="s">
        <v>1570</v>
      </c>
      <c r="D836" s="290">
        <v>16</v>
      </c>
      <c r="E836" s="291" t="s">
        <v>8</v>
      </c>
      <c r="F836" s="675">
        <v>5</v>
      </c>
      <c r="G836" s="381"/>
      <c r="J836" s="383" t="s">
        <v>1564</v>
      </c>
      <c r="K836" s="298"/>
      <c r="M836" s="298">
        <v>0.2</v>
      </c>
      <c r="N836" s="876">
        <f t="shared" ref="N836:N844" si="48">97*0.2</f>
        <v>19.399999999999999</v>
      </c>
      <c r="O836" s="313"/>
      <c r="P836" s="301" t="s">
        <v>1571</v>
      </c>
      <c r="Q836" s="315"/>
      <c r="R836" s="909"/>
      <c r="S836" s="738">
        <f t="shared" si="43"/>
        <v>4210.75</v>
      </c>
      <c r="T836" s="738" t="str">
        <f t="shared" si="44"/>
        <v>m³</v>
      </c>
      <c r="U836" s="738"/>
      <c r="W836" s="288"/>
      <c r="X836" s="288"/>
      <c r="Y836" s="288"/>
      <c r="Z836" s="288"/>
      <c r="AA836" s="288"/>
    </row>
    <row r="837" spans="1:27" x14ac:dyDescent="0.2">
      <c r="A837" s="913"/>
      <c r="B837" s="666"/>
      <c r="C837" s="290" t="s">
        <v>1570</v>
      </c>
      <c r="D837" s="290">
        <v>26</v>
      </c>
      <c r="E837" s="291" t="s">
        <v>8</v>
      </c>
      <c r="F837" s="675">
        <v>15</v>
      </c>
      <c r="G837" s="381"/>
      <c r="J837" s="383" t="s">
        <v>1556</v>
      </c>
      <c r="K837" s="298"/>
      <c r="M837" s="298">
        <v>0.2</v>
      </c>
      <c r="N837" s="876">
        <f t="shared" si="48"/>
        <v>19.399999999999999</v>
      </c>
      <c r="O837" s="313"/>
      <c r="P837" s="301" t="s">
        <v>1571</v>
      </c>
      <c r="Q837" s="315"/>
      <c r="R837" s="909"/>
      <c r="S837" s="738">
        <f t="shared" si="43"/>
        <v>4210.75</v>
      </c>
      <c r="T837" s="738" t="str">
        <f t="shared" si="44"/>
        <v>m³</v>
      </c>
      <c r="U837" s="738"/>
      <c r="W837" s="288"/>
      <c r="X837" s="288"/>
      <c r="Y837" s="288"/>
      <c r="Z837" s="288"/>
      <c r="AA837" s="288"/>
    </row>
    <row r="838" spans="1:27" x14ac:dyDescent="0.2">
      <c r="A838" s="913"/>
      <c r="B838" s="666"/>
      <c r="C838" s="290" t="s">
        <v>1570</v>
      </c>
      <c r="D838" s="290">
        <v>29</v>
      </c>
      <c r="E838" s="291" t="s">
        <v>8</v>
      </c>
      <c r="F838" s="675">
        <v>5</v>
      </c>
      <c r="G838" s="381"/>
      <c r="J838" s="383" t="s">
        <v>1564</v>
      </c>
      <c r="K838" s="298"/>
      <c r="M838" s="298">
        <v>0.2</v>
      </c>
      <c r="N838" s="876">
        <f t="shared" si="48"/>
        <v>19.399999999999999</v>
      </c>
      <c r="O838" s="313"/>
      <c r="P838" s="301" t="s">
        <v>1571</v>
      </c>
      <c r="Q838" s="315"/>
      <c r="R838" s="909"/>
      <c r="S838" s="738">
        <f t="shared" si="43"/>
        <v>4210.75</v>
      </c>
      <c r="T838" s="738" t="str">
        <f t="shared" si="44"/>
        <v>m³</v>
      </c>
      <c r="U838" s="738"/>
      <c r="W838" s="288"/>
      <c r="X838" s="288"/>
      <c r="Y838" s="288"/>
      <c r="Z838" s="288"/>
      <c r="AA838" s="288"/>
    </row>
    <row r="839" spans="1:27" x14ac:dyDescent="0.2">
      <c r="A839" s="913"/>
      <c r="B839" s="666"/>
      <c r="C839" s="290" t="s">
        <v>1570</v>
      </c>
      <c r="D839" s="290">
        <v>60</v>
      </c>
      <c r="E839" s="291" t="s">
        <v>8</v>
      </c>
      <c r="F839" s="675">
        <v>5</v>
      </c>
      <c r="G839" s="381"/>
      <c r="J839" s="383" t="s">
        <v>1556</v>
      </c>
      <c r="K839" s="298"/>
      <c r="M839" s="298">
        <v>0.2</v>
      </c>
      <c r="N839" s="876">
        <f t="shared" si="48"/>
        <v>19.399999999999999</v>
      </c>
      <c r="O839" s="313"/>
      <c r="P839" s="301" t="s">
        <v>1571</v>
      </c>
      <c r="Q839" s="315"/>
      <c r="R839" s="909"/>
      <c r="S839" s="738">
        <f t="shared" si="43"/>
        <v>4210.75</v>
      </c>
      <c r="T839" s="738" t="str">
        <f t="shared" si="44"/>
        <v>m³</v>
      </c>
      <c r="U839" s="738"/>
      <c r="W839" s="288"/>
      <c r="X839" s="288"/>
      <c r="Y839" s="288"/>
      <c r="Z839" s="288"/>
      <c r="AA839" s="288"/>
    </row>
    <row r="840" spans="1:27" x14ac:dyDescent="0.2">
      <c r="A840" s="913"/>
      <c r="B840" s="666"/>
      <c r="C840" s="290" t="s">
        <v>1570</v>
      </c>
      <c r="D840" s="290">
        <v>60</v>
      </c>
      <c r="E840" s="291" t="s">
        <v>8</v>
      </c>
      <c r="F840" s="675">
        <v>15</v>
      </c>
      <c r="G840" s="381"/>
      <c r="J840" s="383" t="s">
        <v>1564</v>
      </c>
      <c r="K840" s="298"/>
      <c r="M840" s="298">
        <v>0.2</v>
      </c>
      <c r="N840" s="876">
        <f t="shared" si="48"/>
        <v>19.399999999999999</v>
      </c>
      <c r="O840" s="313"/>
      <c r="P840" s="301" t="s">
        <v>1571</v>
      </c>
      <c r="Q840" s="315"/>
      <c r="R840" s="909"/>
      <c r="S840" s="738">
        <f t="shared" si="43"/>
        <v>4210.75</v>
      </c>
      <c r="T840" s="738" t="str">
        <f t="shared" si="44"/>
        <v>m³</v>
      </c>
      <c r="U840" s="738"/>
      <c r="W840" s="288"/>
      <c r="X840" s="288"/>
      <c r="Y840" s="288"/>
      <c r="Z840" s="288"/>
      <c r="AA840" s="288"/>
    </row>
    <row r="841" spans="1:27" x14ac:dyDescent="0.2">
      <c r="A841" s="913"/>
      <c r="B841" s="666"/>
      <c r="C841" s="290" t="s">
        <v>1570</v>
      </c>
      <c r="D841" s="290">
        <v>76</v>
      </c>
      <c r="E841" s="291" t="s">
        <v>8</v>
      </c>
      <c r="F841" s="675">
        <v>5</v>
      </c>
      <c r="G841" s="381"/>
      <c r="J841" s="383" t="s">
        <v>1556</v>
      </c>
      <c r="K841" s="298"/>
      <c r="M841" s="298">
        <v>0.2</v>
      </c>
      <c r="N841" s="876">
        <f t="shared" si="48"/>
        <v>19.399999999999999</v>
      </c>
      <c r="O841" s="313"/>
      <c r="P841" s="301" t="s">
        <v>1571</v>
      </c>
      <c r="Q841" s="315"/>
      <c r="R841" s="909"/>
      <c r="S841" s="738">
        <f t="shared" si="43"/>
        <v>4210.75</v>
      </c>
      <c r="T841" s="738" t="str">
        <f t="shared" si="44"/>
        <v>m³</v>
      </c>
      <c r="U841" s="738"/>
      <c r="W841" s="288"/>
      <c r="X841" s="288"/>
      <c r="Y841" s="288"/>
      <c r="Z841" s="288"/>
      <c r="AA841" s="288"/>
    </row>
    <row r="842" spans="1:27" x14ac:dyDescent="0.2">
      <c r="A842" s="913"/>
      <c r="B842" s="666"/>
      <c r="C842" s="290" t="s">
        <v>1570</v>
      </c>
      <c r="D842" s="290">
        <v>77</v>
      </c>
      <c r="E842" s="291" t="s">
        <v>8</v>
      </c>
      <c r="F842" s="675">
        <v>15</v>
      </c>
      <c r="G842" s="381"/>
      <c r="J842" s="383" t="s">
        <v>1564</v>
      </c>
      <c r="K842" s="298"/>
      <c r="M842" s="298">
        <v>0.2</v>
      </c>
      <c r="N842" s="876">
        <f t="shared" si="48"/>
        <v>19.399999999999999</v>
      </c>
      <c r="O842" s="313"/>
      <c r="P842" s="301" t="s">
        <v>1571</v>
      </c>
      <c r="Q842" s="315"/>
      <c r="R842" s="909"/>
      <c r="S842" s="738">
        <f t="shared" si="43"/>
        <v>4210.75</v>
      </c>
      <c r="T842" s="738" t="str">
        <f t="shared" si="44"/>
        <v>m³</v>
      </c>
      <c r="U842" s="738"/>
      <c r="W842" s="288"/>
      <c r="X842" s="288"/>
      <c r="Y842" s="288"/>
      <c r="Z842" s="288"/>
      <c r="AA842" s="288"/>
    </row>
    <row r="843" spans="1:27" x14ac:dyDescent="0.2">
      <c r="A843" s="913"/>
      <c r="B843" s="666"/>
      <c r="C843" s="290" t="s">
        <v>1570</v>
      </c>
      <c r="D843" s="290">
        <v>106</v>
      </c>
      <c r="E843" s="291" t="s">
        <v>8</v>
      </c>
      <c r="F843" s="675">
        <v>5</v>
      </c>
      <c r="G843" s="381"/>
      <c r="J843" s="383" t="s">
        <v>1556</v>
      </c>
      <c r="K843" s="298"/>
      <c r="M843" s="298">
        <v>0.2</v>
      </c>
      <c r="N843" s="876">
        <f t="shared" si="48"/>
        <v>19.399999999999999</v>
      </c>
      <c r="O843" s="313"/>
      <c r="P843" s="301" t="s">
        <v>1571</v>
      </c>
      <c r="Q843" s="315"/>
      <c r="R843" s="909"/>
      <c r="S843" s="738">
        <f t="shared" si="43"/>
        <v>4210.75</v>
      </c>
      <c r="T843" s="738" t="str">
        <f t="shared" si="44"/>
        <v>m³</v>
      </c>
      <c r="U843" s="738"/>
      <c r="W843" s="288"/>
      <c r="X843" s="288"/>
      <c r="Y843" s="288"/>
      <c r="Z843" s="288"/>
      <c r="AA843" s="288"/>
    </row>
    <row r="844" spans="1:27" x14ac:dyDescent="0.2">
      <c r="A844" s="913"/>
      <c r="B844" s="666"/>
      <c r="C844" s="290" t="s">
        <v>1570</v>
      </c>
      <c r="D844" s="290">
        <v>109</v>
      </c>
      <c r="E844" s="291" t="s">
        <v>8</v>
      </c>
      <c r="F844" s="675">
        <v>15</v>
      </c>
      <c r="G844" s="381"/>
      <c r="J844" s="383" t="s">
        <v>1564</v>
      </c>
      <c r="K844" s="298"/>
      <c r="M844" s="298">
        <v>0.2</v>
      </c>
      <c r="N844" s="876">
        <f t="shared" si="48"/>
        <v>19.399999999999999</v>
      </c>
      <c r="O844" s="313"/>
      <c r="P844" s="301" t="s">
        <v>1571</v>
      </c>
      <c r="Q844" s="315"/>
      <c r="R844" s="909"/>
      <c r="S844" s="738">
        <f t="shared" si="43"/>
        <v>4210.75</v>
      </c>
      <c r="T844" s="738" t="str">
        <f t="shared" si="44"/>
        <v>m³</v>
      </c>
      <c r="U844" s="738"/>
      <c r="W844" s="288"/>
      <c r="X844" s="288"/>
      <c r="Y844" s="288"/>
      <c r="Z844" s="288"/>
      <c r="AA844" s="288"/>
    </row>
    <row r="845" spans="1:27" x14ac:dyDescent="0.2">
      <c r="A845" s="899"/>
      <c r="B845" s="353"/>
      <c r="C845" s="354" t="s">
        <v>2</v>
      </c>
      <c r="D845" s="355"/>
      <c r="E845" s="352"/>
      <c r="F845" s="356"/>
      <c r="G845" s="355"/>
      <c r="H845" s="356"/>
      <c r="I845" s="356"/>
      <c r="J845" s="353"/>
      <c r="K845" s="357"/>
      <c r="L845" s="358"/>
      <c r="M845" s="359"/>
      <c r="N845" s="360">
        <f>SUM(N834:N844)</f>
        <v>4210.75</v>
      </c>
      <c r="O845" s="361" t="str">
        <f>IF(MID(B832,1,2)="LG",VLOOKUP(B832,'Compos lug'!J:M,4,FALSE),IF(MID(B832,1,1)="6",VLOOKUP(B832,tranp.!$A$6:$K$38,3,FALSE),VLOOKUP(B832,'DER 10-18'!$A$1:$I$1994,3,FALSE)))</f>
        <v>m³</v>
      </c>
      <c r="P845" s="362"/>
      <c r="Q845" s="362"/>
      <c r="R845" s="900"/>
      <c r="S845" s="738">
        <f t="shared" si="43"/>
        <v>19575.259999999998</v>
      </c>
      <c r="T845" s="738" t="str">
        <f t="shared" si="44"/>
        <v>M3</v>
      </c>
      <c r="U845" s="738"/>
      <c r="W845" s="288"/>
      <c r="X845" s="288"/>
      <c r="Y845" s="288"/>
      <c r="Z845" s="288"/>
      <c r="AA845" s="288"/>
    </row>
    <row r="846" spans="1:27" x14ac:dyDescent="0.2">
      <c r="A846" s="294"/>
      <c r="B846" s="293"/>
      <c r="C846" s="343"/>
      <c r="H846" s="292"/>
      <c r="N846" s="314"/>
      <c r="O846" s="344"/>
      <c r="P846" s="315"/>
      <c r="Q846" s="315"/>
      <c r="R846" s="903"/>
      <c r="S846" s="738">
        <f t="shared" si="43"/>
        <v>19575.259999999998</v>
      </c>
      <c r="T846" s="738" t="str">
        <f t="shared" si="44"/>
        <v>M3</v>
      </c>
      <c r="U846" s="738"/>
    </row>
    <row r="847" spans="1:27" ht="25.5" x14ac:dyDescent="0.2">
      <c r="A847" s="913" t="s">
        <v>270</v>
      </c>
      <c r="B847" s="666">
        <v>40780</v>
      </c>
      <c r="C847" s="347" t="str">
        <f>IF(MID(B847,1,2)="LG",VLOOKUP(B847,'Compos lug'!J:M,3,FALSE),IF(MID(B847,1,1)="6",VLOOKUP(B847,tranp.!$A$4:$K$19,11,FALSE)&amp;" -  XP="&amp;TEXT(T847,"0.000")&amp;" / XR="&amp;TEXT(V847,"0.000"),VLOOKUP(B847,'DER 10-18'!$A$1:$I$1981,2,FALSE)))</f>
        <v>Sub-base solo brita, 50% em peso, inclusive fornecimento e transporte da brita</v>
      </c>
      <c r="D847" s="1059" t="s">
        <v>1000</v>
      </c>
      <c r="E847" s="1060"/>
      <c r="F847" s="1061"/>
      <c r="G847" s="1059" t="s">
        <v>1001</v>
      </c>
      <c r="H847" s="1060"/>
      <c r="I847" s="1061"/>
      <c r="J847" s="349" t="s">
        <v>989</v>
      </c>
      <c r="K847" s="876" t="s">
        <v>998</v>
      </c>
      <c r="L847" s="876" t="s">
        <v>994</v>
      </c>
      <c r="M847" s="876" t="s">
        <v>1009</v>
      </c>
      <c r="N847" s="876" t="str">
        <f>CONCATENATE("Total (",IF(MID(B847,1,2)="LG",VLOOKUP(B847,'Compos lug'!J:M,4,FALSE),IF(MID(B847,1,1)="6","t",VLOOKUP(B847,'DER 10-18'!$A$1:$I$1981,3,FALSE))),")")</f>
        <v>Total (M3)</v>
      </c>
      <c r="O847" s="313"/>
      <c r="P847" s="315"/>
      <c r="Q847" s="315"/>
      <c r="R847" s="909"/>
      <c r="S847" s="738">
        <f t="shared" si="43"/>
        <v>19575.259999999998</v>
      </c>
      <c r="T847" s="738" t="str">
        <f t="shared" si="44"/>
        <v>M3</v>
      </c>
      <c r="U847" s="738"/>
    </row>
    <row r="848" spans="1:27" x14ac:dyDescent="0.2">
      <c r="A848" s="294"/>
      <c r="B848" s="293"/>
      <c r="C848" s="744" t="s">
        <v>1552</v>
      </c>
      <c r="N848" s="876"/>
      <c r="R848" s="912"/>
      <c r="S848" s="738">
        <f t="shared" si="43"/>
        <v>19575.259999999998</v>
      </c>
      <c r="T848" s="738" t="str">
        <f t="shared" si="44"/>
        <v>M3</v>
      </c>
    </row>
    <row r="849" spans="1:21" x14ac:dyDescent="0.2">
      <c r="A849" s="913"/>
      <c r="B849" s="666"/>
      <c r="C849" s="580" t="s">
        <v>1065</v>
      </c>
      <c r="D849" s="870">
        <v>0</v>
      </c>
      <c r="E849" s="871" t="s">
        <v>8</v>
      </c>
      <c r="F849" s="667">
        <v>0</v>
      </c>
      <c r="G849" s="871">
        <v>55</v>
      </c>
      <c r="H849" s="871" t="s">
        <v>8</v>
      </c>
      <c r="I849" s="668">
        <v>0</v>
      </c>
      <c r="J849" s="349"/>
      <c r="K849" s="876">
        <f t="shared" ref="K849:K855" si="49">(G849*20+I849)-(D849*20+F849)</f>
        <v>1100</v>
      </c>
      <c r="L849" s="876">
        <v>11.8</v>
      </c>
      <c r="M849" s="298">
        <v>0.15</v>
      </c>
      <c r="N849" s="876">
        <f>TRUNC(K849*L849*M849,3)</f>
        <v>1947</v>
      </c>
      <c r="O849" s="313"/>
      <c r="P849" s="315"/>
      <c r="Q849" s="315"/>
      <c r="R849" s="909"/>
      <c r="S849" s="738">
        <f t="shared" si="43"/>
        <v>19575.259999999998</v>
      </c>
      <c r="T849" s="738" t="str">
        <f t="shared" si="44"/>
        <v>M3</v>
      </c>
      <c r="U849" s="738"/>
    </row>
    <row r="850" spans="1:21" x14ac:dyDescent="0.2">
      <c r="A850" s="913"/>
      <c r="B850" s="666"/>
      <c r="C850" s="580" t="s">
        <v>1065</v>
      </c>
      <c r="D850" s="870">
        <v>70</v>
      </c>
      <c r="E850" s="871" t="s">
        <v>8</v>
      </c>
      <c r="F850" s="667">
        <v>0</v>
      </c>
      <c r="G850" s="871">
        <v>284</v>
      </c>
      <c r="H850" s="871" t="s">
        <v>8</v>
      </c>
      <c r="I850" s="668">
        <v>16</v>
      </c>
      <c r="J850" s="349"/>
      <c r="K850" s="876">
        <f t="shared" si="49"/>
        <v>4296</v>
      </c>
      <c r="L850" s="876">
        <v>11.8</v>
      </c>
      <c r="M850" s="298">
        <v>0.15</v>
      </c>
      <c r="N850" s="876">
        <f>TRUNC(K850*L850*M850,3)</f>
        <v>7603.92</v>
      </c>
      <c r="O850" s="313"/>
      <c r="P850" s="315"/>
      <c r="Q850" s="315"/>
      <c r="R850" s="909"/>
      <c r="S850" s="738">
        <f t="shared" si="43"/>
        <v>19575.259999999998</v>
      </c>
      <c r="T850" s="738" t="str">
        <f t="shared" si="44"/>
        <v>M3</v>
      </c>
      <c r="U850" s="738"/>
    </row>
    <row r="851" spans="1:21" x14ac:dyDescent="0.2">
      <c r="A851" s="913"/>
      <c r="B851" s="666"/>
      <c r="C851" s="580" t="s">
        <v>1065</v>
      </c>
      <c r="D851" s="870">
        <v>327</v>
      </c>
      <c r="E851" s="871" t="s">
        <v>8</v>
      </c>
      <c r="F851" s="667">
        <v>15</v>
      </c>
      <c r="G851" s="871">
        <v>341</v>
      </c>
      <c r="H851" s="871" t="s">
        <v>8</v>
      </c>
      <c r="I851" s="668">
        <v>8</v>
      </c>
      <c r="J851" s="349"/>
      <c r="K851" s="876">
        <f t="shared" si="49"/>
        <v>273</v>
      </c>
      <c r="L851" s="876">
        <v>11.8</v>
      </c>
      <c r="M851" s="298">
        <v>0.15</v>
      </c>
      <c r="N851" s="876">
        <f t="shared" ref="N851:N855" si="50">TRUNC(K851*L851*M851,3)</f>
        <v>483.21</v>
      </c>
      <c r="O851" s="313"/>
      <c r="P851" s="315"/>
      <c r="Q851" s="315"/>
      <c r="R851" s="909"/>
      <c r="S851" s="738">
        <f t="shared" si="43"/>
        <v>19575.259999999998</v>
      </c>
      <c r="T851" s="738" t="str">
        <f t="shared" si="44"/>
        <v>M3</v>
      </c>
      <c r="U851" s="738"/>
    </row>
    <row r="852" spans="1:21" x14ac:dyDescent="0.2">
      <c r="A852" s="913"/>
      <c r="B852" s="666"/>
      <c r="C852" s="580" t="s">
        <v>1065</v>
      </c>
      <c r="D852" s="870">
        <v>342</v>
      </c>
      <c r="E852" s="871" t="s">
        <v>8</v>
      </c>
      <c r="F852" s="667">
        <v>3</v>
      </c>
      <c r="G852" s="871">
        <v>375</v>
      </c>
      <c r="H852" s="871" t="s">
        <v>8</v>
      </c>
      <c r="I852" s="668">
        <v>0</v>
      </c>
      <c r="J852" s="349"/>
      <c r="K852" s="876">
        <f t="shared" si="49"/>
        <v>657</v>
      </c>
      <c r="L852" s="876">
        <v>11.8</v>
      </c>
      <c r="M852" s="298">
        <v>0.15</v>
      </c>
      <c r="N852" s="876">
        <f t="shared" si="50"/>
        <v>1162.8900000000001</v>
      </c>
      <c r="O852" s="313"/>
      <c r="P852" s="315"/>
      <c r="Q852" s="315"/>
      <c r="R852" s="909"/>
      <c r="S852" s="738">
        <f t="shared" si="43"/>
        <v>19575.259999999998</v>
      </c>
      <c r="T852" s="738" t="str">
        <f t="shared" si="44"/>
        <v>M3</v>
      </c>
      <c r="U852" s="738"/>
    </row>
    <row r="853" spans="1:21" x14ac:dyDescent="0.2">
      <c r="A853" s="913"/>
      <c r="B853" s="666"/>
      <c r="C853" s="580" t="s">
        <v>1065</v>
      </c>
      <c r="D853" s="870">
        <v>375</v>
      </c>
      <c r="E853" s="871" t="s">
        <v>8</v>
      </c>
      <c r="F853" s="667">
        <v>0</v>
      </c>
      <c r="G853" s="871">
        <v>382</v>
      </c>
      <c r="H853" s="871" t="s">
        <v>8</v>
      </c>
      <c r="I853" s="668">
        <v>0</v>
      </c>
      <c r="J853" s="349"/>
      <c r="K853" s="876">
        <f t="shared" si="49"/>
        <v>140</v>
      </c>
      <c r="L853" s="876">
        <v>7.8</v>
      </c>
      <c r="M853" s="298">
        <v>0.15</v>
      </c>
      <c r="N853" s="876">
        <f t="shared" si="50"/>
        <v>163.80000000000001</v>
      </c>
      <c r="O853" s="313"/>
      <c r="P853" s="315"/>
      <c r="Q853" s="315"/>
      <c r="R853" s="909"/>
      <c r="S853" s="738">
        <f t="shared" si="43"/>
        <v>19575.259999999998</v>
      </c>
      <c r="T853" s="738" t="str">
        <f t="shared" si="44"/>
        <v>M3</v>
      </c>
      <c r="U853" s="738"/>
    </row>
    <row r="854" spans="1:21" x14ac:dyDescent="0.2">
      <c r="A854" s="913"/>
      <c r="B854" s="666"/>
      <c r="C854" s="580" t="s">
        <v>1065</v>
      </c>
      <c r="D854" s="870">
        <v>382</v>
      </c>
      <c r="E854" s="871" t="s">
        <v>8</v>
      </c>
      <c r="F854" s="667">
        <v>0</v>
      </c>
      <c r="G854" s="871">
        <v>536</v>
      </c>
      <c r="H854" s="871" t="s">
        <v>8</v>
      </c>
      <c r="I854" s="668">
        <v>6</v>
      </c>
      <c r="J854" s="349"/>
      <c r="K854" s="876">
        <f t="shared" si="49"/>
        <v>3086</v>
      </c>
      <c r="L854" s="876">
        <v>11.8</v>
      </c>
      <c r="M854" s="298">
        <v>0.15</v>
      </c>
      <c r="N854" s="876">
        <f t="shared" si="50"/>
        <v>5462.22</v>
      </c>
      <c r="O854" s="313"/>
      <c r="P854" s="315"/>
      <c r="Q854" s="315"/>
      <c r="R854" s="909"/>
      <c r="S854" s="738">
        <f t="shared" si="43"/>
        <v>19575.259999999998</v>
      </c>
      <c r="T854" s="738" t="str">
        <f t="shared" si="44"/>
        <v>M3</v>
      </c>
      <c r="U854" s="738"/>
    </row>
    <row r="855" spans="1:21" x14ac:dyDescent="0.2">
      <c r="A855" s="913"/>
      <c r="B855" s="666"/>
      <c r="C855" s="580" t="s">
        <v>1065</v>
      </c>
      <c r="D855" s="870">
        <v>536</v>
      </c>
      <c r="E855" s="871" t="s">
        <v>8</v>
      </c>
      <c r="F855" s="667">
        <v>16</v>
      </c>
      <c r="G855" s="871">
        <v>561</v>
      </c>
      <c r="H855" s="871" t="s">
        <v>8</v>
      </c>
      <c r="I855" s="668">
        <v>12.45</v>
      </c>
      <c r="J855" s="349"/>
      <c r="K855" s="876">
        <f t="shared" si="49"/>
        <v>496.45</v>
      </c>
      <c r="L855" s="876">
        <v>11.8</v>
      </c>
      <c r="M855" s="298">
        <v>0.15</v>
      </c>
      <c r="N855" s="876">
        <f t="shared" si="50"/>
        <v>878.72</v>
      </c>
      <c r="O855" s="313"/>
      <c r="P855" s="315"/>
      <c r="Q855" s="315"/>
      <c r="R855" s="909"/>
      <c r="S855" s="738">
        <f t="shared" si="43"/>
        <v>19575.259999999998</v>
      </c>
      <c r="T855" s="738" t="str">
        <f t="shared" si="44"/>
        <v>M3</v>
      </c>
      <c r="U855" s="738"/>
    </row>
    <row r="856" spans="1:21" x14ac:dyDescent="0.2">
      <c r="A856" s="913"/>
      <c r="B856" s="666"/>
      <c r="C856" s="580"/>
      <c r="D856" s="870"/>
      <c r="E856" s="871"/>
      <c r="F856" s="667"/>
      <c r="G856" s="871"/>
      <c r="H856" s="871"/>
      <c r="I856" s="668"/>
      <c r="J856" s="349"/>
      <c r="K856" s="876" t="s">
        <v>1427</v>
      </c>
      <c r="L856" s="876"/>
      <c r="M856" s="298"/>
      <c r="N856" s="876"/>
      <c r="O856" s="313"/>
      <c r="P856" s="315"/>
      <c r="Q856" s="315"/>
      <c r="R856" s="909"/>
      <c r="S856" s="738">
        <f t="shared" si="43"/>
        <v>19575.259999999998</v>
      </c>
      <c r="T856" s="738" t="str">
        <f t="shared" si="44"/>
        <v>M3</v>
      </c>
      <c r="U856" s="738"/>
    </row>
    <row r="857" spans="1:21" x14ac:dyDescent="0.2">
      <c r="A857" s="913"/>
      <c r="B857" s="666"/>
      <c r="C857" s="580" t="s">
        <v>1432</v>
      </c>
      <c r="D857" s="870">
        <v>55</v>
      </c>
      <c r="E857" s="871" t="s">
        <v>8</v>
      </c>
      <c r="F857" s="667">
        <v>0</v>
      </c>
      <c r="G857" s="871">
        <v>70</v>
      </c>
      <c r="H857" s="871" t="s">
        <v>8</v>
      </c>
      <c r="I857" s="668">
        <v>0</v>
      </c>
      <c r="J857" s="349"/>
      <c r="K857" s="884">
        <v>4690</v>
      </c>
      <c r="L857" s="876"/>
      <c r="M857" s="298">
        <v>0.15</v>
      </c>
      <c r="N857" s="876">
        <f>TRUNC(K857*M857,3)</f>
        <v>703.5</v>
      </c>
      <c r="O857" s="313"/>
      <c r="P857" s="315"/>
      <c r="Q857" s="315"/>
      <c r="R857" s="909"/>
      <c r="S857" s="738">
        <f t="shared" si="43"/>
        <v>19575.259999999998</v>
      </c>
      <c r="T857" s="738" t="str">
        <f t="shared" si="44"/>
        <v>M3</v>
      </c>
      <c r="U857" s="738"/>
    </row>
    <row r="858" spans="1:21" x14ac:dyDescent="0.2">
      <c r="A858" s="913"/>
      <c r="B858" s="666"/>
      <c r="C858" s="580" t="s">
        <v>1426</v>
      </c>
      <c r="D858" s="870">
        <v>38</v>
      </c>
      <c r="E858" s="871" t="s">
        <v>8</v>
      </c>
      <c r="F858" s="667">
        <v>0</v>
      </c>
      <c r="G858" s="871"/>
      <c r="H858" s="871"/>
      <c r="I858" s="668"/>
      <c r="J858" s="349" t="s">
        <v>1102</v>
      </c>
      <c r="K858" s="884">
        <v>300</v>
      </c>
      <c r="L858" s="876"/>
      <c r="M858" s="298">
        <v>0.15</v>
      </c>
      <c r="N858" s="876">
        <f>TRUNC(K858*M858,3)</f>
        <v>45</v>
      </c>
      <c r="O858" s="313"/>
      <c r="P858" s="315"/>
      <c r="Q858" s="315"/>
      <c r="R858" s="909"/>
      <c r="S858" s="738">
        <f t="shared" si="43"/>
        <v>19575.259999999998</v>
      </c>
      <c r="T858" s="738" t="str">
        <f t="shared" si="44"/>
        <v>M3</v>
      </c>
      <c r="U858" s="738"/>
    </row>
    <row r="859" spans="1:21" x14ac:dyDescent="0.2">
      <c r="A859" s="913"/>
      <c r="B859" s="666"/>
      <c r="C859" s="580" t="s">
        <v>1426</v>
      </c>
      <c r="D859" s="870">
        <v>42</v>
      </c>
      <c r="E859" s="871" t="s">
        <v>8</v>
      </c>
      <c r="F859" s="667">
        <v>0</v>
      </c>
      <c r="G859" s="871"/>
      <c r="H859" s="871"/>
      <c r="I859" s="668"/>
      <c r="J859" s="349" t="s">
        <v>1101</v>
      </c>
      <c r="K859" s="884">
        <v>300</v>
      </c>
      <c r="L859" s="876"/>
      <c r="M859" s="298">
        <v>0.15</v>
      </c>
      <c r="N859" s="876">
        <f t="shared" ref="N859:N883" si="51">TRUNC(K859*M859,3)</f>
        <v>45</v>
      </c>
      <c r="O859" s="313"/>
      <c r="P859" s="315"/>
      <c r="Q859" s="315"/>
      <c r="R859" s="909"/>
      <c r="S859" s="738">
        <f t="shared" ref="S859:S885" si="52">VLOOKUP("Total",C860:O2545,12,FALSE)</f>
        <v>19575.259999999998</v>
      </c>
      <c r="T859" s="738" t="str">
        <f t="shared" ref="T859:T885" si="53">VLOOKUP("Total",C860:O2545,13,FALSE)</f>
        <v>M3</v>
      </c>
      <c r="U859" s="738"/>
    </row>
    <row r="860" spans="1:21" x14ac:dyDescent="0.2">
      <c r="A860" s="913"/>
      <c r="B860" s="666"/>
      <c r="C860" s="580" t="s">
        <v>1426</v>
      </c>
      <c r="D860" s="870">
        <v>72</v>
      </c>
      <c r="E860" s="871" t="s">
        <v>8</v>
      </c>
      <c r="F860" s="667">
        <v>0</v>
      </c>
      <c r="G860" s="871"/>
      <c r="H860" s="871"/>
      <c r="I860" s="668"/>
      <c r="J860" s="349" t="s">
        <v>1102</v>
      </c>
      <c r="K860" s="884">
        <v>300</v>
      </c>
      <c r="L860" s="876"/>
      <c r="M860" s="298">
        <v>0.15</v>
      </c>
      <c r="N860" s="876">
        <f t="shared" si="51"/>
        <v>45</v>
      </c>
      <c r="O860" s="313"/>
      <c r="P860" s="315"/>
      <c r="Q860" s="315"/>
      <c r="R860" s="909"/>
      <c r="S860" s="738">
        <f t="shared" si="52"/>
        <v>19575.259999999998</v>
      </c>
      <c r="T860" s="738" t="str">
        <f t="shared" si="53"/>
        <v>M3</v>
      </c>
      <c r="U860" s="738"/>
    </row>
    <row r="861" spans="1:21" x14ac:dyDescent="0.2">
      <c r="A861" s="913"/>
      <c r="B861" s="666"/>
      <c r="C861" s="580" t="s">
        <v>1426</v>
      </c>
      <c r="D861" s="870">
        <v>76</v>
      </c>
      <c r="E861" s="871" t="s">
        <v>8</v>
      </c>
      <c r="F861" s="667">
        <v>0</v>
      </c>
      <c r="G861" s="871"/>
      <c r="H861" s="871"/>
      <c r="I861" s="668"/>
      <c r="J861" s="349" t="s">
        <v>1101</v>
      </c>
      <c r="K861" s="884">
        <v>300</v>
      </c>
      <c r="L861" s="876"/>
      <c r="M861" s="298">
        <v>0.15</v>
      </c>
      <c r="N861" s="876">
        <f t="shared" si="51"/>
        <v>45</v>
      </c>
      <c r="O861" s="313"/>
      <c r="P861" s="315"/>
      <c r="Q861" s="315"/>
      <c r="R861" s="909"/>
      <c r="S861" s="738">
        <f t="shared" si="52"/>
        <v>19575.259999999998</v>
      </c>
      <c r="T861" s="738" t="str">
        <f t="shared" si="53"/>
        <v>M3</v>
      </c>
      <c r="U861" s="738"/>
    </row>
    <row r="862" spans="1:21" x14ac:dyDescent="0.2">
      <c r="A862" s="913"/>
      <c r="B862" s="666"/>
      <c r="C862" s="580" t="s">
        <v>1426</v>
      </c>
      <c r="D862" s="870">
        <v>113</v>
      </c>
      <c r="E862" s="871" t="s">
        <v>8</v>
      </c>
      <c r="F862" s="667">
        <v>0</v>
      </c>
      <c r="G862" s="871"/>
      <c r="H862" s="871"/>
      <c r="I862" s="668"/>
      <c r="J862" s="349" t="s">
        <v>1102</v>
      </c>
      <c r="K862" s="884">
        <v>300</v>
      </c>
      <c r="L862" s="876"/>
      <c r="M862" s="298">
        <v>0.15</v>
      </c>
      <c r="N862" s="876">
        <f t="shared" si="51"/>
        <v>45</v>
      </c>
      <c r="O862" s="313"/>
      <c r="P862" s="315"/>
      <c r="Q862" s="315"/>
      <c r="R862" s="909"/>
      <c r="S862" s="738">
        <f t="shared" si="52"/>
        <v>19575.259999999998</v>
      </c>
      <c r="T862" s="738" t="str">
        <f t="shared" si="53"/>
        <v>M3</v>
      </c>
      <c r="U862" s="738"/>
    </row>
    <row r="863" spans="1:21" x14ac:dyDescent="0.2">
      <c r="A863" s="913"/>
      <c r="B863" s="666"/>
      <c r="C863" s="580" t="s">
        <v>1426</v>
      </c>
      <c r="D863" s="870">
        <v>117</v>
      </c>
      <c r="E863" s="871" t="s">
        <v>8</v>
      </c>
      <c r="F863" s="667">
        <v>0</v>
      </c>
      <c r="G863" s="871"/>
      <c r="H863" s="871"/>
      <c r="I863" s="668"/>
      <c r="J863" s="349" t="s">
        <v>1101</v>
      </c>
      <c r="K863" s="884">
        <v>300</v>
      </c>
      <c r="L863" s="876"/>
      <c r="M863" s="298">
        <v>0.15</v>
      </c>
      <c r="N863" s="876">
        <f t="shared" si="51"/>
        <v>45</v>
      </c>
      <c r="O863" s="313"/>
      <c r="P863" s="315"/>
      <c r="Q863" s="315"/>
      <c r="R863" s="909"/>
      <c r="S863" s="738">
        <f t="shared" si="52"/>
        <v>19575.259999999998</v>
      </c>
      <c r="T863" s="738" t="str">
        <f t="shared" si="53"/>
        <v>M3</v>
      </c>
      <c r="U863" s="738"/>
    </row>
    <row r="864" spans="1:21" x14ac:dyDescent="0.2">
      <c r="A864" s="913"/>
      <c r="B864" s="666"/>
      <c r="C864" s="580" t="s">
        <v>1426</v>
      </c>
      <c r="D864" s="870">
        <v>146</v>
      </c>
      <c r="E864" s="871" t="s">
        <v>8</v>
      </c>
      <c r="F864" s="667">
        <v>0</v>
      </c>
      <c r="G864" s="871"/>
      <c r="H864" s="871"/>
      <c r="I864" s="668"/>
      <c r="J864" s="349" t="s">
        <v>1102</v>
      </c>
      <c r="K864" s="884">
        <v>300</v>
      </c>
      <c r="L864" s="876"/>
      <c r="M864" s="298">
        <v>0.15</v>
      </c>
      <c r="N864" s="876">
        <f t="shared" si="51"/>
        <v>45</v>
      </c>
      <c r="O864" s="313"/>
      <c r="P864" s="315"/>
      <c r="Q864" s="315"/>
      <c r="R864" s="909"/>
      <c r="S864" s="738">
        <f t="shared" si="52"/>
        <v>19575.259999999998</v>
      </c>
      <c r="T864" s="738" t="str">
        <f t="shared" si="53"/>
        <v>M3</v>
      </c>
      <c r="U864" s="738"/>
    </row>
    <row r="865" spans="1:21" x14ac:dyDescent="0.2">
      <c r="A865" s="913"/>
      <c r="B865" s="666"/>
      <c r="C865" s="580" t="s">
        <v>1426</v>
      </c>
      <c r="D865" s="870">
        <v>150</v>
      </c>
      <c r="E865" s="871" t="s">
        <v>8</v>
      </c>
      <c r="F865" s="667">
        <v>0</v>
      </c>
      <c r="G865" s="871"/>
      <c r="H865" s="871"/>
      <c r="I865" s="668"/>
      <c r="J865" s="349" t="s">
        <v>1101</v>
      </c>
      <c r="K865" s="884">
        <v>300</v>
      </c>
      <c r="L865" s="876"/>
      <c r="M865" s="298">
        <v>0.15</v>
      </c>
      <c r="N865" s="876">
        <f t="shared" si="51"/>
        <v>45</v>
      </c>
      <c r="O865" s="313"/>
      <c r="P865" s="315"/>
      <c r="Q865" s="315"/>
      <c r="R865" s="909"/>
      <c r="S865" s="738">
        <f t="shared" si="52"/>
        <v>19575.259999999998</v>
      </c>
      <c r="T865" s="738" t="str">
        <f t="shared" si="53"/>
        <v>M3</v>
      </c>
      <c r="U865" s="738"/>
    </row>
    <row r="866" spans="1:21" x14ac:dyDescent="0.2">
      <c r="A866" s="913"/>
      <c r="B866" s="666"/>
      <c r="C866" s="580" t="s">
        <v>1426</v>
      </c>
      <c r="D866" s="870">
        <v>203</v>
      </c>
      <c r="E866" s="871" t="s">
        <v>8</v>
      </c>
      <c r="F866" s="667">
        <v>0</v>
      </c>
      <c r="G866" s="871"/>
      <c r="H866" s="871"/>
      <c r="I866" s="668"/>
      <c r="J866" s="349" t="s">
        <v>1102</v>
      </c>
      <c r="K866" s="884">
        <v>300</v>
      </c>
      <c r="L866" s="876"/>
      <c r="M866" s="298">
        <v>0.15</v>
      </c>
      <c r="N866" s="876">
        <f t="shared" si="51"/>
        <v>45</v>
      </c>
      <c r="O866" s="313"/>
      <c r="P866" s="315"/>
      <c r="Q866" s="315"/>
      <c r="R866" s="909"/>
      <c r="S866" s="738">
        <f t="shared" si="52"/>
        <v>19575.259999999998</v>
      </c>
      <c r="T866" s="738" t="str">
        <f t="shared" si="53"/>
        <v>M3</v>
      </c>
      <c r="U866" s="738"/>
    </row>
    <row r="867" spans="1:21" x14ac:dyDescent="0.2">
      <c r="A867" s="913"/>
      <c r="B867" s="666"/>
      <c r="C867" s="580" t="s">
        <v>1426</v>
      </c>
      <c r="D867" s="870">
        <v>207</v>
      </c>
      <c r="E867" s="871" t="s">
        <v>8</v>
      </c>
      <c r="F867" s="667">
        <v>0</v>
      </c>
      <c r="G867" s="871"/>
      <c r="H867" s="871"/>
      <c r="I867" s="668"/>
      <c r="J867" s="349" t="s">
        <v>1101</v>
      </c>
      <c r="K867" s="884">
        <v>300</v>
      </c>
      <c r="L867" s="876"/>
      <c r="M867" s="298">
        <v>0.15</v>
      </c>
      <c r="N867" s="876">
        <f t="shared" si="51"/>
        <v>45</v>
      </c>
      <c r="O867" s="313"/>
      <c r="P867" s="315"/>
      <c r="Q867" s="315"/>
      <c r="R867" s="909"/>
      <c r="S867" s="738">
        <f t="shared" si="52"/>
        <v>19575.259999999998</v>
      </c>
      <c r="T867" s="738" t="str">
        <f t="shared" si="53"/>
        <v>M3</v>
      </c>
      <c r="U867" s="738"/>
    </row>
    <row r="868" spans="1:21" x14ac:dyDescent="0.2">
      <c r="A868" s="913"/>
      <c r="B868" s="666"/>
      <c r="C868" s="580" t="s">
        <v>1426</v>
      </c>
      <c r="D868" s="870">
        <v>255</v>
      </c>
      <c r="E868" s="871" t="s">
        <v>8</v>
      </c>
      <c r="F868" s="667">
        <v>0</v>
      </c>
      <c r="G868" s="871"/>
      <c r="H868" s="871"/>
      <c r="I868" s="668"/>
      <c r="J868" s="349" t="s">
        <v>1102</v>
      </c>
      <c r="K868" s="884">
        <v>300</v>
      </c>
      <c r="L868" s="876"/>
      <c r="M868" s="298">
        <v>0.15</v>
      </c>
      <c r="N868" s="876">
        <f t="shared" si="51"/>
        <v>45</v>
      </c>
      <c r="O868" s="313"/>
      <c r="P868" s="315"/>
      <c r="Q868" s="315"/>
      <c r="R868" s="909"/>
      <c r="S868" s="738">
        <f t="shared" si="52"/>
        <v>19575.259999999998</v>
      </c>
      <c r="T868" s="738" t="str">
        <f t="shared" si="53"/>
        <v>M3</v>
      </c>
      <c r="U868" s="738"/>
    </row>
    <row r="869" spans="1:21" x14ac:dyDescent="0.2">
      <c r="A869" s="913"/>
      <c r="B869" s="666"/>
      <c r="C869" s="580" t="s">
        <v>1426</v>
      </c>
      <c r="D869" s="870">
        <v>259</v>
      </c>
      <c r="E869" s="871" t="s">
        <v>8</v>
      </c>
      <c r="F869" s="667">
        <v>0</v>
      </c>
      <c r="G869" s="871"/>
      <c r="H869" s="871"/>
      <c r="I869" s="668"/>
      <c r="J869" s="349" t="s">
        <v>1101</v>
      </c>
      <c r="K869" s="884">
        <v>300</v>
      </c>
      <c r="L869" s="876"/>
      <c r="M869" s="298">
        <v>0.15</v>
      </c>
      <c r="N869" s="876">
        <f t="shared" si="51"/>
        <v>45</v>
      </c>
      <c r="O869" s="313"/>
      <c r="P869" s="315"/>
      <c r="Q869" s="315"/>
      <c r="R869" s="909"/>
      <c r="S869" s="738">
        <f t="shared" si="52"/>
        <v>19575.259999999998</v>
      </c>
      <c r="T869" s="738" t="str">
        <f t="shared" si="53"/>
        <v>M3</v>
      </c>
      <c r="U869" s="738"/>
    </row>
    <row r="870" spans="1:21" x14ac:dyDescent="0.2">
      <c r="A870" s="913"/>
      <c r="B870" s="666"/>
      <c r="C870" s="580" t="s">
        <v>1426</v>
      </c>
      <c r="D870" s="870">
        <v>352</v>
      </c>
      <c r="E870" s="871" t="s">
        <v>8</v>
      </c>
      <c r="F870" s="667">
        <v>0</v>
      </c>
      <c r="G870" s="871"/>
      <c r="H870" s="871"/>
      <c r="I870" s="668"/>
      <c r="J870" s="349" t="s">
        <v>1101</v>
      </c>
      <c r="K870" s="884">
        <v>300</v>
      </c>
      <c r="L870" s="876"/>
      <c r="M870" s="298">
        <v>0.15</v>
      </c>
      <c r="N870" s="876">
        <f t="shared" si="51"/>
        <v>45</v>
      </c>
      <c r="O870" s="313"/>
      <c r="P870" s="315"/>
      <c r="Q870" s="315"/>
      <c r="R870" s="909"/>
      <c r="S870" s="738">
        <f t="shared" si="52"/>
        <v>19575.259999999998</v>
      </c>
      <c r="T870" s="738" t="str">
        <f t="shared" si="53"/>
        <v>M3</v>
      </c>
      <c r="U870" s="738"/>
    </row>
    <row r="871" spans="1:21" x14ac:dyDescent="0.2">
      <c r="A871" s="913"/>
      <c r="B871" s="666"/>
      <c r="C871" s="580" t="s">
        <v>1426</v>
      </c>
      <c r="D871" s="870">
        <v>356</v>
      </c>
      <c r="E871" s="871" t="s">
        <v>8</v>
      </c>
      <c r="F871" s="667">
        <v>0</v>
      </c>
      <c r="G871" s="871"/>
      <c r="H871" s="871"/>
      <c r="I871" s="668"/>
      <c r="J871" s="349" t="s">
        <v>1102</v>
      </c>
      <c r="K871" s="884">
        <v>300</v>
      </c>
      <c r="L871" s="876"/>
      <c r="M871" s="298">
        <v>0.15</v>
      </c>
      <c r="N871" s="876">
        <f t="shared" si="51"/>
        <v>45</v>
      </c>
      <c r="O871" s="313"/>
      <c r="P871" s="315"/>
      <c r="Q871" s="315"/>
      <c r="R871" s="909"/>
      <c r="S871" s="738">
        <f t="shared" si="52"/>
        <v>19575.259999999998</v>
      </c>
      <c r="T871" s="738" t="str">
        <f t="shared" si="53"/>
        <v>M3</v>
      </c>
      <c r="U871" s="738"/>
    </row>
    <row r="872" spans="1:21" x14ac:dyDescent="0.2">
      <c r="A872" s="913"/>
      <c r="B872" s="666"/>
      <c r="C872" s="580" t="s">
        <v>1426</v>
      </c>
      <c r="D872" s="870">
        <v>393</v>
      </c>
      <c r="E872" s="871" t="s">
        <v>8</v>
      </c>
      <c r="F872" s="667">
        <v>0</v>
      </c>
      <c r="G872" s="871"/>
      <c r="H872" s="871"/>
      <c r="I872" s="668"/>
      <c r="J872" s="349" t="s">
        <v>1102</v>
      </c>
      <c r="K872" s="884">
        <v>300</v>
      </c>
      <c r="L872" s="876"/>
      <c r="M872" s="298">
        <v>0.15</v>
      </c>
      <c r="N872" s="876">
        <f t="shared" si="51"/>
        <v>45</v>
      </c>
      <c r="O872" s="313"/>
      <c r="P872" s="315"/>
      <c r="Q872" s="315"/>
      <c r="R872" s="909"/>
      <c r="S872" s="738">
        <f t="shared" si="52"/>
        <v>19575.259999999998</v>
      </c>
      <c r="T872" s="738" t="str">
        <f t="shared" si="53"/>
        <v>M3</v>
      </c>
      <c r="U872" s="738"/>
    </row>
    <row r="873" spans="1:21" x14ac:dyDescent="0.2">
      <c r="A873" s="913"/>
      <c r="B873" s="666"/>
      <c r="C873" s="580" t="s">
        <v>1426</v>
      </c>
      <c r="D873" s="870">
        <v>400</v>
      </c>
      <c r="E873" s="871" t="s">
        <v>8</v>
      </c>
      <c r="F873" s="667">
        <v>0</v>
      </c>
      <c r="G873" s="871"/>
      <c r="H873" s="871"/>
      <c r="I873" s="668"/>
      <c r="J873" s="349" t="s">
        <v>1101</v>
      </c>
      <c r="K873" s="884">
        <v>300</v>
      </c>
      <c r="L873" s="876"/>
      <c r="M873" s="298">
        <v>0.15</v>
      </c>
      <c r="N873" s="876">
        <f t="shared" si="51"/>
        <v>45</v>
      </c>
      <c r="O873" s="313"/>
      <c r="P873" s="315"/>
      <c r="Q873" s="315"/>
      <c r="R873" s="909"/>
      <c r="S873" s="738">
        <f t="shared" si="52"/>
        <v>19575.259999999998</v>
      </c>
      <c r="T873" s="738" t="str">
        <f t="shared" si="53"/>
        <v>M3</v>
      </c>
      <c r="U873" s="738"/>
    </row>
    <row r="874" spans="1:21" x14ac:dyDescent="0.2">
      <c r="A874" s="913"/>
      <c r="B874" s="666"/>
      <c r="C874" s="580" t="s">
        <v>1426</v>
      </c>
      <c r="D874" s="870">
        <v>422</v>
      </c>
      <c r="E874" s="871" t="s">
        <v>8</v>
      </c>
      <c r="F874" s="667">
        <v>0</v>
      </c>
      <c r="G874" s="871"/>
      <c r="H874" s="871"/>
      <c r="I874" s="668"/>
      <c r="J874" s="349" t="s">
        <v>1102</v>
      </c>
      <c r="K874" s="884">
        <v>300</v>
      </c>
      <c r="L874" s="876"/>
      <c r="M874" s="298">
        <v>0.15</v>
      </c>
      <c r="N874" s="876">
        <f t="shared" si="51"/>
        <v>45</v>
      </c>
      <c r="O874" s="313"/>
      <c r="P874" s="315"/>
      <c r="Q874" s="315"/>
      <c r="R874" s="909"/>
      <c r="S874" s="738">
        <f t="shared" si="52"/>
        <v>19575.259999999998</v>
      </c>
      <c r="T874" s="738" t="str">
        <f t="shared" si="53"/>
        <v>M3</v>
      </c>
      <c r="U874" s="738"/>
    </row>
    <row r="875" spans="1:21" x14ac:dyDescent="0.2">
      <c r="A875" s="913"/>
      <c r="B875" s="666"/>
      <c r="C875" s="580" t="s">
        <v>1426</v>
      </c>
      <c r="D875" s="870">
        <v>426</v>
      </c>
      <c r="E875" s="871" t="s">
        <v>8</v>
      </c>
      <c r="F875" s="667">
        <v>0</v>
      </c>
      <c r="G875" s="871"/>
      <c r="H875" s="871"/>
      <c r="I875" s="668"/>
      <c r="J875" s="349" t="s">
        <v>1101</v>
      </c>
      <c r="K875" s="884">
        <v>300</v>
      </c>
      <c r="L875" s="876"/>
      <c r="M875" s="298">
        <v>0.15</v>
      </c>
      <c r="N875" s="876">
        <f t="shared" si="51"/>
        <v>45</v>
      </c>
      <c r="O875" s="313"/>
      <c r="P875" s="315"/>
      <c r="Q875" s="315"/>
      <c r="R875" s="909"/>
      <c r="S875" s="738">
        <f t="shared" si="52"/>
        <v>19575.259999999998</v>
      </c>
      <c r="T875" s="738" t="str">
        <f t="shared" si="53"/>
        <v>M3</v>
      </c>
      <c r="U875" s="738"/>
    </row>
    <row r="876" spans="1:21" x14ac:dyDescent="0.2">
      <c r="A876" s="913"/>
      <c r="B876" s="666"/>
      <c r="C876" s="580" t="s">
        <v>1426</v>
      </c>
      <c r="D876" s="870">
        <v>452</v>
      </c>
      <c r="E876" s="871" t="s">
        <v>8</v>
      </c>
      <c r="F876" s="667">
        <v>0</v>
      </c>
      <c r="G876" s="871"/>
      <c r="H876" s="871"/>
      <c r="I876" s="668"/>
      <c r="J876" s="349" t="s">
        <v>1102</v>
      </c>
      <c r="K876" s="884">
        <v>300</v>
      </c>
      <c r="L876" s="876"/>
      <c r="M876" s="298">
        <v>0.15</v>
      </c>
      <c r="N876" s="876">
        <f t="shared" si="51"/>
        <v>45</v>
      </c>
      <c r="O876" s="313"/>
      <c r="P876" s="315"/>
      <c r="Q876" s="315"/>
      <c r="R876" s="909"/>
      <c r="S876" s="738">
        <f t="shared" si="52"/>
        <v>19575.259999999998</v>
      </c>
      <c r="T876" s="738" t="str">
        <f t="shared" si="53"/>
        <v>M3</v>
      </c>
      <c r="U876" s="738"/>
    </row>
    <row r="877" spans="1:21" x14ac:dyDescent="0.2">
      <c r="A877" s="913"/>
      <c r="B877" s="666"/>
      <c r="C877" s="580" t="s">
        <v>1426</v>
      </c>
      <c r="D877" s="870">
        <v>456</v>
      </c>
      <c r="E877" s="871" t="s">
        <v>8</v>
      </c>
      <c r="F877" s="667">
        <v>0</v>
      </c>
      <c r="G877" s="871"/>
      <c r="H877" s="871"/>
      <c r="I877" s="668"/>
      <c r="J877" s="349" t="s">
        <v>1101</v>
      </c>
      <c r="K877" s="884">
        <v>300</v>
      </c>
      <c r="L877" s="876"/>
      <c r="M877" s="298">
        <v>0.15</v>
      </c>
      <c r="N877" s="876">
        <f t="shared" si="51"/>
        <v>45</v>
      </c>
      <c r="O877" s="313"/>
      <c r="P877" s="315"/>
      <c r="Q877" s="315"/>
      <c r="R877" s="909"/>
      <c r="S877" s="738">
        <f t="shared" si="52"/>
        <v>19575.259999999998</v>
      </c>
      <c r="T877" s="738" t="str">
        <f t="shared" si="53"/>
        <v>M3</v>
      </c>
      <c r="U877" s="738"/>
    </row>
    <row r="878" spans="1:21" x14ac:dyDescent="0.2">
      <c r="A878" s="913"/>
      <c r="B878" s="666"/>
      <c r="C878" s="580" t="s">
        <v>1426</v>
      </c>
      <c r="D878" s="870">
        <v>482</v>
      </c>
      <c r="E878" s="871" t="s">
        <v>8</v>
      </c>
      <c r="F878" s="667">
        <v>0</v>
      </c>
      <c r="G878" s="871"/>
      <c r="H878" s="871"/>
      <c r="I878" s="668"/>
      <c r="J878" s="349" t="s">
        <v>1102</v>
      </c>
      <c r="K878" s="884">
        <v>300</v>
      </c>
      <c r="L878" s="876"/>
      <c r="M878" s="298">
        <v>0.15</v>
      </c>
      <c r="N878" s="876">
        <f t="shared" si="51"/>
        <v>45</v>
      </c>
      <c r="O878" s="313"/>
      <c r="P878" s="315"/>
      <c r="Q878" s="315"/>
      <c r="R878" s="909"/>
      <c r="S878" s="738">
        <f t="shared" si="52"/>
        <v>19575.259999999998</v>
      </c>
      <c r="T878" s="738" t="str">
        <f t="shared" si="53"/>
        <v>M3</v>
      </c>
      <c r="U878" s="738"/>
    </row>
    <row r="879" spans="1:21" x14ac:dyDescent="0.2">
      <c r="A879" s="913"/>
      <c r="B879" s="666"/>
      <c r="C879" s="580" t="s">
        <v>1426</v>
      </c>
      <c r="D879" s="870">
        <v>492</v>
      </c>
      <c r="E879" s="871" t="s">
        <v>8</v>
      </c>
      <c r="F879" s="667">
        <v>0</v>
      </c>
      <c r="G879" s="871"/>
      <c r="H879" s="871"/>
      <c r="I879" s="668"/>
      <c r="J879" s="349" t="s">
        <v>1101</v>
      </c>
      <c r="K879" s="884">
        <v>300</v>
      </c>
      <c r="L879" s="876"/>
      <c r="M879" s="298">
        <v>0.15</v>
      </c>
      <c r="N879" s="876">
        <f t="shared" si="51"/>
        <v>45</v>
      </c>
      <c r="O879" s="313"/>
      <c r="P879" s="315"/>
      <c r="Q879" s="315"/>
      <c r="R879" s="909"/>
      <c r="S879" s="738">
        <f t="shared" si="52"/>
        <v>19575.259999999998</v>
      </c>
      <c r="T879" s="738" t="str">
        <f t="shared" si="53"/>
        <v>M3</v>
      </c>
      <c r="U879" s="738"/>
    </row>
    <row r="880" spans="1:21" x14ac:dyDescent="0.2">
      <c r="A880" s="913"/>
      <c r="B880" s="666"/>
      <c r="C880" s="580" t="s">
        <v>1426</v>
      </c>
      <c r="D880" s="870">
        <v>519</v>
      </c>
      <c r="E880" s="871" t="s">
        <v>8</v>
      </c>
      <c r="F880" s="667">
        <v>0</v>
      </c>
      <c r="G880" s="871"/>
      <c r="H880" s="871"/>
      <c r="I880" s="668"/>
      <c r="J880" s="349" t="s">
        <v>1102</v>
      </c>
      <c r="K880" s="884">
        <v>300</v>
      </c>
      <c r="L880" s="876"/>
      <c r="M880" s="298">
        <v>0.15</v>
      </c>
      <c r="N880" s="876">
        <f t="shared" si="51"/>
        <v>45</v>
      </c>
      <c r="O880" s="313"/>
      <c r="P880" s="315"/>
      <c r="Q880" s="315"/>
      <c r="R880" s="909"/>
      <c r="S880" s="738">
        <f t="shared" si="52"/>
        <v>19575.259999999998</v>
      </c>
      <c r="T880" s="738" t="str">
        <f t="shared" si="53"/>
        <v>M3</v>
      </c>
      <c r="U880" s="738"/>
    </row>
    <row r="881" spans="1:27" x14ac:dyDescent="0.2">
      <c r="A881" s="913"/>
      <c r="B881" s="666"/>
      <c r="C881" s="580" t="s">
        <v>1426</v>
      </c>
      <c r="D881" s="870">
        <v>525</v>
      </c>
      <c r="E881" s="871" t="s">
        <v>8</v>
      </c>
      <c r="F881" s="667">
        <v>0</v>
      </c>
      <c r="G881" s="871"/>
      <c r="H881" s="871"/>
      <c r="I881" s="668"/>
      <c r="J881" s="349" t="s">
        <v>1101</v>
      </c>
      <c r="K881" s="884">
        <v>300</v>
      </c>
      <c r="L881" s="876"/>
      <c r="M881" s="298">
        <v>0.15</v>
      </c>
      <c r="N881" s="876">
        <f t="shared" si="51"/>
        <v>45</v>
      </c>
      <c r="O881" s="313"/>
      <c r="P881" s="315"/>
      <c r="Q881" s="315"/>
      <c r="R881" s="909"/>
      <c r="S881" s="738">
        <f t="shared" si="52"/>
        <v>19575.259999999998</v>
      </c>
      <c r="T881" s="738" t="str">
        <f t="shared" si="53"/>
        <v>M3</v>
      </c>
      <c r="U881" s="738"/>
    </row>
    <row r="882" spans="1:27" x14ac:dyDescent="0.2">
      <c r="A882" s="913"/>
      <c r="B882" s="666"/>
      <c r="C882" s="580" t="s">
        <v>1426</v>
      </c>
      <c r="D882" s="870">
        <v>553</v>
      </c>
      <c r="E882" s="871" t="s">
        <v>8</v>
      </c>
      <c r="F882" s="667">
        <v>0</v>
      </c>
      <c r="G882" s="871"/>
      <c r="H882" s="871"/>
      <c r="I882" s="668"/>
      <c r="J882" s="349" t="s">
        <v>1102</v>
      </c>
      <c r="K882" s="884">
        <v>300</v>
      </c>
      <c r="L882" s="876"/>
      <c r="M882" s="298">
        <v>0.15</v>
      </c>
      <c r="N882" s="876">
        <f t="shared" si="51"/>
        <v>45</v>
      </c>
      <c r="O882" s="313"/>
      <c r="P882" s="315"/>
      <c r="Q882" s="315"/>
      <c r="R882" s="909"/>
      <c r="S882" s="738">
        <f t="shared" si="52"/>
        <v>19575.259999999998</v>
      </c>
      <c r="T882" s="738" t="str">
        <f t="shared" si="53"/>
        <v>M3</v>
      </c>
      <c r="U882" s="738"/>
    </row>
    <row r="883" spans="1:27" x14ac:dyDescent="0.2">
      <c r="A883" s="913"/>
      <c r="B883" s="666"/>
      <c r="C883" s="580" t="s">
        <v>1426</v>
      </c>
      <c r="D883" s="870">
        <v>557</v>
      </c>
      <c r="E883" s="871" t="s">
        <v>8</v>
      </c>
      <c r="F883" s="667">
        <v>0</v>
      </c>
      <c r="G883" s="871"/>
      <c r="H883" s="871"/>
      <c r="I883" s="668"/>
      <c r="J883" s="349" t="s">
        <v>1101</v>
      </c>
      <c r="K883" s="884">
        <v>300</v>
      </c>
      <c r="L883" s="876"/>
      <c r="M883" s="298">
        <v>0.15</v>
      </c>
      <c r="N883" s="876">
        <f t="shared" si="51"/>
        <v>45</v>
      </c>
      <c r="O883" s="313"/>
      <c r="P883" s="315"/>
      <c r="Q883" s="315"/>
      <c r="R883" s="909"/>
      <c r="S883" s="738">
        <f t="shared" si="52"/>
        <v>19575.259999999998</v>
      </c>
      <c r="T883" s="738" t="str">
        <f t="shared" si="53"/>
        <v>M3</v>
      </c>
      <c r="U883" s="738"/>
    </row>
    <row r="884" spans="1:27" x14ac:dyDescent="0.2">
      <c r="A884" s="899"/>
      <c r="B884" s="353"/>
      <c r="C884" s="354" t="s">
        <v>2</v>
      </c>
      <c r="D884" s="355"/>
      <c r="E884" s="352"/>
      <c r="F884" s="356"/>
      <c r="G884" s="355"/>
      <c r="H884" s="356"/>
      <c r="I884" s="356"/>
      <c r="J884" s="353"/>
      <c r="K884" s="357"/>
      <c r="L884" s="358"/>
      <c r="M884" s="359"/>
      <c r="N884" s="690">
        <f>SUM(N849:N883)</f>
        <v>19575.259999999998</v>
      </c>
      <c r="O884" s="361" t="str">
        <f>IF(MID(B847,1,2)="LG",VLOOKUP(B847,'Compos lug'!J:M,4,FALSE),IF(MID(B847,1,1)="6",VLOOKUP(B847,tranp.!$A$6:$K$51,3,FALSE),VLOOKUP(B847,'DER 10-18'!$A$1:$I$1981,3,FALSE)))</f>
        <v>M3</v>
      </c>
      <c r="P884" s="362"/>
      <c r="Q884" s="362"/>
      <c r="R884" s="900"/>
      <c r="S884" s="738">
        <f t="shared" si="52"/>
        <v>18821.63</v>
      </c>
      <c r="T884" s="738" t="str">
        <f t="shared" si="53"/>
        <v>M3</v>
      </c>
      <c r="U884" s="738"/>
    </row>
    <row r="885" spans="1:27" x14ac:dyDescent="0.2">
      <c r="A885" s="294"/>
      <c r="B885" s="293"/>
      <c r="C885" s="343"/>
      <c r="H885" s="292"/>
      <c r="N885" s="314"/>
      <c r="O885" s="344"/>
      <c r="P885" s="315"/>
      <c r="Q885" s="315"/>
      <c r="R885" s="903"/>
      <c r="S885" s="738">
        <f t="shared" si="52"/>
        <v>18821.63</v>
      </c>
      <c r="T885" s="738" t="str">
        <f t="shared" si="53"/>
        <v>M3</v>
      </c>
      <c r="U885" s="738"/>
    </row>
    <row r="886" spans="1:27" x14ac:dyDescent="0.2">
      <c r="A886" s="294"/>
      <c r="B886" s="293"/>
      <c r="C886" s="343"/>
      <c r="D886" s="723"/>
      <c r="E886" s="916"/>
      <c r="F886" s="917"/>
      <c r="G886" s="723"/>
      <c r="H886" s="917"/>
      <c r="I886" s="917"/>
      <c r="K886" s="314"/>
      <c r="L886" s="314"/>
      <c r="M886" s="314"/>
      <c r="N886" s="314"/>
      <c r="O886" s="344"/>
      <c r="P886" s="392"/>
      <c r="Q886" s="392"/>
      <c r="R886" s="903"/>
      <c r="S886" s="738">
        <f t="shared" ref="S886:S924" si="54">VLOOKUP("Total",C887:O2610,12,FALSE)</f>
        <v>18821.63</v>
      </c>
      <c r="T886" s="738" t="str">
        <f t="shared" ref="T886:T924" si="55">VLOOKUP("Total",C887:O2610,13,FALSE)</f>
        <v>M3</v>
      </c>
      <c r="U886" s="738"/>
      <c r="V886" s="698"/>
      <c r="Z886" s="716"/>
      <c r="AA886" s="716"/>
    </row>
    <row r="887" spans="1:27" ht="25.5" x14ac:dyDescent="0.2">
      <c r="A887" s="913" t="s">
        <v>271</v>
      </c>
      <c r="B887" s="666">
        <v>40812</v>
      </c>
      <c r="C887" s="347" t="str">
        <f>IF(MID(B887,1,2)="LG",VLOOKUP(B887,'Compos lug'!J:M,3,FALSE),IF(MID(B887,1,1)="6",VLOOKUP(B887,tranp.!$A$4:$K$19,11,FALSE)&amp;" -  XP="&amp;TEXT(T887,"0.000")&amp;" / XR="&amp;TEXT(V887,"0.000"),VLOOKUP(B887,'DER 10-18'!$A$1:$I$1981,2,FALSE)))</f>
        <v>Base de brita graduada, inclusive fornecimento, exclusive transporte da brita</v>
      </c>
      <c r="D887" s="1090" t="s">
        <v>1000</v>
      </c>
      <c r="E887" s="1091"/>
      <c r="F887" s="1092"/>
      <c r="G887" s="1090" t="s">
        <v>1001</v>
      </c>
      <c r="H887" s="1091"/>
      <c r="I887" s="1092"/>
      <c r="J887" s="349" t="s">
        <v>989</v>
      </c>
      <c r="K887" s="876" t="s">
        <v>998</v>
      </c>
      <c r="L887" s="876" t="s">
        <v>994</v>
      </c>
      <c r="M887" s="876" t="s">
        <v>1009</v>
      </c>
      <c r="N887" s="876" t="str">
        <f>CONCATENATE("Total (",IF(MID(B887,1,2)="LG",VLOOKUP(B887,'Compos lug'!J:M,4,FALSE),IF(MID(B887,1,1)="6","t",VLOOKUP(B887,'DER 10-18'!$A$1:$I$1981,3,FALSE))),")")</f>
        <v>Total (M3)</v>
      </c>
      <c r="O887" s="313"/>
      <c r="P887" s="315"/>
      <c r="Q887" s="315"/>
      <c r="R887" s="909"/>
      <c r="S887" s="738">
        <f t="shared" si="54"/>
        <v>18821.63</v>
      </c>
      <c r="T887" s="738" t="str">
        <f t="shared" si="55"/>
        <v>M3</v>
      </c>
      <c r="U887" s="738"/>
      <c r="V887" s="698"/>
    </row>
    <row r="888" spans="1:27" x14ac:dyDescent="0.2">
      <c r="A888" s="294"/>
      <c r="B888" s="293"/>
      <c r="C888" s="744" t="s">
        <v>1552</v>
      </c>
      <c r="N888" s="876"/>
      <c r="R888" s="912"/>
      <c r="S888" s="738">
        <f t="shared" si="54"/>
        <v>18821.63</v>
      </c>
      <c r="T888" s="738" t="str">
        <f t="shared" si="55"/>
        <v>M3</v>
      </c>
    </row>
    <row r="889" spans="1:27" x14ac:dyDescent="0.2">
      <c r="A889" s="913"/>
      <c r="B889" s="666"/>
      <c r="C889" s="580" t="s">
        <v>1065</v>
      </c>
      <c r="D889" s="870">
        <v>0</v>
      </c>
      <c r="E889" s="871" t="s">
        <v>8</v>
      </c>
      <c r="F889" s="667">
        <v>0</v>
      </c>
      <c r="G889" s="871">
        <v>55</v>
      </c>
      <c r="H889" s="871" t="s">
        <v>8</v>
      </c>
      <c r="I889" s="668">
        <v>0</v>
      </c>
      <c r="J889" s="349"/>
      <c r="K889" s="876">
        <f>(G889*20+I889)-(D889*20+F889)</f>
        <v>1100</v>
      </c>
      <c r="L889" s="876">
        <v>11.3</v>
      </c>
      <c r="M889" s="298">
        <v>0.15</v>
      </c>
      <c r="N889" s="876">
        <f>TRUNC(K889*L889*M889,3)</f>
        <v>1864.5</v>
      </c>
      <c r="O889" s="313"/>
      <c r="P889" s="315"/>
      <c r="Q889" s="315"/>
      <c r="R889" s="909"/>
      <c r="S889" s="738">
        <f t="shared" si="54"/>
        <v>18821.63</v>
      </c>
      <c r="T889" s="738" t="str">
        <f t="shared" si="55"/>
        <v>M3</v>
      </c>
      <c r="U889" s="738"/>
    </row>
    <row r="890" spans="1:27" x14ac:dyDescent="0.2">
      <c r="A890" s="913"/>
      <c r="B890" s="666"/>
      <c r="C890" s="580" t="s">
        <v>1065</v>
      </c>
      <c r="D890" s="870">
        <v>70</v>
      </c>
      <c r="E890" s="871" t="s">
        <v>8</v>
      </c>
      <c r="F890" s="667">
        <v>0</v>
      </c>
      <c r="G890" s="871">
        <v>284</v>
      </c>
      <c r="H890" s="871" t="s">
        <v>8</v>
      </c>
      <c r="I890" s="668">
        <v>16</v>
      </c>
      <c r="J890" s="349"/>
      <c r="K890" s="876">
        <f>(G890*20+I890)-(D890*20+F890)</f>
        <v>4296</v>
      </c>
      <c r="L890" s="876">
        <v>11.3</v>
      </c>
      <c r="M890" s="298">
        <v>0.15</v>
      </c>
      <c r="N890" s="876">
        <f>TRUNC(K890*L890*M890,3)</f>
        <v>7281.72</v>
      </c>
      <c r="O890" s="313"/>
      <c r="P890" s="315"/>
      <c r="Q890" s="315"/>
      <c r="R890" s="909"/>
      <c r="S890" s="738">
        <f t="shared" si="54"/>
        <v>18821.63</v>
      </c>
      <c r="T890" s="738" t="str">
        <f t="shared" si="55"/>
        <v>M3</v>
      </c>
      <c r="U890" s="738"/>
    </row>
    <row r="891" spans="1:27" x14ac:dyDescent="0.2">
      <c r="A891" s="913"/>
      <c r="B891" s="666"/>
      <c r="C891" s="580" t="s">
        <v>1065</v>
      </c>
      <c r="D891" s="870">
        <v>327</v>
      </c>
      <c r="E891" s="871" t="s">
        <v>8</v>
      </c>
      <c r="F891" s="667">
        <v>15</v>
      </c>
      <c r="G891" s="871">
        <v>341</v>
      </c>
      <c r="H891" s="871" t="s">
        <v>8</v>
      </c>
      <c r="I891" s="668">
        <v>8</v>
      </c>
      <c r="J891" s="349"/>
      <c r="K891" s="876">
        <f t="shared" ref="K891:K895" si="56">(G891*20+I891)-(D891*20+F891)</f>
        <v>273</v>
      </c>
      <c r="L891" s="876">
        <v>11.3</v>
      </c>
      <c r="M891" s="298">
        <v>0.15</v>
      </c>
      <c r="N891" s="876">
        <f t="shared" ref="N891:N895" si="57">TRUNC(K891*L891*M891,3)</f>
        <v>462.74</v>
      </c>
      <c r="O891" s="313"/>
      <c r="P891" s="315"/>
      <c r="Q891" s="315"/>
      <c r="R891" s="909"/>
      <c r="S891" s="738">
        <f t="shared" si="54"/>
        <v>18821.63</v>
      </c>
      <c r="T891" s="738" t="str">
        <f t="shared" si="55"/>
        <v>M3</v>
      </c>
      <c r="U891" s="738"/>
    </row>
    <row r="892" spans="1:27" x14ac:dyDescent="0.2">
      <c r="A892" s="913"/>
      <c r="B892" s="666"/>
      <c r="C892" s="580" t="s">
        <v>1065</v>
      </c>
      <c r="D892" s="870">
        <v>342</v>
      </c>
      <c r="E892" s="871" t="s">
        <v>8</v>
      </c>
      <c r="F892" s="667">
        <v>3</v>
      </c>
      <c r="G892" s="871">
        <v>375</v>
      </c>
      <c r="H892" s="871" t="s">
        <v>8</v>
      </c>
      <c r="I892" s="668">
        <v>0</v>
      </c>
      <c r="J892" s="349"/>
      <c r="K892" s="876">
        <f t="shared" si="56"/>
        <v>657</v>
      </c>
      <c r="L892" s="876">
        <v>11.3</v>
      </c>
      <c r="M892" s="298">
        <v>0.15</v>
      </c>
      <c r="N892" s="876">
        <f t="shared" si="57"/>
        <v>1113.6199999999999</v>
      </c>
      <c r="O892" s="313"/>
      <c r="P892" s="315"/>
      <c r="Q892" s="315"/>
      <c r="R892" s="909"/>
      <c r="S892" s="738">
        <f t="shared" si="54"/>
        <v>18821.63</v>
      </c>
      <c r="T892" s="738" t="str">
        <f t="shared" si="55"/>
        <v>M3</v>
      </c>
      <c r="U892" s="738"/>
    </row>
    <row r="893" spans="1:27" x14ac:dyDescent="0.2">
      <c r="A893" s="913"/>
      <c r="B893" s="666"/>
      <c r="C893" s="580" t="s">
        <v>1065</v>
      </c>
      <c r="D893" s="870">
        <v>375</v>
      </c>
      <c r="E893" s="871" t="s">
        <v>8</v>
      </c>
      <c r="F893" s="667">
        <v>0</v>
      </c>
      <c r="G893" s="871">
        <v>382</v>
      </c>
      <c r="H893" s="871" t="s">
        <v>8</v>
      </c>
      <c r="I893" s="668">
        <v>0</v>
      </c>
      <c r="J893" s="349"/>
      <c r="K893" s="876">
        <f t="shared" si="56"/>
        <v>140</v>
      </c>
      <c r="L893" s="876">
        <v>7.3</v>
      </c>
      <c r="M893" s="298">
        <v>0.15</v>
      </c>
      <c r="N893" s="876">
        <f t="shared" si="57"/>
        <v>153.30000000000001</v>
      </c>
      <c r="O893" s="313"/>
      <c r="P893" s="315"/>
      <c r="Q893" s="315"/>
      <c r="R893" s="909"/>
      <c r="S893" s="738">
        <f t="shared" si="54"/>
        <v>18821.63</v>
      </c>
      <c r="T893" s="738" t="str">
        <f t="shared" si="55"/>
        <v>M3</v>
      </c>
      <c r="U893" s="738"/>
    </row>
    <row r="894" spans="1:27" x14ac:dyDescent="0.2">
      <c r="A894" s="913"/>
      <c r="B894" s="666"/>
      <c r="C894" s="580" t="s">
        <v>1065</v>
      </c>
      <c r="D894" s="870">
        <v>382</v>
      </c>
      <c r="E894" s="871" t="s">
        <v>8</v>
      </c>
      <c r="F894" s="667">
        <v>0</v>
      </c>
      <c r="G894" s="871">
        <v>536</v>
      </c>
      <c r="H894" s="871" t="s">
        <v>8</v>
      </c>
      <c r="I894" s="668">
        <v>6</v>
      </c>
      <c r="J894" s="349"/>
      <c r="K894" s="876">
        <f t="shared" si="56"/>
        <v>3086</v>
      </c>
      <c r="L894" s="876">
        <v>11.3</v>
      </c>
      <c r="M894" s="298">
        <v>0.15</v>
      </c>
      <c r="N894" s="876">
        <f t="shared" si="57"/>
        <v>5230.7700000000004</v>
      </c>
      <c r="O894" s="313"/>
      <c r="P894" s="315"/>
      <c r="Q894" s="315"/>
      <c r="R894" s="909"/>
      <c r="S894" s="738">
        <f t="shared" si="54"/>
        <v>18821.63</v>
      </c>
      <c r="T894" s="738" t="str">
        <f t="shared" si="55"/>
        <v>M3</v>
      </c>
      <c r="U894" s="738"/>
    </row>
    <row r="895" spans="1:27" x14ac:dyDescent="0.2">
      <c r="A895" s="913"/>
      <c r="B895" s="666"/>
      <c r="C895" s="580" t="s">
        <v>1065</v>
      </c>
      <c r="D895" s="870">
        <v>536</v>
      </c>
      <c r="E895" s="871" t="s">
        <v>8</v>
      </c>
      <c r="F895" s="667">
        <v>16</v>
      </c>
      <c r="G895" s="871">
        <v>561</v>
      </c>
      <c r="H895" s="871" t="s">
        <v>8</v>
      </c>
      <c r="I895" s="668">
        <v>12.45</v>
      </c>
      <c r="J895" s="349"/>
      <c r="K895" s="876">
        <f t="shared" si="56"/>
        <v>496.45</v>
      </c>
      <c r="L895" s="876">
        <v>11.3</v>
      </c>
      <c r="M895" s="298">
        <v>0.15</v>
      </c>
      <c r="N895" s="876">
        <f t="shared" si="57"/>
        <v>841.48</v>
      </c>
      <c r="O895" s="313"/>
      <c r="P895" s="315"/>
      <c r="Q895" s="315"/>
      <c r="R895" s="909"/>
      <c r="S895" s="738">
        <f t="shared" si="54"/>
        <v>18821.63</v>
      </c>
      <c r="T895" s="738" t="str">
        <f t="shared" si="55"/>
        <v>M3</v>
      </c>
      <c r="U895" s="738"/>
    </row>
    <row r="896" spans="1:27" x14ac:dyDescent="0.2">
      <c r="A896" s="913"/>
      <c r="B896" s="666"/>
      <c r="C896" s="580"/>
      <c r="D896" s="870"/>
      <c r="E896" s="871"/>
      <c r="F896" s="667"/>
      <c r="G896" s="871"/>
      <c r="H896" s="871"/>
      <c r="I896" s="668"/>
      <c r="J896" s="349"/>
      <c r="K896" s="876" t="s">
        <v>1427</v>
      </c>
      <c r="L896" s="876"/>
      <c r="M896" s="298"/>
      <c r="N896" s="876"/>
      <c r="O896" s="313"/>
      <c r="P896" s="315"/>
      <c r="Q896" s="315"/>
      <c r="R896" s="909"/>
      <c r="S896" s="738">
        <f t="shared" si="54"/>
        <v>18821.63</v>
      </c>
      <c r="T896" s="738" t="str">
        <f t="shared" si="55"/>
        <v>M3</v>
      </c>
      <c r="U896" s="738"/>
    </row>
    <row r="897" spans="1:21" x14ac:dyDescent="0.2">
      <c r="A897" s="913"/>
      <c r="B897" s="666"/>
      <c r="C897" s="580" t="s">
        <v>1432</v>
      </c>
      <c r="D897" s="870">
        <v>55</v>
      </c>
      <c r="E897" s="871" t="s">
        <v>8</v>
      </c>
      <c r="F897" s="667">
        <v>0</v>
      </c>
      <c r="G897" s="871">
        <v>70</v>
      </c>
      <c r="H897" s="871" t="s">
        <v>8</v>
      </c>
      <c r="I897" s="668">
        <v>0</v>
      </c>
      <c r="J897" s="349"/>
      <c r="K897" s="884">
        <v>4690</v>
      </c>
      <c r="L897" s="876"/>
      <c r="M897" s="298">
        <v>0.15</v>
      </c>
      <c r="N897" s="876">
        <f>TRUNC(K897*M897,3)</f>
        <v>703.5</v>
      </c>
      <c r="O897" s="313"/>
      <c r="P897" s="315"/>
      <c r="Q897" s="315"/>
      <c r="R897" s="909"/>
      <c r="S897" s="738">
        <f t="shared" si="54"/>
        <v>18821.63</v>
      </c>
      <c r="T897" s="738" t="str">
        <f t="shared" si="55"/>
        <v>M3</v>
      </c>
      <c r="U897" s="738"/>
    </row>
    <row r="898" spans="1:21" x14ac:dyDescent="0.2">
      <c r="A898" s="913"/>
      <c r="B898" s="666"/>
      <c r="C898" s="580" t="s">
        <v>1426</v>
      </c>
      <c r="D898" s="870">
        <v>36</v>
      </c>
      <c r="E898" s="871" t="s">
        <v>8</v>
      </c>
      <c r="F898" s="667">
        <v>0</v>
      </c>
      <c r="G898" s="871">
        <v>40</v>
      </c>
      <c r="H898" s="871" t="s">
        <v>8</v>
      </c>
      <c r="I898" s="668">
        <v>0</v>
      </c>
      <c r="J898" s="349" t="s">
        <v>1102</v>
      </c>
      <c r="K898" s="884">
        <v>300</v>
      </c>
      <c r="L898" s="876"/>
      <c r="M898" s="298">
        <v>0.15</v>
      </c>
      <c r="N898" s="876">
        <f>TRUNC(K898*M898,3)</f>
        <v>45</v>
      </c>
      <c r="O898" s="313"/>
      <c r="P898" s="315"/>
      <c r="Q898" s="315"/>
      <c r="R898" s="909"/>
      <c r="S898" s="738">
        <f t="shared" si="54"/>
        <v>18821.63</v>
      </c>
      <c r="T898" s="738" t="str">
        <f t="shared" si="55"/>
        <v>M3</v>
      </c>
      <c r="U898" s="738"/>
    </row>
    <row r="899" spans="1:21" x14ac:dyDescent="0.2">
      <c r="A899" s="913"/>
      <c r="B899" s="666"/>
      <c r="C899" s="580" t="s">
        <v>1426</v>
      </c>
      <c r="D899" s="870">
        <v>40</v>
      </c>
      <c r="E899" s="871" t="s">
        <v>8</v>
      </c>
      <c r="F899" s="667">
        <v>0</v>
      </c>
      <c r="G899" s="871">
        <v>44</v>
      </c>
      <c r="H899" s="871" t="s">
        <v>8</v>
      </c>
      <c r="I899" s="668">
        <v>0</v>
      </c>
      <c r="J899" s="349" t="s">
        <v>1101</v>
      </c>
      <c r="K899" s="884">
        <v>300</v>
      </c>
      <c r="L899" s="876"/>
      <c r="M899" s="298">
        <v>0.15</v>
      </c>
      <c r="N899" s="876">
        <f t="shared" ref="N899:N923" si="58">TRUNC(K899*M899,3)</f>
        <v>45</v>
      </c>
      <c r="O899" s="313"/>
      <c r="P899" s="315"/>
      <c r="Q899" s="315"/>
      <c r="R899" s="909"/>
      <c r="S899" s="738">
        <f t="shared" si="54"/>
        <v>18821.63</v>
      </c>
      <c r="T899" s="738" t="str">
        <f t="shared" si="55"/>
        <v>M3</v>
      </c>
      <c r="U899" s="738"/>
    </row>
    <row r="900" spans="1:21" x14ac:dyDescent="0.2">
      <c r="A900" s="913"/>
      <c r="B900" s="666"/>
      <c r="C900" s="580" t="s">
        <v>1426</v>
      </c>
      <c r="D900" s="870">
        <v>70</v>
      </c>
      <c r="E900" s="871" t="s">
        <v>8</v>
      </c>
      <c r="F900" s="667">
        <v>0</v>
      </c>
      <c r="G900" s="871">
        <v>74</v>
      </c>
      <c r="H900" s="871" t="s">
        <v>8</v>
      </c>
      <c r="I900" s="668">
        <v>0</v>
      </c>
      <c r="J900" s="349" t="s">
        <v>1102</v>
      </c>
      <c r="K900" s="884">
        <v>300</v>
      </c>
      <c r="L900" s="876"/>
      <c r="M900" s="298">
        <v>0.15</v>
      </c>
      <c r="N900" s="876">
        <f t="shared" si="58"/>
        <v>45</v>
      </c>
      <c r="O900" s="313"/>
      <c r="P900" s="315"/>
      <c r="Q900" s="315"/>
      <c r="R900" s="909"/>
      <c r="S900" s="738">
        <f t="shared" si="54"/>
        <v>18821.63</v>
      </c>
      <c r="T900" s="738" t="str">
        <f t="shared" si="55"/>
        <v>M3</v>
      </c>
      <c r="U900" s="738"/>
    </row>
    <row r="901" spans="1:21" x14ac:dyDescent="0.2">
      <c r="A901" s="913"/>
      <c r="B901" s="666"/>
      <c r="C901" s="580" t="s">
        <v>1426</v>
      </c>
      <c r="D901" s="870">
        <v>74</v>
      </c>
      <c r="E901" s="871" t="s">
        <v>8</v>
      </c>
      <c r="F901" s="667">
        <v>0</v>
      </c>
      <c r="G901" s="871">
        <v>78</v>
      </c>
      <c r="H901" s="871" t="s">
        <v>8</v>
      </c>
      <c r="I901" s="668">
        <v>0</v>
      </c>
      <c r="J901" s="349" t="s">
        <v>1101</v>
      </c>
      <c r="K901" s="884">
        <v>300</v>
      </c>
      <c r="L901" s="876"/>
      <c r="M901" s="298">
        <v>0.15</v>
      </c>
      <c r="N901" s="876">
        <f t="shared" si="58"/>
        <v>45</v>
      </c>
      <c r="O901" s="313"/>
      <c r="P901" s="315"/>
      <c r="Q901" s="315"/>
      <c r="R901" s="909"/>
      <c r="S901" s="738">
        <f t="shared" si="54"/>
        <v>18821.63</v>
      </c>
      <c r="T901" s="738" t="str">
        <f t="shared" si="55"/>
        <v>M3</v>
      </c>
      <c r="U901" s="738"/>
    </row>
    <row r="902" spans="1:21" x14ac:dyDescent="0.2">
      <c r="A902" s="913"/>
      <c r="B902" s="666"/>
      <c r="C902" s="580" t="s">
        <v>1426</v>
      </c>
      <c r="D902" s="870">
        <v>111</v>
      </c>
      <c r="E902" s="871" t="s">
        <v>8</v>
      </c>
      <c r="F902" s="667">
        <v>0</v>
      </c>
      <c r="G902" s="871">
        <v>115</v>
      </c>
      <c r="H902" s="871" t="s">
        <v>8</v>
      </c>
      <c r="I902" s="668">
        <v>0</v>
      </c>
      <c r="J902" s="349" t="s">
        <v>1102</v>
      </c>
      <c r="K902" s="884">
        <v>300</v>
      </c>
      <c r="L902" s="876"/>
      <c r="M902" s="298">
        <v>0.15</v>
      </c>
      <c r="N902" s="876">
        <f t="shared" si="58"/>
        <v>45</v>
      </c>
      <c r="O902" s="313"/>
      <c r="P902" s="315"/>
      <c r="Q902" s="315"/>
      <c r="R902" s="909"/>
      <c r="S902" s="738">
        <f t="shared" si="54"/>
        <v>18821.63</v>
      </c>
      <c r="T902" s="738" t="str">
        <f t="shared" si="55"/>
        <v>M3</v>
      </c>
      <c r="U902" s="738"/>
    </row>
    <row r="903" spans="1:21" x14ac:dyDescent="0.2">
      <c r="A903" s="913"/>
      <c r="B903" s="666"/>
      <c r="C903" s="580" t="s">
        <v>1426</v>
      </c>
      <c r="D903" s="870">
        <v>115</v>
      </c>
      <c r="E903" s="871" t="s">
        <v>8</v>
      </c>
      <c r="F903" s="667">
        <v>0</v>
      </c>
      <c r="G903" s="871">
        <v>119</v>
      </c>
      <c r="H903" s="871" t="s">
        <v>8</v>
      </c>
      <c r="I903" s="668">
        <v>0</v>
      </c>
      <c r="J903" s="349" t="s">
        <v>1101</v>
      </c>
      <c r="K903" s="884">
        <v>300</v>
      </c>
      <c r="L903" s="876"/>
      <c r="M903" s="298">
        <v>0.15</v>
      </c>
      <c r="N903" s="876">
        <f t="shared" si="58"/>
        <v>45</v>
      </c>
      <c r="O903" s="313"/>
      <c r="P903" s="315"/>
      <c r="Q903" s="315"/>
      <c r="R903" s="909"/>
      <c r="S903" s="738">
        <f t="shared" si="54"/>
        <v>18821.63</v>
      </c>
      <c r="T903" s="738" t="str">
        <f t="shared" si="55"/>
        <v>M3</v>
      </c>
      <c r="U903" s="738"/>
    </row>
    <row r="904" spans="1:21" x14ac:dyDescent="0.2">
      <c r="A904" s="913"/>
      <c r="B904" s="666"/>
      <c r="C904" s="580" t="s">
        <v>1426</v>
      </c>
      <c r="D904" s="870">
        <v>144</v>
      </c>
      <c r="E904" s="871" t="s">
        <v>8</v>
      </c>
      <c r="F904" s="667">
        <v>0</v>
      </c>
      <c r="G904" s="871">
        <v>148</v>
      </c>
      <c r="H904" s="871" t="s">
        <v>8</v>
      </c>
      <c r="I904" s="668">
        <v>0</v>
      </c>
      <c r="J904" s="349" t="s">
        <v>1102</v>
      </c>
      <c r="K904" s="884">
        <v>300</v>
      </c>
      <c r="L904" s="876"/>
      <c r="M904" s="298">
        <v>0.15</v>
      </c>
      <c r="N904" s="876">
        <f t="shared" si="58"/>
        <v>45</v>
      </c>
      <c r="O904" s="313"/>
      <c r="P904" s="315"/>
      <c r="Q904" s="315"/>
      <c r="R904" s="909"/>
      <c r="S904" s="738">
        <f t="shared" si="54"/>
        <v>18821.63</v>
      </c>
      <c r="T904" s="738" t="str">
        <f t="shared" si="55"/>
        <v>M3</v>
      </c>
      <c r="U904" s="738"/>
    </row>
    <row r="905" spans="1:21" x14ac:dyDescent="0.2">
      <c r="A905" s="913"/>
      <c r="B905" s="666"/>
      <c r="C905" s="580" t="s">
        <v>1426</v>
      </c>
      <c r="D905" s="870">
        <v>148</v>
      </c>
      <c r="E905" s="871" t="s">
        <v>8</v>
      </c>
      <c r="F905" s="667">
        <v>0</v>
      </c>
      <c r="G905" s="871">
        <v>152</v>
      </c>
      <c r="H905" s="871" t="s">
        <v>8</v>
      </c>
      <c r="I905" s="668">
        <v>0</v>
      </c>
      <c r="J905" s="349" t="s">
        <v>1101</v>
      </c>
      <c r="K905" s="884">
        <v>300</v>
      </c>
      <c r="L905" s="876"/>
      <c r="M905" s="298">
        <v>0.15</v>
      </c>
      <c r="N905" s="876">
        <f t="shared" si="58"/>
        <v>45</v>
      </c>
      <c r="O905" s="313"/>
      <c r="P905" s="315"/>
      <c r="Q905" s="315"/>
      <c r="R905" s="909"/>
      <c r="S905" s="738">
        <f t="shared" si="54"/>
        <v>18821.63</v>
      </c>
      <c r="T905" s="738" t="str">
        <f t="shared" si="55"/>
        <v>M3</v>
      </c>
      <c r="U905" s="738"/>
    </row>
    <row r="906" spans="1:21" x14ac:dyDescent="0.2">
      <c r="A906" s="913"/>
      <c r="B906" s="666"/>
      <c r="C906" s="580" t="s">
        <v>1426</v>
      </c>
      <c r="D906" s="870">
        <v>201</v>
      </c>
      <c r="E906" s="871" t="s">
        <v>8</v>
      </c>
      <c r="F906" s="667">
        <v>0</v>
      </c>
      <c r="G906" s="871">
        <v>205</v>
      </c>
      <c r="H906" s="871" t="s">
        <v>8</v>
      </c>
      <c r="I906" s="668">
        <v>0</v>
      </c>
      <c r="J906" s="349" t="s">
        <v>1102</v>
      </c>
      <c r="K906" s="884">
        <v>300</v>
      </c>
      <c r="L906" s="876"/>
      <c r="M906" s="298">
        <v>0.15</v>
      </c>
      <c r="N906" s="876">
        <f t="shared" si="58"/>
        <v>45</v>
      </c>
      <c r="O906" s="313"/>
      <c r="P906" s="315"/>
      <c r="Q906" s="315"/>
      <c r="R906" s="909"/>
      <c r="S906" s="738">
        <f t="shared" si="54"/>
        <v>18821.63</v>
      </c>
      <c r="T906" s="738" t="str">
        <f t="shared" si="55"/>
        <v>M3</v>
      </c>
      <c r="U906" s="738"/>
    </row>
    <row r="907" spans="1:21" x14ac:dyDescent="0.2">
      <c r="A907" s="913"/>
      <c r="B907" s="666"/>
      <c r="C907" s="580" t="s">
        <v>1426</v>
      </c>
      <c r="D907" s="870">
        <v>205</v>
      </c>
      <c r="E907" s="871" t="s">
        <v>8</v>
      </c>
      <c r="F907" s="667">
        <v>0</v>
      </c>
      <c r="G907" s="871">
        <v>209</v>
      </c>
      <c r="H907" s="871" t="s">
        <v>8</v>
      </c>
      <c r="I907" s="668">
        <v>0</v>
      </c>
      <c r="J907" s="349" t="s">
        <v>1101</v>
      </c>
      <c r="K907" s="884">
        <v>300</v>
      </c>
      <c r="L907" s="876"/>
      <c r="M907" s="298">
        <v>0.15</v>
      </c>
      <c r="N907" s="876">
        <f t="shared" si="58"/>
        <v>45</v>
      </c>
      <c r="O907" s="313"/>
      <c r="P907" s="315"/>
      <c r="Q907" s="315"/>
      <c r="R907" s="909"/>
      <c r="S907" s="738">
        <f t="shared" si="54"/>
        <v>18821.63</v>
      </c>
      <c r="T907" s="738" t="str">
        <f t="shared" si="55"/>
        <v>M3</v>
      </c>
      <c r="U907" s="738"/>
    </row>
    <row r="908" spans="1:21" x14ac:dyDescent="0.2">
      <c r="A908" s="913"/>
      <c r="B908" s="666"/>
      <c r="C908" s="580" t="s">
        <v>1426</v>
      </c>
      <c r="D908" s="870">
        <v>253</v>
      </c>
      <c r="E908" s="871" t="s">
        <v>8</v>
      </c>
      <c r="F908" s="667">
        <v>0</v>
      </c>
      <c r="G908" s="871">
        <v>257</v>
      </c>
      <c r="H908" s="871" t="s">
        <v>8</v>
      </c>
      <c r="I908" s="668">
        <v>0</v>
      </c>
      <c r="J908" s="349" t="s">
        <v>1102</v>
      </c>
      <c r="K908" s="884">
        <v>300</v>
      </c>
      <c r="L908" s="876"/>
      <c r="M908" s="298">
        <v>0.15</v>
      </c>
      <c r="N908" s="876">
        <f t="shared" si="58"/>
        <v>45</v>
      </c>
      <c r="O908" s="313"/>
      <c r="P908" s="315"/>
      <c r="Q908" s="315"/>
      <c r="R908" s="909"/>
      <c r="S908" s="738">
        <f t="shared" si="54"/>
        <v>18821.63</v>
      </c>
      <c r="T908" s="738" t="str">
        <f t="shared" si="55"/>
        <v>M3</v>
      </c>
      <c r="U908" s="738"/>
    </row>
    <row r="909" spans="1:21" x14ac:dyDescent="0.2">
      <c r="A909" s="913"/>
      <c r="B909" s="666"/>
      <c r="C909" s="580" t="s">
        <v>1426</v>
      </c>
      <c r="D909" s="870">
        <v>257</v>
      </c>
      <c r="E909" s="871" t="s">
        <v>8</v>
      </c>
      <c r="F909" s="667">
        <v>0</v>
      </c>
      <c r="G909" s="871">
        <v>261</v>
      </c>
      <c r="H909" s="871" t="s">
        <v>8</v>
      </c>
      <c r="I909" s="668">
        <v>0</v>
      </c>
      <c r="J909" s="349" t="s">
        <v>1101</v>
      </c>
      <c r="K909" s="884">
        <v>300</v>
      </c>
      <c r="L909" s="876"/>
      <c r="M909" s="298">
        <v>0.15</v>
      </c>
      <c r="N909" s="876">
        <f t="shared" si="58"/>
        <v>45</v>
      </c>
      <c r="O909" s="313"/>
      <c r="P909" s="315"/>
      <c r="Q909" s="315"/>
      <c r="R909" s="909"/>
      <c r="S909" s="738">
        <f t="shared" si="54"/>
        <v>18821.63</v>
      </c>
      <c r="T909" s="738" t="str">
        <f t="shared" si="55"/>
        <v>M3</v>
      </c>
      <c r="U909" s="738"/>
    </row>
    <row r="910" spans="1:21" x14ac:dyDescent="0.2">
      <c r="A910" s="913"/>
      <c r="B910" s="666"/>
      <c r="C910" s="580" t="s">
        <v>1426</v>
      </c>
      <c r="D910" s="870">
        <v>350</v>
      </c>
      <c r="E910" s="871" t="s">
        <v>8</v>
      </c>
      <c r="F910" s="667">
        <v>0</v>
      </c>
      <c r="G910" s="871">
        <v>354</v>
      </c>
      <c r="H910" s="871" t="s">
        <v>8</v>
      </c>
      <c r="I910" s="668">
        <v>0</v>
      </c>
      <c r="J910" s="349" t="s">
        <v>1101</v>
      </c>
      <c r="K910" s="884">
        <v>300</v>
      </c>
      <c r="L910" s="876"/>
      <c r="M910" s="298">
        <v>0.15</v>
      </c>
      <c r="N910" s="876">
        <f t="shared" si="58"/>
        <v>45</v>
      </c>
      <c r="O910" s="313"/>
      <c r="P910" s="315"/>
      <c r="Q910" s="315"/>
      <c r="R910" s="909"/>
      <c r="S910" s="738">
        <f t="shared" si="54"/>
        <v>18821.63</v>
      </c>
      <c r="T910" s="738" t="str">
        <f t="shared" si="55"/>
        <v>M3</v>
      </c>
      <c r="U910" s="738"/>
    </row>
    <row r="911" spans="1:21" x14ac:dyDescent="0.2">
      <c r="A911" s="913"/>
      <c r="B911" s="666"/>
      <c r="C911" s="580" t="s">
        <v>1426</v>
      </c>
      <c r="D911" s="870">
        <v>354</v>
      </c>
      <c r="E911" s="871" t="s">
        <v>8</v>
      </c>
      <c r="F911" s="667">
        <v>0</v>
      </c>
      <c r="G911" s="871">
        <v>358</v>
      </c>
      <c r="H911" s="871" t="s">
        <v>8</v>
      </c>
      <c r="I911" s="668">
        <v>0</v>
      </c>
      <c r="J911" s="349" t="s">
        <v>1102</v>
      </c>
      <c r="K911" s="884">
        <v>300</v>
      </c>
      <c r="L911" s="876"/>
      <c r="M911" s="298">
        <v>0.15</v>
      </c>
      <c r="N911" s="876">
        <f t="shared" si="58"/>
        <v>45</v>
      </c>
      <c r="O911" s="313"/>
      <c r="P911" s="315"/>
      <c r="Q911" s="315"/>
      <c r="R911" s="909"/>
      <c r="S911" s="738">
        <f t="shared" si="54"/>
        <v>18821.63</v>
      </c>
      <c r="T911" s="738" t="str">
        <f t="shared" si="55"/>
        <v>M3</v>
      </c>
      <c r="U911" s="738"/>
    </row>
    <row r="912" spans="1:21" x14ac:dyDescent="0.2">
      <c r="A912" s="913"/>
      <c r="B912" s="666"/>
      <c r="C912" s="580" t="s">
        <v>1426</v>
      </c>
      <c r="D912" s="870">
        <v>391</v>
      </c>
      <c r="E912" s="871" t="s">
        <v>8</v>
      </c>
      <c r="F912" s="667">
        <v>0</v>
      </c>
      <c r="G912" s="871">
        <v>395</v>
      </c>
      <c r="H912" s="871" t="s">
        <v>8</v>
      </c>
      <c r="I912" s="668">
        <v>0</v>
      </c>
      <c r="J912" s="349" t="s">
        <v>1102</v>
      </c>
      <c r="K912" s="884">
        <v>300</v>
      </c>
      <c r="L912" s="876"/>
      <c r="M912" s="298">
        <v>0.15</v>
      </c>
      <c r="N912" s="876">
        <f t="shared" si="58"/>
        <v>45</v>
      </c>
      <c r="O912" s="313"/>
      <c r="P912" s="315"/>
      <c r="Q912" s="315"/>
      <c r="R912" s="909"/>
      <c r="S912" s="738">
        <f t="shared" si="54"/>
        <v>18821.63</v>
      </c>
      <c r="T912" s="738" t="str">
        <f t="shared" si="55"/>
        <v>M3</v>
      </c>
      <c r="U912" s="738"/>
    </row>
    <row r="913" spans="1:21" x14ac:dyDescent="0.2">
      <c r="A913" s="913"/>
      <c r="B913" s="666"/>
      <c r="C913" s="580" t="s">
        <v>1426</v>
      </c>
      <c r="D913" s="870">
        <v>398</v>
      </c>
      <c r="E913" s="871" t="s">
        <v>8</v>
      </c>
      <c r="F913" s="667">
        <v>0</v>
      </c>
      <c r="G913" s="871">
        <v>402</v>
      </c>
      <c r="H913" s="871" t="s">
        <v>8</v>
      </c>
      <c r="I913" s="668">
        <v>0</v>
      </c>
      <c r="J913" s="349" t="s">
        <v>1101</v>
      </c>
      <c r="K913" s="884">
        <v>300</v>
      </c>
      <c r="L913" s="876"/>
      <c r="M913" s="298">
        <v>0.15</v>
      </c>
      <c r="N913" s="876">
        <f t="shared" si="58"/>
        <v>45</v>
      </c>
      <c r="O913" s="313"/>
      <c r="P913" s="315"/>
      <c r="Q913" s="315"/>
      <c r="R913" s="909"/>
      <c r="S913" s="738">
        <f t="shared" si="54"/>
        <v>18821.63</v>
      </c>
      <c r="T913" s="738" t="str">
        <f t="shared" si="55"/>
        <v>M3</v>
      </c>
      <c r="U913" s="738"/>
    </row>
    <row r="914" spans="1:21" x14ac:dyDescent="0.2">
      <c r="A914" s="913"/>
      <c r="B914" s="666"/>
      <c r="C914" s="580" t="s">
        <v>1426</v>
      </c>
      <c r="D914" s="870">
        <v>420</v>
      </c>
      <c r="E914" s="871" t="s">
        <v>8</v>
      </c>
      <c r="F914" s="667">
        <v>0</v>
      </c>
      <c r="G914" s="871">
        <v>424</v>
      </c>
      <c r="H914" s="871" t="s">
        <v>8</v>
      </c>
      <c r="I914" s="668">
        <v>0</v>
      </c>
      <c r="J914" s="349" t="s">
        <v>1102</v>
      </c>
      <c r="K914" s="884">
        <v>300</v>
      </c>
      <c r="L914" s="876"/>
      <c r="M914" s="298">
        <v>0.15</v>
      </c>
      <c r="N914" s="876">
        <f t="shared" si="58"/>
        <v>45</v>
      </c>
      <c r="O914" s="313"/>
      <c r="P914" s="315"/>
      <c r="Q914" s="315"/>
      <c r="R914" s="909"/>
      <c r="S914" s="738">
        <f t="shared" si="54"/>
        <v>18821.63</v>
      </c>
      <c r="T914" s="738" t="str">
        <f t="shared" si="55"/>
        <v>M3</v>
      </c>
      <c r="U914" s="738"/>
    </row>
    <row r="915" spans="1:21" x14ac:dyDescent="0.2">
      <c r="A915" s="913"/>
      <c r="B915" s="666"/>
      <c r="C915" s="580" t="s">
        <v>1426</v>
      </c>
      <c r="D915" s="870">
        <v>424</v>
      </c>
      <c r="E915" s="871" t="s">
        <v>8</v>
      </c>
      <c r="F915" s="667">
        <v>0</v>
      </c>
      <c r="G915" s="871">
        <v>428</v>
      </c>
      <c r="H915" s="871" t="s">
        <v>8</v>
      </c>
      <c r="I915" s="668">
        <v>0</v>
      </c>
      <c r="J915" s="349" t="s">
        <v>1101</v>
      </c>
      <c r="K915" s="884">
        <v>300</v>
      </c>
      <c r="L915" s="876"/>
      <c r="M915" s="298">
        <v>0.15</v>
      </c>
      <c r="N915" s="876">
        <f t="shared" si="58"/>
        <v>45</v>
      </c>
      <c r="O915" s="313"/>
      <c r="P915" s="315"/>
      <c r="Q915" s="315"/>
      <c r="R915" s="909"/>
      <c r="S915" s="738">
        <f t="shared" si="54"/>
        <v>18821.63</v>
      </c>
      <c r="T915" s="738" t="str">
        <f t="shared" si="55"/>
        <v>M3</v>
      </c>
      <c r="U915" s="738"/>
    </row>
    <row r="916" spans="1:21" x14ac:dyDescent="0.2">
      <c r="A916" s="913"/>
      <c r="B916" s="666"/>
      <c r="C916" s="580" t="s">
        <v>1426</v>
      </c>
      <c r="D916" s="870">
        <v>450</v>
      </c>
      <c r="E916" s="871" t="s">
        <v>8</v>
      </c>
      <c r="F916" s="667">
        <v>0</v>
      </c>
      <c r="G916" s="871">
        <v>454</v>
      </c>
      <c r="H916" s="871" t="s">
        <v>8</v>
      </c>
      <c r="I916" s="668">
        <v>0</v>
      </c>
      <c r="J916" s="349" t="s">
        <v>1102</v>
      </c>
      <c r="K916" s="884">
        <v>300</v>
      </c>
      <c r="L916" s="876"/>
      <c r="M916" s="298">
        <v>0.15</v>
      </c>
      <c r="N916" s="876">
        <f t="shared" si="58"/>
        <v>45</v>
      </c>
      <c r="O916" s="313"/>
      <c r="P916" s="315"/>
      <c r="Q916" s="315"/>
      <c r="R916" s="909"/>
      <c r="S916" s="738">
        <f t="shared" si="54"/>
        <v>18821.63</v>
      </c>
      <c r="T916" s="738" t="str">
        <f t="shared" si="55"/>
        <v>M3</v>
      </c>
      <c r="U916" s="738"/>
    </row>
    <row r="917" spans="1:21" x14ac:dyDescent="0.2">
      <c r="A917" s="913"/>
      <c r="B917" s="666"/>
      <c r="C917" s="580" t="s">
        <v>1426</v>
      </c>
      <c r="D917" s="870">
        <v>454</v>
      </c>
      <c r="E917" s="871" t="s">
        <v>8</v>
      </c>
      <c r="F917" s="667">
        <v>0</v>
      </c>
      <c r="G917" s="871">
        <v>458</v>
      </c>
      <c r="H917" s="871" t="s">
        <v>8</v>
      </c>
      <c r="I917" s="668">
        <v>0</v>
      </c>
      <c r="J917" s="349" t="s">
        <v>1101</v>
      </c>
      <c r="K917" s="884">
        <v>300</v>
      </c>
      <c r="L917" s="876"/>
      <c r="M917" s="298">
        <v>0.15</v>
      </c>
      <c r="N917" s="876">
        <f t="shared" si="58"/>
        <v>45</v>
      </c>
      <c r="O917" s="313"/>
      <c r="P917" s="315"/>
      <c r="Q917" s="315"/>
      <c r="R917" s="909"/>
      <c r="S917" s="738">
        <f t="shared" si="54"/>
        <v>18821.63</v>
      </c>
      <c r="T917" s="738" t="str">
        <f t="shared" si="55"/>
        <v>M3</v>
      </c>
      <c r="U917" s="738"/>
    </row>
    <row r="918" spans="1:21" x14ac:dyDescent="0.2">
      <c r="A918" s="913"/>
      <c r="B918" s="666"/>
      <c r="C918" s="580" t="s">
        <v>1426</v>
      </c>
      <c r="D918" s="870">
        <v>486</v>
      </c>
      <c r="E918" s="871" t="s">
        <v>8</v>
      </c>
      <c r="F918" s="667">
        <v>0</v>
      </c>
      <c r="G918" s="871">
        <v>490</v>
      </c>
      <c r="H918" s="871" t="s">
        <v>8</v>
      </c>
      <c r="I918" s="668">
        <v>0</v>
      </c>
      <c r="J918" s="349" t="s">
        <v>1102</v>
      </c>
      <c r="K918" s="884">
        <v>300</v>
      </c>
      <c r="L918" s="876"/>
      <c r="M918" s="298">
        <v>0.15</v>
      </c>
      <c r="N918" s="876">
        <f t="shared" si="58"/>
        <v>45</v>
      </c>
      <c r="O918" s="313"/>
      <c r="P918" s="315"/>
      <c r="Q918" s="315"/>
      <c r="R918" s="909"/>
      <c r="S918" s="738">
        <f t="shared" si="54"/>
        <v>18821.63</v>
      </c>
      <c r="T918" s="738" t="str">
        <f t="shared" si="55"/>
        <v>M3</v>
      </c>
      <c r="U918" s="738"/>
    </row>
    <row r="919" spans="1:21" x14ac:dyDescent="0.2">
      <c r="A919" s="913"/>
      <c r="B919" s="666"/>
      <c r="C919" s="580" t="s">
        <v>1426</v>
      </c>
      <c r="D919" s="870">
        <v>490</v>
      </c>
      <c r="E919" s="871" t="s">
        <v>8</v>
      </c>
      <c r="F919" s="667">
        <v>0</v>
      </c>
      <c r="G919" s="871">
        <v>494</v>
      </c>
      <c r="H919" s="871" t="s">
        <v>8</v>
      </c>
      <c r="I919" s="668">
        <v>0</v>
      </c>
      <c r="J919" s="349" t="s">
        <v>1101</v>
      </c>
      <c r="K919" s="884">
        <v>300</v>
      </c>
      <c r="L919" s="876"/>
      <c r="M919" s="298">
        <v>0.15</v>
      </c>
      <c r="N919" s="876">
        <f t="shared" si="58"/>
        <v>45</v>
      </c>
      <c r="O919" s="313"/>
      <c r="P919" s="315"/>
      <c r="Q919" s="315"/>
      <c r="R919" s="909"/>
      <c r="S919" s="738">
        <f t="shared" si="54"/>
        <v>18821.63</v>
      </c>
      <c r="T919" s="738" t="str">
        <f t="shared" si="55"/>
        <v>M3</v>
      </c>
      <c r="U919" s="738"/>
    </row>
    <row r="920" spans="1:21" x14ac:dyDescent="0.2">
      <c r="A920" s="913"/>
      <c r="B920" s="666"/>
      <c r="C920" s="580" t="s">
        <v>1426</v>
      </c>
      <c r="D920" s="870">
        <v>517</v>
      </c>
      <c r="E920" s="871" t="s">
        <v>8</v>
      </c>
      <c r="F920" s="667">
        <v>0</v>
      </c>
      <c r="G920" s="871">
        <v>521</v>
      </c>
      <c r="H920" s="871" t="s">
        <v>8</v>
      </c>
      <c r="I920" s="668">
        <v>0</v>
      </c>
      <c r="J920" s="349" t="s">
        <v>1102</v>
      </c>
      <c r="K920" s="884">
        <v>300</v>
      </c>
      <c r="L920" s="876"/>
      <c r="M920" s="298">
        <v>0.15</v>
      </c>
      <c r="N920" s="876">
        <f t="shared" si="58"/>
        <v>45</v>
      </c>
      <c r="O920" s="313"/>
      <c r="P920" s="315"/>
      <c r="Q920" s="315"/>
      <c r="R920" s="909"/>
      <c r="S920" s="738">
        <f t="shared" si="54"/>
        <v>18821.63</v>
      </c>
      <c r="T920" s="738" t="str">
        <f t="shared" si="55"/>
        <v>M3</v>
      </c>
      <c r="U920" s="738"/>
    </row>
    <row r="921" spans="1:21" x14ac:dyDescent="0.2">
      <c r="A921" s="913"/>
      <c r="B921" s="666"/>
      <c r="C921" s="580" t="s">
        <v>1426</v>
      </c>
      <c r="D921" s="870">
        <v>523</v>
      </c>
      <c r="E921" s="871" t="s">
        <v>8</v>
      </c>
      <c r="F921" s="667">
        <v>0</v>
      </c>
      <c r="G921" s="871">
        <v>527</v>
      </c>
      <c r="H921" s="871" t="s">
        <v>8</v>
      </c>
      <c r="I921" s="668">
        <v>0</v>
      </c>
      <c r="J921" s="349" t="s">
        <v>1101</v>
      </c>
      <c r="K921" s="884">
        <v>300</v>
      </c>
      <c r="L921" s="876"/>
      <c r="M921" s="298">
        <v>0.15</v>
      </c>
      <c r="N921" s="876">
        <f t="shared" si="58"/>
        <v>45</v>
      </c>
      <c r="O921" s="313"/>
      <c r="P921" s="315"/>
      <c r="Q921" s="315"/>
      <c r="R921" s="909"/>
      <c r="S921" s="738">
        <f t="shared" si="54"/>
        <v>18821.63</v>
      </c>
      <c r="T921" s="738" t="str">
        <f t="shared" si="55"/>
        <v>M3</v>
      </c>
      <c r="U921" s="738"/>
    </row>
    <row r="922" spans="1:21" x14ac:dyDescent="0.2">
      <c r="A922" s="913"/>
      <c r="B922" s="666"/>
      <c r="C922" s="580" t="s">
        <v>1426</v>
      </c>
      <c r="D922" s="870">
        <v>551</v>
      </c>
      <c r="E922" s="871" t="s">
        <v>8</v>
      </c>
      <c r="F922" s="667">
        <v>0</v>
      </c>
      <c r="G922" s="871">
        <v>555</v>
      </c>
      <c r="H922" s="871" t="s">
        <v>8</v>
      </c>
      <c r="I922" s="668">
        <v>0</v>
      </c>
      <c r="J922" s="349" t="s">
        <v>1102</v>
      </c>
      <c r="K922" s="884">
        <v>300</v>
      </c>
      <c r="L922" s="876"/>
      <c r="M922" s="298">
        <v>0.15</v>
      </c>
      <c r="N922" s="876">
        <f t="shared" si="58"/>
        <v>45</v>
      </c>
      <c r="O922" s="313"/>
      <c r="P922" s="315"/>
      <c r="Q922" s="315"/>
      <c r="R922" s="909"/>
      <c r="S922" s="738">
        <f t="shared" si="54"/>
        <v>18821.63</v>
      </c>
      <c r="T922" s="738" t="str">
        <f t="shared" si="55"/>
        <v>M3</v>
      </c>
      <c r="U922" s="738"/>
    </row>
    <row r="923" spans="1:21" x14ac:dyDescent="0.2">
      <c r="A923" s="913"/>
      <c r="B923" s="666"/>
      <c r="C923" s="580" t="s">
        <v>1426</v>
      </c>
      <c r="D923" s="870">
        <v>555</v>
      </c>
      <c r="E923" s="871" t="s">
        <v>8</v>
      </c>
      <c r="F923" s="667">
        <v>0</v>
      </c>
      <c r="G923" s="871">
        <v>559</v>
      </c>
      <c r="H923" s="871" t="s">
        <v>8</v>
      </c>
      <c r="I923" s="668">
        <v>0</v>
      </c>
      <c r="J923" s="349" t="s">
        <v>1101</v>
      </c>
      <c r="K923" s="884">
        <v>300</v>
      </c>
      <c r="L923" s="876"/>
      <c r="M923" s="298">
        <v>0.15</v>
      </c>
      <c r="N923" s="876">
        <f t="shared" si="58"/>
        <v>45</v>
      </c>
      <c r="O923" s="313"/>
      <c r="P923" s="315"/>
      <c r="Q923" s="315"/>
      <c r="R923" s="909"/>
      <c r="S923" s="738">
        <f t="shared" si="54"/>
        <v>18821.63</v>
      </c>
      <c r="T923" s="738" t="str">
        <f t="shared" si="55"/>
        <v>M3</v>
      </c>
      <c r="U923" s="738"/>
    </row>
    <row r="924" spans="1:21" x14ac:dyDescent="0.2">
      <c r="A924" s="899"/>
      <c r="B924" s="353"/>
      <c r="C924" s="354" t="s">
        <v>2</v>
      </c>
      <c r="D924" s="355"/>
      <c r="E924" s="352"/>
      <c r="F924" s="356"/>
      <c r="G924" s="355"/>
      <c r="H924" s="356"/>
      <c r="I924" s="356"/>
      <c r="J924" s="353"/>
      <c r="K924" s="357"/>
      <c r="L924" s="358"/>
      <c r="M924" s="359"/>
      <c r="N924" s="360">
        <f>SUM(N889:N923)</f>
        <v>18821.63</v>
      </c>
      <c r="O924" s="361" t="str">
        <f>IF(MID(B887,1,2)="LG",VLOOKUP(B887,'Compos lug'!J:M,4,FALSE),IF(MID(B887,1,1)="6",VLOOKUP(B887,tranp.!$A$6:$K$51,3,FALSE),VLOOKUP(B887,'DER 10-18'!$A$1:$I$1981,3,FALSE)))</f>
        <v>M3</v>
      </c>
      <c r="P924" s="362"/>
      <c r="Q924" s="362"/>
      <c r="R924" s="900"/>
      <c r="S924" s="738">
        <f t="shared" si="54"/>
        <v>141330.72</v>
      </c>
      <c r="T924" s="738" t="str">
        <f t="shared" si="55"/>
        <v>M2</v>
      </c>
      <c r="U924" s="738"/>
    </row>
    <row r="925" spans="1:21" x14ac:dyDescent="0.2">
      <c r="A925" s="294"/>
      <c r="B925" s="293"/>
      <c r="C925" s="343"/>
      <c r="H925" s="292"/>
      <c r="N925" s="314"/>
      <c r="O925" s="344"/>
      <c r="P925" s="315"/>
      <c r="Q925" s="315"/>
      <c r="R925" s="903"/>
      <c r="S925" s="738">
        <f>VLOOKUP("Total",C973:O2649,12,FALSE)</f>
        <v>14245.03</v>
      </c>
      <c r="T925" s="738" t="str">
        <f>VLOOKUP("Total",C973:O2649,13,FALSE)</f>
        <v>t</v>
      </c>
      <c r="U925" s="738"/>
    </row>
    <row r="926" spans="1:21" ht="25.5" x14ac:dyDescent="0.2">
      <c r="A926" s="913" t="s">
        <v>272</v>
      </c>
      <c r="B926" s="666">
        <v>40816</v>
      </c>
      <c r="C926" s="347" t="str">
        <f>IF(MID(B926,1,2)="LG",VLOOKUP(B926,'Compos lug'!J:M,3,FALSE),IF(MID(B926,1,1)="6",VLOOKUP(B926,tranp.!$A$4:$K$19,11,FALSE)&amp;" -  XP="&amp;TEXT(T926,"0.000")&amp;" / XR="&amp;TEXT(V926,"0.000"),VLOOKUP(B926,'DER 10-18'!$A$1:$I$1981,2,FALSE)))</f>
        <v>Imprimação exclusive fornecimento e transporte comercial do material betuminoso</v>
      </c>
      <c r="D926" s="1059" t="s">
        <v>1000</v>
      </c>
      <c r="E926" s="1060"/>
      <c r="F926" s="1061"/>
      <c r="G926" s="1059" t="s">
        <v>1001</v>
      </c>
      <c r="H926" s="1060"/>
      <c r="I926" s="1061"/>
      <c r="J926" s="349" t="s">
        <v>1222</v>
      </c>
      <c r="K926" s="876" t="s">
        <v>998</v>
      </c>
      <c r="L926" s="876" t="s">
        <v>994</v>
      </c>
      <c r="M926" s="876"/>
      <c r="N926" s="876" t="str">
        <f>CONCATENATE("Total (",IF(MID(B926,1,2)="LG",VLOOKUP(B926,'Compos lug'!J:M,4,FALSE),IF(MID(B926,1,1)="6","t",VLOOKUP(B926,'DER 10-18'!$A$1:$I$1981,3,FALSE))),")")</f>
        <v>Total (M2)</v>
      </c>
      <c r="O926" s="313"/>
      <c r="P926" s="315"/>
      <c r="Q926" s="315"/>
      <c r="R926" s="909"/>
      <c r="S926" s="738">
        <f t="shared" ref="S926:S971" si="59">VLOOKUP("Total",C927:O2687,12,FALSE)</f>
        <v>141330.72</v>
      </c>
      <c r="T926" s="738" t="str">
        <f t="shared" ref="T926:T971" si="60">VLOOKUP("Total",C927:O2687,13,FALSE)</f>
        <v>M2</v>
      </c>
      <c r="U926" s="738"/>
    </row>
    <row r="927" spans="1:21" x14ac:dyDescent="0.2">
      <c r="A927" s="294"/>
      <c r="B927" s="293"/>
      <c r="C927" s="744" t="s">
        <v>1552</v>
      </c>
      <c r="N927" s="876"/>
      <c r="R927" s="912"/>
      <c r="S927" s="738">
        <f t="shared" si="59"/>
        <v>141330.72</v>
      </c>
      <c r="T927" s="738" t="str">
        <f t="shared" si="60"/>
        <v>M2</v>
      </c>
    </row>
    <row r="928" spans="1:21" x14ac:dyDescent="0.2">
      <c r="A928" s="913"/>
      <c r="B928" s="666"/>
      <c r="C928" s="580" t="s">
        <v>1065</v>
      </c>
      <c r="D928" s="870">
        <v>0</v>
      </c>
      <c r="E928" s="871" t="s">
        <v>8</v>
      </c>
      <c r="F928" s="667">
        <v>0</v>
      </c>
      <c r="G928" s="871">
        <v>55</v>
      </c>
      <c r="H928" s="871" t="s">
        <v>8</v>
      </c>
      <c r="I928" s="668">
        <v>0</v>
      </c>
      <c r="J928" s="876"/>
      <c r="K928" s="876">
        <f>(G928*20+I928)-(D928*20+F928)</f>
        <v>1100</v>
      </c>
      <c r="L928" s="876">
        <v>10.8</v>
      </c>
      <c r="M928" s="298"/>
      <c r="N928" s="876">
        <f>TRUNC(K928*L928,3)</f>
        <v>11880</v>
      </c>
      <c r="O928" s="313"/>
      <c r="P928" s="315"/>
      <c r="Q928" s="315"/>
      <c r="R928" s="909"/>
      <c r="S928" s="738">
        <f t="shared" si="59"/>
        <v>141330.72</v>
      </c>
      <c r="T928" s="738" t="str">
        <f t="shared" si="60"/>
        <v>M2</v>
      </c>
      <c r="U928" s="738"/>
    </row>
    <row r="929" spans="1:21" x14ac:dyDescent="0.2">
      <c r="A929" s="913"/>
      <c r="B929" s="666"/>
      <c r="C929" s="580" t="s">
        <v>1065</v>
      </c>
      <c r="D929" s="870">
        <v>70</v>
      </c>
      <c r="E929" s="871" t="s">
        <v>8</v>
      </c>
      <c r="F929" s="667">
        <v>0</v>
      </c>
      <c r="G929" s="871">
        <v>284</v>
      </c>
      <c r="H929" s="871" t="s">
        <v>8</v>
      </c>
      <c r="I929" s="668">
        <v>16</v>
      </c>
      <c r="J929" s="876"/>
      <c r="K929" s="876">
        <f>(G929*20+I929)-(D929*20+F929)</f>
        <v>4296</v>
      </c>
      <c r="L929" s="876">
        <v>10.8</v>
      </c>
      <c r="M929" s="298"/>
      <c r="N929" s="876">
        <f>TRUNC(K929*L929,3)</f>
        <v>46396.800000000003</v>
      </c>
      <c r="O929" s="313"/>
      <c r="P929" s="315"/>
      <c r="Q929" s="315"/>
      <c r="R929" s="909"/>
      <c r="S929" s="738">
        <f t="shared" si="59"/>
        <v>141330.72</v>
      </c>
      <c r="T929" s="738" t="str">
        <f t="shared" si="60"/>
        <v>M2</v>
      </c>
      <c r="U929" s="738"/>
    </row>
    <row r="930" spans="1:21" x14ac:dyDescent="0.2">
      <c r="A930" s="913"/>
      <c r="B930" s="666"/>
      <c r="C930" s="580" t="s">
        <v>1065</v>
      </c>
      <c r="D930" s="870">
        <v>327</v>
      </c>
      <c r="E930" s="871" t="s">
        <v>8</v>
      </c>
      <c r="F930" s="667">
        <v>15</v>
      </c>
      <c r="G930" s="871">
        <v>375</v>
      </c>
      <c r="H930" s="871" t="s">
        <v>8</v>
      </c>
      <c r="I930" s="668">
        <v>0</v>
      </c>
      <c r="J930" s="876"/>
      <c r="K930" s="876">
        <f t="shared" ref="K930:K932" si="61">(G930*20+I930)-(D930*20+F930)</f>
        <v>945</v>
      </c>
      <c r="L930" s="876">
        <v>10.8</v>
      </c>
      <c r="M930" s="298"/>
      <c r="N930" s="876">
        <f t="shared" ref="N930:N932" si="62">TRUNC(K930*L930,3)</f>
        <v>10206</v>
      </c>
      <c r="O930" s="313"/>
      <c r="P930" s="315"/>
      <c r="Q930" s="315"/>
      <c r="R930" s="909"/>
      <c r="S930" s="738">
        <f t="shared" si="59"/>
        <v>141330.72</v>
      </c>
      <c r="T930" s="738" t="str">
        <f t="shared" si="60"/>
        <v>M2</v>
      </c>
      <c r="U930" s="738"/>
    </row>
    <row r="931" spans="1:21" x14ac:dyDescent="0.2">
      <c r="A931" s="913"/>
      <c r="B931" s="666"/>
      <c r="C931" s="580" t="s">
        <v>1065</v>
      </c>
      <c r="D931" s="870">
        <v>375</v>
      </c>
      <c r="E931" s="871" t="s">
        <v>8</v>
      </c>
      <c r="F931" s="667">
        <v>0</v>
      </c>
      <c r="G931" s="871">
        <v>382</v>
      </c>
      <c r="H931" s="871" t="s">
        <v>8</v>
      </c>
      <c r="I931" s="668">
        <v>0</v>
      </c>
      <c r="J931" s="876"/>
      <c r="K931" s="876">
        <f t="shared" si="61"/>
        <v>140</v>
      </c>
      <c r="L931" s="876">
        <v>6.8</v>
      </c>
      <c r="M931" s="298"/>
      <c r="N931" s="876">
        <f t="shared" si="62"/>
        <v>952</v>
      </c>
      <c r="O931" s="313"/>
      <c r="P931" s="315"/>
      <c r="Q931" s="315"/>
      <c r="R931" s="909"/>
      <c r="S931" s="738">
        <f t="shared" si="59"/>
        <v>141330.72</v>
      </c>
      <c r="T931" s="738" t="str">
        <f t="shared" si="60"/>
        <v>M2</v>
      </c>
      <c r="U931" s="738"/>
    </row>
    <row r="932" spans="1:21" x14ac:dyDescent="0.2">
      <c r="A932" s="913"/>
      <c r="B932" s="666"/>
      <c r="C932" s="580" t="s">
        <v>1065</v>
      </c>
      <c r="D932" s="870">
        <v>382</v>
      </c>
      <c r="E932" s="871" t="s">
        <v>8</v>
      </c>
      <c r="F932" s="667">
        <v>0</v>
      </c>
      <c r="G932" s="871">
        <v>561</v>
      </c>
      <c r="H932" s="871" t="s">
        <v>8</v>
      </c>
      <c r="I932" s="668">
        <v>12.45</v>
      </c>
      <c r="J932" s="876"/>
      <c r="K932" s="876">
        <f t="shared" si="61"/>
        <v>3592.45</v>
      </c>
      <c r="L932" s="876">
        <v>10.8</v>
      </c>
      <c r="M932" s="298"/>
      <c r="N932" s="876">
        <f t="shared" si="62"/>
        <v>38798.46</v>
      </c>
      <c r="O932" s="313"/>
      <c r="P932" s="315"/>
      <c r="Q932" s="315"/>
      <c r="R932" s="909"/>
      <c r="S932" s="738">
        <f t="shared" si="59"/>
        <v>141330.72</v>
      </c>
      <c r="T932" s="738" t="str">
        <f t="shared" si="60"/>
        <v>M2</v>
      </c>
      <c r="U932" s="738"/>
    </row>
    <row r="933" spans="1:21" x14ac:dyDescent="0.2">
      <c r="A933" s="913"/>
      <c r="B933" s="666"/>
      <c r="C933" s="580" t="s">
        <v>1432</v>
      </c>
      <c r="D933" s="870">
        <v>55</v>
      </c>
      <c r="E933" s="871" t="s">
        <v>8</v>
      </c>
      <c r="F933" s="667">
        <v>0</v>
      </c>
      <c r="G933" s="871">
        <v>70</v>
      </c>
      <c r="H933" s="871" t="s">
        <v>8</v>
      </c>
      <c r="I933" s="668">
        <v>0</v>
      </c>
      <c r="J933" s="876"/>
      <c r="K933" s="884"/>
      <c r="L933" s="876"/>
      <c r="N933" s="876">
        <f t="shared" ref="N933:N959" si="63">K981</f>
        <v>4690</v>
      </c>
      <c r="O933" s="313"/>
      <c r="P933" s="315"/>
      <c r="Q933" s="315"/>
      <c r="R933" s="909"/>
      <c r="S933" s="738">
        <f t="shared" si="59"/>
        <v>141330.72</v>
      </c>
      <c r="T933" s="738" t="str">
        <f t="shared" si="60"/>
        <v>M2</v>
      </c>
      <c r="U933" s="738"/>
    </row>
    <row r="934" spans="1:21" x14ac:dyDescent="0.2">
      <c r="A934" s="913"/>
      <c r="B934" s="666"/>
      <c r="C934" s="580" t="s">
        <v>1426</v>
      </c>
      <c r="D934" s="870">
        <v>38</v>
      </c>
      <c r="E934" s="871" t="s">
        <v>8</v>
      </c>
      <c r="F934" s="667">
        <v>0</v>
      </c>
      <c r="G934" s="871"/>
      <c r="H934" s="871"/>
      <c r="I934" s="668"/>
      <c r="J934" s="876"/>
      <c r="K934" s="884"/>
      <c r="L934" s="876"/>
      <c r="N934" s="876">
        <f t="shared" si="63"/>
        <v>300</v>
      </c>
      <c r="O934" s="313"/>
      <c r="P934" s="315"/>
      <c r="Q934" s="315"/>
      <c r="R934" s="909"/>
      <c r="S934" s="738">
        <f t="shared" si="59"/>
        <v>141330.72</v>
      </c>
      <c r="T934" s="738" t="str">
        <f t="shared" si="60"/>
        <v>M2</v>
      </c>
      <c r="U934" s="738"/>
    </row>
    <row r="935" spans="1:21" x14ac:dyDescent="0.2">
      <c r="A935" s="913"/>
      <c r="B935" s="666"/>
      <c r="C935" s="580" t="s">
        <v>1426</v>
      </c>
      <c r="D935" s="870">
        <v>42</v>
      </c>
      <c r="E935" s="871" t="s">
        <v>8</v>
      </c>
      <c r="F935" s="667">
        <v>0</v>
      </c>
      <c r="G935" s="871"/>
      <c r="H935" s="871"/>
      <c r="I935" s="668"/>
      <c r="J935" s="876"/>
      <c r="K935" s="884"/>
      <c r="L935" s="876"/>
      <c r="N935" s="876">
        <f t="shared" si="63"/>
        <v>300</v>
      </c>
      <c r="O935" s="313"/>
      <c r="P935" s="315"/>
      <c r="Q935" s="315"/>
      <c r="R935" s="909"/>
      <c r="S935" s="738">
        <f t="shared" si="59"/>
        <v>141330.72</v>
      </c>
      <c r="T935" s="738" t="str">
        <f t="shared" si="60"/>
        <v>M2</v>
      </c>
      <c r="U935" s="738"/>
    </row>
    <row r="936" spans="1:21" x14ac:dyDescent="0.2">
      <c r="A936" s="913"/>
      <c r="B936" s="666"/>
      <c r="C936" s="580" t="s">
        <v>1426</v>
      </c>
      <c r="D936" s="870">
        <v>72</v>
      </c>
      <c r="E936" s="871" t="s">
        <v>8</v>
      </c>
      <c r="F936" s="667">
        <v>0</v>
      </c>
      <c r="G936" s="871"/>
      <c r="H936" s="871"/>
      <c r="I936" s="668"/>
      <c r="J936" s="876"/>
      <c r="K936" s="884"/>
      <c r="L936" s="876"/>
      <c r="N936" s="876">
        <f t="shared" si="63"/>
        <v>300</v>
      </c>
      <c r="O936" s="313"/>
      <c r="P936" s="315"/>
      <c r="Q936" s="315"/>
      <c r="R936" s="909"/>
      <c r="S936" s="738">
        <f t="shared" si="59"/>
        <v>141330.72</v>
      </c>
      <c r="T936" s="738" t="str">
        <f t="shared" si="60"/>
        <v>M2</v>
      </c>
      <c r="U936" s="738"/>
    </row>
    <row r="937" spans="1:21" x14ac:dyDescent="0.2">
      <c r="A937" s="913"/>
      <c r="B937" s="666"/>
      <c r="C937" s="580" t="s">
        <v>1426</v>
      </c>
      <c r="D937" s="870">
        <v>76</v>
      </c>
      <c r="E937" s="871" t="s">
        <v>8</v>
      </c>
      <c r="F937" s="667">
        <v>0</v>
      </c>
      <c r="G937" s="871"/>
      <c r="H937" s="871"/>
      <c r="I937" s="668"/>
      <c r="J937" s="876"/>
      <c r="K937" s="884"/>
      <c r="L937" s="876"/>
      <c r="N937" s="876">
        <f t="shared" si="63"/>
        <v>300</v>
      </c>
      <c r="O937" s="313"/>
      <c r="P937" s="315"/>
      <c r="Q937" s="315"/>
      <c r="R937" s="909"/>
      <c r="S937" s="738">
        <f t="shared" si="59"/>
        <v>141330.72</v>
      </c>
      <c r="T937" s="738" t="str">
        <f t="shared" si="60"/>
        <v>M2</v>
      </c>
      <c r="U937" s="738"/>
    </row>
    <row r="938" spans="1:21" x14ac:dyDescent="0.2">
      <c r="A938" s="913"/>
      <c r="B938" s="666"/>
      <c r="C938" s="580" t="s">
        <v>1426</v>
      </c>
      <c r="D938" s="870">
        <v>113</v>
      </c>
      <c r="E938" s="871" t="s">
        <v>8</v>
      </c>
      <c r="F938" s="667">
        <v>0</v>
      </c>
      <c r="G938" s="871"/>
      <c r="H938" s="871"/>
      <c r="I938" s="668"/>
      <c r="J938" s="876"/>
      <c r="K938" s="884"/>
      <c r="L938" s="876"/>
      <c r="N938" s="876">
        <f t="shared" si="63"/>
        <v>300</v>
      </c>
      <c r="O938" s="313"/>
      <c r="P938" s="315"/>
      <c r="Q938" s="315"/>
      <c r="R938" s="909"/>
      <c r="S938" s="738">
        <f t="shared" si="59"/>
        <v>141330.72</v>
      </c>
      <c r="T938" s="738" t="str">
        <f t="shared" si="60"/>
        <v>M2</v>
      </c>
      <c r="U938" s="738"/>
    </row>
    <row r="939" spans="1:21" x14ac:dyDescent="0.2">
      <c r="A939" s="913"/>
      <c r="B939" s="666"/>
      <c r="C939" s="580" t="s">
        <v>1426</v>
      </c>
      <c r="D939" s="870">
        <v>117</v>
      </c>
      <c r="E939" s="871" t="s">
        <v>8</v>
      </c>
      <c r="F939" s="667">
        <v>0</v>
      </c>
      <c r="G939" s="871"/>
      <c r="H939" s="871"/>
      <c r="I939" s="668"/>
      <c r="J939" s="876"/>
      <c r="K939" s="884"/>
      <c r="L939" s="876"/>
      <c r="N939" s="876">
        <f t="shared" si="63"/>
        <v>300</v>
      </c>
      <c r="O939" s="313"/>
      <c r="P939" s="315"/>
      <c r="Q939" s="315"/>
      <c r="R939" s="909"/>
      <c r="S939" s="738">
        <f t="shared" si="59"/>
        <v>141330.72</v>
      </c>
      <c r="T939" s="738" t="str">
        <f t="shared" si="60"/>
        <v>M2</v>
      </c>
      <c r="U939" s="738"/>
    </row>
    <row r="940" spans="1:21" x14ac:dyDescent="0.2">
      <c r="A940" s="913"/>
      <c r="B940" s="666"/>
      <c r="C940" s="580" t="s">
        <v>1426</v>
      </c>
      <c r="D940" s="870">
        <v>146</v>
      </c>
      <c r="E940" s="871" t="s">
        <v>8</v>
      </c>
      <c r="F940" s="667">
        <v>0</v>
      </c>
      <c r="G940" s="871"/>
      <c r="H940" s="871"/>
      <c r="I940" s="668"/>
      <c r="J940" s="876"/>
      <c r="K940" s="884"/>
      <c r="L940" s="876"/>
      <c r="N940" s="876">
        <f t="shared" si="63"/>
        <v>300</v>
      </c>
      <c r="O940" s="313"/>
      <c r="P940" s="315"/>
      <c r="Q940" s="315"/>
      <c r="R940" s="909"/>
      <c r="S940" s="738">
        <f t="shared" si="59"/>
        <v>141330.72</v>
      </c>
      <c r="T940" s="738" t="str">
        <f t="shared" si="60"/>
        <v>M2</v>
      </c>
      <c r="U940" s="738"/>
    </row>
    <row r="941" spans="1:21" x14ac:dyDescent="0.2">
      <c r="A941" s="913"/>
      <c r="B941" s="666"/>
      <c r="C941" s="580" t="s">
        <v>1426</v>
      </c>
      <c r="D941" s="870">
        <v>150</v>
      </c>
      <c r="E941" s="871" t="s">
        <v>8</v>
      </c>
      <c r="F941" s="667">
        <v>0</v>
      </c>
      <c r="G941" s="871"/>
      <c r="H941" s="871"/>
      <c r="I941" s="668"/>
      <c r="J941" s="876"/>
      <c r="K941" s="884"/>
      <c r="L941" s="876"/>
      <c r="N941" s="876">
        <f t="shared" si="63"/>
        <v>300</v>
      </c>
      <c r="O941" s="313"/>
      <c r="P941" s="315"/>
      <c r="Q941" s="315"/>
      <c r="R941" s="909"/>
      <c r="S941" s="738">
        <f t="shared" si="59"/>
        <v>141330.72</v>
      </c>
      <c r="T941" s="738" t="str">
        <f t="shared" si="60"/>
        <v>M2</v>
      </c>
      <c r="U941" s="738"/>
    </row>
    <row r="942" spans="1:21" x14ac:dyDescent="0.2">
      <c r="A942" s="913"/>
      <c r="B942" s="666"/>
      <c r="C942" s="580" t="s">
        <v>1426</v>
      </c>
      <c r="D942" s="870">
        <v>203</v>
      </c>
      <c r="E942" s="871" t="s">
        <v>8</v>
      </c>
      <c r="F942" s="667">
        <v>0</v>
      </c>
      <c r="G942" s="871"/>
      <c r="H942" s="871"/>
      <c r="I942" s="668"/>
      <c r="J942" s="876"/>
      <c r="K942" s="884"/>
      <c r="L942" s="876"/>
      <c r="N942" s="876">
        <f t="shared" si="63"/>
        <v>300</v>
      </c>
      <c r="O942" s="313"/>
      <c r="P942" s="315"/>
      <c r="Q942" s="315"/>
      <c r="R942" s="909"/>
      <c r="S942" s="738">
        <f t="shared" si="59"/>
        <v>141330.72</v>
      </c>
      <c r="T942" s="738" t="str">
        <f t="shared" si="60"/>
        <v>M2</v>
      </c>
      <c r="U942" s="738"/>
    </row>
    <row r="943" spans="1:21" x14ac:dyDescent="0.2">
      <c r="A943" s="913"/>
      <c r="B943" s="666"/>
      <c r="C943" s="580" t="s">
        <v>1426</v>
      </c>
      <c r="D943" s="870">
        <v>207</v>
      </c>
      <c r="E943" s="871" t="s">
        <v>8</v>
      </c>
      <c r="F943" s="667">
        <v>0</v>
      </c>
      <c r="G943" s="871"/>
      <c r="H943" s="871"/>
      <c r="I943" s="668"/>
      <c r="J943" s="876"/>
      <c r="K943" s="884"/>
      <c r="L943" s="876"/>
      <c r="N943" s="876">
        <f t="shared" si="63"/>
        <v>300</v>
      </c>
      <c r="O943" s="313"/>
      <c r="P943" s="315"/>
      <c r="Q943" s="315"/>
      <c r="R943" s="909"/>
      <c r="S943" s="738">
        <f t="shared" si="59"/>
        <v>141330.72</v>
      </c>
      <c r="T943" s="738" t="str">
        <f t="shared" si="60"/>
        <v>M2</v>
      </c>
      <c r="U943" s="738"/>
    </row>
    <row r="944" spans="1:21" x14ac:dyDescent="0.2">
      <c r="A944" s="913"/>
      <c r="B944" s="666"/>
      <c r="C944" s="580" t="s">
        <v>1426</v>
      </c>
      <c r="D944" s="870">
        <v>255</v>
      </c>
      <c r="E944" s="871" t="s">
        <v>8</v>
      </c>
      <c r="F944" s="667">
        <v>0</v>
      </c>
      <c r="G944" s="871"/>
      <c r="H944" s="871"/>
      <c r="I944" s="668"/>
      <c r="J944" s="876"/>
      <c r="K944" s="884"/>
      <c r="L944" s="876"/>
      <c r="N944" s="876">
        <f t="shared" si="63"/>
        <v>300</v>
      </c>
      <c r="O944" s="313"/>
      <c r="P944" s="315"/>
      <c r="Q944" s="315"/>
      <c r="R944" s="909"/>
      <c r="S944" s="738">
        <f t="shared" si="59"/>
        <v>141330.72</v>
      </c>
      <c r="T944" s="738" t="str">
        <f t="shared" si="60"/>
        <v>M2</v>
      </c>
      <c r="U944" s="738"/>
    </row>
    <row r="945" spans="1:21" x14ac:dyDescent="0.2">
      <c r="A945" s="913"/>
      <c r="B945" s="666"/>
      <c r="C945" s="580" t="s">
        <v>1426</v>
      </c>
      <c r="D945" s="870">
        <v>259</v>
      </c>
      <c r="E945" s="871" t="s">
        <v>8</v>
      </c>
      <c r="F945" s="667">
        <v>0</v>
      </c>
      <c r="G945" s="871"/>
      <c r="H945" s="871"/>
      <c r="I945" s="668"/>
      <c r="J945" s="876"/>
      <c r="K945" s="884"/>
      <c r="L945" s="876"/>
      <c r="N945" s="876">
        <f t="shared" si="63"/>
        <v>300</v>
      </c>
      <c r="O945" s="313"/>
      <c r="P945" s="315"/>
      <c r="Q945" s="315"/>
      <c r="R945" s="909"/>
      <c r="S945" s="738">
        <f t="shared" si="59"/>
        <v>141330.72</v>
      </c>
      <c r="T945" s="738" t="str">
        <f t="shared" si="60"/>
        <v>M2</v>
      </c>
      <c r="U945" s="738"/>
    </row>
    <row r="946" spans="1:21" x14ac:dyDescent="0.2">
      <c r="A946" s="913"/>
      <c r="B946" s="666"/>
      <c r="C946" s="580" t="s">
        <v>1426</v>
      </c>
      <c r="D946" s="870">
        <v>352</v>
      </c>
      <c r="E946" s="871" t="s">
        <v>8</v>
      </c>
      <c r="F946" s="667">
        <v>0</v>
      </c>
      <c r="G946" s="871"/>
      <c r="H946" s="871"/>
      <c r="I946" s="668"/>
      <c r="J946" s="876"/>
      <c r="K946" s="884"/>
      <c r="L946" s="876"/>
      <c r="N946" s="876">
        <f t="shared" si="63"/>
        <v>300</v>
      </c>
      <c r="O946" s="313"/>
      <c r="P946" s="315"/>
      <c r="Q946" s="315"/>
      <c r="R946" s="909"/>
      <c r="S946" s="738">
        <f t="shared" si="59"/>
        <v>141330.72</v>
      </c>
      <c r="T946" s="738" t="str">
        <f t="shared" si="60"/>
        <v>M2</v>
      </c>
      <c r="U946" s="738"/>
    </row>
    <row r="947" spans="1:21" x14ac:dyDescent="0.2">
      <c r="A947" s="913"/>
      <c r="B947" s="666"/>
      <c r="C947" s="580" t="s">
        <v>1426</v>
      </c>
      <c r="D947" s="870">
        <v>356</v>
      </c>
      <c r="E947" s="871" t="s">
        <v>8</v>
      </c>
      <c r="F947" s="667">
        <v>0</v>
      </c>
      <c r="G947" s="871"/>
      <c r="H947" s="871"/>
      <c r="I947" s="668"/>
      <c r="J947" s="876"/>
      <c r="K947" s="884"/>
      <c r="L947" s="876"/>
      <c r="N947" s="876">
        <f t="shared" si="63"/>
        <v>300</v>
      </c>
      <c r="O947" s="313"/>
      <c r="P947" s="315"/>
      <c r="Q947" s="315"/>
      <c r="R947" s="909"/>
      <c r="S947" s="738">
        <f t="shared" si="59"/>
        <v>141330.72</v>
      </c>
      <c r="T947" s="738" t="str">
        <f t="shared" si="60"/>
        <v>M2</v>
      </c>
      <c r="U947" s="738"/>
    </row>
    <row r="948" spans="1:21" x14ac:dyDescent="0.2">
      <c r="A948" s="913"/>
      <c r="B948" s="666"/>
      <c r="C948" s="580" t="s">
        <v>1426</v>
      </c>
      <c r="D948" s="870">
        <v>393</v>
      </c>
      <c r="E948" s="871" t="s">
        <v>8</v>
      </c>
      <c r="F948" s="667">
        <v>0</v>
      </c>
      <c r="G948" s="871"/>
      <c r="H948" s="871"/>
      <c r="I948" s="668"/>
      <c r="J948" s="876"/>
      <c r="K948" s="884"/>
      <c r="L948" s="876"/>
      <c r="N948" s="876">
        <f t="shared" si="63"/>
        <v>300</v>
      </c>
      <c r="O948" s="313"/>
      <c r="P948" s="315"/>
      <c r="Q948" s="315"/>
      <c r="R948" s="909"/>
      <c r="S948" s="738">
        <f t="shared" si="59"/>
        <v>141330.72</v>
      </c>
      <c r="T948" s="738" t="str">
        <f t="shared" si="60"/>
        <v>M2</v>
      </c>
      <c r="U948" s="738"/>
    </row>
    <row r="949" spans="1:21" x14ac:dyDescent="0.2">
      <c r="A949" s="913"/>
      <c r="B949" s="666"/>
      <c r="C949" s="580" t="s">
        <v>1426</v>
      </c>
      <c r="D949" s="870">
        <v>400</v>
      </c>
      <c r="E949" s="871" t="s">
        <v>8</v>
      </c>
      <c r="F949" s="667">
        <v>0</v>
      </c>
      <c r="G949" s="871"/>
      <c r="H949" s="871"/>
      <c r="I949" s="668"/>
      <c r="J949" s="876"/>
      <c r="K949" s="884"/>
      <c r="L949" s="876"/>
      <c r="N949" s="876">
        <f t="shared" si="63"/>
        <v>300</v>
      </c>
      <c r="O949" s="313"/>
      <c r="P949" s="315"/>
      <c r="Q949" s="315"/>
      <c r="R949" s="909"/>
      <c r="S949" s="738">
        <f t="shared" si="59"/>
        <v>141330.72</v>
      </c>
      <c r="T949" s="738" t="str">
        <f t="shared" si="60"/>
        <v>M2</v>
      </c>
      <c r="U949" s="738"/>
    </row>
    <row r="950" spans="1:21" x14ac:dyDescent="0.2">
      <c r="A950" s="913"/>
      <c r="B950" s="666"/>
      <c r="C950" s="580" t="s">
        <v>1426</v>
      </c>
      <c r="D950" s="870">
        <v>422</v>
      </c>
      <c r="E950" s="871" t="s">
        <v>8</v>
      </c>
      <c r="F950" s="667">
        <v>0</v>
      </c>
      <c r="G950" s="871"/>
      <c r="H950" s="871"/>
      <c r="I950" s="668"/>
      <c r="J950" s="876"/>
      <c r="K950" s="884"/>
      <c r="L950" s="876"/>
      <c r="N950" s="876">
        <f t="shared" si="63"/>
        <v>300</v>
      </c>
      <c r="O950" s="313"/>
      <c r="P950" s="315"/>
      <c r="Q950" s="315"/>
      <c r="R950" s="909"/>
      <c r="S950" s="738">
        <f t="shared" si="59"/>
        <v>141330.72</v>
      </c>
      <c r="T950" s="738" t="str">
        <f t="shared" si="60"/>
        <v>M2</v>
      </c>
      <c r="U950" s="738"/>
    </row>
    <row r="951" spans="1:21" x14ac:dyDescent="0.2">
      <c r="A951" s="913"/>
      <c r="B951" s="666"/>
      <c r="C951" s="580" t="s">
        <v>1426</v>
      </c>
      <c r="D951" s="870">
        <v>426</v>
      </c>
      <c r="E951" s="871" t="s">
        <v>8</v>
      </c>
      <c r="F951" s="667">
        <v>0</v>
      </c>
      <c r="G951" s="871"/>
      <c r="H951" s="871"/>
      <c r="I951" s="668"/>
      <c r="J951" s="876"/>
      <c r="K951" s="884"/>
      <c r="L951" s="876"/>
      <c r="N951" s="876">
        <f t="shared" si="63"/>
        <v>300</v>
      </c>
      <c r="O951" s="313"/>
      <c r="P951" s="315"/>
      <c r="Q951" s="315"/>
      <c r="R951" s="909"/>
      <c r="S951" s="738">
        <f t="shared" si="59"/>
        <v>141330.72</v>
      </c>
      <c r="T951" s="738" t="str">
        <f t="shared" si="60"/>
        <v>M2</v>
      </c>
      <c r="U951" s="738"/>
    </row>
    <row r="952" spans="1:21" x14ac:dyDescent="0.2">
      <c r="A952" s="913"/>
      <c r="B952" s="666"/>
      <c r="C952" s="580" t="s">
        <v>1426</v>
      </c>
      <c r="D952" s="870">
        <v>452</v>
      </c>
      <c r="E952" s="871" t="s">
        <v>8</v>
      </c>
      <c r="F952" s="667">
        <v>0</v>
      </c>
      <c r="G952" s="871"/>
      <c r="H952" s="871"/>
      <c r="I952" s="668"/>
      <c r="J952" s="876"/>
      <c r="K952" s="884"/>
      <c r="L952" s="876"/>
      <c r="N952" s="876">
        <f t="shared" si="63"/>
        <v>300</v>
      </c>
      <c r="O952" s="313"/>
      <c r="P952" s="315"/>
      <c r="Q952" s="315"/>
      <c r="R952" s="909"/>
      <c r="S952" s="738">
        <f t="shared" si="59"/>
        <v>141330.72</v>
      </c>
      <c r="T952" s="738" t="str">
        <f t="shared" si="60"/>
        <v>M2</v>
      </c>
      <c r="U952" s="738"/>
    </row>
    <row r="953" spans="1:21" x14ac:dyDescent="0.2">
      <c r="A953" s="913"/>
      <c r="B953" s="666"/>
      <c r="C953" s="580" t="s">
        <v>1426</v>
      </c>
      <c r="D953" s="870">
        <v>456</v>
      </c>
      <c r="E953" s="871" t="s">
        <v>8</v>
      </c>
      <c r="F953" s="667">
        <v>0</v>
      </c>
      <c r="G953" s="871"/>
      <c r="H953" s="871"/>
      <c r="I953" s="668"/>
      <c r="J953" s="876"/>
      <c r="K953" s="884"/>
      <c r="L953" s="876"/>
      <c r="N953" s="876">
        <f t="shared" si="63"/>
        <v>300</v>
      </c>
      <c r="O953" s="313"/>
      <c r="P953" s="315"/>
      <c r="Q953" s="315"/>
      <c r="R953" s="909"/>
      <c r="S953" s="738">
        <f t="shared" si="59"/>
        <v>141330.72</v>
      </c>
      <c r="T953" s="738" t="str">
        <f t="shared" si="60"/>
        <v>M2</v>
      </c>
      <c r="U953" s="738"/>
    </row>
    <row r="954" spans="1:21" x14ac:dyDescent="0.2">
      <c r="A954" s="913"/>
      <c r="B954" s="666"/>
      <c r="C954" s="580" t="s">
        <v>1426</v>
      </c>
      <c r="D954" s="870">
        <v>482</v>
      </c>
      <c r="E954" s="871" t="s">
        <v>8</v>
      </c>
      <c r="F954" s="667">
        <v>0</v>
      </c>
      <c r="G954" s="871"/>
      <c r="H954" s="871"/>
      <c r="I954" s="668"/>
      <c r="J954" s="876"/>
      <c r="K954" s="884"/>
      <c r="L954" s="876"/>
      <c r="N954" s="876">
        <f t="shared" si="63"/>
        <v>300</v>
      </c>
      <c r="O954" s="313"/>
      <c r="P954" s="315"/>
      <c r="Q954" s="315"/>
      <c r="R954" s="909"/>
      <c r="S954" s="738">
        <f t="shared" si="59"/>
        <v>141330.72</v>
      </c>
      <c r="T954" s="738" t="str">
        <f t="shared" si="60"/>
        <v>M2</v>
      </c>
      <c r="U954" s="738"/>
    </row>
    <row r="955" spans="1:21" x14ac:dyDescent="0.2">
      <c r="A955" s="913"/>
      <c r="B955" s="666"/>
      <c r="C955" s="580" t="s">
        <v>1426</v>
      </c>
      <c r="D955" s="870">
        <v>492</v>
      </c>
      <c r="E955" s="871" t="s">
        <v>8</v>
      </c>
      <c r="F955" s="667">
        <v>0</v>
      </c>
      <c r="G955" s="871"/>
      <c r="H955" s="871"/>
      <c r="I955" s="668"/>
      <c r="J955" s="876"/>
      <c r="K955" s="884"/>
      <c r="L955" s="876"/>
      <c r="N955" s="876">
        <f t="shared" si="63"/>
        <v>300</v>
      </c>
      <c r="O955" s="313"/>
      <c r="P955" s="315"/>
      <c r="Q955" s="315"/>
      <c r="R955" s="909"/>
      <c r="S955" s="738">
        <f t="shared" si="59"/>
        <v>141330.72</v>
      </c>
      <c r="T955" s="738" t="str">
        <f t="shared" si="60"/>
        <v>M2</v>
      </c>
      <c r="U955" s="738"/>
    </row>
    <row r="956" spans="1:21" x14ac:dyDescent="0.2">
      <c r="A956" s="913"/>
      <c r="B956" s="666"/>
      <c r="C956" s="580" t="s">
        <v>1426</v>
      </c>
      <c r="D956" s="870">
        <v>519</v>
      </c>
      <c r="E956" s="871" t="s">
        <v>8</v>
      </c>
      <c r="F956" s="667">
        <v>0</v>
      </c>
      <c r="G956" s="871"/>
      <c r="H956" s="871"/>
      <c r="I956" s="668"/>
      <c r="J956" s="876"/>
      <c r="K956" s="884"/>
      <c r="L956" s="876"/>
      <c r="N956" s="876">
        <f t="shared" si="63"/>
        <v>300</v>
      </c>
      <c r="O956" s="313"/>
      <c r="P956" s="315"/>
      <c r="Q956" s="315"/>
      <c r="R956" s="909"/>
      <c r="S956" s="738">
        <f t="shared" si="59"/>
        <v>141330.72</v>
      </c>
      <c r="T956" s="738" t="str">
        <f t="shared" si="60"/>
        <v>M2</v>
      </c>
      <c r="U956" s="738"/>
    </row>
    <row r="957" spans="1:21" x14ac:dyDescent="0.2">
      <c r="A957" s="913"/>
      <c r="B957" s="666"/>
      <c r="C957" s="580" t="s">
        <v>1426</v>
      </c>
      <c r="D957" s="870">
        <v>525</v>
      </c>
      <c r="E957" s="871" t="s">
        <v>8</v>
      </c>
      <c r="F957" s="667">
        <v>0</v>
      </c>
      <c r="G957" s="871"/>
      <c r="H957" s="871"/>
      <c r="I957" s="668"/>
      <c r="J957" s="876"/>
      <c r="K957" s="884"/>
      <c r="L957" s="876"/>
      <c r="N957" s="876">
        <f t="shared" si="63"/>
        <v>300</v>
      </c>
      <c r="O957" s="313"/>
      <c r="P957" s="315"/>
      <c r="Q957" s="315"/>
      <c r="R957" s="909"/>
      <c r="S957" s="738">
        <f t="shared" si="59"/>
        <v>141330.72</v>
      </c>
      <c r="T957" s="738" t="str">
        <f t="shared" si="60"/>
        <v>M2</v>
      </c>
      <c r="U957" s="738"/>
    </row>
    <row r="958" spans="1:21" x14ac:dyDescent="0.2">
      <c r="A958" s="913"/>
      <c r="B958" s="666"/>
      <c r="C958" s="580" t="s">
        <v>1426</v>
      </c>
      <c r="D958" s="870">
        <v>553</v>
      </c>
      <c r="E958" s="871" t="s">
        <v>8</v>
      </c>
      <c r="F958" s="667">
        <v>0</v>
      </c>
      <c r="G958" s="871"/>
      <c r="H958" s="871"/>
      <c r="I958" s="668"/>
      <c r="J958" s="876"/>
      <c r="K958" s="884"/>
      <c r="L958" s="876"/>
      <c r="N958" s="876">
        <f t="shared" si="63"/>
        <v>300</v>
      </c>
      <c r="O958" s="313"/>
      <c r="P958" s="315"/>
      <c r="Q958" s="315"/>
      <c r="R958" s="909"/>
      <c r="S958" s="738">
        <f t="shared" si="59"/>
        <v>141330.72</v>
      </c>
      <c r="T958" s="738" t="str">
        <f t="shared" si="60"/>
        <v>M2</v>
      </c>
      <c r="U958" s="738"/>
    </row>
    <row r="959" spans="1:21" x14ac:dyDescent="0.2">
      <c r="A959" s="913"/>
      <c r="B959" s="666"/>
      <c r="C959" s="580" t="s">
        <v>1426</v>
      </c>
      <c r="D959" s="870">
        <v>557</v>
      </c>
      <c r="E959" s="871" t="s">
        <v>8</v>
      </c>
      <c r="F959" s="667">
        <v>0</v>
      </c>
      <c r="G959" s="871"/>
      <c r="H959" s="871"/>
      <c r="I959" s="668"/>
      <c r="J959" s="876"/>
      <c r="K959" s="884"/>
      <c r="L959" s="876"/>
      <c r="N959" s="876">
        <f t="shared" si="63"/>
        <v>300</v>
      </c>
      <c r="O959" s="313"/>
      <c r="P959" s="315"/>
      <c r="Q959" s="315"/>
      <c r="R959" s="909"/>
      <c r="S959" s="738">
        <f t="shared" si="59"/>
        <v>141330.72</v>
      </c>
      <c r="T959" s="738" t="str">
        <f t="shared" si="60"/>
        <v>M2</v>
      </c>
      <c r="U959" s="738"/>
    </row>
    <row r="960" spans="1:21" x14ac:dyDescent="0.2">
      <c r="A960" s="913"/>
      <c r="B960" s="666"/>
      <c r="C960" s="744" t="s">
        <v>1553</v>
      </c>
      <c r="D960" s="870"/>
      <c r="E960" s="871"/>
      <c r="F960" s="667"/>
      <c r="G960" s="871"/>
      <c r="H960" s="871"/>
      <c r="I960" s="668"/>
      <c r="J960" s="876"/>
      <c r="K960" s="884"/>
      <c r="L960" s="876"/>
      <c r="N960" s="876"/>
      <c r="O960" s="313"/>
      <c r="P960" s="315"/>
      <c r="Q960" s="315"/>
      <c r="R960" s="909"/>
      <c r="S960" s="738">
        <f t="shared" si="59"/>
        <v>141330.72</v>
      </c>
      <c r="T960" s="738" t="str">
        <f t="shared" si="60"/>
        <v>M2</v>
      </c>
      <c r="U960" s="738"/>
    </row>
    <row r="961" spans="1:27" x14ac:dyDescent="0.2">
      <c r="A961" s="913"/>
      <c r="B961" s="666"/>
      <c r="C961" s="290" t="s">
        <v>1065</v>
      </c>
      <c r="D961" s="290">
        <v>0</v>
      </c>
      <c r="E961" s="291" t="s">
        <v>8</v>
      </c>
      <c r="F961" s="675">
        <v>0</v>
      </c>
      <c r="G961" s="381">
        <v>111</v>
      </c>
      <c r="H961" s="291" t="s">
        <v>8</v>
      </c>
      <c r="I961" s="292">
        <v>11.53</v>
      </c>
      <c r="J961" s="383"/>
      <c r="K961" s="298">
        <f>+(G961*20+I961)-(D961*20+F961)</f>
        <v>2231.5300000000002</v>
      </c>
      <c r="L961" s="298">
        <v>8.8000000000000007</v>
      </c>
      <c r="N961" s="876">
        <f>+L961*K961</f>
        <v>19637.46</v>
      </c>
      <c r="O961" s="313"/>
      <c r="P961" s="315"/>
      <c r="Q961" s="315"/>
      <c r="R961" s="909"/>
      <c r="S961" s="738">
        <f t="shared" si="59"/>
        <v>141330.72</v>
      </c>
      <c r="T961" s="738" t="str">
        <f t="shared" si="60"/>
        <v>M2</v>
      </c>
      <c r="U961" s="738"/>
      <c r="W961" s="288"/>
      <c r="X961" s="288"/>
      <c r="Y961" s="288"/>
      <c r="Z961" s="288"/>
      <c r="AA961" s="288"/>
    </row>
    <row r="962" spans="1:27" x14ac:dyDescent="0.2">
      <c r="A962" s="913"/>
      <c r="B962" s="666"/>
      <c r="C962" s="290" t="s">
        <v>1570</v>
      </c>
      <c r="D962" s="290">
        <v>15</v>
      </c>
      <c r="E962" s="291" t="s">
        <v>8</v>
      </c>
      <c r="F962" s="675">
        <v>15</v>
      </c>
      <c r="G962" s="381"/>
      <c r="J962" s="383" t="s">
        <v>1556</v>
      </c>
      <c r="K962" s="298"/>
      <c r="M962" s="298">
        <v>97</v>
      </c>
      <c r="N962" s="876">
        <v>97</v>
      </c>
      <c r="O962" s="313"/>
      <c r="P962" s="315"/>
      <c r="Q962" s="315"/>
      <c r="R962" s="909"/>
      <c r="S962" s="738">
        <f t="shared" si="59"/>
        <v>141330.72</v>
      </c>
      <c r="T962" s="738" t="str">
        <f t="shared" si="60"/>
        <v>M2</v>
      </c>
      <c r="U962" s="738"/>
      <c r="W962" s="288"/>
      <c r="X962" s="288"/>
      <c r="Y962" s="288"/>
      <c r="Z962" s="288"/>
      <c r="AA962" s="288"/>
    </row>
    <row r="963" spans="1:27" x14ac:dyDescent="0.2">
      <c r="A963" s="913"/>
      <c r="B963" s="666"/>
      <c r="C963" s="290" t="s">
        <v>1570</v>
      </c>
      <c r="D963" s="290">
        <v>16</v>
      </c>
      <c r="E963" s="291" t="s">
        <v>8</v>
      </c>
      <c r="F963" s="675">
        <v>5</v>
      </c>
      <c r="G963" s="381"/>
      <c r="J963" s="383" t="s">
        <v>1564</v>
      </c>
      <c r="K963" s="298"/>
      <c r="M963" s="298">
        <v>97</v>
      </c>
      <c r="N963" s="876">
        <v>97</v>
      </c>
      <c r="O963" s="313"/>
      <c r="P963" s="315"/>
      <c r="Q963" s="315"/>
      <c r="R963" s="909"/>
      <c r="S963" s="738">
        <f t="shared" si="59"/>
        <v>141330.72</v>
      </c>
      <c r="T963" s="738" t="str">
        <f t="shared" si="60"/>
        <v>M2</v>
      </c>
      <c r="U963" s="738"/>
      <c r="W963" s="288"/>
      <c r="X963" s="288"/>
      <c r="Y963" s="288"/>
      <c r="Z963" s="288"/>
      <c r="AA963" s="288"/>
    </row>
    <row r="964" spans="1:27" x14ac:dyDescent="0.2">
      <c r="A964" s="913"/>
      <c r="B964" s="666"/>
      <c r="C964" s="290" t="s">
        <v>1570</v>
      </c>
      <c r="D964" s="290">
        <v>26</v>
      </c>
      <c r="E964" s="291" t="s">
        <v>8</v>
      </c>
      <c r="F964" s="675">
        <v>15</v>
      </c>
      <c r="G964" s="381"/>
      <c r="J964" s="383" t="s">
        <v>1556</v>
      </c>
      <c r="K964" s="298"/>
      <c r="M964" s="298">
        <v>97</v>
      </c>
      <c r="N964" s="876">
        <v>97</v>
      </c>
      <c r="O964" s="313"/>
      <c r="P964" s="315"/>
      <c r="Q964" s="315"/>
      <c r="R964" s="909"/>
      <c r="S964" s="738">
        <f t="shared" si="59"/>
        <v>141330.72</v>
      </c>
      <c r="T964" s="738" t="str">
        <f t="shared" si="60"/>
        <v>M2</v>
      </c>
      <c r="U964" s="738"/>
      <c r="W964" s="288"/>
      <c r="X964" s="288"/>
      <c r="Y964" s="288"/>
      <c r="Z964" s="288"/>
      <c r="AA964" s="288"/>
    </row>
    <row r="965" spans="1:27" x14ac:dyDescent="0.2">
      <c r="A965" s="913"/>
      <c r="B965" s="666"/>
      <c r="C965" s="290" t="s">
        <v>1570</v>
      </c>
      <c r="D965" s="290">
        <v>29</v>
      </c>
      <c r="E965" s="291" t="s">
        <v>8</v>
      </c>
      <c r="F965" s="675">
        <v>5</v>
      </c>
      <c r="G965" s="381"/>
      <c r="J965" s="383" t="s">
        <v>1564</v>
      </c>
      <c r="K965" s="298"/>
      <c r="M965" s="298">
        <v>97</v>
      </c>
      <c r="N965" s="876">
        <v>97</v>
      </c>
      <c r="O965" s="313"/>
      <c r="P965" s="315"/>
      <c r="Q965" s="315"/>
      <c r="R965" s="909"/>
      <c r="S965" s="738">
        <f t="shared" si="59"/>
        <v>141330.72</v>
      </c>
      <c r="T965" s="738" t="str">
        <f t="shared" si="60"/>
        <v>M2</v>
      </c>
      <c r="U965" s="738"/>
      <c r="W965" s="288"/>
      <c r="X965" s="288"/>
      <c r="Y965" s="288"/>
      <c r="Z965" s="288"/>
      <c r="AA965" s="288"/>
    </row>
    <row r="966" spans="1:27" x14ac:dyDescent="0.2">
      <c r="A966" s="913"/>
      <c r="B966" s="666"/>
      <c r="C966" s="290" t="s">
        <v>1570</v>
      </c>
      <c r="D966" s="290">
        <v>60</v>
      </c>
      <c r="E966" s="291" t="s">
        <v>8</v>
      </c>
      <c r="F966" s="675">
        <v>5</v>
      </c>
      <c r="G966" s="381"/>
      <c r="J966" s="383" t="s">
        <v>1556</v>
      </c>
      <c r="K966" s="298"/>
      <c r="M966" s="298">
        <v>97</v>
      </c>
      <c r="N966" s="876">
        <v>97</v>
      </c>
      <c r="O966" s="313"/>
      <c r="P966" s="315"/>
      <c r="Q966" s="315"/>
      <c r="R966" s="909"/>
      <c r="S966" s="738">
        <f t="shared" si="59"/>
        <v>141330.72</v>
      </c>
      <c r="T966" s="738" t="str">
        <f t="shared" si="60"/>
        <v>M2</v>
      </c>
      <c r="U966" s="738"/>
      <c r="W966" s="288"/>
      <c r="X966" s="288"/>
      <c r="Y966" s="288"/>
      <c r="Z966" s="288"/>
      <c r="AA966" s="288"/>
    </row>
    <row r="967" spans="1:27" x14ac:dyDescent="0.2">
      <c r="A967" s="913"/>
      <c r="B967" s="666"/>
      <c r="C967" s="290" t="s">
        <v>1570</v>
      </c>
      <c r="D967" s="290">
        <v>60</v>
      </c>
      <c r="E967" s="291" t="s">
        <v>8</v>
      </c>
      <c r="F967" s="675">
        <v>15</v>
      </c>
      <c r="G967" s="381"/>
      <c r="J967" s="383" t="s">
        <v>1564</v>
      </c>
      <c r="K967" s="298"/>
      <c r="M967" s="298">
        <v>97</v>
      </c>
      <c r="N967" s="876">
        <v>97</v>
      </c>
      <c r="O967" s="313"/>
      <c r="P967" s="315"/>
      <c r="Q967" s="315"/>
      <c r="R967" s="909"/>
      <c r="S967" s="738">
        <f t="shared" si="59"/>
        <v>141330.72</v>
      </c>
      <c r="T967" s="738" t="str">
        <f t="shared" si="60"/>
        <v>M2</v>
      </c>
      <c r="U967" s="738"/>
      <c r="W967" s="288"/>
      <c r="X967" s="288"/>
      <c r="Y967" s="288"/>
      <c r="Z967" s="288"/>
      <c r="AA967" s="288"/>
    </row>
    <row r="968" spans="1:27" x14ac:dyDescent="0.2">
      <c r="A968" s="913"/>
      <c r="B968" s="666"/>
      <c r="C968" s="290" t="s">
        <v>1570</v>
      </c>
      <c r="D968" s="290">
        <v>76</v>
      </c>
      <c r="E968" s="291" t="s">
        <v>8</v>
      </c>
      <c r="F968" s="675">
        <v>5</v>
      </c>
      <c r="G968" s="381"/>
      <c r="J968" s="383" t="s">
        <v>1556</v>
      </c>
      <c r="K968" s="298"/>
      <c r="M968" s="298">
        <v>97</v>
      </c>
      <c r="N968" s="876">
        <v>97</v>
      </c>
      <c r="O968" s="313"/>
      <c r="P968" s="315"/>
      <c r="Q968" s="315"/>
      <c r="R968" s="909"/>
      <c r="S968" s="738">
        <f t="shared" si="59"/>
        <v>141330.72</v>
      </c>
      <c r="T968" s="738" t="str">
        <f t="shared" si="60"/>
        <v>M2</v>
      </c>
      <c r="U968" s="738"/>
      <c r="W968" s="288"/>
      <c r="X968" s="288"/>
      <c r="Y968" s="288"/>
      <c r="Z968" s="288"/>
      <c r="AA968" s="288"/>
    </row>
    <row r="969" spans="1:27" x14ac:dyDescent="0.2">
      <c r="A969" s="913"/>
      <c r="B969" s="666"/>
      <c r="C969" s="290" t="s">
        <v>1570</v>
      </c>
      <c r="D969" s="290">
        <v>77</v>
      </c>
      <c r="E969" s="291" t="s">
        <v>8</v>
      </c>
      <c r="F969" s="675">
        <v>15</v>
      </c>
      <c r="G969" s="381"/>
      <c r="J969" s="383" t="s">
        <v>1564</v>
      </c>
      <c r="K969" s="298"/>
      <c r="M969" s="298">
        <v>97</v>
      </c>
      <c r="N969" s="876">
        <v>97</v>
      </c>
      <c r="O969" s="313"/>
      <c r="P969" s="315"/>
      <c r="Q969" s="315"/>
      <c r="R969" s="909"/>
      <c r="S969" s="738">
        <f t="shared" si="59"/>
        <v>141330.72</v>
      </c>
      <c r="T969" s="738" t="str">
        <f t="shared" si="60"/>
        <v>M2</v>
      </c>
      <c r="U969" s="738"/>
      <c r="W969" s="288"/>
      <c r="X969" s="288"/>
      <c r="Y969" s="288"/>
      <c r="Z969" s="288"/>
      <c r="AA969" s="288"/>
    </row>
    <row r="970" spans="1:27" x14ac:dyDescent="0.2">
      <c r="A970" s="913"/>
      <c r="B970" s="666"/>
      <c r="C970" s="290" t="s">
        <v>1570</v>
      </c>
      <c r="D970" s="290">
        <v>106</v>
      </c>
      <c r="E970" s="291" t="s">
        <v>8</v>
      </c>
      <c r="F970" s="675">
        <v>5</v>
      </c>
      <c r="G970" s="381"/>
      <c r="J970" s="383" t="s">
        <v>1556</v>
      </c>
      <c r="K970" s="298"/>
      <c r="M970" s="298">
        <v>97</v>
      </c>
      <c r="N970" s="876">
        <v>97</v>
      </c>
      <c r="O970" s="313"/>
      <c r="P970" s="315"/>
      <c r="Q970" s="315"/>
      <c r="R970" s="909"/>
      <c r="S970" s="738">
        <f t="shared" si="59"/>
        <v>141330.72</v>
      </c>
      <c r="T970" s="738" t="str">
        <f t="shared" si="60"/>
        <v>M2</v>
      </c>
      <c r="U970" s="738"/>
      <c r="W970" s="288"/>
      <c r="X970" s="288"/>
      <c r="Y970" s="288"/>
      <c r="Z970" s="288"/>
      <c r="AA970" s="288"/>
    </row>
    <row r="971" spans="1:27" x14ac:dyDescent="0.2">
      <c r="A971" s="913"/>
      <c r="B971" s="666"/>
      <c r="C971" s="290" t="s">
        <v>1570</v>
      </c>
      <c r="D971" s="290">
        <v>109</v>
      </c>
      <c r="E971" s="291" t="s">
        <v>8</v>
      </c>
      <c r="F971" s="675">
        <v>15</v>
      </c>
      <c r="G971" s="381"/>
      <c r="J971" s="383" t="s">
        <v>1564</v>
      </c>
      <c r="K971" s="298"/>
      <c r="M971" s="298">
        <v>97</v>
      </c>
      <c r="N971" s="876">
        <v>97</v>
      </c>
      <c r="O971" s="313"/>
      <c r="P971" s="315"/>
      <c r="Q971" s="315"/>
      <c r="R971" s="909"/>
      <c r="S971" s="738">
        <f t="shared" si="59"/>
        <v>141330.72</v>
      </c>
      <c r="T971" s="738" t="str">
        <f t="shared" si="60"/>
        <v>M2</v>
      </c>
      <c r="U971" s="738"/>
      <c r="W971" s="288"/>
      <c r="X971" s="288"/>
      <c r="Y971" s="288"/>
      <c r="Z971" s="288"/>
      <c r="AA971" s="288"/>
    </row>
    <row r="972" spans="1:27" x14ac:dyDescent="0.2">
      <c r="A972" s="899"/>
      <c r="B972" s="353"/>
      <c r="C972" s="354" t="s">
        <v>2</v>
      </c>
      <c r="D972" s="355"/>
      <c r="E972" s="352"/>
      <c r="F972" s="356"/>
      <c r="G972" s="355"/>
      <c r="H972" s="356"/>
      <c r="I972" s="356"/>
      <c r="J972" s="353"/>
      <c r="K972" s="357"/>
      <c r="L972" s="358"/>
      <c r="M972" s="359"/>
      <c r="N972" s="360">
        <f>SUM(N928:N971)</f>
        <v>141330.72</v>
      </c>
      <c r="O972" s="361" t="str">
        <f>IF(MID(B926,1,2)="LG",VLOOKUP(B926,'Compos lug'!J:M,4,FALSE),IF(MID(B926,1,1)="6",VLOOKUP(B926,tranp.!$A$6:$K$51,3,FALSE),VLOOKUP(B926,'DER 10-18'!$A$1:$I$1981,3,FALSE)))</f>
        <v>M2</v>
      </c>
      <c r="P972" s="362"/>
      <c r="Q972" s="362"/>
      <c r="R972" s="900"/>
      <c r="S972" s="738">
        <f>VLOOKUP("Total",C1010:O2733,12,FALSE)</f>
        <v>20161.16</v>
      </c>
      <c r="T972" s="738" t="str">
        <f>VLOOKUP("Total",C1010:O2733,13,FALSE)</f>
        <v>M2</v>
      </c>
      <c r="U972" s="738"/>
    </row>
    <row r="973" spans="1:27" ht="38.25" x14ac:dyDescent="0.2">
      <c r="A973" s="913" t="s">
        <v>273</v>
      </c>
      <c r="B973" s="666">
        <v>40843</v>
      </c>
      <c r="C973" s="347" t="str">
        <f>IF(MID(B973,1,2)="LG",VLOOKUP(B973,'Compos lug'!J:M,3,FALSE),IF(MID(B973,1,1)="6",VLOOKUP(B973,tranp.!$A$4:$K$19,11,FALSE)&amp;" -  XP="&amp;TEXT(T973,"0.000")&amp;" / XR="&amp;TEXT(V973,"0.000"),VLOOKUP(B973,'DER 10-18'!$A$1:$I$1981,2,FALSE)))</f>
        <v>CBUQ (camada pronta - capa) exclusive fornecimento e transportes do CAP e massa</v>
      </c>
      <c r="D973" s="1059" t="s">
        <v>1000</v>
      </c>
      <c r="E973" s="1060"/>
      <c r="F973" s="1061"/>
      <c r="G973" s="1059" t="s">
        <v>1001</v>
      </c>
      <c r="H973" s="1060"/>
      <c r="I973" s="1061"/>
      <c r="J973" s="876" t="s">
        <v>998</v>
      </c>
      <c r="K973" s="876" t="s">
        <v>994</v>
      </c>
      <c r="L973" s="876" t="s">
        <v>1009</v>
      </c>
      <c r="M973" s="876" t="s">
        <v>1099</v>
      </c>
      <c r="N973" s="876" t="str">
        <f>CONCATENATE("Total (",IF(MID(B973,1,2)="LG",VLOOKUP(B973,'Compos lug'!J:M,4,FALSE),IF(MID(B973,1,1)="6","t",VLOOKUP(B973,'DER 10-18'!$A$1:$I$1981,3,FALSE))),")")</f>
        <v>Total (t)</v>
      </c>
      <c r="O973" s="313"/>
      <c r="P973" s="315"/>
      <c r="Q973" s="315"/>
      <c r="R973" s="909"/>
      <c r="S973" s="738">
        <f t="shared" ref="S973:S1008" si="64">VLOOKUP("Total",C974:O2650,12,FALSE)</f>
        <v>14245.03</v>
      </c>
      <c r="T973" s="738" t="str">
        <f t="shared" ref="T973:T1008" si="65">VLOOKUP("Total",C974:O2650,13,FALSE)</f>
        <v>t</v>
      </c>
      <c r="U973" s="738"/>
    </row>
    <row r="974" spans="1:27" x14ac:dyDescent="0.2">
      <c r="A974" s="294"/>
      <c r="B974" s="293"/>
      <c r="C974" s="744" t="s">
        <v>1552</v>
      </c>
      <c r="N974" s="876"/>
      <c r="R974" s="912"/>
      <c r="S974" s="738">
        <f t="shared" si="64"/>
        <v>14245.03</v>
      </c>
      <c r="T974" s="738" t="str">
        <f t="shared" si="65"/>
        <v>t</v>
      </c>
    </row>
    <row r="975" spans="1:27" x14ac:dyDescent="0.2">
      <c r="A975" s="913"/>
      <c r="B975" s="666"/>
      <c r="C975" s="580" t="s">
        <v>1065</v>
      </c>
      <c r="D975" s="870">
        <v>0</v>
      </c>
      <c r="E975" s="871" t="s">
        <v>8</v>
      </c>
      <c r="F975" s="667">
        <v>0</v>
      </c>
      <c r="G975" s="871">
        <v>55</v>
      </c>
      <c r="H975" s="871" t="s">
        <v>8</v>
      </c>
      <c r="I975" s="668">
        <v>0</v>
      </c>
      <c r="J975" s="876">
        <f t="shared" ref="J975:J978" si="66">(G975*20+I975)-(D975*20+F975)</f>
        <v>1100</v>
      </c>
      <c r="K975" s="876">
        <v>10.6</v>
      </c>
      <c r="L975" s="298">
        <v>0.05</v>
      </c>
      <c r="M975" s="298">
        <v>2.4</v>
      </c>
      <c r="N975" s="876">
        <f>TRUNC(J975*K975*L975*M975,3)</f>
        <v>1399.2</v>
      </c>
      <c r="O975" s="313"/>
      <c r="P975" s="315"/>
      <c r="Q975" s="315"/>
      <c r="R975" s="909"/>
      <c r="S975" s="738">
        <f t="shared" si="64"/>
        <v>14245.03</v>
      </c>
      <c r="T975" s="738" t="str">
        <f t="shared" si="65"/>
        <v>t</v>
      </c>
      <c r="U975" s="738"/>
    </row>
    <row r="976" spans="1:27" x14ac:dyDescent="0.2">
      <c r="A976" s="913"/>
      <c r="B976" s="666"/>
      <c r="C976" s="580" t="s">
        <v>1065</v>
      </c>
      <c r="D976" s="870">
        <v>70</v>
      </c>
      <c r="E976" s="871" t="s">
        <v>8</v>
      </c>
      <c r="F976" s="667">
        <v>0</v>
      </c>
      <c r="G976" s="871">
        <v>284</v>
      </c>
      <c r="H976" s="871" t="s">
        <v>8</v>
      </c>
      <c r="I976" s="668">
        <v>16</v>
      </c>
      <c r="J976" s="876">
        <f t="shared" si="66"/>
        <v>4296</v>
      </c>
      <c r="K976" s="876">
        <v>10.6</v>
      </c>
      <c r="L976" s="298">
        <v>0.05</v>
      </c>
      <c r="M976" s="298">
        <v>2.4</v>
      </c>
      <c r="N976" s="876">
        <f>TRUNC(J976*K976*L976*M976,3)</f>
        <v>5464.51</v>
      </c>
      <c r="O976" s="313"/>
      <c r="P976" s="315"/>
      <c r="Q976" s="315"/>
      <c r="R976" s="909"/>
      <c r="S976" s="738">
        <f t="shared" si="64"/>
        <v>14245.03</v>
      </c>
      <c r="T976" s="738" t="str">
        <f t="shared" si="65"/>
        <v>t</v>
      </c>
      <c r="U976" s="738"/>
    </row>
    <row r="977" spans="1:21" x14ac:dyDescent="0.2">
      <c r="A977" s="913"/>
      <c r="B977" s="666"/>
      <c r="C977" s="580" t="s">
        <v>1065</v>
      </c>
      <c r="D977" s="870">
        <v>327</v>
      </c>
      <c r="E977" s="871" t="s">
        <v>8</v>
      </c>
      <c r="F977" s="667">
        <v>15</v>
      </c>
      <c r="G977" s="871">
        <v>375</v>
      </c>
      <c r="H977" s="871" t="s">
        <v>8</v>
      </c>
      <c r="I977" s="668">
        <v>0</v>
      </c>
      <c r="J977" s="876">
        <f t="shared" si="66"/>
        <v>945</v>
      </c>
      <c r="K977" s="876">
        <v>10.6</v>
      </c>
      <c r="L977" s="298">
        <v>0.05</v>
      </c>
      <c r="M977" s="298">
        <v>2.4</v>
      </c>
      <c r="N977" s="876">
        <f t="shared" ref="N977:N979" si="67">TRUNC(J977*K977*L977*M977,3)</f>
        <v>1202.04</v>
      </c>
      <c r="O977" s="313"/>
      <c r="P977" s="315"/>
      <c r="Q977" s="315"/>
      <c r="R977" s="909"/>
      <c r="S977" s="738">
        <f t="shared" si="64"/>
        <v>14245.03</v>
      </c>
      <c r="T977" s="738" t="str">
        <f t="shared" si="65"/>
        <v>t</v>
      </c>
      <c r="U977" s="738"/>
    </row>
    <row r="978" spans="1:21" x14ac:dyDescent="0.2">
      <c r="A978" s="913"/>
      <c r="B978" s="666"/>
      <c r="C978" s="580" t="s">
        <v>1065</v>
      </c>
      <c r="D978" s="870">
        <v>375</v>
      </c>
      <c r="E978" s="871" t="s">
        <v>8</v>
      </c>
      <c r="F978" s="667">
        <v>0</v>
      </c>
      <c r="G978" s="871">
        <v>382</v>
      </c>
      <c r="H978" s="871" t="s">
        <v>8</v>
      </c>
      <c r="I978" s="668">
        <v>0</v>
      </c>
      <c r="J978" s="876">
        <f t="shared" si="66"/>
        <v>140</v>
      </c>
      <c r="K978" s="876">
        <v>6.6</v>
      </c>
      <c r="L978" s="298">
        <v>0.05</v>
      </c>
      <c r="M978" s="298">
        <v>2.4</v>
      </c>
      <c r="N978" s="876">
        <f t="shared" si="67"/>
        <v>110.88</v>
      </c>
      <c r="O978" s="313"/>
      <c r="P978" s="315"/>
      <c r="Q978" s="315"/>
      <c r="R978" s="909"/>
      <c r="S978" s="738">
        <f t="shared" si="64"/>
        <v>14245.03</v>
      </c>
      <c r="T978" s="738" t="str">
        <f t="shared" si="65"/>
        <v>t</v>
      </c>
      <c r="U978" s="738"/>
    </row>
    <row r="979" spans="1:21" x14ac:dyDescent="0.2">
      <c r="A979" s="913"/>
      <c r="B979" s="666"/>
      <c r="C979" s="580" t="s">
        <v>1065</v>
      </c>
      <c r="D979" s="870">
        <v>382</v>
      </c>
      <c r="E979" s="871" t="s">
        <v>8</v>
      </c>
      <c r="F979" s="667">
        <v>0</v>
      </c>
      <c r="G979" s="871">
        <v>561</v>
      </c>
      <c r="H979" s="871" t="s">
        <v>8</v>
      </c>
      <c r="I979" s="668">
        <v>12.45</v>
      </c>
      <c r="J979" s="876">
        <f>(G979*20+I979)-(D979*20+F979)</f>
        <v>3592.45</v>
      </c>
      <c r="K979" s="876">
        <v>10.6</v>
      </c>
      <c r="L979" s="298">
        <v>0.05</v>
      </c>
      <c r="M979" s="298">
        <v>2.4</v>
      </c>
      <c r="N979" s="876">
        <f t="shared" si="67"/>
        <v>4569.6000000000004</v>
      </c>
      <c r="O979" s="313"/>
      <c r="Q979" s="315"/>
      <c r="R979" s="909"/>
      <c r="S979" s="738">
        <f t="shared" si="64"/>
        <v>14245.03</v>
      </c>
      <c r="T979" s="738" t="str">
        <f t="shared" si="65"/>
        <v>t</v>
      </c>
      <c r="U979" s="738"/>
    </row>
    <row r="980" spans="1:21" x14ac:dyDescent="0.2">
      <c r="A980" s="913"/>
      <c r="B980" s="666"/>
      <c r="C980" s="580"/>
      <c r="D980" s="870"/>
      <c r="E980" s="871"/>
      <c r="F980" s="667"/>
      <c r="G980" s="871"/>
      <c r="H980" s="871"/>
      <c r="I980" s="668"/>
      <c r="J980" s="349"/>
      <c r="K980" s="876" t="s">
        <v>1427</v>
      </c>
      <c r="L980" s="876"/>
      <c r="M980" s="298"/>
      <c r="N980" s="876"/>
      <c r="O980" s="313"/>
      <c r="P980" s="315"/>
      <c r="Q980" s="315"/>
      <c r="R980" s="909"/>
      <c r="S980" s="738">
        <f t="shared" si="64"/>
        <v>14245.03</v>
      </c>
      <c r="T980" s="738" t="str">
        <f t="shared" si="65"/>
        <v>t</v>
      </c>
      <c r="U980" s="738"/>
    </row>
    <row r="981" spans="1:21" x14ac:dyDescent="0.2">
      <c r="A981" s="913"/>
      <c r="B981" s="666"/>
      <c r="C981" s="580" t="s">
        <v>1432</v>
      </c>
      <c r="D981" s="870">
        <v>55</v>
      </c>
      <c r="E981" s="871" t="s">
        <v>8</v>
      </c>
      <c r="F981" s="667">
        <v>0</v>
      </c>
      <c r="G981" s="871">
        <v>70</v>
      </c>
      <c r="H981" s="871" t="s">
        <v>8</v>
      </c>
      <c r="I981" s="668">
        <v>0</v>
      </c>
      <c r="J981" s="349"/>
      <c r="K981" s="884">
        <v>4690</v>
      </c>
      <c r="L981" s="876">
        <v>0.05</v>
      </c>
      <c r="M981" s="298">
        <v>2.4</v>
      </c>
      <c r="N981" s="876">
        <f>TRUNC(K981*L981*M981,3)</f>
        <v>562.79999999999995</v>
      </c>
      <c r="O981" s="313"/>
      <c r="P981" s="315"/>
      <c r="Q981" s="315"/>
      <c r="R981" s="909"/>
      <c r="S981" s="738">
        <f t="shared" si="64"/>
        <v>14245.03</v>
      </c>
      <c r="T981" s="738" t="str">
        <f t="shared" si="65"/>
        <v>t</v>
      </c>
      <c r="U981" s="738"/>
    </row>
    <row r="982" spans="1:21" x14ac:dyDescent="0.2">
      <c r="A982" s="913"/>
      <c r="B982" s="666"/>
      <c r="C982" s="580" t="s">
        <v>1426</v>
      </c>
      <c r="D982" s="870">
        <v>38</v>
      </c>
      <c r="E982" s="871" t="s">
        <v>8</v>
      </c>
      <c r="F982" s="667">
        <v>0</v>
      </c>
      <c r="G982" s="871"/>
      <c r="H982" s="871"/>
      <c r="I982" s="668"/>
      <c r="J982" s="349"/>
      <c r="K982" s="884">
        <v>300</v>
      </c>
      <c r="L982" s="298">
        <v>0.05</v>
      </c>
      <c r="M982" s="298">
        <v>2.4</v>
      </c>
      <c r="N982" s="876">
        <f>TRUNC(K982*L982*M982,3)</f>
        <v>36</v>
      </c>
      <c r="O982" s="313"/>
      <c r="P982" s="315"/>
      <c r="Q982" s="315"/>
      <c r="R982" s="909"/>
      <c r="S982" s="738">
        <f t="shared" si="64"/>
        <v>14245.03</v>
      </c>
      <c r="T982" s="738" t="str">
        <f t="shared" si="65"/>
        <v>t</v>
      </c>
      <c r="U982" s="738"/>
    </row>
    <row r="983" spans="1:21" x14ac:dyDescent="0.2">
      <c r="A983" s="913"/>
      <c r="B983" s="666"/>
      <c r="C983" s="580" t="s">
        <v>1426</v>
      </c>
      <c r="D983" s="870">
        <v>42</v>
      </c>
      <c r="E983" s="871" t="s">
        <v>8</v>
      </c>
      <c r="F983" s="667">
        <v>0</v>
      </c>
      <c r="G983" s="871"/>
      <c r="H983" s="871"/>
      <c r="I983" s="668"/>
      <c r="J983" s="349"/>
      <c r="K983" s="884">
        <v>300</v>
      </c>
      <c r="L983" s="298">
        <v>0.05</v>
      </c>
      <c r="M983" s="298">
        <v>2.4</v>
      </c>
      <c r="N983" s="876">
        <f t="shared" ref="N983:N1007" si="68">TRUNC(K983*L983*M983,3)</f>
        <v>36</v>
      </c>
      <c r="O983" s="313"/>
      <c r="P983" s="315"/>
      <c r="Q983" s="315"/>
      <c r="R983" s="909"/>
      <c r="S983" s="738">
        <f t="shared" si="64"/>
        <v>14245.03</v>
      </c>
      <c r="T983" s="738" t="str">
        <f t="shared" si="65"/>
        <v>t</v>
      </c>
      <c r="U983" s="738"/>
    </row>
    <row r="984" spans="1:21" x14ac:dyDescent="0.2">
      <c r="A984" s="913"/>
      <c r="B984" s="666"/>
      <c r="C984" s="580" t="s">
        <v>1426</v>
      </c>
      <c r="D984" s="870">
        <v>72</v>
      </c>
      <c r="E984" s="871" t="s">
        <v>8</v>
      </c>
      <c r="F984" s="667">
        <v>0</v>
      </c>
      <c r="G984" s="871"/>
      <c r="H984" s="871"/>
      <c r="I984" s="668"/>
      <c r="J984" s="349"/>
      <c r="K984" s="884">
        <v>300</v>
      </c>
      <c r="L984" s="298">
        <v>0.05</v>
      </c>
      <c r="M984" s="298">
        <v>2.4</v>
      </c>
      <c r="N984" s="876">
        <f t="shared" si="68"/>
        <v>36</v>
      </c>
      <c r="O984" s="313"/>
      <c r="P984" s="315"/>
      <c r="Q984" s="315"/>
      <c r="R984" s="909"/>
      <c r="S984" s="738">
        <f t="shared" si="64"/>
        <v>14245.03</v>
      </c>
      <c r="T984" s="738" t="str">
        <f t="shared" si="65"/>
        <v>t</v>
      </c>
      <c r="U984" s="738"/>
    </row>
    <row r="985" spans="1:21" x14ac:dyDescent="0.2">
      <c r="A985" s="913"/>
      <c r="B985" s="666"/>
      <c r="C985" s="580" t="s">
        <v>1426</v>
      </c>
      <c r="D985" s="870">
        <v>76</v>
      </c>
      <c r="E985" s="871" t="s">
        <v>8</v>
      </c>
      <c r="F985" s="667">
        <v>0</v>
      </c>
      <c r="G985" s="871"/>
      <c r="H985" s="871"/>
      <c r="I985" s="668"/>
      <c r="J985" s="349"/>
      <c r="K985" s="884">
        <v>300</v>
      </c>
      <c r="L985" s="298">
        <v>0.05</v>
      </c>
      <c r="M985" s="298">
        <v>2.4</v>
      </c>
      <c r="N985" s="876">
        <f t="shared" si="68"/>
        <v>36</v>
      </c>
      <c r="O985" s="313"/>
      <c r="P985" s="315"/>
      <c r="Q985" s="315"/>
      <c r="R985" s="909"/>
      <c r="S985" s="738">
        <f t="shared" si="64"/>
        <v>14245.03</v>
      </c>
      <c r="T985" s="738" t="str">
        <f t="shared" si="65"/>
        <v>t</v>
      </c>
      <c r="U985" s="738"/>
    </row>
    <row r="986" spans="1:21" x14ac:dyDescent="0.2">
      <c r="A986" s="913"/>
      <c r="B986" s="666"/>
      <c r="C986" s="580" t="s">
        <v>1426</v>
      </c>
      <c r="D986" s="870">
        <v>113</v>
      </c>
      <c r="E986" s="871" t="s">
        <v>8</v>
      </c>
      <c r="F986" s="667">
        <v>0</v>
      </c>
      <c r="G986" s="871"/>
      <c r="H986" s="871"/>
      <c r="I986" s="668"/>
      <c r="J986" s="349"/>
      <c r="K986" s="884">
        <v>300</v>
      </c>
      <c r="L986" s="298">
        <v>0.05</v>
      </c>
      <c r="M986" s="298">
        <v>2.4</v>
      </c>
      <c r="N986" s="876">
        <f t="shared" si="68"/>
        <v>36</v>
      </c>
      <c r="O986" s="313"/>
      <c r="P986" s="315"/>
      <c r="Q986" s="315"/>
      <c r="R986" s="909"/>
      <c r="S986" s="738">
        <f t="shared" si="64"/>
        <v>14245.03</v>
      </c>
      <c r="T986" s="738" t="str">
        <f t="shared" si="65"/>
        <v>t</v>
      </c>
      <c r="U986" s="738"/>
    </row>
    <row r="987" spans="1:21" x14ac:dyDescent="0.2">
      <c r="A987" s="913"/>
      <c r="B987" s="666"/>
      <c r="C987" s="580" t="s">
        <v>1426</v>
      </c>
      <c r="D987" s="870">
        <v>117</v>
      </c>
      <c r="E987" s="871" t="s">
        <v>8</v>
      </c>
      <c r="F987" s="667">
        <v>0</v>
      </c>
      <c r="G987" s="871"/>
      <c r="H987" s="871"/>
      <c r="I987" s="668"/>
      <c r="J987" s="349"/>
      <c r="K987" s="884">
        <v>300</v>
      </c>
      <c r="L987" s="298">
        <v>0.05</v>
      </c>
      <c r="M987" s="298">
        <v>2.4</v>
      </c>
      <c r="N987" s="876">
        <f t="shared" si="68"/>
        <v>36</v>
      </c>
      <c r="O987" s="313"/>
      <c r="P987" s="315"/>
      <c r="Q987" s="315"/>
      <c r="R987" s="909"/>
      <c r="S987" s="738">
        <f t="shared" si="64"/>
        <v>14245.03</v>
      </c>
      <c r="T987" s="738" t="str">
        <f t="shared" si="65"/>
        <v>t</v>
      </c>
      <c r="U987" s="738"/>
    </row>
    <row r="988" spans="1:21" x14ac:dyDescent="0.2">
      <c r="A988" s="913"/>
      <c r="B988" s="666"/>
      <c r="C988" s="580" t="s">
        <v>1426</v>
      </c>
      <c r="D988" s="870">
        <v>146</v>
      </c>
      <c r="E988" s="871" t="s">
        <v>8</v>
      </c>
      <c r="F988" s="667">
        <v>0</v>
      </c>
      <c r="G988" s="871"/>
      <c r="H988" s="871"/>
      <c r="I988" s="668"/>
      <c r="J988" s="349"/>
      <c r="K988" s="884">
        <v>300</v>
      </c>
      <c r="L988" s="298">
        <v>0.05</v>
      </c>
      <c r="M988" s="298">
        <v>2.4</v>
      </c>
      <c r="N988" s="876">
        <f t="shared" si="68"/>
        <v>36</v>
      </c>
      <c r="O988" s="313"/>
      <c r="P988" s="315"/>
      <c r="Q988" s="315"/>
      <c r="R988" s="909"/>
      <c r="S988" s="738">
        <f t="shared" si="64"/>
        <v>14245.03</v>
      </c>
      <c r="T988" s="738" t="str">
        <f t="shared" si="65"/>
        <v>t</v>
      </c>
      <c r="U988" s="738"/>
    </row>
    <row r="989" spans="1:21" x14ac:dyDescent="0.2">
      <c r="A989" s="913"/>
      <c r="B989" s="666"/>
      <c r="C989" s="580" t="s">
        <v>1426</v>
      </c>
      <c r="D989" s="870">
        <v>150</v>
      </c>
      <c r="E989" s="871" t="s">
        <v>8</v>
      </c>
      <c r="F989" s="667">
        <v>0</v>
      </c>
      <c r="G989" s="871"/>
      <c r="H989" s="871"/>
      <c r="I989" s="668"/>
      <c r="J989" s="349"/>
      <c r="K989" s="884">
        <v>300</v>
      </c>
      <c r="L989" s="298">
        <v>0.05</v>
      </c>
      <c r="M989" s="298">
        <v>2.4</v>
      </c>
      <c r="N989" s="876">
        <f t="shared" si="68"/>
        <v>36</v>
      </c>
      <c r="O989" s="313"/>
      <c r="P989" s="315"/>
      <c r="Q989" s="315"/>
      <c r="R989" s="909"/>
      <c r="S989" s="738">
        <f t="shared" si="64"/>
        <v>14245.03</v>
      </c>
      <c r="T989" s="738" t="str">
        <f t="shared" si="65"/>
        <v>t</v>
      </c>
      <c r="U989" s="738"/>
    </row>
    <row r="990" spans="1:21" x14ac:dyDescent="0.2">
      <c r="A990" s="913"/>
      <c r="B990" s="666"/>
      <c r="C990" s="580" t="s">
        <v>1426</v>
      </c>
      <c r="D990" s="870">
        <v>203</v>
      </c>
      <c r="E990" s="871" t="s">
        <v>8</v>
      </c>
      <c r="F990" s="667">
        <v>0</v>
      </c>
      <c r="G990" s="871"/>
      <c r="H990" s="871"/>
      <c r="I990" s="668"/>
      <c r="J990" s="349"/>
      <c r="K990" s="884">
        <v>300</v>
      </c>
      <c r="L990" s="298">
        <v>0.05</v>
      </c>
      <c r="M990" s="298">
        <v>2.4</v>
      </c>
      <c r="N990" s="876">
        <f t="shared" si="68"/>
        <v>36</v>
      </c>
      <c r="O990" s="313"/>
      <c r="P990" s="315"/>
      <c r="Q990" s="315"/>
      <c r="R990" s="909"/>
      <c r="S990" s="738">
        <f t="shared" si="64"/>
        <v>14245.03</v>
      </c>
      <c r="T990" s="738" t="str">
        <f t="shared" si="65"/>
        <v>t</v>
      </c>
      <c r="U990" s="738"/>
    </row>
    <row r="991" spans="1:21" x14ac:dyDescent="0.2">
      <c r="A991" s="913"/>
      <c r="B991" s="666"/>
      <c r="C991" s="580" t="s">
        <v>1426</v>
      </c>
      <c r="D991" s="870">
        <v>207</v>
      </c>
      <c r="E991" s="871" t="s">
        <v>8</v>
      </c>
      <c r="F991" s="667">
        <v>0</v>
      </c>
      <c r="G991" s="871"/>
      <c r="H991" s="871"/>
      <c r="I991" s="668"/>
      <c r="J991" s="349"/>
      <c r="K991" s="884">
        <v>300</v>
      </c>
      <c r="L991" s="298">
        <v>0.05</v>
      </c>
      <c r="M991" s="298">
        <v>2.4</v>
      </c>
      <c r="N991" s="876">
        <f t="shared" si="68"/>
        <v>36</v>
      </c>
      <c r="O991" s="313"/>
      <c r="P991" s="315"/>
      <c r="Q991" s="315"/>
      <c r="R991" s="909"/>
      <c r="S991" s="738">
        <f t="shared" si="64"/>
        <v>14245.03</v>
      </c>
      <c r="T991" s="738" t="str">
        <f t="shared" si="65"/>
        <v>t</v>
      </c>
      <c r="U991" s="738"/>
    </row>
    <row r="992" spans="1:21" x14ac:dyDescent="0.2">
      <c r="A992" s="913"/>
      <c r="B992" s="666"/>
      <c r="C992" s="580" t="s">
        <v>1426</v>
      </c>
      <c r="D992" s="870">
        <v>255</v>
      </c>
      <c r="E992" s="871" t="s">
        <v>8</v>
      </c>
      <c r="F992" s="667">
        <v>0</v>
      </c>
      <c r="G992" s="871"/>
      <c r="H992" s="871"/>
      <c r="I992" s="668"/>
      <c r="J992" s="349"/>
      <c r="K992" s="884">
        <v>300</v>
      </c>
      <c r="L992" s="298">
        <v>0.05</v>
      </c>
      <c r="M992" s="298">
        <v>2.4</v>
      </c>
      <c r="N992" s="876">
        <f t="shared" si="68"/>
        <v>36</v>
      </c>
      <c r="O992" s="313"/>
      <c r="P992" s="315"/>
      <c r="Q992" s="315"/>
      <c r="R992" s="909"/>
      <c r="S992" s="738">
        <f t="shared" si="64"/>
        <v>14245.03</v>
      </c>
      <c r="T992" s="738" t="str">
        <f t="shared" si="65"/>
        <v>t</v>
      </c>
      <c r="U992" s="738"/>
    </row>
    <row r="993" spans="1:21" x14ac:dyDescent="0.2">
      <c r="A993" s="913"/>
      <c r="B993" s="666"/>
      <c r="C993" s="580" t="s">
        <v>1426</v>
      </c>
      <c r="D993" s="870">
        <v>259</v>
      </c>
      <c r="E993" s="871" t="s">
        <v>8</v>
      </c>
      <c r="F993" s="667">
        <v>0</v>
      </c>
      <c r="G993" s="871"/>
      <c r="H993" s="871"/>
      <c r="I993" s="668"/>
      <c r="J993" s="349"/>
      <c r="K993" s="884">
        <v>300</v>
      </c>
      <c r="L993" s="298">
        <v>0.05</v>
      </c>
      <c r="M993" s="298">
        <v>2.4</v>
      </c>
      <c r="N993" s="876">
        <f t="shared" si="68"/>
        <v>36</v>
      </c>
      <c r="O993" s="313"/>
      <c r="P993" s="315"/>
      <c r="Q993" s="315"/>
      <c r="R993" s="909"/>
      <c r="S993" s="738">
        <f t="shared" si="64"/>
        <v>14245.03</v>
      </c>
      <c r="T993" s="738" t="str">
        <f t="shared" si="65"/>
        <v>t</v>
      </c>
      <c r="U993" s="738"/>
    </row>
    <row r="994" spans="1:21" x14ac:dyDescent="0.2">
      <c r="A994" s="913"/>
      <c r="B994" s="666"/>
      <c r="C994" s="580" t="s">
        <v>1426</v>
      </c>
      <c r="D994" s="870">
        <v>352</v>
      </c>
      <c r="E994" s="871" t="s">
        <v>8</v>
      </c>
      <c r="F994" s="667">
        <v>0</v>
      </c>
      <c r="G994" s="871"/>
      <c r="H994" s="871"/>
      <c r="I994" s="668"/>
      <c r="J994" s="349"/>
      <c r="K994" s="884">
        <v>300</v>
      </c>
      <c r="L994" s="298">
        <v>0.05</v>
      </c>
      <c r="M994" s="298">
        <v>2.4</v>
      </c>
      <c r="N994" s="876">
        <f t="shared" si="68"/>
        <v>36</v>
      </c>
      <c r="O994" s="313"/>
      <c r="P994" s="315"/>
      <c r="Q994" s="315"/>
      <c r="R994" s="909"/>
      <c r="S994" s="738">
        <f t="shared" si="64"/>
        <v>14245.03</v>
      </c>
      <c r="T994" s="738" t="str">
        <f t="shared" si="65"/>
        <v>t</v>
      </c>
      <c r="U994" s="738"/>
    </row>
    <row r="995" spans="1:21" x14ac:dyDescent="0.2">
      <c r="A995" s="913"/>
      <c r="B995" s="666"/>
      <c r="C995" s="580" t="s">
        <v>1426</v>
      </c>
      <c r="D995" s="870">
        <v>356</v>
      </c>
      <c r="E995" s="871" t="s">
        <v>8</v>
      </c>
      <c r="F995" s="667">
        <v>0</v>
      </c>
      <c r="G995" s="871"/>
      <c r="H995" s="871"/>
      <c r="I995" s="668"/>
      <c r="J995" s="349"/>
      <c r="K995" s="884">
        <v>300</v>
      </c>
      <c r="L995" s="298">
        <v>0.05</v>
      </c>
      <c r="M995" s="298">
        <v>2.4</v>
      </c>
      <c r="N995" s="876">
        <f t="shared" si="68"/>
        <v>36</v>
      </c>
      <c r="O995" s="313"/>
      <c r="P995" s="315"/>
      <c r="Q995" s="315"/>
      <c r="R995" s="909"/>
      <c r="S995" s="738">
        <f t="shared" si="64"/>
        <v>14245.03</v>
      </c>
      <c r="T995" s="738" t="str">
        <f t="shared" si="65"/>
        <v>t</v>
      </c>
      <c r="U995" s="738"/>
    </row>
    <row r="996" spans="1:21" x14ac:dyDescent="0.2">
      <c r="A996" s="913"/>
      <c r="B996" s="666"/>
      <c r="C996" s="580" t="s">
        <v>1426</v>
      </c>
      <c r="D996" s="870">
        <v>393</v>
      </c>
      <c r="E996" s="871" t="s">
        <v>8</v>
      </c>
      <c r="F996" s="667">
        <v>0</v>
      </c>
      <c r="G996" s="871"/>
      <c r="H996" s="871"/>
      <c r="I996" s="668"/>
      <c r="J996" s="349"/>
      <c r="K996" s="884">
        <v>300</v>
      </c>
      <c r="L996" s="298">
        <v>0.05</v>
      </c>
      <c r="M996" s="298">
        <v>2.4</v>
      </c>
      <c r="N996" s="876">
        <f t="shared" si="68"/>
        <v>36</v>
      </c>
      <c r="O996" s="313"/>
      <c r="P996" s="315"/>
      <c r="Q996" s="315"/>
      <c r="R996" s="909"/>
      <c r="S996" s="738">
        <f t="shared" si="64"/>
        <v>14245.03</v>
      </c>
      <c r="T996" s="738" t="str">
        <f t="shared" si="65"/>
        <v>t</v>
      </c>
      <c r="U996" s="738"/>
    </row>
    <row r="997" spans="1:21" x14ac:dyDescent="0.2">
      <c r="A997" s="913"/>
      <c r="B997" s="666"/>
      <c r="C997" s="580" t="s">
        <v>1426</v>
      </c>
      <c r="D997" s="870">
        <v>400</v>
      </c>
      <c r="E997" s="871" t="s">
        <v>8</v>
      </c>
      <c r="F997" s="667">
        <v>0</v>
      </c>
      <c r="G997" s="871"/>
      <c r="H997" s="871"/>
      <c r="I997" s="668"/>
      <c r="J997" s="349"/>
      <c r="K997" s="884">
        <v>300</v>
      </c>
      <c r="L997" s="298">
        <v>0.05</v>
      </c>
      <c r="M997" s="298">
        <v>2.4</v>
      </c>
      <c r="N997" s="876">
        <f t="shared" si="68"/>
        <v>36</v>
      </c>
      <c r="O997" s="313"/>
      <c r="P997" s="315"/>
      <c r="Q997" s="315"/>
      <c r="R997" s="909"/>
      <c r="S997" s="738">
        <f t="shared" si="64"/>
        <v>14245.03</v>
      </c>
      <c r="T997" s="738" t="str">
        <f t="shared" si="65"/>
        <v>t</v>
      </c>
      <c r="U997" s="738"/>
    </row>
    <row r="998" spans="1:21" x14ac:dyDescent="0.2">
      <c r="A998" s="913"/>
      <c r="B998" s="666"/>
      <c r="C998" s="580" t="s">
        <v>1426</v>
      </c>
      <c r="D998" s="870">
        <v>422</v>
      </c>
      <c r="E998" s="871" t="s">
        <v>8</v>
      </c>
      <c r="F998" s="667">
        <v>0</v>
      </c>
      <c r="G998" s="871"/>
      <c r="H998" s="871"/>
      <c r="I998" s="668"/>
      <c r="J998" s="349"/>
      <c r="K998" s="884">
        <v>300</v>
      </c>
      <c r="L998" s="298">
        <v>0.05</v>
      </c>
      <c r="M998" s="298">
        <v>2.4</v>
      </c>
      <c r="N998" s="876">
        <f t="shared" si="68"/>
        <v>36</v>
      </c>
      <c r="O998" s="313"/>
      <c r="P998" s="315"/>
      <c r="Q998" s="315"/>
      <c r="R998" s="909"/>
      <c r="S998" s="738">
        <f t="shared" si="64"/>
        <v>14245.03</v>
      </c>
      <c r="T998" s="738" t="str">
        <f t="shared" si="65"/>
        <v>t</v>
      </c>
      <c r="U998" s="738"/>
    </row>
    <row r="999" spans="1:21" x14ac:dyDescent="0.2">
      <c r="A999" s="913"/>
      <c r="B999" s="666"/>
      <c r="C999" s="580" t="s">
        <v>1426</v>
      </c>
      <c r="D999" s="870">
        <v>426</v>
      </c>
      <c r="E999" s="871" t="s">
        <v>8</v>
      </c>
      <c r="F999" s="667">
        <v>0</v>
      </c>
      <c r="G999" s="871"/>
      <c r="H999" s="871"/>
      <c r="I999" s="668"/>
      <c r="J999" s="349"/>
      <c r="K999" s="884">
        <v>300</v>
      </c>
      <c r="L999" s="298">
        <v>0.05</v>
      </c>
      <c r="M999" s="298">
        <v>2.4</v>
      </c>
      <c r="N999" s="876">
        <f t="shared" si="68"/>
        <v>36</v>
      </c>
      <c r="O999" s="313"/>
      <c r="P999" s="315"/>
      <c r="Q999" s="315"/>
      <c r="R999" s="909"/>
      <c r="S999" s="738">
        <f t="shared" si="64"/>
        <v>14245.03</v>
      </c>
      <c r="T999" s="738" t="str">
        <f t="shared" si="65"/>
        <v>t</v>
      </c>
      <c r="U999" s="738"/>
    </row>
    <row r="1000" spans="1:21" x14ac:dyDescent="0.2">
      <c r="A1000" s="913"/>
      <c r="B1000" s="666"/>
      <c r="C1000" s="580" t="s">
        <v>1426</v>
      </c>
      <c r="D1000" s="870">
        <v>452</v>
      </c>
      <c r="E1000" s="871" t="s">
        <v>8</v>
      </c>
      <c r="F1000" s="667">
        <v>0</v>
      </c>
      <c r="G1000" s="871"/>
      <c r="H1000" s="871"/>
      <c r="I1000" s="668"/>
      <c r="J1000" s="349"/>
      <c r="K1000" s="884">
        <v>300</v>
      </c>
      <c r="L1000" s="298">
        <v>0.05</v>
      </c>
      <c r="M1000" s="298">
        <v>2.4</v>
      </c>
      <c r="N1000" s="876">
        <f t="shared" si="68"/>
        <v>36</v>
      </c>
      <c r="O1000" s="313"/>
      <c r="P1000" s="315"/>
      <c r="Q1000" s="315"/>
      <c r="R1000" s="909"/>
      <c r="S1000" s="738">
        <f t="shared" si="64"/>
        <v>14245.03</v>
      </c>
      <c r="T1000" s="738" t="str">
        <f t="shared" si="65"/>
        <v>t</v>
      </c>
      <c r="U1000" s="738"/>
    </row>
    <row r="1001" spans="1:21" x14ac:dyDescent="0.2">
      <c r="A1001" s="913"/>
      <c r="B1001" s="666"/>
      <c r="C1001" s="580" t="s">
        <v>1426</v>
      </c>
      <c r="D1001" s="870">
        <v>456</v>
      </c>
      <c r="E1001" s="871" t="s">
        <v>8</v>
      </c>
      <c r="F1001" s="667">
        <v>0</v>
      </c>
      <c r="G1001" s="871"/>
      <c r="H1001" s="871"/>
      <c r="I1001" s="668"/>
      <c r="J1001" s="349"/>
      <c r="K1001" s="884">
        <v>300</v>
      </c>
      <c r="L1001" s="298">
        <v>0.05</v>
      </c>
      <c r="M1001" s="298">
        <v>2.4</v>
      </c>
      <c r="N1001" s="876">
        <f t="shared" si="68"/>
        <v>36</v>
      </c>
      <c r="O1001" s="313"/>
      <c r="P1001" s="315"/>
      <c r="Q1001" s="315"/>
      <c r="R1001" s="909"/>
      <c r="S1001" s="738">
        <f t="shared" si="64"/>
        <v>14245.03</v>
      </c>
      <c r="T1001" s="738" t="str">
        <f t="shared" si="65"/>
        <v>t</v>
      </c>
      <c r="U1001" s="738"/>
    </row>
    <row r="1002" spans="1:21" x14ac:dyDescent="0.2">
      <c r="A1002" s="913"/>
      <c r="B1002" s="666"/>
      <c r="C1002" s="580" t="s">
        <v>1426</v>
      </c>
      <c r="D1002" s="870">
        <v>482</v>
      </c>
      <c r="E1002" s="871" t="s">
        <v>8</v>
      </c>
      <c r="F1002" s="667">
        <v>0</v>
      </c>
      <c r="G1002" s="871"/>
      <c r="H1002" s="871"/>
      <c r="I1002" s="668"/>
      <c r="J1002" s="349"/>
      <c r="K1002" s="884">
        <v>300</v>
      </c>
      <c r="L1002" s="298">
        <v>0.05</v>
      </c>
      <c r="M1002" s="298">
        <v>2.4</v>
      </c>
      <c r="N1002" s="876">
        <f t="shared" si="68"/>
        <v>36</v>
      </c>
      <c r="O1002" s="313"/>
      <c r="P1002" s="315"/>
      <c r="Q1002" s="315"/>
      <c r="R1002" s="909"/>
      <c r="S1002" s="738">
        <f t="shared" si="64"/>
        <v>14245.03</v>
      </c>
      <c r="T1002" s="738" t="str">
        <f t="shared" si="65"/>
        <v>t</v>
      </c>
      <c r="U1002" s="738"/>
    </row>
    <row r="1003" spans="1:21" x14ac:dyDescent="0.2">
      <c r="A1003" s="913"/>
      <c r="B1003" s="666"/>
      <c r="C1003" s="580" t="s">
        <v>1426</v>
      </c>
      <c r="D1003" s="870">
        <v>492</v>
      </c>
      <c r="E1003" s="871" t="s">
        <v>8</v>
      </c>
      <c r="F1003" s="667">
        <v>0</v>
      </c>
      <c r="G1003" s="871"/>
      <c r="H1003" s="871"/>
      <c r="I1003" s="668"/>
      <c r="J1003" s="349"/>
      <c r="K1003" s="884">
        <v>300</v>
      </c>
      <c r="L1003" s="298">
        <v>0.05</v>
      </c>
      <c r="M1003" s="298">
        <v>2.4</v>
      </c>
      <c r="N1003" s="876">
        <f t="shared" si="68"/>
        <v>36</v>
      </c>
      <c r="O1003" s="313"/>
      <c r="P1003" s="315"/>
      <c r="Q1003" s="315"/>
      <c r="R1003" s="909"/>
      <c r="S1003" s="738">
        <f t="shared" si="64"/>
        <v>14245.03</v>
      </c>
      <c r="T1003" s="738" t="str">
        <f t="shared" si="65"/>
        <v>t</v>
      </c>
      <c r="U1003" s="738"/>
    </row>
    <row r="1004" spans="1:21" x14ac:dyDescent="0.2">
      <c r="A1004" s="913"/>
      <c r="B1004" s="666"/>
      <c r="C1004" s="580" t="s">
        <v>1426</v>
      </c>
      <c r="D1004" s="870">
        <v>519</v>
      </c>
      <c r="E1004" s="871" t="s">
        <v>8</v>
      </c>
      <c r="F1004" s="667">
        <v>0</v>
      </c>
      <c r="G1004" s="871"/>
      <c r="H1004" s="871"/>
      <c r="I1004" s="668"/>
      <c r="J1004" s="349"/>
      <c r="K1004" s="884">
        <v>300</v>
      </c>
      <c r="L1004" s="298">
        <v>0.05</v>
      </c>
      <c r="M1004" s="298">
        <v>2.4</v>
      </c>
      <c r="N1004" s="876">
        <f t="shared" si="68"/>
        <v>36</v>
      </c>
      <c r="O1004" s="313"/>
      <c r="P1004" s="315"/>
      <c r="Q1004" s="315"/>
      <c r="R1004" s="909"/>
      <c r="S1004" s="738">
        <f t="shared" si="64"/>
        <v>14245.03</v>
      </c>
      <c r="T1004" s="738" t="str">
        <f t="shared" si="65"/>
        <v>t</v>
      </c>
      <c r="U1004" s="738"/>
    </row>
    <row r="1005" spans="1:21" x14ac:dyDescent="0.2">
      <c r="A1005" s="913"/>
      <c r="B1005" s="666"/>
      <c r="C1005" s="580" t="s">
        <v>1426</v>
      </c>
      <c r="D1005" s="870">
        <v>525</v>
      </c>
      <c r="E1005" s="871" t="s">
        <v>8</v>
      </c>
      <c r="F1005" s="667">
        <v>0</v>
      </c>
      <c r="G1005" s="871"/>
      <c r="H1005" s="871"/>
      <c r="I1005" s="668"/>
      <c r="J1005" s="349"/>
      <c r="K1005" s="884">
        <v>300</v>
      </c>
      <c r="L1005" s="298">
        <v>0.05</v>
      </c>
      <c r="M1005" s="298">
        <v>2.4</v>
      </c>
      <c r="N1005" s="876">
        <f t="shared" si="68"/>
        <v>36</v>
      </c>
      <c r="O1005" s="313"/>
      <c r="P1005" s="315"/>
      <c r="Q1005" s="315"/>
      <c r="R1005" s="909"/>
      <c r="S1005" s="738">
        <f t="shared" si="64"/>
        <v>14245.03</v>
      </c>
      <c r="T1005" s="738" t="str">
        <f t="shared" si="65"/>
        <v>t</v>
      </c>
      <c r="U1005" s="738"/>
    </row>
    <row r="1006" spans="1:21" x14ac:dyDescent="0.2">
      <c r="A1006" s="913"/>
      <c r="B1006" s="666"/>
      <c r="C1006" s="580" t="s">
        <v>1426</v>
      </c>
      <c r="D1006" s="870">
        <v>553</v>
      </c>
      <c r="E1006" s="871" t="s">
        <v>8</v>
      </c>
      <c r="F1006" s="667">
        <v>0</v>
      </c>
      <c r="G1006" s="871"/>
      <c r="H1006" s="871"/>
      <c r="I1006" s="668"/>
      <c r="J1006" s="349"/>
      <c r="K1006" s="884">
        <v>300</v>
      </c>
      <c r="L1006" s="298">
        <v>0.05</v>
      </c>
      <c r="M1006" s="298">
        <v>2.4</v>
      </c>
      <c r="N1006" s="876">
        <f t="shared" si="68"/>
        <v>36</v>
      </c>
      <c r="O1006" s="313"/>
      <c r="P1006" s="315"/>
      <c r="Q1006" s="315"/>
      <c r="R1006" s="909"/>
      <c r="S1006" s="738">
        <f t="shared" si="64"/>
        <v>14245.03</v>
      </c>
      <c r="T1006" s="738" t="str">
        <f t="shared" si="65"/>
        <v>t</v>
      </c>
      <c r="U1006" s="738"/>
    </row>
    <row r="1007" spans="1:21" x14ac:dyDescent="0.2">
      <c r="A1007" s="913"/>
      <c r="B1007" s="666"/>
      <c r="C1007" s="580" t="s">
        <v>1426</v>
      </c>
      <c r="D1007" s="870">
        <v>557</v>
      </c>
      <c r="E1007" s="871" t="s">
        <v>8</v>
      </c>
      <c r="F1007" s="667">
        <v>0</v>
      </c>
      <c r="G1007" s="871"/>
      <c r="H1007" s="871"/>
      <c r="I1007" s="668"/>
      <c r="J1007" s="349"/>
      <c r="K1007" s="884">
        <v>300</v>
      </c>
      <c r="L1007" s="298">
        <v>0.05</v>
      </c>
      <c r="M1007" s="298">
        <v>2.4</v>
      </c>
      <c r="N1007" s="876">
        <f t="shared" si="68"/>
        <v>36</v>
      </c>
      <c r="O1007" s="313"/>
      <c r="P1007" s="315"/>
      <c r="Q1007" s="315"/>
      <c r="R1007" s="909"/>
      <c r="S1007" s="738">
        <f t="shared" si="64"/>
        <v>14245.03</v>
      </c>
      <c r="T1007" s="738" t="str">
        <f t="shared" si="65"/>
        <v>t</v>
      </c>
      <c r="U1007" s="738"/>
    </row>
    <row r="1008" spans="1:21" x14ac:dyDescent="0.2">
      <c r="A1008" s="899"/>
      <c r="B1008" s="353"/>
      <c r="C1008" s="354" t="s">
        <v>2</v>
      </c>
      <c r="D1008" s="355"/>
      <c r="E1008" s="352"/>
      <c r="F1008" s="356"/>
      <c r="G1008" s="355"/>
      <c r="H1008" s="356"/>
      <c r="I1008" s="356"/>
      <c r="J1008" s="353"/>
      <c r="K1008" s="357"/>
      <c r="L1008" s="358"/>
      <c r="M1008" s="359"/>
      <c r="N1008" s="360">
        <f>SUM(N975:N1007)</f>
        <v>14245.03</v>
      </c>
      <c r="O1008" s="361" t="str">
        <f>IF(MID(B973,1,2)="LG",VLOOKUP(B973,'Compos lug'!J:M,4,FALSE),IF(MID(B973,1,1)="6",VLOOKUP(B973,tranp.!$A$6:$K$51,3,FALSE),VLOOKUP(B973,'DER 10-18'!$A$1:$I$1981,3,FALSE)))</f>
        <v>t</v>
      </c>
      <c r="P1008" s="362"/>
      <c r="Q1008" s="362"/>
      <c r="R1008" s="900"/>
      <c r="S1008" s="738">
        <f t="shared" si="64"/>
        <v>20161.16</v>
      </c>
      <c r="T1008" s="738" t="str">
        <f t="shared" si="65"/>
        <v>M2</v>
      </c>
      <c r="U1008" s="738"/>
    </row>
    <row r="1009" spans="1:27" x14ac:dyDescent="0.2">
      <c r="A1009" s="294"/>
      <c r="B1009" s="293"/>
      <c r="C1009" s="343"/>
      <c r="H1009" s="292"/>
      <c r="N1009" s="314"/>
      <c r="O1009" s="344"/>
      <c r="P1009" s="315"/>
      <c r="Q1009" s="315"/>
      <c r="R1009" s="903"/>
      <c r="S1009" s="738">
        <f>VLOOKUP("Total",C926:O2686,12,FALSE)</f>
        <v>141330.72</v>
      </c>
      <c r="T1009" s="738" t="str">
        <f>VLOOKUP("Total",C926:O2686,13,FALSE)</f>
        <v>M2</v>
      </c>
      <c r="U1009" s="738"/>
    </row>
    <row r="1010" spans="1:27" x14ac:dyDescent="0.2">
      <c r="A1010" s="294"/>
      <c r="B1010" s="293"/>
      <c r="C1010" s="343"/>
      <c r="H1010" s="292"/>
      <c r="N1010" s="314"/>
      <c r="O1010" s="344"/>
      <c r="P1010" s="315"/>
      <c r="Q1010" s="315"/>
      <c r="R1010" s="903"/>
      <c r="S1010" s="738">
        <f t="shared" ref="S1010:S1024" si="69">VLOOKUP("Total",C1011:O2734,12,FALSE)</f>
        <v>20161.16</v>
      </c>
      <c r="T1010" s="738" t="str">
        <f t="shared" ref="T1010:T1024" si="70">VLOOKUP("Total",C1011:O2734,13,FALSE)</f>
        <v>M2</v>
      </c>
      <c r="U1010" s="738"/>
      <c r="W1010" s="288"/>
      <c r="X1010" s="288"/>
      <c r="Y1010" s="288"/>
      <c r="Z1010" s="288"/>
      <c r="AA1010" s="288"/>
    </row>
    <row r="1011" spans="1:27" ht="62.25" customHeight="1" x14ac:dyDescent="0.2">
      <c r="A1011" s="913" t="s">
        <v>1434</v>
      </c>
      <c r="B1011" s="666">
        <v>40828</v>
      </c>
      <c r="C1011" s="347" t="str">
        <f>IF(MID(B1011,1,2)="LG",VLOOKUP(B1011,'Compos lug'!J:M,3,FALSE),IF(MID(B1011,1,1)="6",VLOOKUP(B1011,tranp.!$A$4:$K$21,11,FALSE)&amp;" -  XP="&amp;TEXT(T1011,"0,000")&amp;" / XR="&amp;TEXT(V1011,"0,000"),VLOOKUP(B1011,'DER 10-18'!$A$1:$I$1994,2,FALSE)))</f>
        <v>T.S.B.D. sem capa selante exclusive fornecimento e transporte comercial da emulsão, inclusive lavagem e transporte comercial da brita</v>
      </c>
      <c r="D1011" s="1059" t="s">
        <v>1000</v>
      </c>
      <c r="E1011" s="1060"/>
      <c r="F1011" s="1061"/>
      <c r="G1011" s="1059" t="s">
        <v>1001</v>
      </c>
      <c r="H1011" s="1060"/>
      <c r="I1011" s="1061"/>
      <c r="J1011" s="349" t="s">
        <v>989</v>
      </c>
      <c r="K1011" s="876" t="s">
        <v>998</v>
      </c>
      <c r="L1011" s="876" t="s">
        <v>994</v>
      </c>
      <c r="M1011" s="876" t="s">
        <v>990</v>
      </c>
      <c r="N1011" s="876" t="str">
        <f>CONCATENATE("Total (",IF(MID(B1011,1,2)="LG",VLOOKUP(B1011,'Compos lug'!J:M,4,FALSE),IF(MID(B1011,1,1)="6","t",VLOOKUP(B1011,'DER 10-18'!$A$1:$I$1994,3,FALSE))),")")</f>
        <v>Total (M2)</v>
      </c>
      <c r="O1011" s="313"/>
      <c r="P1011" s="315"/>
      <c r="Q1011" s="315"/>
      <c r="R1011" s="909"/>
      <c r="S1011" s="738">
        <f t="shared" si="69"/>
        <v>20161.16</v>
      </c>
      <c r="T1011" s="738" t="str">
        <f t="shared" si="70"/>
        <v>M2</v>
      </c>
      <c r="U1011" s="738"/>
      <c r="W1011" s="288"/>
      <c r="X1011" s="288"/>
      <c r="Y1011" s="288"/>
      <c r="Z1011" s="288"/>
      <c r="AA1011" s="288"/>
    </row>
    <row r="1012" spans="1:27" x14ac:dyDescent="0.2">
      <c r="A1012" s="913"/>
      <c r="B1012" s="666"/>
      <c r="C1012" s="744" t="s">
        <v>1553</v>
      </c>
      <c r="D1012" s="870"/>
      <c r="E1012" s="871"/>
      <c r="F1012" s="872"/>
      <c r="G1012" s="871"/>
      <c r="H1012" s="871"/>
      <c r="I1012" s="871"/>
      <c r="J1012" s="349"/>
      <c r="K1012" s="876"/>
      <c r="L1012" s="876"/>
      <c r="M1012" s="885"/>
      <c r="N1012" s="876"/>
      <c r="O1012" s="313"/>
      <c r="P1012" s="315"/>
      <c r="Q1012" s="315"/>
      <c r="R1012" s="909"/>
      <c r="S1012" s="738">
        <f t="shared" si="69"/>
        <v>20161.16</v>
      </c>
      <c r="T1012" s="738" t="str">
        <f t="shared" si="70"/>
        <v>M2</v>
      </c>
      <c r="U1012" s="738"/>
      <c r="W1012" s="288"/>
      <c r="X1012" s="288"/>
      <c r="Y1012" s="288"/>
      <c r="Z1012" s="288"/>
      <c r="AA1012" s="288"/>
    </row>
    <row r="1013" spans="1:27" x14ac:dyDescent="0.2">
      <c r="A1013" s="913"/>
      <c r="B1013" s="666"/>
      <c r="C1013" s="290" t="s">
        <v>1065</v>
      </c>
      <c r="D1013" s="290">
        <v>0</v>
      </c>
      <c r="E1013" s="291" t="s">
        <v>8</v>
      </c>
      <c r="F1013" s="675">
        <v>0</v>
      </c>
      <c r="G1013" s="381">
        <v>111</v>
      </c>
      <c r="H1013" s="291" t="s">
        <v>8</v>
      </c>
      <c r="I1013" s="292">
        <v>11.53</v>
      </c>
      <c r="J1013" s="383"/>
      <c r="K1013" s="298">
        <f>+(G1013*20+I1013)-(D1013*20+F1013)</f>
        <v>2231.5300000000002</v>
      </c>
      <c r="L1013" s="298">
        <v>8.6</v>
      </c>
      <c r="N1013" s="876">
        <f>+K1013*L1013</f>
        <v>19191.16</v>
      </c>
      <c r="O1013" s="313"/>
      <c r="P1013" s="315"/>
      <c r="Q1013" s="315"/>
      <c r="R1013" s="909"/>
      <c r="S1013" s="738">
        <f t="shared" si="69"/>
        <v>20161.16</v>
      </c>
      <c r="T1013" s="738" t="str">
        <f t="shared" si="70"/>
        <v>M2</v>
      </c>
      <c r="U1013" s="738"/>
      <c r="W1013" s="288"/>
      <c r="X1013" s="288"/>
      <c r="Y1013" s="288"/>
      <c r="Z1013" s="288"/>
      <c r="AA1013" s="288"/>
    </row>
    <row r="1014" spans="1:27" x14ac:dyDescent="0.2">
      <c r="A1014" s="913"/>
      <c r="B1014" s="666"/>
      <c r="C1014" s="290" t="s">
        <v>1570</v>
      </c>
      <c r="D1014" s="290">
        <v>15</v>
      </c>
      <c r="E1014" s="291" t="s">
        <v>8</v>
      </c>
      <c r="F1014" s="675">
        <v>15</v>
      </c>
      <c r="G1014" s="381"/>
      <c r="J1014" s="383" t="s">
        <v>1556</v>
      </c>
      <c r="K1014" s="298"/>
      <c r="M1014" s="298">
        <v>97</v>
      </c>
      <c r="N1014" s="876">
        <f>+M1014</f>
        <v>97</v>
      </c>
      <c r="O1014" s="313"/>
      <c r="P1014" s="315"/>
      <c r="Q1014" s="315"/>
      <c r="R1014" s="909"/>
      <c r="S1014" s="738">
        <f t="shared" si="69"/>
        <v>20161.16</v>
      </c>
      <c r="T1014" s="738" t="str">
        <f t="shared" si="70"/>
        <v>M2</v>
      </c>
      <c r="U1014" s="738"/>
      <c r="W1014" s="288"/>
      <c r="X1014" s="288"/>
      <c r="Y1014" s="288"/>
      <c r="Z1014" s="288"/>
      <c r="AA1014" s="288"/>
    </row>
    <row r="1015" spans="1:27" x14ac:dyDescent="0.2">
      <c r="A1015" s="913"/>
      <c r="B1015" s="666"/>
      <c r="C1015" s="290" t="s">
        <v>1570</v>
      </c>
      <c r="D1015" s="290">
        <v>16</v>
      </c>
      <c r="E1015" s="291" t="s">
        <v>8</v>
      </c>
      <c r="F1015" s="675">
        <v>5</v>
      </c>
      <c r="G1015" s="381"/>
      <c r="J1015" s="383" t="s">
        <v>1564</v>
      </c>
      <c r="K1015" s="298"/>
      <c r="M1015" s="298">
        <v>97</v>
      </c>
      <c r="N1015" s="876">
        <f t="shared" ref="N1015:N1023" si="71">+M1015</f>
        <v>97</v>
      </c>
      <c r="O1015" s="313"/>
      <c r="P1015" s="315"/>
      <c r="Q1015" s="315"/>
      <c r="R1015" s="909"/>
      <c r="S1015" s="738">
        <f t="shared" si="69"/>
        <v>20161.16</v>
      </c>
      <c r="T1015" s="738" t="str">
        <f t="shared" si="70"/>
        <v>M2</v>
      </c>
      <c r="U1015" s="738"/>
      <c r="W1015" s="288"/>
      <c r="X1015" s="288"/>
      <c r="Y1015" s="288"/>
      <c r="Z1015" s="288"/>
      <c r="AA1015" s="288"/>
    </row>
    <row r="1016" spans="1:27" x14ac:dyDescent="0.2">
      <c r="A1016" s="913"/>
      <c r="B1016" s="666"/>
      <c r="C1016" s="290" t="s">
        <v>1570</v>
      </c>
      <c r="D1016" s="290">
        <v>26</v>
      </c>
      <c r="E1016" s="291" t="s">
        <v>8</v>
      </c>
      <c r="F1016" s="675">
        <v>15</v>
      </c>
      <c r="G1016" s="381"/>
      <c r="J1016" s="383" t="s">
        <v>1556</v>
      </c>
      <c r="K1016" s="298"/>
      <c r="M1016" s="298">
        <v>97</v>
      </c>
      <c r="N1016" s="876">
        <f t="shared" si="71"/>
        <v>97</v>
      </c>
      <c r="O1016" s="313"/>
      <c r="P1016" s="315"/>
      <c r="Q1016" s="315"/>
      <c r="R1016" s="909"/>
      <c r="S1016" s="738">
        <f t="shared" si="69"/>
        <v>20161.16</v>
      </c>
      <c r="T1016" s="738" t="str">
        <f t="shared" si="70"/>
        <v>M2</v>
      </c>
      <c r="U1016" s="738"/>
      <c r="W1016" s="288"/>
      <c r="X1016" s="288"/>
      <c r="Y1016" s="288"/>
      <c r="Z1016" s="288"/>
      <c r="AA1016" s="288"/>
    </row>
    <row r="1017" spans="1:27" x14ac:dyDescent="0.2">
      <c r="A1017" s="913"/>
      <c r="B1017" s="666"/>
      <c r="C1017" s="290" t="s">
        <v>1570</v>
      </c>
      <c r="D1017" s="290">
        <v>29</v>
      </c>
      <c r="E1017" s="291" t="s">
        <v>8</v>
      </c>
      <c r="F1017" s="675">
        <v>5</v>
      </c>
      <c r="G1017" s="381"/>
      <c r="J1017" s="383" t="s">
        <v>1564</v>
      </c>
      <c r="K1017" s="298"/>
      <c r="M1017" s="298">
        <v>97</v>
      </c>
      <c r="N1017" s="876">
        <f t="shared" si="71"/>
        <v>97</v>
      </c>
      <c r="O1017" s="313"/>
      <c r="P1017" s="315"/>
      <c r="Q1017" s="315"/>
      <c r="R1017" s="909"/>
      <c r="S1017" s="738">
        <f t="shared" si="69"/>
        <v>20161.16</v>
      </c>
      <c r="T1017" s="738" t="str">
        <f t="shared" si="70"/>
        <v>M2</v>
      </c>
      <c r="U1017" s="738"/>
      <c r="W1017" s="288"/>
      <c r="X1017" s="288"/>
      <c r="Y1017" s="288"/>
      <c r="Z1017" s="288"/>
      <c r="AA1017" s="288"/>
    </row>
    <row r="1018" spans="1:27" x14ac:dyDescent="0.2">
      <c r="A1018" s="913"/>
      <c r="B1018" s="666"/>
      <c r="C1018" s="290" t="s">
        <v>1570</v>
      </c>
      <c r="D1018" s="290">
        <v>60</v>
      </c>
      <c r="E1018" s="291" t="s">
        <v>8</v>
      </c>
      <c r="F1018" s="675">
        <v>5</v>
      </c>
      <c r="G1018" s="381"/>
      <c r="J1018" s="383" t="s">
        <v>1556</v>
      </c>
      <c r="K1018" s="298"/>
      <c r="M1018" s="298">
        <v>97</v>
      </c>
      <c r="N1018" s="876">
        <f t="shared" si="71"/>
        <v>97</v>
      </c>
      <c r="O1018" s="313"/>
      <c r="P1018" s="315"/>
      <c r="Q1018" s="315"/>
      <c r="R1018" s="909"/>
      <c r="S1018" s="738">
        <f t="shared" si="69"/>
        <v>20161.16</v>
      </c>
      <c r="T1018" s="738" t="str">
        <f t="shared" si="70"/>
        <v>M2</v>
      </c>
      <c r="U1018" s="738"/>
      <c r="W1018" s="288"/>
      <c r="X1018" s="288"/>
      <c r="Y1018" s="288"/>
      <c r="Z1018" s="288"/>
      <c r="AA1018" s="288"/>
    </row>
    <row r="1019" spans="1:27" x14ac:dyDescent="0.2">
      <c r="A1019" s="913"/>
      <c r="B1019" s="666"/>
      <c r="C1019" s="290" t="s">
        <v>1570</v>
      </c>
      <c r="D1019" s="290">
        <v>60</v>
      </c>
      <c r="E1019" s="291" t="s">
        <v>8</v>
      </c>
      <c r="F1019" s="675">
        <v>15</v>
      </c>
      <c r="G1019" s="381"/>
      <c r="J1019" s="383" t="s">
        <v>1564</v>
      </c>
      <c r="K1019" s="298"/>
      <c r="M1019" s="298">
        <v>97</v>
      </c>
      <c r="N1019" s="876">
        <f t="shared" si="71"/>
        <v>97</v>
      </c>
      <c r="O1019" s="313"/>
      <c r="P1019" s="315"/>
      <c r="Q1019" s="315"/>
      <c r="R1019" s="909"/>
      <c r="S1019" s="738">
        <f t="shared" si="69"/>
        <v>20161.16</v>
      </c>
      <c r="T1019" s="738" t="str">
        <f t="shared" si="70"/>
        <v>M2</v>
      </c>
      <c r="U1019" s="738"/>
      <c r="W1019" s="288"/>
      <c r="X1019" s="288"/>
      <c r="Y1019" s="288"/>
      <c r="Z1019" s="288"/>
      <c r="AA1019" s="288"/>
    </row>
    <row r="1020" spans="1:27" x14ac:dyDescent="0.2">
      <c r="A1020" s="913"/>
      <c r="B1020" s="666"/>
      <c r="C1020" s="290" t="s">
        <v>1570</v>
      </c>
      <c r="D1020" s="290">
        <v>76</v>
      </c>
      <c r="E1020" s="291" t="s">
        <v>8</v>
      </c>
      <c r="F1020" s="675">
        <v>5</v>
      </c>
      <c r="G1020" s="381"/>
      <c r="J1020" s="383" t="s">
        <v>1556</v>
      </c>
      <c r="K1020" s="298"/>
      <c r="M1020" s="298">
        <v>97</v>
      </c>
      <c r="N1020" s="876">
        <f t="shared" si="71"/>
        <v>97</v>
      </c>
      <c r="O1020" s="313"/>
      <c r="P1020" s="315"/>
      <c r="Q1020" s="315"/>
      <c r="R1020" s="909"/>
      <c r="S1020" s="738">
        <f t="shared" si="69"/>
        <v>20161.16</v>
      </c>
      <c r="T1020" s="738" t="str">
        <f t="shared" si="70"/>
        <v>M2</v>
      </c>
      <c r="U1020" s="738"/>
      <c r="W1020" s="288"/>
      <c r="X1020" s="288"/>
      <c r="Y1020" s="288"/>
      <c r="Z1020" s="288"/>
      <c r="AA1020" s="288"/>
    </row>
    <row r="1021" spans="1:27" x14ac:dyDescent="0.2">
      <c r="A1021" s="913"/>
      <c r="B1021" s="666"/>
      <c r="C1021" s="290" t="s">
        <v>1570</v>
      </c>
      <c r="D1021" s="290">
        <v>77</v>
      </c>
      <c r="E1021" s="291" t="s">
        <v>8</v>
      </c>
      <c r="F1021" s="675">
        <v>15</v>
      </c>
      <c r="G1021" s="381"/>
      <c r="J1021" s="383" t="s">
        <v>1564</v>
      </c>
      <c r="K1021" s="298"/>
      <c r="M1021" s="298">
        <v>97</v>
      </c>
      <c r="N1021" s="876">
        <f t="shared" si="71"/>
        <v>97</v>
      </c>
      <c r="O1021" s="313"/>
      <c r="P1021" s="315"/>
      <c r="Q1021" s="315"/>
      <c r="R1021" s="909"/>
      <c r="S1021" s="738">
        <f t="shared" si="69"/>
        <v>20161.16</v>
      </c>
      <c r="T1021" s="738" t="str">
        <f t="shared" si="70"/>
        <v>M2</v>
      </c>
      <c r="U1021" s="738"/>
      <c r="W1021" s="288"/>
      <c r="X1021" s="288"/>
      <c r="Y1021" s="288"/>
      <c r="Z1021" s="288"/>
      <c r="AA1021" s="288"/>
    </row>
    <row r="1022" spans="1:27" x14ac:dyDescent="0.2">
      <c r="A1022" s="913"/>
      <c r="B1022" s="666"/>
      <c r="C1022" s="290" t="s">
        <v>1570</v>
      </c>
      <c r="D1022" s="290">
        <v>106</v>
      </c>
      <c r="E1022" s="291" t="s">
        <v>8</v>
      </c>
      <c r="F1022" s="675">
        <v>5</v>
      </c>
      <c r="G1022" s="381"/>
      <c r="J1022" s="383" t="s">
        <v>1556</v>
      </c>
      <c r="K1022" s="298"/>
      <c r="M1022" s="298">
        <v>97</v>
      </c>
      <c r="N1022" s="876">
        <f t="shared" si="71"/>
        <v>97</v>
      </c>
      <c r="O1022" s="313"/>
      <c r="P1022" s="315"/>
      <c r="Q1022" s="315"/>
      <c r="R1022" s="909"/>
      <c r="S1022" s="738">
        <f t="shared" si="69"/>
        <v>20161.16</v>
      </c>
      <c r="T1022" s="738" t="str">
        <f t="shared" si="70"/>
        <v>M2</v>
      </c>
      <c r="U1022" s="738"/>
      <c r="W1022" s="288"/>
      <c r="X1022" s="288"/>
      <c r="Y1022" s="288"/>
      <c r="Z1022" s="288"/>
      <c r="AA1022" s="288"/>
    </row>
    <row r="1023" spans="1:27" x14ac:dyDescent="0.2">
      <c r="A1023" s="913"/>
      <c r="B1023" s="666"/>
      <c r="C1023" s="290" t="s">
        <v>1570</v>
      </c>
      <c r="D1023" s="290">
        <v>109</v>
      </c>
      <c r="E1023" s="291" t="s">
        <v>8</v>
      </c>
      <c r="F1023" s="675">
        <v>15</v>
      </c>
      <c r="G1023" s="381"/>
      <c r="J1023" s="383" t="s">
        <v>1564</v>
      </c>
      <c r="K1023" s="298"/>
      <c r="M1023" s="298">
        <v>97</v>
      </c>
      <c r="N1023" s="876">
        <f t="shared" si="71"/>
        <v>97</v>
      </c>
      <c r="O1023" s="313"/>
      <c r="P1023" s="315"/>
      <c r="Q1023" s="315"/>
      <c r="R1023" s="909"/>
      <c r="S1023" s="738">
        <f t="shared" si="69"/>
        <v>20161.16</v>
      </c>
      <c r="T1023" s="738" t="str">
        <f t="shared" si="70"/>
        <v>M2</v>
      </c>
      <c r="U1023" s="738"/>
      <c r="W1023" s="288"/>
      <c r="X1023" s="288"/>
      <c r="Y1023" s="288"/>
      <c r="Z1023" s="288"/>
      <c r="AA1023" s="288"/>
    </row>
    <row r="1024" spans="1:27" x14ac:dyDescent="0.2">
      <c r="A1024" s="899"/>
      <c r="B1024" s="353"/>
      <c r="C1024" s="354" t="s">
        <v>2</v>
      </c>
      <c r="D1024" s="355"/>
      <c r="E1024" s="352"/>
      <c r="F1024" s="356"/>
      <c r="G1024" s="355"/>
      <c r="H1024" s="356"/>
      <c r="I1024" s="356"/>
      <c r="J1024" s="353"/>
      <c r="K1024" s="357"/>
      <c r="L1024" s="358"/>
      <c r="M1024" s="359"/>
      <c r="N1024" s="360">
        <f>SUM(N1013:N1023)</f>
        <v>20161.16</v>
      </c>
      <c r="O1024" s="361" t="str">
        <f>IF(MID(B1011,1,2)="LG",VLOOKUP(B1011,'Compos lug'!J:M,4,FALSE),IF(MID(B1011,1,1)="6",VLOOKUP(B1011,tranp.!$A$6:$K$38,3,FALSE),VLOOKUP(B1011,'DER 10-18'!$A$1:$I$1994,3,FALSE)))</f>
        <v>M2</v>
      </c>
      <c r="P1024" s="362"/>
      <c r="Q1024" s="362"/>
      <c r="R1024" s="900"/>
      <c r="S1024" s="738">
        <f t="shared" si="69"/>
        <v>19103.990000000002</v>
      </c>
      <c r="T1024" s="738" t="str">
        <f t="shared" si="70"/>
        <v>m³</v>
      </c>
      <c r="U1024" s="738"/>
      <c r="W1024" s="288"/>
      <c r="X1024" s="288"/>
      <c r="Y1024" s="288"/>
      <c r="Z1024" s="288"/>
      <c r="AA1024" s="288"/>
    </row>
    <row r="1025" spans="1:27" ht="38.25" customHeight="1" x14ac:dyDescent="0.2">
      <c r="A1025" s="895" t="s">
        <v>1542</v>
      </c>
      <c r="B1025" s="346">
        <v>40230</v>
      </c>
      <c r="C1025" s="347" t="str">
        <f>IF(MID(B1025,1,2)="LG",VLOOKUP(B1025,'Compos lug'!J:M,3,FALSE),IF(MID(B1025,1,1)="6",VLOOKUP(B1025,tranp.!$A$4:$K$21,11,FALSE)&amp;" -  XP="&amp;TEXT(T1025,"0,000")&amp;" / XR="&amp;TEXT(V1025,"0,000"),VLOOKUP(B1025,'DER 10-18'!$A$1:$I$1994,2,FALSE)))</f>
        <v>Escavação e carga de material de 1ª categoria com escavadeira</v>
      </c>
      <c r="D1025" s="1059" t="s">
        <v>1000</v>
      </c>
      <c r="E1025" s="1060"/>
      <c r="F1025" s="1061"/>
      <c r="G1025" s="1059" t="s">
        <v>1001</v>
      </c>
      <c r="H1025" s="1060"/>
      <c r="I1025" s="1061"/>
      <c r="J1025" s="349" t="s">
        <v>989</v>
      </c>
      <c r="K1025" s="884" t="s">
        <v>1361</v>
      </c>
      <c r="L1025" s="876" t="s">
        <v>1573</v>
      </c>
      <c r="M1025" s="885" t="s">
        <v>17</v>
      </c>
      <c r="N1025" s="876" t="s">
        <v>1574</v>
      </c>
      <c r="O1025" s="351"/>
      <c r="P1025" s="760"/>
      <c r="Q1025" s="879"/>
      <c r="R1025" s="902"/>
      <c r="S1025" s="738">
        <f>VLOOKUP("Total",C1062:O2749,12,FALSE)</f>
        <v>19103.990000000002</v>
      </c>
      <c r="T1025" s="738" t="str">
        <f>VLOOKUP("Total",C1062:O2749,13,FALSE)</f>
        <v>m³</v>
      </c>
      <c r="U1025" s="738"/>
      <c r="V1025" s="741" t="e">
        <f>W1025*Z1025+X1025*AA1025+Y1025</f>
        <v>#N/A</v>
      </c>
      <c r="W1025" s="742" t="e">
        <v>#N/A</v>
      </c>
      <c r="X1025" s="761" t="e">
        <v>#N/A</v>
      </c>
      <c r="Y1025" s="761" t="e">
        <v>#N/A</v>
      </c>
      <c r="Z1025" s="746">
        <f>VLOOKUP("Total",C1064:O1410,10,FALSE)</f>
        <v>0</v>
      </c>
      <c r="AA1025" s="746">
        <f>VLOOKUP("Total",C1064:O1410,11,FALSE)</f>
        <v>0</v>
      </c>
    </row>
    <row r="1026" spans="1:27" x14ac:dyDescent="0.2">
      <c r="A1026" s="294"/>
      <c r="B1026" s="293"/>
      <c r="C1026" s="744" t="s">
        <v>1552</v>
      </c>
      <c r="N1026" s="876"/>
      <c r="R1026" s="912"/>
      <c r="S1026" s="738">
        <f t="shared" ref="S1026:S1059" si="72">VLOOKUP("Total",C1027:O2573,12,FALSE)</f>
        <v>19103.990000000002</v>
      </c>
      <c r="T1026" s="738" t="str">
        <f t="shared" ref="T1026:T1059" si="73">VLOOKUP("Total",C1027:O2573,13,FALSE)</f>
        <v>m³</v>
      </c>
    </row>
    <row r="1027" spans="1:27" x14ac:dyDescent="0.2">
      <c r="A1027" s="913"/>
      <c r="B1027" s="666"/>
      <c r="C1027" s="347" t="s">
        <v>1274</v>
      </c>
      <c r="D1027" s="870"/>
      <c r="E1027" s="871"/>
      <c r="F1027" s="667"/>
      <c r="G1027" s="871"/>
      <c r="H1027" s="871"/>
      <c r="I1027" s="668"/>
      <c r="J1027" s="876"/>
      <c r="K1027" s="876"/>
      <c r="M1027" s="298"/>
      <c r="N1027" s="876"/>
      <c r="O1027" s="313"/>
      <c r="Q1027" s="315"/>
      <c r="R1027" s="909"/>
      <c r="S1027" s="738">
        <f t="shared" si="72"/>
        <v>19103.990000000002</v>
      </c>
      <c r="T1027" s="738" t="str">
        <f t="shared" si="73"/>
        <v>m³</v>
      </c>
      <c r="U1027" s="738"/>
    </row>
    <row r="1028" spans="1:27" x14ac:dyDescent="0.2">
      <c r="A1028" s="913"/>
      <c r="B1028" s="666"/>
      <c r="C1028" s="580" t="s">
        <v>1065</v>
      </c>
      <c r="D1028" s="870">
        <v>0</v>
      </c>
      <c r="E1028" s="871" t="s">
        <v>8</v>
      </c>
      <c r="F1028" s="667">
        <v>0</v>
      </c>
      <c r="G1028" s="871">
        <v>55</v>
      </c>
      <c r="H1028" s="871" t="s">
        <v>8</v>
      </c>
      <c r="I1028" s="668">
        <v>0</v>
      </c>
      <c r="J1028" s="691">
        <v>50</v>
      </c>
      <c r="K1028" s="876">
        <f t="shared" ref="K1028:K1034" si="74">N849</f>
        <v>1947</v>
      </c>
      <c r="L1028" s="876">
        <v>1.1499999999999999</v>
      </c>
      <c r="M1028" s="298"/>
      <c r="N1028" s="876">
        <f t="shared" ref="N1028:N1060" si="75">TRUNC(J1028/100*K1028*L1028,3)</f>
        <v>1119.53</v>
      </c>
      <c r="O1028" s="313"/>
      <c r="Q1028" s="315"/>
      <c r="R1028" s="909"/>
      <c r="S1028" s="738">
        <f t="shared" si="72"/>
        <v>19103.990000000002</v>
      </c>
      <c r="T1028" s="738" t="str">
        <f t="shared" si="73"/>
        <v>m³</v>
      </c>
      <c r="U1028" s="738"/>
    </row>
    <row r="1029" spans="1:27" x14ac:dyDescent="0.2">
      <c r="A1029" s="913"/>
      <c r="B1029" s="666"/>
      <c r="C1029" s="580" t="s">
        <v>1065</v>
      </c>
      <c r="D1029" s="870">
        <v>70</v>
      </c>
      <c r="E1029" s="871" t="s">
        <v>8</v>
      </c>
      <c r="F1029" s="667">
        <v>0</v>
      </c>
      <c r="G1029" s="871">
        <v>284</v>
      </c>
      <c r="H1029" s="871" t="s">
        <v>8</v>
      </c>
      <c r="I1029" s="668">
        <v>16</v>
      </c>
      <c r="J1029" s="691">
        <v>50</v>
      </c>
      <c r="K1029" s="876">
        <f t="shared" si="74"/>
        <v>7603.92</v>
      </c>
      <c r="L1029" s="876">
        <v>1.1499999999999999</v>
      </c>
      <c r="M1029" s="298"/>
      <c r="N1029" s="876">
        <f t="shared" si="75"/>
        <v>4372.25</v>
      </c>
      <c r="O1029" s="313"/>
      <c r="Q1029" s="315"/>
      <c r="R1029" s="909"/>
      <c r="S1029" s="738">
        <f t="shared" si="72"/>
        <v>19103.990000000002</v>
      </c>
      <c r="T1029" s="738" t="str">
        <f t="shared" si="73"/>
        <v>m³</v>
      </c>
      <c r="U1029" s="738"/>
    </row>
    <row r="1030" spans="1:27" x14ac:dyDescent="0.2">
      <c r="A1030" s="913"/>
      <c r="B1030" s="666"/>
      <c r="C1030" s="580" t="s">
        <v>1065</v>
      </c>
      <c r="D1030" s="870">
        <v>327</v>
      </c>
      <c r="E1030" s="871" t="s">
        <v>8</v>
      </c>
      <c r="F1030" s="667">
        <v>15</v>
      </c>
      <c r="G1030" s="871">
        <v>341</v>
      </c>
      <c r="H1030" s="871" t="s">
        <v>8</v>
      </c>
      <c r="I1030" s="668">
        <v>8</v>
      </c>
      <c r="J1030" s="691">
        <v>50</v>
      </c>
      <c r="K1030" s="876">
        <f t="shared" si="74"/>
        <v>483.21</v>
      </c>
      <c r="L1030" s="876">
        <v>1.1499999999999999</v>
      </c>
      <c r="M1030" s="298"/>
      <c r="N1030" s="876">
        <f t="shared" si="75"/>
        <v>277.85000000000002</v>
      </c>
      <c r="O1030" s="313"/>
      <c r="Q1030" s="315"/>
      <c r="R1030" s="909"/>
      <c r="S1030" s="738">
        <f t="shared" si="72"/>
        <v>19103.990000000002</v>
      </c>
      <c r="T1030" s="738" t="str">
        <f t="shared" si="73"/>
        <v>m³</v>
      </c>
      <c r="U1030" s="738"/>
    </row>
    <row r="1031" spans="1:27" x14ac:dyDescent="0.2">
      <c r="A1031" s="913"/>
      <c r="B1031" s="666"/>
      <c r="C1031" s="580" t="s">
        <v>1065</v>
      </c>
      <c r="D1031" s="870">
        <v>342</v>
      </c>
      <c r="E1031" s="871" t="s">
        <v>8</v>
      </c>
      <c r="F1031" s="667">
        <v>3</v>
      </c>
      <c r="G1031" s="871">
        <v>375</v>
      </c>
      <c r="H1031" s="871" t="s">
        <v>8</v>
      </c>
      <c r="I1031" s="668">
        <v>0</v>
      </c>
      <c r="J1031" s="691">
        <v>50</v>
      </c>
      <c r="K1031" s="876">
        <f t="shared" si="74"/>
        <v>1162.8900000000001</v>
      </c>
      <c r="L1031" s="876">
        <v>1.1499999999999999</v>
      </c>
      <c r="M1031" s="298"/>
      <c r="N1031" s="876">
        <f t="shared" si="75"/>
        <v>668.66</v>
      </c>
      <c r="O1031" s="313"/>
      <c r="Q1031" s="315"/>
      <c r="R1031" s="909"/>
      <c r="S1031" s="738">
        <f t="shared" si="72"/>
        <v>19103.990000000002</v>
      </c>
      <c r="T1031" s="738" t="str">
        <f t="shared" si="73"/>
        <v>m³</v>
      </c>
      <c r="U1031" s="738"/>
    </row>
    <row r="1032" spans="1:27" x14ac:dyDescent="0.2">
      <c r="A1032" s="913"/>
      <c r="B1032" s="666"/>
      <c r="C1032" s="580" t="s">
        <v>1065</v>
      </c>
      <c r="D1032" s="870">
        <v>375</v>
      </c>
      <c r="E1032" s="871" t="s">
        <v>8</v>
      </c>
      <c r="F1032" s="667">
        <v>0</v>
      </c>
      <c r="G1032" s="871">
        <v>382</v>
      </c>
      <c r="H1032" s="871" t="s">
        <v>8</v>
      </c>
      <c r="I1032" s="668">
        <v>0</v>
      </c>
      <c r="J1032" s="691">
        <v>50</v>
      </c>
      <c r="K1032" s="876">
        <f t="shared" si="74"/>
        <v>163.80000000000001</v>
      </c>
      <c r="L1032" s="876">
        <v>1.1499999999999999</v>
      </c>
      <c r="M1032" s="298"/>
      <c r="N1032" s="876">
        <f t="shared" si="75"/>
        <v>94.19</v>
      </c>
      <c r="O1032" s="313"/>
      <c r="Q1032" s="315"/>
      <c r="R1032" s="909"/>
      <c r="S1032" s="738">
        <f t="shared" si="72"/>
        <v>19103.990000000002</v>
      </c>
      <c r="T1032" s="738" t="str">
        <f t="shared" si="73"/>
        <v>m³</v>
      </c>
      <c r="U1032" s="738"/>
    </row>
    <row r="1033" spans="1:27" x14ac:dyDescent="0.2">
      <c r="A1033" s="913"/>
      <c r="B1033" s="666"/>
      <c r="C1033" s="580" t="s">
        <v>1065</v>
      </c>
      <c r="D1033" s="870">
        <v>382</v>
      </c>
      <c r="E1033" s="871" t="s">
        <v>8</v>
      </c>
      <c r="F1033" s="667">
        <v>0</v>
      </c>
      <c r="G1033" s="871">
        <v>536</v>
      </c>
      <c r="H1033" s="871" t="s">
        <v>8</v>
      </c>
      <c r="I1033" s="668">
        <v>6</v>
      </c>
      <c r="J1033" s="691">
        <v>50</v>
      </c>
      <c r="K1033" s="876">
        <f t="shared" si="74"/>
        <v>5462.22</v>
      </c>
      <c r="L1033" s="876">
        <v>1.1499999999999999</v>
      </c>
      <c r="N1033" s="876">
        <f t="shared" si="75"/>
        <v>3140.78</v>
      </c>
      <c r="O1033" s="313"/>
      <c r="Q1033" s="315"/>
      <c r="R1033" s="909"/>
      <c r="S1033" s="738">
        <f t="shared" si="72"/>
        <v>19103.990000000002</v>
      </c>
      <c r="T1033" s="738" t="str">
        <f t="shared" si="73"/>
        <v>m³</v>
      </c>
      <c r="U1033" s="738"/>
    </row>
    <row r="1034" spans="1:27" x14ac:dyDescent="0.2">
      <c r="A1034" s="913"/>
      <c r="B1034" s="666"/>
      <c r="C1034" s="580" t="s">
        <v>1065</v>
      </c>
      <c r="D1034" s="870">
        <v>536</v>
      </c>
      <c r="E1034" s="871" t="s">
        <v>8</v>
      </c>
      <c r="F1034" s="667">
        <v>16</v>
      </c>
      <c r="G1034" s="871">
        <v>561</v>
      </c>
      <c r="H1034" s="871" t="s">
        <v>8</v>
      </c>
      <c r="I1034" s="668">
        <v>12.45</v>
      </c>
      <c r="J1034" s="691">
        <v>50</v>
      </c>
      <c r="K1034" s="876">
        <f t="shared" si="74"/>
        <v>878.72</v>
      </c>
      <c r="L1034" s="876">
        <v>1.1499999999999999</v>
      </c>
      <c r="N1034" s="876">
        <f t="shared" si="75"/>
        <v>505.26</v>
      </c>
      <c r="O1034" s="313"/>
      <c r="Q1034" s="315"/>
      <c r="R1034" s="909"/>
      <c r="S1034" s="738">
        <f t="shared" si="72"/>
        <v>19103.990000000002</v>
      </c>
      <c r="T1034" s="738" t="str">
        <f t="shared" si="73"/>
        <v>m³</v>
      </c>
      <c r="U1034" s="738"/>
    </row>
    <row r="1035" spans="1:27" x14ac:dyDescent="0.2">
      <c r="A1035" s="913"/>
      <c r="B1035" s="666"/>
      <c r="C1035" s="580" t="s">
        <v>1432</v>
      </c>
      <c r="D1035" s="870">
        <v>55</v>
      </c>
      <c r="E1035" s="871" t="s">
        <v>8</v>
      </c>
      <c r="F1035" s="667">
        <v>0</v>
      </c>
      <c r="G1035" s="871">
        <v>70</v>
      </c>
      <c r="H1035" s="871" t="s">
        <v>8</v>
      </c>
      <c r="I1035" s="668">
        <v>0</v>
      </c>
      <c r="J1035" s="691">
        <v>50</v>
      </c>
      <c r="K1035" s="876">
        <f t="shared" ref="K1035:K1061" si="76">N857</f>
        <v>703.5</v>
      </c>
      <c r="L1035" s="876">
        <v>1.1499999999999999</v>
      </c>
      <c r="N1035" s="876">
        <f t="shared" si="75"/>
        <v>404.51</v>
      </c>
      <c r="O1035" s="313"/>
      <c r="Q1035" s="315"/>
      <c r="R1035" s="909"/>
      <c r="S1035" s="738">
        <f t="shared" si="72"/>
        <v>19103.990000000002</v>
      </c>
      <c r="T1035" s="738" t="str">
        <f t="shared" si="73"/>
        <v>m³</v>
      </c>
      <c r="U1035" s="738"/>
    </row>
    <row r="1036" spans="1:27" x14ac:dyDescent="0.2">
      <c r="A1036" s="913"/>
      <c r="B1036" s="666"/>
      <c r="C1036" s="580" t="s">
        <v>1426</v>
      </c>
      <c r="D1036" s="870">
        <v>36</v>
      </c>
      <c r="E1036" s="871" t="s">
        <v>8</v>
      </c>
      <c r="F1036" s="667">
        <v>0</v>
      </c>
      <c r="G1036" s="871">
        <v>40</v>
      </c>
      <c r="H1036" s="871" t="s">
        <v>8</v>
      </c>
      <c r="I1036" s="668">
        <v>0</v>
      </c>
      <c r="J1036" s="691">
        <v>50</v>
      </c>
      <c r="K1036" s="884">
        <f t="shared" si="76"/>
        <v>45</v>
      </c>
      <c r="L1036" s="876">
        <v>1.1499999999999999</v>
      </c>
      <c r="N1036" s="876">
        <f t="shared" si="75"/>
        <v>25.88</v>
      </c>
      <c r="O1036" s="313"/>
      <c r="Q1036" s="315"/>
      <c r="R1036" s="909"/>
      <c r="S1036" s="738">
        <f t="shared" si="72"/>
        <v>19103.990000000002</v>
      </c>
      <c r="T1036" s="738" t="str">
        <f t="shared" si="73"/>
        <v>m³</v>
      </c>
      <c r="U1036" s="738"/>
    </row>
    <row r="1037" spans="1:27" x14ac:dyDescent="0.2">
      <c r="A1037" s="913"/>
      <c r="B1037" s="666"/>
      <c r="C1037" s="580" t="s">
        <v>1426</v>
      </c>
      <c r="D1037" s="870">
        <v>40</v>
      </c>
      <c r="E1037" s="871" t="s">
        <v>8</v>
      </c>
      <c r="F1037" s="667">
        <v>0</v>
      </c>
      <c r="G1037" s="871">
        <v>44</v>
      </c>
      <c r="H1037" s="871" t="s">
        <v>8</v>
      </c>
      <c r="I1037" s="668">
        <v>0</v>
      </c>
      <c r="J1037" s="691">
        <v>50</v>
      </c>
      <c r="K1037" s="884">
        <f t="shared" si="76"/>
        <v>45</v>
      </c>
      <c r="L1037" s="876">
        <v>1.1499999999999999</v>
      </c>
      <c r="N1037" s="876">
        <f t="shared" si="75"/>
        <v>25.88</v>
      </c>
      <c r="O1037" s="313"/>
      <c r="Q1037" s="315"/>
      <c r="R1037" s="909"/>
      <c r="S1037" s="738">
        <f t="shared" si="72"/>
        <v>19103.990000000002</v>
      </c>
      <c r="T1037" s="738" t="str">
        <f t="shared" si="73"/>
        <v>m³</v>
      </c>
      <c r="U1037" s="738"/>
    </row>
    <row r="1038" spans="1:27" x14ac:dyDescent="0.2">
      <c r="A1038" s="913"/>
      <c r="B1038" s="666"/>
      <c r="C1038" s="580" t="s">
        <v>1426</v>
      </c>
      <c r="D1038" s="870">
        <v>70</v>
      </c>
      <c r="E1038" s="871" t="s">
        <v>8</v>
      </c>
      <c r="F1038" s="667">
        <v>0</v>
      </c>
      <c r="G1038" s="871">
        <v>74</v>
      </c>
      <c r="H1038" s="871" t="s">
        <v>8</v>
      </c>
      <c r="I1038" s="668">
        <v>0</v>
      </c>
      <c r="J1038" s="691">
        <v>50</v>
      </c>
      <c r="K1038" s="884">
        <f t="shared" si="76"/>
        <v>45</v>
      </c>
      <c r="L1038" s="876">
        <v>1.1499999999999999</v>
      </c>
      <c r="N1038" s="876">
        <f t="shared" si="75"/>
        <v>25.88</v>
      </c>
      <c r="O1038" s="313"/>
      <c r="Q1038" s="315"/>
      <c r="R1038" s="909"/>
      <c r="S1038" s="738">
        <f t="shared" si="72"/>
        <v>19103.990000000002</v>
      </c>
      <c r="T1038" s="738" t="str">
        <f t="shared" si="73"/>
        <v>m³</v>
      </c>
      <c r="U1038" s="738"/>
    </row>
    <row r="1039" spans="1:27" x14ac:dyDescent="0.2">
      <c r="A1039" s="913"/>
      <c r="B1039" s="666"/>
      <c r="C1039" s="580" t="s">
        <v>1426</v>
      </c>
      <c r="D1039" s="870">
        <v>74</v>
      </c>
      <c r="E1039" s="871" t="s">
        <v>8</v>
      </c>
      <c r="F1039" s="667">
        <v>0</v>
      </c>
      <c r="G1039" s="871">
        <v>78</v>
      </c>
      <c r="H1039" s="871" t="s">
        <v>8</v>
      </c>
      <c r="I1039" s="668">
        <v>0</v>
      </c>
      <c r="J1039" s="691">
        <v>50</v>
      </c>
      <c r="K1039" s="884">
        <f t="shared" si="76"/>
        <v>45</v>
      </c>
      <c r="L1039" s="876">
        <v>1.1499999999999999</v>
      </c>
      <c r="N1039" s="876">
        <f t="shared" si="75"/>
        <v>25.88</v>
      </c>
      <c r="O1039" s="313"/>
      <c r="Q1039" s="315"/>
      <c r="R1039" s="909"/>
      <c r="S1039" s="738">
        <f t="shared" si="72"/>
        <v>19103.990000000002</v>
      </c>
      <c r="T1039" s="738" t="str">
        <f t="shared" si="73"/>
        <v>m³</v>
      </c>
      <c r="U1039" s="738"/>
    </row>
    <row r="1040" spans="1:27" x14ac:dyDescent="0.2">
      <c r="A1040" s="913"/>
      <c r="B1040" s="666"/>
      <c r="C1040" s="580" t="s">
        <v>1426</v>
      </c>
      <c r="D1040" s="870">
        <v>111</v>
      </c>
      <c r="E1040" s="871" t="s">
        <v>8</v>
      </c>
      <c r="F1040" s="667">
        <v>0</v>
      </c>
      <c r="G1040" s="871">
        <v>115</v>
      </c>
      <c r="H1040" s="871" t="s">
        <v>8</v>
      </c>
      <c r="I1040" s="668">
        <v>0</v>
      </c>
      <c r="J1040" s="691">
        <v>50</v>
      </c>
      <c r="K1040" s="884">
        <f t="shared" si="76"/>
        <v>45</v>
      </c>
      <c r="L1040" s="876">
        <v>1.1499999999999999</v>
      </c>
      <c r="N1040" s="876">
        <f t="shared" si="75"/>
        <v>25.88</v>
      </c>
      <c r="O1040" s="313"/>
      <c r="Q1040" s="315"/>
      <c r="R1040" s="909"/>
      <c r="S1040" s="738">
        <f t="shared" si="72"/>
        <v>19103.990000000002</v>
      </c>
      <c r="T1040" s="738" t="str">
        <f t="shared" si="73"/>
        <v>m³</v>
      </c>
      <c r="U1040" s="738"/>
    </row>
    <row r="1041" spans="1:21" x14ac:dyDescent="0.2">
      <c r="A1041" s="913"/>
      <c r="B1041" s="666"/>
      <c r="C1041" s="580" t="s">
        <v>1426</v>
      </c>
      <c r="D1041" s="870">
        <v>115</v>
      </c>
      <c r="E1041" s="871" t="s">
        <v>8</v>
      </c>
      <c r="F1041" s="667">
        <v>0</v>
      </c>
      <c r="G1041" s="871">
        <v>119</v>
      </c>
      <c r="H1041" s="871" t="s">
        <v>8</v>
      </c>
      <c r="I1041" s="668">
        <v>0</v>
      </c>
      <c r="J1041" s="691">
        <v>50</v>
      </c>
      <c r="K1041" s="884">
        <f t="shared" si="76"/>
        <v>45</v>
      </c>
      <c r="L1041" s="876">
        <v>1.1499999999999999</v>
      </c>
      <c r="N1041" s="876">
        <f t="shared" si="75"/>
        <v>25.88</v>
      </c>
      <c r="O1041" s="313"/>
      <c r="Q1041" s="315"/>
      <c r="R1041" s="909"/>
      <c r="S1041" s="738">
        <f t="shared" si="72"/>
        <v>19103.990000000002</v>
      </c>
      <c r="T1041" s="738" t="str">
        <f t="shared" si="73"/>
        <v>m³</v>
      </c>
      <c r="U1041" s="738"/>
    </row>
    <row r="1042" spans="1:21" x14ac:dyDescent="0.2">
      <c r="A1042" s="913"/>
      <c r="B1042" s="666"/>
      <c r="C1042" s="580" t="s">
        <v>1426</v>
      </c>
      <c r="D1042" s="870">
        <v>144</v>
      </c>
      <c r="E1042" s="871" t="s">
        <v>8</v>
      </c>
      <c r="F1042" s="667">
        <v>0</v>
      </c>
      <c r="G1042" s="871">
        <v>148</v>
      </c>
      <c r="H1042" s="871" t="s">
        <v>8</v>
      </c>
      <c r="I1042" s="668">
        <v>0</v>
      </c>
      <c r="J1042" s="691">
        <v>50</v>
      </c>
      <c r="K1042" s="884">
        <f t="shared" si="76"/>
        <v>45</v>
      </c>
      <c r="L1042" s="876">
        <v>1.1499999999999999</v>
      </c>
      <c r="N1042" s="876">
        <f t="shared" si="75"/>
        <v>25.88</v>
      </c>
      <c r="O1042" s="313"/>
      <c r="Q1042" s="315"/>
      <c r="R1042" s="909"/>
      <c r="S1042" s="738">
        <f t="shared" si="72"/>
        <v>19103.990000000002</v>
      </c>
      <c r="T1042" s="738" t="str">
        <f t="shared" si="73"/>
        <v>m³</v>
      </c>
      <c r="U1042" s="738"/>
    </row>
    <row r="1043" spans="1:21" x14ac:dyDescent="0.2">
      <c r="A1043" s="913"/>
      <c r="B1043" s="666"/>
      <c r="C1043" s="580" t="s">
        <v>1426</v>
      </c>
      <c r="D1043" s="870">
        <v>148</v>
      </c>
      <c r="E1043" s="871" t="s">
        <v>8</v>
      </c>
      <c r="F1043" s="667">
        <v>0</v>
      </c>
      <c r="G1043" s="871">
        <v>152</v>
      </c>
      <c r="H1043" s="871" t="s">
        <v>8</v>
      </c>
      <c r="I1043" s="668">
        <v>0</v>
      </c>
      <c r="J1043" s="691">
        <v>50</v>
      </c>
      <c r="K1043" s="884">
        <f t="shared" si="76"/>
        <v>45</v>
      </c>
      <c r="L1043" s="876">
        <v>1.1499999999999999</v>
      </c>
      <c r="N1043" s="876">
        <f t="shared" si="75"/>
        <v>25.88</v>
      </c>
      <c r="O1043" s="313"/>
      <c r="Q1043" s="315"/>
      <c r="R1043" s="909"/>
      <c r="S1043" s="738">
        <f t="shared" si="72"/>
        <v>19103.990000000002</v>
      </c>
      <c r="T1043" s="738" t="str">
        <f t="shared" si="73"/>
        <v>m³</v>
      </c>
      <c r="U1043" s="738"/>
    </row>
    <row r="1044" spans="1:21" x14ac:dyDescent="0.2">
      <c r="A1044" s="913"/>
      <c r="B1044" s="666"/>
      <c r="C1044" s="580" t="s">
        <v>1426</v>
      </c>
      <c r="D1044" s="870">
        <v>201</v>
      </c>
      <c r="E1044" s="871" t="s">
        <v>8</v>
      </c>
      <c r="F1044" s="667">
        <v>0</v>
      </c>
      <c r="G1044" s="871">
        <v>205</v>
      </c>
      <c r="H1044" s="871" t="s">
        <v>8</v>
      </c>
      <c r="I1044" s="668">
        <v>0</v>
      </c>
      <c r="J1044" s="691">
        <v>50</v>
      </c>
      <c r="K1044" s="884">
        <f t="shared" si="76"/>
        <v>45</v>
      </c>
      <c r="L1044" s="876">
        <v>1.1499999999999999</v>
      </c>
      <c r="N1044" s="876">
        <f t="shared" si="75"/>
        <v>25.88</v>
      </c>
      <c r="O1044" s="313"/>
      <c r="Q1044" s="315"/>
      <c r="R1044" s="909"/>
      <c r="S1044" s="738">
        <f t="shared" si="72"/>
        <v>19103.990000000002</v>
      </c>
      <c r="T1044" s="738" t="str">
        <f t="shared" si="73"/>
        <v>m³</v>
      </c>
      <c r="U1044" s="738"/>
    </row>
    <row r="1045" spans="1:21" x14ac:dyDescent="0.2">
      <c r="A1045" s="913"/>
      <c r="B1045" s="666"/>
      <c r="C1045" s="580" t="s">
        <v>1426</v>
      </c>
      <c r="D1045" s="870">
        <v>205</v>
      </c>
      <c r="E1045" s="871" t="s">
        <v>8</v>
      </c>
      <c r="F1045" s="667">
        <v>0</v>
      </c>
      <c r="G1045" s="871">
        <v>209</v>
      </c>
      <c r="H1045" s="871" t="s">
        <v>8</v>
      </c>
      <c r="I1045" s="668">
        <v>0</v>
      </c>
      <c r="J1045" s="691">
        <v>50</v>
      </c>
      <c r="K1045" s="884">
        <f t="shared" si="76"/>
        <v>45</v>
      </c>
      <c r="L1045" s="876">
        <v>1.1499999999999999</v>
      </c>
      <c r="N1045" s="876">
        <f t="shared" si="75"/>
        <v>25.88</v>
      </c>
      <c r="O1045" s="313"/>
      <c r="Q1045" s="315"/>
      <c r="R1045" s="909"/>
      <c r="S1045" s="738">
        <f t="shared" si="72"/>
        <v>19103.990000000002</v>
      </c>
      <c r="T1045" s="738" t="str">
        <f t="shared" si="73"/>
        <v>m³</v>
      </c>
      <c r="U1045" s="738"/>
    </row>
    <row r="1046" spans="1:21" x14ac:dyDescent="0.2">
      <c r="A1046" s="913"/>
      <c r="B1046" s="666"/>
      <c r="C1046" s="580" t="s">
        <v>1426</v>
      </c>
      <c r="D1046" s="870">
        <v>253</v>
      </c>
      <c r="E1046" s="871" t="s">
        <v>8</v>
      </c>
      <c r="F1046" s="667">
        <v>0</v>
      </c>
      <c r="G1046" s="871">
        <v>257</v>
      </c>
      <c r="H1046" s="871" t="s">
        <v>8</v>
      </c>
      <c r="I1046" s="668">
        <v>0</v>
      </c>
      <c r="J1046" s="691">
        <v>50</v>
      </c>
      <c r="K1046" s="884">
        <f t="shared" si="76"/>
        <v>45</v>
      </c>
      <c r="L1046" s="876">
        <v>1.1499999999999999</v>
      </c>
      <c r="N1046" s="876">
        <f t="shared" si="75"/>
        <v>25.88</v>
      </c>
      <c r="O1046" s="313"/>
      <c r="Q1046" s="315"/>
      <c r="R1046" s="909"/>
      <c r="S1046" s="738">
        <f t="shared" si="72"/>
        <v>19103.990000000002</v>
      </c>
      <c r="T1046" s="738" t="str">
        <f t="shared" si="73"/>
        <v>m³</v>
      </c>
      <c r="U1046" s="738"/>
    </row>
    <row r="1047" spans="1:21" x14ac:dyDescent="0.2">
      <c r="A1047" s="913"/>
      <c r="B1047" s="666"/>
      <c r="C1047" s="580" t="s">
        <v>1426</v>
      </c>
      <c r="D1047" s="870">
        <v>257</v>
      </c>
      <c r="E1047" s="871" t="s">
        <v>8</v>
      </c>
      <c r="F1047" s="667">
        <v>0</v>
      </c>
      <c r="G1047" s="871">
        <v>261</v>
      </c>
      <c r="H1047" s="871" t="s">
        <v>8</v>
      </c>
      <c r="I1047" s="668">
        <v>0</v>
      </c>
      <c r="J1047" s="691">
        <v>50</v>
      </c>
      <c r="K1047" s="884">
        <f t="shared" si="76"/>
        <v>45</v>
      </c>
      <c r="L1047" s="876">
        <v>1.1499999999999999</v>
      </c>
      <c r="N1047" s="876">
        <f t="shared" si="75"/>
        <v>25.88</v>
      </c>
      <c r="O1047" s="313"/>
      <c r="Q1047" s="315"/>
      <c r="R1047" s="909"/>
      <c r="S1047" s="738">
        <f t="shared" si="72"/>
        <v>19103.990000000002</v>
      </c>
      <c r="T1047" s="738" t="str">
        <f t="shared" si="73"/>
        <v>m³</v>
      </c>
      <c r="U1047" s="738"/>
    </row>
    <row r="1048" spans="1:21" x14ac:dyDescent="0.2">
      <c r="A1048" s="913"/>
      <c r="B1048" s="666"/>
      <c r="C1048" s="580" t="s">
        <v>1426</v>
      </c>
      <c r="D1048" s="870">
        <v>350</v>
      </c>
      <c r="E1048" s="871" t="s">
        <v>8</v>
      </c>
      <c r="F1048" s="667">
        <v>0</v>
      </c>
      <c r="G1048" s="871">
        <v>354</v>
      </c>
      <c r="H1048" s="871" t="s">
        <v>8</v>
      </c>
      <c r="I1048" s="668">
        <v>0</v>
      </c>
      <c r="J1048" s="691">
        <v>50</v>
      </c>
      <c r="K1048" s="884">
        <f t="shared" si="76"/>
        <v>45</v>
      </c>
      <c r="L1048" s="876">
        <v>1.1499999999999999</v>
      </c>
      <c r="N1048" s="876">
        <f t="shared" si="75"/>
        <v>25.88</v>
      </c>
      <c r="O1048" s="313"/>
      <c r="Q1048" s="315"/>
      <c r="R1048" s="909"/>
      <c r="S1048" s="738">
        <f t="shared" si="72"/>
        <v>19103.990000000002</v>
      </c>
      <c r="T1048" s="738" t="str">
        <f t="shared" si="73"/>
        <v>m³</v>
      </c>
      <c r="U1048" s="738"/>
    </row>
    <row r="1049" spans="1:21" x14ac:dyDescent="0.2">
      <c r="A1049" s="913"/>
      <c r="B1049" s="666"/>
      <c r="C1049" s="580" t="s">
        <v>1426</v>
      </c>
      <c r="D1049" s="870">
        <v>354</v>
      </c>
      <c r="E1049" s="871" t="s">
        <v>8</v>
      </c>
      <c r="F1049" s="667">
        <v>0</v>
      </c>
      <c r="G1049" s="871">
        <v>358</v>
      </c>
      <c r="H1049" s="871" t="s">
        <v>8</v>
      </c>
      <c r="I1049" s="668">
        <v>0</v>
      </c>
      <c r="J1049" s="691">
        <v>50</v>
      </c>
      <c r="K1049" s="884">
        <f t="shared" si="76"/>
        <v>45</v>
      </c>
      <c r="L1049" s="876">
        <v>1.1499999999999999</v>
      </c>
      <c r="N1049" s="876">
        <f t="shared" si="75"/>
        <v>25.88</v>
      </c>
      <c r="O1049" s="313"/>
      <c r="Q1049" s="315"/>
      <c r="R1049" s="909"/>
      <c r="S1049" s="738">
        <f t="shared" si="72"/>
        <v>19103.990000000002</v>
      </c>
      <c r="T1049" s="738" t="str">
        <f t="shared" si="73"/>
        <v>m³</v>
      </c>
      <c r="U1049" s="738"/>
    </row>
    <row r="1050" spans="1:21" x14ac:dyDescent="0.2">
      <c r="A1050" s="913"/>
      <c r="B1050" s="666"/>
      <c r="C1050" s="580" t="s">
        <v>1426</v>
      </c>
      <c r="D1050" s="870">
        <v>391</v>
      </c>
      <c r="E1050" s="871" t="s">
        <v>8</v>
      </c>
      <c r="F1050" s="667">
        <v>0</v>
      </c>
      <c r="G1050" s="871">
        <v>395</v>
      </c>
      <c r="H1050" s="871" t="s">
        <v>8</v>
      </c>
      <c r="I1050" s="668">
        <v>0</v>
      </c>
      <c r="J1050" s="691">
        <v>50</v>
      </c>
      <c r="K1050" s="884">
        <f t="shared" si="76"/>
        <v>45</v>
      </c>
      <c r="L1050" s="876">
        <v>1.1499999999999999</v>
      </c>
      <c r="N1050" s="876">
        <f t="shared" si="75"/>
        <v>25.88</v>
      </c>
      <c r="O1050" s="313"/>
      <c r="Q1050" s="315"/>
      <c r="R1050" s="909"/>
      <c r="S1050" s="738">
        <f t="shared" si="72"/>
        <v>19103.990000000002</v>
      </c>
      <c r="T1050" s="738" t="str">
        <f t="shared" si="73"/>
        <v>m³</v>
      </c>
      <c r="U1050" s="738"/>
    </row>
    <row r="1051" spans="1:21" x14ac:dyDescent="0.2">
      <c r="A1051" s="913"/>
      <c r="B1051" s="666"/>
      <c r="C1051" s="580" t="s">
        <v>1426</v>
      </c>
      <c r="D1051" s="870">
        <v>398</v>
      </c>
      <c r="E1051" s="871" t="s">
        <v>8</v>
      </c>
      <c r="F1051" s="667">
        <v>0</v>
      </c>
      <c r="G1051" s="871">
        <v>402</v>
      </c>
      <c r="H1051" s="871" t="s">
        <v>8</v>
      </c>
      <c r="I1051" s="668">
        <v>0</v>
      </c>
      <c r="J1051" s="691">
        <v>50</v>
      </c>
      <c r="K1051" s="884">
        <f t="shared" si="76"/>
        <v>45</v>
      </c>
      <c r="L1051" s="876">
        <v>1.1499999999999999</v>
      </c>
      <c r="N1051" s="876">
        <f t="shared" si="75"/>
        <v>25.88</v>
      </c>
      <c r="O1051" s="313"/>
      <c r="Q1051" s="315"/>
      <c r="R1051" s="909"/>
      <c r="S1051" s="738">
        <f t="shared" si="72"/>
        <v>19103.990000000002</v>
      </c>
      <c r="T1051" s="738" t="str">
        <f t="shared" si="73"/>
        <v>m³</v>
      </c>
      <c r="U1051" s="738"/>
    </row>
    <row r="1052" spans="1:21" x14ac:dyDescent="0.2">
      <c r="A1052" s="913"/>
      <c r="B1052" s="666"/>
      <c r="C1052" s="580" t="s">
        <v>1426</v>
      </c>
      <c r="D1052" s="870">
        <v>420</v>
      </c>
      <c r="E1052" s="871" t="s">
        <v>8</v>
      </c>
      <c r="F1052" s="667">
        <v>0</v>
      </c>
      <c r="G1052" s="871">
        <v>424</v>
      </c>
      <c r="H1052" s="871" t="s">
        <v>8</v>
      </c>
      <c r="I1052" s="668">
        <v>0</v>
      </c>
      <c r="J1052" s="691">
        <v>50</v>
      </c>
      <c r="K1052" s="884">
        <f t="shared" si="76"/>
        <v>45</v>
      </c>
      <c r="L1052" s="876">
        <v>1.1499999999999999</v>
      </c>
      <c r="N1052" s="876">
        <f t="shared" si="75"/>
        <v>25.88</v>
      </c>
      <c r="O1052" s="313"/>
      <c r="Q1052" s="315"/>
      <c r="R1052" s="909"/>
      <c r="S1052" s="738">
        <f t="shared" si="72"/>
        <v>19103.990000000002</v>
      </c>
      <c r="T1052" s="738" t="str">
        <f t="shared" si="73"/>
        <v>m³</v>
      </c>
      <c r="U1052" s="738"/>
    </row>
    <row r="1053" spans="1:21" x14ac:dyDescent="0.2">
      <c r="A1053" s="913"/>
      <c r="B1053" s="666"/>
      <c r="C1053" s="580" t="s">
        <v>1426</v>
      </c>
      <c r="D1053" s="870">
        <v>424</v>
      </c>
      <c r="E1053" s="871" t="s">
        <v>8</v>
      </c>
      <c r="F1053" s="667">
        <v>0</v>
      </c>
      <c r="G1053" s="871">
        <v>428</v>
      </c>
      <c r="H1053" s="871" t="s">
        <v>8</v>
      </c>
      <c r="I1053" s="668">
        <v>0</v>
      </c>
      <c r="J1053" s="691">
        <v>50</v>
      </c>
      <c r="K1053" s="884">
        <f t="shared" si="76"/>
        <v>45</v>
      </c>
      <c r="L1053" s="876">
        <v>1.1499999999999999</v>
      </c>
      <c r="N1053" s="876">
        <f t="shared" si="75"/>
        <v>25.88</v>
      </c>
      <c r="O1053" s="313"/>
      <c r="Q1053" s="315"/>
      <c r="R1053" s="909"/>
      <c r="S1053" s="738">
        <f t="shared" si="72"/>
        <v>19103.990000000002</v>
      </c>
      <c r="T1053" s="738" t="str">
        <f t="shared" si="73"/>
        <v>m³</v>
      </c>
      <c r="U1053" s="738"/>
    </row>
    <row r="1054" spans="1:21" x14ac:dyDescent="0.2">
      <c r="A1054" s="913"/>
      <c r="B1054" s="666"/>
      <c r="C1054" s="580" t="s">
        <v>1426</v>
      </c>
      <c r="D1054" s="870">
        <v>450</v>
      </c>
      <c r="E1054" s="871" t="s">
        <v>8</v>
      </c>
      <c r="F1054" s="667">
        <v>0</v>
      </c>
      <c r="G1054" s="871">
        <v>454</v>
      </c>
      <c r="H1054" s="871" t="s">
        <v>8</v>
      </c>
      <c r="I1054" s="668">
        <v>0</v>
      </c>
      <c r="J1054" s="691">
        <v>50</v>
      </c>
      <c r="K1054" s="884">
        <f t="shared" si="76"/>
        <v>45</v>
      </c>
      <c r="L1054" s="876">
        <v>1.1499999999999999</v>
      </c>
      <c r="N1054" s="876">
        <f t="shared" si="75"/>
        <v>25.88</v>
      </c>
      <c r="O1054" s="313"/>
      <c r="Q1054" s="315"/>
      <c r="R1054" s="909"/>
      <c r="S1054" s="738">
        <f t="shared" si="72"/>
        <v>19103.990000000002</v>
      </c>
      <c r="T1054" s="738" t="str">
        <f t="shared" si="73"/>
        <v>m³</v>
      </c>
      <c r="U1054" s="738"/>
    </row>
    <row r="1055" spans="1:21" x14ac:dyDescent="0.2">
      <c r="A1055" s="913"/>
      <c r="B1055" s="666"/>
      <c r="C1055" s="580" t="s">
        <v>1426</v>
      </c>
      <c r="D1055" s="870">
        <v>454</v>
      </c>
      <c r="E1055" s="871" t="s">
        <v>8</v>
      </c>
      <c r="F1055" s="667">
        <v>0</v>
      </c>
      <c r="G1055" s="871">
        <v>458</v>
      </c>
      <c r="H1055" s="871" t="s">
        <v>8</v>
      </c>
      <c r="I1055" s="668">
        <v>0</v>
      </c>
      <c r="J1055" s="691">
        <v>50</v>
      </c>
      <c r="K1055" s="884">
        <f t="shared" si="76"/>
        <v>45</v>
      </c>
      <c r="L1055" s="876">
        <v>1.1499999999999999</v>
      </c>
      <c r="N1055" s="876">
        <f t="shared" si="75"/>
        <v>25.88</v>
      </c>
      <c r="O1055" s="313"/>
      <c r="Q1055" s="315"/>
      <c r="R1055" s="909"/>
      <c r="S1055" s="738">
        <f t="shared" si="72"/>
        <v>19103.990000000002</v>
      </c>
      <c r="T1055" s="738" t="str">
        <f t="shared" si="73"/>
        <v>m³</v>
      </c>
      <c r="U1055" s="738"/>
    </row>
    <row r="1056" spans="1:21" x14ac:dyDescent="0.2">
      <c r="A1056" s="913"/>
      <c r="B1056" s="666"/>
      <c r="C1056" s="580" t="s">
        <v>1426</v>
      </c>
      <c r="D1056" s="870">
        <v>486</v>
      </c>
      <c r="E1056" s="871" t="s">
        <v>8</v>
      </c>
      <c r="F1056" s="667">
        <v>0</v>
      </c>
      <c r="G1056" s="871">
        <v>490</v>
      </c>
      <c r="H1056" s="871" t="s">
        <v>8</v>
      </c>
      <c r="I1056" s="668">
        <v>0</v>
      </c>
      <c r="J1056" s="691">
        <v>50</v>
      </c>
      <c r="K1056" s="884">
        <f t="shared" si="76"/>
        <v>45</v>
      </c>
      <c r="L1056" s="876">
        <v>1.1499999999999999</v>
      </c>
      <c r="N1056" s="876">
        <f t="shared" si="75"/>
        <v>25.88</v>
      </c>
      <c r="O1056" s="313"/>
      <c r="Q1056" s="315"/>
      <c r="R1056" s="909"/>
      <c r="S1056" s="738">
        <f t="shared" si="72"/>
        <v>19103.990000000002</v>
      </c>
      <c r="T1056" s="738" t="str">
        <f t="shared" si="73"/>
        <v>m³</v>
      </c>
      <c r="U1056" s="738"/>
    </row>
    <row r="1057" spans="1:31" x14ac:dyDescent="0.2">
      <c r="A1057" s="913"/>
      <c r="B1057" s="666"/>
      <c r="C1057" s="580" t="s">
        <v>1426</v>
      </c>
      <c r="D1057" s="870">
        <v>490</v>
      </c>
      <c r="E1057" s="871" t="s">
        <v>8</v>
      </c>
      <c r="F1057" s="667">
        <v>0</v>
      </c>
      <c r="G1057" s="871">
        <v>494</v>
      </c>
      <c r="H1057" s="871" t="s">
        <v>8</v>
      </c>
      <c r="I1057" s="668">
        <v>0</v>
      </c>
      <c r="J1057" s="691">
        <v>50</v>
      </c>
      <c r="K1057" s="884">
        <f t="shared" si="76"/>
        <v>45</v>
      </c>
      <c r="L1057" s="876">
        <v>1.1499999999999999</v>
      </c>
      <c r="N1057" s="876">
        <f t="shared" si="75"/>
        <v>25.88</v>
      </c>
      <c r="O1057" s="313"/>
      <c r="Q1057" s="315"/>
      <c r="R1057" s="909"/>
      <c r="S1057" s="738">
        <f t="shared" si="72"/>
        <v>19103.990000000002</v>
      </c>
      <c r="T1057" s="738" t="str">
        <f t="shared" si="73"/>
        <v>m³</v>
      </c>
      <c r="U1057" s="738"/>
    </row>
    <row r="1058" spans="1:31" x14ac:dyDescent="0.2">
      <c r="A1058" s="913"/>
      <c r="B1058" s="666"/>
      <c r="C1058" s="580" t="s">
        <v>1426</v>
      </c>
      <c r="D1058" s="870">
        <v>517</v>
      </c>
      <c r="E1058" s="871" t="s">
        <v>8</v>
      </c>
      <c r="F1058" s="667">
        <v>0</v>
      </c>
      <c r="G1058" s="871">
        <v>521</v>
      </c>
      <c r="H1058" s="871" t="s">
        <v>8</v>
      </c>
      <c r="I1058" s="668">
        <v>0</v>
      </c>
      <c r="J1058" s="691">
        <v>50</v>
      </c>
      <c r="K1058" s="884">
        <f t="shared" si="76"/>
        <v>45</v>
      </c>
      <c r="L1058" s="876">
        <v>1.1499999999999999</v>
      </c>
      <c r="N1058" s="876">
        <f t="shared" si="75"/>
        <v>25.88</v>
      </c>
      <c r="O1058" s="313"/>
      <c r="Q1058" s="315"/>
      <c r="R1058" s="909"/>
      <c r="S1058" s="738">
        <f t="shared" si="72"/>
        <v>19103.990000000002</v>
      </c>
      <c r="T1058" s="738" t="str">
        <f t="shared" si="73"/>
        <v>m³</v>
      </c>
      <c r="U1058" s="738"/>
    </row>
    <row r="1059" spans="1:31" x14ac:dyDescent="0.2">
      <c r="A1059" s="913"/>
      <c r="B1059" s="666"/>
      <c r="C1059" s="580" t="s">
        <v>1426</v>
      </c>
      <c r="D1059" s="870">
        <v>523</v>
      </c>
      <c r="E1059" s="871" t="s">
        <v>8</v>
      </c>
      <c r="F1059" s="667">
        <v>0</v>
      </c>
      <c r="G1059" s="871">
        <v>527</v>
      </c>
      <c r="H1059" s="871" t="s">
        <v>8</v>
      </c>
      <c r="I1059" s="668">
        <v>0</v>
      </c>
      <c r="J1059" s="691">
        <v>50</v>
      </c>
      <c r="K1059" s="884">
        <f t="shared" si="76"/>
        <v>45</v>
      </c>
      <c r="L1059" s="876">
        <v>1.1499999999999999</v>
      </c>
      <c r="N1059" s="876">
        <f t="shared" si="75"/>
        <v>25.88</v>
      </c>
      <c r="O1059" s="313"/>
      <c r="Q1059" s="315"/>
      <c r="R1059" s="909"/>
      <c r="S1059" s="738">
        <f t="shared" si="72"/>
        <v>19103.990000000002</v>
      </c>
      <c r="T1059" s="738" t="str">
        <f t="shared" si="73"/>
        <v>m³</v>
      </c>
      <c r="U1059" s="738"/>
    </row>
    <row r="1060" spans="1:31" x14ac:dyDescent="0.2">
      <c r="A1060" s="913"/>
      <c r="B1060" s="666"/>
      <c r="C1060" s="580" t="s">
        <v>1426</v>
      </c>
      <c r="D1060" s="870">
        <v>551</v>
      </c>
      <c r="E1060" s="871" t="s">
        <v>8</v>
      </c>
      <c r="F1060" s="667">
        <v>0</v>
      </c>
      <c r="G1060" s="871">
        <v>555</v>
      </c>
      <c r="H1060" s="871" t="s">
        <v>8</v>
      </c>
      <c r="I1060" s="668">
        <v>0</v>
      </c>
      <c r="J1060" s="691">
        <v>50</v>
      </c>
      <c r="K1060" s="884">
        <f t="shared" si="76"/>
        <v>45</v>
      </c>
      <c r="L1060" s="876">
        <v>1.1499999999999999</v>
      </c>
      <c r="N1060" s="876">
        <f t="shared" si="75"/>
        <v>25.88</v>
      </c>
      <c r="O1060" s="313"/>
      <c r="Q1060" s="315"/>
      <c r="R1060" s="909"/>
      <c r="S1060" s="738">
        <f>VLOOKUP("Total",C886:O2607,12,FALSE)</f>
        <v>18821.63</v>
      </c>
      <c r="T1060" s="738" t="str">
        <f>VLOOKUP("Total",C886:O2607,13,FALSE)</f>
        <v>M3</v>
      </c>
      <c r="U1060" s="738"/>
    </row>
    <row r="1061" spans="1:31" x14ac:dyDescent="0.2">
      <c r="A1061" s="913"/>
      <c r="B1061" s="666"/>
      <c r="C1061" s="580" t="s">
        <v>1426</v>
      </c>
      <c r="D1061" s="870">
        <v>555</v>
      </c>
      <c r="E1061" s="871" t="s">
        <v>8</v>
      </c>
      <c r="F1061" s="667">
        <v>0</v>
      </c>
      <c r="G1061" s="871">
        <v>559</v>
      </c>
      <c r="H1061" s="871" t="s">
        <v>8</v>
      </c>
      <c r="I1061" s="668">
        <v>0</v>
      </c>
      <c r="J1061" s="691">
        <v>50</v>
      </c>
      <c r="K1061" s="884">
        <f t="shared" si="76"/>
        <v>45</v>
      </c>
      <c r="L1061" s="876">
        <v>1.1499999999999999</v>
      </c>
      <c r="N1061" s="876">
        <f t="shared" ref="N1061" si="77">TRUNC(J1061/100*K1061*L1061,3)</f>
        <v>25.88</v>
      </c>
      <c r="O1061" s="313"/>
      <c r="Q1061" s="315"/>
      <c r="R1061" s="909"/>
      <c r="S1061" s="738">
        <f>VLOOKUP("Total",C886:O2608,12,FALSE)</f>
        <v>18821.63</v>
      </c>
      <c r="T1061" s="738" t="str">
        <f>VLOOKUP("Total",C886:O2608,13,FALSE)</f>
        <v>M3</v>
      </c>
      <c r="U1061" s="738"/>
    </row>
    <row r="1062" spans="1:31" x14ac:dyDescent="0.2">
      <c r="A1062" s="895"/>
      <c r="B1062" s="346"/>
      <c r="C1062" s="744" t="s">
        <v>1553</v>
      </c>
      <c r="D1062" s="870"/>
      <c r="E1062" s="871"/>
      <c r="F1062" s="872"/>
      <c r="G1062" s="871"/>
      <c r="H1062" s="871"/>
      <c r="I1062" s="871"/>
      <c r="J1062" s="349"/>
      <c r="K1062" s="884"/>
      <c r="L1062" s="876"/>
      <c r="M1062" s="885"/>
      <c r="N1062" s="876"/>
      <c r="O1062" s="351"/>
      <c r="P1062" s="760"/>
      <c r="Q1062" s="879"/>
      <c r="R1062" s="902"/>
      <c r="S1062" s="738">
        <f t="shared" ref="S1062:S1125" si="78">VLOOKUP("Total",C1063:O2750,12,FALSE)</f>
        <v>19103.990000000002</v>
      </c>
      <c r="T1062" s="738" t="str">
        <f t="shared" ref="T1062:T1125" si="79">VLOOKUP("Total",C1063:O2750,13,FALSE)</f>
        <v>m³</v>
      </c>
      <c r="U1062" s="738"/>
      <c r="V1062" s="741"/>
      <c r="W1062" s="742"/>
      <c r="X1062" s="761"/>
      <c r="Y1062" s="761"/>
      <c r="Z1062" s="746"/>
      <c r="AA1062" s="746"/>
    </row>
    <row r="1063" spans="1:31" x14ac:dyDescent="0.2">
      <c r="A1063" s="895"/>
      <c r="B1063" s="346"/>
      <c r="C1063" s="347" t="s">
        <v>1274</v>
      </c>
      <c r="D1063" s="870"/>
      <c r="E1063" s="871"/>
      <c r="F1063" s="872"/>
      <c r="G1063" s="871"/>
      <c r="H1063" s="871"/>
      <c r="I1063" s="871"/>
      <c r="J1063" s="349"/>
      <c r="K1063" s="884"/>
      <c r="L1063" s="876"/>
      <c r="M1063" s="885"/>
      <c r="N1063" s="876"/>
      <c r="O1063" s="351"/>
      <c r="P1063" s="760"/>
      <c r="Q1063" s="879"/>
      <c r="R1063" s="902"/>
      <c r="S1063" s="738">
        <f t="shared" si="78"/>
        <v>19103.990000000002</v>
      </c>
      <c r="T1063" s="738" t="str">
        <f t="shared" si="79"/>
        <v>m³</v>
      </c>
      <c r="U1063" s="738"/>
      <c r="V1063" s="741"/>
      <c r="W1063" s="742"/>
      <c r="X1063" s="761"/>
      <c r="Y1063" s="761"/>
      <c r="Z1063" s="746"/>
      <c r="AA1063" s="746"/>
    </row>
    <row r="1064" spans="1:31" x14ac:dyDescent="0.2">
      <c r="A1064" s="294"/>
      <c r="B1064" s="293"/>
      <c r="C1064" s="290" t="s">
        <v>1065</v>
      </c>
      <c r="D1064" s="290">
        <v>0</v>
      </c>
      <c r="E1064" s="291" t="s">
        <v>8</v>
      </c>
      <c r="F1064" s="675">
        <v>0</v>
      </c>
      <c r="G1064" s="381">
        <v>111</v>
      </c>
      <c r="H1064" s="291" t="s">
        <v>8</v>
      </c>
      <c r="I1064" s="292">
        <v>11.53</v>
      </c>
      <c r="J1064" s="383"/>
      <c r="K1064" s="350">
        <f t="shared" ref="K1064:K1074" si="80">N819</f>
        <v>4284.54</v>
      </c>
      <c r="L1064" s="700">
        <v>1.25</v>
      </c>
      <c r="M1064" s="762">
        <v>100</v>
      </c>
      <c r="N1064" s="876">
        <f>TRUNC(K1064*L1064*M1064/100,3)</f>
        <v>5355.68</v>
      </c>
      <c r="O1064" s="364"/>
      <c r="P1064" s="763"/>
      <c r="Q1064" s="763"/>
      <c r="R1064" s="898"/>
      <c r="S1064" s="738">
        <f t="shared" si="78"/>
        <v>19103.990000000002</v>
      </c>
      <c r="T1064" s="738" t="str">
        <f t="shared" si="79"/>
        <v>m³</v>
      </c>
      <c r="U1064" s="738"/>
      <c r="W1064" s="288"/>
      <c r="X1064" s="288"/>
      <c r="Y1064" s="288"/>
      <c r="Z1064" s="288"/>
      <c r="AA1064" s="288"/>
      <c r="AB1064" s="288">
        <v>13.8</v>
      </c>
      <c r="AC1064" s="288">
        <f>+G1064*20+I1064+D1064*20+F1064</f>
        <v>2231.5300000000002</v>
      </c>
      <c r="AD1064" s="288">
        <f>+AC1064/0.5/1000</f>
        <v>4.4630599999999996</v>
      </c>
      <c r="AE1064" s="288">
        <f>+AD1064+AB1064</f>
        <v>18.263059999999999</v>
      </c>
    </row>
    <row r="1065" spans="1:31" x14ac:dyDescent="0.2">
      <c r="A1065" s="294"/>
      <c r="B1065" s="293"/>
      <c r="C1065" s="290" t="s">
        <v>1570</v>
      </c>
      <c r="D1065" s="290">
        <v>15</v>
      </c>
      <c r="E1065" s="291" t="s">
        <v>8</v>
      </c>
      <c r="F1065" s="675">
        <v>15</v>
      </c>
      <c r="G1065" s="381"/>
      <c r="J1065" s="383" t="s">
        <v>1556</v>
      </c>
      <c r="K1065" s="350">
        <f t="shared" si="80"/>
        <v>19.399999999999999</v>
      </c>
      <c r="L1065" s="700">
        <v>1.25</v>
      </c>
      <c r="M1065" s="762">
        <v>100</v>
      </c>
      <c r="N1065" s="876">
        <f t="shared" ref="N1065:N1074" si="81">TRUNC(K1065*L1065*M1065/100,3)</f>
        <v>24.25</v>
      </c>
      <c r="O1065" s="364"/>
      <c r="P1065" s="763"/>
      <c r="Q1065" s="763"/>
      <c r="R1065" s="898"/>
      <c r="S1065" s="738">
        <f t="shared" si="78"/>
        <v>19103.990000000002</v>
      </c>
      <c r="T1065" s="738" t="str">
        <f t="shared" si="79"/>
        <v>m³</v>
      </c>
      <c r="U1065" s="738"/>
      <c r="W1065" s="288"/>
      <c r="X1065" s="288"/>
      <c r="Y1065" s="288"/>
      <c r="Z1065" s="288"/>
      <c r="AA1065" s="288"/>
      <c r="AB1065" s="288">
        <v>13.8</v>
      </c>
      <c r="AC1065" s="288">
        <f>104*20+1.06-D1065*20-F1065</f>
        <v>1766.06</v>
      </c>
      <c r="AD1065" s="288">
        <f>+AC1065/1000</f>
        <v>1.76606</v>
      </c>
      <c r="AE1065" s="288">
        <f>+AD1065+AB1065</f>
        <v>15.56606</v>
      </c>
    </row>
    <row r="1066" spans="1:31" x14ac:dyDescent="0.2">
      <c r="A1066" s="294"/>
      <c r="B1066" s="293"/>
      <c r="C1066" s="290" t="s">
        <v>1570</v>
      </c>
      <c r="D1066" s="290">
        <v>16</v>
      </c>
      <c r="E1066" s="291" t="s">
        <v>8</v>
      </c>
      <c r="F1066" s="675">
        <v>5</v>
      </c>
      <c r="G1066" s="381"/>
      <c r="J1066" s="383" t="s">
        <v>1564</v>
      </c>
      <c r="K1066" s="350">
        <f t="shared" si="80"/>
        <v>19.399999999999999</v>
      </c>
      <c r="L1066" s="700">
        <v>1.25</v>
      </c>
      <c r="M1066" s="762">
        <v>100</v>
      </c>
      <c r="N1066" s="876">
        <f t="shared" si="81"/>
        <v>24.25</v>
      </c>
      <c r="O1066" s="364"/>
      <c r="P1066" s="763"/>
      <c r="Q1066" s="763"/>
      <c r="R1066" s="898"/>
      <c r="S1066" s="738">
        <f t="shared" si="78"/>
        <v>19103.990000000002</v>
      </c>
      <c r="T1066" s="738" t="str">
        <f t="shared" si="79"/>
        <v>m³</v>
      </c>
      <c r="U1066" s="738"/>
      <c r="W1066" s="288"/>
      <c r="X1066" s="288"/>
      <c r="Y1066" s="288"/>
      <c r="Z1066" s="288"/>
      <c r="AA1066" s="288"/>
      <c r="AB1066" s="288">
        <v>13.8</v>
      </c>
      <c r="AC1066" s="288">
        <f t="shared" ref="AC1066:AC1074" si="82">104*20+1.06-D1066*20-F1066</f>
        <v>1756.06</v>
      </c>
      <c r="AD1066" s="288">
        <f t="shared" ref="AD1066:AD1074" si="83">+AC1066/1000</f>
        <v>1.75606</v>
      </c>
      <c r="AE1066" s="288">
        <f t="shared" ref="AE1066:AE1074" si="84">+AD1066+AB1066</f>
        <v>15.55606</v>
      </c>
    </row>
    <row r="1067" spans="1:31" x14ac:dyDescent="0.2">
      <c r="A1067" s="294"/>
      <c r="B1067" s="293"/>
      <c r="C1067" s="290" t="s">
        <v>1570</v>
      </c>
      <c r="D1067" s="290">
        <v>26</v>
      </c>
      <c r="E1067" s="291" t="s">
        <v>8</v>
      </c>
      <c r="F1067" s="675">
        <v>15</v>
      </c>
      <c r="G1067" s="381"/>
      <c r="J1067" s="383" t="s">
        <v>1556</v>
      </c>
      <c r="K1067" s="350">
        <f t="shared" si="80"/>
        <v>19.399999999999999</v>
      </c>
      <c r="L1067" s="700">
        <v>1.25</v>
      </c>
      <c r="M1067" s="762">
        <v>100</v>
      </c>
      <c r="N1067" s="876">
        <f t="shared" si="81"/>
        <v>24.25</v>
      </c>
      <c r="O1067" s="364"/>
      <c r="P1067" s="763"/>
      <c r="Q1067" s="763"/>
      <c r="R1067" s="898"/>
      <c r="S1067" s="738">
        <f t="shared" si="78"/>
        <v>19103.990000000002</v>
      </c>
      <c r="T1067" s="738" t="str">
        <f t="shared" si="79"/>
        <v>m³</v>
      </c>
      <c r="U1067" s="738"/>
      <c r="W1067" s="288"/>
      <c r="X1067" s="288"/>
      <c r="Y1067" s="288"/>
      <c r="Z1067" s="288"/>
      <c r="AA1067" s="288"/>
      <c r="AB1067" s="288">
        <v>13.8</v>
      </c>
      <c r="AC1067" s="288">
        <f t="shared" si="82"/>
        <v>1546.06</v>
      </c>
      <c r="AD1067" s="288">
        <f t="shared" si="83"/>
        <v>1.54606</v>
      </c>
      <c r="AE1067" s="288">
        <f t="shared" si="84"/>
        <v>15.34606</v>
      </c>
    </row>
    <row r="1068" spans="1:31" x14ac:dyDescent="0.2">
      <c r="A1068" s="294"/>
      <c r="B1068" s="293"/>
      <c r="C1068" s="290" t="s">
        <v>1570</v>
      </c>
      <c r="D1068" s="290">
        <v>29</v>
      </c>
      <c r="E1068" s="291" t="s">
        <v>8</v>
      </c>
      <c r="F1068" s="675">
        <v>5</v>
      </c>
      <c r="G1068" s="381"/>
      <c r="J1068" s="383" t="s">
        <v>1564</v>
      </c>
      <c r="K1068" s="350">
        <f t="shared" si="80"/>
        <v>19.399999999999999</v>
      </c>
      <c r="L1068" s="700">
        <v>1.25</v>
      </c>
      <c r="M1068" s="762">
        <v>100</v>
      </c>
      <c r="N1068" s="876">
        <f t="shared" si="81"/>
        <v>24.25</v>
      </c>
      <c r="O1068" s="364"/>
      <c r="P1068" s="763"/>
      <c r="Q1068" s="763"/>
      <c r="R1068" s="898"/>
      <c r="S1068" s="738">
        <f t="shared" si="78"/>
        <v>19103.990000000002</v>
      </c>
      <c r="T1068" s="738" t="str">
        <f t="shared" si="79"/>
        <v>m³</v>
      </c>
      <c r="U1068" s="738"/>
      <c r="W1068" s="288"/>
      <c r="X1068" s="288"/>
      <c r="Y1068" s="288"/>
      <c r="Z1068" s="288"/>
      <c r="AA1068" s="288"/>
      <c r="AB1068" s="288">
        <v>13.8</v>
      </c>
      <c r="AC1068" s="288">
        <f t="shared" si="82"/>
        <v>1496.06</v>
      </c>
      <c r="AD1068" s="288">
        <f t="shared" si="83"/>
        <v>1.4960599999999999</v>
      </c>
      <c r="AE1068" s="288">
        <f t="shared" si="84"/>
        <v>15.296060000000001</v>
      </c>
    </row>
    <row r="1069" spans="1:31" x14ac:dyDescent="0.2">
      <c r="A1069" s="294"/>
      <c r="B1069" s="293"/>
      <c r="C1069" s="290" t="s">
        <v>1570</v>
      </c>
      <c r="D1069" s="290">
        <v>60</v>
      </c>
      <c r="E1069" s="291" t="s">
        <v>8</v>
      </c>
      <c r="F1069" s="675">
        <v>5</v>
      </c>
      <c r="G1069" s="381"/>
      <c r="J1069" s="383" t="s">
        <v>1556</v>
      </c>
      <c r="K1069" s="350">
        <f t="shared" si="80"/>
        <v>19.399999999999999</v>
      </c>
      <c r="L1069" s="700">
        <v>1.25</v>
      </c>
      <c r="M1069" s="762">
        <v>100</v>
      </c>
      <c r="N1069" s="876">
        <f t="shared" si="81"/>
        <v>24.25</v>
      </c>
      <c r="O1069" s="364"/>
      <c r="P1069" s="763"/>
      <c r="Q1069" s="763"/>
      <c r="R1069" s="898"/>
      <c r="S1069" s="738">
        <f t="shared" si="78"/>
        <v>19103.990000000002</v>
      </c>
      <c r="T1069" s="738" t="str">
        <f t="shared" si="79"/>
        <v>m³</v>
      </c>
      <c r="U1069" s="738"/>
      <c r="W1069" s="288"/>
      <c r="X1069" s="288"/>
      <c r="Y1069" s="288"/>
      <c r="Z1069" s="288"/>
      <c r="AA1069" s="288"/>
      <c r="AB1069" s="288">
        <v>13.8</v>
      </c>
      <c r="AC1069" s="288">
        <f t="shared" si="82"/>
        <v>876.06</v>
      </c>
      <c r="AD1069" s="288">
        <f t="shared" si="83"/>
        <v>0.87605999999999995</v>
      </c>
      <c r="AE1069" s="288">
        <f t="shared" si="84"/>
        <v>14.67606</v>
      </c>
    </row>
    <row r="1070" spans="1:31" x14ac:dyDescent="0.2">
      <c r="A1070" s="294"/>
      <c r="B1070" s="293"/>
      <c r="C1070" s="290" t="s">
        <v>1570</v>
      </c>
      <c r="D1070" s="290">
        <v>60</v>
      </c>
      <c r="E1070" s="291" t="s">
        <v>8</v>
      </c>
      <c r="F1070" s="675">
        <v>15</v>
      </c>
      <c r="G1070" s="381"/>
      <c r="J1070" s="383" t="s">
        <v>1564</v>
      </c>
      <c r="K1070" s="350">
        <f t="shared" si="80"/>
        <v>19.399999999999999</v>
      </c>
      <c r="L1070" s="700">
        <v>1.25</v>
      </c>
      <c r="M1070" s="762">
        <v>100</v>
      </c>
      <c r="N1070" s="876">
        <f t="shared" si="81"/>
        <v>24.25</v>
      </c>
      <c r="O1070" s="364"/>
      <c r="P1070" s="763"/>
      <c r="Q1070" s="763"/>
      <c r="R1070" s="898"/>
      <c r="S1070" s="738">
        <f t="shared" si="78"/>
        <v>19103.990000000002</v>
      </c>
      <c r="T1070" s="738" t="str">
        <f t="shared" si="79"/>
        <v>m³</v>
      </c>
      <c r="U1070" s="738"/>
      <c r="W1070" s="288"/>
      <c r="X1070" s="288"/>
      <c r="Y1070" s="288"/>
      <c r="Z1070" s="288"/>
      <c r="AA1070" s="288"/>
      <c r="AB1070" s="288">
        <v>13.8</v>
      </c>
      <c r="AC1070" s="288">
        <f t="shared" si="82"/>
        <v>866.06</v>
      </c>
      <c r="AD1070" s="288">
        <f t="shared" si="83"/>
        <v>0.86606000000000005</v>
      </c>
      <c r="AE1070" s="288">
        <f t="shared" si="84"/>
        <v>14.66606</v>
      </c>
    </row>
    <row r="1071" spans="1:31" x14ac:dyDescent="0.2">
      <c r="A1071" s="294"/>
      <c r="B1071" s="293"/>
      <c r="C1071" s="290" t="s">
        <v>1570</v>
      </c>
      <c r="D1071" s="290">
        <v>76</v>
      </c>
      <c r="E1071" s="291" t="s">
        <v>8</v>
      </c>
      <c r="F1071" s="675">
        <v>5</v>
      </c>
      <c r="G1071" s="381"/>
      <c r="J1071" s="383" t="s">
        <v>1556</v>
      </c>
      <c r="K1071" s="350">
        <f t="shared" si="80"/>
        <v>19.399999999999999</v>
      </c>
      <c r="L1071" s="700">
        <v>1.25</v>
      </c>
      <c r="M1071" s="762">
        <v>100</v>
      </c>
      <c r="N1071" s="876">
        <f t="shared" si="81"/>
        <v>24.25</v>
      </c>
      <c r="O1071" s="364"/>
      <c r="P1071" s="763"/>
      <c r="Q1071" s="763"/>
      <c r="R1071" s="898"/>
      <c r="S1071" s="738">
        <f t="shared" si="78"/>
        <v>19103.990000000002</v>
      </c>
      <c r="T1071" s="738" t="str">
        <f t="shared" si="79"/>
        <v>m³</v>
      </c>
      <c r="U1071" s="738"/>
      <c r="W1071" s="288"/>
      <c r="X1071" s="288"/>
      <c r="Y1071" s="288"/>
      <c r="Z1071" s="288"/>
      <c r="AA1071" s="288"/>
      <c r="AB1071" s="288">
        <v>13.8</v>
      </c>
      <c r="AC1071" s="288">
        <f t="shared" si="82"/>
        <v>556.05999999999995</v>
      </c>
      <c r="AD1071" s="288">
        <f t="shared" si="83"/>
        <v>0.55606</v>
      </c>
      <c r="AE1071" s="288">
        <f t="shared" si="84"/>
        <v>14.356059999999999</v>
      </c>
    </row>
    <row r="1072" spans="1:31" x14ac:dyDescent="0.2">
      <c r="A1072" s="294"/>
      <c r="B1072" s="293"/>
      <c r="C1072" s="290" t="s">
        <v>1570</v>
      </c>
      <c r="D1072" s="290">
        <v>77</v>
      </c>
      <c r="E1072" s="291" t="s">
        <v>8</v>
      </c>
      <c r="F1072" s="675">
        <v>15</v>
      </c>
      <c r="G1072" s="381"/>
      <c r="J1072" s="383" t="s">
        <v>1564</v>
      </c>
      <c r="K1072" s="350">
        <f t="shared" si="80"/>
        <v>19.399999999999999</v>
      </c>
      <c r="L1072" s="700">
        <v>1.25</v>
      </c>
      <c r="M1072" s="762">
        <v>100</v>
      </c>
      <c r="N1072" s="876">
        <f t="shared" si="81"/>
        <v>24.25</v>
      </c>
      <c r="O1072" s="364"/>
      <c r="P1072" s="763"/>
      <c r="Q1072" s="763"/>
      <c r="R1072" s="898"/>
      <c r="S1072" s="738">
        <f t="shared" si="78"/>
        <v>19103.990000000002</v>
      </c>
      <c r="T1072" s="738" t="str">
        <f t="shared" si="79"/>
        <v>m³</v>
      </c>
      <c r="U1072" s="738"/>
      <c r="W1072" s="288"/>
      <c r="X1072" s="288"/>
      <c r="Y1072" s="288"/>
      <c r="Z1072" s="288"/>
      <c r="AA1072" s="288"/>
      <c r="AB1072" s="288">
        <v>13.8</v>
      </c>
      <c r="AC1072" s="288">
        <f t="shared" si="82"/>
        <v>526.05999999999995</v>
      </c>
      <c r="AD1072" s="288">
        <f t="shared" si="83"/>
        <v>0.52605999999999997</v>
      </c>
      <c r="AE1072" s="288">
        <f t="shared" si="84"/>
        <v>14.32606</v>
      </c>
    </row>
    <row r="1073" spans="1:31" x14ac:dyDescent="0.2">
      <c r="A1073" s="294"/>
      <c r="B1073" s="293"/>
      <c r="C1073" s="290" t="s">
        <v>1570</v>
      </c>
      <c r="D1073" s="290">
        <v>106</v>
      </c>
      <c r="E1073" s="291" t="s">
        <v>8</v>
      </c>
      <c r="F1073" s="675">
        <v>5</v>
      </c>
      <c r="G1073" s="381"/>
      <c r="J1073" s="383" t="s">
        <v>1556</v>
      </c>
      <c r="K1073" s="350">
        <f t="shared" si="80"/>
        <v>19.399999999999999</v>
      </c>
      <c r="L1073" s="700">
        <v>1.25</v>
      </c>
      <c r="M1073" s="762">
        <v>100</v>
      </c>
      <c r="N1073" s="876">
        <f t="shared" si="81"/>
        <v>24.25</v>
      </c>
      <c r="O1073" s="364"/>
      <c r="P1073" s="763"/>
      <c r="Q1073" s="763"/>
      <c r="R1073" s="898"/>
      <c r="S1073" s="738">
        <f t="shared" si="78"/>
        <v>19103.990000000002</v>
      </c>
      <c r="T1073" s="738" t="str">
        <f t="shared" si="79"/>
        <v>m³</v>
      </c>
      <c r="U1073" s="738"/>
      <c r="W1073" s="288"/>
      <c r="X1073" s="288"/>
      <c r="Y1073" s="288"/>
      <c r="Z1073" s="288"/>
      <c r="AA1073" s="288"/>
      <c r="AB1073" s="288">
        <v>13.8</v>
      </c>
      <c r="AC1073" s="288">
        <f t="shared" si="82"/>
        <v>-43.940000000000097</v>
      </c>
      <c r="AD1073" s="288">
        <f t="shared" si="83"/>
        <v>-4.3940000000000097E-2</v>
      </c>
      <c r="AE1073" s="288">
        <f t="shared" si="84"/>
        <v>13.75606</v>
      </c>
    </row>
    <row r="1074" spans="1:31" x14ac:dyDescent="0.2">
      <c r="A1074" s="294"/>
      <c r="B1074" s="293"/>
      <c r="C1074" s="290" t="s">
        <v>1570</v>
      </c>
      <c r="D1074" s="290">
        <v>109</v>
      </c>
      <c r="E1074" s="291" t="s">
        <v>8</v>
      </c>
      <c r="F1074" s="675">
        <v>15</v>
      </c>
      <c r="G1074" s="381"/>
      <c r="J1074" s="383" t="s">
        <v>1564</v>
      </c>
      <c r="K1074" s="350">
        <f t="shared" si="80"/>
        <v>19.399999999999999</v>
      </c>
      <c r="L1074" s="700">
        <v>1.25</v>
      </c>
      <c r="M1074" s="762">
        <v>100</v>
      </c>
      <c r="N1074" s="876">
        <f t="shared" si="81"/>
        <v>24.25</v>
      </c>
      <c r="O1074" s="364"/>
      <c r="P1074" s="763"/>
      <c r="Q1074" s="763"/>
      <c r="R1074" s="898"/>
      <c r="S1074" s="738">
        <f t="shared" si="78"/>
        <v>19103.990000000002</v>
      </c>
      <c r="T1074" s="738" t="str">
        <f t="shared" si="79"/>
        <v>m³</v>
      </c>
      <c r="U1074" s="738"/>
      <c r="W1074" s="288"/>
      <c r="X1074" s="288"/>
      <c r="Y1074" s="288"/>
      <c r="Z1074" s="288"/>
      <c r="AA1074" s="288"/>
      <c r="AB1074" s="288">
        <v>13.8</v>
      </c>
      <c r="AC1074" s="288">
        <f t="shared" si="82"/>
        <v>-113.94</v>
      </c>
      <c r="AD1074" s="288">
        <f t="shared" si="83"/>
        <v>-0.11394</v>
      </c>
      <c r="AE1074" s="288">
        <f t="shared" si="84"/>
        <v>13.686059999999999</v>
      </c>
    </row>
    <row r="1075" spans="1:31" x14ac:dyDescent="0.2">
      <c r="A1075" s="895"/>
      <c r="B1075" s="346"/>
      <c r="C1075" s="347" t="s">
        <v>1433</v>
      </c>
      <c r="D1075" s="870"/>
      <c r="E1075" s="871"/>
      <c r="F1075" s="872"/>
      <c r="G1075" s="871"/>
      <c r="H1075" s="871"/>
      <c r="I1075" s="871"/>
      <c r="J1075" s="349"/>
      <c r="K1075" s="884"/>
      <c r="L1075" s="876"/>
      <c r="M1075" s="885"/>
      <c r="N1075" s="876"/>
      <c r="O1075" s="351"/>
      <c r="P1075" s="760"/>
      <c r="Q1075" s="879"/>
      <c r="R1075" s="902"/>
      <c r="S1075" s="738">
        <f t="shared" si="78"/>
        <v>19103.990000000002</v>
      </c>
      <c r="T1075" s="738" t="str">
        <f t="shared" si="79"/>
        <v>m³</v>
      </c>
      <c r="U1075" s="738"/>
      <c r="V1075" s="741"/>
      <c r="W1075" s="742"/>
      <c r="X1075" s="761"/>
      <c r="Y1075" s="761"/>
      <c r="Z1075" s="746"/>
      <c r="AA1075" s="746"/>
    </row>
    <row r="1076" spans="1:31" x14ac:dyDescent="0.2">
      <c r="A1076" s="294"/>
      <c r="B1076" s="293"/>
      <c r="C1076" s="290" t="s">
        <v>1065</v>
      </c>
      <c r="D1076" s="290">
        <v>0</v>
      </c>
      <c r="E1076" s="291" t="s">
        <v>8</v>
      </c>
      <c r="F1076" s="675">
        <v>0</v>
      </c>
      <c r="G1076" s="381">
        <v>111</v>
      </c>
      <c r="H1076" s="291" t="s">
        <v>8</v>
      </c>
      <c r="I1076" s="292">
        <v>11.53</v>
      </c>
      <c r="J1076" s="383"/>
      <c r="K1076" s="350">
        <f t="shared" ref="K1076:K1086" si="85">N834</f>
        <v>4016.75</v>
      </c>
      <c r="L1076" s="700">
        <v>1.25</v>
      </c>
      <c r="M1076" s="762">
        <v>40</v>
      </c>
      <c r="N1076" s="876">
        <f>TRUNC(M1076/100*K1076*O1076/P1076*L1076,3)</f>
        <v>2146.1999999999998</v>
      </c>
      <c r="O1076" s="364">
        <v>2.1800000000000002</v>
      </c>
      <c r="P1076" s="760">
        <v>2.04</v>
      </c>
      <c r="Q1076" s="763"/>
      <c r="R1076" s="898"/>
      <c r="S1076" s="738">
        <f t="shared" si="78"/>
        <v>19103.990000000002</v>
      </c>
      <c r="T1076" s="738" t="str">
        <f t="shared" si="79"/>
        <v>m³</v>
      </c>
      <c r="U1076" s="738"/>
      <c r="W1076" s="288"/>
      <c r="X1076" s="288"/>
      <c r="Y1076" s="288"/>
      <c r="Z1076" s="288"/>
      <c r="AA1076" s="288"/>
      <c r="AB1076" s="288">
        <v>13.8</v>
      </c>
      <c r="AC1076" s="288">
        <f>+G1076*20+I1076+D1076*20+F1076</f>
        <v>2231.5300000000002</v>
      </c>
      <c r="AD1076" s="288">
        <f>+AC1076/0.5/1000</f>
        <v>4.4630599999999996</v>
      </c>
      <c r="AE1076" s="288">
        <f>+AD1076+AB1076</f>
        <v>18.263059999999999</v>
      </c>
    </row>
    <row r="1077" spans="1:31" x14ac:dyDescent="0.2">
      <c r="A1077" s="294"/>
      <c r="B1077" s="293"/>
      <c r="C1077" s="290" t="s">
        <v>1570</v>
      </c>
      <c r="D1077" s="290">
        <v>15</v>
      </c>
      <c r="E1077" s="291" t="s">
        <v>8</v>
      </c>
      <c r="F1077" s="675">
        <v>15</v>
      </c>
      <c r="G1077" s="381"/>
      <c r="J1077" s="383" t="s">
        <v>1556</v>
      </c>
      <c r="K1077" s="350">
        <f t="shared" si="85"/>
        <v>19.399999999999999</v>
      </c>
      <c r="L1077" s="700">
        <v>1.25</v>
      </c>
      <c r="M1077" s="762">
        <v>40</v>
      </c>
      <c r="N1077" s="876">
        <f t="shared" ref="N1077:N1086" si="86">TRUNC(M1077/100*K1077*O1077/P1077*L1077,3)</f>
        <v>10.37</v>
      </c>
      <c r="O1077" s="364">
        <v>2.1800000000000002</v>
      </c>
      <c r="P1077" s="760">
        <v>2.04</v>
      </c>
      <c r="Q1077" s="763"/>
      <c r="R1077" s="898"/>
      <c r="S1077" s="738">
        <f t="shared" si="78"/>
        <v>19103.990000000002</v>
      </c>
      <c r="T1077" s="738" t="str">
        <f t="shared" si="79"/>
        <v>m³</v>
      </c>
      <c r="U1077" s="738"/>
      <c r="W1077" s="288"/>
      <c r="X1077" s="288"/>
      <c r="Y1077" s="288"/>
      <c r="Z1077" s="288"/>
      <c r="AA1077" s="288"/>
      <c r="AB1077" s="288">
        <v>13.8</v>
      </c>
      <c r="AC1077" s="288">
        <f>104*20+1.06-D1077*20-F1077</f>
        <v>1766.06</v>
      </c>
      <c r="AD1077" s="288">
        <f>+AC1077/1000</f>
        <v>1.76606</v>
      </c>
      <c r="AE1077" s="288">
        <f>+AD1077+AB1077</f>
        <v>15.56606</v>
      </c>
    </row>
    <row r="1078" spans="1:31" x14ac:dyDescent="0.2">
      <c r="A1078" s="294"/>
      <c r="B1078" s="293"/>
      <c r="C1078" s="290" t="s">
        <v>1570</v>
      </c>
      <c r="D1078" s="290">
        <v>16</v>
      </c>
      <c r="E1078" s="291" t="s">
        <v>8</v>
      </c>
      <c r="F1078" s="675">
        <v>5</v>
      </c>
      <c r="G1078" s="381"/>
      <c r="J1078" s="383" t="s">
        <v>1564</v>
      </c>
      <c r="K1078" s="350">
        <f t="shared" si="85"/>
        <v>19.399999999999999</v>
      </c>
      <c r="L1078" s="700">
        <v>1.25</v>
      </c>
      <c r="M1078" s="762">
        <v>40</v>
      </c>
      <c r="N1078" s="876">
        <f t="shared" si="86"/>
        <v>10.37</v>
      </c>
      <c r="O1078" s="364">
        <v>2.1800000000000002</v>
      </c>
      <c r="P1078" s="760">
        <v>2.04</v>
      </c>
      <c r="Q1078" s="763"/>
      <c r="R1078" s="898"/>
      <c r="S1078" s="738">
        <f t="shared" si="78"/>
        <v>19103.990000000002</v>
      </c>
      <c r="T1078" s="738" t="str">
        <f t="shared" si="79"/>
        <v>m³</v>
      </c>
      <c r="U1078" s="738"/>
      <c r="W1078" s="288"/>
      <c r="X1078" s="288"/>
      <c r="Y1078" s="288"/>
      <c r="Z1078" s="288"/>
      <c r="AA1078" s="288"/>
      <c r="AB1078" s="288">
        <v>13.8</v>
      </c>
      <c r="AC1078" s="288">
        <f t="shared" ref="AC1078:AC1086" si="87">104*20+1.06-D1078*20-F1078</f>
        <v>1756.06</v>
      </c>
      <c r="AD1078" s="288">
        <f t="shared" ref="AD1078:AD1086" si="88">+AC1078/1000</f>
        <v>1.75606</v>
      </c>
      <c r="AE1078" s="288">
        <f t="shared" ref="AE1078:AE1086" si="89">+AD1078+AB1078</f>
        <v>15.55606</v>
      </c>
    </row>
    <row r="1079" spans="1:31" x14ac:dyDescent="0.2">
      <c r="A1079" s="294"/>
      <c r="B1079" s="293"/>
      <c r="C1079" s="290" t="s">
        <v>1570</v>
      </c>
      <c r="D1079" s="290">
        <v>26</v>
      </c>
      <c r="E1079" s="291" t="s">
        <v>8</v>
      </c>
      <c r="F1079" s="675">
        <v>15</v>
      </c>
      <c r="G1079" s="381"/>
      <c r="J1079" s="383" t="s">
        <v>1556</v>
      </c>
      <c r="K1079" s="350">
        <f t="shared" si="85"/>
        <v>19.399999999999999</v>
      </c>
      <c r="L1079" s="700">
        <v>1.25</v>
      </c>
      <c r="M1079" s="762">
        <v>40</v>
      </c>
      <c r="N1079" s="876">
        <f t="shared" si="86"/>
        <v>10.37</v>
      </c>
      <c r="O1079" s="364">
        <v>2.1800000000000002</v>
      </c>
      <c r="P1079" s="760">
        <v>2.04</v>
      </c>
      <c r="Q1079" s="763"/>
      <c r="R1079" s="898"/>
      <c r="S1079" s="738">
        <f t="shared" si="78"/>
        <v>19103.990000000002</v>
      </c>
      <c r="T1079" s="738" t="str">
        <f t="shared" si="79"/>
        <v>m³</v>
      </c>
      <c r="U1079" s="738"/>
      <c r="W1079" s="288"/>
      <c r="X1079" s="288"/>
      <c r="Y1079" s="288"/>
      <c r="Z1079" s="288"/>
      <c r="AA1079" s="288"/>
      <c r="AB1079" s="288">
        <v>13.8</v>
      </c>
      <c r="AC1079" s="288">
        <f t="shared" si="87"/>
        <v>1546.06</v>
      </c>
      <c r="AD1079" s="288">
        <f t="shared" si="88"/>
        <v>1.54606</v>
      </c>
      <c r="AE1079" s="288">
        <f t="shared" si="89"/>
        <v>15.34606</v>
      </c>
    </row>
    <row r="1080" spans="1:31" x14ac:dyDescent="0.2">
      <c r="A1080" s="294"/>
      <c r="B1080" s="293"/>
      <c r="C1080" s="290" t="s">
        <v>1570</v>
      </c>
      <c r="D1080" s="290">
        <v>29</v>
      </c>
      <c r="E1080" s="291" t="s">
        <v>8</v>
      </c>
      <c r="F1080" s="675">
        <v>5</v>
      </c>
      <c r="G1080" s="381"/>
      <c r="J1080" s="383" t="s">
        <v>1564</v>
      </c>
      <c r="K1080" s="350">
        <f t="shared" si="85"/>
        <v>19.399999999999999</v>
      </c>
      <c r="L1080" s="700">
        <v>1.25</v>
      </c>
      <c r="M1080" s="762">
        <v>40</v>
      </c>
      <c r="N1080" s="876">
        <f t="shared" si="86"/>
        <v>10.37</v>
      </c>
      <c r="O1080" s="364">
        <v>2.1800000000000002</v>
      </c>
      <c r="P1080" s="760">
        <v>2.04</v>
      </c>
      <c r="Q1080" s="763"/>
      <c r="R1080" s="898"/>
      <c r="S1080" s="738">
        <f t="shared" si="78"/>
        <v>19103.990000000002</v>
      </c>
      <c r="T1080" s="738" t="str">
        <f t="shared" si="79"/>
        <v>m³</v>
      </c>
      <c r="U1080" s="738"/>
      <c r="W1080" s="288"/>
      <c r="X1080" s="288"/>
      <c r="Y1080" s="288"/>
      <c r="Z1080" s="288"/>
      <c r="AA1080" s="288"/>
      <c r="AB1080" s="288">
        <v>13.8</v>
      </c>
      <c r="AC1080" s="288">
        <f t="shared" si="87"/>
        <v>1496.06</v>
      </c>
      <c r="AD1080" s="288">
        <f t="shared" si="88"/>
        <v>1.4960599999999999</v>
      </c>
      <c r="AE1080" s="288">
        <f t="shared" si="89"/>
        <v>15.296060000000001</v>
      </c>
    </row>
    <row r="1081" spans="1:31" x14ac:dyDescent="0.2">
      <c r="A1081" s="294"/>
      <c r="B1081" s="293"/>
      <c r="C1081" s="290" t="s">
        <v>1570</v>
      </c>
      <c r="D1081" s="290">
        <v>60</v>
      </c>
      <c r="E1081" s="291" t="s">
        <v>8</v>
      </c>
      <c r="F1081" s="675">
        <v>5</v>
      </c>
      <c r="G1081" s="381"/>
      <c r="J1081" s="383" t="s">
        <v>1556</v>
      </c>
      <c r="K1081" s="350">
        <f t="shared" si="85"/>
        <v>19.399999999999999</v>
      </c>
      <c r="L1081" s="700">
        <v>1.25</v>
      </c>
      <c r="M1081" s="762">
        <v>40</v>
      </c>
      <c r="N1081" s="876">
        <f t="shared" si="86"/>
        <v>10.37</v>
      </c>
      <c r="O1081" s="364">
        <v>2.1800000000000002</v>
      </c>
      <c r="P1081" s="760">
        <v>2.04</v>
      </c>
      <c r="Q1081" s="763"/>
      <c r="R1081" s="898"/>
      <c r="S1081" s="738">
        <f t="shared" si="78"/>
        <v>19103.990000000002</v>
      </c>
      <c r="T1081" s="738" t="str">
        <f t="shared" si="79"/>
        <v>m³</v>
      </c>
      <c r="U1081" s="738"/>
      <c r="W1081" s="288"/>
      <c r="X1081" s="288"/>
      <c r="Y1081" s="288"/>
      <c r="Z1081" s="288"/>
      <c r="AA1081" s="288"/>
      <c r="AB1081" s="288">
        <v>13.8</v>
      </c>
      <c r="AC1081" s="288">
        <f t="shared" si="87"/>
        <v>876.06</v>
      </c>
      <c r="AD1081" s="288">
        <f t="shared" si="88"/>
        <v>0.87605999999999995</v>
      </c>
      <c r="AE1081" s="288">
        <f t="shared" si="89"/>
        <v>14.67606</v>
      </c>
    </row>
    <row r="1082" spans="1:31" x14ac:dyDescent="0.2">
      <c r="A1082" s="294"/>
      <c r="B1082" s="293"/>
      <c r="C1082" s="290" t="s">
        <v>1570</v>
      </c>
      <c r="D1082" s="290">
        <v>60</v>
      </c>
      <c r="E1082" s="291" t="s">
        <v>8</v>
      </c>
      <c r="F1082" s="675">
        <v>15</v>
      </c>
      <c r="G1082" s="381"/>
      <c r="J1082" s="383" t="s">
        <v>1564</v>
      </c>
      <c r="K1082" s="350">
        <f t="shared" si="85"/>
        <v>19.399999999999999</v>
      </c>
      <c r="L1082" s="700">
        <v>1.25</v>
      </c>
      <c r="M1082" s="762">
        <v>40</v>
      </c>
      <c r="N1082" s="876">
        <f t="shared" si="86"/>
        <v>10.37</v>
      </c>
      <c r="O1082" s="364">
        <v>2.1800000000000002</v>
      </c>
      <c r="P1082" s="760">
        <v>2.04</v>
      </c>
      <c r="Q1082" s="763"/>
      <c r="R1082" s="898"/>
      <c r="S1082" s="738">
        <f t="shared" si="78"/>
        <v>19103.990000000002</v>
      </c>
      <c r="T1082" s="738" t="str">
        <f t="shared" si="79"/>
        <v>m³</v>
      </c>
      <c r="U1082" s="738"/>
      <c r="W1082" s="288"/>
      <c r="X1082" s="288"/>
      <c r="Y1082" s="288"/>
      <c r="Z1082" s="288"/>
      <c r="AA1082" s="288"/>
      <c r="AB1082" s="288">
        <v>13.8</v>
      </c>
      <c r="AC1082" s="288">
        <f t="shared" si="87"/>
        <v>866.06</v>
      </c>
      <c r="AD1082" s="288">
        <f t="shared" si="88"/>
        <v>0.86606000000000005</v>
      </c>
      <c r="AE1082" s="288">
        <f t="shared" si="89"/>
        <v>14.66606</v>
      </c>
    </row>
    <row r="1083" spans="1:31" x14ac:dyDescent="0.2">
      <c r="A1083" s="294"/>
      <c r="B1083" s="293"/>
      <c r="C1083" s="290" t="s">
        <v>1570</v>
      </c>
      <c r="D1083" s="290">
        <v>76</v>
      </c>
      <c r="E1083" s="291" t="s">
        <v>8</v>
      </c>
      <c r="F1083" s="675">
        <v>5</v>
      </c>
      <c r="G1083" s="381"/>
      <c r="J1083" s="383" t="s">
        <v>1556</v>
      </c>
      <c r="K1083" s="350">
        <f t="shared" si="85"/>
        <v>19.399999999999999</v>
      </c>
      <c r="L1083" s="700">
        <v>1.25</v>
      </c>
      <c r="M1083" s="762">
        <v>40</v>
      </c>
      <c r="N1083" s="876">
        <f t="shared" si="86"/>
        <v>10.37</v>
      </c>
      <c r="O1083" s="364">
        <v>2.1800000000000002</v>
      </c>
      <c r="P1083" s="760">
        <v>2.04</v>
      </c>
      <c r="Q1083" s="763"/>
      <c r="R1083" s="898"/>
      <c r="S1083" s="738">
        <f t="shared" si="78"/>
        <v>19103.990000000002</v>
      </c>
      <c r="T1083" s="738" t="str">
        <f t="shared" si="79"/>
        <v>m³</v>
      </c>
      <c r="U1083" s="738"/>
      <c r="W1083" s="288"/>
      <c r="X1083" s="288"/>
      <c r="Y1083" s="288"/>
      <c r="Z1083" s="288"/>
      <c r="AA1083" s="288"/>
      <c r="AB1083" s="288">
        <v>13.8</v>
      </c>
      <c r="AC1083" s="288">
        <f t="shared" si="87"/>
        <v>556.05999999999995</v>
      </c>
      <c r="AD1083" s="288">
        <f t="shared" si="88"/>
        <v>0.55606</v>
      </c>
      <c r="AE1083" s="288">
        <f t="shared" si="89"/>
        <v>14.356059999999999</v>
      </c>
    </row>
    <row r="1084" spans="1:31" x14ac:dyDescent="0.2">
      <c r="A1084" s="294"/>
      <c r="B1084" s="293"/>
      <c r="C1084" s="290" t="s">
        <v>1570</v>
      </c>
      <c r="D1084" s="290">
        <v>77</v>
      </c>
      <c r="E1084" s="291" t="s">
        <v>8</v>
      </c>
      <c r="F1084" s="675">
        <v>15</v>
      </c>
      <c r="G1084" s="381"/>
      <c r="J1084" s="383" t="s">
        <v>1564</v>
      </c>
      <c r="K1084" s="350">
        <f t="shared" si="85"/>
        <v>19.399999999999999</v>
      </c>
      <c r="L1084" s="700">
        <v>1.25</v>
      </c>
      <c r="M1084" s="762">
        <v>40</v>
      </c>
      <c r="N1084" s="876">
        <f t="shared" si="86"/>
        <v>10.37</v>
      </c>
      <c r="O1084" s="364">
        <v>2.1800000000000002</v>
      </c>
      <c r="P1084" s="760">
        <v>2.04</v>
      </c>
      <c r="Q1084" s="763"/>
      <c r="R1084" s="898"/>
      <c r="S1084" s="738">
        <f t="shared" si="78"/>
        <v>19103.990000000002</v>
      </c>
      <c r="T1084" s="738" t="str">
        <f t="shared" si="79"/>
        <v>m³</v>
      </c>
      <c r="U1084" s="738"/>
      <c r="W1084" s="288"/>
      <c r="X1084" s="288"/>
      <c r="Y1084" s="288"/>
      <c r="Z1084" s="288"/>
      <c r="AA1084" s="288"/>
      <c r="AB1084" s="288">
        <v>13.8</v>
      </c>
      <c r="AC1084" s="288">
        <f t="shared" si="87"/>
        <v>526.05999999999995</v>
      </c>
      <c r="AD1084" s="288">
        <f t="shared" si="88"/>
        <v>0.52605999999999997</v>
      </c>
      <c r="AE1084" s="288">
        <f t="shared" si="89"/>
        <v>14.32606</v>
      </c>
    </row>
    <row r="1085" spans="1:31" x14ac:dyDescent="0.2">
      <c r="A1085" s="294"/>
      <c r="B1085" s="293"/>
      <c r="C1085" s="290" t="s">
        <v>1570</v>
      </c>
      <c r="D1085" s="290">
        <v>106</v>
      </c>
      <c r="E1085" s="291" t="s">
        <v>8</v>
      </c>
      <c r="F1085" s="675">
        <v>5</v>
      </c>
      <c r="G1085" s="381"/>
      <c r="J1085" s="383" t="s">
        <v>1556</v>
      </c>
      <c r="K1085" s="350">
        <f t="shared" si="85"/>
        <v>19.399999999999999</v>
      </c>
      <c r="L1085" s="700">
        <v>1.25</v>
      </c>
      <c r="M1085" s="762">
        <v>40</v>
      </c>
      <c r="N1085" s="876">
        <f t="shared" si="86"/>
        <v>10.37</v>
      </c>
      <c r="O1085" s="364">
        <v>2.1800000000000002</v>
      </c>
      <c r="P1085" s="760">
        <v>2.04</v>
      </c>
      <c r="Q1085" s="763"/>
      <c r="R1085" s="898"/>
      <c r="S1085" s="738">
        <f t="shared" si="78"/>
        <v>19103.990000000002</v>
      </c>
      <c r="T1085" s="738" t="str">
        <f t="shared" si="79"/>
        <v>m³</v>
      </c>
      <c r="U1085" s="738"/>
      <c r="W1085" s="288"/>
      <c r="X1085" s="288"/>
      <c r="Y1085" s="288"/>
      <c r="Z1085" s="288"/>
      <c r="AA1085" s="288"/>
      <c r="AB1085" s="288">
        <v>13.8</v>
      </c>
      <c r="AC1085" s="288">
        <f t="shared" si="87"/>
        <v>-43.940000000000097</v>
      </c>
      <c r="AD1085" s="288">
        <f t="shared" si="88"/>
        <v>-4.3940000000000097E-2</v>
      </c>
      <c r="AE1085" s="288">
        <f t="shared" si="89"/>
        <v>13.75606</v>
      </c>
    </row>
    <row r="1086" spans="1:31" x14ac:dyDescent="0.2">
      <c r="A1086" s="294"/>
      <c r="B1086" s="293"/>
      <c r="C1086" s="290" t="s">
        <v>1570</v>
      </c>
      <c r="D1086" s="290">
        <v>109</v>
      </c>
      <c r="E1086" s="291" t="s">
        <v>8</v>
      </c>
      <c r="F1086" s="675">
        <v>15</v>
      </c>
      <c r="G1086" s="381"/>
      <c r="J1086" s="383" t="s">
        <v>1564</v>
      </c>
      <c r="K1086" s="350">
        <f t="shared" si="85"/>
        <v>19.399999999999999</v>
      </c>
      <c r="L1086" s="700">
        <v>1.25</v>
      </c>
      <c r="M1086" s="762">
        <v>40</v>
      </c>
      <c r="N1086" s="876">
        <f t="shared" si="86"/>
        <v>10.37</v>
      </c>
      <c r="O1086" s="364">
        <v>2.1800000000000002</v>
      </c>
      <c r="P1086" s="760">
        <v>2.04</v>
      </c>
      <c r="Q1086" s="763"/>
      <c r="R1086" s="898"/>
      <c r="S1086" s="738">
        <f t="shared" si="78"/>
        <v>19103.990000000002</v>
      </c>
      <c r="T1086" s="738" t="str">
        <f t="shared" si="79"/>
        <v>m³</v>
      </c>
      <c r="U1086" s="738"/>
      <c r="W1086" s="288"/>
      <c r="X1086" s="288"/>
      <c r="Y1086" s="288"/>
      <c r="Z1086" s="288"/>
      <c r="AA1086" s="288"/>
      <c r="AB1086" s="288">
        <v>13.8</v>
      </c>
      <c r="AC1086" s="288">
        <f t="shared" si="87"/>
        <v>-113.94</v>
      </c>
      <c r="AD1086" s="288">
        <f t="shared" si="88"/>
        <v>-0.11394</v>
      </c>
      <c r="AE1086" s="288">
        <f t="shared" si="89"/>
        <v>13.686059999999999</v>
      </c>
    </row>
    <row r="1087" spans="1:31" x14ac:dyDescent="0.2">
      <c r="A1087" s="904"/>
      <c r="B1087" s="366"/>
      <c r="C1087" s="354" t="s">
        <v>2</v>
      </c>
      <c r="D1087" s="367"/>
      <c r="E1087" s="365"/>
      <c r="F1087" s="368"/>
      <c r="G1087" s="367"/>
      <c r="H1087" s="368"/>
      <c r="I1087" s="368"/>
      <c r="J1087" s="366"/>
      <c r="K1087" s="369">
        <f>SUM(K1064:K1086)</f>
        <v>8689.2900000000009</v>
      </c>
      <c r="L1087" s="370">
        <f>+P1087/K1087</f>
        <v>0</v>
      </c>
      <c r="M1087" s="371">
        <f>+Q1087/K1087</f>
        <v>0</v>
      </c>
      <c r="N1087" s="360">
        <f>SUM(N1028:N1086)</f>
        <v>19103.990000000002</v>
      </c>
      <c r="O1087" s="361" t="s">
        <v>69</v>
      </c>
      <c r="P1087" s="747">
        <f>SUM(P1064:P1074)</f>
        <v>0</v>
      </c>
      <c r="Q1087" s="747">
        <f>SUM(Q1064:Q1074)</f>
        <v>0</v>
      </c>
      <c r="R1087" s="905"/>
      <c r="S1087" s="738">
        <f t="shared" si="78"/>
        <v>19103.990000000002</v>
      </c>
      <c r="T1087" s="738" t="str">
        <f t="shared" si="79"/>
        <v>m³</v>
      </c>
      <c r="U1087" s="738"/>
      <c r="W1087" s="288"/>
      <c r="X1087" s="288"/>
      <c r="Y1087" s="288"/>
      <c r="Z1087" s="288"/>
      <c r="AA1087" s="288"/>
    </row>
    <row r="1088" spans="1:31" x14ac:dyDescent="0.2">
      <c r="A1088" s="895" t="s">
        <v>1543</v>
      </c>
      <c r="B1088" s="346">
        <v>42045</v>
      </c>
      <c r="C1088" s="347" t="str">
        <f>IF(MID(B1088,1,2)="LG",VLOOKUP(B1088,'Compos lug'!J:M,3,FALSE),IF(MID(B1088,1,1)="6",VLOOKUP(B1088,tranp.!$A$4:$K$21,11,FALSE)&amp;" -  XP="&amp;TEXT(T1088,"0,000")&amp;" / XR="&amp;TEXT(V1088,"0,000"),VLOOKUP(B1088,'DER 10-18'!$A$1:$I$1994,2,FALSE)))</f>
        <v>Aquisição de solo de jazida comercial (saibreira)</v>
      </c>
      <c r="D1088" s="1059" t="s">
        <v>1000</v>
      </c>
      <c r="E1088" s="1060"/>
      <c r="F1088" s="1061"/>
      <c r="G1088" s="1059" t="s">
        <v>1001</v>
      </c>
      <c r="H1088" s="1060"/>
      <c r="I1088" s="1061"/>
      <c r="J1088" s="349" t="s">
        <v>989</v>
      </c>
      <c r="K1088" s="884" t="s">
        <v>1361</v>
      </c>
      <c r="L1088" s="876" t="s">
        <v>1573</v>
      </c>
      <c r="M1088" s="885" t="s">
        <v>17</v>
      </c>
      <c r="N1088" s="876" t="s">
        <v>1574</v>
      </c>
      <c r="O1088" s="313"/>
      <c r="P1088" s="1062" t="s">
        <v>1002</v>
      </c>
      <c r="Q1088" s="1063"/>
      <c r="R1088" s="909"/>
      <c r="S1088" s="738">
        <f t="shared" si="78"/>
        <v>19103.990000000002</v>
      </c>
      <c r="T1088" s="738" t="str">
        <f t="shared" si="79"/>
        <v>m³</v>
      </c>
      <c r="U1088" s="738"/>
      <c r="V1088" s="741" t="e">
        <f>W1088*Z1088+X1088*AA1088+Y1088</f>
        <v>#N/A</v>
      </c>
      <c r="W1088" s="742" t="e">
        <v>#N/A</v>
      </c>
      <c r="X1088" s="761" t="e">
        <v>#N/A</v>
      </c>
      <c r="Y1088" s="761" t="e">
        <v>#N/A</v>
      </c>
      <c r="Z1088" s="746">
        <f>VLOOKUP("Total",C1090:O1424,10,FALSE)</f>
        <v>0</v>
      </c>
      <c r="AA1088" s="746">
        <f>VLOOKUP("Total",C1090:O1424,11,FALSE)</f>
        <v>0</v>
      </c>
    </row>
    <row r="1089" spans="1:27" x14ac:dyDescent="0.2">
      <c r="A1089" s="895"/>
      <c r="B1089" s="346"/>
      <c r="C1089" s="744" t="s">
        <v>1553</v>
      </c>
      <c r="D1089" s="870"/>
      <c r="E1089" s="871"/>
      <c r="F1089" s="871"/>
      <c r="G1089" s="870"/>
      <c r="H1089" s="871"/>
      <c r="I1089" s="871"/>
      <c r="J1089" s="349"/>
      <c r="K1089" s="884"/>
      <c r="L1089" s="876"/>
      <c r="M1089" s="885"/>
      <c r="N1089" s="876">
        <f>+N1087</f>
        <v>19103.990000000002</v>
      </c>
      <c r="O1089" s="674"/>
      <c r="R1089" s="903"/>
      <c r="S1089" s="738">
        <f t="shared" si="78"/>
        <v>19103.990000000002</v>
      </c>
      <c r="T1089" s="738" t="str">
        <f t="shared" si="79"/>
        <v>m³</v>
      </c>
      <c r="U1089" s="738"/>
      <c r="V1089" s="741"/>
      <c r="W1089" s="742"/>
      <c r="X1089" s="761"/>
      <c r="Y1089" s="761"/>
      <c r="Z1089" s="746"/>
      <c r="AA1089" s="746"/>
    </row>
    <row r="1090" spans="1:27" x14ac:dyDescent="0.2">
      <c r="A1090" s="904"/>
      <c r="B1090" s="366"/>
      <c r="C1090" s="354" t="s">
        <v>2</v>
      </c>
      <c r="D1090" s="367"/>
      <c r="E1090" s="365"/>
      <c r="F1090" s="368"/>
      <c r="G1090" s="367"/>
      <c r="H1090" s="368"/>
      <c r="I1090" s="368"/>
      <c r="J1090" s="366"/>
      <c r="K1090" s="369"/>
      <c r="L1090" s="370"/>
      <c r="M1090" s="371"/>
      <c r="N1090" s="360">
        <f>+N1089</f>
        <v>19103.990000000002</v>
      </c>
      <c r="O1090" s="361" t="s">
        <v>69</v>
      </c>
      <c r="P1090" s="747"/>
      <c r="Q1090" s="747"/>
      <c r="R1090" s="905"/>
      <c r="S1090" s="738">
        <f t="shared" si="78"/>
        <v>22962.18</v>
      </c>
      <c r="T1090" s="738" t="str">
        <f t="shared" si="79"/>
        <v>T</v>
      </c>
      <c r="U1090" s="738"/>
      <c r="W1090" s="288"/>
      <c r="X1090" s="288"/>
      <c r="Y1090" s="288"/>
      <c r="Z1090" s="288"/>
      <c r="AA1090" s="288"/>
    </row>
    <row r="1091" spans="1:27" x14ac:dyDescent="0.2">
      <c r="A1091" s="294"/>
      <c r="B1091" s="293"/>
      <c r="C1091" s="343"/>
      <c r="H1091" s="292"/>
      <c r="N1091" s="314"/>
      <c r="O1091" s="344"/>
      <c r="P1091" s="696"/>
      <c r="Q1091" s="315"/>
      <c r="R1091" s="903"/>
      <c r="S1091" s="738">
        <f t="shared" si="78"/>
        <v>22962.18</v>
      </c>
      <c r="T1091" s="738" t="str">
        <f t="shared" si="79"/>
        <v>T</v>
      </c>
      <c r="U1091" s="738"/>
    </row>
    <row r="1092" spans="1:27" ht="38.25" x14ac:dyDescent="0.2">
      <c r="A1092" s="913" t="s">
        <v>1544</v>
      </c>
      <c r="B1092" s="666">
        <v>60020</v>
      </c>
      <c r="C1092" s="347" t="str">
        <f>IF(MID(B1092,1,2)="LG",VLOOKUP(B1092,'Compos lug'!J:M,3,FALSE),IF(MID(B1092,1,1)="6",VLOOKUP(B1092,tranp.!$A$4:$K$19,11,FALSE)&amp;" -  XP="&amp;TEXT(Z1092*1000,"0.000")&amp;" / XR="&amp;TEXT(AA1092*1000,"0.000"),VLOOKUP(B1092,'DER 10-18'!$A$1:$I$1981,2,FALSE)))&amp;" - "&amp;TEXT(C1094,"0.000")</f>
        <v>LOCAL COM DMT DE 3,1 A 5,0 KM (Caminhão basculante)0,972XP+1,093XR+1,823 -  XP=0.470 / XR=2.960 - Sub-base</v>
      </c>
      <c r="D1092" s="1059" t="s">
        <v>1000</v>
      </c>
      <c r="E1092" s="1060"/>
      <c r="F1092" s="1061"/>
      <c r="G1092" s="1059" t="s">
        <v>1001</v>
      </c>
      <c r="H1092" s="1060"/>
      <c r="I1092" s="1061"/>
      <c r="J1092" s="349"/>
      <c r="K1092" s="884" t="s">
        <v>1361</v>
      </c>
      <c r="L1092" s="876" t="s">
        <v>992</v>
      </c>
      <c r="M1092" s="885" t="s">
        <v>993</v>
      </c>
      <c r="N1092" s="876" t="s">
        <v>1362</v>
      </c>
      <c r="O1092" s="351" t="s">
        <v>1363</v>
      </c>
      <c r="P1092" s="760" t="s">
        <v>1364</v>
      </c>
      <c r="Q1092" s="879" t="s">
        <v>1365</v>
      </c>
      <c r="R1092" s="912"/>
      <c r="S1092" s="738">
        <f t="shared" si="78"/>
        <v>22962.18</v>
      </c>
      <c r="T1092" s="738" t="str">
        <f t="shared" si="79"/>
        <v>T</v>
      </c>
      <c r="U1092" s="738"/>
      <c r="V1092" s="741">
        <f>W1092*Z1092+X1092*AA1092+Y1092</f>
        <v>5.52</v>
      </c>
      <c r="W1092" s="742">
        <f>VLOOKUP(B1092,tranp.!A:J,8,FALSE)</f>
        <v>0.97199999999999998</v>
      </c>
      <c r="X1092" s="742">
        <f>VLOOKUP(B1092,tranp.!A:J,9,FALSE)</f>
        <v>1.093</v>
      </c>
      <c r="Y1092" s="742">
        <f>VLOOKUP(B1092,tranp.!A:J,10,FALSE)</f>
        <v>1.823</v>
      </c>
      <c r="Z1092" s="745">
        <f>VLOOKUP("Total",C1094:O2373,10,FALSE)</f>
        <v>0.47</v>
      </c>
      <c r="AA1092" s="743">
        <f>VLOOKUP("Total",C1095:O2374,11,FALSE)</f>
        <v>2.96</v>
      </c>
    </row>
    <row r="1093" spans="1:27" x14ac:dyDescent="0.2">
      <c r="A1093" s="294"/>
      <c r="B1093" s="293"/>
      <c r="C1093" s="744" t="s">
        <v>1552</v>
      </c>
      <c r="N1093" s="876"/>
      <c r="R1093" s="912"/>
      <c r="S1093" s="738">
        <f t="shared" si="78"/>
        <v>22962.18</v>
      </c>
      <c r="T1093" s="738" t="str">
        <f t="shared" si="79"/>
        <v>T</v>
      </c>
    </row>
    <row r="1094" spans="1:27" x14ac:dyDescent="0.2">
      <c r="A1094" s="913"/>
      <c r="B1094" s="666"/>
      <c r="C1094" s="347" t="s">
        <v>1274</v>
      </c>
      <c r="D1094" s="870"/>
      <c r="E1094" s="871"/>
      <c r="F1094" s="667"/>
      <c r="G1094" s="871"/>
      <c r="H1094" s="871"/>
      <c r="I1094" s="668"/>
      <c r="J1094" s="876"/>
      <c r="K1094" s="876"/>
      <c r="M1094" s="298"/>
      <c r="N1094" s="876"/>
      <c r="P1094" s="697"/>
      <c r="R1094" s="912"/>
      <c r="S1094" s="738">
        <f t="shared" si="78"/>
        <v>22962.18</v>
      </c>
      <c r="T1094" s="738" t="str">
        <f t="shared" si="79"/>
        <v>T</v>
      </c>
      <c r="U1094" s="738" t="s">
        <v>1477</v>
      </c>
      <c r="V1094" s="718"/>
      <c r="W1094" s="710" t="s">
        <v>1494</v>
      </c>
      <c r="X1094" s="710" t="s">
        <v>1495</v>
      </c>
      <c r="Y1094" s="710" t="s">
        <v>1496</v>
      </c>
      <c r="Z1094" s="710" t="s">
        <v>1497</v>
      </c>
      <c r="AA1094" s="710" t="s">
        <v>1498</v>
      </c>
    </row>
    <row r="1095" spans="1:27" x14ac:dyDescent="0.2">
      <c r="A1095" s="913"/>
      <c r="B1095" s="666"/>
      <c r="C1095" s="580" t="s">
        <v>1065</v>
      </c>
      <c r="D1095" s="870">
        <v>0</v>
      </c>
      <c r="E1095" s="871" t="s">
        <v>8</v>
      </c>
      <c r="F1095" s="667">
        <v>0</v>
      </c>
      <c r="G1095" s="871">
        <v>55</v>
      </c>
      <c r="H1095" s="871" t="s">
        <v>8</v>
      </c>
      <c r="I1095" s="668">
        <v>0</v>
      </c>
      <c r="J1095" s="699"/>
      <c r="K1095" s="876">
        <f t="shared" ref="K1095:K1128" si="90">N1028</f>
        <v>1119.53</v>
      </c>
      <c r="L1095" s="876">
        <f>IF(G1095&gt;327,0,0.859)</f>
        <v>0.86</v>
      </c>
      <c r="M1095" s="700">
        <f t="shared" ref="M1095:M1128" si="91">(IF(Z1095&lt;$U$1095,($U$1095*20-(Z1095*20+AA1095))/1000,(Z1095*20+AA1095-$U$1095*20)/1000))-L1095</f>
        <v>6.53</v>
      </c>
      <c r="N1095" s="876">
        <f>K1095*O1095</f>
        <v>2283.84</v>
      </c>
      <c r="O1095" s="295">
        <v>2.04</v>
      </c>
      <c r="P1095" s="697">
        <f>K1095*L1095</f>
        <v>962.8</v>
      </c>
      <c r="Q1095" s="301">
        <f>K1095*M1095</f>
        <v>7310.53</v>
      </c>
      <c r="R1095" s="912"/>
      <c r="S1095" s="738">
        <f t="shared" si="78"/>
        <v>22962.18</v>
      </c>
      <c r="T1095" s="738" t="str">
        <f t="shared" si="79"/>
        <v>T</v>
      </c>
      <c r="U1095" s="738">
        <v>397</v>
      </c>
      <c r="V1095" s="698"/>
      <c r="W1095" s="710">
        <f>(((G1095*20)+I1095)-((D1095*20)+F1095))</f>
        <v>1100</v>
      </c>
      <c r="X1095" s="710">
        <f>W1095/2</f>
        <v>550</v>
      </c>
      <c r="Y1095" s="710">
        <f>(D1095*20)+F1095+X1095</f>
        <v>550</v>
      </c>
      <c r="Z1095" s="716">
        <f>INT(Y1095/20)</f>
        <v>27</v>
      </c>
      <c r="AA1095" s="716">
        <f>((Y1095/20)-Z1095)*20</f>
        <v>10</v>
      </c>
    </row>
    <row r="1096" spans="1:27" x14ac:dyDescent="0.2">
      <c r="A1096" s="913"/>
      <c r="B1096" s="666"/>
      <c r="C1096" s="580" t="s">
        <v>1065</v>
      </c>
      <c r="D1096" s="870">
        <v>70</v>
      </c>
      <c r="E1096" s="871" t="s">
        <v>8</v>
      </c>
      <c r="F1096" s="667">
        <v>0</v>
      </c>
      <c r="G1096" s="871">
        <v>284</v>
      </c>
      <c r="H1096" s="871" t="s">
        <v>8</v>
      </c>
      <c r="I1096" s="668">
        <v>16</v>
      </c>
      <c r="J1096" s="349"/>
      <c r="K1096" s="876">
        <f t="shared" si="90"/>
        <v>4372.25</v>
      </c>
      <c r="L1096" s="876">
        <f t="shared" ref="L1096:L1128" si="92">IF(G1096&gt;327,0,0.859)</f>
        <v>0.86</v>
      </c>
      <c r="M1096" s="700">
        <f t="shared" si="91"/>
        <v>3.532</v>
      </c>
      <c r="N1096" s="876">
        <f t="shared" ref="N1096:N1128" si="93">K1096*O1096</f>
        <v>8919.39</v>
      </c>
      <c r="O1096" s="295">
        <v>2.04</v>
      </c>
      <c r="P1096" s="697">
        <f t="shared" ref="P1096:P1128" si="94">K1096*L1096</f>
        <v>3760.14</v>
      </c>
      <c r="Q1096" s="301">
        <f t="shared" ref="Q1096:Q1128" si="95">K1096*M1096</f>
        <v>15442.79</v>
      </c>
      <c r="R1096" s="912"/>
      <c r="S1096" s="738">
        <f t="shared" si="78"/>
        <v>22962.18</v>
      </c>
      <c r="T1096" s="738" t="str">
        <f t="shared" si="79"/>
        <v>T</v>
      </c>
      <c r="U1096" s="738"/>
      <c r="V1096" s="698"/>
      <c r="W1096" s="710">
        <f t="shared" ref="W1096:W1128" si="96">(((G1096*20)+I1096)-((D1096*20)+F1096))</f>
        <v>4296</v>
      </c>
      <c r="X1096" s="710">
        <f t="shared" ref="X1096:X1128" si="97">W1096/2</f>
        <v>2148</v>
      </c>
      <c r="Y1096" s="710">
        <f t="shared" ref="Y1096:Y1128" si="98">(D1096*20)+F1096+X1096</f>
        <v>3548</v>
      </c>
      <c r="Z1096" s="716">
        <f t="shared" ref="Z1096:Z1128" si="99">INT(Y1096/20)</f>
        <v>177</v>
      </c>
      <c r="AA1096" s="716">
        <f t="shared" ref="AA1096:AA1128" si="100">((Y1096/20)-Z1096)*20</f>
        <v>8.0000000000001101</v>
      </c>
    </row>
    <row r="1097" spans="1:27" x14ac:dyDescent="0.2">
      <c r="A1097" s="913"/>
      <c r="B1097" s="666"/>
      <c r="C1097" s="580" t="s">
        <v>1065</v>
      </c>
      <c r="D1097" s="870">
        <v>327</v>
      </c>
      <c r="E1097" s="871" t="s">
        <v>8</v>
      </c>
      <c r="F1097" s="667">
        <v>15</v>
      </c>
      <c r="G1097" s="871">
        <v>341</v>
      </c>
      <c r="H1097" s="871" t="s">
        <v>8</v>
      </c>
      <c r="I1097" s="668">
        <v>8</v>
      </c>
      <c r="J1097" s="349"/>
      <c r="K1097" s="876">
        <f t="shared" si="90"/>
        <v>277.85000000000002</v>
      </c>
      <c r="L1097" s="876">
        <f t="shared" si="92"/>
        <v>0</v>
      </c>
      <c r="M1097" s="700">
        <f t="shared" si="91"/>
        <v>1.2490000000000001</v>
      </c>
      <c r="N1097" s="876">
        <f t="shared" si="93"/>
        <v>566.80999999999995</v>
      </c>
      <c r="O1097" s="295">
        <v>2.04</v>
      </c>
      <c r="P1097" s="697">
        <f t="shared" si="94"/>
        <v>0</v>
      </c>
      <c r="Q1097" s="301">
        <f t="shared" si="95"/>
        <v>347.03</v>
      </c>
      <c r="R1097" s="912"/>
      <c r="S1097" s="738">
        <f t="shared" si="78"/>
        <v>22962.18</v>
      </c>
      <c r="T1097" s="738" t="str">
        <f t="shared" si="79"/>
        <v>T</v>
      </c>
      <c r="U1097" s="738"/>
      <c r="V1097" s="698"/>
      <c r="W1097" s="710">
        <f t="shared" si="96"/>
        <v>273</v>
      </c>
      <c r="X1097" s="710">
        <f t="shared" si="97"/>
        <v>136.5</v>
      </c>
      <c r="Y1097" s="710">
        <f t="shared" si="98"/>
        <v>6691.5</v>
      </c>
      <c r="Z1097" s="716">
        <f t="shared" si="99"/>
        <v>334</v>
      </c>
      <c r="AA1097" s="716">
        <f t="shared" si="100"/>
        <v>11.499999999999799</v>
      </c>
    </row>
    <row r="1098" spans="1:27" x14ac:dyDescent="0.2">
      <c r="A1098" s="913"/>
      <c r="B1098" s="666"/>
      <c r="C1098" s="580" t="s">
        <v>1065</v>
      </c>
      <c r="D1098" s="870">
        <v>342</v>
      </c>
      <c r="E1098" s="871" t="s">
        <v>8</v>
      </c>
      <c r="F1098" s="667">
        <v>3</v>
      </c>
      <c r="G1098" s="871">
        <v>375</v>
      </c>
      <c r="H1098" s="871" t="s">
        <v>8</v>
      </c>
      <c r="I1098" s="668">
        <v>0</v>
      </c>
      <c r="J1098" s="349"/>
      <c r="K1098" s="876">
        <f t="shared" si="90"/>
        <v>668.66</v>
      </c>
      <c r="L1098" s="876">
        <f t="shared" si="92"/>
        <v>0</v>
      </c>
      <c r="M1098" s="700">
        <f t="shared" si="91"/>
        <v>0.76900000000000002</v>
      </c>
      <c r="N1098" s="876">
        <f t="shared" si="93"/>
        <v>1364.07</v>
      </c>
      <c r="O1098" s="295">
        <v>2.04</v>
      </c>
      <c r="P1098" s="697">
        <f t="shared" si="94"/>
        <v>0</v>
      </c>
      <c r="Q1098" s="301">
        <f t="shared" si="95"/>
        <v>514.20000000000005</v>
      </c>
      <c r="R1098" s="912"/>
      <c r="S1098" s="738">
        <f t="shared" si="78"/>
        <v>22962.18</v>
      </c>
      <c r="T1098" s="738" t="str">
        <f t="shared" si="79"/>
        <v>T</v>
      </c>
      <c r="U1098" s="738"/>
      <c r="V1098" s="698"/>
      <c r="W1098" s="710">
        <f t="shared" si="96"/>
        <v>657</v>
      </c>
      <c r="X1098" s="710">
        <f t="shared" si="97"/>
        <v>328.5</v>
      </c>
      <c r="Y1098" s="710">
        <f t="shared" si="98"/>
        <v>7171.5</v>
      </c>
      <c r="Z1098" s="716">
        <f t="shared" si="99"/>
        <v>358</v>
      </c>
      <c r="AA1098" s="716">
        <f t="shared" si="100"/>
        <v>11.499999999999799</v>
      </c>
    </row>
    <row r="1099" spans="1:27" x14ac:dyDescent="0.2">
      <c r="A1099" s="913"/>
      <c r="B1099" s="666"/>
      <c r="C1099" s="580" t="s">
        <v>1065</v>
      </c>
      <c r="D1099" s="870">
        <v>375</v>
      </c>
      <c r="E1099" s="871" t="s">
        <v>8</v>
      </c>
      <c r="F1099" s="667">
        <v>0</v>
      </c>
      <c r="G1099" s="871">
        <v>382</v>
      </c>
      <c r="H1099" s="871" t="s">
        <v>8</v>
      </c>
      <c r="I1099" s="668">
        <v>0</v>
      </c>
      <c r="J1099" s="349"/>
      <c r="K1099" s="876">
        <f t="shared" si="90"/>
        <v>94.19</v>
      </c>
      <c r="L1099" s="876">
        <f t="shared" si="92"/>
        <v>0</v>
      </c>
      <c r="M1099" s="700">
        <f t="shared" si="91"/>
        <v>0.37</v>
      </c>
      <c r="N1099" s="876">
        <f t="shared" si="93"/>
        <v>192.15</v>
      </c>
      <c r="O1099" s="295">
        <v>2.04</v>
      </c>
      <c r="P1099" s="697">
        <f t="shared" si="94"/>
        <v>0</v>
      </c>
      <c r="Q1099" s="301">
        <f t="shared" si="95"/>
        <v>34.85</v>
      </c>
      <c r="R1099" s="912"/>
      <c r="S1099" s="738">
        <f t="shared" si="78"/>
        <v>22962.18</v>
      </c>
      <c r="T1099" s="738" t="str">
        <f t="shared" si="79"/>
        <v>T</v>
      </c>
      <c r="U1099" s="738"/>
      <c r="V1099" s="698"/>
      <c r="W1099" s="710">
        <f t="shared" si="96"/>
        <v>140</v>
      </c>
      <c r="X1099" s="710">
        <f t="shared" si="97"/>
        <v>70</v>
      </c>
      <c r="Y1099" s="710">
        <f t="shared" si="98"/>
        <v>7570</v>
      </c>
      <c r="Z1099" s="716">
        <f t="shared" si="99"/>
        <v>378</v>
      </c>
      <c r="AA1099" s="716">
        <f t="shared" si="100"/>
        <v>10</v>
      </c>
    </row>
    <row r="1100" spans="1:27" x14ac:dyDescent="0.2">
      <c r="A1100" s="913"/>
      <c r="B1100" s="666"/>
      <c r="C1100" s="580" t="s">
        <v>1065</v>
      </c>
      <c r="D1100" s="870">
        <v>382</v>
      </c>
      <c r="E1100" s="871" t="s">
        <v>8</v>
      </c>
      <c r="F1100" s="667">
        <v>0</v>
      </c>
      <c r="G1100" s="871">
        <v>536</v>
      </c>
      <c r="H1100" s="871" t="s">
        <v>8</v>
      </c>
      <c r="I1100" s="668">
        <v>6</v>
      </c>
      <c r="J1100" s="349"/>
      <c r="K1100" s="876">
        <f t="shared" si="90"/>
        <v>3140.78</v>
      </c>
      <c r="L1100" s="876">
        <f t="shared" si="92"/>
        <v>0</v>
      </c>
      <c r="M1100" s="700">
        <f t="shared" si="91"/>
        <v>1.2430000000000001</v>
      </c>
      <c r="N1100" s="876">
        <f t="shared" si="93"/>
        <v>6407.19</v>
      </c>
      <c r="O1100" s="295">
        <v>2.04</v>
      </c>
      <c r="P1100" s="697">
        <f t="shared" si="94"/>
        <v>0</v>
      </c>
      <c r="Q1100" s="301">
        <f t="shared" si="95"/>
        <v>3903.99</v>
      </c>
      <c r="R1100" s="912"/>
      <c r="S1100" s="738">
        <f t="shared" si="78"/>
        <v>22962.18</v>
      </c>
      <c r="T1100" s="738" t="str">
        <f t="shared" si="79"/>
        <v>T</v>
      </c>
      <c r="U1100" s="738"/>
      <c r="V1100" s="698"/>
      <c r="W1100" s="710">
        <f t="shared" si="96"/>
        <v>3086</v>
      </c>
      <c r="X1100" s="710">
        <f t="shared" si="97"/>
        <v>1543</v>
      </c>
      <c r="Y1100" s="710">
        <f t="shared" si="98"/>
        <v>9183</v>
      </c>
      <c r="Z1100" s="716">
        <f t="shared" si="99"/>
        <v>459</v>
      </c>
      <c r="AA1100" s="716">
        <f t="shared" si="100"/>
        <v>2.9999999999995501</v>
      </c>
    </row>
    <row r="1101" spans="1:27" x14ac:dyDescent="0.2">
      <c r="A1101" s="913"/>
      <c r="B1101" s="666"/>
      <c r="C1101" s="580" t="s">
        <v>1065</v>
      </c>
      <c r="D1101" s="870">
        <v>536</v>
      </c>
      <c r="E1101" s="871" t="s">
        <v>8</v>
      </c>
      <c r="F1101" s="667">
        <v>16</v>
      </c>
      <c r="G1101" s="871">
        <v>561</v>
      </c>
      <c r="H1101" s="871" t="s">
        <v>8</v>
      </c>
      <c r="I1101" s="668">
        <v>12.45</v>
      </c>
      <c r="J1101" s="349"/>
      <c r="K1101" s="876">
        <f t="shared" si="90"/>
        <v>505.26</v>
      </c>
      <c r="L1101" s="876">
        <f t="shared" si="92"/>
        <v>0</v>
      </c>
      <c r="M1101" s="700">
        <f t="shared" si="91"/>
        <v>3.044</v>
      </c>
      <c r="N1101" s="876">
        <f t="shared" si="93"/>
        <v>1030.73</v>
      </c>
      <c r="O1101" s="295">
        <v>2.04</v>
      </c>
      <c r="P1101" s="697">
        <f t="shared" si="94"/>
        <v>0</v>
      </c>
      <c r="Q1101" s="301">
        <f t="shared" si="95"/>
        <v>1538.01</v>
      </c>
      <c r="R1101" s="912"/>
      <c r="S1101" s="738">
        <f t="shared" si="78"/>
        <v>22962.18</v>
      </c>
      <c r="T1101" s="738" t="str">
        <f t="shared" si="79"/>
        <v>T</v>
      </c>
      <c r="U1101" s="738"/>
      <c r="V1101" s="698"/>
      <c r="W1101" s="710">
        <f t="shared" si="96"/>
        <v>496.45000000000101</v>
      </c>
      <c r="X1101" s="710">
        <f t="shared" si="97"/>
        <v>248.22500000000099</v>
      </c>
      <c r="Y1101" s="710">
        <f t="shared" si="98"/>
        <v>10984.225</v>
      </c>
      <c r="Z1101" s="716">
        <f t="shared" si="99"/>
        <v>549</v>
      </c>
      <c r="AA1101" s="716">
        <f t="shared" si="100"/>
        <v>4.2250000000012697</v>
      </c>
    </row>
    <row r="1102" spans="1:27" x14ac:dyDescent="0.2">
      <c r="A1102" s="913"/>
      <c r="B1102" s="666"/>
      <c r="C1102" s="580" t="s">
        <v>1432</v>
      </c>
      <c r="D1102" s="870">
        <v>55</v>
      </c>
      <c r="E1102" s="871" t="s">
        <v>8</v>
      </c>
      <c r="F1102" s="667">
        <v>0</v>
      </c>
      <c r="G1102" s="871">
        <v>70</v>
      </c>
      <c r="H1102" s="871" t="s">
        <v>8</v>
      </c>
      <c r="I1102" s="668">
        <v>0</v>
      </c>
      <c r="J1102" s="349"/>
      <c r="K1102" s="876">
        <f t="shared" si="90"/>
        <v>404.51</v>
      </c>
      <c r="L1102" s="876">
        <f t="shared" si="92"/>
        <v>0.86</v>
      </c>
      <c r="M1102" s="700">
        <f t="shared" si="91"/>
        <v>5.83</v>
      </c>
      <c r="N1102" s="876">
        <f t="shared" si="93"/>
        <v>825.2</v>
      </c>
      <c r="O1102" s="295">
        <v>2.04</v>
      </c>
      <c r="P1102" s="697">
        <f t="shared" si="94"/>
        <v>347.88</v>
      </c>
      <c r="Q1102" s="301">
        <f t="shared" si="95"/>
        <v>2358.29</v>
      </c>
      <c r="R1102" s="912"/>
      <c r="S1102" s="738">
        <f t="shared" si="78"/>
        <v>22962.18</v>
      </c>
      <c r="T1102" s="738" t="str">
        <f t="shared" si="79"/>
        <v>T</v>
      </c>
      <c r="U1102" s="738"/>
      <c r="V1102" s="698"/>
      <c r="W1102" s="710">
        <f t="shared" si="96"/>
        <v>300</v>
      </c>
      <c r="X1102" s="710">
        <f t="shared" si="97"/>
        <v>150</v>
      </c>
      <c r="Y1102" s="710">
        <f t="shared" si="98"/>
        <v>1250</v>
      </c>
      <c r="Z1102" s="716">
        <f t="shared" si="99"/>
        <v>62</v>
      </c>
      <c r="AA1102" s="716">
        <f t="shared" si="100"/>
        <v>10</v>
      </c>
    </row>
    <row r="1103" spans="1:27" x14ac:dyDescent="0.2">
      <c r="A1103" s="913"/>
      <c r="B1103" s="666"/>
      <c r="C1103" s="580" t="s">
        <v>1426</v>
      </c>
      <c r="D1103" s="870">
        <v>36</v>
      </c>
      <c r="E1103" s="871" t="s">
        <v>8</v>
      </c>
      <c r="F1103" s="667">
        <v>0</v>
      </c>
      <c r="G1103" s="871">
        <v>40</v>
      </c>
      <c r="H1103" s="871" t="s">
        <v>8</v>
      </c>
      <c r="I1103" s="668">
        <v>0</v>
      </c>
      <c r="J1103" s="349"/>
      <c r="K1103" s="876">
        <f t="shared" si="90"/>
        <v>25.88</v>
      </c>
      <c r="L1103" s="876">
        <f t="shared" si="92"/>
        <v>0.86</v>
      </c>
      <c r="M1103" s="700">
        <f t="shared" si="91"/>
        <v>6.32</v>
      </c>
      <c r="N1103" s="876">
        <f t="shared" si="93"/>
        <v>52.8</v>
      </c>
      <c r="O1103" s="295">
        <v>2.04</v>
      </c>
      <c r="P1103" s="697">
        <f t="shared" si="94"/>
        <v>22.26</v>
      </c>
      <c r="Q1103" s="301">
        <f t="shared" si="95"/>
        <v>163.56</v>
      </c>
      <c r="R1103" s="912"/>
      <c r="S1103" s="738">
        <f t="shared" si="78"/>
        <v>22962.18</v>
      </c>
      <c r="T1103" s="738" t="str">
        <f t="shared" si="79"/>
        <v>T</v>
      </c>
      <c r="U1103" s="738"/>
      <c r="V1103" s="698"/>
      <c r="W1103" s="710">
        <f t="shared" si="96"/>
        <v>80</v>
      </c>
      <c r="X1103" s="710">
        <f t="shared" si="97"/>
        <v>40</v>
      </c>
      <c r="Y1103" s="710">
        <f t="shared" si="98"/>
        <v>760</v>
      </c>
      <c r="Z1103" s="716">
        <f t="shared" si="99"/>
        <v>38</v>
      </c>
      <c r="AA1103" s="716">
        <f t="shared" si="100"/>
        <v>0</v>
      </c>
    </row>
    <row r="1104" spans="1:27" x14ac:dyDescent="0.2">
      <c r="A1104" s="913"/>
      <c r="B1104" s="666"/>
      <c r="C1104" s="580" t="s">
        <v>1426</v>
      </c>
      <c r="D1104" s="870">
        <v>40</v>
      </c>
      <c r="E1104" s="871" t="s">
        <v>8</v>
      </c>
      <c r="F1104" s="667">
        <v>0</v>
      </c>
      <c r="G1104" s="871">
        <v>44</v>
      </c>
      <c r="H1104" s="871" t="s">
        <v>8</v>
      </c>
      <c r="I1104" s="668">
        <v>0</v>
      </c>
      <c r="J1104" s="349"/>
      <c r="K1104" s="876">
        <f t="shared" si="90"/>
        <v>25.88</v>
      </c>
      <c r="L1104" s="876">
        <f t="shared" si="92"/>
        <v>0.86</v>
      </c>
      <c r="M1104" s="700">
        <f t="shared" si="91"/>
        <v>6.24</v>
      </c>
      <c r="N1104" s="876">
        <f t="shared" si="93"/>
        <v>52.8</v>
      </c>
      <c r="O1104" s="295">
        <v>2.04</v>
      </c>
      <c r="P1104" s="697">
        <f t="shared" si="94"/>
        <v>22.26</v>
      </c>
      <c r="Q1104" s="301">
        <f t="shared" si="95"/>
        <v>161.49</v>
      </c>
      <c r="R1104" s="912"/>
      <c r="S1104" s="738">
        <f t="shared" si="78"/>
        <v>22962.18</v>
      </c>
      <c r="T1104" s="738" t="str">
        <f t="shared" si="79"/>
        <v>T</v>
      </c>
      <c r="U1104" s="738"/>
      <c r="V1104" s="698"/>
      <c r="W1104" s="710">
        <f t="shared" si="96"/>
        <v>80</v>
      </c>
      <c r="X1104" s="710">
        <f t="shared" si="97"/>
        <v>40</v>
      </c>
      <c r="Y1104" s="710">
        <f t="shared" si="98"/>
        <v>840</v>
      </c>
      <c r="Z1104" s="716">
        <f t="shared" si="99"/>
        <v>42</v>
      </c>
      <c r="AA1104" s="716">
        <f t="shared" si="100"/>
        <v>0</v>
      </c>
    </row>
    <row r="1105" spans="1:27" x14ac:dyDescent="0.2">
      <c r="A1105" s="913"/>
      <c r="B1105" s="666"/>
      <c r="C1105" s="580" t="s">
        <v>1426</v>
      </c>
      <c r="D1105" s="870">
        <v>70</v>
      </c>
      <c r="E1105" s="871" t="s">
        <v>8</v>
      </c>
      <c r="F1105" s="667">
        <v>0</v>
      </c>
      <c r="G1105" s="871">
        <v>74</v>
      </c>
      <c r="H1105" s="871" t="s">
        <v>8</v>
      </c>
      <c r="I1105" s="668">
        <v>0</v>
      </c>
      <c r="J1105" s="349"/>
      <c r="K1105" s="876">
        <f t="shared" si="90"/>
        <v>25.88</v>
      </c>
      <c r="L1105" s="876">
        <f t="shared" si="92"/>
        <v>0.86</v>
      </c>
      <c r="M1105" s="700">
        <f t="shared" si="91"/>
        <v>5.64</v>
      </c>
      <c r="N1105" s="876">
        <f t="shared" si="93"/>
        <v>52.8</v>
      </c>
      <c r="O1105" s="295">
        <v>2.04</v>
      </c>
      <c r="P1105" s="697">
        <f t="shared" si="94"/>
        <v>22.26</v>
      </c>
      <c r="Q1105" s="301">
        <f t="shared" si="95"/>
        <v>145.96</v>
      </c>
      <c r="R1105" s="912"/>
      <c r="S1105" s="738">
        <f t="shared" si="78"/>
        <v>22962.18</v>
      </c>
      <c r="T1105" s="738" t="str">
        <f t="shared" si="79"/>
        <v>T</v>
      </c>
      <c r="U1105" s="738"/>
      <c r="V1105" s="698"/>
      <c r="W1105" s="710">
        <f t="shared" si="96"/>
        <v>80</v>
      </c>
      <c r="X1105" s="710">
        <f t="shared" si="97"/>
        <v>40</v>
      </c>
      <c r="Y1105" s="710">
        <f t="shared" si="98"/>
        <v>1440</v>
      </c>
      <c r="Z1105" s="716">
        <f t="shared" si="99"/>
        <v>72</v>
      </c>
      <c r="AA1105" s="716">
        <f t="shared" si="100"/>
        <v>0</v>
      </c>
    </row>
    <row r="1106" spans="1:27" x14ac:dyDescent="0.2">
      <c r="A1106" s="913"/>
      <c r="B1106" s="666"/>
      <c r="C1106" s="580" t="s">
        <v>1426</v>
      </c>
      <c r="D1106" s="870">
        <v>74</v>
      </c>
      <c r="E1106" s="871" t="s">
        <v>8</v>
      </c>
      <c r="F1106" s="667">
        <v>0</v>
      </c>
      <c r="G1106" s="871">
        <v>78</v>
      </c>
      <c r="H1106" s="871" t="s">
        <v>8</v>
      </c>
      <c r="I1106" s="668">
        <v>0</v>
      </c>
      <c r="J1106" s="349"/>
      <c r="K1106" s="876">
        <f t="shared" si="90"/>
        <v>25.88</v>
      </c>
      <c r="L1106" s="876">
        <f t="shared" si="92"/>
        <v>0.86</v>
      </c>
      <c r="M1106" s="700">
        <f t="shared" si="91"/>
        <v>5.56</v>
      </c>
      <c r="N1106" s="876">
        <f t="shared" si="93"/>
        <v>52.8</v>
      </c>
      <c r="O1106" s="295">
        <v>2.04</v>
      </c>
      <c r="P1106" s="697">
        <f t="shared" si="94"/>
        <v>22.26</v>
      </c>
      <c r="Q1106" s="301">
        <f t="shared" si="95"/>
        <v>143.88999999999999</v>
      </c>
      <c r="R1106" s="912"/>
      <c r="S1106" s="738">
        <f t="shared" si="78"/>
        <v>22962.18</v>
      </c>
      <c r="T1106" s="738" t="str">
        <f t="shared" si="79"/>
        <v>T</v>
      </c>
      <c r="U1106" s="738"/>
      <c r="V1106" s="698"/>
      <c r="W1106" s="710">
        <f t="shared" si="96"/>
        <v>80</v>
      </c>
      <c r="X1106" s="710">
        <f t="shared" si="97"/>
        <v>40</v>
      </c>
      <c r="Y1106" s="710">
        <f t="shared" si="98"/>
        <v>1520</v>
      </c>
      <c r="Z1106" s="716">
        <f t="shared" si="99"/>
        <v>76</v>
      </c>
      <c r="AA1106" s="716">
        <f t="shared" si="100"/>
        <v>0</v>
      </c>
    </row>
    <row r="1107" spans="1:27" x14ac:dyDescent="0.2">
      <c r="A1107" s="913"/>
      <c r="B1107" s="666"/>
      <c r="C1107" s="580" t="s">
        <v>1426</v>
      </c>
      <c r="D1107" s="870">
        <v>111</v>
      </c>
      <c r="E1107" s="871" t="s">
        <v>8</v>
      </c>
      <c r="F1107" s="667">
        <v>0</v>
      </c>
      <c r="G1107" s="871">
        <v>115</v>
      </c>
      <c r="H1107" s="871" t="s">
        <v>8</v>
      </c>
      <c r="I1107" s="668">
        <v>0</v>
      </c>
      <c r="J1107" s="349"/>
      <c r="K1107" s="876">
        <f t="shared" si="90"/>
        <v>25.88</v>
      </c>
      <c r="L1107" s="876">
        <f t="shared" si="92"/>
        <v>0.86</v>
      </c>
      <c r="M1107" s="700">
        <f t="shared" si="91"/>
        <v>4.82</v>
      </c>
      <c r="N1107" s="876">
        <f t="shared" si="93"/>
        <v>52.8</v>
      </c>
      <c r="O1107" s="295">
        <v>2.04</v>
      </c>
      <c r="P1107" s="697">
        <f t="shared" si="94"/>
        <v>22.26</v>
      </c>
      <c r="Q1107" s="301">
        <f t="shared" si="95"/>
        <v>124.74</v>
      </c>
      <c r="R1107" s="912"/>
      <c r="S1107" s="738">
        <f t="shared" si="78"/>
        <v>22962.18</v>
      </c>
      <c r="T1107" s="738" t="str">
        <f t="shared" si="79"/>
        <v>T</v>
      </c>
      <c r="U1107" s="738"/>
      <c r="V1107" s="698"/>
      <c r="W1107" s="710">
        <f t="shared" si="96"/>
        <v>80</v>
      </c>
      <c r="X1107" s="710">
        <f t="shared" si="97"/>
        <v>40</v>
      </c>
      <c r="Y1107" s="710">
        <f t="shared" si="98"/>
        <v>2260</v>
      </c>
      <c r="Z1107" s="716">
        <f t="shared" si="99"/>
        <v>113</v>
      </c>
      <c r="AA1107" s="716">
        <f t="shared" si="100"/>
        <v>0</v>
      </c>
    </row>
    <row r="1108" spans="1:27" x14ac:dyDescent="0.2">
      <c r="A1108" s="913"/>
      <c r="B1108" s="666"/>
      <c r="C1108" s="580" t="s">
        <v>1426</v>
      </c>
      <c r="D1108" s="870">
        <v>115</v>
      </c>
      <c r="E1108" s="871" t="s">
        <v>8</v>
      </c>
      <c r="F1108" s="667">
        <v>0</v>
      </c>
      <c r="G1108" s="871">
        <v>119</v>
      </c>
      <c r="H1108" s="871" t="s">
        <v>8</v>
      </c>
      <c r="I1108" s="668">
        <v>0</v>
      </c>
      <c r="J1108" s="349"/>
      <c r="K1108" s="876">
        <f t="shared" si="90"/>
        <v>25.88</v>
      </c>
      <c r="L1108" s="876">
        <f t="shared" si="92"/>
        <v>0.86</v>
      </c>
      <c r="M1108" s="700">
        <f t="shared" si="91"/>
        <v>4.74</v>
      </c>
      <c r="N1108" s="876">
        <f t="shared" si="93"/>
        <v>52.8</v>
      </c>
      <c r="O1108" s="295">
        <v>2.04</v>
      </c>
      <c r="P1108" s="697">
        <f t="shared" si="94"/>
        <v>22.26</v>
      </c>
      <c r="Q1108" s="301">
        <f t="shared" si="95"/>
        <v>122.67</v>
      </c>
      <c r="R1108" s="912"/>
      <c r="S1108" s="738">
        <f t="shared" si="78"/>
        <v>22962.18</v>
      </c>
      <c r="T1108" s="738" t="str">
        <f t="shared" si="79"/>
        <v>T</v>
      </c>
      <c r="U1108" s="738"/>
      <c r="V1108" s="698"/>
      <c r="W1108" s="710">
        <f t="shared" si="96"/>
        <v>80</v>
      </c>
      <c r="X1108" s="710">
        <f t="shared" si="97"/>
        <v>40</v>
      </c>
      <c r="Y1108" s="710">
        <f t="shared" si="98"/>
        <v>2340</v>
      </c>
      <c r="Z1108" s="716">
        <f t="shared" si="99"/>
        <v>117</v>
      </c>
      <c r="AA1108" s="716">
        <f t="shared" si="100"/>
        <v>0</v>
      </c>
    </row>
    <row r="1109" spans="1:27" x14ac:dyDescent="0.2">
      <c r="A1109" s="913"/>
      <c r="B1109" s="666"/>
      <c r="C1109" s="580" t="s">
        <v>1426</v>
      </c>
      <c r="D1109" s="870">
        <v>144</v>
      </c>
      <c r="E1109" s="871" t="s">
        <v>8</v>
      </c>
      <c r="F1109" s="667">
        <v>0</v>
      </c>
      <c r="G1109" s="871">
        <v>148</v>
      </c>
      <c r="H1109" s="871" t="s">
        <v>8</v>
      </c>
      <c r="I1109" s="668">
        <v>0</v>
      </c>
      <c r="J1109" s="349"/>
      <c r="K1109" s="876">
        <f t="shared" si="90"/>
        <v>25.88</v>
      </c>
      <c r="L1109" s="876">
        <f t="shared" si="92"/>
        <v>0.86</v>
      </c>
      <c r="M1109" s="700">
        <f t="shared" si="91"/>
        <v>4.16</v>
      </c>
      <c r="N1109" s="876">
        <f t="shared" si="93"/>
        <v>52.8</v>
      </c>
      <c r="O1109" s="295">
        <v>2.04</v>
      </c>
      <c r="P1109" s="697">
        <f t="shared" si="94"/>
        <v>22.26</v>
      </c>
      <c r="Q1109" s="301">
        <f t="shared" si="95"/>
        <v>107.66</v>
      </c>
      <c r="R1109" s="912"/>
      <c r="S1109" s="738">
        <f t="shared" si="78"/>
        <v>22962.18</v>
      </c>
      <c r="T1109" s="738" t="str">
        <f t="shared" si="79"/>
        <v>T</v>
      </c>
      <c r="U1109" s="738"/>
      <c r="V1109" s="698"/>
      <c r="W1109" s="710">
        <f t="shared" si="96"/>
        <v>80</v>
      </c>
      <c r="X1109" s="710">
        <f t="shared" si="97"/>
        <v>40</v>
      </c>
      <c r="Y1109" s="710">
        <f t="shared" si="98"/>
        <v>2920</v>
      </c>
      <c r="Z1109" s="716">
        <f t="shared" si="99"/>
        <v>146</v>
      </c>
      <c r="AA1109" s="716">
        <f t="shared" si="100"/>
        <v>0</v>
      </c>
    </row>
    <row r="1110" spans="1:27" x14ac:dyDescent="0.2">
      <c r="A1110" s="913"/>
      <c r="B1110" s="666"/>
      <c r="C1110" s="580" t="s">
        <v>1426</v>
      </c>
      <c r="D1110" s="870">
        <v>148</v>
      </c>
      <c r="E1110" s="871" t="s">
        <v>8</v>
      </c>
      <c r="F1110" s="667">
        <v>0</v>
      </c>
      <c r="G1110" s="871">
        <v>152</v>
      </c>
      <c r="H1110" s="871" t="s">
        <v>8</v>
      </c>
      <c r="I1110" s="668">
        <v>0</v>
      </c>
      <c r="J1110" s="349"/>
      <c r="K1110" s="876">
        <f t="shared" si="90"/>
        <v>25.88</v>
      </c>
      <c r="L1110" s="876">
        <f t="shared" si="92"/>
        <v>0.86</v>
      </c>
      <c r="M1110" s="700">
        <f t="shared" si="91"/>
        <v>4.08</v>
      </c>
      <c r="N1110" s="876">
        <f t="shared" si="93"/>
        <v>52.8</v>
      </c>
      <c r="O1110" s="295">
        <v>2.04</v>
      </c>
      <c r="P1110" s="697">
        <f t="shared" si="94"/>
        <v>22.26</v>
      </c>
      <c r="Q1110" s="301">
        <f t="shared" si="95"/>
        <v>105.59</v>
      </c>
      <c r="R1110" s="912"/>
      <c r="S1110" s="738">
        <f t="shared" si="78"/>
        <v>22962.18</v>
      </c>
      <c r="T1110" s="738" t="str">
        <f t="shared" si="79"/>
        <v>T</v>
      </c>
      <c r="U1110" s="738"/>
      <c r="V1110" s="698"/>
      <c r="W1110" s="710">
        <f t="shared" si="96"/>
        <v>80</v>
      </c>
      <c r="X1110" s="710">
        <f t="shared" si="97"/>
        <v>40</v>
      </c>
      <c r="Y1110" s="710">
        <f t="shared" si="98"/>
        <v>3000</v>
      </c>
      <c r="Z1110" s="716">
        <f t="shared" si="99"/>
        <v>150</v>
      </c>
      <c r="AA1110" s="716">
        <f t="shared" si="100"/>
        <v>0</v>
      </c>
    </row>
    <row r="1111" spans="1:27" x14ac:dyDescent="0.2">
      <c r="A1111" s="913"/>
      <c r="B1111" s="666"/>
      <c r="C1111" s="580" t="s">
        <v>1426</v>
      </c>
      <c r="D1111" s="870">
        <v>201</v>
      </c>
      <c r="E1111" s="871" t="s">
        <v>8</v>
      </c>
      <c r="F1111" s="667">
        <v>0</v>
      </c>
      <c r="G1111" s="871">
        <v>205</v>
      </c>
      <c r="H1111" s="871" t="s">
        <v>8</v>
      </c>
      <c r="I1111" s="668">
        <v>0</v>
      </c>
      <c r="J1111" s="349"/>
      <c r="K1111" s="876">
        <f t="shared" si="90"/>
        <v>25.88</v>
      </c>
      <c r="L1111" s="876">
        <f t="shared" si="92"/>
        <v>0.86</v>
      </c>
      <c r="M1111" s="700">
        <f t="shared" si="91"/>
        <v>3.02</v>
      </c>
      <c r="N1111" s="876">
        <f t="shared" si="93"/>
        <v>52.8</v>
      </c>
      <c r="O1111" s="295">
        <v>2.04</v>
      </c>
      <c r="P1111" s="697">
        <f t="shared" si="94"/>
        <v>22.26</v>
      </c>
      <c r="Q1111" s="301">
        <f t="shared" si="95"/>
        <v>78.16</v>
      </c>
      <c r="R1111" s="912"/>
      <c r="S1111" s="738">
        <f t="shared" si="78"/>
        <v>22962.18</v>
      </c>
      <c r="T1111" s="738" t="str">
        <f t="shared" si="79"/>
        <v>T</v>
      </c>
      <c r="U1111" s="738"/>
      <c r="V1111" s="698"/>
      <c r="W1111" s="710">
        <f t="shared" si="96"/>
        <v>80</v>
      </c>
      <c r="X1111" s="710">
        <f t="shared" si="97"/>
        <v>40</v>
      </c>
      <c r="Y1111" s="710">
        <f t="shared" si="98"/>
        <v>4060</v>
      </c>
      <c r="Z1111" s="716">
        <f t="shared" si="99"/>
        <v>203</v>
      </c>
      <c r="AA1111" s="716">
        <f t="shared" si="100"/>
        <v>0</v>
      </c>
    </row>
    <row r="1112" spans="1:27" x14ac:dyDescent="0.2">
      <c r="A1112" s="913"/>
      <c r="B1112" s="666"/>
      <c r="C1112" s="580" t="s">
        <v>1426</v>
      </c>
      <c r="D1112" s="870">
        <v>205</v>
      </c>
      <c r="E1112" s="871" t="s">
        <v>8</v>
      </c>
      <c r="F1112" s="667">
        <v>0</v>
      </c>
      <c r="G1112" s="871">
        <v>209</v>
      </c>
      <c r="H1112" s="871" t="s">
        <v>8</v>
      </c>
      <c r="I1112" s="668">
        <v>0</v>
      </c>
      <c r="J1112" s="349"/>
      <c r="K1112" s="876">
        <f t="shared" si="90"/>
        <v>25.88</v>
      </c>
      <c r="L1112" s="876">
        <f t="shared" si="92"/>
        <v>0.86</v>
      </c>
      <c r="M1112" s="700">
        <f t="shared" si="91"/>
        <v>2.94</v>
      </c>
      <c r="N1112" s="876">
        <f t="shared" si="93"/>
        <v>52.8</v>
      </c>
      <c r="O1112" s="295">
        <v>2.04</v>
      </c>
      <c r="P1112" s="697">
        <f t="shared" si="94"/>
        <v>22.26</v>
      </c>
      <c r="Q1112" s="301">
        <f t="shared" si="95"/>
        <v>76.09</v>
      </c>
      <c r="R1112" s="912"/>
      <c r="S1112" s="738">
        <f t="shared" si="78"/>
        <v>22962.18</v>
      </c>
      <c r="T1112" s="738" t="str">
        <f t="shared" si="79"/>
        <v>T</v>
      </c>
      <c r="U1112" s="738"/>
      <c r="V1112" s="698"/>
      <c r="W1112" s="710">
        <f t="shared" si="96"/>
        <v>80</v>
      </c>
      <c r="X1112" s="710">
        <f t="shared" si="97"/>
        <v>40</v>
      </c>
      <c r="Y1112" s="710">
        <f t="shared" si="98"/>
        <v>4140</v>
      </c>
      <c r="Z1112" s="716">
        <f t="shared" si="99"/>
        <v>207</v>
      </c>
      <c r="AA1112" s="716">
        <f t="shared" si="100"/>
        <v>0</v>
      </c>
    </row>
    <row r="1113" spans="1:27" x14ac:dyDescent="0.2">
      <c r="A1113" s="913"/>
      <c r="B1113" s="666"/>
      <c r="C1113" s="580" t="s">
        <v>1426</v>
      </c>
      <c r="D1113" s="870">
        <v>253</v>
      </c>
      <c r="E1113" s="871" t="s">
        <v>8</v>
      </c>
      <c r="F1113" s="667">
        <v>0</v>
      </c>
      <c r="G1113" s="871">
        <v>257</v>
      </c>
      <c r="H1113" s="871" t="s">
        <v>8</v>
      </c>
      <c r="I1113" s="668">
        <v>0</v>
      </c>
      <c r="J1113" s="349"/>
      <c r="K1113" s="876">
        <f t="shared" si="90"/>
        <v>25.88</v>
      </c>
      <c r="L1113" s="876">
        <f t="shared" si="92"/>
        <v>0.86</v>
      </c>
      <c r="M1113" s="700">
        <f t="shared" si="91"/>
        <v>1.98</v>
      </c>
      <c r="N1113" s="876">
        <f t="shared" si="93"/>
        <v>52.8</v>
      </c>
      <c r="O1113" s="295">
        <v>2.04</v>
      </c>
      <c r="P1113" s="697">
        <f t="shared" si="94"/>
        <v>22.26</v>
      </c>
      <c r="Q1113" s="301">
        <f t="shared" si="95"/>
        <v>51.24</v>
      </c>
      <c r="R1113" s="912"/>
      <c r="S1113" s="738">
        <f t="shared" si="78"/>
        <v>22962.18</v>
      </c>
      <c r="T1113" s="738" t="str">
        <f t="shared" si="79"/>
        <v>T</v>
      </c>
      <c r="U1113" s="738"/>
      <c r="V1113" s="698"/>
      <c r="W1113" s="710">
        <f t="shared" si="96"/>
        <v>80</v>
      </c>
      <c r="X1113" s="710">
        <f t="shared" si="97"/>
        <v>40</v>
      </c>
      <c r="Y1113" s="710">
        <f t="shared" si="98"/>
        <v>5100</v>
      </c>
      <c r="Z1113" s="716">
        <f t="shared" si="99"/>
        <v>255</v>
      </c>
      <c r="AA1113" s="716">
        <f t="shared" si="100"/>
        <v>0</v>
      </c>
    </row>
    <row r="1114" spans="1:27" x14ac:dyDescent="0.2">
      <c r="A1114" s="913"/>
      <c r="B1114" s="666"/>
      <c r="C1114" s="580" t="s">
        <v>1426</v>
      </c>
      <c r="D1114" s="870">
        <v>257</v>
      </c>
      <c r="E1114" s="871" t="s">
        <v>8</v>
      </c>
      <c r="F1114" s="667">
        <v>0</v>
      </c>
      <c r="G1114" s="871">
        <v>261</v>
      </c>
      <c r="H1114" s="871" t="s">
        <v>8</v>
      </c>
      <c r="I1114" s="668">
        <v>0</v>
      </c>
      <c r="J1114" s="349"/>
      <c r="K1114" s="876">
        <f t="shared" si="90"/>
        <v>25.88</v>
      </c>
      <c r="L1114" s="876">
        <f t="shared" si="92"/>
        <v>0.86</v>
      </c>
      <c r="M1114" s="700">
        <f t="shared" si="91"/>
        <v>1.9</v>
      </c>
      <c r="N1114" s="876">
        <f t="shared" si="93"/>
        <v>52.8</v>
      </c>
      <c r="O1114" s="295">
        <v>2.04</v>
      </c>
      <c r="P1114" s="697">
        <f t="shared" si="94"/>
        <v>22.26</v>
      </c>
      <c r="Q1114" s="301">
        <f t="shared" si="95"/>
        <v>49.17</v>
      </c>
      <c r="R1114" s="912"/>
      <c r="S1114" s="738">
        <f t="shared" si="78"/>
        <v>22962.18</v>
      </c>
      <c r="T1114" s="738" t="str">
        <f t="shared" si="79"/>
        <v>T</v>
      </c>
      <c r="U1114" s="738"/>
      <c r="V1114" s="698"/>
      <c r="W1114" s="710">
        <f t="shared" si="96"/>
        <v>80</v>
      </c>
      <c r="X1114" s="710">
        <f t="shared" si="97"/>
        <v>40</v>
      </c>
      <c r="Y1114" s="710">
        <f t="shared" si="98"/>
        <v>5180</v>
      </c>
      <c r="Z1114" s="716">
        <f t="shared" si="99"/>
        <v>259</v>
      </c>
      <c r="AA1114" s="716">
        <f t="shared" si="100"/>
        <v>0</v>
      </c>
    </row>
    <row r="1115" spans="1:27" x14ac:dyDescent="0.2">
      <c r="A1115" s="913"/>
      <c r="B1115" s="666"/>
      <c r="C1115" s="580" t="s">
        <v>1426</v>
      </c>
      <c r="D1115" s="870">
        <v>350</v>
      </c>
      <c r="E1115" s="871" t="s">
        <v>8</v>
      </c>
      <c r="F1115" s="667">
        <v>0</v>
      </c>
      <c r="G1115" s="871">
        <v>354</v>
      </c>
      <c r="H1115" s="871" t="s">
        <v>8</v>
      </c>
      <c r="I1115" s="668">
        <v>0</v>
      </c>
      <c r="J1115" s="349"/>
      <c r="K1115" s="876">
        <f t="shared" si="90"/>
        <v>25.88</v>
      </c>
      <c r="L1115" s="876">
        <f t="shared" si="92"/>
        <v>0</v>
      </c>
      <c r="M1115" s="700">
        <f t="shared" si="91"/>
        <v>0.9</v>
      </c>
      <c r="N1115" s="876">
        <f t="shared" si="93"/>
        <v>52.8</v>
      </c>
      <c r="O1115" s="295">
        <v>2.04</v>
      </c>
      <c r="P1115" s="697">
        <f t="shared" si="94"/>
        <v>0</v>
      </c>
      <c r="Q1115" s="301">
        <f t="shared" si="95"/>
        <v>23.29</v>
      </c>
      <c r="R1115" s="912"/>
      <c r="S1115" s="738">
        <f t="shared" si="78"/>
        <v>22962.18</v>
      </c>
      <c r="T1115" s="738" t="str">
        <f t="shared" si="79"/>
        <v>T</v>
      </c>
      <c r="U1115" s="738"/>
      <c r="V1115" s="698"/>
      <c r="W1115" s="710">
        <f t="shared" si="96"/>
        <v>80</v>
      </c>
      <c r="X1115" s="710">
        <f t="shared" si="97"/>
        <v>40</v>
      </c>
      <c r="Y1115" s="710">
        <f t="shared" si="98"/>
        <v>7040</v>
      </c>
      <c r="Z1115" s="716">
        <f t="shared" si="99"/>
        <v>352</v>
      </c>
      <c r="AA1115" s="716">
        <f t="shared" si="100"/>
        <v>0</v>
      </c>
    </row>
    <row r="1116" spans="1:27" x14ac:dyDescent="0.2">
      <c r="A1116" s="913"/>
      <c r="B1116" s="666"/>
      <c r="C1116" s="580" t="s">
        <v>1426</v>
      </c>
      <c r="D1116" s="870">
        <v>354</v>
      </c>
      <c r="E1116" s="871" t="s">
        <v>8</v>
      </c>
      <c r="F1116" s="667">
        <v>0</v>
      </c>
      <c r="G1116" s="871">
        <v>358</v>
      </c>
      <c r="H1116" s="871" t="s">
        <v>8</v>
      </c>
      <c r="I1116" s="668">
        <v>0</v>
      </c>
      <c r="J1116" s="349"/>
      <c r="K1116" s="876">
        <f t="shared" si="90"/>
        <v>25.88</v>
      </c>
      <c r="L1116" s="876">
        <f t="shared" si="92"/>
        <v>0</v>
      </c>
      <c r="M1116" s="700">
        <f t="shared" si="91"/>
        <v>0.82</v>
      </c>
      <c r="N1116" s="876">
        <f t="shared" si="93"/>
        <v>52.8</v>
      </c>
      <c r="O1116" s="295">
        <v>2.04</v>
      </c>
      <c r="P1116" s="697">
        <f t="shared" si="94"/>
        <v>0</v>
      </c>
      <c r="Q1116" s="301">
        <f t="shared" si="95"/>
        <v>21.22</v>
      </c>
      <c r="R1116" s="912"/>
      <c r="S1116" s="738">
        <f t="shared" si="78"/>
        <v>22962.18</v>
      </c>
      <c r="T1116" s="738" t="str">
        <f t="shared" si="79"/>
        <v>T</v>
      </c>
      <c r="U1116" s="738"/>
      <c r="V1116" s="698"/>
      <c r="W1116" s="710">
        <f t="shared" si="96"/>
        <v>80</v>
      </c>
      <c r="X1116" s="710">
        <f t="shared" si="97"/>
        <v>40</v>
      </c>
      <c r="Y1116" s="710">
        <f t="shared" si="98"/>
        <v>7120</v>
      </c>
      <c r="Z1116" s="716">
        <f t="shared" si="99"/>
        <v>356</v>
      </c>
      <c r="AA1116" s="716">
        <f t="shared" si="100"/>
        <v>0</v>
      </c>
    </row>
    <row r="1117" spans="1:27" x14ac:dyDescent="0.2">
      <c r="A1117" s="913"/>
      <c r="B1117" s="666"/>
      <c r="C1117" s="580" t="s">
        <v>1426</v>
      </c>
      <c r="D1117" s="870">
        <v>391</v>
      </c>
      <c r="E1117" s="871" t="s">
        <v>8</v>
      </c>
      <c r="F1117" s="667">
        <v>0</v>
      </c>
      <c r="G1117" s="871">
        <v>395</v>
      </c>
      <c r="H1117" s="871" t="s">
        <v>8</v>
      </c>
      <c r="I1117" s="668">
        <v>0</v>
      </c>
      <c r="J1117" s="349"/>
      <c r="K1117" s="876">
        <f t="shared" si="90"/>
        <v>25.88</v>
      </c>
      <c r="L1117" s="876">
        <f t="shared" si="92"/>
        <v>0</v>
      </c>
      <c r="M1117" s="700">
        <f t="shared" si="91"/>
        <v>0.08</v>
      </c>
      <c r="N1117" s="876">
        <f t="shared" si="93"/>
        <v>52.8</v>
      </c>
      <c r="O1117" s="295">
        <v>2.04</v>
      </c>
      <c r="P1117" s="697">
        <f t="shared" si="94"/>
        <v>0</v>
      </c>
      <c r="Q1117" s="301">
        <f t="shared" si="95"/>
        <v>2.0699999999999998</v>
      </c>
      <c r="R1117" s="912"/>
      <c r="S1117" s="738">
        <f t="shared" si="78"/>
        <v>22962.18</v>
      </c>
      <c r="T1117" s="738" t="str">
        <f t="shared" si="79"/>
        <v>T</v>
      </c>
      <c r="U1117" s="738"/>
      <c r="V1117" s="698"/>
      <c r="W1117" s="710">
        <f t="shared" si="96"/>
        <v>80</v>
      </c>
      <c r="X1117" s="710">
        <f t="shared" si="97"/>
        <v>40</v>
      </c>
      <c r="Y1117" s="710">
        <f t="shared" si="98"/>
        <v>7860</v>
      </c>
      <c r="Z1117" s="716">
        <f t="shared" si="99"/>
        <v>393</v>
      </c>
      <c r="AA1117" s="716">
        <f t="shared" si="100"/>
        <v>0</v>
      </c>
    </row>
    <row r="1118" spans="1:27" x14ac:dyDescent="0.2">
      <c r="A1118" s="913"/>
      <c r="B1118" s="666"/>
      <c r="C1118" s="580" t="s">
        <v>1426</v>
      </c>
      <c r="D1118" s="870">
        <v>398</v>
      </c>
      <c r="E1118" s="871" t="s">
        <v>8</v>
      </c>
      <c r="F1118" s="667">
        <v>0</v>
      </c>
      <c r="G1118" s="871">
        <v>402</v>
      </c>
      <c r="H1118" s="871" t="s">
        <v>8</v>
      </c>
      <c r="I1118" s="668">
        <v>0</v>
      </c>
      <c r="J1118" s="349"/>
      <c r="K1118" s="876">
        <f t="shared" si="90"/>
        <v>25.88</v>
      </c>
      <c r="L1118" s="876">
        <f t="shared" si="92"/>
        <v>0</v>
      </c>
      <c r="M1118" s="700">
        <f t="shared" si="91"/>
        <v>0.06</v>
      </c>
      <c r="N1118" s="876">
        <f t="shared" si="93"/>
        <v>52.8</v>
      </c>
      <c r="O1118" s="295">
        <v>2.04</v>
      </c>
      <c r="P1118" s="697">
        <f t="shared" si="94"/>
        <v>0</v>
      </c>
      <c r="Q1118" s="301">
        <f t="shared" si="95"/>
        <v>1.55</v>
      </c>
      <c r="R1118" s="912"/>
      <c r="S1118" s="738">
        <f t="shared" si="78"/>
        <v>22962.18</v>
      </c>
      <c r="T1118" s="738" t="str">
        <f t="shared" si="79"/>
        <v>T</v>
      </c>
      <c r="U1118" s="738"/>
      <c r="V1118" s="698"/>
      <c r="W1118" s="710">
        <f t="shared" si="96"/>
        <v>80</v>
      </c>
      <c r="X1118" s="710">
        <f t="shared" si="97"/>
        <v>40</v>
      </c>
      <c r="Y1118" s="710">
        <f t="shared" si="98"/>
        <v>8000</v>
      </c>
      <c r="Z1118" s="716">
        <f t="shared" si="99"/>
        <v>400</v>
      </c>
      <c r="AA1118" s="716">
        <f t="shared" si="100"/>
        <v>0</v>
      </c>
    </row>
    <row r="1119" spans="1:27" x14ac:dyDescent="0.2">
      <c r="A1119" s="913"/>
      <c r="B1119" s="666"/>
      <c r="C1119" s="580" t="s">
        <v>1426</v>
      </c>
      <c r="D1119" s="870">
        <v>420</v>
      </c>
      <c r="E1119" s="871" t="s">
        <v>8</v>
      </c>
      <c r="F1119" s="667">
        <v>0</v>
      </c>
      <c r="G1119" s="871">
        <v>424</v>
      </c>
      <c r="H1119" s="871" t="s">
        <v>8</v>
      </c>
      <c r="I1119" s="668">
        <v>0</v>
      </c>
      <c r="J1119" s="349"/>
      <c r="K1119" s="876">
        <f t="shared" si="90"/>
        <v>25.88</v>
      </c>
      <c r="L1119" s="876">
        <f t="shared" si="92"/>
        <v>0</v>
      </c>
      <c r="M1119" s="700">
        <f t="shared" si="91"/>
        <v>0.5</v>
      </c>
      <c r="N1119" s="876">
        <f t="shared" si="93"/>
        <v>52.8</v>
      </c>
      <c r="O1119" s="295">
        <v>2.04</v>
      </c>
      <c r="P1119" s="697">
        <f t="shared" si="94"/>
        <v>0</v>
      </c>
      <c r="Q1119" s="301">
        <f t="shared" si="95"/>
        <v>12.94</v>
      </c>
      <c r="R1119" s="912"/>
      <c r="S1119" s="738">
        <f t="shared" si="78"/>
        <v>22962.18</v>
      </c>
      <c r="T1119" s="738" t="str">
        <f t="shared" si="79"/>
        <v>T</v>
      </c>
      <c r="U1119" s="738"/>
      <c r="V1119" s="698"/>
      <c r="W1119" s="710">
        <f t="shared" si="96"/>
        <v>80</v>
      </c>
      <c r="X1119" s="710">
        <f t="shared" si="97"/>
        <v>40</v>
      </c>
      <c r="Y1119" s="710">
        <f t="shared" si="98"/>
        <v>8440</v>
      </c>
      <c r="Z1119" s="716">
        <f t="shared" si="99"/>
        <v>422</v>
      </c>
      <c r="AA1119" s="716">
        <f t="shared" si="100"/>
        <v>0</v>
      </c>
    </row>
    <row r="1120" spans="1:27" x14ac:dyDescent="0.2">
      <c r="A1120" s="913"/>
      <c r="B1120" s="666"/>
      <c r="C1120" s="580" t="s">
        <v>1426</v>
      </c>
      <c r="D1120" s="870">
        <v>424</v>
      </c>
      <c r="E1120" s="871" t="s">
        <v>8</v>
      </c>
      <c r="F1120" s="667">
        <v>0</v>
      </c>
      <c r="G1120" s="871">
        <v>428</v>
      </c>
      <c r="H1120" s="871" t="s">
        <v>8</v>
      </c>
      <c r="I1120" s="668">
        <v>0</v>
      </c>
      <c r="J1120" s="349"/>
      <c r="K1120" s="876">
        <f t="shared" si="90"/>
        <v>25.88</v>
      </c>
      <c r="L1120" s="876">
        <f t="shared" si="92"/>
        <v>0</v>
      </c>
      <c r="M1120" s="700">
        <f t="shared" si="91"/>
        <v>0.57999999999999996</v>
      </c>
      <c r="N1120" s="876">
        <f t="shared" si="93"/>
        <v>52.8</v>
      </c>
      <c r="O1120" s="295">
        <v>2.04</v>
      </c>
      <c r="P1120" s="697">
        <f t="shared" si="94"/>
        <v>0</v>
      </c>
      <c r="Q1120" s="301">
        <f t="shared" si="95"/>
        <v>15.01</v>
      </c>
      <c r="R1120" s="912"/>
      <c r="S1120" s="738">
        <f t="shared" si="78"/>
        <v>22962.18</v>
      </c>
      <c r="T1120" s="738" t="str">
        <f t="shared" si="79"/>
        <v>T</v>
      </c>
      <c r="U1120" s="738"/>
      <c r="V1120" s="698"/>
      <c r="W1120" s="710">
        <f t="shared" si="96"/>
        <v>80</v>
      </c>
      <c r="X1120" s="710">
        <f t="shared" si="97"/>
        <v>40</v>
      </c>
      <c r="Y1120" s="710">
        <f t="shared" si="98"/>
        <v>8520</v>
      </c>
      <c r="Z1120" s="716">
        <f t="shared" si="99"/>
        <v>426</v>
      </c>
      <c r="AA1120" s="716">
        <f t="shared" si="100"/>
        <v>0</v>
      </c>
    </row>
    <row r="1121" spans="1:27" x14ac:dyDescent="0.2">
      <c r="A1121" s="913"/>
      <c r="B1121" s="666"/>
      <c r="C1121" s="580" t="s">
        <v>1426</v>
      </c>
      <c r="D1121" s="870">
        <v>450</v>
      </c>
      <c r="E1121" s="871" t="s">
        <v>8</v>
      </c>
      <c r="F1121" s="667">
        <v>0</v>
      </c>
      <c r="G1121" s="871">
        <v>454</v>
      </c>
      <c r="H1121" s="871" t="s">
        <v>8</v>
      </c>
      <c r="I1121" s="668">
        <v>0</v>
      </c>
      <c r="J1121" s="349"/>
      <c r="K1121" s="876">
        <f t="shared" si="90"/>
        <v>25.88</v>
      </c>
      <c r="L1121" s="876">
        <f t="shared" si="92"/>
        <v>0</v>
      </c>
      <c r="M1121" s="700">
        <f t="shared" si="91"/>
        <v>1.1000000000000001</v>
      </c>
      <c r="N1121" s="876">
        <f t="shared" si="93"/>
        <v>52.8</v>
      </c>
      <c r="O1121" s="295">
        <v>2.04</v>
      </c>
      <c r="P1121" s="697">
        <f t="shared" si="94"/>
        <v>0</v>
      </c>
      <c r="Q1121" s="301">
        <f t="shared" si="95"/>
        <v>28.47</v>
      </c>
      <c r="R1121" s="912"/>
      <c r="S1121" s="738">
        <f t="shared" si="78"/>
        <v>22962.18</v>
      </c>
      <c r="T1121" s="738" t="str">
        <f t="shared" si="79"/>
        <v>T</v>
      </c>
      <c r="U1121" s="738"/>
      <c r="V1121" s="698"/>
      <c r="W1121" s="710">
        <f t="shared" si="96"/>
        <v>80</v>
      </c>
      <c r="X1121" s="710">
        <f t="shared" si="97"/>
        <v>40</v>
      </c>
      <c r="Y1121" s="710">
        <f t="shared" si="98"/>
        <v>9040</v>
      </c>
      <c r="Z1121" s="716">
        <f t="shared" si="99"/>
        <v>452</v>
      </c>
      <c r="AA1121" s="716">
        <f t="shared" si="100"/>
        <v>0</v>
      </c>
    </row>
    <row r="1122" spans="1:27" x14ac:dyDescent="0.2">
      <c r="A1122" s="913"/>
      <c r="B1122" s="666"/>
      <c r="C1122" s="580" t="s">
        <v>1426</v>
      </c>
      <c r="D1122" s="870">
        <v>454</v>
      </c>
      <c r="E1122" s="871" t="s">
        <v>8</v>
      </c>
      <c r="F1122" s="667">
        <v>0</v>
      </c>
      <c r="G1122" s="871">
        <v>458</v>
      </c>
      <c r="H1122" s="871" t="s">
        <v>8</v>
      </c>
      <c r="I1122" s="668">
        <v>0</v>
      </c>
      <c r="J1122" s="349"/>
      <c r="K1122" s="876">
        <f t="shared" si="90"/>
        <v>25.88</v>
      </c>
      <c r="L1122" s="876">
        <f t="shared" si="92"/>
        <v>0</v>
      </c>
      <c r="M1122" s="700">
        <f t="shared" si="91"/>
        <v>1.18</v>
      </c>
      <c r="N1122" s="876">
        <f t="shared" si="93"/>
        <v>52.8</v>
      </c>
      <c r="O1122" s="295">
        <v>2.04</v>
      </c>
      <c r="P1122" s="697">
        <f t="shared" si="94"/>
        <v>0</v>
      </c>
      <c r="Q1122" s="301">
        <f t="shared" si="95"/>
        <v>30.54</v>
      </c>
      <c r="R1122" s="912"/>
      <c r="S1122" s="738">
        <f t="shared" si="78"/>
        <v>22962.18</v>
      </c>
      <c r="T1122" s="738" t="str">
        <f t="shared" si="79"/>
        <v>T</v>
      </c>
      <c r="U1122" s="738"/>
      <c r="V1122" s="698"/>
      <c r="W1122" s="710">
        <f t="shared" si="96"/>
        <v>80</v>
      </c>
      <c r="X1122" s="710">
        <f t="shared" si="97"/>
        <v>40</v>
      </c>
      <c r="Y1122" s="710">
        <f t="shared" si="98"/>
        <v>9120</v>
      </c>
      <c r="Z1122" s="716">
        <f t="shared" si="99"/>
        <v>456</v>
      </c>
      <c r="AA1122" s="716">
        <f t="shared" si="100"/>
        <v>0</v>
      </c>
    </row>
    <row r="1123" spans="1:27" x14ac:dyDescent="0.2">
      <c r="A1123" s="913"/>
      <c r="B1123" s="666"/>
      <c r="C1123" s="580" t="s">
        <v>1426</v>
      </c>
      <c r="D1123" s="870">
        <v>486</v>
      </c>
      <c r="E1123" s="871" t="s">
        <v>8</v>
      </c>
      <c r="F1123" s="667">
        <v>0</v>
      </c>
      <c r="G1123" s="871">
        <v>490</v>
      </c>
      <c r="H1123" s="871" t="s">
        <v>8</v>
      </c>
      <c r="I1123" s="668">
        <v>0</v>
      </c>
      <c r="J1123" s="349"/>
      <c r="K1123" s="876">
        <f t="shared" si="90"/>
        <v>25.88</v>
      </c>
      <c r="L1123" s="876">
        <f t="shared" si="92"/>
        <v>0</v>
      </c>
      <c r="M1123" s="700">
        <f t="shared" si="91"/>
        <v>1.82</v>
      </c>
      <c r="N1123" s="876">
        <f t="shared" si="93"/>
        <v>52.8</v>
      </c>
      <c r="O1123" s="295">
        <v>2.04</v>
      </c>
      <c r="P1123" s="697">
        <f t="shared" si="94"/>
        <v>0</v>
      </c>
      <c r="Q1123" s="301">
        <f t="shared" si="95"/>
        <v>47.1</v>
      </c>
      <c r="R1123" s="912"/>
      <c r="S1123" s="738">
        <f t="shared" si="78"/>
        <v>22962.18</v>
      </c>
      <c r="T1123" s="738" t="str">
        <f t="shared" si="79"/>
        <v>T</v>
      </c>
      <c r="U1123" s="738"/>
      <c r="V1123" s="698"/>
      <c r="W1123" s="710">
        <f t="shared" si="96"/>
        <v>80</v>
      </c>
      <c r="X1123" s="710">
        <f t="shared" si="97"/>
        <v>40</v>
      </c>
      <c r="Y1123" s="710">
        <f t="shared" si="98"/>
        <v>9760</v>
      </c>
      <c r="Z1123" s="716">
        <f t="shared" si="99"/>
        <v>488</v>
      </c>
      <c r="AA1123" s="716">
        <f t="shared" si="100"/>
        <v>0</v>
      </c>
    </row>
    <row r="1124" spans="1:27" x14ac:dyDescent="0.2">
      <c r="A1124" s="913"/>
      <c r="B1124" s="666"/>
      <c r="C1124" s="580" t="s">
        <v>1426</v>
      </c>
      <c r="D1124" s="870">
        <v>490</v>
      </c>
      <c r="E1124" s="871" t="s">
        <v>8</v>
      </c>
      <c r="F1124" s="667">
        <v>0</v>
      </c>
      <c r="G1124" s="871">
        <v>494</v>
      </c>
      <c r="H1124" s="871" t="s">
        <v>8</v>
      </c>
      <c r="I1124" s="668">
        <v>0</v>
      </c>
      <c r="J1124" s="349"/>
      <c r="K1124" s="876">
        <f t="shared" si="90"/>
        <v>25.88</v>
      </c>
      <c r="L1124" s="876">
        <f t="shared" si="92"/>
        <v>0</v>
      </c>
      <c r="M1124" s="700">
        <f t="shared" si="91"/>
        <v>1.9</v>
      </c>
      <c r="N1124" s="876">
        <f t="shared" si="93"/>
        <v>52.8</v>
      </c>
      <c r="O1124" s="295">
        <v>2.04</v>
      </c>
      <c r="P1124" s="697">
        <f t="shared" si="94"/>
        <v>0</v>
      </c>
      <c r="Q1124" s="301">
        <f t="shared" si="95"/>
        <v>49.17</v>
      </c>
      <c r="R1124" s="912"/>
      <c r="S1124" s="738">
        <f t="shared" si="78"/>
        <v>22962.18</v>
      </c>
      <c r="T1124" s="738" t="str">
        <f t="shared" si="79"/>
        <v>T</v>
      </c>
      <c r="U1124" s="738"/>
      <c r="V1124" s="698"/>
      <c r="W1124" s="710">
        <f t="shared" si="96"/>
        <v>80</v>
      </c>
      <c r="X1124" s="710">
        <f t="shared" si="97"/>
        <v>40</v>
      </c>
      <c r="Y1124" s="710">
        <f t="shared" si="98"/>
        <v>9840</v>
      </c>
      <c r="Z1124" s="716">
        <f t="shared" si="99"/>
        <v>492</v>
      </c>
      <c r="AA1124" s="716">
        <f t="shared" si="100"/>
        <v>0</v>
      </c>
    </row>
    <row r="1125" spans="1:27" x14ac:dyDescent="0.2">
      <c r="A1125" s="913"/>
      <c r="B1125" s="666"/>
      <c r="C1125" s="580" t="s">
        <v>1426</v>
      </c>
      <c r="D1125" s="870">
        <v>517</v>
      </c>
      <c r="E1125" s="871" t="s">
        <v>8</v>
      </c>
      <c r="F1125" s="667">
        <v>0</v>
      </c>
      <c r="G1125" s="871">
        <v>521</v>
      </c>
      <c r="H1125" s="871" t="s">
        <v>8</v>
      </c>
      <c r="I1125" s="668">
        <v>0</v>
      </c>
      <c r="J1125" s="349"/>
      <c r="K1125" s="876">
        <f t="shared" si="90"/>
        <v>25.88</v>
      </c>
      <c r="L1125" s="876">
        <f t="shared" si="92"/>
        <v>0</v>
      </c>
      <c r="M1125" s="700">
        <f t="shared" si="91"/>
        <v>2.44</v>
      </c>
      <c r="N1125" s="876">
        <f t="shared" si="93"/>
        <v>52.8</v>
      </c>
      <c r="O1125" s="295">
        <v>2.04</v>
      </c>
      <c r="P1125" s="697">
        <f t="shared" si="94"/>
        <v>0</v>
      </c>
      <c r="Q1125" s="301">
        <f t="shared" si="95"/>
        <v>63.15</v>
      </c>
      <c r="R1125" s="912"/>
      <c r="S1125" s="738">
        <f t="shared" si="78"/>
        <v>22962.18</v>
      </c>
      <c r="T1125" s="738" t="str">
        <f t="shared" si="79"/>
        <v>T</v>
      </c>
      <c r="U1125" s="738"/>
      <c r="V1125" s="698"/>
      <c r="W1125" s="710">
        <f t="shared" si="96"/>
        <v>80</v>
      </c>
      <c r="X1125" s="710">
        <f t="shared" si="97"/>
        <v>40</v>
      </c>
      <c r="Y1125" s="710">
        <f t="shared" si="98"/>
        <v>10380</v>
      </c>
      <c r="Z1125" s="716">
        <f t="shared" si="99"/>
        <v>519</v>
      </c>
      <c r="AA1125" s="716">
        <f t="shared" si="100"/>
        <v>0</v>
      </c>
    </row>
    <row r="1126" spans="1:27" x14ac:dyDescent="0.2">
      <c r="A1126" s="913"/>
      <c r="B1126" s="666"/>
      <c r="C1126" s="580" t="s">
        <v>1426</v>
      </c>
      <c r="D1126" s="870">
        <v>523</v>
      </c>
      <c r="E1126" s="871" t="s">
        <v>8</v>
      </c>
      <c r="F1126" s="667">
        <v>0</v>
      </c>
      <c r="G1126" s="871">
        <v>527</v>
      </c>
      <c r="H1126" s="871" t="s">
        <v>8</v>
      </c>
      <c r="I1126" s="668">
        <v>0</v>
      </c>
      <c r="J1126" s="349"/>
      <c r="K1126" s="876">
        <f t="shared" si="90"/>
        <v>25.88</v>
      </c>
      <c r="L1126" s="876">
        <f t="shared" si="92"/>
        <v>0</v>
      </c>
      <c r="M1126" s="700">
        <f t="shared" si="91"/>
        <v>2.56</v>
      </c>
      <c r="N1126" s="876">
        <f t="shared" si="93"/>
        <v>52.8</v>
      </c>
      <c r="O1126" s="295">
        <v>2.04</v>
      </c>
      <c r="P1126" s="697">
        <f t="shared" si="94"/>
        <v>0</v>
      </c>
      <c r="Q1126" s="301">
        <f t="shared" si="95"/>
        <v>66.25</v>
      </c>
      <c r="R1126" s="912"/>
      <c r="S1126" s="738">
        <f t="shared" ref="S1126:S1189" si="101">VLOOKUP("Total",C1127:O2814,12,FALSE)</f>
        <v>22962.18</v>
      </c>
      <c r="T1126" s="738" t="str">
        <f t="shared" ref="T1126:T1189" si="102">VLOOKUP("Total",C1127:O2814,13,FALSE)</f>
        <v>T</v>
      </c>
      <c r="U1126" s="738"/>
      <c r="V1126" s="698"/>
      <c r="W1126" s="710">
        <f t="shared" si="96"/>
        <v>80</v>
      </c>
      <c r="X1126" s="710">
        <f t="shared" si="97"/>
        <v>40</v>
      </c>
      <c r="Y1126" s="710">
        <f t="shared" si="98"/>
        <v>10500</v>
      </c>
      <c r="Z1126" s="716">
        <f t="shared" si="99"/>
        <v>525</v>
      </c>
      <c r="AA1126" s="716">
        <f t="shared" si="100"/>
        <v>0</v>
      </c>
    </row>
    <row r="1127" spans="1:27" x14ac:dyDescent="0.2">
      <c r="A1127" s="913"/>
      <c r="B1127" s="666"/>
      <c r="C1127" s="580" t="s">
        <v>1426</v>
      </c>
      <c r="D1127" s="870">
        <v>551</v>
      </c>
      <c r="E1127" s="871" t="s">
        <v>8</v>
      </c>
      <c r="F1127" s="667">
        <v>0</v>
      </c>
      <c r="G1127" s="871">
        <v>555</v>
      </c>
      <c r="H1127" s="871" t="s">
        <v>8</v>
      </c>
      <c r="I1127" s="668">
        <v>0</v>
      </c>
      <c r="J1127" s="349"/>
      <c r="K1127" s="876">
        <f t="shared" si="90"/>
        <v>25.88</v>
      </c>
      <c r="L1127" s="876">
        <f t="shared" si="92"/>
        <v>0</v>
      </c>
      <c r="M1127" s="700">
        <f t="shared" si="91"/>
        <v>3.12</v>
      </c>
      <c r="N1127" s="876">
        <f t="shared" si="93"/>
        <v>52.8</v>
      </c>
      <c r="O1127" s="295">
        <v>2.04</v>
      </c>
      <c r="P1127" s="697">
        <f t="shared" si="94"/>
        <v>0</v>
      </c>
      <c r="Q1127" s="301">
        <f t="shared" si="95"/>
        <v>80.75</v>
      </c>
      <c r="R1127" s="912"/>
      <c r="S1127" s="738">
        <f t="shared" si="101"/>
        <v>22962.18</v>
      </c>
      <c r="T1127" s="738" t="str">
        <f t="shared" si="102"/>
        <v>T</v>
      </c>
      <c r="U1127" s="738"/>
      <c r="V1127" s="698"/>
      <c r="W1127" s="710">
        <f t="shared" si="96"/>
        <v>80</v>
      </c>
      <c r="X1127" s="710">
        <f t="shared" si="97"/>
        <v>40</v>
      </c>
      <c r="Y1127" s="710">
        <f t="shared" si="98"/>
        <v>11060</v>
      </c>
      <c r="Z1127" s="716">
        <f t="shared" si="99"/>
        <v>553</v>
      </c>
      <c r="AA1127" s="716">
        <f t="shared" si="100"/>
        <v>0</v>
      </c>
    </row>
    <row r="1128" spans="1:27" x14ac:dyDescent="0.2">
      <c r="A1128" s="913"/>
      <c r="B1128" s="666"/>
      <c r="C1128" s="580" t="s">
        <v>1426</v>
      </c>
      <c r="D1128" s="870">
        <v>555</v>
      </c>
      <c r="E1128" s="871" t="s">
        <v>8</v>
      </c>
      <c r="F1128" s="667">
        <v>0</v>
      </c>
      <c r="G1128" s="871">
        <v>559</v>
      </c>
      <c r="H1128" s="871" t="s">
        <v>8</v>
      </c>
      <c r="I1128" s="668">
        <v>0</v>
      </c>
      <c r="J1128" s="349"/>
      <c r="K1128" s="876">
        <f t="shared" si="90"/>
        <v>25.88</v>
      </c>
      <c r="L1128" s="876">
        <f t="shared" si="92"/>
        <v>0</v>
      </c>
      <c r="M1128" s="700">
        <f t="shared" si="91"/>
        <v>3.2</v>
      </c>
      <c r="N1128" s="876">
        <f t="shared" si="93"/>
        <v>52.8</v>
      </c>
      <c r="O1128" s="295">
        <v>2.04</v>
      </c>
      <c r="P1128" s="697">
        <f t="shared" si="94"/>
        <v>0</v>
      </c>
      <c r="Q1128" s="301">
        <f t="shared" si="95"/>
        <v>82.82</v>
      </c>
      <c r="R1128" s="912"/>
      <c r="S1128" s="738">
        <f t="shared" si="101"/>
        <v>22962.18</v>
      </c>
      <c r="T1128" s="738" t="str">
        <f t="shared" si="102"/>
        <v>T</v>
      </c>
      <c r="U1128" s="738"/>
      <c r="V1128" s="698"/>
      <c r="W1128" s="710">
        <f t="shared" si="96"/>
        <v>80</v>
      </c>
      <c r="X1128" s="710">
        <f t="shared" si="97"/>
        <v>40</v>
      </c>
      <c r="Y1128" s="710">
        <f t="shared" si="98"/>
        <v>11140</v>
      </c>
      <c r="Z1128" s="716">
        <f t="shared" si="99"/>
        <v>557</v>
      </c>
      <c r="AA1128" s="716">
        <f t="shared" si="100"/>
        <v>0</v>
      </c>
    </row>
    <row r="1129" spans="1:27" x14ac:dyDescent="0.2">
      <c r="A1129" s="899"/>
      <c r="B1129" s="353"/>
      <c r="C1129" s="354" t="s">
        <v>2</v>
      </c>
      <c r="D1129" s="355"/>
      <c r="E1129" s="352"/>
      <c r="F1129" s="356"/>
      <c r="G1129" s="355"/>
      <c r="H1129" s="356"/>
      <c r="I1129" s="356"/>
      <c r="J1129" s="353"/>
      <c r="K1129" s="360">
        <f>SUM(K1095:K1128)</f>
        <v>11255.91</v>
      </c>
      <c r="L1129" s="360">
        <f>P1129/K1129</f>
        <v>0.47</v>
      </c>
      <c r="M1129" s="360">
        <f>Q1129/K1129</f>
        <v>2.96</v>
      </c>
      <c r="N1129" s="360">
        <f>SUM(N1095:N1128)</f>
        <v>22962.18</v>
      </c>
      <c r="O1129" s="361" t="str">
        <f>IF(MID(B1092,1,2)="LG",VLOOKUP(B1092,'Compos lug'!J:M,4,FALSE),IF(MID(B1092,1,1)="6",VLOOKUP(B1092,tranp.!$A$6:$K$51,3,FALSE),VLOOKUP(B1092,'DER 10-18'!$A$1:$I$1981,3,FALSE)))</f>
        <v>T</v>
      </c>
      <c r="P1129" s="701">
        <f>SUM(P1095:P1128)</f>
        <v>5337.94</v>
      </c>
      <c r="Q1129" s="701">
        <f>SUM(Q1095:Q1128)</f>
        <v>33304.239999999998</v>
      </c>
      <c r="R1129" s="918"/>
      <c r="S1129" s="738">
        <f t="shared" si="101"/>
        <v>41690.050000000003</v>
      </c>
      <c r="T1129" s="738" t="str">
        <f t="shared" si="102"/>
        <v>T</v>
      </c>
      <c r="U1129" s="738"/>
      <c r="V1129" s="698"/>
      <c r="Z1129" s="716"/>
      <c r="AA1129" s="716"/>
    </row>
    <row r="1130" spans="1:27" x14ac:dyDescent="0.2">
      <c r="A1130" s="294"/>
      <c r="B1130" s="293"/>
      <c r="C1130" s="343"/>
      <c r="H1130" s="292"/>
      <c r="N1130" s="314"/>
      <c r="O1130" s="344"/>
      <c r="P1130" s="696"/>
      <c r="Q1130" s="315"/>
      <c r="R1130" s="903"/>
      <c r="S1130" s="738">
        <f t="shared" si="101"/>
        <v>41690.050000000003</v>
      </c>
      <c r="T1130" s="738" t="str">
        <f t="shared" si="102"/>
        <v>T</v>
      </c>
      <c r="U1130" s="738"/>
    </row>
    <row r="1131" spans="1:27" ht="41.25" customHeight="1" x14ac:dyDescent="0.2">
      <c r="A1131" s="913" t="s">
        <v>1545</v>
      </c>
      <c r="B1131" s="666">
        <v>60002</v>
      </c>
      <c r="C1131" s="347" t="str">
        <f>IF(MID(B1131,1,2)="LG",VLOOKUP(B1131,'Compos lug'!J:M,3,FALSE),IF(MID(B1131,1,1)="6",VLOOKUP(B1131,tranp.!$A$4:$K$19,11,FALSE)&amp;" -  XP="&amp;TEXT(Z1131*1000,"0.000")&amp;" / XR="&amp;TEXT(AA1131*1000,"0.000"),VLOOKUP(B1131,'DER 10-18'!$A$1:$I$1981,2,FALSE)))&amp;" - "&amp;TEXT(C1133,"0.000")</f>
        <v>TR-201-00 (Comercial - Caminhão basculante)0,839XP+0,875XR+3,503 -  XP=22.590 / XR=5.550 - Base</v>
      </c>
      <c r="D1131" s="1059" t="s">
        <v>1000</v>
      </c>
      <c r="E1131" s="1060"/>
      <c r="F1131" s="1061"/>
      <c r="G1131" s="1059" t="s">
        <v>1001</v>
      </c>
      <c r="H1131" s="1060"/>
      <c r="I1131" s="1061"/>
      <c r="J1131" s="349" t="s">
        <v>989</v>
      </c>
      <c r="K1131" s="884" t="s">
        <v>1361</v>
      </c>
      <c r="L1131" s="876" t="s">
        <v>992</v>
      </c>
      <c r="M1131" s="885" t="s">
        <v>993</v>
      </c>
      <c r="N1131" s="876" t="s">
        <v>1362</v>
      </c>
      <c r="O1131" s="351" t="s">
        <v>1363</v>
      </c>
      <c r="P1131" s="760" t="s">
        <v>1364</v>
      </c>
      <c r="Q1131" s="879" t="s">
        <v>1365</v>
      </c>
      <c r="R1131" s="912"/>
      <c r="S1131" s="738">
        <f t="shared" si="101"/>
        <v>41690.050000000003</v>
      </c>
      <c r="T1131" s="738" t="str">
        <f t="shared" si="102"/>
        <v>T</v>
      </c>
      <c r="U1131" s="738"/>
      <c r="V1131" s="741">
        <f>W1131*Z1131+X1131*AA1131+Y1131</f>
        <v>27.31</v>
      </c>
      <c r="W1131" s="742">
        <f>VLOOKUP(B1131,tranp.!A:J,8,FALSE)</f>
        <v>0.83899999999999997</v>
      </c>
      <c r="X1131" s="742">
        <f>VLOOKUP(B1131,tranp.!A:J,9,FALSE)</f>
        <v>0.875</v>
      </c>
      <c r="Y1131" s="742">
        <f>VLOOKUP(B1131,tranp.!A:J,10,FALSE)</f>
        <v>3.5030000000000001</v>
      </c>
      <c r="Z1131" s="745">
        <f>VLOOKUP("Total",C1133:O2448,10,FALSE)</f>
        <v>22.59</v>
      </c>
      <c r="AA1131" s="743">
        <f>VLOOKUP("Total",C1134:O2449,11,FALSE)</f>
        <v>5.55</v>
      </c>
    </row>
    <row r="1132" spans="1:27" x14ac:dyDescent="0.2">
      <c r="A1132" s="294"/>
      <c r="B1132" s="293"/>
      <c r="C1132" s="744" t="s">
        <v>1552</v>
      </c>
      <c r="N1132" s="876"/>
      <c r="R1132" s="912"/>
      <c r="S1132" s="738">
        <f t="shared" si="101"/>
        <v>41690.050000000003</v>
      </c>
      <c r="T1132" s="738" t="str">
        <f t="shared" si="102"/>
        <v>T</v>
      </c>
    </row>
    <row r="1133" spans="1:27" x14ac:dyDescent="0.2">
      <c r="A1133" s="913"/>
      <c r="B1133" s="666"/>
      <c r="C1133" s="347" t="s">
        <v>1433</v>
      </c>
      <c r="D1133" s="870"/>
      <c r="E1133" s="871"/>
      <c r="F1133" s="667"/>
      <c r="G1133" s="871"/>
      <c r="H1133" s="871"/>
      <c r="I1133" s="668"/>
      <c r="J1133" s="876"/>
      <c r="K1133" s="876"/>
      <c r="M1133" s="298"/>
      <c r="N1133" s="876"/>
      <c r="P1133" s="697"/>
      <c r="R1133" s="912"/>
      <c r="S1133" s="738">
        <f t="shared" si="101"/>
        <v>41690.050000000003</v>
      </c>
      <c r="T1133" s="738" t="str">
        <f t="shared" si="102"/>
        <v>T</v>
      </c>
      <c r="U1133" s="738" t="s">
        <v>1499</v>
      </c>
      <c r="V1133" s="718"/>
      <c r="W1133" s="710" t="s">
        <v>1494</v>
      </c>
      <c r="X1133" s="710" t="s">
        <v>1495</v>
      </c>
      <c r="Y1133" s="710" t="s">
        <v>1496</v>
      </c>
      <c r="Z1133" s="710" t="s">
        <v>1497</v>
      </c>
      <c r="AA1133" s="710" t="s">
        <v>1498</v>
      </c>
    </row>
    <row r="1134" spans="1:27" x14ac:dyDescent="0.2">
      <c r="A1134" s="913"/>
      <c r="B1134" s="666"/>
      <c r="C1134" s="580" t="s">
        <v>1065</v>
      </c>
      <c r="D1134" s="870">
        <v>0</v>
      </c>
      <c r="E1134" s="871" t="s">
        <v>8</v>
      </c>
      <c r="F1134" s="667">
        <v>0</v>
      </c>
      <c r="G1134" s="871">
        <v>55</v>
      </c>
      <c r="H1134" s="871" t="s">
        <v>8</v>
      </c>
      <c r="I1134" s="668">
        <v>0</v>
      </c>
      <c r="J1134" s="349"/>
      <c r="K1134" s="876">
        <f>N889</f>
        <v>1864.5</v>
      </c>
      <c r="L1134" s="876">
        <f t="shared" ref="L1134:L1167" si="103">IF(D1134&gt;=327,0.859,0)+$U$1134</f>
        <v>22.2</v>
      </c>
      <c r="M1134" s="700">
        <f>Y1134/1000</f>
        <v>0.55000000000000004</v>
      </c>
      <c r="N1134" s="876">
        <f>K1134*O1134</f>
        <v>4129.87</v>
      </c>
      <c r="O1134" s="295">
        <v>2.2149999999999999</v>
      </c>
      <c r="P1134" s="697">
        <f>K1134*L1134</f>
        <v>41391.9</v>
      </c>
      <c r="Q1134" s="301">
        <f>K1134*M1134</f>
        <v>1025.48</v>
      </c>
      <c r="R1134" s="912"/>
      <c r="S1134" s="738">
        <f t="shared" si="101"/>
        <v>41690.050000000003</v>
      </c>
      <c r="T1134" s="738" t="str">
        <f t="shared" si="102"/>
        <v>T</v>
      </c>
      <c r="U1134" s="738">
        <v>22.2</v>
      </c>
      <c r="V1134" s="698"/>
      <c r="W1134" s="710">
        <f>(((G1134*20)+I1134)-((D1134*20)+F1134))</f>
        <v>1100</v>
      </c>
      <c r="X1134" s="710">
        <f>W1134/2</f>
        <v>550</v>
      </c>
      <c r="Y1134" s="710">
        <f>(D1134*20)+F1134+X1134</f>
        <v>550</v>
      </c>
      <c r="Z1134" s="716">
        <f>INT(Y1134/20)</f>
        <v>27</v>
      </c>
      <c r="AA1134" s="716">
        <f>((Y1134/20)-Z1134)*20</f>
        <v>10</v>
      </c>
    </row>
    <row r="1135" spans="1:27" x14ac:dyDescent="0.2">
      <c r="A1135" s="913"/>
      <c r="B1135" s="666"/>
      <c r="C1135" s="580" t="s">
        <v>1065</v>
      </c>
      <c r="D1135" s="870">
        <v>70</v>
      </c>
      <c r="E1135" s="871" t="s">
        <v>8</v>
      </c>
      <c r="F1135" s="667">
        <v>0</v>
      </c>
      <c r="G1135" s="871">
        <v>284</v>
      </c>
      <c r="H1135" s="871" t="s">
        <v>8</v>
      </c>
      <c r="I1135" s="668">
        <v>16</v>
      </c>
      <c r="J1135" s="349"/>
      <c r="K1135" s="876">
        <f t="shared" ref="K1135:K1140" si="104">N890</f>
        <v>7281.72</v>
      </c>
      <c r="L1135" s="876">
        <f t="shared" si="103"/>
        <v>22.2</v>
      </c>
      <c r="M1135" s="700">
        <f t="shared" ref="M1135:M1167" si="105">Y1135/1000</f>
        <v>3.548</v>
      </c>
      <c r="N1135" s="876">
        <f t="shared" ref="N1135:N1167" si="106">K1135*O1135</f>
        <v>16129.01</v>
      </c>
      <c r="O1135" s="295">
        <v>2.2149999999999999</v>
      </c>
      <c r="P1135" s="697">
        <f t="shared" ref="P1135:P1167" si="107">K1135*L1135</f>
        <v>161654.18</v>
      </c>
      <c r="Q1135" s="301">
        <f t="shared" ref="Q1135:Q1167" si="108">K1135*M1135</f>
        <v>25835.54</v>
      </c>
      <c r="R1135" s="912"/>
      <c r="S1135" s="738">
        <f t="shared" si="101"/>
        <v>41690.050000000003</v>
      </c>
      <c r="T1135" s="738" t="str">
        <f t="shared" si="102"/>
        <v>T</v>
      </c>
      <c r="U1135" s="738"/>
      <c r="V1135" s="698"/>
      <c r="W1135" s="710">
        <f t="shared" ref="W1135:W1167" si="109">(((G1135*20)+I1135)-((D1135*20)+F1135))</f>
        <v>4296</v>
      </c>
      <c r="X1135" s="710">
        <f t="shared" ref="X1135:X1167" si="110">W1135/2</f>
        <v>2148</v>
      </c>
      <c r="Y1135" s="710">
        <f t="shared" ref="Y1135:Y1167" si="111">(D1135*20)+F1135+X1135</f>
        <v>3548</v>
      </c>
      <c r="Z1135" s="716">
        <f>INT(Y1135/20)</f>
        <v>177</v>
      </c>
      <c r="AA1135" s="716">
        <f t="shared" ref="AA1135:AA1167" si="112">((Y1135/20)-Z1135)*20</f>
        <v>8.0000000000001101</v>
      </c>
    </row>
    <row r="1136" spans="1:27" x14ac:dyDescent="0.2">
      <c r="A1136" s="913"/>
      <c r="B1136" s="666"/>
      <c r="C1136" s="580" t="s">
        <v>1065</v>
      </c>
      <c r="D1136" s="870">
        <v>327</v>
      </c>
      <c r="E1136" s="871" t="s">
        <v>8</v>
      </c>
      <c r="F1136" s="667">
        <v>15</v>
      </c>
      <c r="G1136" s="871">
        <v>341</v>
      </c>
      <c r="H1136" s="871" t="s">
        <v>8</v>
      </c>
      <c r="I1136" s="668">
        <v>8</v>
      </c>
      <c r="J1136" s="349"/>
      <c r="K1136" s="876">
        <f t="shared" si="104"/>
        <v>462.74</v>
      </c>
      <c r="L1136" s="876">
        <f t="shared" si="103"/>
        <v>23.06</v>
      </c>
      <c r="M1136" s="700">
        <f t="shared" si="105"/>
        <v>6.6920000000000002</v>
      </c>
      <c r="N1136" s="876">
        <f t="shared" si="106"/>
        <v>1024.97</v>
      </c>
      <c r="O1136" s="295">
        <v>2.2149999999999999</v>
      </c>
      <c r="P1136" s="697">
        <f t="shared" si="107"/>
        <v>10670.78</v>
      </c>
      <c r="Q1136" s="301">
        <f t="shared" si="108"/>
        <v>3096.66</v>
      </c>
      <c r="R1136" s="912"/>
      <c r="S1136" s="738">
        <f t="shared" si="101"/>
        <v>41690.050000000003</v>
      </c>
      <c r="T1136" s="738" t="str">
        <f t="shared" si="102"/>
        <v>T</v>
      </c>
      <c r="U1136" s="738"/>
      <c r="V1136" s="698"/>
      <c r="W1136" s="710">
        <f t="shared" si="109"/>
        <v>273</v>
      </c>
      <c r="X1136" s="710">
        <f t="shared" si="110"/>
        <v>136.5</v>
      </c>
      <c r="Y1136" s="710">
        <f t="shared" si="111"/>
        <v>6691.5</v>
      </c>
      <c r="Z1136" s="716">
        <f t="shared" ref="Z1136:Z1167" si="113">INT(Y1136/20)</f>
        <v>334</v>
      </c>
      <c r="AA1136" s="716">
        <f t="shared" si="112"/>
        <v>11.499999999999799</v>
      </c>
    </row>
    <row r="1137" spans="1:27" x14ac:dyDescent="0.2">
      <c r="A1137" s="913"/>
      <c r="B1137" s="666"/>
      <c r="C1137" s="580" t="s">
        <v>1065</v>
      </c>
      <c r="D1137" s="870">
        <v>342</v>
      </c>
      <c r="E1137" s="871" t="s">
        <v>8</v>
      </c>
      <c r="F1137" s="667">
        <v>3</v>
      </c>
      <c r="G1137" s="871">
        <v>375</v>
      </c>
      <c r="H1137" s="871" t="s">
        <v>8</v>
      </c>
      <c r="I1137" s="668">
        <v>0</v>
      </c>
      <c r="J1137" s="349"/>
      <c r="K1137" s="876">
        <f t="shared" si="104"/>
        <v>1113.6199999999999</v>
      </c>
      <c r="L1137" s="876">
        <f t="shared" si="103"/>
        <v>23.06</v>
      </c>
      <c r="M1137" s="700">
        <f t="shared" si="105"/>
        <v>7.1719999999999997</v>
      </c>
      <c r="N1137" s="876">
        <f t="shared" si="106"/>
        <v>2466.67</v>
      </c>
      <c r="O1137" s="295">
        <v>2.2149999999999999</v>
      </c>
      <c r="P1137" s="697">
        <f t="shared" si="107"/>
        <v>25680.080000000002</v>
      </c>
      <c r="Q1137" s="301">
        <f t="shared" si="108"/>
        <v>7986.88</v>
      </c>
      <c r="R1137" s="912"/>
      <c r="S1137" s="738">
        <f t="shared" si="101"/>
        <v>41690.050000000003</v>
      </c>
      <c r="T1137" s="738" t="str">
        <f t="shared" si="102"/>
        <v>T</v>
      </c>
      <c r="U1137" s="738"/>
      <c r="V1137" s="698"/>
      <c r="W1137" s="710">
        <f t="shared" si="109"/>
        <v>657</v>
      </c>
      <c r="X1137" s="710">
        <f t="shared" si="110"/>
        <v>328.5</v>
      </c>
      <c r="Y1137" s="710">
        <f t="shared" si="111"/>
        <v>7171.5</v>
      </c>
      <c r="Z1137" s="716">
        <f t="shared" si="113"/>
        <v>358</v>
      </c>
      <c r="AA1137" s="716">
        <f t="shared" si="112"/>
        <v>11.499999999999799</v>
      </c>
    </row>
    <row r="1138" spans="1:27" x14ac:dyDescent="0.2">
      <c r="A1138" s="913"/>
      <c r="B1138" s="666"/>
      <c r="C1138" s="580" t="s">
        <v>1065</v>
      </c>
      <c r="D1138" s="870">
        <v>375</v>
      </c>
      <c r="E1138" s="871" t="s">
        <v>8</v>
      </c>
      <c r="F1138" s="667">
        <v>0</v>
      </c>
      <c r="G1138" s="871">
        <v>382</v>
      </c>
      <c r="H1138" s="871" t="s">
        <v>8</v>
      </c>
      <c r="I1138" s="668">
        <v>0</v>
      </c>
      <c r="J1138" s="349"/>
      <c r="K1138" s="876">
        <f t="shared" si="104"/>
        <v>153.30000000000001</v>
      </c>
      <c r="L1138" s="876">
        <f t="shared" si="103"/>
        <v>23.06</v>
      </c>
      <c r="M1138" s="700">
        <f t="shared" si="105"/>
        <v>7.57</v>
      </c>
      <c r="N1138" s="876">
        <f t="shared" si="106"/>
        <v>339.56</v>
      </c>
      <c r="O1138" s="295">
        <v>2.2149999999999999</v>
      </c>
      <c r="P1138" s="697">
        <f t="shared" si="107"/>
        <v>3535.1</v>
      </c>
      <c r="Q1138" s="301">
        <f t="shared" si="108"/>
        <v>1160.48</v>
      </c>
      <c r="R1138" s="912"/>
      <c r="S1138" s="738">
        <f t="shared" si="101"/>
        <v>41690.050000000003</v>
      </c>
      <c r="T1138" s="738" t="str">
        <f t="shared" si="102"/>
        <v>T</v>
      </c>
      <c r="U1138" s="738"/>
      <c r="V1138" s="698"/>
      <c r="W1138" s="710">
        <f t="shared" si="109"/>
        <v>140</v>
      </c>
      <c r="X1138" s="710">
        <f t="shared" si="110"/>
        <v>70</v>
      </c>
      <c r="Y1138" s="710">
        <f t="shared" si="111"/>
        <v>7570</v>
      </c>
      <c r="Z1138" s="716">
        <f t="shared" si="113"/>
        <v>378</v>
      </c>
      <c r="AA1138" s="716">
        <f t="shared" si="112"/>
        <v>10</v>
      </c>
    </row>
    <row r="1139" spans="1:27" x14ac:dyDescent="0.2">
      <c r="A1139" s="913"/>
      <c r="B1139" s="666"/>
      <c r="C1139" s="580" t="s">
        <v>1065</v>
      </c>
      <c r="D1139" s="870">
        <v>382</v>
      </c>
      <c r="E1139" s="871" t="s">
        <v>8</v>
      </c>
      <c r="F1139" s="667">
        <v>0</v>
      </c>
      <c r="G1139" s="871">
        <v>536</v>
      </c>
      <c r="H1139" s="871" t="s">
        <v>8</v>
      </c>
      <c r="I1139" s="668">
        <v>6</v>
      </c>
      <c r="J1139" s="349"/>
      <c r="K1139" s="876">
        <f t="shared" si="104"/>
        <v>5230.7700000000004</v>
      </c>
      <c r="L1139" s="876">
        <f t="shared" si="103"/>
        <v>23.06</v>
      </c>
      <c r="M1139" s="700">
        <f t="shared" si="105"/>
        <v>9.1829999999999998</v>
      </c>
      <c r="N1139" s="876">
        <f t="shared" si="106"/>
        <v>11586.16</v>
      </c>
      <c r="O1139" s="295">
        <v>2.2149999999999999</v>
      </c>
      <c r="P1139" s="697">
        <f t="shared" si="107"/>
        <v>120621.56</v>
      </c>
      <c r="Q1139" s="301">
        <f t="shared" si="108"/>
        <v>48034.16</v>
      </c>
      <c r="R1139" s="912"/>
      <c r="S1139" s="738">
        <f t="shared" si="101"/>
        <v>41690.050000000003</v>
      </c>
      <c r="T1139" s="738" t="str">
        <f t="shared" si="102"/>
        <v>T</v>
      </c>
      <c r="U1139" s="738"/>
      <c r="V1139" s="698"/>
      <c r="W1139" s="710">
        <f t="shared" si="109"/>
        <v>3086</v>
      </c>
      <c r="X1139" s="710">
        <f t="shared" si="110"/>
        <v>1543</v>
      </c>
      <c r="Y1139" s="710">
        <f t="shared" si="111"/>
        <v>9183</v>
      </c>
      <c r="Z1139" s="716">
        <f t="shared" si="113"/>
        <v>459</v>
      </c>
      <c r="AA1139" s="716">
        <f t="shared" si="112"/>
        <v>2.9999999999995501</v>
      </c>
    </row>
    <row r="1140" spans="1:27" x14ac:dyDescent="0.2">
      <c r="A1140" s="913"/>
      <c r="B1140" s="666"/>
      <c r="C1140" s="580" t="s">
        <v>1065</v>
      </c>
      <c r="D1140" s="870">
        <v>536</v>
      </c>
      <c r="E1140" s="871" t="s">
        <v>8</v>
      </c>
      <c r="F1140" s="667">
        <v>16</v>
      </c>
      <c r="G1140" s="871">
        <v>561</v>
      </c>
      <c r="H1140" s="871" t="s">
        <v>8</v>
      </c>
      <c r="I1140" s="668">
        <v>12.45</v>
      </c>
      <c r="J1140" s="349"/>
      <c r="K1140" s="876">
        <f t="shared" si="104"/>
        <v>841.48</v>
      </c>
      <c r="L1140" s="876">
        <f t="shared" si="103"/>
        <v>23.06</v>
      </c>
      <c r="M1140" s="700">
        <f t="shared" si="105"/>
        <v>10.984</v>
      </c>
      <c r="N1140" s="876">
        <f t="shared" si="106"/>
        <v>1863.88</v>
      </c>
      <c r="O1140" s="295">
        <v>2.2149999999999999</v>
      </c>
      <c r="P1140" s="697">
        <f t="shared" si="107"/>
        <v>19404.53</v>
      </c>
      <c r="Q1140" s="301">
        <f t="shared" si="108"/>
        <v>9242.82</v>
      </c>
      <c r="R1140" s="912"/>
      <c r="S1140" s="738">
        <f t="shared" si="101"/>
        <v>41690.050000000003</v>
      </c>
      <c r="T1140" s="738" t="str">
        <f t="shared" si="102"/>
        <v>T</v>
      </c>
      <c r="U1140" s="738"/>
      <c r="V1140" s="698"/>
      <c r="W1140" s="710">
        <f t="shared" si="109"/>
        <v>496.45000000000101</v>
      </c>
      <c r="X1140" s="710">
        <f t="shared" si="110"/>
        <v>248.22500000000099</v>
      </c>
      <c r="Y1140" s="710">
        <f t="shared" si="111"/>
        <v>10984.225</v>
      </c>
      <c r="Z1140" s="716">
        <f t="shared" si="113"/>
        <v>549</v>
      </c>
      <c r="AA1140" s="716">
        <f t="shared" si="112"/>
        <v>4.2250000000012697</v>
      </c>
    </row>
    <row r="1141" spans="1:27" x14ac:dyDescent="0.2">
      <c r="A1141" s="913"/>
      <c r="B1141" s="666"/>
      <c r="C1141" s="580" t="s">
        <v>1432</v>
      </c>
      <c r="D1141" s="870">
        <v>55</v>
      </c>
      <c r="E1141" s="871" t="s">
        <v>8</v>
      </c>
      <c r="F1141" s="667">
        <v>0</v>
      </c>
      <c r="G1141" s="871">
        <v>70</v>
      </c>
      <c r="H1141" s="871" t="s">
        <v>8</v>
      </c>
      <c r="I1141" s="668">
        <v>0</v>
      </c>
      <c r="J1141" s="349"/>
      <c r="K1141" s="876">
        <f t="shared" ref="K1141:K1167" si="114">N897</f>
        <v>703.5</v>
      </c>
      <c r="L1141" s="876">
        <f t="shared" si="103"/>
        <v>22.2</v>
      </c>
      <c r="M1141" s="700">
        <f t="shared" si="105"/>
        <v>1.25</v>
      </c>
      <c r="N1141" s="876">
        <f t="shared" si="106"/>
        <v>1558.25</v>
      </c>
      <c r="O1141" s="295">
        <v>2.2149999999999999</v>
      </c>
      <c r="P1141" s="697">
        <f t="shared" si="107"/>
        <v>15617.7</v>
      </c>
      <c r="Q1141" s="301">
        <f t="shared" si="108"/>
        <v>879.38</v>
      </c>
      <c r="R1141" s="912"/>
      <c r="S1141" s="738">
        <f t="shared" si="101"/>
        <v>41690.050000000003</v>
      </c>
      <c r="T1141" s="738" t="str">
        <f t="shared" si="102"/>
        <v>T</v>
      </c>
      <c r="U1141" s="738"/>
      <c r="V1141" s="698"/>
      <c r="W1141" s="710">
        <f t="shared" si="109"/>
        <v>300</v>
      </c>
      <c r="X1141" s="710">
        <f t="shared" si="110"/>
        <v>150</v>
      </c>
      <c r="Y1141" s="710">
        <f t="shared" si="111"/>
        <v>1250</v>
      </c>
      <c r="Z1141" s="716">
        <f t="shared" si="113"/>
        <v>62</v>
      </c>
      <c r="AA1141" s="716">
        <f t="shared" si="112"/>
        <v>10</v>
      </c>
    </row>
    <row r="1142" spans="1:27" x14ac:dyDescent="0.2">
      <c r="A1142" s="913"/>
      <c r="B1142" s="666"/>
      <c r="C1142" s="580" t="s">
        <v>1426</v>
      </c>
      <c r="D1142" s="870">
        <v>36</v>
      </c>
      <c r="E1142" s="871" t="s">
        <v>8</v>
      </c>
      <c r="F1142" s="667">
        <v>0</v>
      </c>
      <c r="G1142" s="871">
        <v>40</v>
      </c>
      <c r="H1142" s="871" t="s">
        <v>8</v>
      </c>
      <c r="I1142" s="668">
        <v>0</v>
      </c>
      <c r="J1142" s="349"/>
      <c r="K1142" s="876">
        <f t="shared" si="114"/>
        <v>45</v>
      </c>
      <c r="L1142" s="876">
        <f t="shared" si="103"/>
        <v>22.2</v>
      </c>
      <c r="M1142" s="700">
        <f t="shared" si="105"/>
        <v>0.76</v>
      </c>
      <c r="N1142" s="876">
        <f t="shared" si="106"/>
        <v>99.68</v>
      </c>
      <c r="O1142" s="295">
        <v>2.2149999999999999</v>
      </c>
      <c r="P1142" s="697">
        <f t="shared" si="107"/>
        <v>999</v>
      </c>
      <c r="Q1142" s="301">
        <f t="shared" si="108"/>
        <v>34.200000000000003</v>
      </c>
      <c r="R1142" s="912"/>
      <c r="S1142" s="738">
        <f t="shared" si="101"/>
        <v>41690.050000000003</v>
      </c>
      <c r="T1142" s="738" t="str">
        <f t="shared" si="102"/>
        <v>T</v>
      </c>
      <c r="U1142" s="738"/>
      <c r="V1142" s="698"/>
      <c r="W1142" s="710">
        <f t="shared" si="109"/>
        <v>80</v>
      </c>
      <c r="X1142" s="710">
        <f t="shared" si="110"/>
        <v>40</v>
      </c>
      <c r="Y1142" s="710">
        <f t="shared" si="111"/>
        <v>760</v>
      </c>
      <c r="Z1142" s="716">
        <f t="shared" si="113"/>
        <v>38</v>
      </c>
      <c r="AA1142" s="716">
        <f t="shared" si="112"/>
        <v>0</v>
      </c>
    </row>
    <row r="1143" spans="1:27" x14ac:dyDescent="0.2">
      <c r="A1143" s="913"/>
      <c r="B1143" s="666"/>
      <c r="C1143" s="580" t="s">
        <v>1426</v>
      </c>
      <c r="D1143" s="870">
        <v>40</v>
      </c>
      <c r="E1143" s="871" t="s">
        <v>8</v>
      </c>
      <c r="F1143" s="667">
        <v>0</v>
      </c>
      <c r="G1143" s="871">
        <v>44</v>
      </c>
      <c r="H1143" s="871" t="s">
        <v>8</v>
      </c>
      <c r="I1143" s="668">
        <v>0</v>
      </c>
      <c r="J1143" s="349"/>
      <c r="K1143" s="876">
        <f t="shared" si="114"/>
        <v>45</v>
      </c>
      <c r="L1143" s="876">
        <f t="shared" si="103"/>
        <v>22.2</v>
      </c>
      <c r="M1143" s="700">
        <f t="shared" si="105"/>
        <v>0.84</v>
      </c>
      <c r="N1143" s="876">
        <f t="shared" si="106"/>
        <v>99.68</v>
      </c>
      <c r="O1143" s="295">
        <v>2.2149999999999999</v>
      </c>
      <c r="P1143" s="697">
        <f t="shared" si="107"/>
        <v>999</v>
      </c>
      <c r="Q1143" s="301">
        <f t="shared" si="108"/>
        <v>37.799999999999997</v>
      </c>
      <c r="R1143" s="912"/>
      <c r="S1143" s="738">
        <f t="shared" si="101"/>
        <v>41690.050000000003</v>
      </c>
      <c r="T1143" s="738" t="str">
        <f t="shared" si="102"/>
        <v>T</v>
      </c>
      <c r="U1143" s="738"/>
      <c r="V1143" s="698"/>
      <c r="W1143" s="710">
        <f t="shared" si="109"/>
        <v>80</v>
      </c>
      <c r="X1143" s="710">
        <f t="shared" si="110"/>
        <v>40</v>
      </c>
      <c r="Y1143" s="710">
        <f t="shared" si="111"/>
        <v>840</v>
      </c>
      <c r="Z1143" s="716">
        <f t="shared" si="113"/>
        <v>42</v>
      </c>
      <c r="AA1143" s="716">
        <f t="shared" si="112"/>
        <v>0</v>
      </c>
    </row>
    <row r="1144" spans="1:27" x14ac:dyDescent="0.2">
      <c r="A1144" s="913"/>
      <c r="B1144" s="666"/>
      <c r="C1144" s="580" t="s">
        <v>1426</v>
      </c>
      <c r="D1144" s="870">
        <v>70</v>
      </c>
      <c r="E1144" s="871" t="s">
        <v>8</v>
      </c>
      <c r="F1144" s="667">
        <v>0</v>
      </c>
      <c r="G1144" s="871">
        <v>74</v>
      </c>
      <c r="H1144" s="871" t="s">
        <v>8</v>
      </c>
      <c r="I1144" s="668">
        <v>0</v>
      </c>
      <c r="J1144" s="349"/>
      <c r="K1144" s="876">
        <f t="shared" si="114"/>
        <v>45</v>
      </c>
      <c r="L1144" s="876">
        <f t="shared" si="103"/>
        <v>22.2</v>
      </c>
      <c r="M1144" s="700">
        <f t="shared" si="105"/>
        <v>1.44</v>
      </c>
      <c r="N1144" s="876">
        <f t="shared" si="106"/>
        <v>99.68</v>
      </c>
      <c r="O1144" s="295">
        <v>2.2149999999999999</v>
      </c>
      <c r="P1144" s="697">
        <f t="shared" si="107"/>
        <v>999</v>
      </c>
      <c r="Q1144" s="301">
        <f t="shared" si="108"/>
        <v>64.8</v>
      </c>
      <c r="R1144" s="912"/>
      <c r="S1144" s="738">
        <f t="shared" si="101"/>
        <v>41690.050000000003</v>
      </c>
      <c r="T1144" s="738" t="str">
        <f t="shared" si="102"/>
        <v>T</v>
      </c>
      <c r="U1144" s="738"/>
      <c r="V1144" s="698"/>
      <c r="W1144" s="710">
        <f t="shared" si="109"/>
        <v>80</v>
      </c>
      <c r="X1144" s="710">
        <f t="shared" si="110"/>
        <v>40</v>
      </c>
      <c r="Y1144" s="710">
        <f t="shared" si="111"/>
        <v>1440</v>
      </c>
      <c r="Z1144" s="716">
        <f t="shared" si="113"/>
        <v>72</v>
      </c>
      <c r="AA1144" s="716">
        <f t="shared" si="112"/>
        <v>0</v>
      </c>
    </row>
    <row r="1145" spans="1:27" x14ac:dyDescent="0.2">
      <c r="A1145" s="913"/>
      <c r="B1145" s="666"/>
      <c r="C1145" s="580" t="s">
        <v>1426</v>
      </c>
      <c r="D1145" s="870">
        <v>74</v>
      </c>
      <c r="E1145" s="871" t="s">
        <v>8</v>
      </c>
      <c r="F1145" s="667">
        <v>0</v>
      </c>
      <c r="G1145" s="871">
        <v>78</v>
      </c>
      <c r="H1145" s="871" t="s">
        <v>8</v>
      </c>
      <c r="I1145" s="668">
        <v>0</v>
      </c>
      <c r="J1145" s="349"/>
      <c r="K1145" s="876">
        <f t="shared" si="114"/>
        <v>45</v>
      </c>
      <c r="L1145" s="876">
        <f t="shared" si="103"/>
        <v>22.2</v>
      </c>
      <c r="M1145" s="700">
        <f t="shared" si="105"/>
        <v>1.52</v>
      </c>
      <c r="N1145" s="876">
        <f t="shared" si="106"/>
        <v>99.68</v>
      </c>
      <c r="O1145" s="295">
        <v>2.2149999999999999</v>
      </c>
      <c r="P1145" s="697">
        <f t="shared" si="107"/>
        <v>999</v>
      </c>
      <c r="Q1145" s="301">
        <f t="shared" si="108"/>
        <v>68.400000000000006</v>
      </c>
      <c r="R1145" s="912"/>
      <c r="S1145" s="738">
        <f t="shared" si="101"/>
        <v>41690.050000000003</v>
      </c>
      <c r="T1145" s="738" t="str">
        <f t="shared" si="102"/>
        <v>T</v>
      </c>
      <c r="U1145" s="738"/>
      <c r="V1145" s="698"/>
      <c r="W1145" s="710">
        <f t="shared" si="109"/>
        <v>80</v>
      </c>
      <c r="X1145" s="710">
        <f t="shared" si="110"/>
        <v>40</v>
      </c>
      <c r="Y1145" s="710">
        <f t="shared" si="111"/>
        <v>1520</v>
      </c>
      <c r="Z1145" s="716">
        <f t="shared" si="113"/>
        <v>76</v>
      </c>
      <c r="AA1145" s="716">
        <f t="shared" si="112"/>
        <v>0</v>
      </c>
    </row>
    <row r="1146" spans="1:27" x14ac:dyDescent="0.2">
      <c r="A1146" s="913"/>
      <c r="B1146" s="666"/>
      <c r="C1146" s="580" t="s">
        <v>1426</v>
      </c>
      <c r="D1146" s="870">
        <v>111</v>
      </c>
      <c r="E1146" s="871" t="s">
        <v>8</v>
      </c>
      <c r="F1146" s="667">
        <v>0</v>
      </c>
      <c r="G1146" s="871">
        <v>115</v>
      </c>
      <c r="H1146" s="871" t="s">
        <v>8</v>
      </c>
      <c r="I1146" s="668">
        <v>0</v>
      </c>
      <c r="J1146" s="349"/>
      <c r="K1146" s="876">
        <f t="shared" si="114"/>
        <v>45</v>
      </c>
      <c r="L1146" s="876">
        <f t="shared" si="103"/>
        <v>22.2</v>
      </c>
      <c r="M1146" s="700">
        <f t="shared" si="105"/>
        <v>2.2599999999999998</v>
      </c>
      <c r="N1146" s="876">
        <f t="shared" si="106"/>
        <v>99.68</v>
      </c>
      <c r="O1146" s="295">
        <v>2.2149999999999999</v>
      </c>
      <c r="P1146" s="697">
        <f t="shared" si="107"/>
        <v>999</v>
      </c>
      <c r="Q1146" s="301">
        <f t="shared" si="108"/>
        <v>101.7</v>
      </c>
      <c r="R1146" s="912"/>
      <c r="S1146" s="738">
        <f t="shared" si="101"/>
        <v>41690.050000000003</v>
      </c>
      <c r="T1146" s="738" t="str">
        <f t="shared" si="102"/>
        <v>T</v>
      </c>
      <c r="U1146" s="738"/>
      <c r="V1146" s="698"/>
      <c r="W1146" s="710">
        <f t="shared" si="109"/>
        <v>80</v>
      </c>
      <c r="X1146" s="710">
        <f t="shared" si="110"/>
        <v>40</v>
      </c>
      <c r="Y1146" s="710">
        <f t="shared" si="111"/>
        <v>2260</v>
      </c>
      <c r="Z1146" s="716">
        <f t="shared" si="113"/>
        <v>113</v>
      </c>
      <c r="AA1146" s="716">
        <f t="shared" si="112"/>
        <v>0</v>
      </c>
    </row>
    <row r="1147" spans="1:27" x14ac:dyDescent="0.2">
      <c r="A1147" s="913"/>
      <c r="B1147" s="666"/>
      <c r="C1147" s="580" t="s">
        <v>1426</v>
      </c>
      <c r="D1147" s="870">
        <v>115</v>
      </c>
      <c r="E1147" s="871" t="s">
        <v>8</v>
      </c>
      <c r="F1147" s="667">
        <v>0</v>
      </c>
      <c r="G1147" s="871">
        <v>119</v>
      </c>
      <c r="H1147" s="871" t="s">
        <v>8</v>
      </c>
      <c r="I1147" s="668">
        <v>0</v>
      </c>
      <c r="J1147" s="349"/>
      <c r="K1147" s="876">
        <f t="shared" si="114"/>
        <v>45</v>
      </c>
      <c r="L1147" s="876">
        <f t="shared" si="103"/>
        <v>22.2</v>
      </c>
      <c r="M1147" s="700">
        <f t="shared" si="105"/>
        <v>2.34</v>
      </c>
      <c r="N1147" s="876">
        <f t="shared" si="106"/>
        <v>99.68</v>
      </c>
      <c r="O1147" s="295">
        <v>2.2149999999999999</v>
      </c>
      <c r="P1147" s="697">
        <f t="shared" si="107"/>
        <v>999</v>
      </c>
      <c r="Q1147" s="301">
        <f t="shared" si="108"/>
        <v>105.3</v>
      </c>
      <c r="R1147" s="912"/>
      <c r="S1147" s="738">
        <f t="shared" si="101"/>
        <v>41690.050000000003</v>
      </c>
      <c r="T1147" s="738" t="str">
        <f t="shared" si="102"/>
        <v>T</v>
      </c>
      <c r="U1147" s="738"/>
      <c r="V1147" s="698"/>
      <c r="W1147" s="710">
        <f t="shared" si="109"/>
        <v>80</v>
      </c>
      <c r="X1147" s="710">
        <f t="shared" si="110"/>
        <v>40</v>
      </c>
      <c r="Y1147" s="710">
        <f t="shared" si="111"/>
        <v>2340</v>
      </c>
      <c r="Z1147" s="716">
        <f t="shared" si="113"/>
        <v>117</v>
      </c>
      <c r="AA1147" s="716">
        <f t="shared" si="112"/>
        <v>0</v>
      </c>
    </row>
    <row r="1148" spans="1:27" x14ac:dyDescent="0.2">
      <c r="A1148" s="913"/>
      <c r="B1148" s="666"/>
      <c r="C1148" s="580" t="s">
        <v>1426</v>
      </c>
      <c r="D1148" s="870">
        <v>144</v>
      </c>
      <c r="E1148" s="871" t="s">
        <v>8</v>
      </c>
      <c r="F1148" s="667">
        <v>0</v>
      </c>
      <c r="G1148" s="871">
        <v>148</v>
      </c>
      <c r="H1148" s="871" t="s">
        <v>8</v>
      </c>
      <c r="I1148" s="668">
        <v>0</v>
      </c>
      <c r="J1148" s="349"/>
      <c r="K1148" s="876">
        <f t="shared" si="114"/>
        <v>45</v>
      </c>
      <c r="L1148" s="876">
        <f t="shared" si="103"/>
        <v>22.2</v>
      </c>
      <c r="M1148" s="700">
        <f t="shared" si="105"/>
        <v>2.92</v>
      </c>
      <c r="N1148" s="876">
        <f t="shared" si="106"/>
        <v>99.68</v>
      </c>
      <c r="O1148" s="295">
        <v>2.2149999999999999</v>
      </c>
      <c r="P1148" s="697">
        <f t="shared" si="107"/>
        <v>999</v>
      </c>
      <c r="Q1148" s="301">
        <f t="shared" si="108"/>
        <v>131.4</v>
      </c>
      <c r="R1148" s="912"/>
      <c r="S1148" s="738">
        <f t="shared" si="101"/>
        <v>41690.050000000003</v>
      </c>
      <c r="T1148" s="738" t="str">
        <f t="shared" si="102"/>
        <v>T</v>
      </c>
      <c r="U1148" s="738"/>
      <c r="V1148" s="698"/>
      <c r="W1148" s="710">
        <f t="shared" si="109"/>
        <v>80</v>
      </c>
      <c r="X1148" s="710">
        <f t="shared" si="110"/>
        <v>40</v>
      </c>
      <c r="Y1148" s="710">
        <f t="shared" si="111"/>
        <v>2920</v>
      </c>
      <c r="Z1148" s="716">
        <f t="shared" si="113"/>
        <v>146</v>
      </c>
      <c r="AA1148" s="716">
        <f t="shared" si="112"/>
        <v>0</v>
      </c>
    </row>
    <row r="1149" spans="1:27" x14ac:dyDescent="0.2">
      <c r="A1149" s="913"/>
      <c r="B1149" s="666"/>
      <c r="C1149" s="580" t="s">
        <v>1426</v>
      </c>
      <c r="D1149" s="870">
        <v>148</v>
      </c>
      <c r="E1149" s="871" t="s">
        <v>8</v>
      </c>
      <c r="F1149" s="667">
        <v>0</v>
      </c>
      <c r="G1149" s="871">
        <v>152</v>
      </c>
      <c r="H1149" s="871" t="s">
        <v>8</v>
      </c>
      <c r="I1149" s="668">
        <v>0</v>
      </c>
      <c r="J1149" s="349"/>
      <c r="K1149" s="876">
        <f t="shared" si="114"/>
        <v>45</v>
      </c>
      <c r="L1149" s="876">
        <f t="shared" si="103"/>
        <v>22.2</v>
      </c>
      <c r="M1149" s="700">
        <f t="shared" si="105"/>
        <v>3</v>
      </c>
      <c r="N1149" s="876">
        <f t="shared" si="106"/>
        <v>99.68</v>
      </c>
      <c r="O1149" s="295">
        <v>2.2149999999999999</v>
      </c>
      <c r="P1149" s="697">
        <f t="shared" si="107"/>
        <v>999</v>
      </c>
      <c r="Q1149" s="301">
        <f t="shared" si="108"/>
        <v>135</v>
      </c>
      <c r="R1149" s="912"/>
      <c r="S1149" s="738">
        <f t="shared" si="101"/>
        <v>41690.050000000003</v>
      </c>
      <c r="T1149" s="738" t="str">
        <f t="shared" si="102"/>
        <v>T</v>
      </c>
      <c r="U1149" s="738"/>
      <c r="V1149" s="698"/>
      <c r="W1149" s="710">
        <f t="shared" si="109"/>
        <v>80</v>
      </c>
      <c r="X1149" s="710">
        <f t="shared" si="110"/>
        <v>40</v>
      </c>
      <c r="Y1149" s="710">
        <f t="shared" si="111"/>
        <v>3000</v>
      </c>
      <c r="Z1149" s="716">
        <f t="shared" si="113"/>
        <v>150</v>
      </c>
      <c r="AA1149" s="716">
        <f t="shared" si="112"/>
        <v>0</v>
      </c>
    </row>
    <row r="1150" spans="1:27" x14ac:dyDescent="0.2">
      <c r="A1150" s="913"/>
      <c r="B1150" s="666"/>
      <c r="C1150" s="580" t="s">
        <v>1426</v>
      </c>
      <c r="D1150" s="870">
        <v>201</v>
      </c>
      <c r="E1150" s="871" t="s">
        <v>8</v>
      </c>
      <c r="F1150" s="667">
        <v>0</v>
      </c>
      <c r="G1150" s="871">
        <v>205</v>
      </c>
      <c r="H1150" s="871" t="s">
        <v>8</v>
      </c>
      <c r="I1150" s="668">
        <v>0</v>
      </c>
      <c r="J1150" s="349"/>
      <c r="K1150" s="876">
        <f t="shared" si="114"/>
        <v>45</v>
      </c>
      <c r="L1150" s="876">
        <f t="shared" si="103"/>
        <v>22.2</v>
      </c>
      <c r="M1150" s="700">
        <f t="shared" si="105"/>
        <v>4.0599999999999996</v>
      </c>
      <c r="N1150" s="876">
        <f t="shared" si="106"/>
        <v>99.68</v>
      </c>
      <c r="O1150" s="295">
        <v>2.2149999999999999</v>
      </c>
      <c r="P1150" s="697">
        <f t="shared" si="107"/>
        <v>999</v>
      </c>
      <c r="Q1150" s="301">
        <f t="shared" si="108"/>
        <v>182.7</v>
      </c>
      <c r="R1150" s="912"/>
      <c r="S1150" s="738">
        <f t="shared" si="101"/>
        <v>41690.050000000003</v>
      </c>
      <c r="T1150" s="738" t="str">
        <f t="shared" si="102"/>
        <v>T</v>
      </c>
      <c r="U1150" s="738"/>
      <c r="V1150" s="698"/>
      <c r="W1150" s="710">
        <f t="shared" si="109"/>
        <v>80</v>
      </c>
      <c r="X1150" s="710">
        <f t="shared" si="110"/>
        <v>40</v>
      </c>
      <c r="Y1150" s="710">
        <f t="shared" si="111"/>
        <v>4060</v>
      </c>
      <c r="Z1150" s="716">
        <f t="shared" si="113"/>
        <v>203</v>
      </c>
      <c r="AA1150" s="716">
        <f t="shared" si="112"/>
        <v>0</v>
      </c>
    </row>
    <row r="1151" spans="1:27" x14ac:dyDescent="0.2">
      <c r="A1151" s="913"/>
      <c r="B1151" s="666"/>
      <c r="C1151" s="580" t="s">
        <v>1426</v>
      </c>
      <c r="D1151" s="870">
        <v>205</v>
      </c>
      <c r="E1151" s="871" t="s">
        <v>8</v>
      </c>
      <c r="F1151" s="667">
        <v>0</v>
      </c>
      <c r="G1151" s="871">
        <v>209</v>
      </c>
      <c r="H1151" s="871" t="s">
        <v>8</v>
      </c>
      <c r="I1151" s="668">
        <v>0</v>
      </c>
      <c r="J1151" s="349"/>
      <c r="K1151" s="876">
        <f t="shared" si="114"/>
        <v>45</v>
      </c>
      <c r="L1151" s="876">
        <f t="shared" si="103"/>
        <v>22.2</v>
      </c>
      <c r="M1151" s="700">
        <f t="shared" si="105"/>
        <v>4.1399999999999997</v>
      </c>
      <c r="N1151" s="876">
        <f t="shared" si="106"/>
        <v>99.68</v>
      </c>
      <c r="O1151" s="295">
        <v>2.2149999999999999</v>
      </c>
      <c r="P1151" s="697">
        <f t="shared" si="107"/>
        <v>999</v>
      </c>
      <c r="Q1151" s="301">
        <f t="shared" si="108"/>
        <v>186.3</v>
      </c>
      <c r="R1151" s="912"/>
      <c r="S1151" s="738">
        <f t="shared" si="101"/>
        <v>41690.050000000003</v>
      </c>
      <c r="T1151" s="738" t="str">
        <f t="shared" si="102"/>
        <v>T</v>
      </c>
      <c r="U1151" s="738"/>
      <c r="V1151" s="698"/>
      <c r="W1151" s="710">
        <f t="shared" si="109"/>
        <v>80</v>
      </c>
      <c r="X1151" s="710">
        <f t="shared" si="110"/>
        <v>40</v>
      </c>
      <c r="Y1151" s="710">
        <f t="shared" si="111"/>
        <v>4140</v>
      </c>
      <c r="Z1151" s="716">
        <f t="shared" si="113"/>
        <v>207</v>
      </c>
      <c r="AA1151" s="716">
        <f t="shared" si="112"/>
        <v>0</v>
      </c>
    </row>
    <row r="1152" spans="1:27" x14ac:dyDescent="0.2">
      <c r="A1152" s="913"/>
      <c r="B1152" s="666"/>
      <c r="C1152" s="580" t="s">
        <v>1426</v>
      </c>
      <c r="D1152" s="870">
        <v>253</v>
      </c>
      <c r="E1152" s="871" t="s">
        <v>8</v>
      </c>
      <c r="F1152" s="667">
        <v>0</v>
      </c>
      <c r="G1152" s="871">
        <v>257</v>
      </c>
      <c r="H1152" s="871" t="s">
        <v>8</v>
      </c>
      <c r="I1152" s="668">
        <v>0</v>
      </c>
      <c r="J1152" s="349"/>
      <c r="K1152" s="876">
        <f t="shared" si="114"/>
        <v>45</v>
      </c>
      <c r="L1152" s="876">
        <f t="shared" si="103"/>
        <v>22.2</v>
      </c>
      <c r="M1152" s="700">
        <f t="shared" si="105"/>
        <v>5.0999999999999996</v>
      </c>
      <c r="N1152" s="876">
        <f t="shared" si="106"/>
        <v>99.68</v>
      </c>
      <c r="O1152" s="295">
        <v>2.2149999999999999</v>
      </c>
      <c r="P1152" s="697">
        <f t="shared" si="107"/>
        <v>999</v>
      </c>
      <c r="Q1152" s="301">
        <f t="shared" si="108"/>
        <v>229.5</v>
      </c>
      <c r="R1152" s="912"/>
      <c r="S1152" s="738">
        <f t="shared" si="101"/>
        <v>41690.050000000003</v>
      </c>
      <c r="T1152" s="738" t="str">
        <f t="shared" si="102"/>
        <v>T</v>
      </c>
      <c r="U1152" s="738"/>
      <c r="V1152" s="698"/>
      <c r="W1152" s="710">
        <f t="shared" si="109"/>
        <v>80</v>
      </c>
      <c r="X1152" s="710">
        <f t="shared" si="110"/>
        <v>40</v>
      </c>
      <c r="Y1152" s="710">
        <f t="shared" si="111"/>
        <v>5100</v>
      </c>
      <c r="Z1152" s="716">
        <f t="shared" si="113"/>
        <v>255</v>
      </c>
      <c r="AA1152" s="716">
        <f t="shared" si="112"/>
        <v>0</v>
      </c>
    </row>
    <row r="1153" spans="1:27" x14ac:dyDescent="0.2">
      <c r="A1153" s="913"/>
      <c r="B1153" s="666"/>
      <c r="C1153" s="580" t="s">
        <v>1426</v>
      </c>
      <c r="D1153" s="870">
        <v>257</v>
      </c>
      <c r="E1153" s="871" t="s">
        <v>8</v>
      </c>
      <c r="F1153" s="667">
        <v>0</v>
      </c>
      <c r="G1153" s="871">
        <v>261</v>
      </c>
      <c r="H1153" s="871" t="s">
        <v>8</v>
      </c>
      <c r="I1153" s="668">
        <v>0</v>
      </c>
      <c r="J1153" s="349"/>
      <c r="K1153" s="876">
        <f t="shared" si="114"/>
        <v>45</v>
      </c>
      <c r="L1153" s="876">
        <f t="shared" si="103"/>
        <v>22.2</v>
      </c>
      <c r="M1153" s="700">
        <f t="shared" si="105"/>
        <v>5.18</v>
      </c>
      <c r="N1153" s="876">
        <f t="shared" si="106"/>
        <v>99.68</v>
      </c>
      <c r="O1153" s="295">
        <v>2.2149999999999999</v>
      </c>
      <c r="P1153" s="697">
        <f t="shared" si="107"/>
        <v>999</v>
      </c>
      <c r="Q1153" s="301">
        <f t="shared" si="108"/>
        <v>233.1</v>
      </c>
      <c r="R1153" s="912"/>
      <c r="S1153" s="738">
        <f t="shared" si="101"/>
        <v>41690.050000000003</v>
      </c>
      <c r="T1153" s="738" t="str">
        <f t="shared" si="102"/>
        <v>T</v>
      </c>
      <c r="U1153" s="738"/>
      <c r="V1153" s="698"/>
      <c r="W1153" s="710">
        <f t="shared" si="109"/>
        <v>80</v>
      </c>
      <c r="X1153" s="710">
        <f t="shared" si="110"/>
        <v>40</v>
      </c>
      <c r="Y1153" s="710">
        <f t="shared" si="111"/>
        <v>5180</v>
      </c>
      <c r="Z1153" s="716">
        <f t="shared" si="113"/>
        <v>259</v>
      </c>
      <c r="AA1153" s="716">
        <f t="shared" si="112"/>
        <v>0</v>
      </c>
    </row>
    <row r="1154" spans="1:27" x14ac:dyDescent="0.2">
      <c r="A1154" s="913"/>
      <c r="B1154" s="666"/>
      <c r="C1154" s="580" t="s">
        <v>1426</v>
      </c>
      <c r="D1154" s="870">
        <v>350</v>
      </c>
      <c r="E1154" s="871" t="s">
        <v>8</v>
      </c>
      <c r="F1154" s="667">
        <v>0</v>
      </c>
      <c r="G1154" s="871">
        <v>354</v>
      </c>
      <c r="H1154" s="871" t="s">
        <v>8</v>
      </c>
      <c r="I1154" s="668">
        <v>0</v>
      </c>
      <c r="J1154" s="349"/>
      <c r="K1154" s="876">
        <f t="shared" si="114"/>
        <v>45</v>
      </c>
      <c r="L1154" s="876">
        <f t="shared" si="103"/>
        <v>23.06</v>
      </c>
      <c r="M1154" s="700">
        <f t="shared" si="105"/>
        <v>7.04</v>
      </c>
      <c r="N1154" s="876">
        <f t="shared" si="106"/>
        <v>99.68</v>
      </c>
      <c r="O1154" s="295">
        <v>2.2149999999999999</v>
      </c>
      <c r="P1154" s="697">
        <f t="shared" si="107"/>
        <v>1037.7</v>
      </c>
      <c r="Q1154" s="301">
        <f t="shared" si="108"/>
        <v>316.8</v>
      </c>
      <c r="R1154" s="912"/>
      <c r="S1154" s="738">
        <f t="shared" si="101"/>
        <v>41690.050000000003</v>
      </c>
      <c r="T1154" s="738" t="str">
        <f t="shared" si="102"/>
        <v>T</v>
      </c>
      <c r="U1154" s="738"/>
      <c r="V1154" s="698"/>
      <c r="W1154" s="710">
        <f t="shared" si="109"/>
        <v>80</v>
      </c>
      <c r="X1154" s="710">
        <f t="shared" si="110"/>
        <v>40</v>
      </c>
      <c r="Y1154" s="710">
        <f t="shared" si="111"/>
        <v>7040</v>
      </c>
      <c r="Z1154" s="716">
        <f t="shared" si="113"/>
        <v>352</v>
      </c>
      <c r="AA1154" s="716">
        <f t="shared" si="112"/>
        <v>0</v>
      </c>
    </row>
    <row r="1155" spans="1:27" x14ac:dyDescent="0.2">
      <c r="A1155" s="913"/>
      <c r="B1155" s="666"/>
      <c r="C1155" s="580" t="s">
        <v>1426</v>
      </c>
      <c r="D1155" s="870">
        <v>354</v>
      </c>
      <c r="E1155" s="871" t="s">
        <v>8</v>
      </c>
      <c r="F1155" s="667">
        <v>0</v>
      </c>
      <c r="G1155" s="871">
        <v>358</v>
      </c>
      <c r="H1155" s="871" t="s">
        <v>8</v>
      </c>
      <c r="I1155" s="668">
        <v>0</v>
      </c>
      <c r="J1155" s="349"/>
      <c r="K1155" s="876">
        <f t="shared" si="114"/>
        <v>45</v>
      </c>
      <c r="L1155" s="876">
        <f t="shared" si="103"/>
        <v>23.06</v>
      </c>
      <c r="M1155" s="700">
        <f>Y1155/1000</f>
        <v>7.12</v>
      </c>
      <c r="N1155" s="876">
        <f t="shared" si="106"/>
        <v>99.68</v>
      </c>
      <c r="O1155" s="295">
        <v>2.2149999999999999</v>
      </c>
      <c r="P1155" s="697">
        <f t="shared" si="107"/>
        <v>1037.7</v>
      </c>
      <c r="Q1155" s="301">
        <f t="shared" si="108"/>
        <v>320.39999999999998</v>
      </c>
      <c r="R1155" s="912"/>
      <c r="S1155" s="738">
        <f t="shared" si="101"/>
        <v>41690.050000000003</v>
      </c>
      <c r="T1155" s="738" t="str">
        <f t="shared" si="102"/>
        <v>T</v>
      </c>
      <c r="U1155" s="738"/>
      <c r="V1155" s="698"/>
      <c r="W1155" s="710">
        <f t="shared" si="109"/>
        <v>80</v>
      </c>
      <c r="X1155" s="710">
        <f t="shared" si="110"/>
        <v>40</v>
      </c>
      <c r="Y1155" s="710">
        <f t="shared" si="111"/>
        <v>7120</v>
      </c>
      <c r="Z1155" s="716">
        <f t="shared" si="113"/>
        <v>356</v>
      </c>
      <c r="AA1155" s="716">
        <f t="shared" si="112"/>
        <v>0</v>
      </c>
    </row>
    <row r="1156" spans="1:27" x14ac:dyDescent="0.2">
      <c r="A1156" s="913"/>
      <c r="B1156" s="666"/>
      <c r="C1156" s="580" t="s">
        <v>1426</v>
      </c>
      <c r="D1156" s="870">
        <v>391</v>
      </c>
      <c r="E1156" s="871" t="s">
        <v>8</v>
      </c>
      <c r="F1156" s="667">
        <v>0</v>
      </c>
      <c r="G1156" s="871">
        <v>395</v>
      </c>
      <c r="H1156" s="871" t="s">
        <v>8</v>
      </c>
      <c r="I1156" s="668">
        <v>0</v>
      </c>
      <c r="J1156" s="349"/>
      <c r="K1156" s="876">
        <f t="shared" si="114"/>
        <v>45</v>
      </c>
      <c r="L1156" s="876">
        <f t="shared" si="103"/>
        <v>23.06</v>
      </c>
      <c r="M1156" s="700">
        <f t="shared" si="105"/>
        <v>7.86</v>
      </c>
      <c r="N1156" s="876">
        <f t="shared" si="106"/>
        <v>99.68</v>
      </c>
      <c r="O1156" s="295">
        <v>2.2149999999999999</v>
      </c>
      <c r="P1156" s="697">
        <f t="shared" si="107"/>
        <v>1037.7</v>
      </c>
      <c r="Q1156" s="301">
        <f t="shared" si="108"/>
        <v>353.7</v>
      </c>
      <c r="R1156" s="912"/>
      <c r="S1156" s="738">
        <f t="shared" si="101"/>
        <v>41690.050000000003</v>
      </c>
      <c r="T1156" s="738" t="str">
        <f t="shared" si="102"/>
        <v>T</v>
      </c>
      <c r="U1156" s="738"/>
      <c r="V1156" s="698"/>
      <c r="W1156" s="710">
        <f t="shared" si="109"/>
        <v>80</v>
      </c>
      <c r="X1156" s="710">
        <f t="shared" si="110"/>
        <v>40</v>
      </c>
      <c r="Y1156" s="710">
        <f t="shared" si="111"/>
        <v>7860</v>
      </c>
      <c r="Z1156" s="716">
        <f t="shared" si="113"/>
        <v>393</v>
      </c>
      <c r="AA1156" s="716">
        <f t="shared" si="112"/>
        <v>0</v>
      </c>
    </row>
    <row r="1157" spans="1:27" x14ac:dyDescent="0.2">
      <c r="A1157" s="913"/>
      <c r="B1157" s="666"/>
      <c r="C1157" s="580" t="s">
        <v>1426</v>
      </c>
      <c r="D1157" s="870">
        <v>398</v>
      </c>
      <c r="E1157" s="871" t="s">
        <v>8</v>
      </c>
      <c r="F1157" s="667">
        <v>0</v>
      </c>
      <c r="G1157" s="871">
        <v>402</v>
      </c>
      <c r="H1157" s="871" t="s">
        <v>8</v>
      </c>
      <c r="I1157" s="668">
        <v>0</v>
      </c>
      <c r="J1157" s="349"/>
      <c r="K1157" s="876">
        <f t="shared" si="114"/>
        <v>45</v>
      </c>
      <c r="L1157" s="876">
        <f t="shared" si="103"/>
        <v>23.06</v>
      </c>
      <c r="M1157" s="700">
        <f t="shared" si="105"/>
        <v>8</v>
      </c>
      <c r="N1157" s="876">
        <f t="shared" si="106"/>
        <v>99.68</v>
      </c>
      <c r="O1157" s="295">
        <v>2.2149999999999999</v>
      </c>
      <c r="P1157" s="697">
        <f t="shared" si="107"/>
        <v>1037.7</v>
      </c>
      <c r="Q1157" s="301">
        <f t="shared" si="108"/>
        <v>360</v>
      </c>
      <c r="R1157" s="912"/>
      <c r="S1157" s="738">
        <f t="shared" si="101"/>
        <v>41690.050000000003</v>
      </c>
      <c r="T1157" s="738" t="str">
        <f t="shared" si="102"/>
        <v>T</v>
      </c>
      <c r="U1157" s="738"/>
      <c r="V1157" s="698"/>
      <c r="W1157" s="710">
        <f t="shared" si="109"/>
        <v>80</v>
      </c>
      <c r="X1157" s="710">
        <f t="shared" si="110"/>
        <v>40</v>
      </c>
      <c r="Y1157" s="710">
        <f t="shared" si="111"/>
        <v>8000</v>
      </c>
      <c r="Z1157" s="716">
        <f t="shared" si="113"/>
        <v>400</v>
      </c>
      <c r="AA1157" s="716">
        <f t="shared" si="112"/>
        <v>0</v>
      </c>
    </row>
    <row r="1158" spans="1:27" x14ac:dyDescent="0.2">
      <c r="A1158" s="913"/>
      <c r="B1158" s="666"/>
      <c r="C1158" s="580" t="s">
        <v>1426</v>
      </c>
      <c r="D1158" s="870">
        <v>420</v>
      </c>
      <c r="E1158" s="871" t="s">
        <v>8</v>
      </c>
      <c r="F1158" s="667">
        <v>0</v>
      </c>
      <c r="G1158" s="871">
        <v>424</v>
      </c>
      <c r="H1158" s="871" t="s">
        <v>8</v>
      </c>
      <c r="I1158" s="668">
        <v>0</v>
      </c>
      <c r="J1158" s="349"/>
      <c r="K1158" s="876">
        <f t="shared" si="114"/>
        <v>45</v>
      </c>
      <c r="L1158" s="876">
        <f t="shared" si="103"/>
        <v>23.06</v>
      </c>
      <c r="M1158" s="700">
        <f t="shared" si="105"/>
        <v>8.44</v>
      </c>
      <c r="N1158" s="876">
        <f t="shared" si="106"/>
        <v>99.68</v>
      </c>
      <c r="O1158" s="295">
        <v>2.2149999999999999</v>
      </c>
      <c r="P1158" s="697">
        <f t="shared" si="107"/>
        <v>1037.7</v>
      </c>
      <c r="Q1158" s="301">
        <f t="shared" si="108"/>
        <v>379.8</v>
      </c>
      <c r="R1158" s="912"/>
      <c r="S1158" s="738">
        <f t="shared" si="101"/>
        <v>41690.050000000003</v>
      </c>
      <c r="T1158" s="738" t="str">
        <f t="shared" si="102"/>
        <v>T</v>
      </c>
      <c r="U1158" s="738"/>
      <c r="V1158" s="698"/>
      <c r="W1158" s="710">
        <f t="shared" si="109"/>
        <v>80</v>
      </c>
      <c r="X1158" s="710">
        <f t="shared" si="110"/>
        <v>40</v>
      </c>
      <c r="Y1158" s="710">
        <f t="shared" si="111"/>
        <v>8440</v>
      </c>
      <c r="Z1158" s="716">
        <f t="shared" si="113"/>
        <v>422</v>
      </c>
      <c r="AA1158" s="716">
        <f t="shared" si="112"/>
        <v>0</v>
      </c>
    </row>
    <row r="1159" spans="1:27" x14ac:dyDescent="0.2">
      <c r="A1159" s="913"/>
      <c r="B1159" s="666"/>
      <c r="C1159" s="580" t="s">
        <v>1426</v>
      </c>
      <c r="D1159" s="870">
        <v>424</v>
      </c>
      <c r="E1159" s="871" t="s">
        <v>8</v>
      </c>
      <c r="F1159" s="667">
        <v>0</v>
      </c>
      <c r="G1159" s="871">
        <v>428</v>
      </c>
      <c r="H1159" s="871" t="s">
        <v>8</v>
      </c>
      <c r="I1159" s="668">
        <v>0</v>
      </c>
      <c r="J1159" s="349"/>
      <c r="K1159" s="876">
        <f t="shared" si="114"/>
        <v>45</v>
      </c>
      <c r="L1159" s="876">
        <f t="shared" si="103"/>
        <v>23.06</v>
      </c>
      <c r="M1159" s="700">
        <f t="shared" si="105"/>
        <v>8.52</v>
      </c>
      <c r="N1159" s="876">
        <f t="shared" si="106"/>
        <v>99.68</v>
      </c>
      <c r="O1159" s="295">
        <v>2.2149999999999999</v>
      </c>
      <c r="P1159" s="697">
        <f t="shared" si="107"/>
        <v>1037.7</v>
      </c>
      <c r="Q1159" s="301">
        <f t="shared" si="108"/>
        <v>383.4</v>
      </c>
      <c r="R1159" s="912"/>
      <c r="S1159" s="738">
        <f t="shared" si="101"/>
        <v>41690.050000000003</v>
      </c>
      <c r="T1159" s="738" t="str">
        <f t="shared" si="102"/>
        <v>T</v>
      </c>
      <c r="U1159" s="738"/>
      <c r="V1159" s="698"/>
      <c r="W1159" s="710">
        <f t="shared" si="109"/>
        <v>80</v>
      </c>
      <c r="X1159" s="710">
        <f t="shared" si="110"/>
        <v>40</v>
      </c>
      <c r="Y1159" s="710">
        <f t="shared" si="111"/>
        <v>8520</v>
      </c>
      <c r="Z1159" s="716">
        <f t="shared" si="113"/>
        <v>426</v>
      </c>
      <c r="AA1159" s="716">
        <f t="shared" si="112"/>
        <v>0</v>
      </c>
    </row>
    <row r="1160" spans="1:27" x14ac:dyDescent="0.2">
      <c r="A1160" s="913"/>
      <c r="B1160" s="666"/>
      <c r="C1160" s="580" t="s">
        <v>1426</v>
      </c>
      <c r="D1160" s="870">
        <v>450</v>
      </c>
      <c r="E1160" s="871" t="s">
        <v>8</v>
      </c>
      <c r="F1160" s="667">
        <v>0</v>
      </c>
      <c r="G1160" s="871">
        <v>454</v>
      </c>
      <c r="H1160" s="871" t="s">
        <v>8</v>
      </c>
      <c r="I1160" s="668">
        <v>0</v>
      </c>
      <c r="J1160" s="349"/>
      <c r="K1160" s="876">
        <f t="shared" si="114"/>
        <v>45</v>
      </c>
      <c r="L1160" s="876">
        <f t="shared" si="103"/>
        <v>23.06</v>
      </c>
      <c r="M1160" s="700">
        <f t="shared" si="105"/>
        <v>9.0399999999999991</v>
      </c>
      <c r="N1160" s="876">
        <f t="shared" si="106"/>
        <v>99.68</v>
      </c>
      <c r="O1160" s="295">
        <v>2.2149999999999999</v>
      </c>
      <c r="P1160" s="697">
        <f t="shared" si="107"/>
        <v>1037.7</v>
      </c>
      <c r="Q1160" s="301">
        <f t="shared" si="108"/>
        <v>406.8</v>
      </c>
      <c r="R1160" s="912"/>
      <c r="S1160" s="738">
        <f t="shared" si="101"/>
        <v>41690.050000000003</v>
      </c>
      <c r="T1160" s="738" t="str">
        <f t="shared" si="102"/>
        <v>T</v>
      </c>
      <c r="U1160" s="738"/>
      <c r="V1160" s="698"/>
      <c r="W1160" s="710">
        <f t="shared" si="109"/>
        <v>80</v>
      </c>
      <c r="X1160" s="710">
        <f t="shared" si="110"/>
        <v>40</v>
      </c>
      <c r="Y1160" s="710">
        <f t="shared" si="111"/>
        <v>9040</v>
      </c>
      <c r="Z1160" s="716">
        <f t="shared" si="113"/>
        <v>452</v>
      </c>
      <c r="AA1160" s="716">
        <f t="shared" si="112"/>
        <v>0</v>
      </c>
    </row>
    <row r="1161" spans="1:27" x14ac:dyDescent="0.2">
      <c r="A1161" s="913"/>
      <c r="B1161" s="666"/>
      <c r="C1161" s="580" t="s">
        <v>1426</v>
      </c>
      <c r="D1161" s="870">
        <v>454</v>
      </c>
      <c r="E1161" s="871" t="s">
        <v>8</v>
      </c>
      <c r="F1161" s="667">
        <v>0</v>
      </c>
      <c r="G1161" s="871">
        <v>458</v>
      </c>
      <c r="H1161" s="871" t="s">
        <v>8</v>
      </c>
      <c r="I1161" s="668">
        <v>0</v>
      </c>
      <c r="J1161" s="349"/>
      <c r="K1161" s="876">
        <f t="shared" si="114"/>
        <v>45</v>
      </c>
      <c r="L1161" s="876">
        <f t="shared" si="103"/>
        <v>23.06</v>
      </c>
      <c r="M1161" s="700">
        <f t="shared" si="105"/>
        <v>9.1199999999999992</v>
      </c>
      <c r="N1161" s="876">
        <f t="shared" si="106"/>
        <v>99.68</v>
      </c>
      <c r="O1161" s="295">
        <v>2.2149999999999999</v>
      </c>
      <c r="P1161" s="697">
        <f t="shared" si="107"/>
        <v>1037.7</v>
      </c>
      <c r="Q1161" s="301">
        <f t="shared" si="108"/>
        <v>410.4</v>
      </c>
      <c r="R1161" s="912"/>
      <c r="S1161" s="738">
        <f t="shared" si="101"/>
        <v>41690.050000000003</v>
      </c>
      <c r="T1161" s="738" t="str">
        <f t="shared" si="102"/>
        <v>T</v>
      </c>
      <c r="U1161" s="738"/>
      <c r="V1161" s="698"/>
      <c r="W1161" s="710">
        <f t="shared" si="109"/>
        <v>80</v>
      </c>
      <c r="X1161" s="710">
        <f t="shared" si="110"/>
        <v>40</v>
      </c>
      <c r="Y1161" s="710">
        <f t="shared" si="111"/>
        <v>9120</v>
      </c>
      <c r="Z1161" s="716">
        <f t="shared" si="113"/>
        <v>456</v>
      </c>
      <c r="AA1161" s="716">
        <f t="shared" si="112"/>
        <v>0</v>
      </c>
    </row>
    <row r="1162" spans="1:27" x14ac:dyDescent="0.2">
      <c r="A1162" s="913"/>
      <c r="B1162" s="666"/>
      <c r="C1162" s="580" t="s">
        <v>1426</v>
      </c>
      <c r="D1162" s="870">
        <v>486</v>
      </c>
      <c r="E1162" s="871" t="s">
        <v>8</v>
      </c>
      <c r="F1162" s="667">
        <v>0</v>
      </c>
      <c r="G1162" s="871">
        <v>490</v>
      </c>
      <c r="H1162" s="871" t="s">
        <v>8</v>
      </c>
      <c r="I1162" s="668">
        <v>0</v>
      </c>
      <c r="J1162" s="349"/>
      <c r="K1162" s="876">
        <f t="shared" si="114"/>
        <v>45</v>
      </c>
      <c r="L1162" s="876">
        <f t="shared" si="103"/>
        <v>23.06</v>
      </c>
      <c r="M1162" s="700">
        <f t="shared" si="105"/>
        <v>9.76</v>
      </c>
      <c r="N1162" s="876">
        <f t="shared" si="106"/>
        <v>99.68</v>
      </c>
      <c r="O1162" s="295">
        <v>2.2149999999999999</v>
      </c>
      <c r="P1162" s="697">
        <f t="shared" si="107"/>
        <v>1037.7</v>
      </c>
      <c r="Q1162" s="301">
        <f t="shared" si="108"/>
        <v>439.2</v>
      </c>
      <c r="R1162" s="912"/>
      <c r="S1162" s="738">
        <f t="shared" si="101"/>
        <v>41690.050000000003</v>
      </c>
      <c r="T1162" s="738" t="str">
        <f t="shared" si="102"/>
        <v>T</v>
      </c>
      <c r="U1162" s="738"/>
      <c r="V1162" s="698"/>
      <c r="W1162" s="710">
        <f t="shared" si="109"/>
        <v>80</v>
      </c>
      <c r="X1162" s="710">
        <f t="shared" si="110"/>
        <v>40</v>
      </c>
      <c r="Y1162" s="710">
        <f t="shared" si="111"/>
        <v>9760</v>
      </c>
      <c r="Z1162" s="716">
        <f t="shared" si="113"/>
        <v>488</v>
      </c>
      <c r="AA1162" s="716">
        <f t="shared" si="112"/>
        <v>0</v>
      </c>
    </row>
    <row r="1163" spans="1:27" x14ac:dyDescent="0.2">
      <c r="A1163" s="913"/>
      <c r="B1163" s="666"/>
      <c r="C1163" s="580" t="s">
        <v>1426</v>
      </c>
      <c r="D1163" s="870">
        <v>490</v>
      </c>
      <c r="E1163" s="871" t="s">
        <v>8</v>
      </c>
      <c r="F1163" s="667">
        <v>0</v>
      </c>
      <c r="G1163" s="871">
        <v>494</v>
      </c>
      <c r="H1163" s="871" t="s">
        <v>8</v>
      </c>
      <c r="I1163" s="668">
        <v>0</v>
      </c>
      <c r="J1163" s="349"/>
      <c r="K1163" s="876">
        <f t="shared" si="114"/>
        <v>45</v>
      </c>
      <c r="L1163" s="876">
        <f t="shared" si="103"/>
        <v>23.06</v>
      </c>
      <c r="M1163" s="700">
        <f t="shared" si="105"/>
        <v>9.84</v>
      </c>
      <c r="N1163" s="876">
        <f t="shared" si="106"/>
        <v>99.68</v>
      </c>
      <c r="O1163" s="295">
        <v>2.2149999999999999</v>
      </c>
      <c r="P1163" s="697">
        <f t="shared" si="107"/>
        <v>1037.7</v>
      </c>
      <c r="Q1163" s="301">
        <f t="shared" si="108"/>
        <v>442.8</v>
      </c>
      <c r="R1163" s="912"/>
      <c r="S1163" s="738">
        <f t="shared" si="101"/>
        <v>41690.050000000003</v>
      </c>
      <c r="T1163" s="738" t="str">
        <f t="shared" si="102"/>
        <v>T</v>
      </c>
      <c r="U1163" s="738"/>
      <c r="V1163" s="698"/>
      <c r="W1163" s="710">
        <f t="shared" si="109"/>
        <v>80</v>
      </c>
      <c r="X1163" s="710">
        <f t="shared" si="110"/>
        <v>40</v>
      </c>
      <c r="Y1163" s="710">
        <f t="shared" si="111"/>
        <v>9840</v>
      </c>
      <c r="Z1163" s="716">
        <f t="shared" si="113"/>
        <v>492</v>
      </c>
      <c r="AA1163" s="716">
        <f t="shared" si="112"/>
        <v>0</v>
      </c>
    </row>
    <row r="1164" spans="1:27" x14ac:dyDescent="0.2">
      <c r="A1164" s="913"/>
      <c r="B1164" s="666"/>
      <c r="C1164" s="580" t="s">
        <v>1426</v>
      </c>
      <c r="D1164" s="870">
        <v>517</v>
      </c>
      <c r="E1164" s="871" t="s">
        <v>8</v>
      </c>
      <c r="F1164" s="667">
        <v>0</v>
      </c>
      <c r="G1164" s="871">
        <v>521</v>
      </c>
      <c r="H1164" s="871" t="s">
        <v>8</v>
      </c>
      <c r="I1164" s="668">
        <v>0</v>
      </c>
      <c r="J1164" s="349"/>
      <c r="K1164" s="876">
        <f t="shared" si="114"/>
        <v>45</v>
      </c>
      <c r="L1164" s="876">
        <f t="shared" si="103"/>
        <v>23.06</v>
      </c>
      <c r="M1164" s="700">
        <f t="shared" si="105"/>
        <v>10.38</v>
      </c>
      <c r="N1164" s="876">
        <f t="shared" si="106"/>
        <v>99.68</v>
      </c>
      <c r="O1164" s="295">
        <v>2.2149999999999999</v>
      </c>
      <c r="P1164" s="697">
        <f t="shared" si="107"/>
        <v>1037.7</v>
      </c>
      <c r="Q1164" s="301">
        <f t="shared" si="108"/>
        <v>467.1</v>
      </c>
      <c r="R1164" s="912"/>
      <c r="S1164" s="738">
        <f t="shared" si="101"/>
        <v>41690.050000000003</v>
      </c>
      <c r="T1164" s="738" t="str">
        <f t="shared" si="102"/>
        <v>T</v>
      </c>
      <c r="U1164" s="738"/>
      <c r="V1164" s="698"/>
      <c r="W1164" s="710">
        <f t="shared" si="109"/>
        <v>80</v>
      </c>
      <c r="X1164" s="710">
        <f t="shared" si="110"/>
        <v>40</v>
      </c>
      <c r="Y1164" s="710">
        <f t="shared" si="111"/>
        <v>10380</v>
      </c>
      <c r="Z1164" s="716">
        <f t="shared" si="113"/>
        <v>519</v>
      </c>
      <c r="AA1164" s="716">
        <f t="shared" si="112"/>
        <v>0</v>
      </c>
    </row>
    <row r="1165" spans="1:27" x14ac:dyDescent="0.2">
      <c r="A1165" s="913"/>
      <c r="B1165" s="666"/>
      <c r="C1165" s="580" t="s">
        <v>1426</v>
      </c>
      <c r="D1165" s="870">
        <v>523</v>
      </c>
      <c r="E1165" s="871" t="s">
        <v>8</v>
      </c>
      <c r="F1165" s="667">
        <v>0</v>
      </c>
      <c r="G1165" s="871">
        <v>527</v>
      </c>
      <c r="H1165" s="871" t="s">
        <v>8</v>
      </c>
      <c r="I1165" s="668">
        <v>0</v>
      </c>
      <c r="J1165" s="349"/>
      <c r="K1165" s="876">
        <f t="shared" si="114"/>
        <v>45</v>
      </c>
      <c r="L1165" s="876">
        <f t="shared" si="103"/>
        <v>23.06</v>
      </c>
      <c r="M1165" s="700">
        <f t="shared" si="105"/>
        <v>10.5</v>
      </c>
      <c r="N1165" s="876">
        <f t="shared" si="106"/>
        <v>99.68</v>
      </c>
      <c r="O1165" s="295">
        <v>2.2149999999999999</v>
      </c>
      <c r="P1165" s="697">
        <f t="shared" si="107"/>
        <v>1037.7</v>
      </c>
      <c r="Q1165" s="301">
        <f t="shared" si="108"/>
        <v>472.5</v>
      </c>
      <c r="R1165" s="912"/>
      <c r="S1165" s="738">
        <f t="shared" si="101"/>
        <v>41690.050000000003</v>
      </c>
      <c r="T1165" s="738" t="str">
        <f t="shared" si="102"/>
        <v>T</v>
      </c>
      <c r="U1165" s="738"/>
      <c r="V1165" s="698"/>
      <c r="W1165" s="710">
        <f t="shared" si="109"/>
        <v>80</v>
      </c>
      <c r="X1165" s="710">
        <f t="shared" si="110"/>
        <v>40</v>
      </c>
      <c r="Y1165" s="710">
        <f t="shared" si="111"/>
        <v>10500</v>
      </c>
      <c r="Z1165" s="716">
        <f t="shared" si="113"/>
        <v>525</v>
      </c>
      <c r="AA1165" s="716">
        <f t="shared" si="112"/>
        <v>0</v>
      </c>
    </row>
    <row r="1166" spans="1:27" x14ac:dyDescent="0.2">
      <c r="A1166" s="913"/>
      <c r="B1166" s="666"/>
      <c r="C1166" s="580" t="s">
        <v>1426</v>
      </c>
      <c r="D1166" s="870">
        <v>551</v>
      </c>
      <c r="E1166" s="871" t="s">
        <v>8</v>
      </c>
      <c r="F1166" s="667">
        <v>0</v>
      </c>
      <c r="G1166" s="871">
        <v>555</v>
      </c>
      <c r="H1166" s="871" t="s">
        <v>8</v>
      </c>
      <c r="I1166" s="668">
        <v>0</v>
      </c>
      <c r="J1166" s="349"/>
      <c r="K1166" s="876">
        <f t="shared" si="114"/>
        <v>45</v>
      </c>
      <c r="L1166" s="876">
        <f t="shared" si="103"/>
        <v>23.06</v>
      </c>
      <c r="M1166" s="700">
        <f t="shared" si="105"/>
        <v>11.06</v>
      </c>
      <c r="N1166" s="876">
        <f t="shared" si="106"/>
        <v>99.68</v>
      </c>
      <c r="O1166" s="295">
        <v>2.2149999999999999</v>
      </c>
      <c r="P1166" s="697">
        <f t="shared" si="107"/>
        <v>1037.7</v>
      </c>
      <c r="Q1166" s="301">
        <f t="shared" si="108"/>
        <v>497.7</v>
      </c>
      <c r="R1166" s="912"/>
      <c r="S1166" s="738">
        <f t="shared" si="101"/>
        <v>41690.050000000003</v>
      </c>
      <c r="T1166" s="738" t="str">
        <f t="shared" si="102"/>
        <v>T</v>
      </c>
      <c r="U1166" s="738"/>
      <c r="V1166" s="698"/>
      <c r="W1166" s="710">
        <f t="shared" si="109"/>
        <v>80</v>
      </c>
      <c r="X1166" s="710">
        <f t="shared" si="110"/>
        <v>40</v>
      </c>
      <c r="Y1166" s="710">
        <f t="shared" si="111"/>
        <v>11060</v>
      </c>
      <c r="Z1166" s="716">
        <f t="shared" si="113"/>
        <v>553</v>
      </c>
      <c r="AA1166" s="716">
        <f t="shared" si="112"/>
        <v>0</v>
      </c>
    </row>
    <row r="1167" spans="1:27" x14ac:dyDescent="0.2">
      <c r="A1167" s="913"/>
      <c r="B1167" s="666"/>
      <c r="C1167" s="580" t="s">
        <v>1426</v>
      </c>
      <c r="D1167" s="870">
        <v>555</v>
      </c>
      <c r="E1167" s="871" t="s">
        <v>8</v>
      </c>
      <c r="F1167" s="667">
        <v>0</v>
      </c>
      <c r="G1167" s="871">
        <v>559</v>
      </c>
      <c r="H1167" s="871" t="s">
        <v>8</v>
      </c>
      <c r="I1167" s="668">
        <v>0</v>
      </c>
      <c r="J1167" s="349"/>
      <c r="K1167" s="876">
        <f t="shared" si="114"/>
        <v>45</v>
      </c>
      <c r="L1167" s="876">
        <f t="shared" si="103"/>
        <v>23.06</v>
      </c>
      <c r="M1167" s="700">
        <f t="shared" si="105"/>
        <v>11.14</v>
      </c>
      <c r="N1167" s="876">
        <f t="shared" si="106"/>
        <v>99.68</v>
      </c>
      <c r="O1167" s="295">
        <v>2.2149999999999999</v>
      </c>
      <c r="P1167" s="697">
        <f t="shared" si="107"/>
        <v>1037.7</v>
      </c>
      <c r="Q1167" s="301">
        <f t="shared" si="108"/>
        <v>501.3</v>
      </c>
      <c r="R1167" s="912"/>
      <c r="S1167" s="738">
        <f t="shared" si="101"/>
        <v>41690.050000000003</v>
      </c>
      <c r="T1167" s="738" t="str">
        <f t="shared" si="102"/>
        <v>T</v>
      </c>
      <c r="U1167" s="738"/>
      <c r="W1167" s="710">
        <f t="shared" si="109"/>
        <v>80</v>
      </c>
      <c r="X1167" s="710">
        <f t="shared" si="110"/>
        <v>40</v>
      </c>
      <c r="Y1167" s="710">
        <f t="shared" si="111"/>
        <v>11140</v>
      </c>
      <c r="Z1167" s="716">
        <f t="shared" si="113"/>
        <v>557</v>
      </c>
      <c r="AA1167" s="716">
        <f t="shared" si="112"/>
        <v>0</v>
      </c>
    </row>
    <row r="1168" spans="1:27" x14ac:dyDescent="0.2">
      <c r="A1168" s="899"/>
      <c r="B1168" s="353"/>
      <c r="C1168" s="354" t="s">
        <v>2</v>
      </c>
      <c r="D1168" s="355"/>
      <c r="E1168" s="352"/>
      <c r="F1168" s="356"/>
      <c r="G1168" s="355"/>
      <c r="H1168" s="356"/>
      <c r="I1168" s="356"/>
      <c r="J1168" s="353"/>
      <c r="K1168" s="360">
        <f>SUM(K1134:K1167)</f>
        <v>18821.63</v>
      </c>
      <c r="L1168" s="360">
        <f>P1168/K1168</f>
        <v>22.59</v>
      </c>
      <c r="M1168" s="360">
        <f>Q1168/K1168</f>
        <v>5.55</v>
      </c>
      <c r="N1168" s="360">
        <f>SUM(N1134:N1167)</f>
        <v>41690.050000000003</v>
      </c>
      <c r="O1168" s="361" t="str">
        <f>IF(MID(B1131,1,2)="LG",VLOOKUP(B1131,'Compos lug'!J:M,4,FALSE),IF(MID(B1131,1,1)="6",VLOOKUP(B1131,tranp.!$A$6:$K$51,3,FALSE),VLOOKUP(B1131,'DER 10-18'!$A$1:$I$1981,3,FALSE)))</f>
        <v>T</v>
      </c>
      <c r="P1168" s="701">
        <f>SUM(P1134:P1167)</f>
        <v>425091.63</v>
      </c>
      <c r="Q1168" s="701">
        <f>SUM(Q1134:Q1167)</f>
        <v>104523.5</v>
      </c>
      <c r="R1168" s="918"/>
      <c r="S1168" s="738">
        <f t="shared" si="101"/>
        <v>11397.86</v>
      </c>
      <c r="T1168" s="738" t="str">
        <f t="shared" si="102"/>
        <v xml:space="preserve"> t  </v>
      </c>
      <c r="U1168" s="738"/>
    </row>
    <row r="1169" spans="1:31" s="318" customFormat="1" x14ac:dyDescent="0.2">
      <c r="A1169" s="906"/>
      <c r="B1169" s="394"/>
      <c r="C1169" s="395"/>
      <c r="D1169" s="396"/>
      <c r="E1169" s="397"/>
      <c r="F1169" s="398"/>
      <c r="G1169" s="396"/>
      <c r="H1169" s="397"/>
      <c r="I1169" s="398"/>
      <c r="J1169" s="399"/>
      <c r="K1169" s="400"/>
      <c r="L1169" s="401"/>
      <c r="M1169" s="402"/>
      <c r="N1169" s="401"/>
      <c r="O1169" s="399"/>
      <c r="P1169" s="403"/>
      <c r="Q1169" s="403"/>
      <c r="R1169" s="907"/>
      <c r="S1169" s="738">
        <f t="shared" si="101"/>
        <v>11397.86</v>
      </c>
      <c r="T1169" s="738" t="str">
        <f t="shared" si="102"/>
        <v xml:space="preserve"> t  </v>
      </c>
      <c r="U1169" s="738"/>
      <c r="W1169" s="316"/>
      <c r="X1169" s="316"/>
      <c r="Y1169" s="316"/>
      <c r="Z1169" s="316"/>
      <c r="AA1169" s="316"/>
    </row>
    <row r="1170" spans="1:31" ht="38.25" customHeight="1" x14ac:dyDescent="0.2">
      <c r="A1170" s="895" t="s">
        <v>1546</v>
      </c>
      <c r="B1170" s="346">
        <v>60022</v>
      </c>
      <c r="C1170" s="347" t="str">
        <f>IF(MID(B1170,1,2)="LG",VLOOKUP(B1170,'Compos lug'!J:M,3,FALSE),IF(MID(B1170,1,1)="6",VLOOKUP(B1170,tranp.!$A$4:$K$21,11,FALSE)&amp;" -  XP="&amp;TEXT(L1184,"0,000")&amp;" / XR="&amp;TEXT(M1184,"0,000"),VLOOKUP(B1170,#REF!,2,FALSE)))&amp;" - "&amp;TEXT(C1172,"0,000")</f>
        <v>LOCAL COM DMT DE 10,1 A 15,0 KM (Caminhão basculante)0,748XP+0,791XR+1,683 -  XP=0,000 / XR=13,910 - Material p/sub-base</v>
      </c>
      <c r="D1170" s="1059" t="s">
        <v>1000</v>
      </c>
      <c r="E1170" s="1060"/>
      <c r="F1170" s="1061"/>
      <c r="G1170" s="1059" t="s">
        <v>1001</v>
      </c>
      <c r="H1170" s="1060"/>
      <c r="I1170" s="1061"/>
      <c r="J1170" s="349" t="s">
        <v>989</v>
      </c>
      <c r="K1170" s="884" t="s">
        <v>1361</v>
      </c>
      <c r="L1170" s="876" t="s">
        <v>992</v>
      </c>
      <c r="M1170" s="885" t="s">
        <v>993</v>
      </c>
      <c r="N1170" s="876" t="s">
        <v>1362</v>
      </c>
      <c r="O1170" s="351" t="s">
        <v>1363</v>
      </c>
      <c r="P1170" s="760" t="s">
        <v>1364</v>
      </c>
      <c r="Q1170" s="879" t="s">
        <v>1365</v>
      </c>
      <c r="R1170" s="902"/>
      <c r="S1170" s="738">
        <f t="shared" si="101"/>
        <v>11397.86</v>
      </c>
      <c r="T1170" s="738" t="str">
        <f t="shared" si="102"/>
        <v xml:space="preserve"> t  </v>
      </c>
      <c r="U1170" s="738"/>
      <c r="V1170" s="741">
        <f>W1170*Z1170+X1170*AA1170+Y1170</f>
        <v>12.69</v>
      </c>
      <c r="W1170" s="742">
        <f>VLOOKUP(B1170,tranp.!$A:$J,8,FALSE)</f>
        <v>0.748</v>
      </c>
      <c r="X1170" s="742">
        <f>VLOOKUP(B1170,tranp.!$A:$J,9,FALSE)</f>
        <v>0.79100000000000004</v>
      </c>
      <c r="Y1170" s="742">
        <f>VLOOKUP(B1170,tranp.!$A:$J,10,FALSE)</f>
        <v>1.6830000000000001</v>
      </c>
      <c r="Z1170" s="746">
        <f>VLOOKUP("Total",C1173:O1460,10,FALSE)</f>
        <v>0</v>
      </c>
      <c r="AA1170" s="746">
        <f>VLOOKUP("Total",C1173:O1460,11,FALSE)</f>
        <v>13.91</v>
      </c>
    </row>
    <row r="1171" spans="1:31" x14ac:dyDescent="0.2">
      <c r="A1171" s="294"/>
      <c r="B1171" s="293"/>
      <c r="C1171" s="744" t="s">
        <v>1553</v>
      </c>
      <c r="N1171" s="876"/>
      <c r="R1171" s="912"/>
      <c r="S1171" s="738">
        <f t="shared" si="101"/>
        <v>11397.86</v>
      </c>
      <c r="T1171" s="738" t="str">
        <f t="shared" si="102"/>
        <v xml:space="preserve"> t  </v>
      </c>
    </row>
    <row r="1172" spans="1:31" x14ac:dyDescent="0.2">
      <c r="A1172" s="895"/>
      <c r="B1172" s="346"/>
      <c r="C1172" s="347" t="s">
        <v>1575</v>
      </c>
      <c r="D1172" s="870"/>
      <c r="E1172" s="871"/>
      <c r="F1172" s="872"/>
      <c r="G1172" s="871"/>
      <c r="H1172" s="871"/>
      <c r="I1172" s="871"/>
      <c r="J1172" s="349"/>
      <c r="K1172" s="884"/>
      <c r="L1172" s="876"/>
      <c r="M1172" s="885"/>
      <c r="N1172" s="876"/>
      <c r="O1172" s="351"/>
      <c r="P1172" s="760"/>
      <c r="Q1172" s="879"/>
      <c r="R1172" s="902"/>
      <c r="S1172" s="738">
        <f t="shared" si="101"/>
        <v>11397.86</v>
      </c>
      <c r="T1172" s="738" t="str">
        <f t="shared" si="102"/>
        <v xml:space="preserve"> t  </v>
      </c>
      <c r="U1172" s="738"/>
      <c r="V1172" s="741"/>
      <c r="W1172" s="742"/>
      <c r="X1172" s="761"/>
      <c r="Y1172" s="761"/>
      <c r="Z1172" s="746"/>
      <c r="AA1172" s="746"/>
    </row>
    <row r="1173" spans="1:31" x14ac:dyDescent="0.2">
      <c r="A1173" s="294"/>
      <c r="B1173" s="293"/>
      <c r="C1173" s="290" t="s">
        <v>1065</v>
      </c>
      <c r="D1173" s="290">
        <v>0</v>
      </c>
      <c r="E1173" s="291" t="s">
        <v>8</v>
      </c>
      <c r="F1173" s="675">
        <v>0</v>
      </c>
      <c r="G1173" s="381">
        <v>111</v>
      </c>
      <c r="H1173" s="291" t="s">
        <v>8</v>
      </c>
      <c r="I1173" s="292">
        <v>11.53</v>
      </c>
      <c r="J1173" s="383"/>
      <c r="K1173" s="350">
        <f>N1064</f>
        <v>5355.68</v>
      </c>
      <c r="L1173" s="700">
        <v>0</v>
      </c>
      <c r="M1173" s="762">
        <f>TRUNC(AE1173,3)</f>
        <v>14.063000000000001</v>
      </c>
      <c r="N1173" s="876">
        <f>+K1173*O1173</f>
        <v>10904.16</v>
      </c>
      <c r="O1173" s="364">
        <v>2.036</v>
      </c>
      <c r="P1173" s="763">
        <f>+K1173*L1173</f>
        <v>0</v>
      </c>
      <c r="Q1173" s="763">
        <f>+K1173*M1173</f>
        <v>75316.929999999993</v>
      </c>
      <c r="R1173" s="898"/>
      <c r="S1173" s="738">
        <f t="shared" si="101"/>
        <v>11397.86</v>
      </c>
      <c r="T1173" s="738" t="str">
        <f t="shared" si="102"/>
        <v xml:space="preserve"> t  </v>
      </c>
      <c r="U1173" s="738"/>
      <c r="W1173" s="288"/>
      <c r="X1173" s="288"/>
      <c r="Y1173" s="288"/>
      <c r="Z1173" s="288"/>
      <c r="AA1173" s="288"/>
      <c r="AB1173" s="288">
        <v>9.6</v>
      </c>
      <c r="AC1173" s="288">
        <f>+G1173*20+I1173+D1173*20+F1173</f>
        <v>2231.5300000000002</v>
      </c>
      <c r="AD1173" s="288">
        <f>+AC1173/0.5/1000</f>
        <v>4.4630599999999996</v>
      </c>
      <c r="AE1173" s="288">
        <f>+AD1173+AB1173</f>
        <v>14.06306</v>
      </c>
    </row>
    <row r="1174" spans="1:31" x14ac:dyDescent="0.2">
      <c r="A1174" s="294"/>
      <c r="B1174" s="293"/>
      <c r="C1174" s="290" t="s">
        <v>1570</v>
      </c>
      <c r="D1174" s="290">
        <v>15</v>
      </c>
      <c r="E1174" s="291" t="s">
        <v>8</v>
      </c>
      <c r="F1174" s="675">
        <v>15</v>
      </c>
      <c r="G1174" s="381"/>
      <c r="J1174" s="383" t="s">
        <v>1556</v>
      </c>
      <c r="K1174" s="350">
        <f t="shared" ref="K1174:K1183" si="115">N1065</f>
        <v>24.25</v>
      </c>
      <c r="L1174" s="700">
        <v>0</v>
      </c>
      <c r="M1174" s="762">
        <f t="shared" ref="M1174:M1183" si="116">TRUNC(AE1174,3)</f>
        <v>11.366</v>
      </c>
      <c r="N1174" s="876">
        <f t="shared" ref="N1174:N1183" si="117">+K1174*O1174</f>
        <v>49.37</v>
      </c>
      <c r="O1174" s="364">
        <v>2.036</v>
      </c>
      <c r="P1174" s="763">
        <f t="shared" ref="P1174:P1183" si="118">+K1174*L1174</f>
        <v>0</v>
      </c>
      <c r="Q1174" s="763">
        <f t="shared" ref="Q1174:Q1183" si="119">+K1174*M1174</f>
        <v>275.63</v>
      </c>
      <c r="R1174" s="898"/>
      <c r="S1174" s="738">
        <f t="shared" si="101"/>
        <v>11397.86</v>
      </c>
      <c r="T1174" s="738" t="str">
        <f t="shared" si="102"/>
        <v xml:space="preserve"> t  </v>
      </c>
      <c r="U1174" s="738"/>
      <c r="W1174" s="288"/>
      <c r="X1174" s="288"/>
      <c r="Y1174" s="288"/>
      <c r="Z1174" s="288"/>
      <c r="AA1174" s="288"/>
      <c r="AB1174" s="288">
        <v>9.6</v>
      </c>
      <c r="AC1174" s="288">
        <f>104*20+1.06-D1174*20-F1174</f>
        <v>1766.06</v>
      </c>
      <c r="AD1174" s="288">
        <f>+AC1174/1000</f>
        <v>1.76606</v>
      </c>
      <c r="AE1174" s="288">
        <f>+AD1174+AB1174</f>
        <v>11.366059999999999</v>
      </c>
    </row>
    <row r="1175" spans="1:31" x14ac:dyDescent="0.2">
      <c r="A1175" s="294"/>
      <c r="B1175" s="293"/>
      <c r="C1175" s="290" t="s">
        <v>1570</v>
      </c>
      <c r="D1175" s="290">
        <v>16</v>
      </c>
      <c r="E1175" s="291" t="s">
        <v>8</v>
      </c>
      <c r="F1175" s="675">
        <v>5</v>
      </c>
      <c r="G1175" s="381"/>
      <c r="J1175" s="383" t="s">
        <v>1564</v>
      </c>
      <c r="K1175" s="350">
        <f t="shared" si="115"/>
        <v>24.25</v>
      </c>
      <c r="L1175" s="700">
        <v>0</v>
      </c>
      <c r="M1175" s="762">
        <f t="shared" si="116"/>
        <v>11.356</v>
      </c>
      <c r="N1175" s="876">
        <f t="shared" si="117"/>
        <v>49.37</v>
      </c>
      <c r="O1175" s="364">
        <v>2.036</v>
      </c>
      <c r="P1175" s="763">
        <f t="shared" si="118"/>
        <v>0</v>
      </c>
      <c r="Q1175" s="763">
        <f t="shared" si="119"/>
        <v>275.38</v>
      </c>
      <c r="R1175" s="898"/>
      <c r="S1175" s="738">
        <f t="shared" si="101"/>
        <v>11397.86</v>
      </c>
      <c r="T1175" s="738" t="str">
        <f t="shared" si="102"/>
        <v xml:space="preserve"> t  </v>
      </c>
      <c r="U1175" s="738"/>
      <c r="W1175" s="288"/>
      <c r="X1175" s="288"/>
      <c r="Y1175" s="288"/>
      <c r="Z1175" s="288"/>
      <c r="AA1175" s="288"/>
      <c r="AB1175" s="288">
        <v>9.6</v>
      </c>
      <c r="AC1175" s="288">
        <f t="shared" ref="AC1175:AC1183" si="120">104*20+1.06-D1175*20-F1175</f>
        <v>1756.06</v>
      </c>
      <c r="AD1175" s="288">
        <f t="shared" ref="AD1175:AD1183" si="121">+AC1175/1000</f>
        <v>1.75606</v>
      </c>
      <c r="AE1175" s="288">
        <f t="shared" ref="AE1175:AE1183" si="122">+AD1175+AB1175</f>
        <v>11.356059999999999</v>
      </c>
    </row>
    <row r="1176" spans="1:31" x14ac:dyDescent="0.2">
      <c r="A1176" s="294"/>
      <c r="B1176" s="293"/>
      <c r="C1176" s="290" t="s">
        <v>1570</v>
      </c>
      <c r="D1176" s="290">
        <v>26</v>
      </c>
      <c r="E1176" s="291" t="s">
        <v>8</v>
      </c>
      <c r="F1176" s="675">
        <v>15</v>
      </c>
      <c r="G1176" s="381"/>
      <c r="J1176" s="383" t="s">
        <v>1556</v>
      </c>
      <c r="K1176" s="350">
        <f t="shared" si="115"/>
        <v>24.25</v>
      </c>
      <c r="L1176" s="700">
        <v>0</v>
      </c>
      <c r="M1176" s="762">
        <f t="shared" si="116"/>
        <v>11.146000000000001</v>
      </c>
      <c r="N1176" s="876">
        <f t="shared" si="117"/>
        <v>49.37</v>
      </c>
      <c r="O1176" s="364">
        <v>2.036</v>
      </c>
      <c r="P1176" s="763">
        <f t="shared" si="118"/>
        <v>0</v>
      </c>
      <c r="Q1176" s="763">
        <f t="shared" si="119"/>
        <v>270.29000000000002</v>
      </c>
      <c r="R1176" s="898"/>
      <c r="S1176" s="738">
        <f t="shared" si="101"/>
        <v>11397.86</v>
      </c>
      <c r="T1176" s="738" t="str">
        <f t="shared" si="102"/>
        <v xml:space="preserve"> t  </v>
      </c>
      <c r="U1176" s="738"/>
      <c r="W1176" s="288"/>
      <c r="X1176" s="288"/>
      <c r="Y1176" s="288"/>
      <c r="Z1176" s="288"/>
      <c r="AA1176" s="288"/>
      <c r="AB1176" s="288">
        <v>9.6</v>
      </c>
      <c r="AC1176" s="288">
        <f t="shared" si="120"/>
        <v>1546.06</v>
      </c>
      <c r="AD1176" s="288">
        <f t="shared" si="121"/>
        <v>1.54606</v>
      </c>
      <c r="AE1176" s="288">
        <f t="shared" si="122"/>
        <v>11.14606</v>
      </c>
    </row>
    <row r="1177" spans="1:31" x14ac:dyDescent="0.2">
      <c r="A1177" s="294"/>
      <c r="B1177" s="293"/>
      <c r="C1177" s="290" t="s">
        <v>1570</v>
      </c>
      <c r="D1177" s="290">
        <v>29</v>
      </c>
      <c r="E1177" s="291" t="s">
        <v>8</v>
      </c>
      <c r="F1177" s="675">
        <v>5</v>
      </c>
      <c r="G1177" s="381"/>
      <c r="J1177" s="383" t="s">
        <v>1564</v>
      </c>
      <c r="K1177" s="350">
        <f t="shared" si="115"/>
        <v>24.25</v>
      </c>
      <c r="L1177" s="700">
        <v>0</v>
      </c>
      <c r="M1177" s="762">
        <f t="shared" si="116"/>
        <v>11.096</v>
      </c>
      <c r="N1177" s="876">
        <f t="shared" si="117"/>
        <v>49.37</v>
      </c>
      <c r="O1177" s="364">
        <v>2.036</v>
      </c>
      <c r="P1177" s="763">
        <f t="shared" si="118"/>
        <v>0</v>
      </c>
      <c r="Q1177" s="763">
        <f t="shared" si="119"/>
        <v>269.08</v>
      </c>
      <c r="R1177" s="898"/>
      <c r="S1177" s="738">
        <f t="shared" si="101"/>
        <v>11397.86</v>
      </c>
      <c r="T1177" s="738" t="str">
        <f t="shared" si="102"/>
        <v xml:space="preserve"> t  </v>
      </c>
      <c r="U1177" s="738"/>
      <c r="W1177" s="288"/>
      <c r="X1177" s="288"/>
      <c r="Y1177" s="288"/>
      <c r="Z1177" s="288"/>
      <c r="AA1177" s="288"/>
      <c r="AB1177" s="288">
        <v>9.6</v>
      </c>
      <c r="AC1177" s="288">
        <f t="shared" si="120"/>
        <v>1496.06</v>
      </c>
      <c r="AD1177" s="288">
        <f t="shared" si="121"/>
        <v>1.4960599999999999</v>
      </c>
      <c r="AE1177" s="288">
        <f t="shared" si="122"/>
        <v>11.09606</v>
      </c>
    </row>
    <row r="1178" spans="1:31" x14ac:dyDescent="0.2">
      <c r="A1178" s="294"/>
      <c r="B1178" s="293"/>
      <c r="C1178" s="290" t="s">
        <v>1570</v>
      </c>
      <c r="D1178" s="290">
        <v>60</v>
      </c>
      <c r="E1178" s="291" t="s">
        <v>8</v>
      </c>
      <c r="F1178" s="675">
        <v>5</v>
      </c>
      <c r="G1178" s="381"/>
      <c r="J1178" s="383" t="s">
        <v>1556</v>
      </c>
      <c r="K1178" s="350">
        <f t="shared" si="115"/>
        <v>24.25</v>
      </c>
      <c r="L1178" s="700">
        <v>0</v>
      </c>
      <c r="M1178" s="762">
        <f t="shared" si="116"/>
        <v>10.476000000000001</v>
      </c>
      <c r="N1178" s="876">
        <f t="shared" si="117"/>
        <v>49.37</v>
      </c>
      <c r="O1178" s="364">
        <v>2.036</v>
      </c>
      <c r="P1178" s="763">
        <f t="shared" si="118"/>
        <v>0</v>
      </c>
      <c r="Q1178" s="763">
        <f t="shared" si="119"/>
        <v>254.04</v>
      </c>
      <c r="R1178" s="898"/>
      <c r="S1178" s="738">
        <f t="shared" si="101"/>
        <v>11397.86</v>
      </c>
      <c r="T1178" s="738" t="str">
        <f t="shared" si="102"/>
        <v xml:space="preserve"> t  </v>
      </c>
      <c r="U1178" s="738"/>
      <c r="W1178" s="288"/>
      <c r="X1178" s="288"/>
      <c r="Y1178" s="288"/>
      <c r="Z1178" s="288"/>
      <c r="AA1178" s="288"/>
      <c r="AB1178" s="288">
        <v>9.6</v>
      </c>
      <c r="AC1178" s="288">
        <f t="shared" si="120"/>
        <v>876.06</v>
      </c>
      <c r="AD1178" s="288">
        <f t="shared" si="121"/>
        <v>0.87605999999999995</v>
      </c>
      <c r="AE1178" s="288">
        <f t="shared" si="122"/>
        <v>10.47606</v>
      </c>
    </row>
    <row r="1179" spans="1:31" x14ac:dyDescent="0.2">
      <c r="A1179" s="294"/>
      <c r="B1179" s="293"/>
      <c r="C1179" s="290" t="s">
        <v>1570</v>
      </c>
      <c r="D1179" s="290">
        <v>60</v>
      </c>
      <c r="E1179" s="291" t="s">
        <v>8</v>
      </c>
      <c r="F1179" s="675">
        <v>15</v>
      </c>
      <c r="G1179" s="381"/>
      <c r="J1179" s="383" t="s">
        <v>1564</v>
      </c>
      <c r="K1179" s="350">
        <f t="shared" si="115"/>
        <v>24.25</v>
      </c>
      <c r="L1179" s="700">
        <v>0</v>
      </c>
      <c r="M1179" s="762">
        <f t="shared" si="116"/>
        <v>10.465999999999999</v>
      </c>
      <c r="N1179" s="876">
        <f t="shared" si="117"/>
        <v>49.37</v>
      </c>
      <c r="O1179" s="364">
        <v>2.036</v>
      </c>
      <c r="P1179" s="763">
        <f t="shared" si="118"/>
        <v>0</v>
      </c>
      <c r="Q1179" s="763">
        <f t="shared" si="119"/>
        <v>253.8</v>
      </c>
      <c r="R1179" s="898"/>
      <c r="S1179" s="738">
        <f t="shared" si="101"/>
        <v>11397.86</v>
      </c>
      <c r="T1179" s="738" t="str">
        <f t="shared" si="102"/>
        <v xml:space="preserve"> t  </v>
      </c>
      <c r="U1179" s="738"/>
      <c r="W1179" s="288"/>
      <c r="X1179" s="288"/>
      <c r="Y1179" s="288"/>
      <c r="Z1179" s="288"/>
      <c r="AA1179" s="288"/>
      <c r="AB1179" s="288">
        <v>9.6</v>
      </c>
      <c r="AC1179" s="288">
        <f t="shared" si="120"/>
        <v>866.06</v>
      </c>
      <c r="AD1179" s="288">
        <f t="shared" si="121"/>
        <v>0.86606000000000005</v>
      </c>
      <c r="AE1179" s="288">
        <f t="shared" si="122"/>
        <v>10.466060000000001</v>
      </c>
    </row>
    <row r="1180" spans="1:31" x14ac:dyDescent="0.2">
      <c r="A1180" s="294"/>
      <c r="B1180" s="293"/>
      <c r="C1180" s="290" t="s">
        <v>1570</v>
      </c>
      <c r="D1180" s="290">
        <v>76</v>
      </c>
      <c r="E1180" s="291" t="s">
        <v>8</v>
      </c>
      <c r="F1180" s="675">
        <v>5</v>
      </c>
      <c r="G1180" s="381"/>
      <c r="J1180" s="383" t="s">
        <v>1556</v>
      </c>
      <c r="K1180" s="350">
        <f t="shared" si="115"/>
        <v>24.25</v>
      </c>
      <c r="L1180" s="700">
        <v>0</v>
      </c>
      <c r="M1180" s="762">
        <f t="shared" si="116"/>
        <v>10.156000000000001</v>
      </c>
      <c r="N1180" s="876">
        <f t="shared" si="117"/>
        <v>49.37</v>
      </c>
      <c r="O1180" s="364">
        <v>2.036</v>
      </c>
      <c r="P1180" s="763">
        <f t="shared" si="118"/>
        <v>0</v>
      </c>
      <c r="Q1180" s="763">
        <f t="shared" si="119"/>
        <v>246.28</v>
      </c>
      <c r="R1180" s="898"/>
      <c r="S1180" s="738">
        <f t="shared" si="101"/>
        <v>11397.86</v>
      </c>
      <c r="T1180" s="738" t="str">
        <f t="shared" si="102"/>
        <v xml:space="preserve"> t  </v>
      </c>
      <c r="U1180" s="738"/>
      <c r="W1180" s="288"/>
      <c r="X1180" s="288"/>
      <c r="Y1180" s="288"/>
      <c r="Z1180" s="288"/>
      <c r="AA1180" s="288"/>
      <c r="AB1180" s="288">
        <v>9.6</v>
      </c>
      <c r="AC1180" s="288">
        <f t="shared" si="120"/>
        <v>556.05999999999995</v>
      </c>
      <c r="AD1180" s="288">
        <f t="shared" si="121"/>
        <v>0.55606</v>
      </c>
      <c r="AE1180" s="288">
        <f t="shared" si="122"/>
        <v>10.15606</v>
      </c>
    </row>
    <row r="1181" spans="1:31" x14ac:dyDescent="0.2">
      <c r="A1181" s="294"/>
      <c r="B1181" s="293"/>
      <c r="C1181" s="290" t="s">
        <v>1570</v>
      </c>
      <c r="D1181" s="290">
        <v>77</v>
      </c>
      <c r="E1181" s="291" t="s">
        <v>8</v>
      </c>
      <c r="F1181" s="675">
        <v>15</v>
      </c>
      <c r="G1181" s="381"/>
      <c r="J1181" s="383" t="s">
        <v>1564</v>
      </c>
      <c r="K1181" s="350">
        <f t="shared" si="115"/>
        <v>24.25</v>
      </c>
      <c r="L1181" s="700">
        <v>0</v>
      </c>
      <c r="M1181" s="762">
        <f t="shared" si="116"/>
        <v>10.125999999999999</v>
      </c>
      <c r="N1181" s="876">
        <f t="shared" si="117"/>
        <v>49.37</v>
      </c>
      <c r="O1181" s="364">
        <v>2.036</v>
      </c>
      <c r="P1181" s="763">
        <f t="shared" si="118"/>
        <v>0</v>
      </c>
      <c r="Q1181" s="763">
        <f t="shared" si="119"/>
        <v>245.56</v>
      </c>
      <c r="R1181" s="898"/>
      <c r="S1181" s="738">
        <f t="shared" si="101"/>
        <v>11397.86</v>
      </c>
      <c r="T1181" s="738" t="str">
        <f t="shared" si="102"/>
        <v xml:space="preserve"> t  </v>
      </c>
      <c r="U1181" s="738"/>
      <c r="W1181" s="288"/>
      <c r="X1181" s="288"/>
      <c r="Y1181" s="288"/>
      <c r="Z1181" s="288"/>
      <c r="AA1181" s="288"/>
      <c r="AB1181" s="288">
        <v>9.6</v>
      </c>
      <c r="AC1181" s="288">
        <f t="shared" si="120"/>
        <v>526.05999999999995</v>
      </c>
      <c r="AD1181" s="288">
        <f t="shared" si="121"/>
        <v>0.52605999999999997</v>
      </c>
      <c r="AE1181" s="288">
        <f t="shared" si="122"/>
        <v>10.126060000000001</v>
      </c>
    </row>
    <row r="1182" spans="1:31" x14ac:dyDescent="0.2">
      <c r="A1182" s="294"/>
      <c r="B1182" s="293"/>
      <c r="C1182" s="290" t="s">
        <v>1570</v>
      </c>
      <c r="D1182" s="290">
        <v>106</v>
      </c>
      <c r="E1182" s="291" t="s">
        <v>8</v>
      </c>
      <c r="F1182" s="675">
        <v>5</v>
      </c>
      <c r="G1182" s="381"/>
      <c r="J1182" s="383" t="s">
        <v>1556</v>
      </c>
      <c r="K1182" s="350">
        <f t="shared" si="115"/>
        <v>24.25</v>
      </c>
      <c r="L1182" s="700">
        <v>0</v>
      </c>
      <c r="M1182" s="762">
        <f t="shared" si="116"/>
        <v>9.5559999999999992</v>
      </c>
      <c r="N1182" s="876">
        <f t="shared" si="117"/>
        <v>49.37</v>
      </c>
      <c r="O1182" s="364">
        <v>2.036</v>
      </c>
      <c r="P1182" s="763">
        <f t="shared" si="118"/>
        <v>0</v>
      </c>
      <c r="Q1182" s="763">
        <f t="shared" si="119"/>
        <v>231.73</v>
      </c>
      <c r="R1182" s="898"/>
      <c r="S1182" s="738">
        <f t="shared" si="101"/>
        <v>11397.86</v>
      </c>
      <c r="T1182" s="738" t="str">
        <f t="shared" si="102"/>
        <v xml:space="preserve"> t  </v>
      </c>
      <c r="U1182" s="738"/>
      <c r="W1182" s="288"/>
      <c r="X1182" s="288"/>
      <c r="Y1182" s="288"/>
      <c r="Z1182" s="288"/>
      <c r="AA1182" s="288"/>
      <c r="AB1182" s="288">
        <v>9.6</v>
      </c>
      <c r="AC1182" s="288">
        <f t="shared" si="120"/>
        <v>-43.940000000000097</v>
      </c>
      <c r="AD1182" s="288">
        <f t="shared" si="121"/>
        <v>-4.3940000000000097E-2</v>
      </c>
      <c r="AE1182" s="288">
        <f t="shared" si="122"/>
        <v>9.5560600000000004</v>
      </c>
    </row>
    <row r="1183" spans="1:31" x14ac:dyDescent="0.2">
      <c r="A1183" s="294"/>
      <c r="B1183" s="293"/>
      <c r="C1183" s="290" t="s">
        <v>1570</v>
      </c>
      <c r="D1183" s="290">
        <v>109</v>
      </c>
      <c r="E1183" s="291" t="s">
        <v>8</v>
      </c>
      <c r="F1183" s="675">
        <v>15</v>
      </c>
      <c r="G1183" s="381"/>
      <c r="J1183" s="383" t="s">
        <v>1564</v>
      </c>
      <c r="K1183" s="350">
        <f t="shared" si="115"/>
        <v>24.25</v>
      </c>
      <c r="L1183" s="700">
        <v>0</v>
      </c>
      <c r="M1183" s="762">
        <f t="shared" si="116"/>
        <v>9.4860000000000007</v>
      </c>
      <c r="N1183" s="876">
        <f t="shared" si="117"/>
        <v>49.37</v>
      </c>
      <c r="O1183" s="364">
        <v>2.036</v>
      </c>
      <c r="P1183" s="763">
        <f t="shared" si="118"/>
        <v>0</v>
      </c>
      <c r="Q1183" s="763">
        <f t="shared" si="119"/>
        <v>230.04</v>
      </c>
      <c r="R1183" s="898"/>
      <c r="S1183" s="738">
        <f t="shared" si="101"/>
        <v>11397.86</v>
      </c>
      <c r="T1183" s="738" t="str">
        <f t="shared" si="102"/>
        <v xml:space="preserve"> t  </v>
      </c>
      <c r="U1183" s="738"/>
      <c r="W1183" s="288"/>
      <c r="X1183" s="288"/>
      <c r="Y1183" s="288"/>
      <c r="Z1183" s="288"/>
      <c r="AA1183" s="288"/>
      <c r="AB1183" s="288">
        <v>9.6</v>
      </c>
      <c r="AC1183" s="288">
        <f t="shared" si="120"/>
        <v>-113.94</v>
      </c>
      <c r="AD1183" s="288">
        <f t="shared" si="121"/>
        <v>-0.11394</v>
      </c>
      <c r="AE1183" s="288">
        <f t="shared" si="122"/>
        <v>9.4860600000000002</v>
      </c>
    </row>
    <row r="1184" spans="1:31" x14ac:dyDescent="0.2">
      <c r="A1184" s="904"/>
      <c r="B1184" s="366"/>
      <c r="C1184" s="354" t="s">
        <v>2</v>
      </c>
      <c r="D1184" s="367"/>
      <c r="E1184" s="365"/>
      <c r="F1184" s="368"/>
      <c r="G1184" s="367"/>
      <c r="H1184" s="368"/>
      <c r="I1184" s="368"/>
      <c r="J1184" s="366"/>
      <c r="K1184" s="369">
        <f>SUM(K1173:K1183)</f>
        <v>5598.18</v>
      </c>
      <c r="L1184" s="370"/>
      <c r="M1184" s="371">
        <f>+Q1184/K1184</f>
        <v>13.91</v>
      </c>
      <c r="N1184" s="360">
        <f>SUM(N1173:N1183)</f>
        <v>11397.86</v>
      </c>
      <c r="O1184" s="361" t="s">
        <v>985</v>
      </c>
      <c r="P1184" s="747">
        <f>SUM(P1173:P1183)</f>
        <v>0</v>
      </c>
      <c r="Q1184" s="747">
        <f>SUM(Q1173:Q1183)</f>
        <v>77868.759999999995</v>
      </c>
      <c r="R1184" s="905"/>
      <c r="S1184" s="738">
        <f t="shared" si="101"/>
        <v>3824.84</v>
      </c>
      <c r="T1184" s="738" t="str">
        <f t="shared" si="102"/>
        <v xml:space="preserve"> t  </v>
      </c>
      <c r="U1184" s="738"/>
      <c r="W1184" s="288"/>
      <c r="X1184" s="288"/>
      <c r="Y1184" s="288"/>
      <c r="Z1184" s="288"/>
      <c r="AA1184" s="288"/>
    </row>
    <row r="1185" spans="1:31" ht="38.25" customHeight="1" x14ac:dyDescent="0.2">
      <c r="A1185" s="895" t="s">
        <v>1547</v>
      </c>
      <c r="B1185" s="346">
        <v>60022</v>
      </c>
      <c r="C1185" s="347" t="str">
        <f>IF(MID(B1185,1,2)="LG",VLOOKUP(B1185,'Compos lug'!J:M,3,FALSE),IF(MID(B1185,1,1)="6",VLOOKUP(B1185,tranp.!$A$4:$K$21,11,FALSE)&amp;" -  XP="&amp;TEXT(L1199,"0,000")&amp;" / XR="&amp;TEXT(M1199,"0,000"),VLOOKUP(B1185,#REF!,2,FALSE)))&amp;" - "&amp;TEXT(C1187,"0,000")</f>
        <v>LOCAL COM DMT DE 10,1 A 15,0 KM (Caminhão basculante)0,748XP+0,791XR+1,683 -  XP=0,000 / XR=13,936 - Material p/base</v>
      </c>
      <c r="D1185" s="1059" t="s">
        <v>1000</v>
      </c>
      <c r="E1185" s="1060"/>
      <c r="F1185" s="1061"/>
      <c r="G1185" s="1059" t="s">
        <v>1001</v>
      </c>
      <c r="H1185" s="1060"/>
      <c r="I1185" s="1061"/>
      <c r="J1185" s="884" t="s">
        <v>1576</v>
      </c>
      <c r="K1185" s="884" t="s">
        <v>1577</v>
      </c>
      <c r="L1185" s="876" t="s">
        <v>17</v>
      </c>
      <c r="M1185" s="885" t="s">
        <v>993</v>
      </c>
      <c r="N1185" s="876" t="s">
        <v>1362</v>
      </c>
      <c r="O1185" s="764" t="s">
        <v>1578</v>
      </c>
      <c r="P1185" s="764" t="s">
        <v>1579</v>
      </c>
      <c r="Q1185" s="879" t="s">
        <v>1365</v>
      </c>
      <c r="R1185" s="902"/>
      <c r="S1185" s="738">
        <f t="shared" si="101"/>
        <v>3824.84</v>
      </c>
      <c r="T1185" s="738" t="str">
        <f t="shared" si="102"/>
        <v xml:space="preserve"> t  </v>
      </c>
      <c r="U1185" s="738"/>
      <c r="V1185" s="741">
        <f>W1185*Z1185+X1185*AA1185+Y1185</f>
        <v>12.71</v>
      </c>
      <c r="W1185" s="742">
        <f>VLOOKUP(B1185,tranp.!$A:$J,8,FALSE)</f>
        <v>0.748</v>
      </c>
      <c r="X1185" s="742">
        <f>VLOOKUP(B1185,tranp.!$A:$J,9,FALSE)</f>
        <v>0.79100000000000004</v>
      </c>
      <c r="Y1185" s="742">
        <f>VLOOKUP(B1185,tranp.!$A:$J,10,FALSE)</f>
        <v>1.6830000000000001</v>
      </c>
      <c r="Z1185" s="746">
        <f>VLOOKUP("Total",C1188:O1460,10,FALSE)</f>
        <v>0</v>
      </c>
      <c r="AA1185" s="746">
        <f>VLOOKUP("Total",C1188:O1460,11,FALSE)</f>
        <v>13.936</v>
      </c>
    </row>
    <row r="1186" spans="1:31" x14ac:dyDescent="0.2">
      <c r="A1186" s="294"/>
      <c r="B1186" s="293"/>
      <c r="C1186" s="744" t="s">
        <v>1553</v>
      </c>
      <c r="N1186" s="876"/>
      <c r="R1186" s="912"/>
      <c r="S1186" s="738">
        <f t="shared" si="101"/>
        <v>3824.84</v>
      </c>
      <c r="T1186" s="738" t="str">
        <f t="shared" si="102"/>
        <v xml:space="preserve"> t  </v>
      </c>
    </row>
    <row r="1187" spans="1:31" x14ac:dyDescent="0.2">
      <c r="A1187" s="895"/>
      <c r="B1187" s="346"/>
      <c r="C1187" s="347" t="s">
        <v>1580</v>
      </c>
      <c r="D1187" s="870"/>
      <c r="E1187" s="871"/>
      <c r="F1187" s="872"/>
      <c r="G1187" s="871"/>
      <c r="H1187" s="871"/>
      <c r="I1187" s="871"/>
      <c r="J1187" s="349"/>
      <c r="K1187" s="884"/>
      <c r="L1187" s="876"/>
      <c r="M1187" s="885"/>
      <c r="N1187" s="876"/>
      <c r="O1187" s="351"/>
      <c r="P1187" s="760"/>
      <c r="Q1187" s="879"/>
      <c r="R1187" s="902"/>
      <c r="S1187" s="738">
        <f t="shared" si="101"/>
        <v>3824.84</v>
      </c>
      <c r="T1187" s="738" t="str">
        <f t="shared" si="102"/>
        <v xml:space="preserve"> t  </v>
      </c>
      <c r="U1187" s="738"/>
      <c r="V1187" s="741"/>
      <c r="W1187" s="742"/>
      <c r="X1187" s="761"/>
      <c r="Y1187" s="761"/>
      <c r="Z1187" s="746"/>
      <c r="AA1187" s="746"/>
    </row>
    <row r="1188" spans="1:31" x14ac:dyDescent="0.2">
      <c r="A1188" s="294"/>
      <c r="B1188" s="293"/>
      <c r="C1188" s="290" t="s">
        <v>1065</v>
      </c>
      <c r="D1188" s="290">
        <v>0</v>
      </c>
      <c r="E1188" s="291" t="s">
        <v>8</v>
      </c>
      <c r="F1188" s="675">
        <v>0</v>
      </c>
      <c r="G1188" s="381">
        <v>111</v>
      </c>
      <c r="H1188" s="291" t="s">
        <v>8</v>
      </c>
      <c r="I1188" s="292">
        <v>11.53</v>
      </c>
      <c r="J1188" s="765"/>
      <c r="K1188" s="350">
        <f>N1076</f>
        <v>2146.1999999999998</v>
      </c>
      <c r="L1188" s="700">
        <v>40</v>
      </c>
      <c r="M1188" s="762">
        <f>+AE1188</f>
        <v>14.063000000000001</v>
      </c>
      <c r="N1188" s="876">
        <f>TRUNC(K1188*P1188,3)</f>
        <v>3648.54</v>
      </c>
      <c r="O1188" s="364">
        <v>2.1880000000000002</v>
      </c>
      <c r="P1188" s="763">
        <v>1.7</v>
      </c>
      <c r="Q1188" s="763">
        <f>+K1188*M1188</f>
        <v>30182.01</v>
      </c>
      <c r="R1188" s="898"/>
      <c r="S1188" s="738">
        <f t="shared" si="101"/>
        <v>3824.84</v>
      </c>
      <c r="T1188" s="738" t="str">
        <f t="shared" si="102"/>
        <v xml:space="preserve"> t  </v>
      </c>
      <c r="U1188" s="738"/>
      <c r="W1188" s="288"/>
      <c r="X1188" s="288"/>
      <c r="Y1188" s="288"/>
      <c r="Z1188" s="288"/>
      <c r="AA1188" s="288"/>
      <c r="AB1188" s="288">
        <v>9.6</v>
      </c>
      <c r="AC1188" s="288">
        <f>+G1188*20+I1188+D1188*20+F1188</f>
        <v>2231.5300000000002</v>
      </c>
      <c r="AD1188" s="288">
        <f>+AC1188/0.5/1000</f>
        <v>4.4630599999999996</v>
      </c>
      <c r="AE1188" s="288">
        <f>+AD1188+AB1188</f>
        <v>14.06306</v>
      </c>
    </row>
    <row r="1189" spans="1:31" x14ac:dyDescent="0.2">
      <c r="A1189" s="294"/>
      <c r="B1189" s="293"/>
      <c r="C1189" s="290" t="s">
        <v>1570</v>
      </c>
      <c r="D1189" s="290">
        <v>18</v>
      </c>
      <c r="E1189" s="291" t="s">
        <v>8</v>
      </c>
      <c r="F1189" s="675">
        <v>10</v>
      </c>
      <c r="G1189" s="381"/>
      <c r="J1189" s="765"/>
      <c r="K1189" s="350">
        <f t="shared" ref="K1189:K1198" si="123">N1077</f>
        <v>10.37</v>
      </c>
      <c r="L1189" s="700">
        <v>40</v>
      </c>
      <c r="M1189" s="762">
        <f t="shared" ref="M1189:M1198" si="124">+AE1189</f>
        <v>11.311</v>
      </c>
      <c r="N1189" s="876">
        <f t="shared" ref="N1189:N1198" si="125">TRUNC(K1189*P1189,3)</f>
        <v>17.63</v>
      </c>
      <c r="O1189" s="364">
        <v>2.1880000000000002</v>
      </c>
      <c r="P1189" s="763">
        <v>1.7</v>
      </c>
      <c r="Q1189" s="763">
        <f t="shared" ref="Q1189:Q1198" si="126">+K1189*M1189</f>
        <v>117.3</v>
      </c>
      <c r="R1189" s="898"/>
      <c r="S1189" s="738">
        <f t="shared" si="101"/>
        <v>3824.84</v>
      </c>
      <c r="T1189" s="738" t="str">
        <f t="shared" si="102"/>
        <v xml:space="preserve"> t  </v>
      </c>
      <c r="U1189" s="738"/>
      <c r="W1189" s="288"/>
      <c r="X1189" s="288"/>
      <c r="Y1189" s="288"/>
      <c r="Z1189" s="288"/>
      <c r="AA1189" s="288"/>
      <c r="AB1189" s="288">
        <v>9.6</v>
      </c>
      <c r="AC1189" s="288">
        <f>104*20+1.06-D1189*20-F1189</f>
        <v>1711.06</v>
      </c>
      <c r="AD1189" s="288">
        <f>+AC1189/1000</f>
        <v>1.71106</v>
      </c>
      <c r="AE1189" s="288">
        <f>+AD1189+AB1189</f>
        <v>11.311059999999999</v>
      </c>
    </row>
    <row r="1190" spans="1:31" x14ac:dyDescent="0.2">
      <c r="A1190" s="294"/>
      <c r="B1190" s="293"/>
      <c r="C1190" s="290" t="s">
        <v>1570</v>
      </c>
      <c r="D1190" s="290">
        <v>18</v>
      </c>
      <c r="E1190" s="291" t="s">
        <v>8</v>
      </c>
      <c r="F1190" s="675">
        <v>10</v>
      </c>
      <c r="G1190" s="381"/>
      <c r="J1190" s="765"/>
      <c r="K1190" s="350">
        <f t="shared" si="123"/>
        <v>10.37</v>
      </c>
      <c r="L1190" s="700">
        <v>40</v>
      </c>
      <c r="M1190" s="762">
        <f t="shared" si="124"/>
        <v>11.311</v>
      </c>
      <c r="N1190" s="876">
        <f t="shared" si="125"/>
        <v>17.63</v>
      </c>
      <c r="O1190" s="364">
        <v>2.1880000000000002</v>
      </c>
      <c r="P1190" s="763">
        <v>1.7</v>
      </c>
      <c r="Q1190" s="763">
        <f t="shared" si="126"/>
        <v>117.3</v>
      </c>
      <c r="R1190" s="898"/>
      <c r="S1190" s="738">
        <f t="shared" ref="S1190:S1253" si="127">VLOOKUP("Total",C1191:O2878,12,FALSE)</f>
        <v>3824.84</v>
      </c>
      <c r="T1190" s="738" t="str">
        <f t="shared" ref="T1190:T1253" si="128">VLOOKUP("Total",C1191:O2878,13,FALSE)</f>
        <v xml:space="preserve"> t  </v>
      </c>
      <c r="U1190" s="738"/>
      <c r="W1190" s="288"/>
      <c r="X1190" s="288"/>
      <c r="Y1190" s="288"/>
      <c r="Z1190" s="288"/>
      <c r="AA1190" s="288"/>
      <c r="AB1190" s="288">
        <v>9.6</v>
      </c>
      <c r="AC1190" s="288">
        <f t="shared" ref="AC1190:AC1198" si="129">104*20+1.06-D1190*20-F1190</f>
        <v>1711.06</v>
      </c>
      <c r="AD1190" s="288">
        <f t="shared" ref="AD1190:AD1198" si="130">+AC1190/1000</f>
        <v>1.71106</v>
      </c>
      <c r="AE1190" s="288">
        <f t="shared" ref="AE1190:AE1198" si="131">+AD1190+AB1190</f>
        <v>11.311059999999999</v>
      </c>
    </row>
    <row r="1191" spans="1:31" x14ac:dyDescent="0.2">
      <c r="A1191" s="294"/>
      <c r="B1191" s="293"/>
      <c r="C1191" s="290" t="s">
        <v>1570</v>
      </c>
      <c r="D1191" s="290">
        <v>18</v>
      </c>
      <c r="E1191" s="291" t="s">
        <v>8</v>
      </c>
      <c r="F1191" s="675">
        <v>10</v>
      </c>
      <c r="G1191" s="381"/>
      <c r="J1191" s="765"/>
      <c r="K1191" s="350">
        <f t="shared" si="123"/>
        <v>10.37</v>
      </c>
      <c r="L1191" s="700">
        <v>40</v>
      </c>
      <c r="M1191" s="762">
        <f t="shared" si="124"/>
        <v>11.311</v>
      </c>
      <c r="N1191" s="876">
        <f t="shared" si="125"/>
        <v>17.63</v>
      </c>
      <c r="O1191" s="364">
        <v>2.1880000000000002</v>
      </c>
      <c r="P1191" s="763">
        <v>1.7</v>
      </c>
      <c r="Q1191" s="763">
        <f t="shared" si="126"/>
        <v>117.3</v>
      </c>
      <c r="R1191" s="898"/>
      <c r="S1191" s="738">
        <f t="shared" si="127"/>
        <v>3824.84</v>
      </c>
      <c r="T1191" s="738" t="str">
        <f t="shared" si="128"/>
        <v xml:space="preserve"> t  </v>
      </c>
      <c r="U1191" s="738"/>
      <c r="W1191" s="288"/>
      <c r="X1191" s="288"/>
      <c r="Y1191" s="288"/>
      <c r="Z1191" s="288"/>
      <c r="AA1191" s="288"/>
      <c r="AB1191" s="288">
        <v>9.6</v>
      </c>
      <c r="AC1191" s="288">
        <f t="shared" si="129"/>
        <v>1711.06</v>
      </c>
      <c r="AD1191" s="288">
        <f t="shared" si="130"/>
        <v>1.71106</v>
      </c>
      <c r="AE1191" s="288">
        <f t="shared" si="131"/>
        <v>11.311059999999999</v>
      </c>
    </row>
    <row r="1192" spans="1:31" x14ac:dyDescent="0.2">
      <c r="A1192" s="294"/>
      <c r="B1192" s="293"/>
      <c r="C1192" s="290" t="s">
        <v>1570</v>
      </c>
      <c r="D1192" s="290">
        <v>18</v>
      </c>
      <c r="E1192" s="291" t="s">
        <v>8</v>
      </c>
      <c r="F1192" s="675">
        <v>10</v>
      </c>
      <c r="G1192" s="381"/>
      <c r="J1192" s="765"/>
      <c r="K1192" s="350">
        <f t="shared" si="123"/>
        <v>10.37</v>
      </c>
      <c r="L1192" s="700">
        <v>40</v>
      </c>
      <c r="M1192" s="762">
        <f t="shared" si="124"/>
        <v>11.311</v>
      </c>
      <c r="N1192" s="876">
        <f t="shared" si="125"/>
        <v>17.63</v>
      </c>
      <c r="O1192" s="364">
        <v>2.1880000000000002</v>
      </c>
      <c r="P1192" s="763">
        <v>1.7</v>
      </c>
      <c r="Q1192" s="763">
        <f t="shared" si="126"/>
        <v>117.3</v>
      </c>
      <c r="R1192" s="898"/>
      <c r="S1192" s="738">
        <f t="shared" si="127"/>
        <v>3824.84</v>
      </c>
      <c r="T1192" s="738" t="str">
        <f t="shared" si="128"/>
        <v xml:space="preserve"> t  </v>
      </c>
      <c r="U1192" s="738"/>
      <c r="W1192" s="288"/>
      <c r="X1192" s="288"/>
      <c r="Y1192" s="288"/>
      <c r="Z1192" s="288"/>
      <c r="AA1192" s="288"/>
      <c r="AB1192" s="288">
        <v>9.6</v>
      </c>
      <c r="AC1192" s="288">
        <f t="shared" si="129"/>
        <v>1711.06</v>
      </c>
      <c r="AD1192" s="288">
        <f t="shared" si="130"/>
        <v>1.71106</v>
      </c>
      <c r="AE1192" s="288">
        <f t="shared" si="131"/>
        <v>11.311059999999999</v>
      </c>
    </row>
    <row r="1193" spans="1:31" x14ac:dyDescent="0.2">
      <c r="A1193" s="294"/>
      <c r="B1193" s="293"/>
      <c r="C1193" s="290" t="s">
        <v>1570</v>
      </c>
      <c r="D1193" s="290">
        <v>18</v>
      </c>
      <c r="E1193" s="291" t="s">
        <v>8</v>
      </c>
      <c r="F1193" s="675">
        <v>10</v>
      </c>
      <c r="G1193" s="381"/>
      <c r="J1193" s="765"/>
      <c r="K1193" s="350">
        <f t="shared" si="123"/>
        <v>10.37</v>
      </c>
      <c r="L1193" s="700">
        <v>40</v>
      </c>
      <c r="M1193" s="762">
        <f t="shared" si="124"/>
        <v>11.311</v>
      </c>
      <c r="N1193" s="876">
        <f t="shared" si="125"/>
        <v>17.63</v>
      </c>
      <c r="O1193" s="364">
        <v>2.1880000000000002</v>
      </c>
      <c r="P1193" s="763">
        <v>1.7</v>
      </c>
      <c r="Q1193" s="763">
        <f t="shared" si="126"/>
        <v>117.3</v>
      </c>
      <c r="R1193" s="898"/>
      <c r="S1193" s="738">
        <f t="shared" si="127"/>
        <v>3824.84</v>
      </c>
      <c r="T1193" s="738" t="str">
        <f t="shared" si="128"/>
        <v xml:space="preserve"> t  </v>
      </c>
      <c r="U1193" s="738"/>
      <c r="W1193" s="288"/>
      <c r="X1193" s="288"/>
      <c r="Y1193" s="288"/>
      <c r="Z1193" s="288"/>
      <c r="AA1193" s="288"/>
      <c r="AB1193" s="288">
        <v>9.6</v>
      </c>
      <c r="AC1193" s="288">
        <f t="shared" si="129"/>
        <v>1711.06</v>
      </c>
      <c r="AD1193" s="288">
        <f t="shared" si="130"/>
        <v>1.71106</v>
      </c>
      <c r="AE1193" s="288">
        <f t="shared" si="131"/>
        <v>11.311059999999999</v>
      </c>
    </row>
    <row r="1194" spans="1:31" x14ac:dyDescent="0.2">
      <c r="A1194" s="294"/>
      <c r="B1194" s="293"/>
      <c r="C1194" s="290" t="s">
        <v>1570</v>
      </c>
      <c r="D1194" s="290">
        <v>18</v>
      </c>
      <c r="E1194" s="291" t="s">
        <v>8</v>
      </c>
      <c r="F1194" s="675">
        <v>10</v>
      </c>
      <c r="G1194" s="381"/>
      <c r="J1194" s="765"/>
      <c r="K1194" s="350">
        <f t="shared" si="123"/>
        <v>10.37</v>
      </c>
      <c r="L1194" s="700">
        <v>40</v>
      </c>
      <c r="M1194" s="762">
        <f t="shared" si="124"/>
        <v>11.311</v>
      </c>
      <c r="N1194" s="876">
        <f t="shared" si="125"/>
        <v>17.63</v>
      </c>
      <c r="O1194" s="364">
        <v>2.1880000000000002</v>
      </c>
      <c r="P1194" s="763">
        <v>1.7</v>
      </c>
      <c r="Q1194" s="763">
        <f t="shared" si="126"/>
        <v>117.3</v>
      </c>
      <c r="R1194" s="898"/>
      <c r="S1194" s="738">
        <f t="shared" si="127"/>
        <v>3824.84</v>
      </c>
      <c r="T1194" s="738" t="str">
        <f t="shared" si="128"/>
        <v xml:space="preserve"> t  </v>
      </c>
      <c r="U1194" s="738"/>
      <c r="W1194" s="288"/>
      <c r="X1194" s="288"/>
      <c r="Y1194" s="288"/>
      <c r="Z1194" s="288"/>
      <c r="AA1194" s="288"/>
      <c r="AB1194" s="288">
        <v>9.6</v>
      </c>
      <c r="AC1194" s="288">
        <f t="shared" si="129"/>
        <v>1711.06</v>
      </c>
      <c r="AD1194" s="288">
        <f t="shared" si="130"/>
        <v>1.71106</v>
      </c>
      <c r="AE1194" s="288">
        <f t="shared" si="131"/>
        <v>11.311059999999999</v>
      </c>
    </row>
    <row r="1195" spans="1:31" x14ac:dyDescent="0.2">
      <c r="A1195" s="294"/>
      <c r="B1195" s="293"/>
      <c r="C1195" s="290" t="s">
        <v>1570</v>
      </c>
      <c r="D1195" s="290">
        <v>18</v>
      </c>
      <c r="E1195" s="291" t="s">
        <v>8</v>
      </c>
      <c r="F1195" s="675">
        <v>10</v>
      </c>
      <c r="G1195" s="381"/>
      <c r="J1195" s="765"/>
      <c r="K1195" s="350">
        <f t="shared" si="123"/>
        <v>10.37</v>
      </c>
      <c r="L1195" s="700">
        <v>40</v>
      </c>
      <c r="M1195" s="762">
        <f t="shared" si="124"/>
        <v>11.311</v>
      </c>
      <c r="N1195" s="876">
        <f t="shared" si="125"/>
        <v>17.63</v>
      </c>
      <c r="O1195" s="364">
        <v>2.1880000000000002</v>
      </c>
      <c r="P1195" s="763">
        <v>1.7</v>
      </c>
      <c r="Q1195" s="763">
        <f t="shared" si="126"/>
        <v>117.3</v>
      </c>
      <c r="R1195" s="898"/>
      <c r="S1195" s="738">
        <f t="shared" si="127"/>
        <v>3824.84</v>
      </c>
      <c r="T1195" s="738" t="str">
        <f t="shared" si="128"/>
        <v xml:space="preserve"> t  </v>
      </c>
      <c r="U1195" s="738"/>
      <c r="W1195" s="288"/>
      <c r="X1195" s="288"/>
      <c r="Y1195" s="288"/>
      <c r="Z1195" s="288"/>
      <c r="AA1195" s="288"/>
      <c r="AB1195" s="288">
        <v>9.6</v>
      </c>
      <c r="AC1195" s="288">
        <f t="shared" si="129"/>
        <v>1711.06</v>
      </c>
      <c r="AD1195" s="288">
        <f t="shared" si="130"/>
        <v>1.71106</v>
      </c>
      <c r="AE1195" s="288">
        <f t="shared" si="131"/>
        <v>11.311059999999999</v>
      </c>
    </row>
    <row r="1196" spans="1:31" x14ac:dyDescent="0.2">
      <c r="A1196" s="294"/>
      <c r="B1196" s="293"/>
      <c r="C1196" s="290" t="s">
        <v>1570</v>
      </c>
      <c r="D1196" s="290">
        <v>18</v>
      </c>
      <c r="E1196" s="291" t="s">
        <v>8</v>
      </c>
      <c r="F1196" s="675">
        <v>10</v>
      </c>
      <c r="G1196" s="381"/>
      <c r="J1196" s="765"/>
      <c r="K1196" s="350">
        <f t="shared" si="123"/>
        <v>10.37</v>
      </c>
      <c r="L1196" s="700">
        <v>40</v>
      </c>
      <c r="M1196" s="762">
        <f t="shared" si="124"/>
        <v>11.311</v>
      </c>
      <c r="N1196" s="876">
        <f t="shared" si="125"/>
        <v>17.63</v>
      </c>
      <c r="O1196" s="364">
        <v>2.1880000000000002</v>
      </c>
      <c r="P1196" s="763">
        <v>1.7</v>
      </c>
      <c r="Q1196" s="763">
        <f t="shared" si="126"/>
        <v>117.3</v>
      </c>
      <c r="R1196" s="898"/>
      <c r="S1196" s="738">
        <f t="shared" si="127"/>
        <v>3824.84</v>
      </c>
      <c r="T1196" s="738" t="str">
        <f t="shared" si="128"/>
        <v xml:space="preserve"> t  </v>
      </c>
      <c r="U1196" s="738"/>
      <c r="W1196" s="288"/>
      <c r="X1196" s="288"/>
      <c r="Y1196" s="288"/>
      <c r="Z1196" s="288"/>
      <c r="AA1196" s="288"/>
      <c r="AB1196" s="288">
        <v>9.6</v>
      </c>
      <c r="AC1196" s="288">
        <f t="shared" si="129"/>
        <v>1711.06</v>
      </c>
      <c r="AD1196" s="288">
        <f t="shared" si="130"/>
        <v>1.71106</v>
      </c>
      <c r="AE1196" s="288">
        <f t="shared" si="131"/>
        <v>11.311059999999999</v>
      </c>
    </row>
    <row r="1197" spans="1:31" x14ac:dyDescent="0.2">
      <c r="A1197" s="294"/>
      <c r="B1197" s="293"/>
      <c r="C1197" s="290" t="s">
        <v>1570</v>
      </c>
      <c r="D1197" s="290">
        <v>18</v>
      </c>
      <c r="E1197" s="291" t="s">
        <v>8</v>
      </c>
      <c r="F1197" s="675">
        <v>10</v>
      </c>
      <c r="G1197" s="381"/>
      <c r="J1197" s="765"/>
      <c r="K1197" s="350">
        <f t="shared" si="123"/>
        <v>10.37</v>
      </c>
      <c r="L1197" s="700">
        <v>40</v>
      </c>
      <c r="M1197" s="762">
        <f t="shared" si="124"/>
        <v>11.311</v>
      </c>
      <c r="N1197" s="876">
        <f t="shared" si="125"/>
        <v>17.63</v>
      </c>
      <c r="O1197" s="364">
        <v>2.1880000000000002</v>
      </c>
      <c r="P1197" s="763">
        <v>1.7</v>
      </c>
      <c r="Q1197" s="763">
        <f t="shared" si="126"/>
        <v>117.3</v>
      </c>
      <c r="R1197" s="898"/>
      <c r="S1197" s="738">
        <f t="shared" si="127"/>
        <v>3824.84</v>
      </c>
      <c r="T1197" s="738" t="str">
        <f t="shared" si="128"/>
        <v xml:space="preserve"> t  </v>
      </c>
      <c r="U1197" s="738"/>
      <c r="W1197" s="288"/>
      <c r="X1197" s="288"/>
      <c r="Y1197" s="288"/>
      <c r="Z1197" s="288"/>
      <c r="AA1197" s="288"/>
      <c r="AB1197" s="288">
        <v>9.6</v>
      </c>
      <c r="AC1197" s="288">
        <f t="shared" si="129"/>
        <v>1711.06</v>
      </c>
      <c r="AD1197" s="288">
        <f t="shared" si="130"/>
        <v>1.71106</v>
      </c>
      <c r="AE1197" s="288">
        <f t="shared" si="131"/>
        <v>11.311059999999999</v>
      </c>
    </row>
    <row r="1198" spans="1:31" x14ac:dyDescent="0.2">
      <c r="A1198" s="294"/>
      <c r="B1198" s="293"/>
      <c r="C1198" s="290" t="s">
        <v>1570</v>
      </c>
      <c r="D1198" s="290">
        <v>18</v>
      </c>
      <c r="E1198" s="291" t="s">
        <v>8</v>
      </c>
      <c r="F1198" s="675">
        <v>10</v>
      </c>
      <c r="G1198" s="381"/>
      <c r="J1198" s="765"/>
      <c r="K1198" s="350">
        <f t="shared" si="123"/>
        <v>10.37</v>
      </c>
      <c r="L1198" s="700">
        <v>40</v>
      </c>
      <c r="M1198" s="762">
        <f t="shared" si="124"/>
        <v>11.311</v>
      </c>
      <c r="N1198" s="876">
        <f t="shared" si="125"/>
        <v>17.63</v>
      </c>
      <c r="O1198" s="364">
        <v>2.1880000000000002</v>
      </c>
      <c r="P1198" s="763">
        <v>1.7</v>
      </c>
      <c r="Q1198" s="763">
        <f t="shared" si="126"/>
        <v>117.3</v>
      </c>
      <c r="R1198" s="898"/>
      <c r="S1198" s="738">
        <f t="shared" si="127"/>
        <v>3824.84</v>
      </c>
      <c r="T1198" s="738" t="str">
        <f t="shared" si="128"/>
        <v xml:space="preserve"> t  </v>
      </c>
      <c r="U1198" s="738"/>
      <c r="W1198" s="288"/>
      <c r="X1198" s="288"/>
      <c r="Y1198" s="288"/>
      <c r="Z1198" s="288"/>
      <c r="AA1198" s="288"/>
      <c r="AB1198" s="288">
        <v>9.6</v>
      </c>
      <c r="AC1198" s="288">
        <f t="shared" si="129"/>
        <v>1711.06</v>
      </c>
      <c r="AD1198" s="288">
        <f t="shared" si="130"/>
        <v>1.71106</v>
      </c>
      <c r="AE1198" s="288">
        <f t="shared" si="131"/>
        <v>11.311059999999999</v>
      </c>
    </row>
    <row r="1199" spans="1:31" x14ac:dyDescent="0.2">
      <c r="A1199" s="904"/>
      <c r="B1199" s="366"/>
      <c r="C1199" s="354" t="s">
        <v>2</v>
      </c>
      <c r="D1199" s="367"/>
      <c r="E1199" s="365"/>
      <c r="F1199" s="368"/>
      <c r="G1199" s="367"/>
      <c r="H1199" s="368"/>
      <c r="I1199" s="368"/>
      <c r="J1199" s="366"/>
      <c r="K1199" s="369">
        <f>SUM(K1188:K1198)</f>
        <v>2249.9</v>
      </c>
      <c r="L1199" s="370"/>
      <c r="M1199" s="371">
        <f>+Q1199/K1199</f>
        <v>13.936</v>
      </c>
      <c r="N1199" s="360">
        <f>SUM(N1188:N1198)</f>
        <v>3824.84</v>
      </c>
      <c r="O1199" s="361" t="s">
        <v>985</v>
      </c>
      <c r="P1199" s="747">
        <f>SUM(P1188:P1198)</f>
        <v>18.7</v>
      </c>
      <c r="Q1199" s="747">
        <f>SUM(Q1188:Q1198)</f>
        <v>31355.01</v>
      </c>
      <c r="R1199" s="905"/>
      <c r="S1199" s="738">
        <f t="shared" si="127"/>
        <v>194.33</v>
      </c>
      <c r="T1199" s="738" t="str">
        <f t="shared" si="128"/>
        <v>t</v>
      </c>
      <c r="U1199" s="738"/>
      <c r="W1199" s="288"/>
      <c r="X1199" s="288"/>
      <c r="Y1199" s="288"/>
      <c r="Z1199" s="288"/>
      <c r="AA1199" s="288"/>
    </row>
    <row r="1200" spans="1:31" x14ac:dyDescent="0.2">
      <c r="A1200" s="906">
        <v>4</v>
      </c>
      <c r="B1200" s="394"/>
      <c r="C1200" s="395" t="s">
        <v>1023</v>
      </c>
      <c r="J1200" s="399"/>
      <c r="K1200" s="400"/>
      <c r="L1200" s="401"/>
      <c r="M1200" s="402"/>
      <c r="N1200" s="401"/>
      <c r="O1200" s="399"/>
      <c r="P1200" s="403"/>
      <c r="Q1200" s="403"/>
      <c r="R1200" s="907"/>
      <c r="S1200" s="738">
        <f t="shared" si="127"/>
        <v>194.33</v>
      </c>
      <c r="T1200" s="738" t="str">
        <f t="shared" si="128"/>
        <v>t</v>
      </c>
      <c r="U1200" s="738"/>
    </row>
    <row r="1201" spans="1:21" x14ac:dyDescent="0.2">
      <c r="A1201" s="913" t="s">
        <v>274</v>
      </c>
      <c r="B1201" s="666">
        <v>40968</v>
      </c>
      <c r="C1201" s="347" t="str">
        <f>IF(MID(B1201,1,2)="LG",VLOOKUP(B1201,'Compos lug'!J:M,3,FALSE),IF(MID(B1201,1,1)="6",VLOOKUP(B1201,tranp.!$A$4:$K$19,11,FALSE)&amp;" -  XP="&amp;TEXT(T1201,"0.000")&amp;" / XR="&amp;TEXT(V1201,"0.000"),VLOOKUP(B1201,'DER 10-18'!$A$1:$I$1981,2,FALSE)))</f>
        <v>CM-30, fornecimento</v>
      </c>
      <c r="D1201" s="1059"/>
      <c r="E1201" s="1060"/>
      <c r="F1201" s="1061"/>
      <c r="G1201" s="1059"/>
      <c r="H1201" s="1060"/>
      <c r="I1201" s="1061"/>
      <c r="J1201" s="349"/>
      <c r="K1201" s="876"/>
      <c r="L1201" s="876" t="s">
        <v>990</v>
      </c>
      <c r="M1201" s="876" t="s">
        <v>1010</v>
      </c>
      <c r="N1201" s="876" t="str">
        <f>CONCATENATE("Total (",IF(MID(B1201,1,2)="LG",VLOOKUP(B1201,'Compos lug'!J:M,4,FALSE),IF(MID(B1201,1,1)="6","t",IF(MID(B1201,1,2)="10","t",VLOOKUP(B1201,'DER 10-18'!$A$1:$I$1981,3,FALSE)))),")")</f>
        <v>Total (t)</v>
      </c>
      <c r="O1201" s="313"/>
      <c r="P1201" s="315"/>
      <c r="Q1201" s="315"/>
      <c r="R1201" s="909"/>
      <c r="S1201" s="738">
        <f t="shared" si="127"/>
        <v>194.33</v>
      </c>
      <c r="T1201" s="738" t="str">
        <f t="shared" si="128"/>
        <v>t</v>
      </c>
      <c r="U1201" s="738"/>
    </row>
    <row r="1202" spans="1:21" x14ac:dyDescent="0.2">
      <c r="A1202" s="294"/>
      <c r="B1202" s="293"/>
      <c r="C1202" s="744" t="s">
        <v>1552</v>
      </c>
      <c r="N1202" s="876"/>
      <c r="R1202" s="912"/>
      <c r="S1202" s="738">
        <f t="shared" si="127"/>
        <v>194.33</v>
      </c>
      <c r="T1202" s="738" t="str">
        <f t="shared" si="128"/>
        <v>t</v>
      </c>
    </row>
    <row r="1203" spans="1:21" x14ac:dyDescent="0.2">
      <c r="A1203" s="913"/>
      <c r="B1203" s="666"/>
      <c r="C1203" s="290" t="s">
        <v>136</v>
      </c>
      <c r="G1203" s="382"/>
      <c r="J1203" s="383"/>
      <c r="K1203" s="669"/>
      <c r="L1203" s="298">
        <f>+N972</f>
        <v>141330.72</v>
      </c>
      <c r="M1203" s="670">
        <f>1.2/1000</f>
        <v>1.1999999999999999E-3</v>
      </c>
      <c r="N1203" s="876">
        <f>+L1203*M1203</f>
        <v>169.6</v>
      </c>
      <c r="O1203" s="313"/>
      <c r="P1203" s="315"/>
      <c r="Q1203" s="315"/>
      <c r="R1203" s="909"/>
      <c r="S1203" s="738">
        <f t="shared" si="127"/>
        <v>194.33</v>
      </c>
      <c r="T1203" s="738" t="str">
        <f t="shared" si="128"/>
        <v>t</v>
      </c>
      <c r="U1203" s="738"/>
    </row>
    <row r="1204" spans="1:21" x14ac:dyDescent="0.2">
      <c r="A1204" s="294"/>
      <c r="B1204" s="293"/>
      <c r="C1204" s="744" t="s">
        <v>1553</v>
      </c>
      <c r="N1204" s="876"/>
      <c r="R1204" s="912"/>
      <c r="S1204" s="738">
        <f t="shared" si="127"/>
        <v>194.33</v>
      </c>
      <c r="T1204" s="738" t="str">
        <f t="shared" si="128"/>
        <v>t</v>
      </c>
    </row>
    <row r="1205" spans="1:21" x14ac:dyDescent="0.2">
      <c r="A1205" s="913"/>
      <c r="B1205" s="666"/>
      <c r="C1205" s="290" t="s">
        <v>136</v>
      </c>
      <c r="G1205" s="382"/>
      <c r="J1205" s="383"/>
      <c r="K1205" s="669"/>
      <c r="L1205" s="298">
        <f>SUM(N961:N971)</f>
        <v>20607.46</v>
      </c>
      <c r="M1205" s="670">
        <f>1.2/1000</f>
        <v>1.1999999999999999E-3</v>
      </c>
      <c r="N1205" s="876">
        <f>+L1205*M1205</f>
        <v>24.73</v>
      </c>
      <c r="O1205" s="313"/>
      <c r="P1205" s="315"/>
      <c r="Q1205" s="315"/>
      <c r="R1205" s="909"/>
      <c r="S1205" s="738">
        <f t="shared" si="127"/>
        <v>194.33</v>
      </c>
      <c r="T1205" s="738" t="str">
        <f t="shared" si="128"/>
        <v>t</v>
      </c>
      <c r="U1205" s="738"/>
    </row>
    <row r="1206" spans="1:21" x14ac:dyDescent="0.2">
      <c r="A1206" s="899"/>
      <c r="B1206" s="353"/>
      <c r="C1206" s="354" t="s">
        <v>2</v>
      </c>
      <c r="D1206" s="355"/>
      <c r="E1206" s="352"/>
      <c r="F1206" s="356"/>
      <c r="G1206" s="355"/>
      <c r="H1206" s="356"/>
      <c r="I1206" s="356"/>
      <c r="J1206" s="353"/>
      <c r="K1206" s="357"/>
      <c r="L1206" s="358"/>
      <c r="M1206" s="359"/>
      <c r="N1206" s="360">
        <f>SUM(N1203:N1205)</f>
        <v>194.33</v>
      </c>
      <c r="O1206" s="361" t="str">
        <f>IF(MID(B1201,1,2)="LG",VLOOKUP(B1201,'Compos lug'!J:M,4,FALSE),IF(OR(MID(B1201,1,1)="6",MID(B1201,1,2)="10"),VLOOKUP(B1201,tranp.!$A$6:$K$51,3,FALSE),VLOOKUP(B1201,'DER 10-18'!$A$1:$I$1981,3,FALSE)))</f>
        <v>t</v>
      </c>
      <c r="P1206" s="362"/>
      <c r="Q1206" s="362"/>
      <c r="R1206" s="900"/>
      <c r="S1206" s="738">
        <f t="shared" si="127"/>
        <v>783.48</v>
      </c>
      <c r="T1206" s="738" t="str">
        <f t="shared" si="128"/>
        <v>t</v>
      </c>
      <c r="U1206" s="738"/>
    </row>
    <row r="1207" spans="1:21" x14ac:dyDescent="0.2">
      <c r="A1207" s="294"/>
      <c r="B1207" s="293"/>
      <c r="C1207" s="343"/>
      <c r="H1207" s="292"/>
      <c r="N1207" s="314"/>
      <c r="O1207" s="344"/>
      <c r="P1207" s="315"/>
      <c r="Q1207" s="315"/>
      <c r="R1207" s="903"/>
      <c r="S1207" s="738">
        <f t="shared" si="127"/>
        <v>783.48</v>
      </c>
      <c r="T1207" s="738" t="str">
        <f t="shared" si="128"/>
        <v>t</v>
      </c>
      <c r="U1207" s="738"/>
    </row>
    <row r="1208" spans="1:21" x14ac:dyDescent="0.2">
      <c r="A1208" s="913" t="s">
        <v>275</v>
      </c>
      <c r="B1208" s="666">
        <v>41360</v>
      </c>
      <c r="C1208" s="347" t="str">
        <f>IF(MID(B1208,1,2)="LG",VLOOKUP(B1208,'Compos lug'!J:M,3,FALSE),IF(MID(B1208,1,1)="6",VLOOKUP(B1208,tranp.!$A$4:$K$19,11,FALSE)&amp;" -  XP="&amp;TEXT(T1208,"0.000")&amp;" / XR="&amp;TEXT(V1208,"0.000"),VLOOKUP(B1208,'DER 10-18'!$A$1:$I$1981,2,FALSE)))</f>
        <v>CAP-50/70, fornecimento</v>
      </c>
      <c r="D1208" s="1059"/>
      <c r="E1208" s="1060"/>
      <c r="F1208" s="1061"/>
      <c r="G1208" s="1059"/>
      <c r="H1208" s="1060"/>
      <c r="I1208" s="1061"/>
      <c r="J1208" s="349"/>
      <c r="K1208" s="876"/>
      <c r="L1208" s="876" t="s">
        <v>1105</v>
      </c>
      <c r="M1208" s="876" t="s">
        <v>1106</v>
      </c>
      <c r="N1208" s="876" t="str">
        <f>CONCATENATE("Total (",IF(MID(B1208,1,2)="LG",VLOOKUP(B1208,'Compos lug'!J:M,4,FALSE),IF(MID(B1208,1,1)="6","t",IF(MID(B1208,1,2)="10","t",VLOOKUP(B1208,'DER 10-18'!$A$1:$I$1981,3,FALSE)))),")")</f>
        <v>Total (t)</v>
      </c>
      <c r="O1208" s="313"/>
      <c r="P1208" s="315"/>
      <c r="Q1208" s="315"/>
      <c r="R1208" s="909"/>
      <c r="S1208" s="738">
        <f t="shared" si="127"/>
        <v>783.48</v>
      </c>
      <c r="T1208" s="738" t="str">
        <f t="shared" si="128"/>
        <v>t</v>
      </c>
      <c r="U1208" s="738"/>
    </row>
    <row r="1209" spans="1:21" x14ac:dyDescent="0.2">
      <c r="A1209" s="294"/>
      <c r="B1209" s="293"/>
      <c r="C1209" s="744" t="s">
        <v>1552</v>
      </c>
      <c r="N1209" s="876"/>
      <c r="R1209" s="912"/>
      <c r="S1209" s="738">
        <f t="shared" si="127"/>
        <v>783.48</v>
      </c>
      <c r="T1209" s="738" t="str">
        <f t="shared" si="128"/>
        <v>t</v>
      </c>
    </row>
    <row r="1210" spans="1:21" x14ac:dyDescent="0.2">
      <c r="A1210" s="913"/>
      <c r="B1210" s="666"/>
      <c r="C1210" s="290" t="s">
        <v>1104</v>
      </c>
      <c r="G1210" s="382"/>
      <c r="J1210" s="383"/>
      <c r="K1210" s="669"/>
      <c r="L1210" s="298">
        <f>+N1008</f>
        <v>14245.03</v>
      </c>
      <c r="M1210" s="671">
        <v>5.5E-2</v>
      </c>
      <c r="N1210" s="876">
        <f>+L1210*M1210</f>
        <v>783.48</v>
      </c>
      <c r="O1210" s="313"/>
      <c r="P1210" s="315"/>
      <c r="Q1210" s="315"/>
      <c r="R1210" s="909"/>
      <c r="S1210" s="738">
        <f t="shared" si="127"/>
        <v>783.48</v>
      </c>
      <c r="T1210" s="738" t="str">
        <f t="shared" si="128"/>
        <v>t</v>
      </c>
      <c r="U1210" s="738"/>
    </row>
    <row r="1211" spans="1:21" x14ac:dyDescent="0.2">
      <c r="A1211" s="899"/>
      <c r="B1211" s="353"/>
      <c r="C1211" s="354" t="s">
        <v>2</v>
      </c>
      <c r="D1211" s="355"/>
      <c r="E1211" s="352"/>
      <c r="F1211" s="356"/>
      <c r="G1211" s="355"/>
      <c r="H1211" s="356"/>
      <c r="I1211" s="356"/>
      <c r="J1211" s="353"/>
      <c r="K1211" s="357"/>
      <c r="L1211" s="358"/>
      <c r="M1211" s="359"/>
      <c r="N1211" s="360">
        <f>SUM(N1210:N1210)</f>
        <v>783.48</v>
      </c>
      <c r="O1211" s="361" t="str">
        <f>IF(MID(B1208,1,2)="LG",VLOOKUP(B1208,'Compos lug'!J:M,4,FALSE),IF(OR(MID(B1208,1,1)="6",MID(B1208,1,2)="10"),VLOOKUP(B1208,tranp.!$A$6:$K$51,3,FALSE),VLOOKUP(B1208,'DER 10-18'!$A$1:$I$1981,3,FALSE)))</f>
        <v>t</v>
      </c>
      <c r="P1211" s="362"/>
      <c r="Q1211" s="362"/>
      <c r="R1211" s="900"/>
      <c r="S1211" s="738">
        <f t="shared" si="127"/>
        <v>7.12</v>
      </c>
      <c r="T1211" s="738" t="str">
        <f t="shared" si="128"/>
        <v>t</v>
      </c>
      <c r="U1211" s="738"/>
    </row>
    <row r="1212" spans="1:21" x14ac:dyDescent="0.2">
      <c r="A1212" s="294"/>
      <c r="B1212" s="293"/>
      <c r="C1212" s="343"/>
      <c r="H1212" s="292"/>
      <c r="N1212" s="314"/>
      <c r="O1212" s="344"/>
      <c r="P1212" s="315"/>
      <c r="Q1212" s="315"/>
      <c r="R1212" s="903"/>
      <c r="S1212" s="738">
        <f t="shared" si="127"/>
        <v>7.12</v>
      </c>
      <c r="T1212" s="738" t="str">
        <f t="shared" si="128"/>
        <v>t</v>
      </c>
      <c r="U1212" s="738"/>
    </row>
    <row r="1213" spans="1:21" x14ac:dyDescent="0.2">
      <c r="A1213" s="913" t="s">
        <v>276</v>
      </c>
      <c r="B1213" s="666">
        <v>40976</v>
      </c>
      <c r="C1213" s="347" t="str">
        <f>IF(MID(B1213,1,2)="LG",VLOOKUP(B1213,'Compos lug'!J:M,3,FALSE),IF(MID(B1213,1,1)="6",VLOOKUP(B1213,tranp.!$A$4:$K$19,11,FALSE)&amp;" -  XP="&amp;TEXT(T1213,"0.000")&amp;" / XR="&amp;TEXT(V1213,"0.000"),VLOOKUP(B1213,'DER 10-18'!$A$1:$I$1981,2,FALSE)))</f>
        <v>Dope, fornecimento</v>
      </c>
      <c r="D1213" s="1059"/>
      <c r="E1213" s="1060"/>
      <c r="F1213" s="1061"/>
      <c r="G1213" s="1059"/>
      <c r="H1213" s="1060"/>
      <c r="I1213" s="1061"/>
      <c r="J1213" s="349"/>
      <c r="K1213" s="876"/>
      <c r="L1213" s="876" t="s">
        <v>1105</v>
      </c>
      <c r="M1213" s="876" t="s">
        <v>1106</v>
      </c>
      <c r="N1213" s="876" t="str">
        <f>CONCATENATE("Total (",IF(MID(B1213,1,2)="LG",VLOOKUP(B1213,'Compos lug'!J:M,4,FALSE),IF(MID(B1213,1,1)="6","t",IF(MID(B1213,1,2)="10","t",VLOOKUP(B1213,'DER 10-18'!$A$1:$I$1981,3,FALSE)))),")")</f>
        <v>Total (t)</v>
      </c>
      <c r="O1213" s="313"/>
      <c r="P1213" s="315"/>
      <c r="Q1213" s="315"/>
      <c r="R1213" s="909"/>
      <c r="S1213" s="738">
        <f t="shared" si="127"/>
        <v>7.12</v>
      </c>
      <c r="T1213" s="738" t="str">
        <f t="shared" si="128"/>
        <v>t</v>
      </c>
      <c r="U1213" s="738"/>
    </row>
    <row r="1214" spans="1:21" x14ac:dyDescent="0.2">
      <c r="A1214" s="294"/>
      <c r="B1214" s="293"/>
      <c r="C1214" s="744" t="s">
        <v>1552</v>
      </c>
      <c r="N1214" s="876"/>
      <c r="R1214" s="912"/>
      <c r="S1214" s="738">
        <f t="shared" si="127"/>
        <v>7.12</v>
      </c>
      <c r="T1214" s="738" t="str">
        <f t="shared" si="128"/>
        <v>t</v>
      </c>
    </row>
    <row r="1215" spans="1:21" x14ac:dyDescent="0.2">
      <c r="A1215" s="913"/>
      <c r="B1215" s="666"/>
      <c r="C1215" s="290" t="s">
        <v>1104</v>
      </c>
      <c r="G1215" s="382"/>
      <c r="J1215" s="383"/>
      <c r="K1215" s="669"/>
      <c r="L1215" s="298">
        <f>L1210</f>
        <v>14245.03</v>
      </c>
      <c r="M1215" s="671">
        <v>5.0000000000000001E-4</v>
      </c>
      <c r="N1215" s="876">
        <f>+L1215*M1215</f>
        <v>7.12</v>
      </c>
      <c r="O1215" s="313"/>
      <c r="P1215" s="315"/>
      <c r="Q1215" s="315"/>
      <c r="R1215" s="909"/>
      <c r="S1215" s="738">
        <f t="shared" si="127"/>
        <v>7.12</v>
      </c>
      <c r="T1215" s="738" t="str">
        <f t="shared" si="128"/>
        <v>t</v>
      </c>
      <c r="U1215" s="738"/>
    </row>
    <row r="1216" spans="1:21" x14ac:dyDescent="0.2">
      <c r="A1216" s="899"/>
      <c r="B1216" s="353"/>
      <c r="C1216" s="354" t="s">
        <v>2</v>
      </c>
      <c r="D1216" s="355"/>
      <c r="E1216" s="352"/>
      <c r="F1216" s="356"/>
      <c r="G1216" s="355"/>
      <c r="H1216" s="356"/>
      <c r="I1216" s="356"/>
      <c r="J1216" s="353"/>
      <c r="K1216" s="357"/>
      <c r="L1216" s="358"/>
      <c r="M1216" s="359"/>
      <c r="N1216" s="360">
        <f>SUM(N1215:N1215)</f>
        <v>7.12</v>
      </c>
      <c r="O1216" s="361" t="str">
        <f>IF(MID(B1213,1,2)="LG",VLOOKUP(B1213,'Compos lug'!J:M,4,FALSE),IF(OR(MID(B1213,1,1)="6",MID(B1213,1,2)="10"),VLOOKUP(B1213,tranp.!$A$6:$K$51,3,FALSE),VLOOKUP(B1213,'DER 10-18'!$A$1:$I$1981,3,FALSE)))</f>
        <v>t</v>
      </c>
      <c r="P1216" s="362"/>
      <c r="Q1216" s="362"/>
      <c r="R1216" s="900"/>
      <c r="S1216" s="738">
        <f t="shared" si="127"/>
        <v>66.53</v>
      </c>
      <c r="T1216" s="738" t="str">
        <f t="shared" si="128"/>
        <v>t</v>
      </c>
      <c r="U1216" s="738"/>
    </row>
    <row r="1217" spans="1:27" x14ac:dyDescent="0.2">
      <c r="A1217" s="906"/>
      <c r="B1217" s="394"/>
      <c r="C1217" s="395"/>
      <c r="J1217" s="399"/>
      <c r="K1217" s="400"/>
      <c r="L1217" s="401"/>
      <c r="M1217" s="402"/>
      <c r="N1217" s="401"/>
      <c r="O1217" s="399"/>
      <c r="P1217" s="403"/>
      <c r="Q1217" s="403"/>
      <c r="R1217" s="907"/>
      <c r="S1217" s="738">
        <f t="shared" si="127"/>
        <v>66.53</v>
      </c>
      <c r="T1217" s="738" t="str">
        <f t="shared" si="128"/>
        <v>t</v>
      </c>
      <c r="U1217" s="738"/>
      <c r="W1217" s="288"/>
      <c r="X1217" s="288"/>
      <c r="Y1217" s="288"/>
      <c r="Z1217" s="288"/>
      <c r="AA1217" s="288"/>
    </row>
    <row r="1218" spans="1:27" x14ac:dyDescent="0.2">
      <c r="A1218" s="913" t="s">
        <v>277</v>
      </c>
      <c r="B1218" s="666">
        <v>40969</v>
      </c>
      <c r="C1218" s="347" t="str">
        <f>IF(MID(B1218,1,2)="LG",VLOOKUP(B1218,'Compos lug'!J:M,3,FALSE),IF(OR(OR(OR(OR(OR(MID(B1218,1,1)="6", MID(B1218,1,1)="1"), MID(B1218,1,1)="1"), MID(B1218,1,1)="1"), MID(B1218,1,1)="1"), MID(B1218,1,1)="1"),VLOOKUP(B1218,tranp.!$A$4:$K$21,11,FALSE)&amp;" -  XP="&amp;TEXT(T1218,"0,000")&amp;" / XR="&amp;TEXT(V1218,"0,000"),VLOOKUP(B1218,'DER 10-18'!$A$1:$I$1994,2,FALSE)))</f>
        <v>Emulsão RR-2C, fornecimento</v>
      </c>
      <c r="D1218" s="1059"/>
      <c r="E1218" s="1060"/>
      <c r="F1218" s="1061"/>
      <c r="G1218" s="1059"/>
      <c r="H1218" s="1060"/>
      <c r="I1218" s="1061"/>
      <c r="J1218" s="349"/>
      <c r="K1218" s="876"/>
      <c r="L1218" s="876" t="s">
        <v>990</v>
      </c>
      <c r="M1218" s="876" t="s">
        <v>1010</v>
      </c>
      <c r="N1218" s="876" t="str">
        <f>CONCATENATE("Total (",IF(MID(B1218,1,2)="LG",VLOOKUP(B1218,'Compos lug'!J:M,4,FALSE),IF(OR(OR(OR(OR(OR(MID(B1218,1,1)="6", MID(B1218,1,1)="1"), MID(B1218,1,1)="1"), MID(B1218,1,1)="1"), MID(B1218,1,1)="1"), MID(B1218,1,1)="1"),"t",VLOOKUP(B1218,'DER 10-18'!$A$1:$I$1994,3,FALSE))),")")</f>
        <v>Total (t)</v>
      </c>
      <c r="O1218" s="313"/>
      <c r="P1218" s="315"/>
      <c r="Q1218" s="315"/>
      <c r="R1218" s="909"/>
      <c r="S1218" s="738">
        <f t="shared" si="127"/>
        <v>66.53</v>
      </c>
      <c r="T1218" s="738" t="str">
        <f t="shared" si="128"/>
        <v>t</v>
      </c>
      <c r="U1218" s="738">
        <v>197.52</v>
      </c>
      <c r="W1218" s="288"/>
      <c r="X1218" s="288"/>
      <c r="Y1218" s="288"/>
      <c r="Z1218" s="288"/>
      <c r="AA1218" s="288"/>
    </row>
    <row r="1219" spans="1:27" x14ac:dyDescent="0.2">
      <c r="A1219" s="913"/>
      <c r="B1219" s="666"/>
      <c r="C1219" s="744" t="s">
        <v>1553</v>
      </c>
      <c r="D1219" s="870"/>
      <c r="E1219" s="871"/>
      <c r="F1219" s="871"/>
      <c r="G1219" s="870"/>
      <c r="H1219" s="871"/>
      <c r="I1219" s="871"/>
      <c r="J1219" s="349"/>
      <c r="K1219" s="883"/>
      <c r="L1219" s="876"/>
      <c r="M1219" s="885"/>
      <c r="N1219" s="876"/>
      <c r="O1219" s="313"/>
      <c r="P1219" s="315"/>
      <c r="Q1219" s="315"/>
      <c r="R1219" s="909"/>
      <c r="S1219" s="738">
        <f t="shared" si="127"/>
        <v>66.53</v>
      </c>
      <c r="T1219" s="738" t="str">
        <f t="shared" si="128"/>
        <v>t</v>
      </c>
      <c r="U1219" s="738"/>
      <c r="W1219" s="288"/>
      <c r="X1219" s="288"/>
      <c r="Y1219" s="288"/>
      <c r="Z1219" s="288"/>
      <c r="AA1219" s="288"/>
    </row>
    <row r="1220" spans="1:27" x14ac:dyDescent="0.2">
      <c r="A1220" s="913"/>
      <c r="B1220" s="666"/>
      <c r="C1220" s="290" t="s">
        <v>1581</v>
      </c>
      <c r="G1220" s="382"/>
      <c r="J1220" s="383"/>
      <c r="K1220" s="669"/>
      <c r="L1220" s="298">
        <f>SUM(N1024)</f>
        <v>20161.16</v>
      </c>
      <c r="M1220" s="670">
        <f>0.33/100</f>
        <v>3.3E-3</v>
      </c>
      <c r="N1220" s="876">
        <f>+L1220*M1220</f>
        <v>66.53</v>
      </c>
      <c r="O1220" s="313"/>
      <c r="P1220" s="315"/>
      <c r="Q1220" s="315"/>
      <c r="R1220" s="909"/>
      <c r="S1220" s="738">
        <f t="shared" si="127"/>
        <v>66.53</v>
      </c>
      <c r="T1220" s="738" t="str">
        <f t="shared" si="128"/>
        <v>t</v>
      </c>
      <c r="U1220" s="738">
        <f>+U1218*2</f>
        <v>395.04</v>
      </c>
      <c r="W1220" s="288"/>
      <c r="X1220" s="288"/>
      <c r="Y1220" s="288"/>
      <c r="Z1220" s="288"/>
      <c r="AA1220" s="288"/>
    </row>
    <row r="1221" spans="1:27" x14ac:dyDescent="0.2">
      <c r="A1221" s="899"/>
      <c r="B1221" s="353"/>
      <c r="C1221" s="354" t="s">
        <v>2</v>
      </c>
      <c r="D1221" s="355"/>
      <c r="E1221" s="352"/>
      <c r="F1221" s="356"/>
      <c r="G1221" s="355"/>
      <c r="H1221" s="356"/>
      <c r="I1221" s="356"/>
      <c r="J1221" s="353"/>
      <c r="K1221" s="357"/>
      <c r="L1221" s="358"/>
      <c r="M1221" s="359"/>
      <c r="N1221" s="360">
        <f>SUM(N1220:N1220)</f>
        <v>66.53</v>
      </c>
      <c r="O1221" s="361" t="str">
        <f>IF(MID(B1218,1,2)="LG",VLOOKUP(B1218,'Compos lug'!J:M,4,FALSE),IF(OR(OR(OR(OR(OR(MID(B1218,1,1)="6", MID(B1218,1,1)="1"), MID(B1218,1,1)="1"), MID(B1218,1,1)="1"), MID(B1218,1,1)="1"), MID(B1218,1,1)="1"),VLOOKUP(B1218,tranp.!$A$6:$K$38,3,FALSE),VLOOKUP(B1218,'DER 10-18'!$A$1:$I$1994,3,FALSE)))</f>
        <v>t</v>
      </c>
      <c r="P1221" s="362"/>
      <c r="Q1221" s="362"/>
      <c r="R1221" s="900"/>
      <c r="S1221" s="888">
        <f t="shared" si="127"/>
        <v>0.15279999999999999</v>
      </c>
      <c r="T1221" s="738" t="str">
        <f t="shared" si="128"/>
        <v>%</v>
      </c>
      <c r="U1221" s="738"/>
      <c r="W1221" s="288"/>
      <c r="X1221" s="288"/>
      <c r="Y1221" s="288"/>
      <c r="Z1221" s="288"/>
      <c r="AA1221" s="288"/>
    </row>
    <row r="1222" spans="1:27" x14ac:dyDescent="0.2">
      <c r="A1222" s="294"/>
      <c r="B1222" s="293"/>
      <c r="C1222" s="343"/>
      <c r="H1222" s="292"/>
      <c r="N1222" s="314"/>
      <c r="O1222" s="344"/>
      <c r="P1222" s="315"/>
      <c r="Q1222" s="315"/>
      <c r="R1222" s="903"/>
      <c r="S1222" s="888">
        <f t="shared" si="127"/>
        <v>0.15279999999999999</v>
      </c>
      <c r="T1222" s="738" t="str">
        <f t="shared" si="128"/>
        <v>%</v>
      </c>
      <c r="U1222" s="738"/>
    </row>
    <row r="1223" spans="1:27" x14ac:dyDescent="0.2">
      <c r="A1223" s="913" t="s">
        <v>278</v>
      </c>
      <c r="B1223" s="666">
        <v>40972</v>
      </c>
      <c r="C1223" s="347" t="str">
        <f>IF(MID(B1223,1,2)="LG",VLOOKUP(B1223,'Compos lug'!J:M,3,FALSE),IF(MID(B1223,1,1)="6",VLOOKUP(B1223,tranp.!$A$4:$K$19,11,FALSE)&amp;" -  XP="&amp;TEXT(T1223,"0.000")&amp;" / XR="&amp;TEXT(V1223,"0.000"),VLOOKUP(B1223,'DER 10-18'!$A$1:$I$1981,2,FALSE)))</f>
        <v>Bonificação de 15,28% sobre Materiais Betuminosos</v>
      </c>
      <c r="D1223" s="1059"/>
      <c r="E1223" s="1060"/>
      <c r="F1223" s="1061"/>
      <c r="G1223" s="1059"/>
      <c r="H1223" s="1060"/>
      <c r="I1223" s="1061"/>
      <c r="J1223" s="349"/>
      <c r="K1223" s="876"/>
      <c r="L1223" s="876"/>
      <c r="M1223" s="876"/>
      <c r="N1223" s="876" t="str">
        <f>CONCATENATE("Total (",IF(MID(B1223,1,2)="LG",VLOOKUP(B1223,'Compos lug'!J:M,4,FALSE),IF(MID(B1223,1,1)="6","t",IF(MID(B1223,1,2)="10","t",VLOOKUP(B1223,'DER 10-18'!$A$1:$I$1981,3,FALSE)))),")")</f>
        <v>Total (%)</v>
      </c>
      <c r="O1223" s="313"/>
      <c r="P1223" s="315"/>
      <c r="Q1223" s="315"/>
      <c r="R1223" s="909"/>
      <c r="S1223" s="888">
        <f t="shared" si="127"/>
        <v>0.15279999999999999</v>
      </c>
      <c r="T1223" s="738" t="str">
        <f t="shared" si="128"/>
        <v>%</v>
      </c>
      <c r="U1223" s="738"/>
    </row>
    <row r="1224" spans="1:27" x14ac:dyDescent="0.2">
      <c r="A1224" s="913"/>
      <c r="B1224" s="666"/>
      <c r="G1224" s="382"/>
      <c r="J1224" s="383"/>
      <c r="K1224" s="669"/>
      <c r="M1224" s="672"/>
      <c r="N1224" s="886">
        <v>0.15279999999999999</v>
      </c>
      <c r="O1224" s="313"/>
      <c r="P1224" s="315"/>
      <c r="Q1224" s="315"/>
      <c r="R1224" s="909"/>
      <c r="S1224" s="888">
        <f t="shared" si="127"/>
        <v>0.15279999999999999</v>
      </c>
      <c r="T1224" s="738" t="str">
        <f t="shared" si="128"/>
        <v>%</v>
      </c>
      <c r="U1224" s="738"/>
    </row>
    <row r="1225" spans="1:27" x14ac:dyDescent="0.2">
      <c r="A1225" s="899"/>
      <c r="B1225" s="353"/>
      <c r="C1225" s="354" t="s">
        <v>2</v>
      </c>
      <c r="D1225" s="355"/>
      <c r="E1225" s="352"/>
      <c r="F1225" s="356"/>
      <c r="G1225" s="355"/>
      <c r="H1225" s="356"/>
      <c r="I1225" s="356"/>
      <c r="J1225" s="353"/>
      <c r="K1225" s="357"/>
      <c r="L1225" s="358"/>
      <c r="M1225" s="359"/>
      <c r="N1225" s="887">
        <f>SUM(N1224:N1224)</f>
        <v>0.15279999999999999</v>
      </c>
      <c r="O1225" s="361" t="str">
        <f>IF(MID(B1223,1,2)="LG",VLOOKUP(B1223,'Compos lug'!J:M,4,FALSE),IF(OR(MID(B1223,1,1)="6",MID(B1223,1,2)="10"),VLOOKUP(B1223,tranp.!$A$6:$K$51,3,FALSE),VLOOKUP(B1223,'DER 10-18'!$A$1:$I$1981,3,FALSE)))</f>
        <v>%</v>
      </c>
      <c r="P1225" s="362"/>
      <c r="Q1225" s="362"/>
      <c r="R1225" s="900"/>
      <c r="S1225" s="738">
        <f t="shared" si="127"/>
        <v>194.33</v>
      </c>
      <c r="T1225" s="738" t="str">
        <f t="shared" si="128"/>
        <v>T</v>
      </c>
      <c r="U1225" s="738"/>
    </row>
    <row r="1226" spans="1:27" x14ac:dyDescent="0.2">
      <c r="A1226" s="294"/>
      <c r="B1226" s="293"/>
      <c r="C1226" s="343"/>
      <c r="H1226" s="292"/>
      <c r="N1226" s="314"/>
      <c r="O1226" s="344"/>
      <c r="P1226" s="315"/>
      <c r="Q1226" s="315"/>
      <c r="R1226" s="903"/>
      <c r="S1226" s="738">
        <f t="shared" si="127"/>
        <v>194.33</v>
      </c>
      <c r="T1226" s="738" t="str">
        <f t="shared" si="128"/>
        <v>T</v>
      </c>
      <c r="U1226" s="738"/>
    </row>
    <row r="1227" spans="1:27" ht="38.25" x14ac:dyDescent="0.2">
      <c r="A1227" s="913" t="s">
        <v>1107</v>
      </c>
      <c r="B1227" s="666">
        <v>100849</v>
      </c>
      <c r="C1227" s="347" t="str">
        <f>IF(MID(B1227,1,2)="LG",VLOOKUP(B1227,'Compos lug'!J:M,3,FALSE),IF(MID(B1227,1,1)="1",VLOOKUP(B1227,tranp.!$A$4:$K$20,11,FALSE)&amp;" -  XP="&amp;TEXT(L1232*1000,"0.000")&amp;" / XR="&amp;TEXT(M1232*1000,"0.000"),VLOOKUP(B1227,'DER 10-18'!$A$1:$I$1981,2,FALSE)))&amp;" - "&amp;TEXT(C1229,"0.000")</f>
        <v>Transporte de Material Asfáltico (DNIT), inclusive BDI diferenciado0,537XP+0,636XR+57,439 -  XP=411.800 / XR=5.700 - CM-30</v>
      </c>
      <c r="D1227" s="1059"/>
      <c r="E1227" s="1060"/>
      <c r="F1227" s="1061"/>
      <c r="G1227" s="1059"/>
      <c r="H1227" s="1060"/>
      <c r="I1227" s="1061"/>
      <c r="J1227" s="349"/>
      <c r="K1227" s="876"/>
      <c r="L1227" s="876" t="s">
        <v>992</v>
      </c>
      <c r="M1227" s="876" t="s">
        <v>993</v>
      </c>
      <c r="N1227" s="876" t="str">
        <f>CONCATENATE("Total (",IF(MID(B1227,1,2)="LG",VLOOKUP(B1227,'Compos lug'!J:M,4,FALSE),IF(MID(B1227,1,1)="6","t",IF(MID(B1227,1,2)="10","t",VLOOKUP(B1227,'DER 10-18'!$A$1:$I$1981,3,FALSE)))),")")</f>
        <v>Total (t)</v>
      </c>
      <c r="O1227" s="293"/>
      <c r="P1227" s="880"/>
      <c r="Q1227" s="880"/>
      <c r="R1227" s="912"/>
      <c r="S1227" s="738">
        <f t="shared" si="127"/>
        <v>194.33</v>
      </c>
      <c r="T1227" s="738" t="str">
        <f t="shared" si="128"/>
        <v>T</v>
      </c>
      <c r="U1227" s="738"/>
      <c r="V1227" s="741">
        <f>W1227*Z1227+X1227*AA1227+Y1227</f>
        <v>282.2</v>
      </c>
      <c r="W1227" s="742">
        <f>VLOOKUP(B1227,tranp.!A:J,8,FALSE)</f>
        <v>0.53700000000000003</v>
      </c>
      <c r="X1227" s="742">
        <f>VLOOKUP(B1227,tranp.!A:J,9,FALSE)</f>
        <v>0.63600000000000001</v>
      </c>
      <c r="Y1227" s="742">
        <f>VLOOKUP(B1227,tranp.!A:J,10,FALSE)</f>
        <v>57.439</v>
      </c>
      <c r="Z1227" s="745">
        <f>VLOOKUP("Total",C1229:O1845,10,FALSE)</f>
        <v>411.8</v>
      </c>
      <c r="AA1227" s="745">
        <f>VLOOKUP("Total",C1229:O1845,11,FALSE)</f>
        <v>5.7</v>
      </c>
    </row>
    <row r="1228" spans="1:27" x14ac:dyDescent="0.2">
      <c r="A1228" s="913"/>
      <c r="B1228" s="666"/>
      <c r="C1228" s="744" t="s">
        <v>1552</v>
      </c>
      <c r="D1228" s="870"/>
      <c r="E1228" s="871"/>
      <c r="F1228" s="871"/>
      <c r="G1228" s="870"/>
      <c r="H1228" s="871"/>
      <c r="I1228" s="871"/>
      <c r="J1228" s="349"/>
      <c r="K1228" s="876"/>
      <c r="L1228" s="885"/>
      <c r="M1228" s="885"/>
      <c r="N1228" s="876"/>
      <c r="O1228" s="293"/>
      <c r="P1228" s="880"/>
      <c r="Q1228" s="880"/>
      <c r="R1228" s="912"/>
      <c r="S1228" s="738">
        <f t="shared" si="127"/>
        <v>194.33</v>
      </c>
      <c r="T1228" s="738" t="str">
        <f t="shared" si="128"/>
        <v>T</v>
      </c>
      <c r="U1228" s="738"/>
      <c r="V1228" s="741"/>
      <c r="W1228" s="742"/>
      <c r="X1228" s="742"/>
      <c r="Y1228" s="742"/>
      <c r="Z1228" s="745"/>
      <c r="AA1228" s="745"/>
    </row>
    <row r="1229" spans="1:27" x14ac:dyDescent="0.2">
      <c r="A1229" s="897"/>
      <c r="B1229" s="349"/>
      <c r="C1229" s="580" t="s">
        <v>1289</v>
      </c>
      <c r="D1229" s="870"/>
      <c r="E1229" s="871"/>
      <c r="F1229" s="668"/>
      <c r="G1229" s="870"/>
      <c r="H1229" s="871"/>
      <c r="I1229" s="668"/>
      <c r="J1229" s="349"/>
      <c r="K1229" s="876"/>
      <c r="L1229" s="885">
        <v>411.8</v>
      </c>
      <c r="M1229" s="885">
        <v>5.7</v>
      </c>
      <c r="N1229" s="876">
        <f>+N1203</f>
        <v>169.6</v>
      </c>
      <c r="O1229" s="351"/>
      <c r="P1229" s="880"/>
      <c r="Q1229" s="880"/>
      <c r="R1229" s="898"/>
      <c r="S1229" s="738">
        <f t="shared" si="127"/>
        <v>194.33</v>
      </c>
      <c r="T1229" s="738" t="str">
        <f t="shared" si="128"/>
        <v>T</v>
      </c>
      <c r="U1229" s="748"/>
    </row>
    <row r="1230" spans="1:27" x14ac:dyDescent="0.2">
      <c r="A1230" s="897"/>
      <c r="B1230" s="349"/>
      <c r="C1230" s="744" t="s">
        <v>1553</v>
      </c>
      <c r="D1230" s="870"/>
      <c r="E1230" s="871"/>
      <c r="F1230" s="668"/>
      <c r="G1230" s="870"/>
      <c r="H1230" s="871"/>
      <c r="I1230" s="668"/>
      <c r="J1230" s="349"/>
      <c r="K1230" s="876"/>
      <c r="L1230" s="885"/>
      <c r="M1230" s="885"/>
      <c r="N1230" s="883"/>
      <c r="O1230" s="351"/>
      <c r="P1230" s="880"/>
      <c r="Q1230" s="880"/>
      <c r="R1230" s="898"/>
      <c r="S1230" s="738">
        <f t="shared" si="127"/>
        <v>194.33</v>
      </c>
      <c r="T1230" s="738" t="str">
        <f t="shared" si="128"/>
        <v>T</v>
      </c>
      <c r="U1230" s="748"/>
    </row>
    <row r="1231" spans="1:27" x14ac:dyDescent="0.2">
      <c r="A1231" s="897"/>
      <c r="B1231" s="349"/>
      <c r="C1231" s="580" t="s">
        <v>1289</v>
      </c>
      <c r="D1231" s="870"/>
      <c r="E1231" s="871"/>
      <c r="F1231" s="668"/>
      <c r="G1231" s="870"/>
      <c r="H1231" s="871"/>
      <c r="I1231" s="668"/>
      <c r="J1231" s="349"/>
      <c r="K1231" s="876"/>
      <c r="L1231" s="885"/>
      <c r="M1231" s="885"/>
      <c r="N1231" s="883">
        <f>N1205</f>
        <v>24.73</v>
      </c>
      <c r="O1231" s="351"/>
      <c r="P1231" s="880"/>
      <c r="Q1231" s="880"/>
      <c r="R1231" s="898"/>
      <c r="S1231" s="738">
        <f t="shared" si="127"/>
        <v>194.33</v>
      </c>
      <c r="T1231" s="738" t="str">
        <f t="shared" si="128"/>
        <v>T</v>
      </c>
      <c r="U1231" s="748"/>
    </row>
    <row r="1232" spans="1:27" x14ac:dyDescent="0.2">
      <c r="A1232" s="899"/>
      <c r="B1232" s="353"/>
      <c r="C1232" s="354" t="s">
        <v>2</v>
      </c>
      <c r="D1232" s="355"/>
      <c r="E1232" s="352"/>
      <c r="F1232" s="356"/>
      <c r="G1232" s="355"/>
      <c r="H1232" s="356"/>
      <c r="I1232" s="356"/>
      <c r="J1232" s="353"/>
      <c r="K1232" s="720"/>
      <c r="L1232" s="370">
        <f>L1229</f>
        <v>411.8</v>
      </c>
      <c r="M1232" s="371">
        <f>M1229</f>
        <v>5.7</v>
      </c>
      <c r="N1232" s="721">
        <f>SUM(N1229:N1231)</f>
        <v>194.33</v>
      </c>
      <c r="O1232" s="361" t="str">
        <f>IF(MID(B1227,1,2)="LG",VLOOKUP(B1227,'Compos lug'!J:M,4,FALSE),IF(OR(MID(B1227,1,1)="6",MID(B1227,1,2)="10"),VLOOKUP(B1227,tranp.!$A$6:$K$51,3,FALSE),VLOOKUP(B1227,'DER 10-18'!$A$1:$I$1981,3,FALSE)))</f>
        <v>T</v>
      </c>
      <c r="P1232" s="362"/>
      <c r="Q1232" s="362"/>
      <c r="R1232" s="900"/>
      <c r="S1232" s="738">
        <f t="shared" si="127"/>
        <v>783.48</v>
      </c>
      <c r="T1232" s="738" t="str">
        <f t="shared" si="128"/>
        <v>T</v>
      </c>
      <c r="U1232" s="738"/>
    </row>
    <row r="1233" spans="1:27" ht="38.25" x14ac:dyDescent="0.2">
      <c r="A1233" s="913" t="s">
        <v>1108</v>
      </c>
      <c r="B1233" s="666">
        <v>100849</v>
      </c>
      <c r="C1233" s="347" t="str">
        <f>IF(MID(B1233,1,2)="LG",VLOOKUP(B1233,'Compos lug'!J:M,3,FALSE),IF(MID(B1233,1,1)="1",VLOOKUP(B1233,tranp.!$A$4:$K$20,11,FALSE)&amp;" -  XP="&amp;TEXT(L1236*1000,"0.000")&amp;" / XR="&amp;TEXT(M1236*1000,"0.000"),VLOOKUP(B1233,'DER 10-18'!$A$1:$I$1981,2,FALSE)))&amp;" - "&amp;TEXT(C1235,"0.000")</f>
        <v>Transporte de Material Asfáltico (DNIT), inclusive BDI diferenciado0,537XP+0,636XR+57,439 -  XP=411.800 / XR=5.700 - CAP50/70</v>
      </c>
      <c r="D1233" s="1059"/>
      <c r="E1233" s="1060"/>
      <c r="F1233" s="1061"/>
      <c r="G1233" s="1059"/>
      <c r="H1233" s="1060"/>
      <c r="I1233" s="1061"/>
      <c r="J1233" s="349"/>
      <c r="K1233" s="876"/>
      <c r="L1233" s="876" t="s">
        <v>992</v>
      </c>
      <c r="M1233" s="876" t="s">
        <v>993</v>
      </c>
      <c r="N1233" s="876" t="str">
        <f>CONCATENATE("Total (",IF(MID(B1233,1,2)="LG",VLOOKUP(B1233,'Compos lug'!J:M,4,FALSE),IF(MID(B1233,1,1)="6","t",IF(MID(B1233,1,2)="10","t",VLOOKUP(B1233,'DER 10-18'!$A$1:$I$1981,3,FALSE)))),")")</f>
        <v>Total (t)</v>
      </c>
      <c r="O1233" s="293"/>
      <c r="P1233" s="880"/>
      <c r="Q1233" s="880"/>
      <c r="R1233" s="912"/>
      <c r="S1233" s="738">
        <f t="shared" si="127"/>
        <v>783.48</v>
      </c>
      <c r="T1233" s="738" t="str">
        <f t="shared" si="128"/>
        <v>T</v>
      </c>
      <c r="U1233" s="738"/>
      <c r="V1233" s="741">
        <f>W1233*Z1233+X1233*AA1233+Y1233</f>
        <v>282.2</v>
      </c>
      <c r="W1233" s="742">
        <f>VLOOKUP(B1233,tranp.!A:J,8,FALSE)</f>
        <v>0.53700000000000003</v>
      </c>
      <c r="X1233" s="742">
        <f>VLOOKUP(B1233,tranp.!A:J,9,FALSE)</f>
        <v>0.63600000000000001</v>
      </c>
      <c r="Y1233" s="742">
        <f>VLOOKUP(B1233,tranp.!A:J,10,FALSE)</f>
        <v>57.439</v>
      </c>
      <c r="Z1233" s="745">
        <f>VLOOKUP("Total",C1235:O1845,10,FALSE)</f>
        <v>411.8</v>
      </c>
      <c r="AA1233" s="745">
        <f>VLOOKUP("Total",C1235:O1845,11,FALSE)</f>
        <v>5.7</v>
      </c>
    </row>
    <row r="1234" spans="1:27" x14ac:dyDescent="0.2">
      <c r="A1234" s="294"/>
      <c r="B1234" s="293"/>
      <c r="C1234" s="744" t="s">
        <v>1552</v>
      </c>
      <c r="N1234" s="876"/>
      <c r="R1234" s="912"/>
      <c r="S1234" s="738">
        <f t="shared" si="127"/>
        <v>783.48</v>
      </c>
      <c r="T1234" s="738" t="str">
        <f t="shared" si="128"/>
        <v>T</v>
      </c>
    </row>
    <row r="1235" spans="1:27" x14ac:dyDescent="0.2">
      <c r="A1235" s="897"/>
      <c r="B1235" s="349"/>
      <c r="C1235" s="580" t="s">
        <v>1290</v>
      </c>
      <c r="D1235" s="870"/>
      <c r="E1235" s="871"/>
      <c r="F1235" s="668"/>
      <c r="G1235" s="870"/>
      <c r="H1235" s="871"/>
      <c r="I1235" s="668"/>
      <c r="J1235" s="349"/>
      <c r="K1235" s="876"/>
      <c r="L1235" s="885">
        <v>411.8</v>
      </c>
      <c r="M1235" s="885">
        <v>5.7</v>
      </c>
      <c r="N1235" s="876">
        <f>N1211</f>
        <v>783.48</v>
      </c>
      <c r="O1235" s="351"/>
      <c r="P1235" s="880"/>
      <c r="Q1235" s="880"/>
      <c r="R1235" s="898"/>
      <c r="S1235" s="738">
        <f t="shared" si="127"/>
        <v>783.48</v>
      </c>
      <c r="T1235" s="738" t="str">
        <f t="shared" si="128"/>
        <v>T</v>
      </c>
      <c r="U1235" s="748"/>
    </row>
    <row r="1236" spans="1:27" x14ac:dyDescent="0.2">
      <c r="A1236" s="899"/>
      <c r="B1236" s="353"/>
      <c r="C1236" s="354" t="s">
        <v>2</v>
      </c>
      <c r="D1236" s="355"/>
      <c r="E1236" s="352"/>
      <c r="F1236" s="356"/>
      <c r="G1236" s="355"/>
      <c r="H1236" s="356"/>
      <c r="I1236" s="356"/>
      <c r="J1236" s="353"/>
      <c r="K1236" s="720"/>
      <c r="L1236" s="370">
        <f>L1235</f>
        <v>411.8</v>
      </c>
      <c r="M1236" s="371">
        <f>M1235</f>
        <v>5.7</v>
      </c>
      <c r="N1236" s="721">
        <f>SUM(N1235:N1235)</f>
        <v>783.48</v>
      </c>
      <c r="O1236" s="361" t="str">
        <f>IF(MID(B1233,1,2)="LG",VLOOKUP(B1233,'Compos lug'!J:M,4,FALSE),IF(OR(MID(B1233,1,1)="6",MID(B1233,1,2)="10"),VLOOKUP(B1233,tranp.!$A$6:$K$51,3,FALSE),VLOOKUP(B1233,'DER 10-18'!$A$1:$I$1981,3,FALSE)))</f>
        <v>T</v>
      </c>
      <c r="P1236" s="362"/>
      <c r="Q1236" s="362"/>
      <c r="R1236" s="900"/>
      <c r="S1236" s="738">
        <f t="shared" si="127"/>
        <v>7.12</v>
      </c>
      <c r="T1236" s="738" t="str">
        <f t="shared" si="128"/>
        <v>T</v>
      </c>
      <c r="U1236" s="738"/>
    </row>
    <row r="1237" spans="1:27" x14ac:dyDescent="0.2">
      <c r="A1237" s="294"/>
      <c r="B1237" s="293"/>
      <c r="C1237" s="343"/>
      <c r="H1237" s="292"/>
      <c r="N1237" s="314"/>
      <c r="O1237" s="344"/>
      <c r="P1237" s="315"/>
      <c r="Q1237" s="315"/>
      <c r="R1237" s="903"/>
      <c r="S1237" s="738">
        <f t="shared" si="127"/>
        <v>7.12</v>
      </c>
      <c r="T1237" s="738" t="str">
        <f t="shared" si="128"/>
        <v>T</v>
      </c>
      <c r="U1237" s="738"/>
    </row>
    <row r="1238" spans="1:27" ht="38.25" x14ac:dyDescent="0.2">
      <c r="A1238" s="913" t="s">
        <v>1423</v>
      </c>
      <c r="B1238" s="666">
        <v>100849</v>
      </c>
      <c r="C1238" s="347" t="str">
        <f>IF(MID(B1238,1,2)="LG",VLOOKUP(B1238,'Compos lug'!J:M,3,FALSE),IF(MID(B1238,1,1)="1",VLOOKUP(B1238,tranp.!$A$4:$K$20,11,FALSE)&amp;" -  XP="&amp;TEXT(L1241*1000,"0.000")&amp;" / XR="&amp;TEXT(M1241*1000,"0.000"),VLOOKUP(B1238,'DER 10-18'!$A$1:$I$1981,2,FALSE)))&amp;" - "&amp;TEXT(C1240,"0.000")</f>
        <v>Transporte de Material Asfáltico (DNIT), inclusive BDI diferenciado0,537XP+0,636XR+57,439 -  XP=411.800 / XR=5.700 - Dope (Tambor de 100kg)</v>
      </c>
      <c r="D1238" s="1059"/>
      <c r="E1238" s="1060"/>
      <c r="F1238" s="1061"/>
      <c r="G1238" s="1059"/>
      <c r="H1238" s="1060"/>
      <c r="I1238" s="1061"/>
      <c r="J1238" s="349"/>
      <c r="K1238" s="876"/>
      <c r="L1238" s="876" t="s">
        <v>992</v>
      </c>
      <c r="M1238" s="876" t="s">
        <v>993</v>
      </c>
      <c r="N1238" s="876" t="str">
        <f>CONCATENATE("Total (",IF(MID(B1238,1,2)="LG",VLOOKUP(B1238,'Compos lug'!J:M,4,FALSE),IF(MID(B1238,1,1)="6","t",IF(MID(B1238,1,2)="10","t",VLOOKUP(B1238,'DER 10-18'!$A$1:$I$1981,3,FALSE)))),")")</f>
        <v>Total (t)</v>
      </c>
      <c r="O1238" s="293"/>
      <c r="P1238" s="880"/>
      <c r="Q1238" s="880"/>
      <c r="R1238" s="912"/>
      <c r="S1238" s="738">
        <f t="shared" si="127"/>
        <v>7.12</v>
      </c>
      <c r="T1238" s="738" t="str">
        <f t="shared" si="128"/>
        <v>T</v>
      </c>
      <c r="U1238" s="738"/>
      <c r="V1238" s="741">
        <f>W1238*Z1238+X1238*AA1238+Y1238</f>
        <v>282.2</v>
      </c>
      <c r="W1238" s="742">
        <f>VLOOKUP(B1238,tranp.!A:J,8,FALSE)</f>
        <v>0.53700000000000003</v>
      </c>
      <c r="X1238" s="742">
        <f>VLOOKUP(B1238,tranp.!A:J,9,FALSE)</f>
        <v>0.63600000000000001</v>
      </c>
      <c r="Y1238" s="742">
        <f>VLOOKUP(B1238,tranp.!A:J,10,FALSE)</f>
        <v>57.439</v>
      </c>
      <c r="Z1238" s="745">
        <f>VLOOKUP("Total",C1240:O1858,10,FALSE)</f>
        <v>411.8</v>
      </c>
      <c r="AA1238" s="745">
        <f>VLOOKUP("Total",C1240:O1858,11,FALSE)</f>
        <v>5.7</v>
      </c>
    </row>
    <row r="1239" spans="1:27" x14ac:dyDescent="0.2">
      <c r="A1239" s="294"/>
      <c r="B1239" s="293"/>
      <c r="C1239" s="744" t="s">
        <v>1552</v>
      </c>
      <c r="N1239" s="876"/>
      <c r="R1239" s="912"/>
      <c r="S1239" s="738">
        <f t="shared" si="127"/>
        <v>7.12</v>
      </c>
      <c r="T1239" s="738" t="str">
        <f t="shared" si="128"/>
        <v>T</v>
      </c>
    </row>
    <row r="1240" spans="1:27" x14ac:dyDescent="0.2">
      <c r="A1240" s="897"/>
      <c r="B1240" s="349"/>
      <c r="C1240" s="580" t="s">
        <v>1291</v>
      </c>
      <c r="D1240" s="870"/>
      <c r="E1240" s="871"/>
      <c r="F1240" s="668"/>
      <c r="G1240" s="870"/>
      <c r="H1240" s="871"/>
      <c r="I1240" s="668"/>
      <c r="J1240" s="349"/>
      <c r="K1240" s="876"/>
      <c r="L1240" s="885">
        <v>411.8</v>
      </c>
      <c r="M1240" s="885">
        <v>5.7</v>
      </c>
      <c r="N1240" s="876">
        <f>N1216</f>
        <v>7.12</v>
      </c>
      <c r="O1240" s="351"/>
      <c r="P1240" s="880"/>
      <c r="Q1240" s="880"/>
      <c r="R1240" s="898"/>
      <c r="S1240" s="738">
        <f t="shared" si="127"/>
        <v>7.12</v>
      </c>
      <c r="T1240" s="738" t="str">
        <f t="shared" si="128"/>
        <v>T</v>
      </c>
      <c r="U1240" s="748"/>
    </row>
    <row r="1241" spans="1:27" x14ac:dyDescent="0.2">
      <c r="A1241" s="899"/>
      <c r="B1241" s="353"/>
      <c r="C1241" s="354" t="s">
        <v>2</v>
      </c>
      <c r="D1241" s="355"/>
      <c r="E1241" s="352"/>
      <c r="F1241" s="356"/>
      <c r="G1241" s="355"/>
      <c r="H1241" s="356"/>
      <c r="I1241" s="356"/>
      <c r="J1241" s="353"/>
      <c r="K1241" s="720"/>
      <c r="L1241" s="370">
        <f>L1240</f>
        <v>411.8</v>
      </c>
      <c r="M1241" s="371">
        <f>M1240</f>
        <v>5.7</v>
      </c>
      <c r="N1241" s="721">
        <f>SUM(N1240:N1240)</f>
        <v>7.12</v>
      </c>
      <c r="O1241" s="361" t="str">
        <f>IF(MID(B1238,1,2)="LG",VLOOKUP(B1238,'Compos lug'!J:M,4,FALSE),IF(OR(MID(B1238,1,1)="6",MID(B1238,1,2)="10"),VLOOKUP(B1238,tranp.!$A$6:$K$51,3,FALSE),VLOOKUP(B1238,'DER 10-18'!$A$1:$I$1981,3,FALSE)))</f>
        <v>T</v>
      </c>
      <c r="P1241" s="362"/>
      <c r="Q1241" s="362"/>
      <c r="R1241" s="900"/>
      <c r="S1241" s="738">
        <f t="shared" si="127"/>
        <v>14245.03</v>
      </c>
      <c r="T1241" s="738" t="str">
        <f t="shared" si="128"/>
        <v>T</v>
      </c>
      <c r="U1241" s="738"/>
    </row>
    <row r="1242" spans="1:27" x14ac:dyDescent="0.2">
      <c r="A1242" s="294"/>
      <c r="B1242" s="293"/>
      <c r="C1242" s="343"/>
      <c r="H1242" s="292"/>
      <c r="N1242" s="314"/>
      <c r="O1242" s="344"/>
      <c r="P1242" s="315"/>
      <c r="Q1242" s="315"/>
      <c r="R1242" s="903"/>
      <c r="S1242" s="738">
        <f t="shared" si="127"/>
        <v>14245.03</v>
      </c>
      <c r="T1242" s="738" t="str">
        <f t="shared" si="128"/>
        <v>T</v>
      </c>
      <c r="U1242" s="738"/>
    </row>
    <row r="1243" spans="1:27" ht="39" customHeight="1" x14ac:dyDescent="0.2">
      <c r="A1243" s="913" t="s">
        <v>1548</v>
      </c>
      <c r="B1243" s="666">
        <v>60006</v>
      </c>
      <c r="C1243" s="347" t="str">
        <f>IF(MID(B1243,1,2)="LG",VLOOKUP(B1243,'Compos lug'!J:M,3,FALSE),IF(MID(B1243,1,1)="6",VLOOKUP(B1243,tranp.!$A$4:$K$20,11,FALSE)&amp;" -  XP="&amp;TEXT(Z1243*1000,"0.000")&amp;" / XR="&amp;TEXT(AA1243*1000,"0.000"),VLOOKUP(B1243,'DER 10-18'!$A$1:$I$1981,2,FALSE)))&amp;" - "&amp;TEXT(C1245,"0.000")</f>
        <v>TR-301-00 (Massa Asfáltica)1,264XP+1,313XR+9,731 -  XP=37.200 / XR=5.600 - Massa Asfática</v>
      </c>
      <c r="D1243" s="1059"/>
      <c r="E1243" s="1060"/>
      <c r="F1243" s="1061"/>
      <c r="G1243" s="1059"/>
      <c r="H1243" s="1060"/>
      <c r="I1243" s="1061"/>
      <c r="J1243" s="349"/>
      <c r="K1243" s="876"/>
      <c r="L1243" s="876" t="s">
        <v>992</v>
      </c>
      <c r="M1243" s="876" t="s">
        <v>993</v>
      </c>
      <c r="N1243" s="876" t="str">
        <f>CONCATENATE("Total (",IF(MID(B1243,1,2)="LG",VLOOKUP(B1243,'Compos lug'!J:M,4,FALSE),IF(MID(B1243,1,1)="6","t",IF(MID(B1243,1,2)="10","t",VLOOKUP(B1243,'DER 10-18'!$A$1:$I$1981,3,FALSE)))),")")</f>
        <v>Total (t)</v>
      </c>
      <c r="O1243" s="293"/>
      <c r="P1243" s="880"/>
      <c r="Q1243" s="880"/>
      <c r="R1243" s="912"/>
      <c r="S1243" s="738">
        <f t="shared" si="127"/>
        <v>14245.03</v>
      </c>
      <c r="T1243" s="738" t="str">
        <f t="shared" si="128"/>
        <v>T</v>
      </c>
      <c r="U1243" s="738"/>
      <c r="V1243" s="741">
        <f>W1243*Z1243+X1243*AA1243+Y1243</f>
        <v>64.099999999999994</v>
      </c>
      <c r="W1243" s="742">
        <f>VLOOKUP(B1243,tranp.!A:J,8,FALSE)</f>
        <v>1.264</v>
      </c>
      <c r="X1243" s="742">
        <f>VLOOKUP(B1243,tranp.!A:J,9,FALSE)</f>
        <v>1.3129999999999999</v>
      </c>
      <c r="Y1243" s="742">
        <f>VLOOKUP(B1243,tranp.!A:J,10,FALSE)</f>
        <v>9.7309999999999999</v>
      </c>
      <c r="Z1243" s="745">
        <f>VLOOKUP("Total",C1245:O1845,10,FALSE)</f>
        <v>37.200000000000003</v>
      </c>
      <c r="AA1243" s="745">
        <f>VLOOKUP("Total",C1245:O1845,11,FALSE)</f>
        <v>5.6</v>
      </c>
    </row>
    <row r="1244" spans="1:27" x14ac:dyDescent="0.2">
      <c r="A1244" s="294"/>
      <c r="B1244" s="293"/>
      <c r="C1244" s="744" t="s">
        <v>1552</v>
      </c>
      <c r="N1244" s="876"/>
      <c r="R1244" s="912"/>
      <c r="S1244" s="738">
        <f t="shared" si="127"/>
        <v>14245.03</v>
      </c>
      <c r="T1244" s="738" t="str">
        <f t="shared" si="128"/>
        <v>T</v>
      </c>
    </row>
    <row r="1245" spans="1:27" x14ac:dyDescent="0.2">
      <c r="A1245" s="897"/>
      <c r="B1245" s="349"/>
      <c r="C1245" s="580" t="s">
        <v>1100</v>
      </c>
      <c r="D1245" s="870"/>
      <c r="E1245" s="871"/>
      <c r="F1245" s="668"/>
      <c r="G1245" s="870"/>
      <c r="H1245" s="871"/>
      <c r="I1245" s="668"/>
      <c r="J1245" s="349"/>
      <c r="K1245" s="876"/>
      <c r="L1245" s="885">
        <v>37.200000000000003</v>
      </c>
      <c r="M1245" s="885">
        <v>5.6</v>
      </c>
      <c r="N1245" s="876">
        <f>N1008</f>
        <v>14245.03</v>
      </c>
      <c r="O1245" s="351"/>
      <c r="P1245" s="880"/>
      <c r="Q1245" s="880"/>
      <c r="R1245" s="898"/>
      <c r="S1245" s="738">
        <f t="shared" si="127"/>
        <v>14245.03</v>
      </c>
      <c r="T1245" s="738" t="str">
        <f t="shared" si="128"/>
        <v>T</v>
      </c>
      <c r="U1245" s="748"/>
    </row>
    <row r="1246" spans="1:27" x14ac:dyDescent="0.2">
      <c r="A1246" s="899"/>
      <c r="B1246" s="353"/>
      <c r="C1246" s="354" t="s">
        <v>2</v>
      </c>
      <c r="D1246" s="355"/>
      <c r="E1246" s="352"/>
      <c r="F1246" s="356"/>
      <c r="G1246" s="355"/>
      <c r="H1246" s="356"/>
      <c r="I1246" s="356"/>
      <c r="J1246" s="353"/>
      <c r="K1246" s="720"/>
      <c r="L1246" s="370">
        <f>L1245</f>
        <v>37.200000000000003</v>
      </c>
      <c r="M1246" s="371">
        <f>M1245</f>
        <v>5.6</v>
      </c>
      <c r="N1246" s="721">
        <f>SUM(N1245:N1245)</f>
        <v>14245.03</v>
      </c>
      <c r="O1246" s="361" t="str">
        <f>IF(MID(B1243,1,2)="LG",VLOOKUP(B1243,'Compos lug'!J:M,4,FALSE),IF(OR(MID(B1243,1,1)="6",MID(B1243,1,2)="10"),VLOOKUP(B1243,tranp.!$A$6:$K$51,3,FALSE),VLOOKUP(B1243,'DER 10-18'!$A$1:$I$1981,3,FALSE)))</f>
        <v>T</v>
      </c>
      <c r="P1246" s="362"/>
      <c r="Q1246" s="362"/>
      <c r="R1246" s="900"/>
      <c r="S1246" s="738">
        <f t="shared" si="127"/>
        <v>66.53</v>
      </c>
      <c r="T1246" s="738" t="str">
        <f t="shared" si="128"/>
        <v>T</v>
      </c>
      <c r="U1246" s="738"/>
    </row>
    <row r="1247" spans="1:27" x14ac:dyDescent="0.2">
      <c r="A1247" s="906"/>
      <c r="B1247" s="394"/>
      <c r="C1247" s="395"/>
      <c r="J1247" s="399"/>
      <c r="K1247" s="400"/>
      <c r="L1247" s="401"/>
      <c r="M1247" s="402"/>
      <c r="N1247" s="401"/>
      <c r="O1247" s="399"/>
      <c r="P1247" s="403"/>
      <c r="Q1247" s="403"/>
      <c r="R1247" s="907"/>
      <c r="S1247" s="738">
        <f t="shared" si="127"/>
        <v>66.53</v>
      </c>
      <c r="T1247" s="738" t="str">
        <f t="shared" si="128"/>
        <v>T</v>
      </c>
      <c r="U1247" s="738"/>
      <c r="W1247" s="288"/>
      <c r="X1247" s="288"/>
      <c r="Y1247" s="288"/>
      <c r="Z1247" s="288"/>
      <c r="AA1247" s="288"/>
    </row>
    <row r="1248" spans="1:27" ht="38.25" x14ac:dyDescent="0.2">
      <c r="A1248" s="913" t="s">
        <v>1549</v>
      </c>
      <c r="B1248" s="666">
        <v>100849</v>
      </c>
      <c r="C1248" s="347" t="str">
        <f>IF(MID(B1248,1,2)="LG",VLOOKUP(B1248,'Compos lug'!J:M,3,FALSE),IF(MID(B1248,1,1)="1",VLOOKUP(B1248,tranp.!$A$4:$K$20,11,FALSE)&amp;" -  XP="&amp;TEXT(L1251*1000,"0.000")&amp;" / XR="&amp;TEXT(M1251*1000,"0.000"),VLOOKUP(B1248,'DER 10-18'!$A$1:$I$1981,2,FALSE)))&amp;" - "&amp;TEXT(C1250,"0.000")</f>
        <v>Transporte de Material Asfáltico (DNIT), inclusive BDI diferenciado0,537XP+0,636XR+57,439 -  XP=411.800 / XR=5.700 - RR-2C</v>
      </c>
      <c r="D1248" s="1059"/>
      <c r="E1248" s="1060"/>
      <c r="F1248" s="1061"/>
      <c r="G1248" s="1059"/>
      <c r="H1248" s="1060"/>
      <c r="I1248" s="1061"/>
      <c r="J1248" s="349"/>
      <c r="K1248" s="876"/>
      <c r="L1248" s="876" t="s">
        <v>992</v>
      </c>
      <c r="M1248" s="876" t="s">
        <v>993</v>
      </c>
      <c r="N1248" s="876" t="str">
        <f>CONCATENATE("Total (",IF(MID(B1248,1,2)="LG",VLOOKUP(B1248,'Compos lug'!J:M,4,FALSE),IF(OR(MID(B1248,1,1)="6", MID(B1248,1,1)="1"),"t",VLOOKUP(B1248,'DER 10-18'!$A$1:$I$1994,3,FALSE))),")")</f>
        <v>Total (t)</v>
      </c>
      <c r="O1248" s="293"/>
      <c r="P1248" s="880"/>
      <c r="Q1248" s="880"/>
      <c r="R1248" s="912"/>
      <c r="S1248" s="738">
        <f t="shared" si="127"/>
        <v>66.53</v>
      </c>
      <c r="T1248" s="738" t="str">
        <f t="shared" si="128"/>
        <v>T</v>
      </c>
      <c r="U1248" s="738"/>
      <c r="V1248" s="741">
        <f>W1248*Z1248+X1248*AA1248+Y1248</f>
        <v>282.2</v>
      </c>
      <c r="W1248" s="742">
        <f>VLOOKUP(B1248,tranp.!$A:$J,8,FALSE)</f>
        <v>0.53700000000000003</v>
      </c>
      <c r="X1248" s="742">
        <f>VLOOKUP(B1248,tranp.!$A:$J,9,FALSE)</f>
        <v>0.63600000000000001</v>
      </c>
      <c r="Y1248" s="742">
        <f>VLOOKUP(B1248,tranp.!$A:$J,10,FALSE)</f>
        <v>57.439</v>
      </c>
      <c r="Z1248" s="746">
        <f>VLOOKUP("Total",C1250:O1454,10,FALSE)</f>
        <v>411.8</v>
      </c>
      <c r="AA1248" s="746">
        <f>VLOOKUP("Total",C1250:O1454,11,FALSE)</f>
        <v>5.7</v>
      </c>
    </row>
    <row r="1249" spans="1:27" x14ac:dyDescent="0.2">
      <c r="A1249" s="913"/>
      <c r="B1249" s="666"/>
      <c r="C1249" s="744" t="s">
        <v>1553</v>
      </c>
      <c r="D1249" s="870"/>
      <c r="E1249" s="871"/>
      <c r="F1249" s="871"/>
      <c r="G1249" s="870"/>
      <c r="H1249" s="871"/>
      <c r="I1249" s="872"/>
      <c r="J1249" s="349"/>
      <c r="K1249" s="884"/>
      <c r="L1249" s="876"/>
      <c r="M1249" s="885"/>
      <c r="N1249" s="883"/>
      <c r="O1249" s="293"/>
      <c r="P1249" s="880"/>
      <c r="Q1249" s="880"/>
      <c r="R1249" s="912"/>
      <c r="S1249" s="738">
        <f t="shared" si="127"/>
        <v>66.53</v>
      </c>
      <c r="T1249" s="738" t="str">
        <f t="shared" si="128"/>
        <v>T</v>
      </c>
      <c r="U1249" s="738"/>
      <c r="V1249" s="741"/>
      <c r="W1249" s="742"/>
      <c r="X1249" s="742"/>
      <c r="Y1249" s="742"/>
      <c r="Z1249" s="746"/>
      <c r="AA1249" s="746"/>
    </row>
    <row r="1250" spans="1:27" x14ac:dyDescent="0.2">
      <c r="A1250" s="913"/>
      <c r="B1250" s="666"/>
      <c r="C1250" s="290" t="s">
        <v>1582</v>
      </c>
      <c r="G1250" s="382"/>
      <c r="H1250" s="524"/>
      <c r="I1250" s="675"/>
      <c r="J1250" s="383"/>
      <c r="K1250" s="766"/>
      <c r="L1250" s="885">
        <v>411.8</v>
      </c>
      <c r="M1250" s="885">
        <v>5.7</v>
      </c>
      <c r="N1250" s="883">
        <f>N1220</f>
        <v>66.53</v>
      </c>
      <c r="O1250" s="767"/>
      <c r="R1250" s="903"/>
      <c r="S1250" s="738">
        <f t="shared" si="127"/>
        <v>66.53</v>
      </c>
      <c r="T1250" s="738" t="str">
        <f t="shared" si="128"/>
        <v>T</v>
      </c>
      <c r="U1250" s="738"/>
      <c r="W1250" s="288"/>
      <c r="X1250" s="288"/>
      <c r="Y1250" s="288"/>
      <c r="Z1250" s="288"/>
      <c r="AA1250" s="288"/>
    </row>
    <row r="1251" spans="1:27" x14ac:dyDescent="0.2">
      <c r="A1251" s="899"/>
      <c r="B1251" s="353"/>
      <c r="C1251" s="354" t="s">
        <v>2</v>
      </c>
      <c r="D1251" s="355"/>
      <c r="E1251" s="352"/>
      <c r="F1251" s="356"/>
      <c r="G1251" s="355"/>
      <c r="H1251" s="356"/>
      <c r="I1251" s="356"/>
      <c r="J1251" s="353"/>
      <c r="K1251" s="720"/>
      <c r="L1251" s="370">
        <f>+L1250</f>
        <v>411.8</v>
      </c>
      <c r="M1251" s="371">
        <f>+M1250</f>
        <v>5.7</v>
      </c>
      <c r="N1251" s="721">
        <f>SUM(N1250:N1250)</f>
        <v>66.53</v>
      </c>
      <c r="O1251" s="361" t="str">
        <f>IF(MID(B1248,1,2)="LG",VLOOKUP(B1248,'Compos lug'!J:M,4,FALSE),IF(OR(MID(B1248,1,1)="6", MID(B1248,1,1)="1"),VLOOKUP(B1248,tranp.!$A$6:$K$38,3,FALSE),VLOOKUP(B1248,'DER 10-18'!$A$1:$I$1994,3,FALSE)))</f>
        <v>T</v>
      </c>
      <c r="P1251" s="362"/>
      <c r="Q1251" s="362"/>
      <c r="R1251" s="900"/>
      <c r="S1251" s="738">
        <f t="shared" si="127"/>
        <v>12539.45</v>
      </c>
      <c r="T1251" s="738" t="str">
        <f t="shared" si="128"/>
        <v>M</v>
      </c>
      <c r="U1251" s="738"/>
      <c r="W1251" s="288"/>
      <c r="X1251" s="288"/>
      <c r="Y1251" s="288"/>
      <c r="Z1251" s="288"/>
      <c r="AA1251" s="288"/>
    </row>
    <row r="1252" spans="1:27" x14ac:dyDescent="0.2">
      <c r="A1252" s="294"/>
      <c r="B1252" s="293"/>
      <c r="C1252" s="343"/>
      <c r="H1252" s="292"/>
      <c r="K1252" s="385"/>
      <c r="L1252" s="386"/>
      <c r="M1252" s="387"/>
      <c r="N1252" s="404"/>
      <c r="O1252" s="344"/>
      <c r="P1252" s="315"/>
      <c r="Q1252" s="315"/>
      <c r="R1252" s="903"/>
      <c r="S1252" s="738">
        <f t="shared" si="127"/>
        <v>12539.45</v>
      </c>
      <c r="T1252" s="738" t="str">
        <f t="shared" si="128"/>
        <v>M</v>
      </c>
      <c r="U1252" s="738"/>
    </row>
    <row r="1253" spans="1:27" s="317" customFormat="1" x14ac:dyDescent="0.2">
      <c r="A1253" s="906">
        <v>5</v>
      </c>
      <c r="B1253" s="394"/>
      <c r="C1253" s="395" t="s">
        <v>1005</v>
      </c>
      <c r="D1253" s="396"/>
      <c r="E1253" s="397"/>
      <c r="F1253" s="398"/>
      <c r="G1253" s="396"/>
      <c r="H1253" s="397"/>
      <c r="I1253" s="398"/>
      <c r="J1253" s="399"/>
      <c r="K1253" s="400"/>
      <c r="L1253" s="401"/>
      <c r="M1253" s="402"/>
      <c r="N1253" s="401"/>
      <c r="O1253" s="399"/>
      <c r="P1253" s="403"/>
      <c r="Q1253" s="403"/>
      <c r="R1253" s="907"/>
      <c r="S1253" s="738">
        <f t="shared" si="127"/>
        <v>12539.45</v>
      </c>
      <c r="T1253" s="738" t="str">
        <f t="shared" si="128"/>
        <v>M</v>
      </c>
      <c r="U1253" s="738"/>
      <c r="W1253" s="713"/>
      <c r="X1253" s="713"/>
      <c r="Y1253" s="713"/>
      <c r="Z1253" s="713"/>
      <c r="AA1253" s="713"/>
    </row>
    <row r="1254" spans="1:27" ht="25.5" x14ac:dyDescent="0.2">
      <c r="A1254" s="895" t="s">
        <v>1223</v>
      </c>
      <c r="B1254" s="346">
        <v>40903</v>
      </c>
      <c r="C1254" s="347" t="str">
        <f>IF(MID(B1254,1,2)="LG",VLOOKUP(B1254,'Compos lug'!J:M,3,FALSE),IF(MID(B1254,1,1)="6",VLOOKUP(B1254,tranp.!$A$4:$K$19,11,FALSE)&amp;" -  XP="&amp;TEXT(#REF!,"0.000")&amp;" / XR="&amp;TEXT(#REF!,"0.000"),VLOOKUP(B1254,'DER 10-18'!$A$1:$I$1981,2,FALSE)))</f>
        <v>Cerca de arame farpado 4 fios com postes cada 2,5 m, esticadores de concreto a cada 25,0 m</v>
      </c>
      <c r="D1254" s="1059" t="s">
        <v>1000</v>
      </c>
      <c r="E1254" s="1060"/>
      <c r="F1254" s="1061"/>
      <c r="G1254" s="1059" t="s">
        <v>1001</v>
      </c>
      <c r="H1254" s="1060"/>
      <c r="I1254" s="1061"/>
      <c r="J1254" s="349" t="s">
        <v>989</v>
      </c>
      <c r="K1254" s="876"/>
      <c r="L1254" s="885"/>
      <c r="M1254" s="876"/>
      <c r="N1254" s="876" t="s">
        <v>998</v>
      </c>
      <c r="O1254" s="351"/>
      <c r="P1254" s="1062"/>
      <c r="Q1254" s="1063"/>
      <c r="R1254" s="902"/>
      <c r="S1254" s="738">
        <f t="shared" ref="S1254:S1317" si="132">VLOOKUP("Total",C1255:O2942,12,FALSE)</f>
        <v>12539.45</v>
      </c>
      <c r="T1254" s="738" t="str">
        <f t="shared" ref="T1254:T1317" si="133">VLOOKUP("Total",C1255:O2942,13,FALSE)</f>
        <v>M</v>
      </c>
      <c r="U1254" s="738"/>
    </row>
    <row r="1255" spans="1:27" x14ac:dyDescent="0.2">
      <c r="A1255" s="294"/>
      <c r="B1255" s="293"/>
      <c r="C1255" s="744" t="s">
        <v>1552</v>
      </c>
      <c r="N1255" s="876"/>
      <c r="R1255" s="912"/>
      <c r="S1255" s="738">
        <f t="shared" si="132"/>
        <v>12539.45</v>
      </c>
      <c r="T1255" s="738" t="str">
        <f t="shared" si="133"/>
        <v>M</v>
      </c>
    </row>
    <row r="1256" spans="1:27" x14ac:dyDescent="0.2">
      <c r="A1256" s="895"/>
      <c r="B1256" s="346"/>
      <c r="C1256" s="347"/>
      <c r="D1256" s="870">
        <v>33</v>
      </c>
      <c r="E1256" s="871" t="s">
        <v>8</v>
      </c>
      <c r="F1256" s="668">
        <v>5</v>
      </c>
      <c r="G1256" s="870">
        <v>60</v>
      </c>
      <c r="H1256" s="871" t="s">
        <v>8</v>
      </c>
      <c r="I1256" s="668">
        <v>10</v>
      </c>
      <c r="J1256" s="349" t="s">
        <v>1102</v>
      </c>
      <c r="K1256" s="876"/>
      <c r="L1256" s="885"/>
      <c r="M1256" s="885"/>
      <c r="N1256" s="876">
        <v>545</v>
      </c>
      <c r="O1256" s="351"/>
      <c r="P1256" s="880"/>
      <c r="Q1256" s="880"/>
      <c r="R1256" s="902"/>
      <c r="S1256" s="738">
        <f t="shared" si="132"/>
        <v>12539.45</v>
      </c>
      <c r="T1256" s="738" t="str">
        <f t="shared" si="133"/>
        <v>M</v>
      </c>
      <c r="U1256" s="738"/>
    </row>
    <row r="1257" spans="1:27" x14ac:dyDescent="0.2">
      <c r="A1257" s="895"/>
      <c r="B1257" s="346"/>
      <c r="C1257" s="347"/>
      <c r="D1257" s="870">
        <v>65</v>
      </c>
      <c r="E1257" s="871" t="s">
        <v>8</v>
      </c>
      <c r="F1257" s="668">
        <v>0</v>
      </c>
      <c r="G1257" s="870">
        <v>102</v>
      </c>
      <c r="H1257" s="871" t="s">
        <v>8</v>
      </c>
      <c r="I1257" s="668">
        <v>5</v>
      </c>
      <c r="J1257" s="349" t="s">
        <v>1102</v>
      </c>
      <c r="K1257" s="876"/>
      <c r="L1257" s="885"/>
      <c r="M1257" s="885"/>
      <c r="N1257" s="876">
        <v>745</v>
      </c>
      <c r="O1257" s="351"/>
      <c r="P1257" s="880"/>
      <c r="Q1257" s="880"/>
      <c r="R1257" s="902"/>
      <c r="S1257" s="738">
        <f t="shared" si="132"/>
        <v>12539.45</v>
      </c>
      <c r="T1257" s="738" t="str">
        <f t="shared" si="133"/>
        <v>M</v>
      </c>
      <c r="U1257" s="738"/>
    </row>
    <row r="1258" spans="1:27" x14ac:dyDescent="0.2">
      <c r="A1258" s="895"/>
      <c r="B1258" s="346"/>
      <c r="C1258" s="347"/>
      <c r="D1258" s="870">
        <v>33</v>
      </c>
      <c r="E1258" s="871" t="s">
        <v>8</v>
      </c>
      <c r="F1258" s="668">
        <v>10</v>
      </c>
      <c r="G1258" s="870">
        <v>103</v>
      </c>
      <c r="H1258" s="871" t="s">
        <v>8</v>
      </c>
      <c r="I1258" s="668">
        <v>10</v>
      </c>
      <c r="J1258" s="349" t="s">
        <v>1101</v>
      </c>
      <c r="K1258" s="876"/>
      <c r="L1258" s="885"/>
      <c r="M1258" s="885"/>
      <c r="N1258" s="876">
        <v>1400</v>
      </c>
      <c r="O1258" s="351"/>
      <c r="P1258" s="880"/>
      <c r="Q1258" s="880"/>
      <c r="R1258" s="902"/>
      <c r="S1258" s="738">
        <f t="shared" si="132"/>
        <v>12539.45</v>
      </c>
      <c r="T1258" s="738" t="str">
        <f t="shared" si="133"/>
        <v>M</v>
      </c>
      <c r="U1258" s="738"/>
    </row>
    <row r="1259" spans="1:27" x14ac:dyDescent="0.2">
      <c r="A1259" s="895"/>
      <c r="B1259" s="346"/>
      <c r="C1259" s="347"/>
      <c r="D1259" s="870">
        <v>104</v>
      </c>
      <c r="E1259" s="871" t="s">
        <v>8</v>
      </c>
      <c r="F1259" s="668">
        <v>5</v>
      </c>
      <c r="G1259" s="870">
        <v>124</v>
      </c>
      <c r="H1259" s="871" t="s">
        <v>8</v>
      </c>
      <c r="I1259" s="668">
        <v>5</v>
      </c>
      <c r="J1259" s="349" t="s">
        <v>1102</v>
      </c>
      <c r="K1259" s="876"/>
      <c r="L1259" s="885"/>
      <c r="M1259" s="885"/>
      <c r="N1259" s="876">
        <v>400</v>
      </c>
      <c r="O1259" s="351"/>
      <c r="P1259" s="880"/>
      <c r="Q1259" s="880"/>
      <c r="R1259" s="902"/>
      <c r="S1259" s="738">
        <f t="shared" si="132"/>
        <v>12539.45</v>
      </c>
      <c r="T1259" s="738" t="str">
        <f t="shared" si="133"/>
        <v>M</v>
      </c>
      <c r="U1259" s="738"/>
    </row>
    <row r="1260" spans="1:27" x14ac:dyDescent="0.2">
      <c r="A1260" s="895"/>
      <c r="B1260" s="346"/>
      <c r="C1260" s="347"/>
      <c r="D1260" s="870">
        <v>107</v>
      </c>
      <c r="E1260" s="871" t="s">
        <v>8</v>
      </c>
      <c r="F1260" s="668">
        <v>0</v>
      </c>
      <c r="G1260" s="870">
        <v>124</v>
      </c>
      <c r="H1260" s="871" t="s">
        <v>8</v>
      </c>
      <c r="I1260" s="668">
        <v>0</v>
      </c>
      <c r="J1260" s="349" t="s">
        <v>1101</v>
      </c>
      <c r="K1260" s="876"/>
      <c r="L1260" s="885"/>
      <c r="M1260" s="885"/>
      <c r="N1260" s="876">
        <v>340</v>
      </c>
      <c r="O1260" s="351"/>
      <c r="P1260" s="880"/>
      <c r="Q1260" s="880"/>
      <c r="R1260" s="902"/>
      <c r="S1260" s="738">
        <f t="shared" si="132"/>
        <v>12539.45</v>
      </c>
      <c r="T1260" s="738" t="str">
        <f t="shared" si="133"/>
        <v>M</v>
      </c>
      <c r="U1260" s="738"/>
    </row>
    <row r="1261" spans="1:27" x14ac:dyDescent="0.2">
      <c r="A1261" s="895"/>
      <c r="B1261" s="346"/>
      <c r="C1261" s="347"/>
      <c r="D1261" s="870">
        <v>138</v>
      </c>
      <c r="E1261" s="871" t="s">
        <v>8</v>
      </c>
      <c r="F1261" s="668">
        <v>10</v>
      </c>
      <c r="G1261" s="870">
        <v>145</v>
      </c>
      <c r="H1261" s="871" t="s">
        <v>8</v>
      </c>
      <c r="I1261" s="668">
        <v>15</v>
      </c>
      <c r="J1261" s="349" t="s">
        <v>1102</v>
      </c>
      <c r="K1261" s="876"/>
      <c r="L1261" s="885"/>
      <c r="M1261" s="885"/>
      <c r="N1261" s="876">
        <v>145</v>
      </c>
      <c r="O1261" s="351"/>
      <c r="P1261" s="880"/>
      <c r="Q1261" s="880"/>
      <c r="R1261" s="902"/>
      <c r="S1261" s="738">
        <f t="shared" si="132"/>
        <v>12539.45</v>
      </c>
      <c r="T1261" s="738" t="str">
        <f t="shared" si="133"/>
        <v>M</v>
      </c>
      <c r="U1261" s="738"/>
    </row>
    <row r="1262" spans="1:27" x14ac:dyDescent="0.2">
      <c r="A1262" s="895"/>
      <c r="B1262" s="346"/>
      <c r="C1262" s="347"/>
      <c r="D1262" s="870">
        <v>155</v>
      </c>
      <c r="E1262" s="871" t="s">
        <v>8</v>
      </c>
      <c r="F1262" s="668">
        <v>0</v>
      </c>
      <c r="G1262" s="870">
        <v>161</v>
      </c>
      <c r="H1262" s="871" t="s">
        <v>8</v>
      </c>
      <c r="I1262" s="668">
        <v>5</v>
      </c>
      <c r="J1262" s="349" t="s">
        <v>1102</v>
      </c>
      <c r="K1262" s="876"/>
      <c r="L1262" s="885"/>
      <c r="M1262" s="885"/>
      <c r="N1262" s="876">
        <v>125</v>
      </c>
      <c r="O1262" s="351"/>
      <c r="P1262" s="880"/>
      <c r="Q1262" s="880"/>
      <c r="R1262" s="902"/>
      <c r="S1262" s="738">
        <f t="shared" si="132"/>
        <v>12539.45</v>
      </c>
      <c r="T1262" s="738" t="str">
        <f t="shared" si="133"/>
        <v>M</v>
      </c>
      <c r="U1262" s="738"/>
    </row>
    <row r="1263" spans="1:27" x14ac:dyDescent="0.2">
      <c r="A1263" s="895"/>
      <c r="B1263" s="346"/>
      <c r="C1263" s="347"/>
      <c r="D1263" s="870">
        <v>161</v>
      </c>
      <c r="E1263" s="871" t="s">
        <v>8</v>
      </c>
      <c r="F1263" s="668">
        <v>5</v>
      </c>
      <c r="G1263" s="870">
        <v>192</v>
      </c>
      <c r="H1263" s="871" t="s">
        <v>8</v>
      </c>
      <c r="I1263" s="668">
        <v>10</v>
      </c>
      <c r="J1263" s="349" t="s">
        <v>1101</v>
      </c>
      <c r="K1263" s="876"/>
      <c r="L1263" s="885"/>
      <c r="M1263" s="885"/>
      <c r="N1263" s="876">
        <v>625</v>
      </c>
      <c r="O1263" s="351"/>
      <c r="P1263" s="880"/>
      <c r="Q1263" s="880"/>
      <c r="R1263" s="902"/>
      <c r="S1263" s="738">
        <f t="shared" si="132"/>
        <v>12539.45</v>
      </c>
      <c r="T1263" s="738" t="str">
        <f t="shared" si="133"/>
        <v>M</v>
      </c>
      <c r="U1263" s="738"/>
    </row>
    <row r="1264" spans="1:27" x14ac:dyDescent="0.2">
      <c r="A1264" s="895"/>
      <c r="B1264" s="346"/>
      <c r="C1264" s="347"/>
      <c r="D1264" s="870">
        <v>243</v>
      </c>
      <c r="E1264" s="871" t="s">
        <v>8</v>
      </c>
      <c r="F1264" s="668">
        <v>15</v>
      </c>
      <c r="G1264" s="870">
        <v>250</v>
      </c>
      <c r="H1264" s="871" t="s">
        <v>8</v>
      </c>
      <c r="I1264" s="668">
        <v>0</v>
      </c>
      <c r="J1264" s="349" t="s">
        <v>1102</v>
      </c>
      <c r="K1264" s="876"/>
      <c r="L1264" s="885"/>
      <c r="M1264" s="885"/>
      <c r="N1264" s="876">
        <v>125</v>
      </c>
      <c r="O1264" s="351"/>
      <c r="P1264" s="880"/>
      <c r="Q1264" s="880"/>
      <c r="R1264" s="902"/>
      <c r="S1264" s="738">
        <f t="shared" si="132"/>
        <v>12539.45</v>
      </c>
      <c r="T1264" s="738" t="str">
        <f t="shared" si="133"/>
        <v>M</v>
      </c>
      <c r="U1264" s="738"/>
    </row>
    <row r="1265" spans="1:21" x14ac:dyDescent="0.2">
      <c r="A1265" s="895"/>
      <c r="B1265" s="346"/>
      <c r="C1265" s="347"/>
      <c r="D1265" s="870">
        <v>251</v>
      </c>
      <c r="E1265" s="871" t="s">
        <v>8</v>
      </c>
      <c r="F1265" s="668">
        <v>10</v>
      </c>
      <c r="G1265" s="870">
        <v>273</v>
      </c>
      <c r="H1265" s="871" t="s">
        <v>8</v>
      </c>
      <c r="I1265" s="668">
        <v>0</v>
      </c>
      <c r="J1265" s="349" t="s">
        <v>1102</v>
      </c>
      <c r="K1265" s="876"/>
      <c r="L1265" s="885"/>
      <c r="M1265" s="885"/>
      <c r="N1265" s="876">
        <v>430</v>
      </c>
      <c r="O1265" s="351"/>
      <c r="P1265" s="880"/>
      <c r="Q1265" s="880"/>
      <c r="R1265" s="902"/>
      <c r="S1265" s="738">
        <f t="shared" si="132"/>
        <v>12539.45</v>
      </c>
      <c r="T1265" s="738" t="str">
        <f t="shared" si="133"/>
        <v>M</v>
      </c>
      <c r="U1265" s="738"/>
    </row>
    <row r="1266" spans="1:21" x14ac:dyDescent="0.2">
      <c r="A1266" s="895"/>
      <c r="B1266" s="346"/>
      <c r="C1266" s="347"/>
      <c r="D1266" s="870">
        <v>338</v>
      </c>
      <c r="E1266" s="871" t="s">
        <v>8</v>
      </c>
      <c r="F1266" s="668">
        <v>5</v>
      </c>
      <c r="G1266" s="870">
        <v>341</v>
      </c>
      <c r="H1266" s="871" t="s">
        <v>8</v>
      </c>
      <c r="I1266" s="668">
        <v>10</v>
      </c>
      <c r="J1266" s="349" t="s">
        <v>1102</v>
      </c>
      <c r="K1266" s="876"/>
      <c r="L1266" s="885"/>
      <c r="M1266" s="885"/>
      <c r="N1266" s="876">
        <v>65</v>
      </c>
      <c r="O1266" s="351"/>
      <c r="P1266" s="880"/>
      <c r="Q1266" s="880"/>
      <c r="R1266" s="902"/>
      <c r="S1266" s="738">
        <f t="shared" si="132"/>
        <v>12539.45</v>
      </c>
      <c r="T1266" s="738" t="str">
        <f t="shared" si="133"/>
        <v>M</v>
      </c>
      <c r="U1266" s="738"/>
    </row>
    <row r="1267" spans="1:21" x14ac:dyDescent="0.2">
      <c r="A1267" s="895"/>
      <c r="B1267" s="346"/>
      <c r="C1267" s="347"/>
      <c r="D1267" s="870">
        <v>343</v>
      </c>
      <c r="E1267" s="871" t="s">
        <v>8</v>
      </c>
      <c r="F1267" s="668">
        <v>0</v>
      </c>
      <c r="G1267" s="870">
        <v>358</v>
      </c>
      <c r="H1267" s="871" t="s">
        <v>8</v>
      </c>
      <c r="I1267" s="668">
        <v>0</v>
      </c>
      <c r="J1267" s="349" t="s">
        <v>1102</v>
      </c>
      <c r="K1267" s="876"/>
      <c r="L1267" s="885"/>
      <c r="M1267" s="885"/>
      <c r="N1267" s="876">
        <v>300</v>
      </c>
      <c r="O1267" s="351"/>
      <c r="P1267" s="880"/>
      <c r="Q1267" s="880"/>
      <c r="R1267" s="902"/>
      <c r="S1267" s="738">
        <f t="shared" si="132"/>
        <v>12539.45</v>
      </c>
      <c r="T1267" s="738" t="str">
        <f t="shared" si="133"/>
        <v>M</v>
      </c>
      <c r="U1267" s="738"/>
    </row>
    <row r="1268" spans="1:21" x14ac:dyDescent="0.2">
      <c r="A1268" s="895"/>
      <c r="B1268" s="346"/>
      <c r="C1268" s="347"/>
      <c r="D1268" s="870">
        <v>344</v>
      </c>
      <c r="E1268" s="871" t="s">
        <v>8</v>
      </c>
      <c r="F1268" s="668">
        <v>0</v>
      </c>
      <c r="G1268" s="870">
        <v>355</v>
      </c>
      <c r="H1268" s="871" t="s">
        <v>8</v>
      </c>
      <c r="I1268" s="668">
        <v>0</v>
      </c>
      <c r="J1268" s="349" t="s">
        <v>1101</v>
      </c>
      <c r="K1268" s="876"/>
      <c r="L1268" s="885"/>
      <c r="M1268" s="885"/>
      <c r="N1268" s="876">
        <v>220</v>
      </c>
      <c r="O1268" s="351"/>
      <c r="P1268" s="880"/>
      <c r="Q1268" s="880"/>
      <c r="R1268" s="902"/>
      <c r="S1268" s="738">
        <f t="shared" si="132"/>
        <v>12539.45</v>
      </c>
      <c r="T1268" s="738" t="str">
        <f t="shared" si="133"/>
        <v>M</v>
      </c>
      <c r="U1268" s="738"/>
    </row>
    <row r="1269" spans="1:21" x14ac:dyDescent="0.2">
      <c r="A1269" s="895"/>
      <c r="B1269" s="346"/>
      <c r="C1269" s="347"/>
      <c r="D1269" s="870">
        <v>356</v>
      </c>
      <c r="E1269" s="871" t="s">
        <v>8</v>
      </c>
      <c r="F1269" s="668">
        <v>10</v>
      </c>
      <c r="G1269" s="870">
        <v>370</v>
      </c>
      <c r="H1269" s="871" t="s">
        <v>8</v>
      </c>
      <c r="I1269" s="668">
        <v>15</v>
      </c>
      <c r="J1269" s="349" t="s">
        <v>1101</v>
      </c>
      <c r="K1269" s="876"/>
      <c r="L1269" s="885"/>
      <c r="M1269" s="885"/>
      <c r="N1269" s="876">
        <v>285</v>
      </c>
      <c r="O1269" s="351"/>
      <c r="P1269" s="880"/>
      <c r="Q1269" s="880"/>
      <c r="R1269" s="902"/>
      <c r="S1269" s="738">
        <f t="shared" si="132"/>
        <v>12539.45</v>
      </c>
      <c r="T1269" s="738" t="str">
        <f t="shared" si="133"/>
        <v>M</v>
      </c>
      <c r="U1269" s="738"/>
    </row>
    <row r="1270" spans="1:21" x14ac:dyDescent="0.2">
      <c r="A1270" s="895"/>
      <c r="B1270" s="346"/>
      <c r="C1270" s="347"/>
      <c r="D1270" s="870">
        <v>360</v>
      </c>
      <c r="E1270" s="871" t="s">
        <v>8</v>
      </c>
      <c r="F1270" s="668">
        <v>5</v>
      </c>
      <c r="G1270" s="870">
        <v>375</v>
      </c>
      <c r="H1270" s="871" t="s">
        <v>8</v>
      </c>
      <c r="I1270" s="668">
        <v>10</v>
      </c>
      <c r="J1270" s="349" t="s">
        <v>1102</v>
      </c>
      <c r="K1270" s="876"/>
      <c r="L1270" s="885"/>
      <c r="M1270" s="885"/>
      <c r="N1270" s="876">
        <v>305</v>
      </c>
      <c r="O1270" s="351"/>
      <c r="P1270" s="880"/>
      <c r="Q1270" s="880"/>
      <c r="R1270" s="902"/>
      <c r="S1270" s="738">
        <f t="shared" si="132"/>
        <v>12539.45</v>
      </c>
      <c r="T1270" s="738" t="str">
        <f t="shared" si="133"/>
        <v>M</v>
      </c>
      <c r="U1270" s="738"/>
    </row>
    <row r="1271" spans="1:21" x14ac:dyDescent="0.2">
      <c r="A1271" s="895"/>
      <c r="B1271" s="346"/>
      <c r="C1271" s="347"/>
      <c r="D1271" s="870">
        <v>379</v>
      </c>
      <c r="E1271" s="871" t="s">
        <v>8</v>
      </c>
      <c r="F1271" s="668">
        <v>10</v>
      </c>
      <c r="G1271" s="870">
        <v>391</v>
      </c>
      <c r="H1271" s="871" t="s">
        <v>8</v>
      </c>
      <c r="I1271" s="668">
        <v>0</v>
      </c>
      <c r="J1271" s="349" t="s">
        <v>1102</v>
      </c>
      <c r="K1271" s="876"/>
      <c r="L1271" s="885"/>
      <c r="M1271" s="885"/>
      <c r="N1271" s="876">
        <v>230</v>
      </c>
      <c r="O1271" s="351"/>
      <c r="P1271" s="880"/>
      <c r="Q1271" s="880"/>
      <c r="R1271" s="902"/>
      <c r="S1271" s="738">
        <f t="shared" si="132"/>
        <v>12539.45</v>
      </c>
      <c r="T1271" s="738" t="str">
        <f t="shared" si="133"/>
        <v>M</v>
      </c>
      <c r="U1271" s="738"/>
    </row>
    <row r="1272" spans="1:21" x14ac:dyDescent="0.2">
      <c r="A1272" s="895"/>
      <c r="B1272" s="346"/>
      <c r="C1272" s="347"/>
      <c r="D1272" s="870">
        <v>390</v>
      </c>
      <c r="E1272" s="871" t="s">
        <v>8</v>
      </c>
      <c r="F1272" s="668">
        <v>15</v>
      </c>
      <c r="G1272" s="870">
        <v>396</v>
      </c>
      <c r="H1272" s="871" t="s">
        <v>8</v>
      </c>
      <c r="I1272" s="668">
        <v>5</v>
      </c>
      <c r="J1272" s="349" t="s">
        <v>1101</v>
      </c>
      <c r="K1272" s="876"/>
      <c r="L1272" s="885"/>
      <c r="M1272" s="885"/>
      <c r="N1272" s="876">
        <v>110</v>
      </c>
      <c r="O1272" s="351"/>
      <c r="P1272" s="880"/>
      <c r="Q1272" s="880"/>
      <c r="R1272" s="902"/>
      <c r="S1272" s="738">
        <f t="shared" si="132"/>
        <v>12539.45</v>
      </c>
      <c r="T1272" s="738" t="str">
        <f t="shared" si="133"/>
        <v>M</v>
      </c>
      <c r="U1272" s="738"/>
    </row>
    <row r="1273" spans="1:21" x14ac:dyDescent="0.2">
      <c r="A1273" s="895"/>
      <c r="B1273" s="346"/>
      <c r="C1273" s="347"/>
      <c r="D1273" s="870">
        <v>403</v>
      </c>
      <c r="E1273" s="871" t="s">
        <v>8</v>
      </c>
      <c r="F1273" s="668">
        <v>10</v>
      </c>
      <c r="G1273" s="870">
        <v>412</v>
      </c>
      <c r="H1273" s="871" t="s">
        <v>8</v>
      </c>
      <c r="I1273" s="668">
        <v>0</v>
      </c>
      <c r="J1273" s="349" t="s">
        <v>1101</v>
      </c>
      <c r="K1273" s="876"/>
      <c r="L1273" s="885"/>
      <c r="M1273" s="885"/>
      <c r="N1273" s="876">
        <v>170</v>
      </c>
      <c r="O1273" s="351"/>
      <c r="P1273" s="880"/>
      <c r="Q1273" s="880"/>
      <c r="R1273" s="902"/>
      <c r="S1273" s="738">
        <f t="shared" si="132"/>
        <v>12539.45</v>
      </c>
      <c r="T1273" s="738" t="str">
        <f t="shared" si="133"/>
        <v>M</v>
      </c>
      <c r="U1273" s="738"/>
    </row>
    <row r="1274" spans="1:21" x14ac:dyDescent="0.2">
      <c r="A1274" s="895"/>
      <c r="B1274" s="346"/>
      <c r="C1274" s="347"/>
      <c r="D1274" s="870">
        <v>422</v>
      </c>
      <c r="E1274" s="871" t="s">
        <v>8</v>
      </c>
      <c r="F1274" s="668">
        <v>0</v>
      </c>
      <c r="G1274" s="870">
        <v>431</v>
      </c>
      <c r="H1274" s="871" t="s">
        <v>8</v>
      </c>
      <c r="I1274" s="668">
        <v>0</v>
      </c>
      <c r="J1274" s="349" t="s">
        <v>1101</v>
      </c>
      <c r="K1274" s="876"/>
      <c r="L1274" s="885"/>
      <c r="M1274" s="885"/>
      <c r="N1274" s="876">
        <v>180</v>
      </c>
      <c r="O1274" s="351"/>
      <c r="P1274" s="880"/>
      <c r="Q1274" s="880"/>
      <c r="R1274" s="902"/>
      <c r="S1274" s="738">
        <f t="shared" si="132"/>
        <v>12539.45</v>
      </c>
      <c r="T1274" s="738" t="str">
        <f t="shared" si="133"/>
        <v>M</v>
      </c>
      <c r="U1274" s="738"/>
    </row>
    <row r="1275" spans="1:21" x14ac:dyDescent="0.2">
      <c r="A1275" s="895"/>
      <c r="B1275" s="346"/>
      <c r="C1275" s="347"/>
      <c r="D1275" s="870">
        <v>433</v>
      </c>
      <c r="E1275" s="871" t="s">
        <v>8</v>
      </c>
      <c r="F1275" s="668">
        <v>0</v>
      </c>
      <c r="G1275" s="870">
        <v>468</v>
      </c>
      <c r="H1275" s="871" t="s">
        <v>8</v>
      </c>
      <c r="I1275" s="668">
        <v>0</v>
      </c>
      <c r="J1275" s="349" t="s">
        <v>1101</v>
      </c>
      <c r="K1275" s="876"/>
      <c r="L1275" s="885"/>
      <c r="M1275" s="885"/>
      <c r="N1275" s="876">
        <v>700</v>
      </c>
      <c r="O1275" s="351"/>
      <c r="P1275" s="880"/>
      <c r="Q1275" s="880"/>
      <c r="R1275" s="902"/>
      <c r="S1275" s="738">
        <f t="shared" si="132"/>
        <v>12539.45</v>
      </c>
      <c r="T1275" s="738" t="str">
        <f t="shared" si="133"/>
        <v>M</v>
      </c>
      <c r="U1275" s="738"/>
    </row>
    <row r="1276" spans="1:21" x14ac:dyDescent="0.2">
      <c r="A1276" s="895"/>
      <c r="B1276" s="346"/>
      <c r="C1276" s="347"/>
      <c r="D1276" s="870">
        <v>434</v>
      </c>
      <c r="E1276" s="871" t="s">
        <v>8</v>
      </c>
      <c r="F1276" s="668">
        <v>10</v>
      </c>
      <c r="G1276" s="870">
        <v>438</v>
      </c>
      <c r="H1276" s="871" t="s">
        <v>8</v>
      </c>
      <c r="I1276" s="668">
        <v>0</v>
      </c>
      <c r="J1276" s="349" t="s">
        <v>1102</v>
      </c>
      <c r="K1276" s="876"/>
      <c r="L1276" s="885"/>
      <c r="M1276" s="885"/>
      <c r="N1276" s="876">
        <v>70</v>
      </c>
      <c r="O1276" s="351"/>
      <c r="P1276" s="880"/>
      <c r="Q1276" s="880"/>
      <c r="R1276" s="902"/>
      <c r="S1276" s="738">
        <f t="shared" si="132"/>
        <v>12539.45</v>
      </c>
      <c r="T1276" s="738" t="str">
        <f t="shared" si="133"/>
        <v>M</v>
      </c>
      <c r="U1276" s="738"/>
    </row>
    <row r="1277" spans="1:21" x14ac:dyDescent="0.2">
      <c r="A1277" s="895"/>
      <c r="B1277" s="346"/>
      <c r="C1277" s="347"/>
      <c r="D1277" s="870">
        <v>522</v>
      </c>
      <c r="E1277" s="871" t="s">
        <v>8</v>
      </c>
      <c r="F1277" s="668">
        <v>0</v>
      </c>
      <c r="G1277" s="870">
        <v>528</v>
      </c>
      <c r="H1277" s="871" t="s">
        <v>8</v>
      </c>
      <c r="I1277" s="668">
        <v>5</v>
      </c>
      <c r="J1277" s="349" t="s">
        <v>1102</v>
      </c>
      <c r="K1277" s="876"/>
      <c r="L1277" s="885"/>
      <c r="M1277" s="885"/>
      <c r="N1277" s="876">
        <v>125</v>
      </c>
      <c r="O1277" s="351"/>
      <c r="P1277" s="880"/>
      <c r="Q1277" s="880"/>
      <c r="R1277" s="902"/>
      <c r="S1277" s="738">
        <f t="shared" si="132"/>
        <v>12539.45</v>
      </c>
      <c r="T1277" s="738" t="str">
        <f t="shared" si="133"/>
        <v>M</v>
      </c>
      <c r="U1277" s="738"/>
    </row>
    <row r="1278" spans="1:21" x14ac:dyDescent="0.2">
      <c r="A1278" s="895"/>
      <c r="B1278" s="346"/>
      <c r="C1278" s="347"/>
      <c r="D1278" s="870">
        <v>498</v>
      </c>
      <c r="E1278" s="871" t="s">
        <v>8</v>
      </c>
      <c r="F1278" s="668">
        <v>0</v>
      </c>
      <c r="G1278" s="870">
        <v>513</v>
      </c>
      <c r="H1278" s="871" t="s">
        <v>8</v>
      </c>
      <c r="I1278" s="668">
        <v>10</v>
      </c>
      <c r="J1278" s="349" t="s">
        <v>1101</v>
      </c>
      <c r="K1278" s="876"/>
      <c r="L1278" s="885"/>
      <c r="M1278" s="885"/>
      <c r="N1278" s="876">
        <v>310</v>
      </c>
      <c r="O1278" s="351"/>
      <c r="P1278" s="880"/>
      <c r="Q1278" s="880"/>
      <c r="R1278" s="902"/>
      <c r="S1278" s="738">
        <f t="shared" si="132"/>
        <v>12539.45</v>
      </c>
      <c r="T1278" s="738" t="str">
        <f t="shared" si="133"/>
        <v>M</v>
      </c>
      <c r="U1278" s="738"/>
    </row>
    <row r="1279" spans="1:21" x14ac:dyDescent="0.2">
      <c r="A1279" s="895"/>
      <c r="B1279" s="346"/>
      <c r="C1279" s="347"/>
      <c r="D1279" s="870">
        <v>518</v>
      </c>
      <c r="E1279" s="871" t="s">
        <v>8</v>
      </c>
      <c r="F1279" s="668">
        <v>15</v>
      </c>
      <c r="G1279" s="870">
        <v>527</v>
      </c>
      <c r="H1279" s="871" t="s">
        <v>8</v>
      </c>
      <c r="I1279" s="668">
        <v>5</v>
      </c>
      <c r="J1279" s="349" t="s">
        <v>1101</v>
      </c>
      <c r="K1279" s="876"/>
      <c r="L1279" s="885"/>
      <c r="M1279" s="885"/>
      <c r="N1279" s="876">
        <v>170</v>
      </c>
      <c r="O1279" s="351"/>
      <c r="P1279" s="880"/>
      <c r="Q1279" s="880"/>
      <c r="R1279" s="902"/>
      <c r="S1279" s="738">
        <f t="shared" si="132"/>
        <v>12539.45</v>
      </c>
      <c r="T1279" s="738" t="str">
        <f t="shared" si="133"/>
        <v>M</v>
      </c>
      <c r="U1279" s="738"/>
    </row>
    <row r="1280" spans="1:21" x14ac:dyDescent="0.2">
      <c r="A1280" s="895"/>
      <c r="B1280" s="346"/>
      <c r="C1280" s="347"/>
      <c r="D1280" s="870">
        <v>542</v>
      </c>
      <c r="E1280" s="871" t="s">
        <v>8</v>
      </c>
      <c r="F1280" s="668">
        <v>15</v>
      </c>
      <c r="G1280" s="870">
        <v>561</v>
      </c>
      <c r="H1280" s="871" t="s">
        <v>8</v>
      </c>
      <c r="I1280" s="668">
        <v>12.45</v>
      </c>
      <c r="J1280" s="349"/>
      <c r="K1280" s="876"/>
      <c r="L1280" s="885"/>
      <c r="M1280" s="885"/>
      <c r="N1280" s="876">
        <v>377.45</v>
      </c>
      <c r="O1280" s="351"/>
      <c r="P1280" s="880"/>
      <c r="Q1280" s="880"/>
      <c r="R1280" s="902"/>
      <c r="S1280" s="738">
        <f t="shared" si="132"/>
        <v>12539.45</v>
      </c>
      <c r="T1280" s="738" t="str">
        <f t="shared" si="133"/>
        <v>M</v>
      </c>
      <c r="U1280" s="738"/>
    </row>
    <row r="1281" spans="1:27" x14ac:dyDescent="0.2">
      <c r="A1281" s="895"/>
      <c r="B1281" s="346"/>
      <c r="C1281" s="744" t="s">
        <v>1553</v>
      </c>
      <c r="D1281" s="870"/>
      <c r="E1281" s="871"/>
      <c r="F1281" s="668"/>
      <c r="G1281" s="870"/>
      <c r="H1281" s="871"/>
      <c r="I1281" s="668"/>
      <c r="J1281" s="349"/>
      <c r="K1281" s="876"/>
      <c r="L1281" s="885"/>
      <c r="M1281" s="885"/>
      <c r="N1281" s="876"/>
      <c r="O1281" s="351"/>
      <c r="P1281" s="880"/>
      <c r="Q1281" s="880"/>
      <c r="R1281" s="902"/>
      <c r="S1281" s="738">
        <f t="shared" si="132"/>
        <v>12539.45</v>
      </c>
      <c r="T1281" s="738" t="str">
        <f t="shared" si="133"/>
        <v>M</v>
      </c>
      <c r="U1281" s="738"/>
    </row>
    <row r="1282" spans="1:27" x14ac:dyDescent="0.2">
      <c r="A1282" s="895"/>
      <c r="B1282" s="346"/>
      <c r="C1282" s="347"/>
      <c r="D1282" s="405">
        <v>0</v>
      </c>
      <c r="E1282" s="871" t="s">
        <v>8</v>
      </c>
      <c r="F1282" s="406">
        <v>0</v>
      </c>
      <c r="G1282" s="405">
        <v>6</v>
      </c>
      <c r="H1282" s="871" t="s">
        <v>8</v>
      </c>
      <c r="I1282" s="406">
        <v>0</v>
      </c>
      <c r="J1282" s="349" t="s">
        <v>1556</v>
      </c>
      <c r="K1282" s="298">
        <f>+G1282*20+I1282-D1282*20-F1282</f>
        <v>120</v>
      </c>
      <c r="N1282" s="876">
        <f t="shared" ref="N1282:N1287" si="134">+K1282</f>
        <v>120</v>
      </c>
      <c r="O1282" s="351"/>
      <c r="P1282" s="880"/>
      <c r="Q1282" s="880"/>
      <c r="R1282" s="902"/>
      <c r="S1282" s="738">
        <f t="shared" si="132"/>
        <v>12539.45</v>
      </c>
      <c r="T1282" s="738" t="str">
        <f t="shared" si="133"/>
        <v>M</v>
      </c>
      <c r="U1282" s="738"/>
      <c r="W1282" s="288"/>
      <c r="X1282" s="288"/>
      <c r="Y1282" s="288"/>
      <c r="Z1282" s="288"/>
      <c r="AA1282" s="288"/>
    </row>
    <row r="1283" spans="1:27" x14ac:dyDescent="0.2">
      <c r="A1283" s="895"/>
      <c r="B1283" s="346"/>
      <c r="C1283" s="347"/>
      <c r="D1283" s="405">
        <v>0</v>
      </c>
      <c r="E1283" s="871" t="s">
        <v>8</v>
      </c>
      <c r="F1283" s="406">
        <v>0</v>
      </c>
      <c r="G1283" s="405">
        <v>30</v>
      </c>
      <c r="H1283" s="871" t="s">
        <v>8</v>
      </c>
      <c r="I1283" s="406">
        <v>4</v>
      </c>
      <c r="J1283" s="349" t="s">
        <v>1564</v>
      </c>
      <c r="K1283" s="298">
        <f t="shared" ref="K1283:K1287" si="135">+G1283*20+I1283-D1283*20-F1283</f>
        <v>604</v>
      </c>
      <c r="N1283" s="876">
        <f t="shared" si="134"/>
        <v>604</v>
      </c>
      <c r="O1283" s="351"/>
      <c r="P1283" s="880"/>
      <c r="Q1283" s="880"/>
      <c r="R1283" s="902"/>
      <c r="S1283" s="738">
        <f t="shared" si="132"/>
        <v>12539.45</v>
      </c>
      <c r="T1283" s="738" t="str">
        <f t="shared" si="133"/>
        <v>M</v>
      </c>
      <c r="U1283" s="738"/>
      <c r="W1283" s="288"/>
      <c r="X1283" s="288"/>
      <c r="Y1283" s="288"/>
      <c r="Z1283" s="288"/>
      <c r="AA1283" s="288"/>
    </row>
    <row r="1284" spans="1:27" x14ac:dyDescent="0.2">
      <c r="A1284" s="895"/>
      <c r="B1284" s="346"/>
      <c r="C1284" s="347"/>
      <c r="D1284" s="405">
        <v>9</v>
      </c>
      <c r="E1284" s="871" t="s">
        <v>8</v>
      </c>
      <c r="F1284" s="406">
        <v>8</v>
      </c>
      <c r="G1284" s="405">
        <v>12</v>
      </c>
      <c r="H1284" s="871" t="s">
        <v>8</v>
      </c>
      <c r="I1284" s="406">
        <v>10</v>
      </c>
      <c r="J1284" s="349" t="s">
        <v>1556</v>
      </c>
      <c r="K1284" s="298">
        <f t="shared" si="135"/>
        <v>62</v>
      </c>
      <c r="N1284" s="876">
        <f t="shared" si="134"/>
        <v>62</v>
      </c>
      <c r="O1284" s="351"/>
      <c r="P1284" s="880"/>
      <c r="Q1284" s="880"/>
      <c r="R1284" s="902"/>
      <c r="S1284" s="738">
        <f t="shared" si="132"/>
        <v>12539.45</v>
      </c>
      <c r="T1284" s="738" t="str">
        <f t="shared" si="133"/>
        <v>M</v>
      </c>
      <c r="U1284" s="738"/>
      <c r="W1284" s="288"/>
      <c r="X1284" s="288"/>
      <c r="Y1284" s="288"/>
      <c r="Z1284" s="288"/>
      <c r="AA1284" s="288"/>
    </row>
    <row r="1285" spans="1:27" x14ac:dyDescent="0.2">
      <c r="A1285" s="895"/>
      <c r="B1285" s="346"/>
      <c r="C1285" s="347"/>
      <c r="D1285" s="405">
        <v>23</v>
      </c>
      <c r="E1285" s="871" t="s">
        <v>8</v>
      </c>
      <c r="F1285" s="406">
        <v>3</v>
      </c>
      <c r="G1285" s="405">
        <v>29</v>
      </c>
      <c r="H1285" s="871" t="s">
        <v>8</v>
      </c>
      <c r="I1285" s="406">
        <v>13</v>
      </c>
      <c r="J1285" s="349" t="s">
        <v>1556</v>
      </c>
      <c r="K1285" s="298">
        <f t="shared" si="135"/>
        <v>130</v>
      </c>
      <c r="N1285" s="876">
        <f t="shared" si="134"/>
        <v>130</v>
      </c>
      <c r="O1285" s="351"/>
      <c r="P1285" s="880"/>
      <c r="Q1285" s="880"/>
      <c r="R1285" s="902"/>
      <c r="S1285" s="738">
        <f t="shared" si="132"/>
        <v>12539.45</v>
      </c>
      <c r="T1285" s="738" t="str">
        <f t="shared" si="133"/>
        <v>M</v>
      </c>
      <c r="U1285" s="738"/>
      <c r="W1285" s="288"/>
      <c r="X1285" s="288"/>
      <c r="Y1285" s="288"/>
      <c r="Z1285" s="288"/>
      <c r="AA1285" s="288"/>
    </row>
    <row r="1286" spans="1:27" x14ac:dyDescent="0.2">
      <c r="A1286" s="895"/>
      <c r="B1286" s="346"/>
      <c r="C1286" s="347"/>
      <c r="D1286" s="405">
        <v>33</v>
      </c>
      <c r="E1286" s="871" t="s">
        <v>8</v>
      </c>
      <c r="F1286" s="406">
        <v>2</v>
      </c>
      <c r="G1286" s="405">
        <v>111</v>
      </c>
      <c r="H1286" s="871" t="s">
        <v>8</v>
      </c>
      <c r="I1286" s="406">
        <v>11</v>
      </c>
      <c r="J1286" s="349" t="s">
        <v>1556</v>
      </c>
      <c r="K1286" s="298">
        <f t="shared" si="135"/>
        <v>1569</v>
      </c>
      <c r="N1286" s="876">
        <f t="shared" si="134"/>
        <v>1569</v>
      </c>
      <c r="O1286" s="351"/>
      <c r="P1286" s="880"/>
      <c r="Q1286" s="880"/>
      <c r="R1286" s="902"/>
      <c r="S1286" s="738">
        <f t="shared" si="132"/>
        <v>12539.45</v>
      </c>
      <c r="T1286" s="738" t="str">
        <f t="shared" si="133"/>
        <v>M</v>
      </c>
      <c r="U1286" s="738"/>
      <c r="W1286" s="288"/>
      <c r="X1286" s="288"/>
      <c r="Y1286" s="288"/>
      <c r="Z1286" s="288"/>
      <c r="AA1286" s="288"/>
    </row>
    <row r="1287" spans="1:27" x14ac:dyDescent="0.2">
      <c r="A1287" s="895"/>
      <c r="B1287" s="346"/>
      <c r="C1287" s="347"/>
      <c r="D1287" s="405">
        <v>33</v>
      </c>
      <c r="E1287" s="871" t="s">
        <v>8</v>
      </c>
      <c r="F1287" s="406">
        <v>14</v>
      </c>
      <c r="G1287" s="405">
        <v>111</v>
      </c>
      <c r="H1287" s="871" t="s">
        <v>8</v>
      </c>
      <c r="I1287" s="406">
        <v>11</v>
      </c>
      <c r="J1287" s="349" t="s">
        <v>1564</v>
      </c>
      <c r="K1287" s="298">
        <f t="shared" si="135"/>
        <v>1557</v>
      </c>
      <c r="N1287" s="876">
        <f t="shared" si="134"/>
        <v>1557</v>
      </c>
      <c r="O1287" s="351"/>
      <c r="P1287" s="880"/>
      <c r="Q1287" s="880"/>
      <c r="R1287" s="902"/>
      <c r="S1287" s="738">
        <f t="shared" si="132"/>
        <v>12539.45</v>
      </c>
      <c r="T1287" s="738" t="str">
        <f t="shared" si="133"/>
        <v>M</v>
      </c>
      <c r="U1287" s="738"/>
      <c r="W1287" s="288"/>
      <c r="X1287" s="288"/>
      <c r="Y1287" s="288"/>
      <c r="Z1287" s="288"/>
      <c r="AA1287" s="288"/>
    </row>
    <row r="1288" spans="1:27" x14ac:dyDescent="0.2">
      <c r="A1288" s="899"/>
      <c r="B1288" s="353"/>
      <c r="C1288" s="354" t="s">
        <v>2</v>
      </c>
      <c r="D1288" s="355"/>
      <c r="E1288" s="352"/>
      <c r="F1288" s="356"/>
      <c r="G1288" s="355"/>
      <c r="H1288" s="356"/>
      <c r="I1288" s="356"/>
      <c r="J1288" s="353"/>
      <c r="K1288" s="357"/>
      <c r="L1288" s="358"/>
      <c r="M1288" s="359"/>
      <c r="N1288" s="360">
        <f>SUM(N1256:N1287)</f>
        <v>12539.45</v>
      </c>
      <c r="O1288" s="361" t="str">
        <f>IF(MID(B1254,1,2)="LG",VLOOKUP(B1254,'Compos lug'!J:M,4,FALSE),IF(MID(B1254,1,1)="6",VLOOKUP(B1254,tranp.!$A$6:$K$51,3,FALSE),VLOOKUP(B1254,'DER 10-18'!$A$1:$I$1981,3,FALSE)))</f>
        <v>M</v>
      </c>
      <c r="P1288" s="919"/>
      <c r="Q1288" s="919"/>
      <c r="R1288" s="900"/>
      <c r="S1288" s="738">
        <f t="shared" si="132"/>
        <v>8327.4500000000007</v>
      </c>
      <c r="T1288" s="738" t="str">
        <f t="shared" si="133"/>
        <v>M</v>
      </c>
      <c r="U1288" s="738"/>
    </row>
    <row r="1289" spans="1:27" x14ac:dyDescent="0.2">
      <c r="A1289" s="294"/>
      <c r="B1289" s="293"/>
      <c r="C1289" s="343"/>
      <c r="D1289" s="682"/>
      <c r="E1289" s="683"/>
      <c r="F1289" s="684"/>
      <c r="H1289" s="292"/>
      <c r="K1289" s="385"/>
      <c r="L1289" s="386"/>
      <c r="M1289" s="387"/>
      <c r="N1289" s="404"/>
      <c r="O1289" s="692"/>
      <c r="P1289" s="693"/>
      <c r="Q1289" s="919"/>
      <c r="R1289" s="903"/>
      <c r="S1289" s="738">
        <f t="shared" si="132"/>
        <v>8327.4500000000007</v>
      </c>
      <c r="T1289" s="738" t="str">
        <f t="shared" si="133"/>
        <v>M</v>
      </c>
      <c r="U1289" s="738"/>
    </row>
    <row r="1290" spans="1:27" x14ac:dyDescent="0.2">
      <c r="A1290" s="895" t="s">
        <v>1224</v>
      </c>
      <c r="B1290" s="346">
        <v>40902</v>
      </c>
      <c r="C1290" s="347" t="str">
        <f>IF(MID(B1290,1,2)="LG",VLOOKUP(B1290,'Compos lug'!J:M,3,FALSE),IF(MID(B1290,1,1)="6",VLOOKUP(B1290,tranp.!$A$4:$K$19,11,FALSE)&amp;" -  XP="&amp;TEXT(#REF!,"0.000")&amp;" / XR="&amp;TEXT(#REF!,"0.000"),VLOOKUP(B1290,'DER 10-18'!$A$1:$I$1981,2,FALSE)))</f>
        <v>Deslocamento de cerca de madeira com 4 fios de arame</v>
      </c>
      <c r="D1290" s="1059" t="s">
        <v>1000</v>
      </c>
      <c r="E1290" s="1060"/>
      <c r="F1290" s="1061"/>
      <c r="G1290" s="1093" t="s">
        <v>1001</v>
      </c>
      <c r="H1290" s="1094"/>
      <c r="I1290" s="1095"/>
      <c r="J1290" s="349" t="s">
        <v>989</v>
      </c>
      <c r="K1290" s="876"/>
      <c r="L1290" s="885"/>
      <c r="M1290" s="876"/>
      <c r="N1290" s="876" t="s">
        <v>998</v>
      </c>
      <c r="O1290" s="351"/>
      <c r="P1290" s="1063"/>
      <c r="Q1290" s="1063"/>
      <c r="R1290" s="902"/>
      <c r="S1290" s="738">
        <f t="shared" si="132"/>
        <v>8327.4500000000007</v>
      </c>
      <c r="T1290" s="738" t="str">
        <f t="shared" si="133"/>
        <v>M</v>
      </c>
      <c r="U1290" s="738"/>
    </row>
    <row r="1291" spans="1:27" x14ac:dyDescent="0.2">
      <c r="A1291" s="294"/>
      <c r="B1291" s="293"/>
      <c r="C1291" s="744" t="s">
        <v>1552</v>
      </c>
      <c r="N1291" s="876"/>
      <c r="R1291" s="912"/>
      <c r="S1291" s="738">
        <f t="shared" si="132"/>
        <v>8327.4500000000007</v>
      </c>
      <c r="T1291" s="738" t="str">
        <f t="shared" si="133"/>
        <v>M</v>
      </c>
    </row>
    <row r="1292" spans="1:27" x14ac:dyDescent="0.2">
      <c r="A1292" s="895"/>
      <c r="B1292" s="346"/>
      <c r="C1292" s="347"/>
      <c r="D1292" s="870">
        <v>0</v>
      </c>
      <c r="E1292" s="871" t="s">
        <v>8</v>
      </c>
      <c r="F1292" s="668">
        <v>10</v>
      </c>
      <c r="G1292" s="870">
        <v>12</v>
      </c>
      <c r="H1292" s="871" t="s">
        <v>8</v>
      </c>
      <c r="I1292" s="668">
        <v>5</v>
      </c>
      <c r="J1292" s="349" t="s">
        <v>1101</v>
      </c>
      <c r="K1292" s="876"/>
      <c r="L1292" s="885"/>
      <c r="M1292" s="885"/>
      <c r="N1292" s="876">
        <v>235</v>
      </c>
      <c r="O1292" s="351"/>
      <c r="P1292" s="880"/>
      <c r="Q1292" s="880"/>
      <c r="R1292" s="902"/>
      <c r="S1292" s="738">
        <f t="shared" si="132"/>
        <v>8327.4500000000007</v>
      </c>
      <c r="T1292" s="738" t="str">
        <f t="shared" si="133"/>
        <v>M</v>
      </c>
      <c r="U1292" s="738"/>
    </row>
    <row r="1293" spans="1:27" x14ac:dyDescent="0.2">
      <c r="A1293" s="895"/>
      <c r="B1293" s="346"/>
      <c r="C1293" s="347"/>
      <c r="D1293" s="870">
        <v>5</v>
      </c>
      <c r="E1293" s="871" t="s">
        <v>8</v>
      </c>
      <c r="F1293" s="668">
        <v>15</v>
      </c>
      <c r="G1293" s="870">
        <v>7</v>
      </c>
      <c r="H1293" s="871" t="s">
        <v>8</v>
      </c>
      <c r="I1293" s="668">
        <v>2</v>
      </c>
      <c r="J1293" s="349" t="s">
        <v>1102</v>
      </c>
      <c r="K1293" s="876"/>
      <c r="L1293" s="885"/>
      <c r="M1293" s="885"/>
      <c r="N1293" s="876">
        <v>27</v>
      </c>
      <c r="O1293" s="351"/>
      <c r="P1293" s="880"/>
      <c r="Q1293" s="880"/>
      <c r="R1293" s="902"/>
      <c r="S1293" s="738">
        <f t="shared" si="132"/>
        <v>8327.4500000000007</v>
      </c>
      <c r="T1293" s="738" t="str">
        <f t="shared" si="133"/>
        <v>M</v>
      </c>
      <c r="U1293" s="738"/>
    </row>
    <row r="1294" spans="1:27" x14ac:dyDescent="0.2">
      <c r="A1294" s="895"/>
      <c r="B1294" s="346"/>
      <c r="C1294" s="347"/>
      <c r="D1294" s="870">
        <v>9</v>
      </c>
      <c r="E1294" s="871" t="s">
        <v>8</v>
      </c>
      <c r="F1294" s="668">
        <v>15</v>
      </c>
      <c r="G1294" s="870">
        <v>10</v>
      </c>
      <c r="H1294" s="871" t="s">
        <v>8</v>
      </c>
      <c r="I1294" s="668">
        <v>5</v>
      </c>
      <c r="J1294" s="349" t="s">
        <v>1102</v>
      </c>
      <c r="K1294" s="876"/>
      <c r="L1294" s="885"/>
      <c r="M1294" s="885"/>
      <c r="N1294" s="876">
        <v>10</v>
      </c>
      <c r="O1294" s="351"/>
      <c r="P1294" s="880"/>
      <c r="Q1294" s="880"/>
      <c r="R1294" s="902"/>
      <c r="S1294" s="738">
        <f t="shared" si="132"/>
        <v>8327.4500000000007</v>
      </c>
      <c r="T1294" s="738" t="str">
        <f t="shared" si="133"/>
        <v>M</v>
      </c>
      <c r="U1294" s="738"/>
    </row>
    <row r="1295" spans="1:27" x14ac:dyDescent="0.2">
      <c r="A1295" s="895"/>
      <c r="B1295" s="346"/>
      <c r="C1295" s="347"/>
      <c r="D1295" s="870">
        <v>11</v>
      </c>
      <c r="E1295" s="871" t="s">
        <v>8</v>
      </c>
      <c r="F1295" s="668">
        <v>15</v>
      </c>
      <c r="G1295" s="870">
        <v>33</v>
      </c>
      <c r="H1295" s="871" t="s">
        <v>8</v>
      </c>
      <c r="I1295" s="668">
        <v>5</v>
      </c>
      <c r="J1295" s="349" t="s">
        <v>1102</v>
      </c>
      <c r="K1295" s="876"/>
      <c r="L1295" s="885"/>
      <c r="M1295" s="885"/>
      <c r="N1295" s="876">
        <v>430</v>
      </c>
      <c r="O1295" s="351"/>
      <c r="P1295" s="880"/>
      <c r="Q1295" s="880"/>
      <c r="R1295" s="902"/>
      <c r="S1295" s="738">
        <f t="shared" si="132"/>
        <v>8327.4500000000007</v>
      </c>
      <c r="T1295" s="738" t="str">
        <f t="shared" si="133"/>
        <v>M</v>
      </c>
      <c r="U1295" s="738"/>
    </row>
    <row r="1296" spans="1:27" x14ac:dyDescent="0.2">
      <c r="A1296" s="895"/>
      <c r="B1296" s="346"/>
      <c r="C1296" s="347"/>
      <c r="D1296" s="870">
        <v>60</v>
      </c>
      <c r="E1296" s="871" t="s">
        <v>8</v>
      </c>
      <c r="F1296" s="668">
        <v>10</v>
      </c>
      <c r="G1296" s="870">
        <v>65</v>
      </c>
      <c r="H1296" s="871" t="s">
        <v>8</v>
      </c>
      <c r="I1296" s="668">
        <v>0</v>
      </c>
      <c r="J1296" s="349" t="s">
        <v>1102</v>
      </c>
      <c r="K1296" s="876"/>
      <c r="L1296" s="885"/>
      <c r="M1296" s="885"/>
      <c r="N1296" s="876">
        <v>90</v>
      </c>
      <c r="O1296" s="351"/>
      <c r="P1296" s="880"/>
      <c r="Q1296" s="880"/>
      <c r="R1296" s="902"/>
      <c r="S1296" s="738">
        <f t="shared" si="132"/>
        <v>8327.4500000000007</v>
      </c>
      <c r="T1296" s="738" t="str">
        <f t="shared" si="133"/>
        <v>M</v>
      </c>
      <c r="U1296" s="738"/>
    </row>
    <row r="1297" spans="1:21" x14ac:dyDescent="0.2">
      <c r="A1297" s="895"/>
      <c r="B1297" s="346"/>
      <c r="C1297" s="347"/>
      <c r="D1297" s="870">
        <v>13</v>
      </c>
      <c r="E1297" s="871" t="s">
        <v>8</v>
      </c>
      <c r="F1297" s="668">
        <v>0</v>
      </c>
      <c r="G1297" s="870">
        <v>33</v>
      </c>
      <c r="H1297" s="871" t="s">
        <v>8</v>
      </c>
      <c r="I1297" s="668">
        <v>10</v>
      </c>
      <c r="J1297" s="349" t="s">
        <v>1101</v>
      </c>
      <c r="K1297" s="876"/>
      <c r="L1297" s="885"/>
      <c r="M1297" s="885"/>
      <c r="N1297" s="876">
        <v>410</v>
      </c>
      <c r="O1297" s="351"/>
      <c r="P1297" s="880"/>
      <c r="Q1297" s="880"/>
      <c r="R1297" s="902"/>
      <c r="S1297" s="738">
        <f t="shared" si="132"/>
        <v>8327.4500000000007</v>
      </c>
      <c r="T1297" s="738" t="str">
        <f t="shared" si="133"/>
        <v>M</v>
      </c>
      <c r="U1297" s="738"/>
    </row>
    <row r="1298" spans="1:21" x14ac:dyDescent="0.2">
      <c r="A1298" s="895"/>
      <c r="B1298" s="346"/>
      <c r="C1298" s="347"/>
      <c r="D1298" s="870">
        <v>127</v>
      </c>
      <c r="E1298" s="871" t="s">
        <v>8</v>
      </c>
      <c r="F1298" s="668">
        <v>0</v>
      </c>
      <c r="G1298" s="870">
        <v>151</v>
      </c>
      <c r="H1298" s="871" t="s">
        <v>8</v>
      </c>
      <c r="I1298" s="668">
        <v>15</v>
      </c>
      <c r="J1298" s="349" t="s">
        <v>1101</v>
      </c>
      <c r="K1298" s="876"/>
      <c r="L1298" s="885"/>
      <c r="M1298" s="885"/>
      <c r="N1298" s="876">
        <v>495</v>
      </c>
      <c r="O1298" s="351"/>
      <c r="P1298" s="880"/>
      <c r="Q1298" s="880"/>
      <c r="R1298" s="902"/>
      <c r="S1298" s="738">
        <f t="shared" si="132"/>
        <v>8327.4500000000007</v>
      </c>
      <c r="T1298" s="738" t="str">
        <f t="shared" si="133"/>
        <v>M</v>
      </c>
      <c r="U1298" s="738"/>
    </row>
    <row r="1299" spans="1:21" x14ac:dyDescent="0.2">
      <c r="A1299" s="895"/>
      <c r="B1299" s="346"/>
      <c r="C1299" s="347"/>
      <c r="D1299" s="870">
        <v>131</v>
      </c>
      <c r="E1299" s="871" t="s">
        <v>8</v>
      </c>
      <c r="F1299" s="668">
        <v>0</v>
      </c>
      <c r="G1299" s="870">
        <v>138</v>
      </c>
      <c r="H1299" s="871" t="s">
        <v>8</v>
      </c>
      <c r="I1299" s="668">
        <v>10</v>
      </c>
      <c r="J1299" s="349" t="s">
        <v>1102</v>
      </c>
      <c r="K1299" s="876"/>
      <c r="L1299" s="885"/>
      <c r="M1299" s="885"/>
      <c r="N1299" s="876">
        <v>150</v>
      </c>
      <c r="O1299" s="351"/>
      <c r="P1299" s="880"/>
      <c r="Q1299" s="880"/>
      <c r="R1299" s="902"/>
      <c r="S1299" s="738">
        <f t="shared" si="132"/>
        <v>8327.4500000000007</v>
      </c>
      <c r="T1299" s="738" t="str">
        <f t="shared" si="133"/>
        <v>M</v>
      </c>
      <c r="U1299" s="738"/>
    </row>
    <row r="1300" spans="1:21" x14ac:dyDescent="0.2">
      <c r="A1300" s="895"/>
      <c r="B1300" s="346"/>
      <c r="C1300" s="347"/>
      <c r="D1300" s="870">
        <v>145</v>
      </c>
      <c r="E1300" s="871" t="s">
        <v>8</v>
      </c>
      <c r="F1300" s="668">
        <v>15</v>
      </c>
      <c r="G1300" s="870">
        <v>155</v>
      </c>
      <c r="H1300" s="871" t="s">
        <v>8</v>
      </c>
      <c r="I1300" s="668">
        <v>0</v>
      </c>
      <c r="J1300" s="349" t="s">
        <v>1102</v>
      </c>
      <c r="K1300" s="876"/>
      <c r="L1300" s="885"/>
      <c r="M1300" s="885"/>
      <c r="N1300" s="876">
        <v>185</v>
      </c>
      <c r="O1300" s="351"/>
      <c r="P1300" s="880"/>
      <c r="Q1300" s="880"/>
      <c r="R1300" s="902"/>
      <c r="S1300" s="738">
        <f t="shared" si="132"/>
        <v>8327.4500000000007</v>
      </c>
      <c r="T1300" s="738" t="str">
        <f t="shared" si="133"/>
        <v>M</v>
      </c>
      <c r="U1300" s="738"/>
    </row>
    <row r="1301" spans="1:21" x14ac:dyDescent="0.2">
      <c r="A1301" s="895"/>
      <c r="B1301" s="346"/>
      <c r="C1301" s="347"/>
      <c r="D1301" s="870">
        <v>161</v>
      </c>
      <c r="E1301" s="871" t="s">
        <v>8</v>
      </c>
      <c r="F1301" s="668">
        <v>5</v>
      </c>
      <c r="G1301" s="870">
        <v>191</v>
      </c>
      <c r="H1301" s="871" t="s">
        <v>8</v>
      </c>
      <c r="I1301" s="668">
        <v>10</v>
      </c>
      <c r="J1301" s="349" t="s">
        <v>1102</v>
      </c>
      <c r="K1301" s="876"/>
      <c r="L1301" s="885"/>
      <c r="M1301" s="885"/>
      <c r="N1301" s="876">
        <v>605</v>
      </c>
      <c r="O1301" s="351"/>
      <c r="P1301" s="880"/>
      <c r="Q1301" s="880"/>
      <c r="R1301" s="902"/>
      <c r="S1301" s="738">
        <f t="shared" si="132"/>
        <v>8327.4500000000007</v>
      </c>
      <c r="T1301" s="738" t="str">
        <f t="shared" si="133"/>
        <v>M</v>
      </c>
      <c r="U1301" s="738"/>
    </row>
    <row r="1302" spans="1:21" x14ac:dyDescent="0.2">
      <c r="A1302" s="895"/>
      <c r="B1302" s="346"/>
      <c r="C1302" s="347"/>
      <c r="D1302" s="870">
        <v>153</v>
      </c>
      <c r="E1302" s="871" t="s">
        <v>8</v>
      </c>
      <c r="F1302" s="668">
        <v>0</v>
      </c>
      <c r="G1302" s="870">
        <v>161</v>
      </c>
      <c r="H1302" s="871" t="s">
        <v>8</v>
      </c>
      <c r="I1302" s="668">
        <v>5</v>
      </c>
      <c r="J1302" s="349" t="s">
        <v>1101</v>
      </c>
      <c r="K1302" s="876"/>
      <c r="L1302" s="885"/>
      <c r="M1302" s="885"/>
      <c r="N1302" s="876">
        <v>165</v>
      </c>
      <c r="O1302" s="351"/>
      <c r="P1302" s="880"/>
      <c r="Q1302" s="880"/>
      <c r="R1302" s="902"/>
      <c r="S1302" s="738">
        <f t="shared" si="132"/>
        <v>8327.4500000000007</v>
      </c>
      <c r="T1302" s="738" t="str">
        <f t="shared" si="133"/>
        <v>M</v>
      </c>
      <c r="U1302" s="738"/>
    </row>
    <row r="1303" spans="1:21" x14ac:dyDescent="0.2">
      <c r="A1303" s="895"/>
      <c r="B1303" s="346"/>
      <c r="C1303" s="347"/>
      <c r="D1303" s="870">
        <v>192</v>
      </c>
      <c r="E1303" s="871" t="s">
        <v>8</v>
      </c>
      <c r="F1303" s="668">
        <v>10</v>
      </c>
      <c r="G1303" s="870">
        <v>248</v>
      </c>
      <c r="H1303" s="871" t="s">
        <v>8</v>
      </c>
      <c r="I1303" s="668">
        <v>0</v>
      </c>
      <c r="J1303" s="349" t="s">
        <v>1101</v>
      </c>
      <c r="K1303" s="876"/>
      <c r="L1303" s="885"/>
      <c r="M1303" s="885"/>
      <c r="N1303" s="876">
        <v>1110</v>
      </c>
      <c r="O1303" s="351"/>
      <c r="P1303" s="880"/>
      <c r="Q1303" s="880"/>
      <c r="R1303" s="902"/>
      <c r="S1303" s="738">
        <f t="shared" si="132"/>
        <v>8327.4500000000007</v>
      </c>
      <c r="T1303" s="738" t="str">
        <f t="shared" si="133"/>
        <v>M</v>
      </c>
      <c r="U1303" s="738"/>
    </row>
    <row r="1304" spans="1:21" x14ac:dyDescent="0.2">
      <c r="A1304" s="895"/>
      <c r="B1304" s="346"/>
      <c r="C1304" s="347"/>
      <c r="D1304" s="870">
        <v>193</v>
      </c>
      <c r="E1304" s="871" t="s">
        <v>8</v>
      </c>
      <c r="F1304" s="668">
        <v>5</v>
      </c>
      <c r="G1304" s="870">
        <v>194</v>
      </c>
      <c r="H1304" s="871" t="s">
        <v>8</v>
      </c>
      <c r="I1304" s="668">
        <v>15</v>
      </c>
      <c r="J1304" s="349" t="s">
        <v>1102</v>
      </c>
      <c r="K1304" s="876"/>
      <c r="L1304" s="885"/>
      <c r="M1304" s="885"/>
      <c r="N1304" s="876">
        <v>30</v>
      </c>
      <c r="O1304" s="351"/>
      <c r="P1304" s="880"/>
      <c r="Q1304" s="880"/>
      <c r="R1304" s="902"/>
      <c r="S1304" s="738">
        <f t="shared" si="132"/>
        <v>8327.4500000000007</v>
      </c>
      <c r="T1304" s="738" t="str">
        <f t="shared" si="133"/>
        <v>M</v>
      </c>
      <c r="U1304" s="738"/>
    </row>
    <row r="1305" spans="1:21" x14ac:dyDescent="0.2">
      <c r="A1305" s="895"/>
      <c r="B1305" s="346"/>
      <c r="C1305" s="347"/>
      <c r="D1305" s="870">
        <v>197</v>
      </c>
      <c r="E1305" s="871" t="s">
        <v>8</v>
      </c>
      <c r="F1305" s="668">
        <v>0</v>
      </c>
      <c r="G1305" s="870">
        <v>226</v>
      </c>
      <c r="H1305" s="871" t="s">
        <v>8</v>
      </c>
      <c r="I1305" s="668">
        <v>10</v>
      </c>
      <c r="J1305" s="349" t="s">
        <v>1102</v>
      </c>
      <c r="K1305" s="876"/>
      <c r="L1305" s="885"/>
      <c r="M1305" s="885"/>
      <c r="N1305" s="876">
        <v>590</v>
      </c>
      <c r="O1305" s="351"/>
      <c r="P1305" s="880"/>
      <c r="Q1305" s="880"/>
      <c r="R1305" s="902"/>
      <c r="S1305" s="738">
        <f t="shared" si="132"/>
        <v>8327.4500000000007</v>
      </c>
      <c r="T1305" s="738" t="str">
        <f t="shared" si="133"/>
        <v>M</v>
      </c>
      <c r="U1305" s="738"/>
    </row>
    <row r="1306" spans="1:21" x14ac:dyDescent="0.2">
      <c r="A1306" s="895"/>
      <c r="B1306" s="346"/>
      <c r="C1306" s="347"/>
      <c r="D1306" s="870">
        <v>229</v>
      </c>
      <c r="E1306" s="871" t="s">
        <v>8</v>
      </c>
      <c r="F1306" s="668">
        <v>15</v>
      </c>
      <c r="G1306" s="870">
        <v>243</v>
      </c>
      <c r="H1306" s="871" t="s">
        <v>8</v>
      </c>
      <c r="I1306" s="668">
        <v>15</v>
      </c>
      <c r="J1306" s="349" t="s">
        <v>1102</v>
      </c>
      <c r="K1306" s="876"/>
      <c r="L1306" s="885"/>
      <c r="M1306" s="885"/>
      <c r="N1306" s="876">
        <v>280</v>
      </c>
      <c r="O1306" s="351"/>
      <c r="P1306" s="880"/>
      <c r="Q1306" s="880"/>
      <c r="R1306" s="902"/>
      <c r="S1306" s="738">
        <f t="shared" si="132"/>
        <v>8327.4500000000007</v>
      </c>
      <c r="T1306" s="738" t="str">
        <f t="shared" si="133"/>
        <v>M</v>
      </c>
      <c r="U1306" s="738"/>
    </row>
    <row r="1307" spans="1:21" x14ac:dyDescent="0.2">
      <c r="A1307" s="895"/>
      <c r="B1307" s="346"/>
      <c r="C1307" s="347"/>
      <c r="D1307" s="870">
        <v>273</v>
      </c>
      <c r="E1307" s="871" t="s">
        <v>8</v>
      </c>
      <c r="F1307" s="668">
        <v>0</v>
      </c>
      <c r="G1307" s="870">
        <v>283</v>
      </c>
      <c r="H1307" s="871" t="s">
        <v>8</v>
      </c>
      <c r="I1307" s="668">
        <v>5</v>
      </c>
      <c r="J1307" s="349" t="s">
        <v>1102</v>
      </c>
      <c r="K1307" s="876"/>
      <c r="L1307" s="885"/>
      <c r="M1307" s="885"/>
      <c r="N1307" s="876">
        <v>205</v>
      </c>
      <c r="O1307" s="351"/>
      <c r="P1307" s="880"/>
      <c r="Q1307" s="880"/>
      <c r="R1307" s="902"/>
      <c r="S1307" s="738">
        <f t="shared" si="132"/>
        <v>8327.4500000000007</v>
      </c>
      <c r="T1307" s="738" t="str">
        <f t="shared" si="133"/>
        <v>M</v>
      </c>
      <c r="U1307" s="738"/>
    </row>
    <row r="1308" spans="1:21" x14ac:dyDescent="0.2">
      <c r="A1308" s="895"/>
      <c r="B1308" s="346"/>
      <c r="C1308" s="347"/>
      <c r="D1308" s="870">
        <v>250</v>
      </c>
      <c r="E1308" s="871" t="s">
        <v>8</v>
      </c>
      <c r="F1308" s="668">
        <v>0</v>
      </c>
      <c r="G1308" s="870">
        <v>284</v>
      </c>
      <c r="H1308" s="871" t="s">
        <v>8</v>
      </c>
      <c r="I1308" s="668">
        <v>15</v>
      </c>
      <c r="J1308" s="349" t="s">
        <v>1101</v>
      </c>
      <c r="K1308" s="876"/>
      <c r="L1308" s="885"/>
      <c r="M1308" s="885"/>
      <c r="N1308" s="876">
        <v>695</v>
      </c>
      <c r="O1308" s="351"/>
      <c r="P1308" s="880"/>
      <c r="Q1308" s="880"/>
      <c r="R1308" s="902"/>
      <c r="S1308" s="738">
        <f t="shared" si="132"/>
        <v>8327.4500000000007</v>
      </c>
      <c r="T1308" s="738" t="str">
        <f t="shared" si="133"/>
        <v>M</v>
      </c>
      <c r="U1308" s="738"/>
    </row>
    <row r="1309" spans="1:21" x14ac:dyDescent="0.2">
      <c r="A1309" s="895"/>
      <c r="B1309" s="346"/>
      <c r="C1309" s="347"/>
      <c r="D1309" s="870">
        <v>370</v>
      </c>
      <c r="E1309" s="871" t="s">
        <v>8</v>
      </c>
      <c r="F1309" s="668">
        <v>15</v>
      </c>
      <c r="G1309" s="870">
        <v>379</v>
      </c>
      <c r="H1309" s="871" t="s">
        <v>8</v>
      </c>
      <c r="I1309" s="668">
        <v>5</v>
      </c>
      <c r="J1309" s="349" t="s">
        <v>1101</v>
      </c>
      <c r="K1309" s="876"/>
      <c r="L1309" s="885"/>
      <c r="M1309" s="885"/>
      <c r="N1309" s="876">
        <v>170</v>
      </c>
      <c r="O1309" s="351"/>
      <c r="P1309" s="880"/>
      <c r="Q1309" s="880"/>
      <c r="R1309" s="902"/>
      <c r="S1309" s="738">
        <f t="shared" si="132"/>
        <v>8327.4500000000007</v>
      </c>
      <c r="T1309" s="738" t="str">
        <f t="shared" si="133"/>
        <v>M</v>
      </c>
      <c r="U1309" s="738"/>
    </row>
    <row r="1310" spans="1:21" x14ac:dyDescent="0.2">
      <c r="A1310" s="895"/>
      <c r="B1310" s="346"/>
      <c r="C1310" s="347"/>
      <c r="D1310" s="870">
        <v>375</v>
      </c>
      <c r="E1310" s="871" t="s">
        <v>8</v>
      </c>
      <c r="F1310" s="668">
        <v>10</v>
      </c>
      <c r="G1310" s="870">
        <v>376</v>
      </c>
      <c r="H1310" s="871" t="s">
        <v>8</v>
      </c>
      <c r="I1310" s="668">
        <v>5</v>
      </c>
      <c r="J1310" s="349" t="s">
        <v>1102</v>
      </c>
      <c r="K1310" s="876"/>
      <c r="L1310" s="885"/>
      <c r="M1310" s="885"/>
      <c r="N1310" s="876">
        <v>15</v>
      </c>
      <c r="O1310" s="351"/>
      <c r="P1310" s="880"/>
      <c r="Q1310" s="880"/>
      <c r="R1310" s="902"/>
      <c r="S1310" s="738">
        <f t="shared" si="132"/>
        <v>8327.4500000000007</v>
      </c>
      <c r="T1310" s="738" t="str">
        <f t="shared" si="133"/>
        <v>M</v>
      </c>
      <c r="U1310" s="738"/>
    </row>
    <row r="1311" spans="1:21" x14ac:dyDescent="0.2">
      <c r="A1311" s="895"/>
      <c r="B1311" s="346"/>
      <c r="C1311" s="347"/>
      <c r="D1311" s="870">
        <v>380</v>
      </c>
      <c r="E1311" s="871" t="s">
        <v>8</v>
      </c>
      <c r="F1311" s="668">
        <v>0</v>
      </c>
      <c r="G1311" s="870">
        <v>381</v>
      </c>
      <c r="H1311" s="871" t="s">
        <v>8</v>
      </c>
      <c r="I1311" s="668">
        <v>15</v>
      </c>
      <c r="J1311" s="349" t="s">
        <v>1101</v>
      </c>
      <c r="K1311" s="876"/>
      <c r="L1311" s="885"/>
      <c r="M1311" s="885"/>
      <c r="N1311" s="876">
        <v>35</v>
      </c>
      <c r="O1311" s="351"/>
      <c r="P1311" s="880"/>
      <c r="Q1311" s="880"/>
      <c r="R1311" s="902"/>
      <c r="S1311" s="738">
        <f t="shared" si="132"/>
        <v>8327.4500000000007</v>
      </c>
      <c r="T1311" s="738" t="str">
        <f t="shared" si="133"/>
        <v>M</v>
      </c>
      <c r="U1311" s="738"/>
    </row>
    <row r="1312" spans="1:21" x14ac:dyDescent="0.2">
      <c r="A1312" s="895"/>
      <c r="B1312" s="346"/>
      <c r="C1312" s="347"/>
      <c r="D1312" s="870">
        <v>438</v>
      </c>
      <c r="E1312" s="871" t="s">
        <v>8</v>
      </c>
      <c r="F1312" s="668">
        <v>0</v>
      </c>
      <c r="G1312" s="870">
        <v>447</v>
      </c>
      <c r="H1312" s="871" t="s">
        <v>8</v>
      </c>
      <c r="I1312" s="668">
        <v>0</v>
      </c>
      <c r="J1312" s="349" t="s">
        <v>1102</v>
      </c>
      <c r="K1312" s="876"/>
      <c r="L1312" s="885"/>
      <c r="M1312" s="885"/>
      <c r="N1312" s="876">
        <v>180</v>
      </c>
      <c r="O1312" s="351"/>
      <c r="P1312" s="880"/>
      <c r="Q1312" s="880"/>
      <c r="R1312" s="902"/>
      <c r="S1312" s="738">
        <f t="shared" si="132"/>
        <v>8327.4500000000007</v>
      </c>
      <c r="T1312" s="738" t="str">
        <f t="shared" si="133"/>
        <v>M</v>
      </c>
      <c r="U1312" s="738"/>
    </row>
    <row r="1313" spans="1:27" x14ac:dyDescent="0.2">
      <c r="A1313" s="895"/>
      <c r="B1313" s="346"/>
      <c r="C1313" s="347"/>
      <c r="D1313" s="870">
        <v>467</v>
      </c>
      <c r="E1313" s="871" t="s">
        <v>8</v>
      </c>
      <c r="F1313" s="668">
        <v>15</v>
      </c>
      <c r="G1313" s="870">
        <v>522</v>
      </c>
      <c r="H1313" s="871" t="s">
        <v>8</v>
      </c>
      <c r="I1313" s="668">
        <v>0</v>
      </c>
      <c r="J1313" s="349" t="s">
        <v>1102</v>
      </c>
      <c r="K1313" s="876"/>
      <c r="L1313" s="885"/>
      <c r="M1313" s="885"/>
      <c r="N1313" s="876">
        <v>1085</v>
      </c>
      <c r="O1313" s="351"/>
      <c r="P1313" s="880"/>
      <c r="Q1313" s="880"/>
      <c r="R1313" s="902"/>
      <c r="S1313" s="738">
        <f t="shared" si="132"/>
        <v>8327.4500000000007</v>
      </c>
      <c r="T1313" s="738" t="str">
        <f t="shared" si="133"/>
        <v>M</v>
      </c>
      <c r="U1313" s="738"/>
    </row>
    <row r="1314" spans="1:27" x14ac:dyDescent="0.2">
      <c r="A1314" s="895"/>
      <c r="B1314" s="346"/>
      <c r="C1314" s="347"/>
      <c r="D1314" s="870">
        <v>528</v>
      </c>
      <c r="E1314" s="871" t="s">
        <v>8</v>
      </c>
      <c r="F1314" s="668">
        <v>5</v>
      </c>
      <c r="G1314" s="870">
        <v>561</v>
      </c>
      <c r="H1314" s="871" t="s">
        <v>8</v>
      </c>
      <c r="I1314" s="668">
        <v>12.45</v>
      </c>
      <c r="J1314" s="349" t="s">
        <v>1102</v>
      </c>
      <c r="K1314" s="876"/>
      <c r="L1314" s="885"/>
      <c r="M1314" s="885"/>
      <c r="N1314" s="876">
        <v>667.45</v>
      </c>
      <c r="O1314" s="351"/>
      <c r="P1314" s="880"/>
      <c r="Q1314" s="880"/>
      <c r="R1314" s="902"/>
      <c r="S1314" s="738">
        <f t="shared" si="132"/>
        <v>8327.4500000000007</v>
      </c>
      <c r="T1314" s="738" t="str">
        <f t="shared" si="133"/>
        <v>M</v>
      </c>
      <c r="U1314" s="738"/>
    </row>
    <row r="1315" spans="1:27" x14ac:dyDescent="0.2">
      <c r="A1315" s="895"/>
      <c r="B1315" s="346"/>
      <c r="C1315" s="347"/>
      <c r="D1315" s="870">
        <v>513</v>
      </c>
      <c r="E1315" s="871" t="s">
        <v>8</v>
      </c>
      <c r="F1315" s="668">
        <v>10</v>
      </c>
      <c r="G1315" s="870">
        <v>517</v>
      </c>
      <c r="H1315" s="871" t="s">
        <v>8</v>
      </c>
      <c r="I1315" s="668">
        <v>15</v>
      </c>
      <c r="J1315" s="349" t="s">
        <v>1101</v>
      </c>
      <c r="K1315" s="876"/>
      <c r="L1315" s="885"/>
      <c r="M1315" s="885"/>
      <c r="N1315" s="876">
        <v>85</v>
      </c>
      <c r="O1315" s="351"/>
      <c r="P1315" s="880"/>
      <c r="Q1315" s="880"/>
      <c r="R1315" s="902"/>
      <c r="S1315" s="738">
        <f t="shared" si="132"/>
        <v>8327.4500000000007</v>
      </c>
      <c r="T1315" s="738" t="str">
        <f t="shared" si="133"/>
        <v>M</v>
      </c>
      <c r="U1315" s="738"/>
    </row>
    <row r="1316" spans="1:27" x14ac:dyDescent="0.2">
      <c r="A1316" s="895"/>
      <c r="B1316" s="346"/>
      <c r="C1316" s="347"/>
      <c r="D1316" s="870">
        <v>527</v>
      </c>
      <c r="E1316" s="871" t="s">
        <v>8</v>
      </c>
      <c r="F1316" s="668">
        <v>5</v>
      </c>
      <c r="G1316" s="870">
        <v>542</v>
      </c>
      <c r="H1316" s="871" t="s">
        <v>8</v>
      </c>
      <c r="I1316" s="668">
        <v>15</v>
      </c>
      <c r="J1316" s="349" t="s">
        <v>1101</v>
      </c>
      <c r="K1316" s="876"/>
      <c r="L1316" s="885"/>
      <c r="M1316" s="885"/>
      <c r="N1316" s="876">
        <v>310</v>
      </c>
      <c r="O1316" s="351"/>
      <c r="P1316" s="880"/>
      <c r="Q1316" s="880"/>
      <c r="R1316" s="902"/>
      <c r="S1316" s="738">
        <f t="shared" si="132"/>
        <v>8327.4500000000007</v>
      </c>
      <c r="T1316" s="738" t="str">
        <f t="shared" si="133"/>
        <v>M</v>
      </c>
      <c r="U1316" s="738"/>
    </row>
    <row r="1317" spans="1:27" x14ac:dyDescent="0.2">
      <c r="A1317" s="294"/>
      <c r="B1317" s="293"/>
      <c r="C1317" s="744" t="s">
        <v>1553</v>
      </c>
      <c r="N1317" s="876"/>
      <c r="R1317" s="912"/>
      <c r="S1317" s="738">
        <f t="shared" si="132"/>
        <v>8327.4500000000007</v>
      </c>
      <c r="T1317" s="738" t="str">
        <f t="shared" si="133"/>
        <v>M</v>
      </c>
    </row>
    <row r="1318" spans="1:27" x14ac:dyDescent="0.2">
      <c r="A1318" s="895"/>
      <c r="B1318" s="346"/>
      <c r="C1318" s="347"/>
      <c r="D1318" s="405">
        <v>6</v>
      </c>
      <c r="E1318" s="871" t="s">
        <v>8</v>
      </c>
      <c r="F1318" s="406">
        <v>0</v>
      </c>
      <c r="G1318" s="405">
        <v>9</v>
      </c>
      <c r="H1318" s="871" t="s">
        <v>8</v>
      </c>
      <c r="I1318" s="406">
        <v>8</v>
      </c>
      <c r="J1318" s="349" t="s">
        <v>1556</v>
      </c>
      <c r="K1318" s="298">
        <f>+G1318*20+I1318-D1318*20-F1318</f>
        <v>68</v>
      </c>
      <c r="N1318" s="876">
        <f t="shared" ref="N1318" si="136">+K1318</f>
        <v>68</v>
      </c>
      <c r="O1318" s="351"/>
      <c r="P1318" s="880"/>
      <c r="Q1318" s="880"/>
      <c r="R1318" s="902"/>
      <c r="S1318" s="738">
        <f t="shared" ref="S1318:S1372" si="137">VLOOKUP("Total",C1319:O3006,12,FALSE)</f>
        <v>8327.4500000000007</v>
      </c>
      <c r="T1318" s="738" t="str">
        <f t="shared" ref="T1318:T1372" si="138">VLOOKUP("Total",C1319:O3006,13,FALSE)</f>
        <v>M</v>
      </c>
      <c r="U1318" s="738"/>
      <c r="W1318" s="288"/>
      <c r="X1318" s="288"/>
      <c r="Y1318" s="288"/>
      <c r="Z1318" s="288"/>
      <c r="AA1318" s="288"/>
    </row>
    <row r="1319" spans="1:27" x14ac:dyDescent="0.2">
      <c r="A1319" s="899"/>
      <c r="B1319" s="353"/>
      <c r="C1319" s="354" t="s">
        <v>2</v>
      </c>
      <c r="D1319" s="355"/>
      <c r="E1319" s="352"/>
      <c r="F1319" s="356"/>
      <c r="G1319" s="355"/>
      <c r="H1319" s="356"/>
      <c r="I1319" s="356"/>
      <c r="J1319" s="353"/>
      <c r="K1319" s="357"/>
      <c r="L1319" s="358"/>
      <c r="M1319" s="359"/>
      <c r="N1319" s="360">
        <f>SUM(N1292:N1318)</f>
        <v>8327.4500000000007</v>
      </c>
      <c r="O1319" s="361" t="str">
        <f>IF(MID(B1290,1,2)="LG",VLOOKUP(B1290,'Compos lug'!J:M,4,FALSE),IF(MID(B1290,1,1)="6",VLOOKUP(B1290,tranp.!$A$6:$K$51,3,FALSE),VLOOKUP(B1290,'DER 10-18'!$A$1:$I$1981,3,FALSE)))</f>
        <v>M</v>
      </c>
      <c r="P1319" s="362"/>
      <c r="Q1319" s="362"/>
      <c r="R1319" s="900"/>
      <c r="S1319" s="738">
        <f t="shared" si="137"/>
        <v>36</v>
      </c>
      <c r="T1319" s="738" t="str">
        <f t="shared" si="138"/>
        <v>Ud</v>
      </c>
      <c r="U1319" s="738"/>
    </row>
    <row r="1320" spans="1:27" x14ac:dyDescent="0.2">
      <c r="A1320" s="294"/>
      <c r="B1320" s="293"/>
      <c r="C1320" s="343"/>
      <c r="D1320" s="682"/>
      <c r="E1320" s="683"/>
      <c r="F1320" s="684"/>
      <c r="H1320" s="292"/>
      <c r="K1320" s="385"/>
      <c r="L1320" s="386"/>
      <c r="M1320" s="387"/>
      <c r="N1320" s="404"/>
      <c r="O1320" s="692"/>
      <c r="P1320" s="693"/>
      <c r="Q1320" s="919"/>
      <c r="R1320" s="903"/>
      <c r="S1320" s="738">
        <f t="shared" si="137"/>
        <v>36</v>
      </c>
      <c r="T1320" s="738" t="str">
        <f t="shared" si="138"/>
        <v>Ud</v>
      </c>
      <c r="U1320" s="738"/>
    </row>
    <row r="1321" spans="1:27" x14ac:dyDescent="0.2">
      <c r="A1321" s="895" t="s">
        <v>1529</v>
      </c>
      <c r="B1321" s="346">
        <v>40910</v>
      </c>
      <c r="C1321" s="347" t="str">
        <f>IF(MID(B1321,1,2)="LG",VLOOKUP(B1321,'Compos lug'!J:M,3,FALSE),IF(MID(B1321,1,1)="6",VLOOKUP(B1321,tranp.!$A$4:$K$19,11,FALSE)&amp;" -  XP="&amp;TEXT(#REF!,"0.000")&amp;" / XR="&amp;TEXT(#REF!,"0.000"),VLOOKUP(B1321,'DER 10-18'!$A$1:$I$1981,2,FALSE)))</f>
        <v>Abrigo de Ônibus - Rodovia Rural - 3,40 m x 6,00 m</v>
      </c>
      <c r="D1321" s="1059" t="s">
        <v>1000</v>
      </c>
      <c r="E1321" s="1060"/>
      <c r="F1321" s="1061"/>
      <c r="G1321" s="1093"/>
      <c r="H1321" s="1094"/>
      <c r="I1321" s="1095"/>
      <c r="J1321" s="349" t="s">
        <v>989</v>
      </c>
      <c r="K1321" s="876"/>
      <c r="L1321" s="885"/>
      <c r="M1321" s="876"/>
      <c r="N1321" s="876" t="s">
        <v>1530</v>
      </c>
      <c r="O1321" s="351"/>
      <c r="P1321" s="1063"/>
      <c r="Q1321" s="1063"/>
      <c r="R1321" s="902"/>
      <c r="S1321" s="738">
        <f t="shared" si="137"/>
        <v>36</v>
      </c>
      <c r="T1321" s="738" t="str">
        <f t="shared" si="138"/>
        <v>Ud</v>
      </c>
      <c r="U1321" s="738"/>
    </row>
    <row r="1322" spans="1:27" x14ac:dyDescent="0.2">
      <c r="A1322" s="294"/>
      <c r="B1322" s="293"/>
      <c r="C1322" s="744" t="s">
        <v>1552</v>
      </c>
      <c r="N1322" s="876"/>
      <c r="R1322" s="912"/>
      <c r="S1322" s="738">
        <f t="shared" si="137"/>
        <v>36</v>
      </c>
      <c r="T1322" s="738" t="str">
        <f t="shared" si="138"/>
        <v>Ud</v>
      </c>
    </row>
    <row r="1323" spans="1:27" x14ac:dyDescent="0.2">
      <c r="A1323" s="895"/>
      <c r="B1323" s="346"/>
      <c r="C1323" s="347"/>
      <c r="D1323" s="870">
        <v>38</v>
      </c>
      <c r="E1323" s="871" t="s">
        <v>8</v>
      </c>
      <c r="F1323" s="667">
        <v>0</v>
      </c>
      <c r="G1323" s="871"/>
      <c r="H1323" s="871"/>
      <c r="I1323" s="668"/>
      <c r="J1323" s="349" t="s">
        <v>1102</v>
      </c>
      <c r="K1323" s="876"/>
      <c r="L1323" s="885"/>
      <c r="M1323" s="885"/>
      <c r="N1323" s="876">
        <v>1</v>
      </c>
      <c r="O1323" s="351"/>
      <c r="P1323" s="880"/>
      <c r="Q1323" s="880"/>
      <c r="R1323" s="902"/>
      <c r="S1323" s="738">
        <f t="shared" si="137"/>
        <v>36</v>
      </c>
      <c r="T1323" s="738" t="str">
        <f t="shared" si="138"/>
        <v>Ud</v>
      </c>
      <c r="U1323" s="738"/>
    </row>
    <row r="1324" spans="1:27" x14ac:dyDescent="0.2">
      <c r="A1324" s="895"/>
      <c r="B1324" s="346"/>
      <c r="C1324" s="347"/>
      <c r="D1324" s="870">
        <v>42</v>
      </c>
      <c r="E1324" s="871" t="s">
        <v>8</v>
      </c>
      <c r="F1324" s="667">
        <v>0</v>
      </c>
      <c r="G1324" s="871"/>
      <c r="H1324" s="871"/>
      <c r="I1324" s="668"/>
      <c r="J1324" s="349" t="s">
        <v>1101</v>
      </c>
      <c r="K1324" s="876"/>
      <c r="L1324" s="885"/>
      <c r="M1324" s="885"/>
      <c r="N1324" s="876">
        <v>1</v>
      </c>
      <c r="O1324" s="351"/>
      <c r="P1324" s="880"/>
      <c r="Q1324" s="880"/>
      <c r="R1324" s="902"/>
      <c r="S1324" s="738">
        <f t="shared" si="137"/>
        <v>36</v>
      </c>
      <c r="T1324" s="738" t="str">
        <f t="shared" si="138"/>
        <v>Ud</v>
      </c>
      <c r="U1324" s="738"/>
    </row>
    <row r="1325" spans="1:27" x14ac:dyDescent="0.2">
      <c r="A1325" s="895"/>
      <c r="B1325" s="346"/>
      <c r="C1325" s="347"/>
      <c r="D1325" s="870">
        <v>72</v>
      </c>
      <c r="E1325" s="871" t="s">
        <v>8</v>
      </c>
      <c r="F1325" s="667">
        <v>0</v>
      </c>
      <c r="G1325" s="871"/>
      <c r="H1325" s="871"/>
      <c r="I1325" s="668"/>
      <c r="J1325" s="349" t="s">
        <v>1102</v>
      </c>
      <c r="K1325" s="876"/>
      <c r="L1325" s="885"/>
      <c r="M1325" s="885"/>
      <c r="N1325" s="876">
        <v>1</v>
      </c>
      <c r="O1325" s="351"/>
      <c r="P1325" s="880"/>
      <c r="Q1325" s="880"/>
      <c r="R1325" s="902"/>
      <c r="S1325" s="738">
        <f t="shared" si="137"/>
        <v>36</v>
      </c>
      <c r="T1325" s="738" t="str">
        <f t="shared" si="138"/>
        <v>Ud</v>
      </c>
      <c r="U1325" s="738"/>
    </row>
    <row r="1326" spans="1:27" x14ac:dyDescent="0.2">
      <c r="A1326" s="895"/>
      <c r="B1326" s="346"/>
      <c r="C1326" s="347"/>
      <c r="D1326" s="870">
        <v>76</v>
      </c>
      <c r="E1326" s="871" t="s">
        <v>8</v>
      </c>
      <c r="F1326" s="667">
        <v>0</v>
      </c>
      <c r="G1326" s="871"/>
      <c r="H1326" s="871"/>
      <c r="I1326" s="668"/>
      <c r="J1326" s="349" t="s">
        <v>1101</v>
      </c>
      <c r="K1326" s="876"/>
      <c r="L1326" s="885"/>
      <c r="M1326" s="885"/>
      <c r="N1326" s="876">
        <v>1</v>
      </c>
      <c r="O1326" s="351"/>
      <c r="P1326" s="880"/>
      <c r="Q1326" s="880"/>
      <c r="R1326" s="902"/>
      <c r="S1326" s="738">
        <f t="shared" si="137"/>
        <v>36</v>
      </c>
      <c r="T1326" s="738" t="str">
        <f t="shared" si="138"/>
        <v>Ud</v>
      </c>
      <c r="U1326" s="738"/>
    </row>
    <row r="1327" spans="1:27" x14ac:dyDescent="0.2">
      <c r="A1327" s="895"/>
      <c r="B1327" s="346"/>
      <c r="C1327" s="347"/>
      <c r="D1327" s="870">
        <v>113</v>
      </c>
      <c r="E1327" s="871" t="s">
        <v>8</v>
      </c>
      <c r="F1327" s="667">
        <v>0</v>
      </c>
      <c r="G1327" s="871"/>
      <c r="H1327" s="871"/>
      <c r="I1327" s="668"/>
      <c r="J1327" s="349" t="s">
        <v>1102</v>
      </c>
      <c r="K1327" s="876"/>
      <c r="L1327" s="885"/>
      <c r="M1327" s="885"/>
      <c r="N1327" s="876">
        <v>1</v>
      </c>
      <c r="O1327" s="351"/>
      <c r="P1327" s="880"/>
      <c r="Q1327" s="880"/>
      <c r="R1327" s="902"/>
      <c r="S1327" s="738">
        <f t="shared" si="137"/>
        <v>36</v>
      </c>
      <c r="T1327" s="738" t="str">
        <f t="shared" si="138"/>
        <v>Ud</v>
      </c>
      <c r="U1327" s="738"/>
    </row>
    <row r="1328" spans="1:27" x14ac:dyDescent="0.2">
      <c r="A1328" s="895"/>
      <c r="B1328" s="346"/>
      <c r="C1328" s="347"/>
      <c r="D1328" s="870">
        <v>117</v>
      </c>
      <c r="E1328" s="871" t="s">
        <v>8</v>
      </c>
      <c r="F1328" s="667">
        <v>0</v>
      </c>
      <c r="G1328" s="871"/>
      <c r="H1328" s="871"/>
      <c r="I1328" s="668"/>
      <c r="J1328" s="349" t="s">
        <v>1101</v>
      </c>
      <c r="K1328" s="876"/>
      <c r="L1328" s="885"/>
      <c r="M1328" s="885"/>
      <c r="N1328" s="876">
        <v>1</v>
      </c>
      <c r="O1328" s="351"/>
      <c r="P1328" s="880"/>
      <c r="Q1328" s="880"/>
      <c r="R1328" s="902"/>
      <c r="S1328" s="738">
        <f t="shared" si="137"/>
        <v>36</v>
      </c>
      <c r="T1328" s="738" t="str">
        <f t="shared" si="138"/>
        <v>Ud</v>
      </c>
      <c r="U1328" s="738"/>
    </row>
    <row r="1329" spans="1:21" x14ac:dyDescent="0.2">
      <c r="A1329" s="895"/>
      <c r="B1329" s="346"/>
      <c r="C1329" s="347"/>
      <c r="D1329" s="870">
        <v>146</v>
      </c>
      <c r="E1329" s="871" t="s">
        <v>8</v>
      </c>
      <c r="F1329" s="667">
        <v>0</v>
      </c>
      <c r="G1329" s="871"/>
      <c r="H1329" s="871"/>
      <c r="I1329" s="668"/>
      <c r="J1329" s="349" t="s">
        <v>1102</v>
      </c>
      <c r="K1329" s="876"/>
      <c r="L1329" s="885"/>
      <c r="M1329" s="885"/>
      <c r="N1329" s="876">
        <v>1</v>
      </c>
      <c r="O1329" s="351"/>
      <c r="P1329" s="880"/>
      <c r="Q1329" s="880"/>
      <c r="R1329" s="902"/>
      <c r="S1329" s="738">
        <f t="shared" si="137"/>
        <v>36</v>
      </c>
      <c r="T1329" s="738" t="str">
        <f t="shared" si="138"/>
        <v>Ud</v>
      </c>
      <c r="U1329" s="738"/>
    </row>
    <row r="1330" spans="1:21" x14ac:dyDescent="0.2">
      <c r="A1330" s="895"/>
      <c r="B1330" s="346"/>
      <c r="C1330" s="347"/>
      <c r="D1330" s="870">
        <v>150</v>
      </c>
      <c r="E1330" s="871" t="s">
        <v>8</v>
      </c>
      <c r="F1330" s="667">
        <v>0</v>
      </c>
      <c r="G1330" s="871"/>
      <c r="H1330" s="871"/>
      <c r="I1330" s="668"/>
      <c r="J1330" s="349" t="s">
        <v>1101</v>
      </c>
      <c r="K1330" s="876"/>
      <c r="L1330" s="885"/>
      <c r="M1330" s="885"/>
      <c r="N1330" s="876">
        <v>1</v>
      </c>
      <c r="O1330" s="351"/>
      <c r="P1330" s="880"/>
      <c r="Q1330" s="880"/>
      <c r="R1330" s="902"/>
      <c r="S1330" s="738">
        <f t="shared" si="137"/>
        <v>36</v>
      </c>
      <c r="T1330" s="738" t="str">
        <f t="shared" si="138"/>
        <v>Ud</v>
      </c>
      <c r="U1330" s="738"/>
    </row>
    <row r="1331" spans="1:21" x14ac:dyDescent="0.2">
      <c r="A1331" s="895"/>
      <c r="B1331" s="346"/>
      <c r="C1331" s="347"/>
      <c r="D1331" s="870">
        <v>203</v>
      </c>
      <c r="E1331" s="871" t="s">
        <v>8</v>
      </c>
      <c r="F1331" s="667">
        <v>0</v>
      </c>
      <c r="G1331" s="871"/>
      <c r="H1331" s="871"/>
      <c r="I1331" s="668"/>
      <c r="J1331" s="349" t="s">
        <v>1102</v>
      </c>
      <c r="K1331" s="876"/>
      <c r="L1331" s="885"/>
      <c r="M1331" s="885"/>
      <c r="N1331" s="876">
        <v>1</v>
      </c>
      <c r="O1331" s="351"/>
      <c r="P1331" s="880"/>
      <c r="Q1331" s="880"/>
      <c r="R1331" s="902"/>
      <c r="S1331" s="738">
        <f t="shared" si="137"/>
        <v>36</v>
      </c>
      <c r="T1331" s="738" t="str">
        <f t="shared" si="138"/>
        <v>Ud</v>
      </c>
      <c r="U1331" s="738"/>
    </row>
    <row r="1332" spans="1:21" x14ac:dyDescent="0.2">
      <c r="A1332" s="895"/>
      <c r="B1332" s="346"/>
      <c r="C1332" s="347"/>
      <c r="D1332" s="870">
        <v>207</v>
      </c>
      <c r="E1332" s="871" t="s">
        <v>8</v>
      </c>
      <c r="F1332" s="667">
        <v>0</v>
      </c>
      <c r="G1332" s="871"/>
      <c r="H1332" s="871"/>
      <c r="I1332" s="668"/>
      <c r="J1332" s="349" t="s">
        <v>1101</v>
      </c>
      <c r="K1332" s="876"/>
      <c r="L1332" s="885"/>
      <c r="M1332" s="885"/>
      <c r="N1332" s="876">
        <v>1</v>
      </c>
      <c r="O1332" s="351"/>
      <c r="P1332" s="880"/>
      <c r="Q1332" s="880"/>
      <c r="R1332" s="902"/>
      <c r="S1332" s="738">
        <f t="shared" si="137"/>
        <v>36</v>
      </c>
      <c r="T1332" s="738" t="str">
        <f t="shared" si="138"/>
        <v>Ud</v>
      </c>
      <c r="U1332" s="738"/>
    </row>
    <row r="1333" spans="1:21" x14ac:dyDescent="0.2">
      <c r="A1333" s="895"/>
      <c r="B1333" s="346"/>
      <c r="C1333" s="347"/>
      <c r="D1333" s="870">
        <v>255</v>
      </c>
      <c r="E1333" s="871" t="s">
        <v>8</v>
      </c>
      <c r="F1333" s="667">
        <v>0</v>
      </c>
      <c r="G1333" s="871"/>
      <c r="H1333" s="871"/>
      <c r="I1333" s="668"/>
      <c r="J1333" s="349" t="s">
        <v>1102</v>
      </c>
      <c r="K1333" s="876"/>
      <c r="L1333" s="885"/>
      <c r="M1333" s="885"/>
      <c r="N1333" s="876">
        <v>1</v>
      </c>
      <c r="O1333" s="351"/>
      <c r="P1333" s="880"/>
      <c r="Q1333" s="880"/>
      <c r="R1333" s="902"/>
      <c r="S1333" s="738">
        <f t="shared" si="137"/>
        <v>36</v>
      </c>
      <c r="T1333" s="738" t="str">
        <f t="shared" si="138"/>
        <v>Ud</v>
      </c>
      <c r="U1333" s="738"/>
    </row>
    <row r="1334" spans="1:21" x14ac:dyDescent="0.2">
      <c r="A1334" s="895"/>
      <c r="B1334" s="346"/>
      <c r="C1334" s="347"/>
      <c r="D1334" s="870">
        <v>259</v>
      </c>
      <c r="E1334" s="871" t="s">
        <v>8</v>
      </c>
      <c r="F1334" s="667">
        <v>0</v>
      </c>
      <c r="G1334" s="871"/>
      <c r="H1334" s="871"/>
      <c r="I1334" s="668"/>
      <c r="J1334" s="349" t="s">
        <v>1101</v>
      </c>
      <c r="K1334" s="876"/>
      <c r="L1334" s="885"/>
      <c r="M1334" s="885"/>
      <c r="N1334" s="876">
        <v>1</v>
      </c>
      <c r="O1334" s="351"/>
      <c r="P1334" s="880"/>
      <c r="Q1334" s="880"/>
      <c r="R1334" s="902"/>
      <c r="S1334" s="738">
        <f t="shared" si="137"/>
        <v>36</v>
      </c>
      <c r="T1334" s="738" t="str">
        <f t="shared" si="138"/>
        <v>Ud</v>
      </c>
      <c r="U1334" s="738"/>
    </row>
    <row r="1335" spans="1:21" x14ac:dyDescent="0.2">
      <c r="A1335" s="895"/>
      <c r="B1335" s="346"/>
      <c r="C1335" s="347"/>
      <c r="D1335" s="870">
        <v>352</v>
      </c>
      <c r="E1335" s="871" t="s">
        <v>8</v>
      </c>
      <c r="F1335" s="667">
        <v>0</v>
      </c>
      <c r="G1335" s="871"/>
      <c r="H1335" s="871"/>
      <c r="I1335" s="668"/>
      <c r="J1335" s="349" t="s">
        <v>1101</v>
      </c>
      <c r="K1335" s="876"/>
      <c r="L1335" s="885"/>
      <c r="M1335" s="885"/>
      <c r="N1335" s="876">
        <v>1</v>
      </c>
      <c r="O1335" s="351"/>
      <c r="P1335" s="880"/>
      <c r="Q1335" s="880"/>
      <c r="R1335" s="902"/>
      <c r="S1335" s="738">
        <f t="shared" si="137"/>
        <v>36</v>
      </c>
      <c r="T1335" s="738" t="str">
        <f t="shared" si="138"/>
        <v>Ud</v>
      </c>
      <c r="U1335" s="738"/>
    </row>
    <row r="1336" spans="1:21" x14ac:dyDescent="0.2">
      <c r="A1336" s="895"/>
      <c r="B1336" s="346"/>
      <c r="C1336" s="347"/>
      <c r="D1336" s="870">
        <v>356</v>
      </c>
      <c r="E1336" s="871" t="s">
        <v>8</v>
      </c>
      <c r="F1336" s="667">
        <v>0</v>
      </c>
      <c r="G1336" s="871"/>
      <c r="H1336" s="871"/>
      <c r="I1336" s="668"/>
      <c r="J1336" s="349" t="s">
        <v>1102</v>
      </c>
      <c r="K1336" s="876"/>
      <c r="L1336" s="885"/>
      <c r="M1336" s="885"/>
      <c r="N1336" s="876">
        <v>1</v>
      </c>
      <c r="O1336" s="351"/>
      <c r="P1336" s="880"/>
      <c r="Q1336" s="880"/>
      <c r="R1336" s="902"/>
      <c r="S1336" s="738">
        <f t="shared" si="137"/>
        <v>36</v>
      </c>
      <c r="T1336" s="738" t="str">
        <f t="shared" si="138"/>
        <v>Ud</v>
      </c>
      <c r="U1336" s="738"/>
    </row>
    <row r="1337" spans="1:21" x14ac:dyDescent="0.2">
      <c r="A1337" s="895"/>
      <c r="B1337" s="346"/>
      <c r="C1337" s="347"/>
      <c r="D1337" s="870">
        <v>393</v>
      </c>
      <c r="E1337" s="871" t="s">
        <v>8</v>
      </c>
      <c r="F1337" s="667">
        <v>0</v>
      </c>
      <c r="G1337" s="871"/>
      <c r="H1337" s="871"/>
      <c r="I1337" s="668"/>
      <c r="J1337" s="349" t="s">
        <v>1102</v>
      </c>
      <c r="K1337" s="876"/>
      <c r="L1337" s="885"/>
      <c r="M1337" s="885"/>
      <c r="N1337" s="876">
        <v>1</v>
      </c>
      <c r="O1337" s="351"/>
      <c r="P1337" s="880"/>
      <c r="Q1337" s="880"/>
      <c r="R1337" s="902"/>
      <c r="S1337" s="738">
        <f t="shared" si="137"/>
        <v>36</v>
      </c>
      <c r="T1337" s="738" t="str">
        <f t="shared" si="138"/>
        <v>Ud</v>
      </c>
      <c r="U1337" s="738"/>
    </row>
    <row r="1338" spans="1:21" x14ac:dyDescent="0.2">
      <c r="A1338" s="895"/>
      <c r="B1338" s="346"/>
      <c r="C1338" s="347"/>
      <c r="D1338" s="870">
        <v>400</v>
      </c>
      <c r="E1338" s="871" t="s">
        <v>8</v>
      </c>
      <c r="F1338" s="667">
        <v>0</v>
      </c>
      <c r="G1338" s="871"/>
      <c r="H1338" s="871"/>
      <c r="I1338" s="668"/>
      <c r="J1338" s="349" t="s">
        <v>1101</v>
      </c>
      <c r="K1338" s="876"/>
      <c r="L1338" s="885"/>
      <c r="M1338" s="885"/>
      <c r="N1338" s="876">
        <v>1</v>
      </c>
      <c r="O1338" s="351"/>
      <c r="P1338" s="880"/>
      <c r="Q1338" s="880"/>
      <c r="R1338" s="902"/>
      <c r="S1338" s="738">
        <f t="shared" si="137"/>
        <v>36</v>
      </c>
      <c r="T1338" s="738" t="str">
        <f t="shared" si="138"/>
        <v>Ud</v>
      </c>
      <c r="U1338" s="738"/>
    </row>
    <row r="1339" spans="1:21" x14ac:dyDescent="0.2">
      <c r="A1339" s="895"/>
      <c r="B1339" s="346"/>
      <c r="C1339" s="347"/>
      <c r="D1339" s="870">
        <v>422</v>
      </c>
      <c r="E1339" s="871" t="s">
        <v>8</v>
      </c>
      <c r="F1339" s="667">
        <v>0</v>
      </c>
      <c r="G1339" s="871"/>
      <c r="H1339" s="871"/>
      <c r="I1339" s="668"/>
      <c r="J1339" s="349" t="s">
        <v>1102</v>
      </c>
      <c r="K1339" s="876"/>
      <c r="L1339" s="885"/>
      <c r="M1339" s="885"/>
      <c r="N1339" s="876">
        <v>1</v>
      </c>
      <c r="O1339" s="351"/>
      <c r="P1339" s="880"/>
      <c r="Q1339" s="880"/>
      <c r="R1339" s="902"/>
      <c r="S1339" s="738">
        <f t="shared" si="137"/>
        <v>36</v>
      </c>
      <c r="T1339" s="738" t="str">
        <f t="shared" si="138"/>
        <v>Ud</v>
      </c>
      <c r="U1339" s="738"/>
    </row>
    <row r="1340" spans="1:21" x14ac:dyDescent="0.2">
      <c r="A1340" s="895"/>
      <c r="B1340" s="346"/>
      <c r="C1340" s="347"/>
      <c r="D1340" s="870">
        <v>426</v>
      </c>
      <c r="E1340" s="871" t="s">
        <v>8</v>
      </c>
      <c r="F1340" s="667">
        <v>0</v>
      </c>
      <c r="G1340" s="871"/>
      <c r="H1340" s="871"/>
      <c r="I1340" s="668"/>
      <c r="J1340" s="349" t="s">
        <v>1101</v>
      </c>
      <c r="K1340" s="876"/>
      <c r="L1340" s="885"/>
      <c r="M1340" s="885"/>
      <c r="N1340" s="876">
        <v>1</v>
      </c>
      <c r="O1340" s="351"/>
      <c r="P1340" s="880"/>
      <c r="Q1340" s="880"/>
      <c r="R1340" s="902"/>
      <c r="S1340" s="738">
        <f t="shared" si="137"/>
        <v>36</v>
      </c>
      <c r="T1340" s="738" t="str">
        <f t="shared" si="138"/>
        <v>Ud</v>
      </c>
      <c r="U1340" s="738"/>
    </row>
    <row r="1341" spans="1:21" x14ac:dyDescent="0.2">
      <c r="A1341" s="895"/>
      <c r="B1341" s="346"/>
      <c r="C1341" s="347"/>
      <c r="D1341" s="870">
        <v>452</v>
      </c>
      <c r="E1341" s="871" t="s">
        <v>8</v>
      </c>
      <c r="F1341" s="667">
        <v>0</v>
      </c>
      <c r="G1341" s="871"/>
      <c r="H1341" s="871"/>
      <c r="I1341" s="668"/>
      <c r="J1341" s="349" t="s">
        <v>1102</v>
      </c>
      <c r="K1341" s="876"/>
      <c r="L1341" s="885"/>
      <c r="M1341" s="885"/>
      <c r="N1341" s="876">
        <v>1</v>
      </c>
      <c r="O1341" s="351"/>
      <c r="P1341" s="880"/>
      <c r="Q1341" s="880"/>
      <c r="R1341" s="902"/>
      <c r="S1341" s="738">
        <f t="shared" si="137"/>
        <v>36</v>
      </c>
      <c r="T1341" s="738" t="str">
        <f t="shared" si="138"/>
        <v>Ud</v>
      </c>
      <c r="U1341" s="738"/>
    </row>
    <row r="1342" spans="1:21" x14ac:dyDescent="0.2">
      <c r="A1342" s="895"/>
      <c r="B1342" s="346"/>
      <c r="C1342" s="347"/>
      <c r="D1342" s="870">
        <v>456</v>
      </c>
      <c r="E1342" s="871" t="s">
        <v>8</v>
      </c>
      <c r="F1342" s="667">
        <v>0</v>
      </c>
      <c r="G1342" s="871"/>
      <c r="H1342" s="871"/>
      <c r="I1342" s="668"/>
      <c r="J1342" s="349" t="s">
        <v>1101</v>
      </c>
      <c r="K1342" s="876"/>
      <c r="L1342" s="885"/>
      <c r="M1342" s="885"/>
      <c r="N1342" s="876">
        <v>1</v>
      </c>
      <c r="O1342" s="351"/>
      <c r="P1342" s="880"/>
      <c r="Q1342" s="880"/>
      <c r="R1342" s="902"/>
      <c r="S1342" s="738">
        <f t="shared" si="137"/>
        <v>36</v>
      </c>
      <c r="T1342" s="738" t="str">
        <f t="shared" si="138"/>
        <v>Ud</v>
      </c>
      <c r="U1342" s="738"/>
    </row>
    <row r="1343" spans="1:21" x14ac:dyDescent="0.2">
      <c r="A1343" s="895"/>
      <c r="B1343" s="346"/>
      <c r="C1343" s="347"/>
      <c r="D1343" s="870">
        <v>482</v>
      </c>
      <c r="E1343" s="871" t="s">
        <v>8</v>
      </c>
      <c r="F1343" s="667">
        <v>0</v>
      </c>
      <c r="G1343" s="871"/>
      <c r="H1343" s="871"/>
      <c r="I1343" s="668"/>
      <c r="J1343" s="349" t="s">
        <v>1102</v>
      </c>
      <c r="K1343" s="876"/>
      <c r="L1343" s="885"/>
      <c r="M1343" s="885"/>
      <c r="N1343" s="876">
        <v>1</v>
      </c>
      <c r="O1343" s="351"/>
      <c r="P1343" s="880"/>
      <c r="Q1343" s="880"/>
      <c r="R1343" s="902"/>
      <c r="S1343" s="738">
        <f t="shared" si="137"/>
        <v>36</v>
      </c>
      <c r="T1343" s="738" t="str">
        <f t="shared" si="138"/>
        <v>Ud</v>
      </c>
      <c r="U1343" s="738"/>
    </row>
    <row r="1344" spans="1:21" x14ac:dyDescent="0.2">
      <c r="A1344" s="895"/>
      <c r="B1344" s="346"/>
      <c r="C1344" s="347"/>
      <c r="D1344" s="870">
        <v>492</v>
      </c>
      <c r="E1344" s="871" t="s">
        <v>8</v>
      </c>
      <c r="F1344" s="667">
        <v>0</v>
      </c>
      <c r="G1344" s="871"/>
      <c r="H1344" s="871"/>
      <c r="I1344" s="668"/>
      <c r="J1344" s="349" t="s">
        <v>1101</v>
      </c>
      <c r="K1344" s="876"/>
      <c r="L1344" s="885"/>
      <c r="M1344" s="885"/>
      <c r="N1344" s="876">
        <v>1</v>
      </c>
      <c r="O1344" s="351"/>
      <c r="P1344" s="880"/>
      <c r="Q1344" s="880"/>
      <c r="R1344" s="902"/>
      <c r="S1344" s="738">
        <f t="shared" si="137"/>
        <v>36</v>
      </c>
      <c r="T1344" s="738" t="str">
        <f t="shared" si="138"/>
        <v>Ud</v>
      </c>
      <c r="U1344" s="738"/>
    </row>
    <row r="1345" spans="1:27" x14ac:dyDescent="0.2">
      <c r="A1345" s="895"/>
      <c r="B1345" s="346"/>
      <c r="C1345" s="347"/>
      <c r="D1345" s="870">
        <v>519</v>
      </c>
      <c r="E1345" s="871" t="s">
        <v>8</v>
      </c>
      <c r="F1345" s="667">
        <v>0</v>
      </c>
      <c r="G1345" s="871"/>
      <c r="H1345" s="871"/>
      <c r="I1345" s="668"/>
      <c r="J1345" s="349" t="s">
        <v>1102</v>
      </c>
      <c r="K1345" s="876"/>
      <c r="L1345" s="885"/>
      <c r="M1345" s="885"/>
      <c r="N1345" s="876">
        <v>1</v>
      </c>
      <c r="O1345" s="351"/>
      <c r="P1345" s="880"/>
      <c r="Q1345" s="880"/>
      <c r="R1345" s="902"/>
      <c r="S1345" s="738">
        <f t="shared" si="137"/>
        <v>36</v>
      </c>
      <c r="T1345" s="738" t="str">
        <f t="shared" si="138"/>
        <v>Ud</v>
      </c>
      <c r="U1345" s="738"/>
    </row>
    <row r="1346" spans="1:27" x14ac:dyDescent="0.2">
      <c r="A1346" s="895"/>
      <c r="B1346" s="346"/>
      <c r="C1346" s="347"/>
      <c r="D1346" s="870">
        <v>525</v>
      </c>
      <c r="E1346" s="871" t="s">
        <v>8</v>
      </c>
      <c r="F1346" s="667">
        <v>0</v>
      </c>
      <c r="G1346" s="871"/>
      <c r="H1346" s="871"/>
      <c r="I1346" s="668"/>
      <c r="J1346" s="349" t="s">
        <v>1101</v>
      </c>
      <c r="K1346" s="876"/>
      <c r="L1346" s="885"/>
      <c r="M1346" s="885"/>
      <c r="N1346" s="876">
        <v>1</v>
      </c>
      <c r="O1346" s="351"/>
      <c r="P1346" s="880"/>
      <c r="Q1346" s="880"/>
      <c r="R1346" s="902"/>
      <c r="S1346" s="738">
        <f t="shared" si="137"/>
        <v>36</v>
      </c>
      <c r="T1346" s="738" t="str">
        <f t="shared" si="138"/>
        <v>Ud</v>
      </c>
      <c r="U1346" s="738"/>
    </row>
    <row r="1347" spans="1:27" x14ac:dyDescent="0.2">
      <c r="A1347" s="895"/>
      <c r="B1347" s="346"/>
      <c r="C1347" s="347"/>
      <c r="D1347" s="870">
        <v>553</v>
      </c>
      <c r="E1347" s="871" t="s">
        <v>8</v>
      </c>
      <c r="F1347" s="667">
        <v>0</v>
      </c>
      <c r="G1347" s="871"/>
      <c r="H1347" s="871"/>
      <c r="I1347" s="668"/>
      <c r="J1347" s="349" t="s">
        <v>1102</v>
      </c>
      <c r="K1347" s="876"/>
      <c r="L1347" s="885"/>
      <c r="M1347" s="885"/>
      <c r="N1347" s="876">
        <v>1</v>
      </c>
      <c r="O1347" s="351"/>
      <c r="P1347" s="880"/>
      <c r="Q1347" s="880"/>
      <c r="R1347" s="902"/>
      <c r="S1347" s="738">
        <f t="shared" si="137"/>
        <v>36</v>
      </c>
      <c r="T1347" s="738" t="str">
        <f t="shared" si="138"/>
        <v>Ud</v>
      </c>
      <c r="U1347" s="738"/>
    </row>
    <row r="1348" spans="1:27" x14ac:dyDescent="0.2">
      <c r="A1348" s="895"/>
      <c r="B1348" s="346"/>
      <c r="C1348" s="347"/>
      <c r="D1348" s="870">
        <v>557</v>
      </c>
      <c r="E1348" s="871" t="s">
        <v>8</v>
      </c>
      <c r="F1348" s="667">
        <v>0</v>
      </c>
      <c r="G1348" s="871"/>
      <c r="H1348" s="871"/>
      <c r="I1348" s="668"/>
      <c r="J1348" s="349" t="s">
        <v>1101</v>
      </c>
      <c r="K1348" s="876"/>
      <c r="L1348" s="885"/>
      <c r="M1348" s="885"/>
      <c r="N1348" s="876">
        <v>1</v>
      </c>
      <c r="O1348" s="351"/>
      <c r="P1348" s="880"/>
      <c r="Q1348" s="880"/>
      <c r="R1348" s="902"/>
      <c r="S1348" s="738">
        <f t="shared" si="137"/>
        <v>36</v>
      </c>
      <c r="T1348" s="738" t="str">
        <f t="shared" si="138"/>
        <v>Ud</v>
      </c>
      <c r="U1348" s="738"/>
    </row>
    <row r="1349" spans="1:27" x14ac:dyDescent="0.2">
      <c r="A1349" s="895"/>
      <c r="B1349" s="346"/>
      <c r="C1349" s="744" t="s">
        <v>1553</v>
      </c>
      <c r="D1349" s="870"/>
      <c r="E1349" s="871"/>
      <c r="F1349" s="667"/>
      <c r="G1349" s="871"/>
      <c r="H1349" s="871"/>
      <c r="I1349" s="668"/>
      <c r="J1349" s="349"/>
      <c r="K1349" s="884"/>
      <c r="L1349" s="885"/>
      <c r="M1349" s="885"/>
      <c r="N1349" s="876"/>
      <c r="O1349" s="351"/>
      <c r="P1349" s="880"/>
      <c r="Q1349" s="880"/>
      <c r="R1349" s="902"/>
      <c r="S1349" s="738">
        <f t="shared" si="137"/>
        <v>36</v>
      </c>
      <c r="T1349" s="738" t="str">
        <f t="shared" si="138"/>
        <v>Ud</v>
      </c>
      <c r="U1349" s="738"/>
    </row>
    <row r="1350" spans="1:27" x14ac:dyDescent="0.2">
      <c r="A1350" s="294"/>
      <c r="B1350" s="293"/>
      <c r="C1350" s="348"/>
      <c r="D1350" s="290">
        <v>15</v>
      </c>
      <c r="E1350" s="291" t="s">
        <v>8</v>
      </c>
      <c r="F1350" s="675">
        <v>15</v>
      </c>
      <c r="G1350" s="405"/>
      <c r="H1350" s="871"/>
      <c r="I1350" s="406"/>
      <c r="J1350" s="349" t="s">
        <v>1556</v>
      </c>
      <c r="K1350" s="350"/>
      <c r="N1350" s="876">
        <v>1</v>
      </c>
      <c r="O1350" s="351"/>
      <c r="P1350" s="882"/>
      <c r="Q1350" s="880"/>
      <c r="R1350" s="898"/>
      <c r="S1350" s="738">
        <f t="shared" si="137"/>
        <v>36</v>
      </c>
      <c r="T1350" s="738" t="str">
        <f t="shared" si="138"/>
        <v>Ud</v>
      </c>
      <c r="U1350" s="738"/>
      <c r="W1350" s="288"/>
      <c r="X1350" s="288"/>
      <c r="Y1350" s="288"/>
      <c r="Z1350" s="288"/>
      <c r="AA1350" s="288"/>
    </row>
    <row r="1351" spans="1:27" x14ac:dyDescent="0.2">
      <c r="A1351" s="294"/>
      <c r="B1351" s="293"/>
      <c r="C1351" s="348"/>
      <c r="D1351" s="290">
        <v>16</v>
      </c>
      <c r="E1351" s="291" t="s">
        <v>8</v>
      </c>
      <c r="F1351" s="675">
        <v>5</v>
      </c>
      <c r="G1351" s="405"/>
      <c r="H1351" s="871"/>
      <c r="I1351" s="406"/>
      <c r="J1351" s="349" t="s">
        <v>1564</v>
      </c>
      <c r="K1351" s="350"/>
      <c r="N1351" s="876">
        <v>1</v>
      </c>
      <c r="O1351" s="351"/>
      <c r="P1351" s="882"/>
      <c r="Q1351" s="880"/>
      <c r="R1351" s="898"/>
      <c r="S1351" s="738">
        <f t="shared" si="137"/>
        <v>36</v>
      </c>
      <c r="T1351" s="738" t="str">
        <f t="shared" si="138"/>
        <v>Ud</v>
      </c>
      <c r="U1351" s="738"/>
      <c r="W1351" s="288"/>
      <c r="X1351" s="288"/>
      <c r="Y1351" s="288"/>
      <c r="Z1351" s="288"/>
      <c r="AA1351" s="288"/>
    </row>
    <row r="1352" spans="1:27" x14ac:dyDescent="0.2">
      <c r="A1352" s="294"/>
      <c r="B1352" s="293"/>
      <c r="C1352" s="348"/>
      <c r="D1352" s="290">
        <v>26</v>
      </c>
      <c r="E1352" s="291" t="s">
        <v>8</v>
      </c>
      <c r="F1352" s="675">
        <v>15</v>
      </c>
      <c r="G1352" s="405"/>
      <c r="H1352" s="871"/>
      <c r="I1352" s="406"/>
      <c r="J1352" s="349" t="s">
        <v>1556</v>
      </c>
      <c r="K1352" s="350"/>
      <c r="N1352" s="876">
        <v>1</v>
      </c>
      <c r="O1352" s="351"/>
      <c r="P1352" s="882"/>
      <c r="Q1352" s="880"/>
      <c r="R1352" s="898"/>
      <c r="S1352" s="738">
        <f t="shared" si="137"/>
        <v>36</v>
      </c>
      <c r="T1352" s="738" t="str">
        <f t="shared" si="138"/>
        <v>Ud</v>
      </c>
      <c r="U1352" s="738"/>
      <c r="W1352" s="288"/>
      <c r="X1352" s="288"/>
      <c r="Y1352" s="288"/>
      <c r="Z1352" s="288"/>
      <c r="AA1352" s="288"/>
    </row>
    <row r="1353" spans="1:27" x14ac:dyDescent="0.2">
      <c r="A1353" s="294"/>
      <c r="B1353" s="293"/>
      <c r="C1353" s="348"/>
      <c r="D1353" s="290">
        <v>29</v>
      </c>
      <c r="E1353" s="291" t="s">
        <v>8</v>
      </c>
      <c r="F1353" s="675">
        <v>5</v>
      </c>
      <c r="G1353" s="405"/>
      <c r="H1353" s="871"/>
      <c r="I1353" s="406"/>
      <c r="J1353" s="349" t="s">
        <v>1564</v>
      </c>
      <c r="K1353" s="350"/>
      <c r="N1353" s="876">
        <v>1</v>
      </c>
      <c r="O1353" s="351"/>
      <c r="P1353" s="882"/>
      <c r="Q1353" s="880"/>
      <c r="R1353" s="898"/>
      <c r="S1353" s="738">
        <f t="shared" si="137"/>
        <v>36</v>
      </c>
      <c r="T1353" s="738" t="str">
        <f t="shared" si="138"/>
        <v>Ud</v>
      </c>
      <c r="U1353" s="738"/>
      <c r="W1353" s="288"/>
      <c r="X1353" s="288"/>
      <c r="Y1353" s="288"/>
      <c r="Z1353" s="288"/>
      <c r="AA1353" s="288"/>
    </row>
    <row r="1354" spans="1:27" x14ac:dyDescent="0.2">
      <c r="A1354" s="294"/>
      <c r="B1354" s="293"/>
      <c r="C1354" s="348"/>
      <c r="D1354" s="290">
        <v>60</v>
      </c>
      <c r="E1354" s="291" t="s">
        <v>8</v>
      </c>
      <c r="F1354" s="675">
        <v>5</v>
      </c>
      <c r="G1354" s="405"/>
      <c r="H1354" s="871"/>
      <c r="I1354" s="406"/>
      <c r="J1354" s="349" t="s">
        <v>1556</v>
      </c>
      <c r="K1354" s="350"/>
      <c r="N1354" s="876">
        <v>1</v>
      </c>
      <c r="O1354" s="351"/>
      <c r="P1354" s="882"/>
      <c r="Q1354" s="880"/>
      <c r="R1354" s="898"/>
      <c r="S1354" s="738">
        <f t="shared" si="137"/>
        <v>36</v>
      </c>
      <c r="T1354" s="738" t="str">
        <f t="shared" si="138"/>
        <v>Ud</v>
      </c>
      <c r="U1354" s="738"/>
      <c r="W1354" s="288"/>
      <c r="X1354" s="288"/>
      <c r="Y1354" s="288"/>
      <c r="Z1354" s="288"/>
      <c r="AA1354" s="288"/>
    </row>
    <row r="1355" spans="1:27" x14ac:dyDescent="0.2">
      <c r="A1355" s="294"/>
      <c r="B1355" s="293"/>
      <c r="C1355" s="348"/>
      <c r="D1355" s="290">
        <v>60</v>
      </c>
      <c r="E1355" s="291" t="s">
        <v>8</v>
      </c>
      <c r="F1355" s="675">
        <v>15</v>
      </c>
      <c r="G1355" s="405"/>
      <c r="H1355" s="871"/>
      <c r="I1355" s="406"/>
      <c r="J1355" s="349" t="s">
        <v>1564</v>
      </c>
      <c r="K1355" s="350"/>
      <c r="N1355" s="876">
        <v>1</v>
      </c>
      <c r="O1355" s="351"/>
      <c r="P1355" s="882"/>
      <c r="Q1355" s="880"/>
      <c r="R1355" s="898"/>
      <c r="S1355" s="738">
        <f t="shared" si="137"/>
        <v>36</v>
      </c>
      <c r="T1355" s="738" t="str">
        <f t="shared" si="138"/>
        <v>Ud</v>
      </c>
      <c r="U1355" s="738"/>
      <c r="W1355" s="288"/>
      <c r="X1355" s="288"/>
      <c r="Y1355" s="288"/>
      <c r="Z1355" s="288"/>
      <c r="AA1355" s="288"/>
    </row>
    <row r="1356" spans="1:27" x14ac:dyDescent="0.2">
      <c r="A1356" s="294"/>
      <c r="B1356" s="293"/>
      <c r="C1356" s="348"/>
      <c r="D1356" s="290">
        <v>76</v>
      </c>
      <c r="E1356" s="291" t="s">
        <v>8</v>
      </c>
      <c r="F1356" s="675">
        <v>5</v>
      </c>
      <c r="G1356" s="405"/>
      <c r="H1356" s="871"/>
      <c r="I1356" s="406"/>
      <c r="J1356" s="349" t="s">
        <v>1556</v>
      </c>
      <c r="K1356" s="350"/>
      <c r="N1356" s="876">
        <v>1</v>
      </c>
      <c r="O1356" s="351"/>
      <c r="P1356" s="882"/>
      <c r="Q1356" s="880"/>
      <c r="R1356" s="898"/>
      <c r="S1356" s="738">
        <f t="shared" si="137"/>
        <v>36</v>
      </c>
      <c r="T1356" s="738" t="str">
        <f t="shared" si="138"/>
        <v>Ud</v>
      </c>
      <c r="U1356" s="738"/>
      <c r="W1356" s="288"/>
      <c r="X1356" s="288"/>
      <c r="Y1356" s="288"/>
      <c r="Z1356" s="288"/>
      <c r="AA1356" s="288"/>
    </row>
    <row r="1357" spans="1:27" x14ac:dyDescent="0.2">
      <c r="A1357" s="294"/>
      <c r="B1357" s="293"/>
      <c r="C1357" s="348"/>
      <c r="D1357" s="290">
        <v>77</v>
      </c>
      <c r="E1357" s="291" t="s">
        <v>8</v>
      </c>
      <c r="F1357" s="675">
        <v>15</v>
      </c>
      <c r="G1357" s="405"/>
      <c r="H1357" s="871"/>
      <c r="I1357" s="406"/>
      <c r="J1357" s="349" t="s">
        <v>1564</v>
      </c>
      <c r="K1357" s="350"/>
      <c r="N1357" s="876">
        <v>1</v>
      </c>
      <c r="O1357" s="351"/>
      <c r="P1357" s="882"/>
      <c r="Q1357" s="880"/>
      <c r="R1357" s="898"/>
      <c r="S1357" s="738">
        <f t="shared" si="137"/>
        <v>36</v>
      </c>
      <c r="T1357" s="738" t="str">
        <f t="shared" si="138"/>
        <v>Ud</v>
      </c>
      <c r="U1357" s="738"/>
      <c r="W1357" s="288"/>
      <c r="X1357" s="288"/>
      <c r="Y1357" s="288"/>
      <c r="Z1357" s="288"/>
      <c r="AA1357" s="288"/>
    </row>
    <row r="1358" spans="1:27" x14ac:dyDescent="0.2">
      <c r="A1358" s="294"/>
      <c r="B1358" s="293"/>
      <c r="C1358" s="348"/>
      <c r="D1358" s="290">
        <v>106</v>
      </c>
      <c r="E1358" s="291" t="s">
        <v>8</v>
      </c>
      <c r="F1358" s="675">
        <v>5</v>
      </c>
      <c r="G1358" s="405"/>
      <c r="H1358" s="871"/>
      <c r="I1358" s="406"/>
      <c r="J1358" s="349" t="s">
        <v>1556</v>
      </c>
      <c r="K1358" s="350"/>
      <c r="N1358" s="876">
        <v>1</v>
      </c>
      <c r="O1358" s="351"/>
      <c r="P1358" s="882"/>
      <c r="Q1358" s="880"/>
      <c r="R1358" s="898"/>
      <c r="S1358" s="738">
        <f t="shared" si="137"/>
        <v>36</v>
      </c>
      <c r="T1358" s="738" t="str">
        <f t="shared" si="138"/>
        <v>Ud</v>
      </c>
      <c r="U1358" s="738"/>
      <c r="W1358" s="288"/>
      <c r="X1358" s="288"/>
      <c r="Y1358" s="288"/>
      <c r="Z1358" s="288"/>
      <c r="AA1358" s="288"/>
    </row>
    <row r="1359" spans="1:27" x14ac:dyDescent="0.2">
      <c r="A1359" s="294"/>
      <c r="B1359" s="293"/>
      <c r="C1359" s="348"/>
      <c r="D1359" s="290">
        <v>109</v>
      </c>
      <c r="E1359" s="291" t="s">
        <v>8</v>
      </c>
      <c r="F1359" s="675">
        <v>15</v>
      </c>
      <c r="G1359" s="405"/>
      <c r="H1359" s="871"/>
      <c r="I1359" s="406"/>
      <c r="J1359" s="349" t="s">
        <v>1564</v>
      </c>
      <c r="K1359" s="350"/>
      <c r="N1359" s="876">
        <v>1</v>
      </c>
      <c r="O1359" s="351"/>
      <c r="P1359" s="882"/>
      <c r="Q1359" s="880"/>
      <c r="R1359" s="898"/>
      <c r="S1359" s="738">
        <f t="shared" si="137"/>
        <v>36</v>
      </c>
      <c r="T1359" s="738" t="str">
        <f t="shared" si="138"/>
        <v>Ud</v>
      </c>
      <c r="U1359" s="738"/>
      <c r="W1359" s="288"/>
      <c r="X1359" s="288"/>
      <c r="Y1359" s="288"/>
      <c r="Z1359" s="288"/>
      <c r="AA1359" s="288"/>
    </row>
    <row r="1360" spans="1:27" x14ac:dyDescent="0.2">
      <c r="A1360" s="899"/>
      <c r="B1360" s="353"/>
      <c r="C1360" s="354" t="s">
        <v>2</v>
      </c>
      <c r="D1360" s="355"/>
      <c r="E1360" s="352"/>
      <c r="F1360" s="356"/>
      <c r="G1360" s="355"/>
      <c r="H1360" s="356"/>
      <c r="I1360" s="356"/>
      <c r="J1360" s="353"/>
      <c r="K1360" s="357"/>
      <c r="L1360" s="358"/>
      <c r="M1360" s="359"/>
      <c r="N1360" s="360">
        <f>SUM(N1323:N1359)</f>
        <v>36</v>
      </c>
      <c r="O1360" s="361" t="str">
        <f>IF(MID(B1321,1,2)="LG",VLOOKUP(B1321,'Compos lug'!J:M,4,FALSE),IF(MID(B1321,1,1)="6",VLOOKUP(B1321,tranp.!$A$6:$K$51,3,FALSE),VLOOKUP(B1321,'DER 10-18'!$A$1:$I$1981,3,FALSE)))</f>
        <v>Ud</v>
      </c>
      <c r="P1360" s="362"/>
      <c r="Q1360" s="362"/>
      <c r="R1360" s="900"/>
      <c r="S1360" s="738">
        <f t="shared" si="137"/>
        <v>370</v>
      </c>
      <c r="T1360" s="738" t="str">
        <f t="shared" si="138"/>
        <v>M2</v>
      </c>
      <c r="U1360" s="738"/>
    </row>
    <row r="1361" spans="1:27" x14ac:dyDescent="0.2">
      <c r="A1361" s="294"/>
      <c r="B1361" s="293"/>
      <c r="C1361" s="343"/>
      <c r="H1361" s="292"/>
      <c r="N1361" s="314"/>
      <c r="O1361" s="344"/>
      <c r="P1361" s="315"/>
      <c r="Q1361" s="315"/>
      <c r="R1361" s="903"/>
      <c r="S1361" s="738">
        <f t="shared" si="137"/>
        <v>370</v>
      </c>
      <c r="T1361" s="738" t="str">
        <f t="shared" si="138"/>
        <v>M2</v>
      </c>
      <c r="U1361" s="738"/>
    </row>
    <row r="1362" spans="1:27" ht="51.75" customHeight="1" x14ac:dyDescent="0.2">
      <c r="A1362" s="895" t="s">
        <v>1550</v>
      </c>
      <c r="B1362" s="346">
        <v>40915</v>
      </c>
      <c r="C1362" s="347" t="str">
        <f>IF(MID(B1362,1,2)="LG",VLOOKUP(B1362,'Compos lug'!J:M,3,FALSE),IF(MID(B1362,1,1)="6",VLOOKUP(B1362,tranp.!$A$4:$K$21,11,FALSE)&amp;" -  XP="&amp;TEXT(#REF!,"0,000")&amp;" / XR="&amp;TEXT(#REF!,"0,000"),VLOOKUP(B1362,'DER 10-18'!$A$1:$I$1994,2,FALSE)))</f>
        <v>Calçada de concreto fck=15 MP, camurçado c/ argam. cimento e areia 1:4, lastro de brita e 8 cm de concreto, incl. preparo da caixa e transp. da brita</v>
      </c>
      <c r="D1362" s="1059" t="s">
        <v>1000</v>
      </c>
      <c r="E1362" s="1060"/>
      <c r="F1362" s="1061"/>
      <c r="G1362" s="1059" t="s">
        <v>1001</v>
      </c>
      <c r="H1362" s="1060"/>
      <c r="I1362" s="1061"/>
      <c r="J1362" s="349" t="s">
        <v>989</v>
      </c>
      <c r="K1362" s="876"/>
      <c r="L1362" s="885" t="s">
        <v>1077</v>
      </c>
      <c r="M1362" s="876" t="s">
        <v>990</v>
      </c>
      <c r="N1362" s="876" t="str">
        <f>CONCATENATE("Total (",IF(MID(B1362,1,2)="LG",VLOOKUP(B1362,'Compos lug'!J:M,4,FALSE),IF(MID(B1362,1,1)="6","t",VLOOKUP(B1362,'DER 10-18'!$A$1:$I$1994,3,FALSE))),")")</f>
        <v>Total (M2)</v>
      </c>
      <c r="O1362" s="351"/>
      <c r="P1362" s="1062"/>
      <c r="Q1362" s="1063"/>
      <c r="R1362" s="902"/>
      <c r="S1362" s="738">
        <f t="shared" si="137"/>
        <v>370</v>
      </c>
      <c r="T1362" s="738" t="str">
        <f t="shared" si="138"/>
        <v>M2</v>
      </c>
      <c r="U1362" s="738"/>
      <c r="W1362" s="288"/>
      <c r="X1362" s="288"/>
      <c r="Y1362" s="288"/>
      <c r="Z1362" s="288"/>
      <c r="AA1362" s="288"/>
    </row>
    <row r="1363" spans="1:27" x14ac:dyDescent="0.2">
      <c r="A1363" s="294"/>
      <c r="B1363" s="293"/>
      <c r="C1363" s="890" t="s">
        <v>1552</v>
      </c>
      <c r="F1363" s="675"/>
      <c r="G1363" s="405"/>
      <c r="H1363" s="871"/>
      <c r="I1363" s="406"/>
      <c r="J1363" s="349"/>
      <c r="K1363" s="350"/>
      <c r="L1363" s="876">
        <v>1</v>
      </c>
      <c r="M1363" s="299">
        <v>10</v>
      </c>
      <c r="N1363" s="876">
        <f t="shared" ref="N1363:N1389" si="139">+M1363*L1363</f>
        <v>10</v>
      </c>
      <c r="O1363" s="351"/>
      <c r="P1363" s="882"/>
      <c r="Q1363" s="880"/>
      <c r="R1363" s="898"/>
      <c r="S1363" s="738">
        <f t="shared" si="137"/>
        <v>370</v>
      </c>
      <c r="T1363" s="738" t="str">
        <f t="shared" si="138"/>
        <v>M2</v>
      </c>
      <c r="U1363" s="738"/>
      <c r="W1363" s="288"/>
      <c r="X1363" s="288"/>
      <c r="Y1363" s="288"/>
      <c r="Z1363" s="288"/>
      <c r="AA1363" s="288"/>
    </row>
    <row r="1364" spans="1:27" x14ac:dyDescent="0.2">
      <c r="A1364" s="294"/>
      <c r="B1364" s="293"/>
      <c r="C1364" s="348"/>
      <c r="D1364" s="290">
        <v>38</v>
      </c>
      <c r="E1364" s="291" t="s">
        <v>8</v>
      </c>
      <c r="F1364" s="675">
        <v>0</v>
      </c>
      <c r="G1364" s="405"/>
      <c r="H1364" s="871"/>
      <c r="I1364" s="406"/>
      <c r="J1364" s="349" t="s">
        <v>1102</v>
      </c>
      <c r="K1364" s="350"/>
      <c r="L1364" s="876">
        <v>1</v>
      </c>
      <c r="M1364" s="299">
        <v>10</v>
      </c>
      <c r="N1364" s="876">
        <f t="shared" si="139"/>
        <v>10</v>
      </c>
      <c r="O1364" s="351"/>
      <c r="P1364" s="882"/>
      <c r="Q1364" s="880"/>
      <c r="R1364" s="898"/>
      <c r="S1364" s="738">
        <f t="shared" si="137"/>
        <v>370</v>
      </c>
      <c r="T1364" s="738" t="str">
        <f t="shared" si="138"/>
        <v>M2</v>
      </c>
      <c r="U1364" s="738"/>
      <c r="W1364" s="288"/>
      <c r="X1364" s="288"/>
      <c r="Y1364" s="288"/>
      <c r="Z1364" s="288"/>
      <c r="AA1364" s="288"/>
    </row>
    <row r="1365" spans="1:27" x14ac:dyDescent="0.2">
      <c r="A1365" s="294"/>
      <c r="B1365" s="293"/>
      <c r="C1365" s="348"/>
      <c r="D1365" s="290">
        <v>42</v>
      </c>
      <c r="E1365" s="291" t="s">
        <v>8</v>
      </c>
      <c r="F1365" s="675">
        <v>0</v>
      </c>
      <c r="G1365" s="405"/>
      <c r="H1365" s="871"/>
      <c r="I1365" s="406"/>
      <c r="J1365" s="349" t="s">
        <v>1101</v>
      </c>
      <c r="K1365" s="350"/>
      <c r="L1365" s="876">
        <v>1</v>
      </c>
      <c r="M1365" s="299">
        <v>10</v>
      </c>
      <c r="N1365" s="876">
        <f t="shared" si="139"/>
        <v>10</v>
      </c>
      <c r="O1365" s="351"/>
      <c r="P1365" s="882"/>
      <c r="Q1365" s="880"/>
      <c r="R1365" s="898"/>
      <c r="S1365" s="738">
        <f t="shared" si="137"/>
        <v>370</v>
      </c>
      <c r="T1365" s="738" t="str">
        <f t="shared" si="138"/>
        <v>M2</v>
      </c>
      <c r="U1365" s="738"/>
      <c r="W1365" s="288"/>
      <c r="X1365" s="288"/>
      <c r="Y1365" s="288"/>
      <c r="Z1365" s="288"/>
      <c r="AA1365" s="288"/>
    </row>
    <row r="1366" spans="1:27" x14ac:dyDescent="0.2">
      <c r="A1366" s="294"/>
      <c r="B1366" s="293"/>
      <c r="C1366" s="348"/>
      <c r="D1366" s="290">
        <v>72</v>
      </c>
      <c r="E1366" s="291" t="s">
        <v>8</v>
      </c>
      <c r="F1366" s="675">
        <v>0</v>
      </c>
      <c r="G1366" s="405"/>
      <c r="H1366" s="871"/>
      <c r="I1366" s="406"/>
      <c r="J1366" s="349" t="s">
        <v>1102</v>
      </c>
      <c r="K1366" s="350"/>
      <c r="L1366" s="876">
        <v>1</v>
      </c>
      <c r="M1366" s="299">
        <v>10</v>
      </c>
      <c r="N1366" s="876">
        <f t="shared" si="139"/>
        <v>10</v>
      </c>
      <c r="O1366" s="351"/>
      <c r="P1366" s="882"/>
      <c r="Q1366" s="880"/>
      <c r="R1366" s="898"/>
      <c r="S1366" s="738">
        <f t="shared" si="137"/>
        <v>370</v>
      </c>
      <c r="T1366" s="738" t="str">
        <f t="shared" si="138"/>
        <v>M2</v>
      </c>
      <c r="U1366" s="738"/>
      <c r="W1366" s="288"/>
      <c r="X1366" s="288"/>
      <c r="Y1366" s="288"/>
      <c r="Z1366" s="288"/>
      <c r="AA1366" s="288"/>
    </row>
    <row r="1367" spans="1:27" x14ac:dyDescent="0.2">
      <c r="A1367" s="294"/>
      <c r="B1367" s="293"/>
      <c r="C1367" s="348"/>
      <c r="D1367" s="290">
        <v>76</v>
      </c>
      <c r="E1367" s="291" t="s">
        <v>8</v>
      </c>
      <c r="F1367" s="675">
        <v>0</v>
      </c>
      <c r="G1367" s="405"/>
      <c r="H1367" s="871"/>
      <c r="I1367" s="406"/>
      <c r="J1367" s="349" t="s">
        <v>1101</v>
      </c>
      <c r="K1367" s="350"/>
      <c r="L1367" s="876">
        <v>1</v>
      </c>
      <c r="M1367" s="299">
        <v>10</v>
      </c>
      <c r="N1367" s="876">
        <f t="shared" si="139"/>
        <v>10</v>
      </c>
      <c r="O1367" s="351"/>
      <c r="P1367" s="882"/>
      <c r="Q1367" s="880"/>
      <c r="R1367" s="898"/>
      <c r="S1367" s="738">
        <f t="shared" si="137"/>
        <v>370</v>
      </c>
      <c r="T1367" s="738" t="str">
        <f t="shared" si="138"/>
        <v>M2</v>
      </c>
      <c r="U1367" s="738"/>
      <c r="W1367" s="288"/>
      <c r="X1367" s="288"/>
      <c r="Y1367" s="288"/>
      <c r="Z1367" s="288"/>
      <c r="AA1367" s="288"/>
    </row>
    <row r="1368" spans="1:27" x14ac:dyDescent="0.2">
      <c r="A1368" s="294"/>
      <c r="B1368" s="293"/>
      <c r="C1368" s="348"/>
      <c r="D1368" s="290">
        <v>113</v>
      </c>
      <c r="E1368" s="291" t="s">
        <v>8</v>
      </c>
      <c r="F1368" s="675">
        <v>0</v>
      </c>
      <c r="G1368" s="405"/>
      <c r="H1368" s="871"/>
      <c r="I1368" s="406"/>
      <c r="J1368" s="349" t="s">
        <v>1102</v>
      </c>
      <c r="K1368" s="350"/>
      <c r="L1368" s="876">
        <v>1</v>
      </c>
      <c r="M1368" s="299">
        <v>10</v>
      </c>
      <c r="N1368" s="876">
        <f t="shared" si="139"/>
        <v>10</v>
      </c>
      <c r="O1368" s="351"/>
      <c r="P1368" s="882"/>
      <c r="Q1368" s="880"/>
      <c r="R1368" s="898"/>
      <c r="S1368" s="738">
        <f t="shared" si="137"/>
        <v>370</v>
      </c>
      <c r="T1368" s="738" t="str">
        <f t="shared" si="138"/>
        <v>M2</v>
      </c>
      <c r="U1368" s="738"/>
      <c r="W1368" s="288"/>
      <c r="X1368" s="288"/>
      <c r="Y1368" s="288"/>
      <c r="Z1368" s="288"/>
      <c r="AA1368" s="288"/>
    </row>
    <row r="1369" spans="1:27" x14ac:dyDescent="0.2">
      <c r="A1369" s="294"/>
      <c r="B1369" s="293"/>
      <c r="C1369" s="348"/>
      <c r="D1369" s="290">
        <v>117</v>
      </c>
      <c r="E1369" s="291" t="s">
        <v>8</v>
      </c>
      <c r="F1369" s="675">
        <v>0</v>
      </c>
      <c r="G1369" s="405"/>
      <c r="H1369" s="871"/>
      <c r="I1369" s="406"/>
      <c r="J1369" s="349" t="s">
        <v>1101</v>
      </c>
      <c r="K1369" s="350"/>
      <c r="L1369" s="876">
        <v>1</v>
      </c>
      <c r="M1369" s="299">
        <v>10</v>
      </c>
      <c r="N1369" s="876">
        <f t="shared" si="139"/>
        <v>10</v>
      </c>
      <c r="O1369" s="351"/>
      <c r="P1369" s="882"/>
      <c r="Q1369" s="880"/>
      <c r="R1369" s="898"/>
      <c r="S1369" s="738">
        <f t="shared" si="137"/>
        <v>370</v>
      </c>
      <c r="T1369" s="738" t="str">
        <f t="shared" si="138"/>
        <v>M2</v>
      </c>
      <c r="U1369" s="738"/>
      <c r="W1369" s="288"/>
      <c r="X1369" s="288"/>
      <c r="Y1369" s="288"/>
      <c r="Z1369" s="288"/>
      <c r="AA1369" s="288"/>
    </row>
    <row r="1370" spans="1:27" x14ac:dyDescent="0.2">
      <c r="A1370" s="294"/>
      <c r="B1370" s="293"/>
      <c r="C1370" s="348"/>
      <c r="D1370" s="290">
        <v>146</v>
      </c>
      <c r="E1370" s="291" t="s">
        <v>8</v>
      </c>
      <c r="F1370" s="675">
        <v>0</v>
      </c>
      <c r="G1370" s="405"/>
      <c r="H1370" s="871"/>
      <c r="I1370" s="406"/>
      <c r="J1370" s="349" t="s">
        <v>1102</v>
      </c>
      <c r="K1370" s="350"/>
      <c r="L1370" s="876">
        <v>1</v>
      </c>
      <c r="M1370" s="299">
        <v>10</v>
      </c>
      <c r="N1370" s="876">
        <f t="shared" si="139"/>
        <v>10</v>
      </c>
      <c r="O1370" s="351"/>
      <c r="P1370" s="882"/>
      <c r="Q1370" s="880"/>
      <c r="R1370" s="898"/>
      <c r="S1370" s="738">
        <f t="shared" si="137"/>
        <v>370</v>
      </c>
      <c r="T1370" s="738" t="str">
        <f t="shared" si="138"/>
        <v>M2</v>
      </c>
      <c r="U1370" s="738"/>
      <c r="W1370" s="288"/>
      <c r="X1370" s="288"/>
      <c r="Y1370" s="288"/>
      <c r="Z1370" s="288"/>
      <c r="AA1370" s="288"/>
    </row>
    <row r="1371" spans="1:27" x14ac:dyDescent="0.2">
      <c r="A1371" s="294"/>
      <c r="B1371" s="293"/>
      <c r="C1371" s="348"/>
      <c r="D1371" s="290">
        <v>150</v>
      </c>
      <c r="E1371" s="291" t="s">
        <v>8</v>
      </c>
      <c r="F1371" s="675">
        <v>0</v>
      </c>
      <c r="G1371" s="405"/>
      <c r="H1371" s="871"/>
      <c r="I1371" s="406"/>
      <c r="J1371" s="349" t="s">
        <v>1101</v>
      </c>
      <c r="K1371" s="350"/>
      <c r="L1371" s="876">
        <v>1</v>
      </c>
      <c r="M1371" s="299">
        <v>10</v>
      </c>
      <c r="N1371" s="876">
        <f t="shared" si="139"/>
        <v>10</v>
      </c>
      <c r="O1371" s="351"/>
      <c r="P1371" s="882"/>
      <c r="Q1371" s="880"/>
      <c r="R1371" s="898"/>
      <c r="S1371" s="738">
        <f t="shared" si="137"/>
        <v>370</v>
      </c>
      <c r="T1371" s="738" t="str">
        <f t="shared" si="138"/>
        <v>M2</v>
      </c>
      <c r="U1371" s="738"/>
      <c r="W1371" s="288"/>
      <c r="X1371" s="288"/>
      <c r="Y1371" s="288"/>
      <c r="Z1371" s="288"/>
      <c r="AA1371" s="288"/>
    </row>
    <row r="1372" spans="1:27" x14ac:dyDescent="0.2">
      <c r="A1372" s="294"/>
      <c r="B1372" s="293"/>
      <c r="C1372" s="348"/>
      <c r="D1372" s="290">
        <v>203</v>
      </c>
      <c r="E1372" s="291" t="s">
        <v>8</v>
      </c>
      <c r="F1372" s="675">
        <v>0</v>
      </c>
      <c r="G1372" s="405"/>
      <c r="H1372" s="871"/>
      <c r="I1372" s="406"/>
      <c r="J1372" s="349" t="s">
        <v>1102</v>
      </c>
      <c r="K1372" s="350"/>
      <c r="L1372" s="876">
        <v>1</v>
      </c>
      <c r="M1372" s="299">
        <v>10</v>
      </c>
      <c r="N1372" s="876">
        <f t="shared" si="139"/>
        <v>10</v>
      </c>
      <c r="O1372" s="351"/>
      <c r="P1372" s="882"/>
      <c r="Q1372" s="880"/>
      <c r="R1372" s="898"/>
      <c r="S1372" s="738">
        <f t="shared" si="137"/>
        <v>370</v>
      </c>
      <c r="T1372" s="738" t="str">
        <f t="shared" si="138"/>
        <v>M2</v>
      </c>
      <c r="U1372" s="738"/>
      <c r="W1372" s="288"/>
      <c r="X1372" s="288"/>
      <c r="Y1372" s="288"/>
      <c r="Z1372" s="288"/>
      <c r="AA1372" s="288"/>
    </row>
    <row r="1373" spans="1:27" x14ac:dyDescent="0.2">
      <c r="A1373" s="294"/>
      <c r="B1373" s="293"/>
      <c r="C1373" s="348"/>
      <c r="D1373" s="290">
        <v>207</v>
      </c>
      <c r="E1373" s="291" t="s">
        <v>8</v>
      </c>
      <c r="F1373" s="675">
        <v>0</v>
      </c>
      <c r="G1373" s="405"/>
      <c r="H1373" s="871"/>
      <c r="I1373" s="406"/>
      <c r="J1373" s="349" t="s">
        <v>1101</v>
      </c>
      <c r="K1373" s="350"/>
      <c r="L1373" s="876">
        <v>1</v>
      </c>
      <c r="M1373" s="299">
        <v>10</v>
      </c>
      <c r="N1373" s="876">
        <f t="shared" si="139"/>
        <v>10</v>
      </c>
      <c r="O1373" s="351"/>
      <c r="P1373" s="882"/>
      <c r="Q1373" s="880"/>
      <c r="R1373" s="898"/>
      <c r="S1373" s="738">
        <f>VLOOKUP("Total",C1382:O3061,12,FALSE)</f>
        <v>370</v>
      </c>
      <c r="T1373" s="738" t="str">
        <f>VLOOKUP("Total",C1382:O3061,13,FALSE)</f>
        <v>M2</v>
      </c>
      <c r="U1373" s="738"/>
      <c r="W1373" s="288"/>
      <c r="X1373" s="288"/>
      <c r="Y1373" s="288"/>
      <c r="Z1373" s="288"/>
      <c r="AA1373" s="288"/>
    </row>
    <row r="1374" spans="1:27" x14ac:dyDescent="0.2">
      <c r="A1374" s="294"/>
      <c r="B1374" s="293"/>
      <c r="C1374" s="348"/>
      <c r="D1374" s="290">
        <v>255</v>
      </c>
      <c r="E1374" s="291" t="s">
        <v>8</v>
      </c>
      <c r="F1374" s="675">
        <v>0</v>
      </c>
      <c r="G1374" s="405"/>
      <c r="H1374" s="871"/>
      <c r="I1374" s="406"/>
      <c r="J1374" s="349" t="s">
        <v>1102</v>
      </c>
      <c r="K1374" s="350"/>
      <c r="L1374" s="876">
        <v>1</v>
      </c>
      <c r="M1374" s="299">
        <v>10</v>
      </c>
      <c r="N1374" s="876">
        <f t="shared" si="139"/>
        <v>10</v>
      </c>
      <c r="O1374" s="351"/>
      <c r="P1374" s="882"/>
      <c r="Q1374" s="880"/>
      <c r="R1374" s="898"/>
      <c r="S1374" s="738"/>
      <c r="T1374" s="738"/>
      <c r="U1374" s="738"/>
      <c r="W1374" s="288"/>
      <c r="X1374" s="288"/>
      <c r="Y1374" s="288"/>
      <c r="Z1374" s="288"/>
      <c r="AA1374" s="288"/>
    </row>
    <row r="1375" spans="1:27" x14ac:dyDescent="0.2">
      <c r="A1375" s="294"/>
      <c r="B1375" s="293"/>
      <c r="C1375" s="348"/>
      <c r="D1375" s="290">
        <v>259</v>
      </c>
      <c r="E1375" s="291" t="s">
        <v>8</v>
      </c>
      <c r="F1375" s="675">
        <v>0</v>
      </c>
      <c r="G1375" s="405"/>
      <c r="H1375" s="871"/>
      <c r="I1375" s="406"/>
      <c r="J1375" s="349" t="s">
        <v>1101</v>
      </c>
      <c r="K1375" s="350"/>
      <c r="L1375" s="876">
        <v>1</v>
      </c>
      <c r="M1375" s="299">
        <v>10</v>
      </c>
      <c r="N1375" s="876">
        <f t="shared" si="139"/>
        <v>10</v>
      </c>
      <c r="O1375" s="351"/>
      <c r="P1375" s="882"/>
      <c r="Q1375" s="880"/>
      <c r="R1375" s="898"/>
      <c r="S1375" s="738"/>
      <c r="T1375" s="738"/>
      <c r="U1375" s="738"/>
      <c r="W1375" s="288"/>
      <c r="X1375" s="288"/>
      <c r="Y1375" s="288"/>
      <c r="Z1375" s="288"/>
      <c r="AA1375" s="288"/>
    </row>
    <row r="1376" spans="1:27" x14ac:dyDescent="0.2">
      <c r="A1376" s="294"/>
      <c r="B1376" s="293"/>
      <c r="C1376" s="348"/>
      <c r="D1376" s="290">
        <v>352</v>
      </c>
      <c r="E1376" s="291" t="s">
        <v>8</v>
      </c>
      <c r="F1376" s="675">
        <v>0</v>
      </c>
      <c r="G1376" s="405"/>
      <c r="H1376" s="871"/>
      <c r="I1376" s="406"/>
      <c r="J1376" s="349" t="s">
        <v>1101</v>
      </c>
      <c r="K1376" s="350"/>
      <c r="L1376" s="876">
        <v>1</v>
      </c>
      <c r="M1376" s="299">
        <v>10</v>
      </c>
      <c r="N1376" s="876">
        <f t="shared" si="139"/>
        <v>10</v>
      </c>
      <c r="O1376" s="351"/>
      <c r="P1376" s="882"/>
      <c r="Q1376" s="880"/>
      <c r="R1376" s="898"/>
      <c r="S1376" s="738"/>
      <c r="T1376" s="738"/>
      <c r="U1376" s="738"/>
      <c r="W1376" s="288"/>
      <c r="X1376" s="288"/>
      <c r="Y1376" s="288"/>
      <c r="Z1376" s="288"/>
      <c r="AA1376" s="288"/>
    </row>
    <row r="1377" spans="1:27" x14ac:dyDescent="0.2">
      <c r="A1377" s="294"/>
      <c r="B1377" s="293"/>
      <c r="C1377" s="348"/>
      <c r="D1377" s="290">
        <v>356</v>
      </c>
      <c r="E1377" s="291" t="s">
        <v>8</v>
      </c>
      <c r="F1377" s="675">
        <v>0</v>
      </c>
      <c r="G1377" s="405"/>
      <c r="H1377" s="871"/>
      <c r="I1377" s="406"/>
      <c r="J1377" s="349" t="s">
        <v>1102</v>
      </c>
      <c r="K1377" s="350"/>
      <c r="L1377" s="876">
        <v>1</v>
      </c>
      <c r="M1377" s="299">
        <v>10</v>
      </c>
      <c r="N1377" s="876">
        <f t="shared" si="139"/>
        <v>10</v>
      </c>
      <c r="O1377" s="351"/>
      <c r="P1377" s="882"/>
      <c r="Q1377" s="880"/>
      <c r="R1377" s="898"/>
      <c r="S1377" s="738"/>
      <c r="T1377" s="738"/>
      <c r="U1377" s="738"/>
      <c r="W1377" s="288"/>
      <c r="X1377" s="288"/>
      <c r="Y1377" s="288"/>
      <c r="Z1377" s="288"/>
      <c r="AA1377" s="288"/>
    </row>
    <row r="1378" spans="1:27" x14ac:dyDescent="0.2">
      <c r="A1378" s="294"/>
      <c r="B1378" s="293"/>
      <c r="C1378" s="348"/>
      <c r="D1378" s="290">
        <v>393</v>
      </c>
      <c r="E1378" s="291" t="s">
        <v>8</v>
      </c>
      <c r="F1378" s="675">
        <v>0</v>
      </c>
      <c r="G1378" s="405"/>
      <c r="H1378" s="871"/>
      <c r="I1378" s="406"/>
      <c r="J1378" s="349" t="s">
        <v>1102</v>
      </c>
      <c r="K1378" s="350"/>
      <c r="L1378" s="876">
        <v>1</v>
      </c>
      <c r="M1378" s="299">
        <v>10</v>
      </c>
      <c r="N1378" s="876">
        <f t="shared" si="139"/>
        <v>10</v>
      </c>
      <c r="O1378" s="351"/>
      <c r="P1378" s="882"/>
      <c r="Q1378" s="880"/>
      <c r="R1378" s="898"/>
      <c r="S1378" s="738"/>
      <c r="T1378" s="738"/>
      <c r="U1378" s="738"/>
      <c r="W1378" s="288"/>
      <c r="X1378" s="288"/>
      <c r="Y1378" s="288"/>
      <c r="Z1378" s="288"/>
      <c r="AA1378" s="288"/>
    </row>
    <row r="1379" spans="1:27" x14ac:dyDescent="0.2">
      <c r="A1379" s="294"/>
      <c r="B1379" s="293"/>
      <c r="C1379" s="348"/>
      <c r="D1379" s="290">
        <v>400</v>
      </c>
      <c r="E1379" s="291" t="s">
        <v>8</v>
      </c>
      <c r="F1379" s="675">
        <v>0</v>
      </c>
      <c r="G1379" s="405"/>
      <c r="H1379" s="871"/>
      <c r="I1379" s="406"/>
      <c r="J1379" s="349" t="s">
        <v>1101</v>
      </c>
      <c r="K1379" s="350"/>
      <c r="L1379" s="876">
        <v>1</v>
      </c>
      <c r="M1379" s="299">
        <v>10</v>
      </c>
      <c r="N1379" s="876">
        <f t="shared" si="139"/>
        <v>10</v>
      </c>
      <c r="O1379" s="351"/>
      <c r="P1379" s="882"/>
      <c r="Q1379" s="880"/>
      <c r="R1379" s="898"/>
      <c r="S1379" s="738"/>
      <c r="T1379" s="738"/>
      <c r="U1379" s="738"/>
      <c r="W1379" s="288"/>
      <c r="X1379" s="288"/>
      <c r="Y1379" s="288"/>
      <c r="Z1379" s="288"/>
      <c r="AA1379" s="288"/>
    </row>
    <row r="1380" spans="1:27" x14ac:dyDescent="0.2">
      <c r="A1380" s="294"/>
      <c r="B1380" s="293"/>
      <c r="C1380" s="348"/>
      <c r="D1380" s="290">
        <v>422</v>
      </c>
      <c r="E1380" s="291" t="s">
        <v>8</v>
      </c>
      <c r="F1380" s="675">
        <v>0</v>
      </c>
      <c r="G1380" s="405"/>
      <c r="H1380" s="871"/>
      <c r="I1380" s="406"/>
      <c r="J1380" s="349" t="s">
        <v>1102</v>
      </c>
      <c r="K1380" s="350"/>
      <c r="L1380" s="876">
        <v>1</v>
      </c>
      <c r="M1380" s="299">
        <v>10</v>
      </c>
      <c r="N1380" s="876">
        <f t="shared" si="139"/>
        <v>10</v>
      </c>
      <c r="O1380" s="351"/>
      <c r="P1380" s="882"/>
      <c r="Q1380" s="880"/>
      <c r="R1380" s="898"/>
      <c r="S1380" s="738"/>
      <c r="T1380" s="738"/>
      <c r="U1380" s="738"/>
      <c r="W1380" s="288"/>
      <c r="X1380" s="288"/>
      <c r="Y1380" s="288"/>
      <c r="Z1380" s="288"/>
      <c r="AA1380" s="288"/>
    </row>
    <row r="1381" spans="1:27" x14ac:dyDescent="0.2">
      <c r="A1381" s="294"/>
      <c r="B1381" s="293"/>
      <c r="C1381" s="348"/>
      <c r="D1381" s="290">
        <v>426</v>
      </c>
      <c r="E1381" s="291" t="s">
        <v>8</v>
      </c>
      <c r="F1381" s="675">
        <v>0</v>
      </c>
      <c r="G1381" s="405"/>
      <c r="H1381" s="871"/>
      <c r="I1381" s="406"/>
      <c r="J1381" s="349" t="s">
        <v>1101</v>
      </c>
      <c r="K1381" s="350"/>
      <c r="L1381" s="876">
        <v>1</v>
      </c>
      <c r="M1381" s="299">
        <v>10</v>
      </c>
      <c r="N1381" s="876">
        <f t="shared" si="139"/>
        <v>10</v>
      </c>
      <c r="O1381" s="351"/>
      <c r="P1381" s="882"/>
      <c r="Q1381" s="880"/>
      <c r="R1381" s="898"/>
      <c r="S1381" s="738"/>
      <c r="T1381" s="738"/>
      <c r="U1381" s="738"/>
      <c r="W1381" s="288"/>
      <c r="X1381" s="288"/>
      <c r="Y1381" s="288"/>
      <c r="Z1381" s="288"/>
      <c r="AA1381" s="288"/>
    </row>
    <row r="1382" spans="1:27" x14ac:dyDescent="0.2">
      <c r="A1382" s="294"/>
      <c r="B1382" s="293"/>
      <c r="C1382" s="348"/>
      <c r="D1382" s="290">
        <v>452</v>
      </c>
      <c r="E1382" s="291" t="s">
        <v>8</v>
      </c>
      <c r="F1382" s="675">
        <v>0</v>
      </c>
      <c r="G1382" s="405"/>
      <c r="H1382" s="871"/>
      <c r="I1382" s="406"/>
      <c r="J1382" s="349" t="s">
        <v>1102</v>
      </c>
      <c r="K1382" s="350"/>
      <c r="L1382" s="876">
        <v>1</v>
      </c>
      <c r="M1382" s="299">
        <v>10</v>
      </c>
      <c r="N1382" s="876">
        <f t="shared" si="139"/>
        <v>10</v>
      </c>
      <c r="O1382" s="351"/>
      <c r="P1382" s="882"/>
      <c r="Q1382" s="880"/>
      <c r="R1382" s="898"/>
      <c r="S1382" s="738">
        <f t="shared" ref="S1382:S1389" si="140">VLOOKUP("Total",C1383:O3062,12,FALSE)</f>
        <v>370</v>
      </c>
      <c r="T1382" s="738" t="str">
        <f t="shared" ref="T1382:T1389" si="141">VLOOKUP("Total",C1383:O3062,13,FALSE)</f>
        <v>M2</v>
      </c>
      <c r="U1382" s="738"/>
      <c r="W1382" s="288"/>
      <c r="X1382" s="288"/>
      <c r="Y1382" s="288"/>
      <c r="Z1382" s="288"/>
      <c r="AA1382" s="288"/>
    </row>
    <row r="1383" spans="1:27" x14ac:dyDescent="0.2">
      <c r="A1383" s="294"/>
      <c r="B1383" s="293"/>
      <c r="C1383" s="348"/>
      <c r="D1383" s="290">
        <v>456</v>
      </c>
      <c r="E1383" s="291" t="s">
        <v>8</v>
      </c>
      <c r="F1383" s="675">
        <v>0</v>
      </c>
      <c r="G1383" s="405"/>
      <c r="H1383" s="871"/>
      <c r="I1383" s="406"/>
      <c r="J1383" s="349" t="s">
        <v>1101</v>
      </c>
      <c r="K1383" s="350"/>
      <c r="L1383" s="876">
        <v>1</v>
      </c>
      <c r="M1383" s="299">
        <v>10</v>
      </c>
      <c r="N1383" s="876">
        <f t="shared" si="139"/>
        <v>10</v>
      </c>
      <c r="O1383" s="351"/>
      <c r="P1383" s="882"/>
      <c r="Q1383" s="880"/>
      <c r="R1383" s="898"/>
      <c r="S1383" s="738">
        <f t="shared" si="140"/>
        <v>370</v>
      </c>
      <c r="T1383" s="738" t="str">
        <f t="shared" si="141"/>
        <v>M2</v>
      </c>
      <c r="U1383" s="738"/>
      <c r="W1383" s="288"/>
      <c r="X1383" s="288"/>
      <c r="Y1383" s="288"/>
      <c r="Z1383" s="288"/>
      <c r="AA1383" s="288"/>
    </row>
    <row r="1384" spans="1:27" x14ac:dyDescent="0.2">
      <c r="A1384" s="294"/>
      <c r="B1384" s="293"/>
      <c r="C1384" s="348"/>
      <c r="D1384" s="290">
        <v>482</v>
      </c>
      <c r="E1384" s="291" t="s">
        <v>8</v>
      </c>
      <c r="F1384" s="675">
        <v>0</v>
      </c>
      <c r="G1384" s="405"/>
      <c r="H1384" s="871"/>
      <c r="I1384" s="406"/>
      <c r="J1384" s="349" t="s">
        <v>1102</v>
      </c>
      <c r="K1384" s="350"/>
      <c r="L1384" s="876">
        <v>1</v>
      </c>
      <c r="M1384" s="299">
        <v>10</v>
      </c>
      <c r="N1384" s="876">
        <f t="shared" si="139"/>
        <v>10</v>
      </c>
      <c r="O1384" s="351"/>
      <c r="P1384" s="882"/>
      <c r="Q1384" s="880"/>
      <c r="R1384" s="898"/>
      <c r="S1384" s="738">
        <f t="shared" si="140"/>
        <v>370</v>
      </c>
      <c r="T1384" s="738" t="str">
        <f t="shared" si="141"/>
        <v>M2</v>
      </c>
      <c r="U1384" s="738"/>
      <c r="W1384" s="288"/>
      <c r="X1384" s="288"/>
      <c r="Y1384" s="288"/>
      <c r="Z1384" s="288"/>
      <c r="AA1384" s="288"/>
    </row>
    <row r="1385" spans="1:27" x14ac:dyDescent="0.2">
      <c r="A1385" s="294"/>
      <c r="B1385" s="293"/>
      <c r="C1385" s="348"/>
      <c r="D1385" s="290">
        <v>492</v>
      </c>
      <c r="E1385" s="291" t="s">
        <v>8</v>
      </c>
      <c r="F1385" s="675">
        <v>0</v>
      </c>
      <c r="G1385" s="405"/>
      <c r="H1385" s="871"/>
      <c r="I1385" s="406"/>
      <c r="J1385" s="349" t="s">
        <v>1101</v>
      </c>
      <c r="K1385" s="350"/>
      <c r="L1385" s="876">
        <v>1</v>
      </c>
      <c r="M1385" s="299">
        <v>10</v>
      </c>
      <c r="N1385" s="876">
        <f t="shared" si="139"/>
        <v>10</v>
      </c>
      <c r="O1385" s="351"/>
      <c r="P1385" s="882"/>
      <c r="Q1385" s="880"/>
      <c r="R1385" s="898"/>
      <c r="S1385" s="738">
        <f t="shared" si="140"/>
        <v>370</v>
      </c>
      <c r="T1385" s="738" t="str">
        <f t="shared" si="141"/>
        <v>M2</v>
      </c>
      <c r="U1385" s="738"/>
      <c r="W1385" s="288"/>
      <c r="X1385" s="288"/>
      <c r="Y1385" s="288"/>
      <c r="Z1385" s="288"/>
      <c r="AA1385" s="288"/>
    </row>
    <row r="1386" spans="1:27" x14ac:dyDescent="0.2">
      <c r="A1386" s="294"/>
      <c r="B1386" s="293"/>
      <c r="C1386" s="348"/>
      <c r="D1386" s="290">
        <v>519</v>
      </c>
      <c r="E1386" s="291" t="s">
        <v>8</v>
      </c>
      <c r="F1386" s="675">
        <v>0</v>
      </c>
      <c r="G1386" s="405"/>
      <c r="H1386" s="871"/>
      <c r="I1386" s="406"/>
      <c r="J1386" s="349" t="s">
        <v>1102</v>
      </c>
      <c r="K1386" s="350"/>
      <c r="L1386" s="876">
        <v>1</v>
      </c>
      <c r="M1386" s="299">
        <v>10</v>
      </c>
      <c r="N1386" s="876">
        <f t="shared" si="139"/>
        <v>10</v>
      </c>
      <c r="O1386" s="351"/>
      <c r="P1386" s="882"/>
      <c r="Q1386" s="880"/>
      <c r="R1386" s="898"/>
      <c r="S1386" s="738">
        <f t="shared" si="140"/>
        <v>370</v>
      </c>
      <c r="T1386" s="738" t="str">
        <f t="shared" si="141"/>
        <v>M2</v>
      </c>
      <c r="U1386" s="738"/>
      <c r="W1386" s="288"/>
      <c r="X1386" s="288"/>
      <c r="Y1386" s="288"/>
      <c r="Z1386" s="288"/>
      <c r="AA1386" s="288"/>
    </row>
    <row r="1387" spans="1:27" x14ac:dyDescent="0.2">
      <c r="A1387" s="294"/>
      <c r="B1387" s="293"/>
      <c r="C1387" s="348"/>
      <c r="D1387" s="290">
        <v>525</v>
      </c>
      <c r="E1387" s="291" t="s">
        <v>8</v>
      </c>
      <c r="F1387" s="675">
        <v>0</v>
      </c>
      <c r="G1387" s="405"/>
      <c r="H1387" s="871"/>
      <c r="I1387" s="406"/>
      <c r="J1387" s="349" t="s">
        <v>1101</v>
      </c>
      <c r="K1387" s="350"/>
      <c r="L1387" s="876">
        <v>1</v>
      </c>
      <c r="M1387" s="299">
        <v>10</v>
      </c>
      <c r="N1387" s="876">
        <f t="shared" si="139"/>
        <v>10</v>
      </c>
      <c r="O1387" s="351"/>
      <c r="P1387" s="882"/>
      <c r="Q1387" s="880"/>
      <c r="R1387" s="898"/>
      <c r="S1387" s="738">
        <f t="shared" si="140"/>
        <v>370</v>
      </c>
      <c r="T1387" s="738" t="str">
        <f t="shared" si="141"/>
        <v>M2</v>
      </c>
      <c r="U1387" s="738"/>
      <c r="W1387" s="288"/>
      <c r="X1387" s="288"/>
      <c r="Y1387" s="288"/>
      <c r="Z1387" s="288"/>
      <c r="AA1387" s="288"/>
    </row>
    <row r="1388" spans="1:27" x14ac:dyDescent="0.2">
      <c r="A1388" s="294"/>
      <c r="B1388" s="293"/>
      <c r="C1388" s="348"/>
      <c r="D1388" s="290">
        <v>553</v>
      </c>
      <c r="E1388" s="291" t="s">
        <v>8</v>
      </c>
      <c r="F1388" s="675">
        <v>0</v>
      </c>
      <c r="G1388" s="405"/>
      <c r="H1388" s="871"/>
      <c r="I1388" s="406"/>
      <c r="J1388" s="349" t="s">
        <v>1102</v>
      </c>
      <c r="K1388" s="350"/>
      <c r="L1388" s="876">
        <v>1</v>
      </c>
      <c r="M1388" s="299">
        <v>10</v>
      </c>
      <c r="N1388" s="876">
        <f t="shared" si="139"/>
        <v>10</v>
      </c>
      <c r="O1388" s="351"/>
      <c r="P1388" s="882"/>
      <c r="Q1388" s="880"/>
      <c r="R1388" s="898"/>
      <c r="S1388" s="738">
        <f t="shared" si="140"/>
        <v>370</v>
      </c>
      <c r="T1388" s="738" t="str">
        <f t="shared" si="141"/>
        <v>M2</v>
      </c>
      <c r="U1388" s="738"/>
      <c r="W1388" s="288"/>
      <c r="X1388" s="288"/>
      <c r="Y1388" s="288"/>
      <c r="Z1388" s="288"/>
      <c r="AA1388" s="288"/>
    </row>
    <row r="1389" spans="1:27" x14ac:dyDescent="0.2">
      <c r="A1389" s="294"/>
      <c r="B1389" s="293"/>
      <c r="C1389" s="348"/>
      <c r="D1389" s="290">
        <v>557</v>
      </c>
      <c r="E1389" s="291" t="s">
        <v>8</v>
      </c>
      <c r="F1389" s="675">
        <v>0</v>
      </c>
      <c r="G1389" s="405"/>
      <c r="H1389" s="871"/>
      <c r="I1389" s="406"/>
      <c r="J1389" s="349" t="s">
        <v>1101</v>
      </c>
      <c r="K1389" s="350"/>
      <c r="L1389" s="876">
        <v>1</v>
      </c>
      <c r="M1389" s="299">
        <v>10</v>
      </c>
      <c r="N1389" s="876">
        <f t="shared" si="139"/>
        <v>10</v>
      </c>
      <c r="O1389" s="351"/>
      <c r="P1389" s="882"/>
      <c r="Q1389" s="880"/>
      <c r="R1389" s="898"/>
      <c r="S1389" s="738">
        <f t="shared" si="140"/>
        <v>370</v>
      </c>
      <c r="T1389" s="738" t="str">
        <f t="shared" si="141"/>
        <v>M2</v>
      </c>
      <c r="U1389" s="738"/>
      <c r="W1389" s="288"/>
      <c r="X1389" s="288"/>
      <c r="Y1389" s="288"/>
      <c r="Z1389" s="288"/>
      <c r="AA1389" s="288"/>
    </row>
    <row r="1390" spans="1:27" x14ac:dyDescent="0.2">
      <c r="A1390" s="895"/>
      <c r="B1390" s="346"/>
      <c r="C1390" s="744" t="s">
        <v>1553</v>
      </c>
      <c r="D1390" s="870"/>
      <c r="E1390" s="871"/>
      <c r="F1390" s="872"/>
      <c r="G1390" s="870"/>
      <c r="H1390" s="871"/>
      <c r="I1390" s="871"/>
      <c r="J1390" s="349"/>
      <c r="K1390" s="884"/>
      <c r="L1390" s="885"/>
      <c r="M1390" s="885"/>
      <c r="N1390" s="876"/>
      <c r="O1390" s="351"/>
      <c r="P1390" s="880"/>
      <c r="Q1390" s="880"/>
      <c r="R1390" s="902"/>
      <c r="S1390" s="738">
        <f>VLOOKUP("Total",C1391:O3072,12,FALSE)</f>
        <v>370</v>
      </c>
      <c r="T1390" s="738" t="str">
        <f>VLOOKUP("Total",C1391:O3072,13,FALSE)</f>
        <v>M2</v>
      </c>
      <c r="U1390" s="738"/>
      <c r="W1390" s="288"/>
      <c r="X1390" s="288"/>
      <c r="Y1390" s="288"/>
      <c r="Z1390" s="288"/>
      <c r="AA1390" s="288"/>
    </row>
    <row r="1391" spans="1:27" x14ac:dyDescent="0.2">
      <c r="A1391" s="294"/>
      <c r="B1391" s="293"/>
      <c r="C1391" s="348"/>
      <c r="D1391" s="290">
        <v>15</v>
      </c>
      <c r="E1391" s="291" t="s">
        <v>8</v>
      </c>
      <c r="F1391" s="675">
        <v>15</v>
      </c>
      <c r="G1391" s="405"/>
      <c r="H1391" s="871"/>
      <c r="I1391" s="406"/>
      <c r="J1391" s="349" t="s">
        <v>1556</v>
      </c>
      <c r="K1391" s="350"/>
      <c r="L1391" s="876">
        <v>1</v>
      </c>
      <c r="M1391" s="299">
        <v>10</v>
      </c>
      <c r="N1391" s="876">
        <f>+M1391*L1391</f>
        <v>10</v>
      </c>
      <c r="O1391" s="351"/>
      <c r="P1391" s="882"/>
      <c r="Q1391" s="880"/>
      <c r="R1391" s="898"/>
      <c r="S1391" s="738">
        <f>VLOOKUP("Total",C1392:O3073,12,FALSE)</f>
        <v>370</v>
      </c>
      <c r="T1391" s="738" t="str">
        <f>VLOOKUP("Total",C1392:O3073,13,FALSE)</f>
        <v>M2</v>
      </c>
      <c r="U1391" s="738"/>
      <c r="W1391" s="288"/>
      <c r="X1391" s="288"/>
      <c r="Y1391" s="288"/>
      <c r="Z1391" s="288"/>
      <c r="AA1391" s="288"/>
    </row>
    <row r="1392" spans="1:27" x14ac:dyDescent="0.2">
      <c r="A1392" s="294"/>
      <c r="B1392" s="293"/>
      <c r="C1392" s="348"/>
      <c r="D1392" s="290">
        <v>16</v>
      </c>
      <c r="E1392" s="291" t="s">
        <v>8</v>
      </c>
      <c r="F1392" s="675">
        <v>5</v>
      </c>
      <c r="G1392" s="405"/>
      <c r="H1392" s="871"/>
      <c r="I1392" s="406"/>
      <c r="J1392" s="349" t="s">
        <v>1564</v>
      </c>
      <c r="K1392" s="350"/>
      <c r="L1392" s="876">
        <v>1</v>
      </c>
      <c r="M1392" s="299">
        <v>10</v>
      </c>
      <c r="N1392" s="876">
        <f t="shared" ref="N1392:N1400" si="142">+M1392*L1392</f>
        <v>10</v>
      </c>
      <c r="O1392" s="351"/>
      <c r="P1392" s="882"/>
      <c r="Q1392" s="880"/>
      <c r="R1392" s="898"/>
      <c r="S1392" s="738">
        <f>VLOOKUP("Total",C1393:O3074,12,FALSE)</f>
        <v>370</v>
      </c>
      <c r="T1392" s="738" t="str">
        <f>VLOOKUP("Total",C1393:O3074,13,FALSE)</f>
        <v>M2</v>
      </c>
      <c r="U1392" s="738"/>
      <c r="W1392" s="288"/>
      <c r="X1392" s="288"/>
      <c r="Y1392" s="288"/>
      <c r="Z1392" s="288"/>
      <c r="AA1392" s="288"/>
    </row>
    <row r="1393" spans="1:27" x14ac:dyDescent="0.2">
      <c r="A1393" s="294"/>
      <c r="B1393" s="293"/>
      <c r="C1393" s="348"/>
      <c r="D1393" s="290">
        <v>26</v>
      </c>
      <c r="E1393" s="291" t="s">
        <v>8</v>
      </c>
      <c r="F1393" s="675">
        <v>15</v>
      </c>
      <c r="G1393" s="405"/>
      <c r="H1393" s="871"/>
      <c r="I1393" s="406"/>
      <c r="J1393" s="349" t="s">
        <v>1556</v>
      </c>
      <c r="K1393" s="350"/>
      <c r="L1393" s="876">
        <v>1</v>
      </c>
      <c r="M1393" s="299">
        <v>10</v>
      </c>
      <c r="N1393" s="876">
        <f t="shared" si="142"/>
        <v>10</v>
      </c>
      <c r="O1393" s="351"/>
      <c r="P1393" s="882"/>
      <c r="Q1393" s="880"/>
      <c r="R1393" s="898"/>
      <c r="S1393" s="738">
        <f>VLOOKUP("Total",C1394:O3075,12,FALSE)</f>
        <v>370</v>
      </c>
      <c r="T1393" s="738" t="str">
        <f>VLOOKUP("Total",C1394:O3075,13,FALSE)</f>
        <v>M2</v>
      </c>
      <c r="U1393" s="738"/>
      <c r="W1393" s="288"/>
      <c r="X1393" s="288"/>
      <c r="Y1393" s="288"/>
      <c r="Z1393" s="288"/>
      <c r="AA1393" s="288"/>
    </row>
    <row r="1394" spans="1:27" x14ac:dyDescent="0.2">
      <c r="A1394" s="294"/>
      <c r="B1394" s="293"/>
      <c r="C1394" s="348"/>
      <c r="D1394" s="290">
        <v>29</v>
      </c>
      <c r="E1394" s="291" t="s">
        <v>8</v>
      </c>
      <c r="F1394" s="675">
        <v>5</v>
      </c>
      <c r="G1394" s="405"/>
      <c r="H1394" s="871"/>
      <c r="I1394" s="406"/>
      <c r="J1394" s="349" t="s">
        <v>1564</v>
      </c>
      <c r="K1394" s="350"/>
      <c r="L1394" s="876">
        <v>1</v>
      </c>
      <c r="M1394" s="299">
        <v>10</v>
      </c>
      <c r="N1394" s="876">
        <f t="shared" si="142"/>
        <v>10</v>
      </c>
      <c r="O1394" s="351"/>
      <c r="P1394" s="882"/>
      <c r="Q1394" s="880"/>
      <c r="R1394" s="898"/>
      <c r="S1394" s="738">
        <f>VLOOKUP("Total",C1395:O3076,12,FALSE)</f>
        <v>370</v>
      </c>
      <c r="T1394" s="738" t="str">
        <f>VLOOKUP("Total",C1395:O3076,13,FALSE)</f>
        <v>M2</v>
      </c>
      <c r="U1394" s="738"/>
      <c r="W1394" s="288"/>
      <c r="X1394" s="288"/>
      <c r="Y1394" s="288"/>
      <c r="Z1394" s="288"/>
      <c r="AA1394" s="288"/>
    </row>
    <row r="1395" spans="1:27" x14ac:dyDescent="0.2">
      <c r="A1395" s="294"/>
      <c r="B1395" s="293"/>
      <c r="C1395" s="348"/>
      <c r="D1395" s="290">
        <v>60</v>
      </c>
      <c r="E1395" s="291" t="s">
        <v>8</v>
      </c>
      <c r="F1395" s="675">
        <v>5</v>
      </c>
      <c r="G1395" s="405"/>
      <c r="H1395" s="871"/>
      <c r="I1395" s="406"/>
      <c r="J1395" s="349" t="s">
        <v>1556</v>
      </c>
      <c r="K1395" s="350"/>
      <c r="L1395" s="876">
        <v>1</v>
      </c>
      <c r="M1395" s="299">
        <v>10</v>
      </c>
      <c r="N1395" s="876">
        <f t="shared" si="142"/>
        <v>10</v>
      </c>
      <c r="O1395" s="351"/>
      <c r="P1395" s="882"/>
      <c r="Q1395" s="880"/>
      <c r="R1395" s="898"/>
      <c r="S1395" s="738">
        <f t="shared" ref="S1395:S1458" si="143">VLOOKUP("Total",C1396:O3056,12,FALSE)</f>
        <v>370</v>
      </c>
      <c r="T1395" s="738" t="str">
        <f t="shared" ref="T1395:T1458" si="144">VLOOKUP("Total",C1396:O3056,13,FALSE)</f>
        <v>M2</v>
      </c>
      <c r="U1395" s="738"/>
      <c r="W1395" s="288"/>
      <c r="X1395" s="288"/>
      <c r="Y1395" s="288"/>
      <c r="Z1395" s="288"/>
      <c r="AA1395" s="288"/>
    </row>
    <row r="1396" spans="1:27" x14ac:dyDescent="0.2">
      <c r="A1396" s="294"/>
      <c r="B1396" s="293"/>
      <c r="C1396" s="348"/>
      <c r="D1396" s="290">
        <v>60</v>
      </c>
      <c r="E1396" s="291" t="s">
        <v>8</v>
      </c>
      <c r="F1396" s="675">
        <v>15</v>
      </c>
      <c r="G1396" s="405"/>
      <c r="H1396" s="871"/>
      <c r="I1396" s="406"/>
      <c r="J1396" s="349" t="s">
        <v>1564</v>
      </c>
      <c r="K1396" s="350"/>
      <c r="L1396" s="876">
        <v>1</v>
      </c>
      <c r="M1396" s="299">
        <v>10</v>
      </c>
      <c r="N1396" s="876">
        <f t="shared" si="142"/>
        <v>10</v>
      </c>
      <c r="O1396" s="351"/>
      <c r="P1396" s="882"/>
      <c r="Q1396" s="880"/>
      <c r="R1396" s="898"/>
      <c r="S1396" s="738">
        <f t="shared" si="143"/>
        <v>370</v>
      </c>
      <c r="T1396" s="738" t="str">
        <f t="shared" si="144"/>
        <v>M2</v>
      </c>
      <c r="U1396" s="738"/>
      <c r="W1396" s="288"/>
      <c r="X1396" s="288"/>
      <c r="Y1396" s="288"/>
      <c r="Z1396" s="288"/>
      <c r="AA1396" s="288"/>
    </row>
    <row r="1397" spans="1:27" x14ac:dyDescent="0.2">
      <c r="A1397" s="294"/>
      <c r="B1397" s="293"/>
      <c r="C1397" s="348"/>
      <c r="D1397" s="290">
        <v>76</v>
      </c>
      <c r="E1397" s="291" t="s">
        <v>8</v>
      </c>
      <c r="F1397" s="675">
        <v>5</v>
      </c>
      <c r="G1397" s="405"/>
      <c r="H1397" s="871"/>
      <c r="I1397" s="406"/>
      <c r="J1397" s="349" t="s">
        <v>1556</v>
      </c>
      <c r="K1397" s="350"/>
      <c r="L1397" s="876">
        <v>1</v>
      </c>
      <c r="M1397" s="299">
        <v>10</v>
      </c>
      <c r="N1397" s="876">
        <f t="shared" si="142"/>
        <v>10</v>
      </c>
      <c r="O1397" s="351"/>
      <c r="P1397" s="882"/>
      <c r="Q1397" s="880"/>
      <c r="R1397" s="898"/>
      <c r="S1397" s="738">
        <f t="shared" si="143"/>
        <v>370</v>
      </c>
      <c r="T1397" s="738" t="str">
        <f t="shared" si="144"/>
        <v>M2</v>
      </c>
      <c r="U1397" s="738"/>
      <c r="W1397" s="288"/>
      <c r="X1397" s="288"/>
      <c r="Y1397" s="288"/>
      <c r="Z1397" s="288"/>
      <c r="AA1397" s="288"/>
    </row>
    <row r="1398" spans="1:27" x14ac:dyDescent="0.2">
      <c r="A1398" s="294"/>
      <c r="B1398" s="293"/>
      <c r="C1398" s="348"/>
      <c r="D1398" s="290">
        <v>77</v>
      </c>
      <c r="E1398" s="291" t="s">
        <v>8</v>
      </c>
      <c r="F1398" s="675">
        <v>15</v>
      </c>
      <c r="G1398" s="405"/>
      <c r="H1398" s="871"/>
      <c r="I1398" s="406"/>
      <c r="J1398" s="349" t="s">
        <v>1564</v>
      </c>
      <c r="K1398" s="350"/>
      <c r="L1398" s="876">
        <v>1</v>
      </c>
      <c r="M1398" s="299">
        <v>10</v>
      </c>
      <c r="N1398" s="876">
        <f t="shared" si="142"/>
        <v>10</v>
      </c>
      <c r="O1398" s="351"/>
      <c r="P1398" s="882"/>
      <c r="Q1398" s="880"/>
      <c r="R1398" s="898"/>
      <c r="S1398" s="738">
        <f t="shared" si="143"/>
        <v>370</v>
      </c>
      <c r="T1398" s="738" t="str">
        <f t="shared" si="144"/>
        <v>M2</v>
      </c>
      <c r="U1398" s="738"/>
      <c r="W1398" s="288"/>
      <c r="X1398" s="288"/>
      <c r="Y1398" s="288"/>
      <c r="Z1398" s="288"/>
      <c r="AA1398" s="288"/>
    </row>
    <row r="1399" spans="1:27" x14ac:dyDescent="0.2">
      <c r="A1399" s="294"/>
      <c r="B1399" s="293"/>
      <c r="C1399" s="348"/>
      <c r="D1399" s="290">
        <v>106</v>
      </c>
      <c r="E1399" s="291" t="s">
        <v>8</v>
      </c>
      <c r="F1399" s="675">
        <v>5</v>
      </c>
      <c r="G1399" s="405"/>
      <c r="H1399" s="871"/>
      <c r="I1399" s="406"/>
      <c r="J1399" s="349" t="s">
        <v>1556</v>
      </c>
      <c r="K1399" s="350"/>
      <c r="L1399" s="876">
        <v>1</v>
      </c>
      <c r="M1399" s="299">
        <v>10</v>
      </c>
      <c r="N1399" s="876">
        <f t="shared" si="142"/>
        <v>10</v>
      </c>
      <c r="O1399" s="351"/>
      <c r="P1399" s="882"/>
      <c r="Q1399" s="880"/>
      <c r="R1399" s="898"/>
      <c r="S1399" s="738">
        <f t="shared" si="143"/>
        <v>370</v>
      </c>
      <c r="T1399" s="738" t="str">
        <f t="shared" si="144"/>
        <v>M2</v>
      </c>
      <c r="U1399" s="738"/>
      <c r="W1399" s="288"/>
      <c r="X1399" s="288"/>
      <c r="Y1399" s="288"/>
      <c r="Z1399" s="288"/>
      <c r="AA1399" s="288"/>
    </row>
    <row r="1400" spans="1:27" x14ac:dyDescent="0.2">
      <c r="A1400" s="294"/>
      <c r="B1400" s="293"/>
      <c r="C1400" s="348"/>
      <c r="D1400" s="290">
        <v>109</v>
      </c>
      <c r="E1400" s="291" t="s">
        <v>8</v>
      </c>
      <c r="F1400" s="675">
        <v>15</v>
      </c>
      <c r="G1400" s="405"/>
      <c r="H1400" s="871"/>
      <c r="I1400" s="406"/>
      <c r="J1400" s="349" t="s">
        <v>1564</v>
      </c>
      <c r="K1400" s="350"/>
      <c r="L1400" s="876">
        <v>1</v>
      </c>
      <c r="M1400" s="299">
        <v>10</v>
      </c>
      <c r="N1400" s="876">
        <f t="shared" si="142"/>
        <v>10</v>
      </c>
      <c r="O1400" s="351"/>
      <c r="P1400" s="882"/>
      <c r="Q1400" s="880"/>
      <c r="R1400" s="898"/>
      <c r="S1400" s="738">
        <f t="shared" si="143"/>
        <v>370</v>
      </c>
      <c r="T1400" s="738" t="str">
        <f t="shared" si="144"/>
        <v>M2</v>
      </c>
      <c r="U1400" s="738"/>
      <c r="W1400" s="288"/>
      <c r="X1400" s="288"/>
      <c r="Y1400" s="288"/>
      <c r="Z1400" s="288"/>
      <c r="AA1400" s="288"/>
    </row>
    <row r="1401" spans="1:27" x14ac:dyDescent="0.2">
      <c r="A1401" s="899"/>
      <c r="B1401" s="353"/>
      <c r="C1401" s="354" t="s">
        <v>2</v>
      </c>
      <c r="D1401" s="355"/>
      <c r="E1401" s="352"/>
      <c r="F1401" s="356"/>
      <c r="G1401" s="355"/>
      <c r="H1401" s="356"/>
      <c r="I1401" s="356"/>
      <c r="J1401" s="353"/>
      <c r="K1401" s="357"/>
      <c r="L1401" s="358"/>
      <c r="M1401" s="359"/>
      <c r="N1401" s="360">
        <f>SUM(N1363:N1400)</f>
        <v>370</v>
      </c>
      <c r="O1401" s="361" t="str">
        <f>IF(MID(B1362,1,2)="LG",VLOOKUP(B1362,'Compos lug'!J:M,4,FALSE),IF(MID(B1362,1,1)="6",VLOOKUP(B1362,tranp.!$A$6:$K$38,3,FALSE),VLOOKUP(B1362,'DER 10-18'!$A$1:$I$1994,3,FALSE)))</f>
        <v>M2</v>
      </c>
      <c r="P1401" s="362"/>
      <c r="Q1401" s="362"/>
      <c r="R1401" s="900"/>
      <c r="S1401" s="738">
        <f t="shared" si="143"/>
        <v>4713.1400000000003</v>
      </c>
      <c r="T1401" s="738" t="str">
        <f t="shared" si="144"/>
        <v>M2</v>
      </c>
      <c r="U1401" s="738"/>
      <c r="W1401" s="288"/>
      <c r="X1401" s="288"/>
      <c r="Y1401" s="288"/>
      <c r="Z1401" s="288"/>
      <c r="AA1401" s="288"/>
    </row>
    <row r="1402" spans="1:27" x14ac:dyDescent="0.2">
      <c r="A1402" s="294"/>
      <c r="B1402" s="293"/>
      <c r="C1402" s="343"/>
      <c r="H1402" s="292"/>
      <c r="N1402" s="314"/>
      <c r="O1402" s="344"/>
      <c r="P1402" s="315"/>
      <c r="Q1402" s="315"/>
      <c r="R1402" s="903"/>
      <c r="S1402" s="738">
        <f t="shared" si="143"/>
        <v>4713.1400000000003</v>
      </c>
      <c r="T1402" s="738" t="str">
        <f t="shared" si="144"/>
        <v>M2</v>
      </c>
      <c r="U1402" s="738"/>
      <c r="W1402" s="288"/>
      <c r="X1402" s="288"/>
      <c r="Y1402" s="288"/>
      <c r="Z1402" s="288"/>
      <c r="AA1402" s="288"/>
    </row>
    <row r="1403" spans="1:27" x14ac:dyDescent="0.2">
      <c r="A1403" s="906">
        <v>6</v>
      </c>
      <c r="B1403" s="394"/>
      <c r="C1403" s="395" t="s">
        <v>1004</v>
      </c>
      <c r="D1403" s="396"/>
      <c r="E1403" s="397"/>
      <c r="F1403" s="398"/>
      <c r="G1403" s="396"/>
      <c r="H1403" s="397"/>
      <c r="I1403" s="398"/>
      <c r="J1403" s="399"/>
      <c r="K1403" s="400"/>
      <c r="L1403" s="401"/>
      <c r="M1403" s="402"/>
      <c r="N1403" s="401"/>
      <c r="O1403" s="399"/>
      <c r="P1403" s="403"/>
      <c r="Q1403" s="403"/>
      <c r="R1403" s="907"/>
      <c r="S1403" s="738">
        <f t="shared" si="143"/>
        <v>4713.1400000000003</v>
      </c>
      <c r="T1403" s="738" t="str">
        <f t="shared" si="144"/>
        <v>M2</v>
      </c>
      <c r="U1403" s="738"/>
    </row>
    <row r="1404" spans="1:27" x14ac:dyDescent="0.2">
      <c r="A1404" s="906" t="s">
        <v>154</v>
      </c>
      <c r="B1404" s="394"/>
      <c r="C1404" s="395" t="s">
        <v>1068</v>
      </c>
      <c r="D1404" s="396"/>
      <c r="E1404" s="397"/>
      <c r="F1404" s="398"/>
      <c r="G1404" s="396"/>
      <c r="H1404" s="397"/>
      <c r="I1404" s="398"/>
      <c r="J1404" s="399"/>
      <c r="K1404" s="400"/>
      <c r="L1404" s="401"/>
      <c r="M1404" s="402"/>
      <c r="N1404" s="401"/>
      <c r="O1404" s="399"/>
      <c r="P1404" s="403"/>
      <c r="Q1404" s="403"/>
      <c r="R1404" s="907"/>
      <c r="S1404" s="738">
        <f t="shared" si="143"/>
        <v>4713.1400000000003</v>
      </c>
      <c r="T1404" s="738" t="str">
        <f t="shared" si="144"/>
        <v>M2</v>
      </c>
      <c r="U1404" s="738"/>
    </row>
    <row r="1405" spans="1:27" ht="25.5" x14ac:dyDescent="0.2">
      <c r="A1405" s="895" t="s">
        <v>286</v>
      </c>
      <c r="B1405" s="346">
        <v>40925</v>
      </c>
      <c r="C1405" s="347" t="str">
        <f>IF(MID(B1405,1,2)="LG",VLOOKUP(B1405,'Compos lug'!J:M,3,FALSE),IF(MID(B1405,1,1)="6",VLOOKUP(B1405,tranp.!$A$4:$K$19,11,FALSE)&amp;" -  XP="&amp;TEXT(#REF!,"0.000")&amp;" / XR="&amp;TEXT(#REF!,"0.000"),VLOOKUP(B1405,'DER 10-18'!$A$1:$I$1981,2,FALSE)))</f>
        <v>Sinalização horizontal TMD=400, vida útil 2 a 3 anos, taxa=0,60 L/m²</v>
      </c>
      <c r="D1405" s="1059" t="s">
        <v>1000</v>
      </c>
      <c r="E1405" s="1060"/>
      <c r="F1405" s="1061"/>
      <c r="G1405" s="1059" t="s">
        <v>1001</v>
      </c>
      <c r="H1405" s="1060"/>
      <c r="I1405" s="1061"/>
      <c r="J1405" s="349" t="s">
        <v>989</v>
      </c>
      <c r="K1405" s="876" t="s">
        <v>998</v>
      </c>
      <c r="L1405" s="876" t="s">
        <v>994</v>
      </c>
      <c r="M1405" s="885" t="s">
        <v>1460</v>
      </c>
      <c r="N1405" s="876" t="str">
        <f>CONCATENATE("Total (",IF(MID(B1405,1,2)="LG",VLOOKUP(B1405,'Compos lug'!J:M,4,FALSE),IF(MID(B1405,1,1)="6","t",VLOOKUP(B1405,'DER 10-18'!$A$1:$I$1981,3,FALSE))),")")</f>
        <v>Total (M2)</v>
      </c>
      <c r="O1405" s="351"/>
      <c r="P1405" s="1062" t="s">
        <v>1002</v>
      </c>
      <c r="Q1405" s="1063"/>
      <c r="R1405" s="902"/>
      <c r="S1405" s="738">
        <f t="shared" si="143"/>
        <v>4713.1400000000003</v>
      </c>
      <c r="T1405" s="738" t="str">
        <f t="shared" si="144"/>
        <v>M2</v>
      </c>
      <c r="U1405" s="738"/>
    </row>
    <row r="1406" spans="1:27" x14ac:dyDescent="0.2">
      <c r="A1406" s="294"/>
      <c r="B1406" s="293"/>
      <c r="C1406" s="744" t="s">
        <v>1552</v>
      </c>
      <c r="N1406" s="876"/>
      <c r="R1406" s="912"/>
      <c r="S1406" s="738">
        <f t="shared" si="143"/>
        <v>4713.1400000000003</v>
      </c>
      <c r="T1406" s="738" t="str">
        <f t="shared" si="144"/>
        <v>M2</v>
      </c>
    </row>
    <row r="1407" spans="1:27" x14ac:dyDescent="0.2">
      <c r="A1407" s="895"/>
      <c r="B1407" s="390"/>
      <c r="C1407" s="578" t="s">
        <v>1450</v>
      </c>
      <c r="D1407" s="870">
        <v>0</v>
      </c>
      <c r="E1407" s="871" t="s">
        <v>8</v>
      </c>
      <c r="F1407" s="668">
        <v>0</v>
      </c>
      <c r="G1407" s="870">
        <v>561</v>
      </c>
      <c r="H1407" s="871" t="s">
        <v>8</v>
      </c>
      <c r="I1407" s="668">
        <v>12.45</v>
      </c>
      <c r="J1407" s="349"/>
      <c r="K1407" s="884">
        <v>11232.45</v>
      </c>
      <c r="L1407" s="876">
        <v>0.1</v>
      </c>
      <c r="M1407" s="426"/>
      <c r="N1407" s="876">
        <v>1123.25</v>
      </c>
      <c r="O1407" s="351"/>
      <c r="P1407" s="1056"/>
      <c r="Q1407" s="1057"/>
      <c r="R1407" s="1058"/>
      <c r="S1407" s="738">
        <f t="shared" si="143"/>
        <v>4713.1400000000003</v>
      </c>
      <c r="T1407" s="738" t="str">
        <f t="shared" si="144"/>
        <v>M2</v>
      </c>
      <c r="U1407" s="738"/>
    </row>
    <row r="1408" spans="1:27" x14ac:dyDescent="0.2">
      <c r="A1408" s="895"/>
      <c r="B1408" s="390"/>
      <c r="C1408" s="578" t="s">
        <v>1451</v>
      </c>
      <c r="D1408" s="870">
        <v>0</v>
      </c>
      <c r="E1408" s="871" t="s">
        <v>8</v>
      </c>
      <c r="F1408" s="668">
        <v>0</v>
      </c>
      <c r="G1408" s="870">
        <v>561</v>
      </c>
      <c r="H1408" s="871" t="s">
        <v>8</v>
      </c>
      <c r="I1408" s="668">
        <v>12.45</v>
      </c>
      <c r="J1408" s="349"/>
      <c r="K1408" s="884">
        <v>11232.45</v>
      </c>
      <c r="L1408" s="876">
        <v>0.1</v>
      </c>
      <c r="M1408" s="426"/>
      <c r="N1408" s="876">
        <v>1123.25</v>
      </c>
      <c r="O1408" s="351"/>
      <c r="P1408" s="1056"/>
      <c r="Q1408" s="1057"/>
      <c r="R1408" s="1058"/>
      <c r="S1408" s="738">
        <f t="shared" si="143"/>
        <v>4713.1400000000003</v>
      </c>
      <c r="T1408" s="738" t="str">
        <f t="shared" si="144"/>
        <v>M2</v>
      </c>
      <c r="U1408" s="738"/>
    </row>
    <row r="1409" spans="1:21" x14ac:dyDescent="0.2">
      <c r="A1409" s="895"/>
      <c r="B1409" s="390"/>
      <c r="C1409" s="578" t="s">
        <v>1303</v>
      </c>
      <c r="D1409" s="870">
        <v>0</v>
      </c>
      <c r="E1409" s="871" t="s">
        <v>8</v>
      </c>
      <c r="F1409" s="668">
        <v>0</v>
      </c>
      <c r="G1409" s="870">
        <v>12</v>
      </c>
      <c r="H1409" s="871" t="s">
        <v>8</v>
      </c>
      <c r="I1409" s="668">
        <v>0</v>
      </c>
      <c r="J1409" s="349"/>
      <c r="K1409" s="884">
        <v>240</v>
      </c>
      <c r="L1409" s="876">
        <v>0.1</v>
      </c>
      <c r="M1409" s="768" t="s">
        <v>1461</v>
      </c>
      <c r="N1409" s="876">
        <v>8</v>
      </c>
      <c r="O1409" s="351"/>
      <c r="P1409" s="1056"/>
      <c r="Q1409" s="1057"/>
      <c r="R1409" s="1058"/>
      <c r="S1409" s="738">
        <f t="shared" si="143"/>
        <v>4713.1400000000003</v>
      </c>
      <c r="T1409" s="738" t="str">
        <f t="shared" si="144"/>
        <v>M2</v>
      </c>
      <c r="U1409" s="738"/>
    </row>
    <row r="1410" spans="1:21" x14ac:dyDescent="0.2">
      <c r="A1410" s="895"/>
      <c r="B1410" s="390"/>
      <c r="C1410" s="578" t="s">
        <v>1275</v>
      </c>
      <c r="D1410" s="870">
        <v>12</v>
      </c>
      <c r="E1410" s="871" t="s">
        <v>8</v>
      </c>
      <c r="F1410" s="668">
        <v>0</v>
      </c>
      <c r="G1410" s="870">
        <v>26</v>
      </c>
      <c r="H1410" s="871" t="s">
        <v>8</v>
      </c>
      <c r="I1410" s="668">
        <v>0</v>
      </c>
      <c r="J1410" s="349"/>
      <c r="K1410" s="884">
        <v>280</v>
      </c>
      <c r="L1410" s="876">
        <v>0.1</v>
      </c>
      <c r="M1410" s="426"/>
      <c r="N1410" s="876">
        <v>56</v>
      </c>
      <c r="O1410" s="351"/>
      <c r="P1410" s="1056"/>
      <c r="Q1410" s="1057"/>
      <c r="R1410" s="1058"/>
      <c r="S1410" s="738">
        <f t="shared" si="143"/>
        <v>4713.1400000000003</v>
      </c>
      <c r="T1410" s="738" t="str">
        <f t="shared" si="144"/>
        <v>M2</v>
      </c>
      <c r="U1410" s="738"/>
    </row>
    <row r="1411" spans="1:21" x14ac:dyDescent="0.2">
      <c r="A1411" s="895"/>
      <c r="B1411" s="390"/>
      <c r="C1411" s="578" t="s">
        <v>1452</v>
      </c>
      <c r="D1411" s="870">
        <v>24</v>
      </c>
      <c r="E1411" s="871" t="s">
        <v>8</v>
      </c>
      <c r="F1411" s="668">
        <v>10</v>
      </c>
      <c r="G1411" s="870">
        <v>25</v>
      </c>
      <c r="H1411" s="871" t="s">
        <v>8</v>
      </c>
      <c r="I1411" s="668">
        <v>10</v>
      </c>
      <c r="J1411" s="349"/>
      <c r="K1411" s="884">
        <v>20</v>
      </c>
      <c r="L1411" s="876">
        <v>0.1</v>
      </c>
      <c r="M1411" s="426" t="s">
        <v>1465</v>
      </c>
      <c r="N1411" s="876">
        <v>1</v>
      </c>
      <c r="O1411" s="351"/>
      <c r="P1411" s="1056"/>
      <c r="Q1411" s="1057"/>
      <c r="R1411" s="1058"/>
      <c r="S1411" s="738">
        <f t="shared" si="143"/>
        <v>4713.1400000000003</v>
      </c>
      <c r="T1411" s="738" t="str">
        <f t="shared" si="144"/>
        <v>M2</v>
      </c>
      <c r="U1411" s="738"/>
    </row>
    <row r="1412" spans="1:21" x14ac:dyDescent="0.2">
      <c r="A1412" s="895"/>
      <c r="B1412" s="390"/>
      <c r="C1412" s="578" t="s">
        <v>1305</v>
      </c>
      <c r="D1412" s="870">
        <v>26</v>
      </c>
      <c r="E1412" s="871" t="s">
        <v>8</v>
      </c>
      <c r="F1412" s="668">
        <v>0</v>
      </c>
      <c r="G1412" s="870">
        <v>37</v>
      </c>
      <c r="H1412" s="871" t="s">
        <v>8</v>
      </c>
      <c r="I1412" s="668">
        <v>0</v>
      </c>
      <c r="J1412" s="349"/>
      <c r="K1412" s="884">
        <v>220</v>
      </c>
      <c r="L1412" s="876">
        <v>0.1</v>
      </c>
      <c r="M1412" s="426"/>
      <c r="N1412" s="876">
        <v>29.33</v>
      </c>
      <c r="O1412" s="351"/>
      <c r="P1412" s="1056"/>
      <c r="Q1412" s="1057"/>
      <c r="R1412" s="1058"/>
      <c r="S1412" s="738">
        <f t="shared" si="143"/>
        <v>4713.1400000000003</v>
      </c>
      <c r="T1412" s="738" t="str">
        <f t="shared" si="144"/>
        <v>M2</v>
      </c>
      <c r="U1412" s="738"/>
    </row>
    <row r="1413" spans="1:21" x14ac:dyDescent="0.2">
      <c r="A1413" s="895"/>
      <c r="B1413" s="390"/>
      <c r="C1413" s="578" t="s">
        <v>1455</v>
      </c>
      <c r="D1413" s="870">
        <v>36</v>
      </c>
      <c r="E1413" s="871" t="s">
        <v>8</v>
      </c>
      <c r="F1413" s="668">
        <v>0</v>
      </c>
      <c r="G1413" s="870">
        <v>40</v>
      </c>
      <c r="H1413" s="871" t="s">
        <v>8</v>
      </c>
      <c r="I1413" s="668">
        <v>0</v>
      </c>
      <c r="J1413" s="349"/>
      <c r="K1413" s="884">
        <v>82</v>
      </c>
      <c r="L1413" s="876">
        <v>0.1</v>
      </c>
      <c r="M1413" s="426"/>
      <c r="N1413" s="876">
        <v>8.1999999999999993</v>
      </c>
      <c r="O1413" s="351"/>
      <c r="P1413" s="1056"/>
      <c r="Q1413" s="1057"/>
      <c r="R1413" s="1058"/>
      <c r="S1413" s="738">
        <f t="shared" si="143"/>
        <v>4713.1400000000003</v>
      </c>
      <c r="T1413" s="738" t="str">
        <f t="shared" si="144"/>
        <v>M2</v>
      </c>
      <c r="U1413" s="738"/>
    </row>
    <row r="1414" spans="1:21" x14ac:dyDescent="0.2">
      <c r="A1414" s="895"/>
      <c r="B1414" s="390"/>
      <c r="C1414" s="578" t="s">
        <v>1454</v>
      </c>
      <c r="D1414" s="870">
        <v>36</v>
      </c>
      <c r="E1414" s="871" t="s">
        <v>8</v>
      </c>
      <c r="F1414" s="668">
        <v>0</v>
      </c>
      <c r="G1414" s="870">
        <v>40</v>
      </c>
      <c r="H1414" s="871" t="s">
        <v>8</v>
      </c>
      <c r="I1414" s="668">
        <v>0</v>
      </c>
      <c r="J1414" s="349"/>
      <c r="K1414" s="884">
        <v>80</v>
      </c>
      <c r="L1414" s="876">
        <v>0.1</v>
      </c>
      <c r="M1414" s="426" t="s">
        <v>1465</v>
      </c>
      <c r="N1414" s="876">
        <v>4</v>
      </c>
      <c r="O1414" s="351"/>
      <c r="P1414" s="1056"/>
      <c r="Q1414" s="1057"/>
      <c r="R1414" s="1058"/>
      <c r="S1414" s="738">
        <f t="shared" si="143"/>
        <v>4713.1400000000003</v>
      </c>
      <c r="T1414" s="738" t="str">
        <f t="shared" si="144"/>
        <v>M2</v>
      </c>
      <c r="U1414" s="738"/>
    </row>
    <row r="1415" spans="1:21" x14ac:dyDescent="0.2">
      <c r="A1415" s="895"/>
      <c r="B1415" s="390"/>
      <c r="C1415" s="578" t="s">
        <v>1275</v>
      </c>
      <c r="D1415" s="870">
        <v>37</v>
      </c>
      <c r="E1415" s="871" t="s">
        <v>8</v>
      </c>
      <c r="F1415" s="668">
        <v>0</v>
      </c>
      <c r="G1415" s="870">
        <v>54</v>
      </c>
      <c r="H1415" s="871" t="s">
        <v>8</v>
      </c>
      <c r="I1415" s="668">
        <v>0</v>
      </c>
      <c r="J1415" s="349"/>
      <c r="K1415" s="884">
        <v>340</v>
      </c>
      <c r="L1415" s="876">
        <v>0.1</v>
      </c>
      <c r="M1415" s="426"/>
      <c r="N1415" s="876">
        <v>68</v>
      </c>
      <c r="O1415" s="351"/>
      <c r="P1415" s="1056"/>
      <c r="Q1415" s="1057"/>
      <c r="R1415" s="1058"/>
      <c r="S1415" s="738">
        <f t="shared" si="143"/>
        <v>4713.1400000000003</v>
      </c>
      <c r="T1415" s="738" t="str">
        <f t="shared" si="144"/>
        <v>M2</v>
      </c>
      <c r="U1415" s="738"/>
    </row>
    <row r="1416" spans="1:21" x14ac:dyDescent="0.2">
      <c r="A1416" s="895"/>
      <c r="B1416" s="390"/>
      <c r="C1416" s="578" t="s">
        <v>1455</v>
      </c>
      <c r="D1416" s="870">
        <v>40</v>
      </c>
      <c r="E1416" s="871" t="s">
        <v>8</v>
      </c>
      <c r="F1416" s="668">
        <v>0</v>
      </c>
      <c r="G1416" s="870">
        <v>44</v>
      </c>
      <c r="H1416" s="871" t="s">
        <v>8</v>
      </c>
      <c r="I1416" s="668">
        <v>0</v>
      </c>
      <c r="J1416" s="349"/>
      <c r="K1416" s="884">
        <v>82</v>
      </c>
      <c r="L1416" s="876">
        <v>0.1</v>
      </c>
      <c r="M1416" s="426"/>
      <c r="N1416" s="876">
        <v>8.1999999999999993</v>
      </c>
      <c r="O1416" s="351"/>
      <c r="P1416" s="1056"/>
      <c r="Q1416" s="1057"/>
      <c r="R1416" s="1058"/>
      <c r="S1416" s="738">
        <f t="shared" si="143"/>
        <v>4713.1400000000003</v>
      </c>
      <c r="T1416" s="738" t="str">
        <f t="shared" si="144"/>
        <v>M2</v>
      </c>
      <c r="U1416" s="738"/>
    </row>
    <row r="1417" spans="1:21" x14ac:dyDescent="0.2">
      <c r="A1417" s="895"/>
      <c r="B1417" s="390"/>
      <c r="C1417" s="578" t="s">
        <v>1456</v>
      </c>
      <c r="D1417" s="870">
        <v>40</v>
      </c>
      <c r="E1417" s="871" t="s">
        <v>8</v>
      </c>
      <c r="F1417" s="668">
        <v>0</v>
      </c>
      <c r="G1417" s="870">
        <v>44</v>
      </c>
      <c r="H1417" s="871" t="s">
        <v>8</v>
      </c>
      <c r="I1417" s="668">
        <v>0</v>
      </c>
      <c r="J1417" s="349"/>
      <c r="K1417" s="884">
        <v>80</v>
      </c>
      <c r="L1417" s="876">
        <v>0.1</v>
      </c>
      <c r="M1417" s="426" t="s">
        <v>1465</v>
      </c>
      <c r="N1417" s="876">
        <v>4</v>
      </c>
      <c r="O1417" s="351"/>
      <c r="P1417" s="1056"/>
      <c r="Q1417" s="1057"/>
      <c r="R1417" s="1058"/>
      <c r="S1417" s="738">
        <f t="shared" si="143"/>
        <v>4713.1400000000003</v>
      </c>
      <c r="T1417" s="738" t="str">
        <f t="shared" si="144"/>
        <v>M2</v>
      </c>
      <c r="U1417" s="738"/>
    </row>
    <row r="1418" spans="1:21" ht="24.75" customHeight="1" x14ac:dyDescent="0.2">
      <c r="A1418" s="895"/>
      <c r="B1418" s="390"/>
      <c r="C1418" s="578" t="s">
        <v>1462</v>
      </c>
      <c r="D1418" s="870">
        <v>56</v>
      </c>
      <c r="E1418" s="871" t="s">
        <v>8</v>
      </c>
      <c r="F1418" s="668">
        <v>10</v>
      </c>
      <c r="G1418" s="870">
        <v>63</v>
      </c>
      <c r="H1418" s="871" t="s">
        <v>8</v>
      </c>
      <c r="I1418" s="668">
        <v>0</v>
      </c>
      <c r="J1418" s="349"/>
      <c r="K1418" s="884">
        <v>130</v>
      </c>
      <c r="L1418" s="876">
        <v>0.1</v>
      </c>
      <c r="M1418" s="426" t="s">
        <v>1461</v>
      </c>
      <c r="N1418" s="876">
        <v>4.33</v>
      </c>
      <c r="O1418" s="351"/>
      <c r="P1418" s="1056"/>
      <c r="Q1418" s="1057"/>
      <c r="R1418" s="1058"/>
      <c r="S1418" s="738">
        <f t="shared" si="143"/>
        <v>4713.1400000000003</v>
      </c>
      <c r="T1418" s="738" t="str">
        <f t="shared" si="144"/>
        <v>M2</v>
      </c>
      <c r="U1418" s="738"/>
    </row>
    <row r="1419" spans="1:21" ht="25.5" customHeight="1" x14ac:dyDescent="0.2">
      <c r="A1419" s="895"/>
      <c r="B1419" s="390"/>
      <c r="C1419" s="578" t="s">
        <v>1463</v>
      </c>
      <c r="D1419" s="870">
        <v>59</v>
      </c>
      <c r="E1419" s="871" t="s">
        <v>8</v>
      </c>
      <c r="F1419" s="668">
        <v>5</v>
      </c>
      <c r="G1419" s="870">
        <v>63</v>
      </c>
      <c r="H1419" s="871" t="s">
        <v>8</v>
      </c>
      <c r="I1419" s="668">
        <v>0</v>
      </c>
      <c r="J1419" s="349"/>
      <c r="K1419" s="884">
        <v>75</v>
      </c>
      <c r="L1419" s="876">
        <v>0.1</v>
      </c>
      <c r="M1419" s="426" t="s">
        <v>1461</v>
      </c>
      <c r="N1419" s="876">
        <v>2.5</v>
      </c>
      <c r="O1419" s="351"/>
      <c r="P1419" s="1056"/>
      <c r="Q1419" s="1057"/>
      <c r="R1419" s="1058"/>
      <c r="S1419" s="738">
        <f t="shared" si="143"/>
        <v>4713.1400000000003</v>
      </c>
      <c r="T1419" s="738" t="str">
        <f t="shared" si="144"/>
        <v>M2</v>
      </c>
      <c r="U1419" s="738"/>
    </row>
    <row r="1420" spans="1:21" x14ac:dyDescent="0.2">
      <c r="A1420" s="895"/>
      <c r="B1420" s="390"/>
      <c r="C1420" s="578" t="s">
        <v>1457</v>
      </c>
      <c r="D1420" s="870">
        <v>64</v>
      </c>
      <c r="E1420" s="871" t="s">
        <v>8</v>
      </c>
      <c r="F1420" s="668">
        <v>0</v>
      </c>
      <c r="G1420" s="870"/>
      <c r="H1420" s="871"/>
      <c r="I1420" s="668"/>
      <c r="J1420" s="349"/>
      <c r="K1420" s="884">
        <v>15</v>
      </c>
      <c r="L1420" s="876">
        <v>0.1</v>
      </c>
      <c r="M1420" s="426"/>
      <c r="N1420" s="876">
        <v>1.5</v>
      </c>
      <c r="O1420" s="351"/>
      <c r="P1420" s="1056"/>
      <c r="Q1420" s="1057"/>
      <c r="R1420" s="1058"/>
      <c r="S1420" s="738">
        <f t="shared" si="143"/>
        <v>4713.1400000000003</v>
      </c>
      <c r="T1420" s="738" t="str">
        <f t="shared" si="144"/>
        <v>M2</v>
      </c>
      <c r="U1420" s="738"/>
    </row>
    <row r="1421" spans="1:21" ht="25.5" customHeight="1" x14ac:dyDescent="0.2">
      <c r="A1421" s="895"/>
      <c r="B1421" s="390"/>
      <c r="C1421" s="578" t="s">
        <v>1463</v>
      </c>
      <c r="D1421" s="870">
        <v>64</v>
      </c>
      <c r="E1421" s="871" t="s">
        <v>8</v>
      </c>
      <c r="F1421" s="668">
        <v>10</v>
      </c>
      <c r="G1421" s="870">
        <v>65</v>
      </c>
      <c r="H1421" s="871" t="s">
        <v>8</v>
      </c>
      <c r="I1421" s="668">
        <v>10</v>
      </c>
      <c r="J1421" s="349"/>
      <c r="K1421" s="884">
        <v>20</v>
      </c>
      <c r="L1421" s="876">
        <v>0.1</v>
      </c>
      <c r="M1421" s="426" t="s">
        <v>1461</v>
      </c>
      <c r="N1421" s="876">
        <v>0.67</v>
      </c>
      <c r="O1421" s="351"/>
      <c r="P1421" s="1056"/>
      <c r="Q1421" s="1057"/>
      <c r="R1421" s="1058"/>
      <c r="S1421" s="738">
        <f t="shared" si="143"/>
        <v>4713.1400000000003</v>
      </c>
      <c r="T1421" s="738" t="str">
        <f t="shared" si="144"/>
        <v>M2</v>
      </c>
      <c r="U1421" s="738"/>
    </row>
    <row r="1422" spans="1:21" x14ac:dyDescent="0.2">
      <c r="A1422" s="895"/>
      <c r="B1422" s="390"/>
      <c r="C1422" s="578" t="s">
        <v>1458</v>
      </c>
      <c r="D1422" s="870">
        <v>64</v>
      </c>
      <c r="E1422" s="871" t="s">
        <v>8</v>
      </c>
      <c r="F1422" s="668">
        <v>0</v>
      </c>
      <c r="G1422" s="870"/>
      <c r="H1422" s="871"/>
      <c r="I1422" s="668"/>
      <c r="J1422" s="349"/>
      <c r="K1422" s="884">
        <v>16</v>
      </c>
      <c r="L1422" s="876">
        <v>0.1</v>
      </c>
      <c r="M1422" s="426"/>
      <c r="N1422" s="876">
        <v>1.6</v>
      </c>
      <c r="O1422" s="351"/>
      <c r="P1422" s="1056"/>
      <c r="Q1422" s="1057"/>
      <c r="R1422" s="1058"/>
      <c r="S1422" s="738">
        <f t="shared" si="143"/>
        <v>4713.1400000000003</v>
      </c>
      <c r="T1422" s="738" t="str">
        <f t="shared" si="144"/>
        <v>M2</v>
      </c>
      <c r="U1422" s="738"/>
    </row>
    <row r="1423" spans="1:21" x14ac:dyDescent="0.2">
      <c r="A1423" s="895"/>
      <c r="B1423" s="390"/>
      <c r="C1423" s="578" t="s">
        <v>1459</v>
      </c>
      <c r="D1423" s="870">
        <v>64</v>
      </c>
      <c r="E1423" s="871" t="s">
        <v>8</v>
      </c>
      <c r="F1423" s="668">
        <v>0</v>
      </c>
      <c r="G1423" s="870"/>
      <c r="H1423" s="871"/>
      <c r="I1423" s="668"/>
      <c r="J1423" s="349"/>
      <c r="K1423" s="884">
        <v>4.5999999999999996</v>
      </c>
      <c r="L1423" s="876">
        <v>0.6</v>
      </c>
      <c r="M1423" s="426"/>
      <c r="N1423" s="876">
        <v>2.76</v>
      </c>
      <c r="O1423" s="351"/>
      <c r="P1423" s="1056"/>
      <c r="Q1423" s="1057"/>
      <c r="R1423" s="1058"/>
      <c r="S1423" s="738">
        <f t="shared" si="143"/>
        <v>4713.1400000000003</v>
      </c>
      <c r="T1423" s="738" t="str">
        <f t="shared" si="144"/>
        <v>M2</v>
      </c>
      <c r="U1423" s="738"/>
    </row>
    <row r="1424" spans="1:21" x14ac:dyDescent="0.2">
      <c r="A1424" s="895"/>
      <c r="B1424" s="390"/>
      <c r="C1424" s="578" t="s">
        <v>1459</v>
      </c>
      <c r="D1424" s="870">
        <v>64</v>
      </c>
      <c r="E1424" s="871" t="s">
        <v>8</v>
      </c>
      <c r="F1424" s="668">
        <v>0</v>
      </c>
      <c r="G1424" s="870"/>
      <c r="H1424" s="871"/>
      <c r="I1424" s="668"/>
      <c r="J1424" s="349"/>
      <c r="K1424" s="884">
        <v>4.2</v>
      </c>
      <c r="L1424" s="876">
        <v>0.6</v>
      </c>
      <c r="M1424" s="426"/>
      <c r="N1424" s="876">
        <v>2.52</v>
      </c>
      <c r="O1424" s="351"/>
      <c r="P1424" s="1056"/>
      <c r="Q1424" s="1057"/>
      <c r="R1424" s="1058"/>
      <c r="S1424" s="738">
        <f t="shared" si="143"/>
        <v>4713.1400000000003</v>
      </c>
      <c r="T1424" s="738" t="str">
        <f t="shared" si="144"/>
        <v>M2</v>
      </c>
      <c r="U1424" s="738"/>
    </row>
    <row r="1425" spans="1:21" x14ac:dyDescent="0.2">
      <c r="A1425" s="895"/>
      <c r="B1425" s="390"/>
      <c r="C1425" s="578" t="s">
        <v>1459</v>
      </c>
      <c r="D1425" s="870">
        <v>64</v>
      </c>
      <c r="E1425" s="871" t="s">
        <v>8</v>
      </c>
      <c r="F1425" s="668">
        <v>0</v>
      </c>
      <c r="G1425" s="870"/>
      <c r="H1425" s="871"/>
      <c r="I1425" s="668"/>
      <c r="J1425" s="349"/>
      <c r="K1425" s="884">
        <v>4.0999999999999996</v>
      </c>
      <c r="L1425" s="876">
        <v>0.6</v>
      </c>
      <c r="M1425" s="426"/>
      <c r="N1425" s="876">
        <v>2.46</v>
      </c>
      <c r="O1425" s="351"/>
      <c r="P1425" s="1056"/>
      <c r="Q1425" s="1057"/>
      <c r="R1425" s="1058"/>
      <c r="S1425" s="738">
        <f t="shared" si="143"/>
        <v>4713.1400000000003</v>
      </c>
      <c r="T1425" s="738" t="str">
        <f t="shared" si="144"/>
        <v>M2</v>
      </c>
      <c r="U1425" s="738"/>
    </row>
    <row r="1426" spans="1:21" x14ac:dyDescent="0.2">
      <c r="A1426" s="895"/>
      <c r="B1426" s="390"/>
      <c r="C1426" s="578" t="s">
        <v>1457</v>
      </c>
      <c r="D1426" s="870">
        <v>65</v>
      </c>
      <c r="E1426" s="871" t="s">
        <v>8</v>
      </c>
      <c r="F1426" s="668">
        <v>0</v>
      </c>
      <c r="G1426" s="870"/>
      <c r="H1426" s="871"/>
      <c r="I1426" s="668"/>
      <c r="J1426" s="349"/>
      <c r="K1426" s="884">
        <v>15</v>
      </c>
      <c r="L1426" s="876">
        <v>0.1</v>
      </c>
      <c r="M1426" s="426"/>
      <c r="N1426" s="876">
        <v>1.5</v>
      </c>
      <c r="O1426" s="351"/>
      <c r="P1426" s="1056"/>
      <c r="Q1426" s="1057"/>
      <c r="R1426" s="1058"/>
      <c r="S1426" s="738">
        <f t="shared" si="143"/>
        <v>4713.1400000000003</v>
      </c>
      <c r="T1426" s="738" t="str">
        <f t="shared" si="144"/>
        <v>M2</v>
      </c>
      <c r="U1426" s="738"/>
    </row>
    <row r="1427" spans="1:21" ht="33" customHeight="1" x14ac:dyDescent="0.2">
      <c r="A1427" s="895"/>
      <c r="B1427" s="390"/>
      <c r="C1427" s="578" t="s">
        <v>1464</v>
      </c>
      <c r="D1427" s="870">
        <v>65</v>
      </c>
      <c r="E1427" s="871" t="s">
        <v>8</v>
      </c>
      <c r="F1427" s="668">
        <v>10</v>
      </c>
      <c r="G1427" s="870">
        <v>69</v>
      </c>
      <c r="H1427" s="871" t="s">
        <v>8</v>
      </c>
      <c r="I1427" s="668">
        <v>10</v>
      </c>
      <c r="J1427" s="349"/>
      <c r="K1427" s="884">
        <v>80</v>
      </c>
      <c r="L1427" s="876">
        <v>0.1</v>
      </c>
      <c r="M1427" s="426" t="s">
        <v>1461</v>
      </c>
      <c r="N1427" s="876">
        <v>2.67</v>
      </c>
      <c r="O1427" s="351"/>
      <c r="P1427" s="1056"/>
      <c r="Q1427" s="1057"/>
      <c r="R1427" s="1058"/>
      <c r="S1427" s="738">
        <f t="shared" si="143"/>
        <v>4713.1400000000003</v>
      </c>
      <c r="T1427" s="738" t="str">
        <f t="shared" si="144"/>
        <v>M2</v>
      </c>
      <c r="U1427" s="738"/>
    </row>
    <row r="1428" spans="1:21" x14ac:dyDescent="0.2">
      <c r="A1428" s="895"/>
      <c r="B1428" s="390"/>
      <c r="C1428" s="578" t="s">
        <v>1275</v>
      </c>
      <c r="D1428" s="870">
        <v>69</v>
      </c>
      <c r="E1428" s="871" t="s">
        <v>8</v>
      </c>
      <c r="F1428" s="668">
        <v>0</v>
      </c>
      <c r="G1428" s="870">
        <v>115</v>
      </c>
      <c r="H1428" s="871" t="s">
        <v>8</v>
      </c>
      <c r="I1428" s="668">
        <v>0</v>
      </c>
      <c r="J1428" s="349"/>
      <c r="K1428" s="884">
        <v>920</v>
      </c>
      <c r="L1428" s="876">
        <v>0.1</v>
      </c>
      <c r="M1428" s="426"/>
      <c r="N1428" s="876">
        <v>184</v>
      </c>
      <c r="O1428" s="351"/>
      <c r="P1428" s="1056"/>
      <c r="Q1428" s="1057"/>
      <c r="R1428" s="1058"/>
      <c r="S1428" s="738">
        <f t="shared" si="143"/>
        <v>4713.1400000000003</v>
      </c>
      <c r="T1428" s="738" t="str">
        <f t="shared" si="144"/>
        <v>M2</v>
      </c>
      <c r="U1428" s="738"/>
    </row>
    <row r="1429" spans="1:21" x14ac:dyDescent="0.2">
      <c r="A1429" s="895"/>
      <c r="B1429" s="390"/>
      <c r="C1429" s="578" t="s">
        <v>1453</v>
      </c>
      <c r="D1429" s="870">
        <v>70</v>
      </c>
      <c r="E1429" s="871" t="s">
        <v>8</v>
      </c>
      <c r="F1429" s="668">
        <v>0</v>
      </c>
      <c r="G1429" s="870">
        <v>74</v>
      </c>
      <c r="H1429" s="871" t="s">
        <v>8</v>
      </c>
      <c r="I1429" s="668">
        <v>0</v>
      </c>
      <c r="J1429" s="349"/>
      <c r="K1429" s="884">
        <v>82</v>
      </c>
      <c r="L1429" s="876">
        <v>0.1</v>
      </c>
      <c r="M1429" s="426"/>
      <c r="N1429" s="876">
        <v>8.1999999999999993</v>
      </c>
      <c r="O1429" s="351"/>
      <c r="P1429" s="1056"/>
      <c r="Q1429" s="1057"/>
      <c r="R1429" s="1058"/>
      <c r="S1429" s="738">
        <f t="shared" si="143"/>
        <v>4713.1400000000003</v>
      </c>
      <c r="T1429" s="738" t="str">
        <f t="shared" si="144"/>
        <v>M2</v>
      </c>
      <c r="U1429" s="738"/>
    </row>
    <row r="1430" spans="1:21" x14ac:dyDescent="0.2">
      <c r="A1430" s="895"/>
      <c r="B1430" s="390"/>
      <c r="C1430" s="578" t="s">
        <v>1454</v>
      </c>
      <c r="D1430" s="870">
        <v>70</v>
      </c>
      <c r="E1430" s="871" t="s">
        <v>8</v>
      </c>
      <c r="F1430" s="668">
        <v>0</v>
      </c>
      <c r="G1430" s="870">
        <v>74</v>
      </c>
      <c r="H1430" s="871" t="s">
        <v>8</v>
      </c>
      <c r="I1430" s="668">
        <v>0</v>
      </c>
      <c r="J1430" s="349"/>
      <c r="K1430" s="884">
        <v>80</v>
      </c>
      <c r="L1430" s="876">
        <v>0.1</v>
      </c>
      <c r="M1430" s="426" t="s">
        <v>1465</v>
      </c>
      <c r="N1430" s="876">
        <v>4</v>
      </c>
      <c r="O1430" s="351"/>
      <c r="P1430" s="1056"/>
      <c r="Q1430" s="1057"/>
      <c r="R1430" s="1058"/>
      <c r="S1430" s="738">
        <f t="shared" si="143"/>
        <v>4713.1400000000003</v>
      </c>
      <c r="T1430" s="738" t="str">
        <f t="shared" si="144"/>
        <v>M2</v>
      </c>
      <c r="U1430" s="738"/>
    </row>
    <row r="1431" spans="1:21" x14ac:dyDescent="0.2">
      <c r="A1431" s="895"/>
      <c r="B1431" s="390"/>
      <c r="C1431" s="578" t="s">
        <v>1455</v>
      </c>
      <c r="D1431" s="870">
        <v>74</v>
      </c>
      <c r="E1431" s="871" t="s">
        <v>8</v>
      </c>
      <c r="F1431" s="668">
        <v>0</v>
      </c>
      <c r="G1431" s="870">
        <v>78</v>
      </c>
      <c r="H1431" s="871" t="s">
        <v>8</v>
      </c>
      <c r="I1431" s="668">
        <v>0</v>
      </c>
      <c r="J1431" s="349"/>
      <c r="K1431" s="884">
        <v>82</v>
      </c>
      <c r="L1431" s="876">
        <v>0.1</v>
      </c>
      <c r="M1431" s="426"/>
      <c r="N1431" s="876">
        <v>8.1999999999999993</v>
      </c>
      <c r="O1431" s="351"/>
      <c r="P1431" s="1056"/>
      <c r="Q1431" s="1057"/>
      <c r="R1431" s="1058"/>
      <c r="S1431" s="738">
        <f t="shared" si="143"/>
        <v>4713.1400000000003</v>
      </c>
      <c r="T1431" s="738" t="str">
        <f t="shared" si="144"/>
        <v>M2</v>
      </c>
      <c r="U1431" s="738"/>
    </row>
    <row r="1432" spans="1:21" x14ac:dyDescent="0.2">
      <c r="A1432" s="895"/>
      <c r="B1432" s="390"/>
      <c r="C1432" s="578" t="s">
        <v>1456</v>
      </c>
      <c r="D1432" s="870">
        <v>74</v>
      </c>
      <c r="E1432" s="871" t="s">
        <v>8</v>
      </c>
      <c r="F1432" s="668">
        <v>0</v>
      </c>
      <c r="G1432" s="870">
        <v>78</v>
      </c>
      <c r="H1432" s="871" t="s">
        <v>8</v>
      </c>
      <c r="I1432" s="668">
        <v>0</v>
      </c>
      <c r="J1432" s="349"/>
      <c r="K1432" s="884">
        <v>80</v>
      </c>
      <c r="L1432" s="876">
        <v>0.1</v>
      </c>
      <c r="M1432" s="426" t="s">
        <v>1465</v>
      </c>
      <c r="N1432" s="876">
        <v>4</v>
      </c>
      <c r="O1432" s="351"/>
      <c r="P1432" s="1056"/>
      <c r="Q1432" s="1057"/>
      <c r="R1432" s="1058"/>
      <c r="S1432" s="738">
        <f t="shared" si="143"/>
        <v>4713.1400000000003</v>
      </c>
      <c r="T1432" s="738" t="str">
        <f t="shared" si="144"/>
        <v>M2</v>
      </c>
      <c r="U1432" s="738"/>
    </row>
    <row r="1433" spans="1:21" x14ac:dyDescent="0.2">
      <c r="A1433" s="895"/>
      <c r="B1433" s="390"/>
      <c r="C1433" s="578" t="s">
        <v>1453</v>
      </c>
      <c r="D1433" s="870">
        <v>111</v>
      </c>
      <c r="E1433" s="871" t="s">
        <v>8</v>
      </c>
      <c r="F1433" s="668">
        <v>0</v>
      </c>
      <c r="G1433" s="870">
        <v>115</v>
      </c>
      <c r="H1433" s="871" t="s">
        <v>8</v>
      </c>
      <c r="I1433" s="668">
        <v>0</v>
      </c>
      <c r="J1433" s="349"/>
      <c r="K1433" s="884">
        <v>82</v>
      </c>
      <c r="L1433" s="876">
        <v>0.1</v>
      </c>
      <c r="M1433" s="426"/>
      <c r="N1433" s="876">
        <v>8.1999999999999993</v>
      </c>
      <c r="O1433" s="351"/>
      <c r="P1433" s="1056"/>
      <c r="Q1433" s="1057"/>
      <c r="R1433" s="1058"/>
      <c r="S1433" s="738">
        <f t="shared" si="143"/>
        <v>4713.1400000000003</v>
      </c>
      <c r="T1433" s="738" t="str">
        <f t="shared" si="144"/>
        <v>M2</v>
      </c>
      <c r="U1433" s="738"/>
    </row>
    <row r="1434" spans="1:21" x14ac:dyDescent="0.2">
      <c r="A1434" s="895"/>
      <c r="B1434" s="390"/>
      <c r="C1434" s="578" t="s">
        <v>1454</v>
      </c>
      <c r="D1434" s="870">
        <v>111</v>
      </c>
      <c r="E1434" s="871" t="s">
        <v>8</v>
      </c>
      <c r="F1434" s="668">
        <v>0</v>
      </c>
      <c r="G1434" s="870">
        <v>115</v>
      </c>
      <c r="H1434" s="871" t="s">
        <v>8</v>
      </c>
      <c r="I1434" s="668">
        <v>0</v>
      </c>
      <c r="J1434" s="349"/>
      <c r="K1434" s="884">
        <v>80</v>
      </c>
      <c r="L1434" s="876">
        <v>0.1</v>
      </c>
      <c r="M1434" s="426" t="s">
        <v>1465</v>
      </c>
      <c r="N1434" s="876">
        <v>4</v>
      </c>
      <c r="O1434" s="351"/>
      <c r="P1434" s="1056"/>
      <c r="Q1434" s="1057"/>
      <c r="R1434" s="1058"/>
      <c r="S1434" s="738">
        <f t="shared" si="143"/>
        <v>4713.1400000000003</v>
      </c>
      <c r="T1434" s="738" t="str">
        <f t="shared" si="144"/>
        <v>M2</v>
      </c>
      <c r="U1434" s="738"/>
    </row>
    <row r="1435" spans="1:21" x14ac:dyDescent="0.2">
      <c r="A1435" s="895"/>
      <c r="B1435" s="390"/>
      <c r="C1435" s="578" t="s">
        <v>1452</v>
      </c>
      <c r="D1435" s="870">
        <v>115</v>
      </c>
      <c r="E1435" s="871" t="s">
        <v>8</v>
      </c>
      <c r="F1435" s="668">
        <v>0</v>
      </c>
      <c r="G1435" s="870">
        <v>115</v>
      </c>
      <c r="H1435" s="871" t="s">
        <v>8</v>
      </c>
      <c r="I1435" s="668">
        <v>10</v>
      </c>
      <c r="J1435" s="349"/>
      <c r="K1435" s="884">
        <v>10</v>
      </c>
      <c r="L1435" s="876">
        <v>0.1</v>
      </c>
      <c r="M1435" s="426" t="s">
        <v>1465</v>
      </c>
      <c r="N1435" s="876">
        <v>0.5</v>
      </c>
      <c r="O1435" s="351"/>
      <c r="P1435" s="1056"/>
      <c r="Q1435" s="1057"/>
      <c r="R1435" s="1058"/>
      <c r="S1435" s="738">
        <f t="shared" si="143"/>
        <v>4713.1400000000003</v>
      </c>
      <c r="T1435" s="738" t="str">
        <f t="shared" si="144"/>
        <v>M2</v>
      </c>
      <c r="U1435" s="738"/>
    </row>
    <row r="1436" spans="1:21" x14ac:dyDescent="0.2">
      <c r="A1436" s="895"/>
      <c r="B1436" s="390"/>
      <c r="C1436" s="578" t="s">
        <v>1275</v>
      </c>
      <c r="D1436" s="870">
        <v>115</v>
      </c>
      <c r="E1436" s="871" t="s">
        <v>8</v>
      </c>
      <c r="F1436" s="668">
        <v>10</v>
      </c>
      <c r="G1436" s="870">
        <v>119</v>
      </c>
      <c r="H1436" s="871" t="s">
        <v>8</v>
      </c>
      <c r="I1436" s="668">
        <v>0</v>
      </c>
      <c r="J1436" s="349"/>
      <c r="K1436" s="884">
        <v>70</v>
      </c>
      <c r="L1436" s="876">
        <v>0.1</v>
      </c>
      <c r="M1436" s="426">
        <v>2</v>
      </c>
      <c r="N1436" s="876">
        <v>14</v>
      </c>
      <c r="O1436" s="351"/>
      <c r="P1436" s="1056"/>
      <c r="Q1436" s="1057"/>
      <c r="R1436" s="1058"/>
      <c r="S1436" s="738">
        <f t="shared" si="143"/>
        <v>4713.1400000000003</v>
      </c>
      <c r="T1436" s="738" t="str">
        <f t="shared" si="144"/>
        <v>M2</v>
      </c>
      <c r="U1436" s="738"/>
    </row>
    <row r="1437" spans="1:21" x14ac:dyDescent="0.2">
      <c r="A1437" s="895"/>
      <c r="B1437" s="390"/>
      <c r="C1437" s="578" t="s">
        <v>1455</v>
      </c>
      <c r="D1437" s="870">
        <v>115</v>
      </c>
      <c r="E1437" s="871" t="s">
        <v>8</v>
      </c>
      <c r="F1437" s="668">
        <v>0</v>
      </c>
      <c r="G1437" s="870">
        <v>119</v>
      </c>
      <c r="H1437" s="871" t="s">
        <v>8</v>
      </c>
      <c r="I1437" s="668">
        <v>0</v>
      </c>
      <c r="J1437" s="349"/>
      <c r="K1437" s="884">
        <v>82</v>
      </c>
      <c r="L1437" s="876">
        <v>0.1</v>
      </c>
      <c r="M1437" s="426"/>
      <c r="N1437" s="876">
        <v>8.1999999999999993</v>
      </c>
      <c r="O1437" s="351"/>
      <c r="P1437" s="1056"/>
      <c r="Q1437" s="1057"/>
      <c r="R1437" s="1058"/>
      <c r="S1437" s="738">
        <f t="shared" si="143"/>
        <v>4713.1400000000003</v>
      </c>
      <c r="T1437" s="738" t="str">
        <f t="shared" si="144"/>
        <v>M2</v>
      </c>
      <c r="U1437" s="738"/>
    </row>
    <row r="1438" spans="1:21" x14ac:dyDescent="0.2">
      <c r="A1438" s="895"/>
      <c r="B1438" s="390"/>
      <c r="C1438" s="578" t="s">
        <v>1456</v>
      </c>
      <c r="D1438" s="870">
        <v>115</v>
      </c>
      <c r="E1438" s="871" t="s">
        <v>8</v>
      </c>
      <c r="F1438" s="668">
        <v>0</v>
      </c>
      <c r="G1438" s="870">
        <v>119</v>
      </c>
      <c r="H1438" s="871" t="s">
        <v>8</v>
      </c>
      <c r="I1438" s="668">
        <v>0</v>
      </c>
      <c r="J1438" s="349"/>
      <c r="K1438" s="884">
        <v>80</v>
      </c>
      <c r="L1438" s="876">
        <v>0.1</v>
      </c>
      <c r="M1438" s="426" t="s">
        <v>1465</v>
      </c>
      <c r="N1438" s="876">
        <v>4</v>
      </c>
      <c r="O1438" s="351"/>
      <c r="P1438" s="1056"/>
      <c r="Q1438" s="1057"/>
      <c r="R1438" s="1058"/>
      <c r="S1438" s="738">
        <f t="shared" si="143"/>
        <v>4713.1400000000003</v>
      </c>
      <c r="T1438" s="738" t="str">
        <f t="shared" si="144"/>
        <v>M2</v>
      </c>
      <c r="U1438" s="738"/>
    </row>
    <row r="1439" spans="1:21" x14ac:dyDescent="0.2">
      <c r="A1439" s="895"/>
      <c r="B1439" s="390"/>
      <c r="C1439" s="578" t="s">
        <v>1303</v>
      </c>
      <c r="D1439" s="870">
        <v>119</v>
      </c>
      <c r="E1439" s="871" t="s">
        <v>8</v>
      </c>
      <c r="F1439" s="668">
        <v>0</v>
      </c>
      <c r="G1439" s="870">
        <v>144</v>
      </c>
      <c r="H1439" s="871" t="s">
        <v>8</v>
      </c>
      <c r="I1439" s="668">
        <v>0</v>
      </c>
      <c r="J1439" s="349"/>
      <c r="K1439" s="884">
        <v>500</v>
      </c>
      <c r="L1439" s="876">
        <v>0.1</v>
      </c>
      <c r="M1439" s="426" t="s">
        <v>1461</v>
      </c>
      <c r="N1439" s="876">
        <v>16.670000000000002</v>
      </c>
      <c r="O1439" s="351"/>
      <c r="P1439" s="1056"/>
      <c r="Q1439" s="1057"/>
      <c r="R1439" s="1058"/>
      <c r="S1439" s="738">
        <f t="shared" si="143"/>
        <v>4713.1400000000003</v>
      </c>
      <c r="T1439" s="738" t="str">
        <f t="shared" si="144"/>
        <v>M2</v>
      </c>
      <c r="U1439" s="738"/>
    </row>
    <row r="1440" spans="1:21" x14ac:dyDescent="0.2">
      <c r="A1440" s="895"/>
      <c r="B1440" s="390"/>
      <c r="C1440" s="578" t="s">
        <v>1275</v>
      </c>
      <c r="D1440" s="870">
        <v>144</v>
      </c>
      <c r="E1440" s="871" t="s">
        <v>8</v>
      </c>
      <c r="F1440" s="668">
        <v>0</v>
      </c>
      <c r="G1440" s="870">
        <v>152</v>
      </c>
      <c r="H1440" s="871" t="s">
        <v>8</v>
      </c>
      <c r="I1440" s="668">
        <v>0</v>
      </c>
      <c r="J1440" s="349"/>
      <c r="K1440" s="884">
        <v>160</v>
      </c>
      <c r="L1440" s="876">
        <v>0.1</v>
      </c>
      <c r="M1440" s="426"/>
      <c r="N1440" s="876">
        <v>32</v>
      </c>
      <c r="O1440" s="351"/>
      <c r="P1440" s="1056"/>
      <c r="Q1440" s="1057"/>
      <c r="R1440" s="1058"/>
      <c r="S1440" s="738">
        <f t="shared" si="143"/>
        <v>4713.1400000000003</v>
      </c>
      <c r="T1440" s="738" t="str">
        <f t="shared" si="144"/>
        <v>M2</v>
      </c>
      <c r="U1440" s="738"/>
    </row>
    <row r="1441" spans="1:21" x14ac:dyDescent="0.2">
      <c r="A1441" s="895"/>
      <c r="B1441" s="390"/>
      <c r="C1441" s="578" t="s">
        <v>1453</v>
      </c>
      <c r="D1441" s="870">
        <v>144</v>
      </c>
      <c r="E1441" s="871" t="s">
        <v>8</v>
      </c>
      <c r="F1441" s="668">
        <v>0</v>
      </c>
      <c r="G1441" s="870">
        <v>148</v>
      </c>
      <c r="H1441" s="871" t="s">
        <v>8</v>
      </c>
      <c r="I1441" s="668">
        <v>0</v>
      </c>
      <c r="J1441" s="349"/>
      <c r="K1441" s="884">
        <v>82</v>
      </c>
      <c r="L1441" s="876">
        <v>0.1</v>
      </c>
      <c r="M1441" s="426"/>
      <c r="N1441" s="876">
        <v>8.1999999999999993</v>
      </c>
      <c r="O1441" s="351"/>
      <c r="P1441" s="1056"/>
      <c r="Q1441" s="1057"/>
      <c r="R1441" s="1058"/>
      <c r="S1441" s="738">
        <f t="shared" si="143"/>
        <v>4713.1400000000003</v>
      </c>
      <c r="T1441" s="738" t="str">
        <f t="shared" si="144"/>
        <v>M2</v>
      </c>
      <c r="U1441" s="738"/>
    </row>
    <row r="1442" spans="1:21" x14ac:dyDescent="0.2">
      <c r="A1442" s="895"/>
      <c r="B1442" s="390"/>
      <c r="C1442" s="578" t="s">
        <v>1454</v>
      </c>
      <c r="D1442" s="870">
        <v>144</v>
      </c>
      <c r="E1442" s="871" t="s">
        <v>8</v>
      </c>
      <c r="F1442" s="668">
        <v>0</v>
      </c>
      <c r="G1442" s="870">
        <v>148</v>
      </c>
      <c r="H1442" s="871" t="s">
        <v>8</v>
      </c>
      <c r="I1442" s="668">
        <v>0</v>
      </c>
      <c r="J1442" s="349"/>
      <c r="K1442" s="884">
        <v>80</v>
      </c>
      <c r="L1442" s="876">
        <v>0.1</v>
      </c>
      <c r="M1442" s="426" t="s">
        <v>1465</v>
      </c>
      <c r="N1442" s="876">
        <v>4</v>
      </c>
      <c r="O1442" s="351"/>
      <c r="P1442" s="1056"/>
      <c r="Q1442" s="1057"/>
      <c r="R1442" s="1058"/>
      <c r="S1442" s="738">
        <f t="shared" si="143"/>
        <v>4713.1400000000003</v>
      </c>
      <c r="T1442" s="738" t="str">
        <f t="shared" si="144"/>
        <v>M2</v>
      </c>
      <c r="U1442" s="738"/>
    </row>
    <row r="1443" spans="1:21" x14ac:dyDescent="0.2">
      <c r="A1443" s="895"/>
      <c r="B1443" s="390"/>
      <c r="C1443" s="578" t="s">
        <v>1455</v>
      </c>
      <c r="D1443" s="870">
        <v>148</v>
      </c>
      <c r="E1443" s="871" t="s">
        <v>8</v>
      </c>
      <c r="F1443" s="668">
        <v>0</v>
      </c>
      <c r="G1443" s="870">
        <v>152</v>
      </c>
      <c r="H1443" s="871" t="s">
        <v>8</v>
      </c>
      <c r="I1443" s="668">
        <v>0</v>
      </c>
      <c r="J1443" s="349"/>
      <c r="K1443" s="884">
        <v>82</v>
      </c>
      <c r="L1443" s="876">
        <v>0.1</v>
      </c>
      <c r="M1443" s="426"/>
      <c r="N1443" s="876">
        <v>8.1999999999999993</v>
      </c>
      <c r="O1443" s="351"/>
      <c r="P1443" s="1056"/>
      <c r="Q1443" s="1057"/>
      <c r="R1443" s="1058"/>
      <c r="S1443" s="738">
        <f t="shared" si="143"/>
        <v>4713.1400000000003</v>
      </c>
      <c r="T1443" s="738" t="str">
        <f t="shared" si="144"/>
        <v>M2</v>
      </c>
      <c r="U1443" s="738"/>
    </row>
    <row r="1444" spans="1:21" x14ac:dyDescent="0.2">
      <c r="A1444" s="895"/>
      <c r="B1444" s="390"/>
      <c r="C1444" s="578" t="s">
        <v>1456</v>
      </c>
      <c r="D1444" s="870">
        <v>148</v>
      </c>
      <c r="E1444" s="871" t="s">
        <v>8</v>
      </c>
      <c r="F1444" s="668">
        <v>0</v>
      </c>
      <c r="G1444" s="870">
        <v>152</v>
      </c>
      <c r="H1444" s="871" t="s">
        <v>8</v>
      </c>
      <c r="I1444" s="668">
        <v>0</v>
      </c>
      <c r="J1444" s="349"/>
      <c r="K1444" s="884">
        <v>80</v>
      </c>
      <c r="L1444" s="876">
        <v>0.1</v>
      </c>
      <c r="M1444" s="426" t="s">
        <v>1465</v>
      </c>
      <c r="N1444" s="876">
        <v>4</v>
      </c>
      <c r="O1444" s="351"/>
      <c r="P1444" s="1056"/>
      <c r="Q1444" s="1057"/>
      <c r="R1444" s="1058"/>
      <c r="S1444" s="738">
        <f t="shared" si="143"/>
        <v>4713.1400000000003</v>
      </c>
      <c r="T1444" s="738" t="str">
        <f t="shared" si="144"/>
        <v>M2</v>
      </c>
      <c r="U1444" s="738"/>
    </row>
    <row r="1445" spans="1:21" x14ac:dyDescent="0.2">
      <c r="A1445" s="294"/>
      <c r="B1445" s="390"/>
      <c r="C1445" s="578" t="s">
        <v>1303</v>
      </c>
      <c r="D1445" s="870">
        <v>152</v>
      </c>
      <c r="E1445" s="871" t="s">
        <v>8</v>
      </c>
      <c r="F1445" s="668">
        <v>0</v>
      </c>
      <c r="G1445" s="870">
        <v>187</v>
      </c>
      <c r="H1445" s="871" t="s">
        <v>8</v>
      </c>
      <c r="I1445" s="668">
        <v>0</v>
      </c>
      <c r="K1445" s="297">
        <v>700</v>
      </c>
      <c r="L1445" s="876">
        <v>0.1</v>
      </c>
      <c r="M1445" s="426" t="s">
        <v>1461</v>
      </c>
      <c r="N1445" s="876">
        <v>23.33</v>
      </c>
      <c r="P1445" s="1056"/>
      <c r="Q1445" s="1057"/>
      <c r="R1445" s="1058"/>
      <c r="S1445" s="738">
        <f t="shared" si="143"/>
        <v>4713.1400000000003</v>
      </c>
      <c r="T1445" s="738" t="str">
        <f t="shared" si="144"/>
        <v>M2</v>
      </c>
    </row>
    <row r="1446" spans="1:21" x14ac:dyDescent="0.2">
      <c r="A1446" s="294"/>
      <c r="B1446" s="390"/>
      <c r="C1446" s="578" t="s">
        <v>1305</v>
      </c>
      <c r="D1446" s="870">
        <v>187</v>
      </c>
      <c r="E1446" s="871" t="s">
        <v>8</v>
      </c>
      <c r="F1446" s="668">
        <v>0</v>
      </c>
      <c r="G1446" s="870">
        <v>192</v>
      </c>
      <c r="H1446" s="871" t="s">
        <v>8</v>
      </c>
      <c r="I1446" s="668">
        <v>0</v>
      </c>
      <c r="K1446" s="297">
        <v>100</v>
      </c>
      <c r="L1446" s="876">
        <v>0.1</v>
      </c>
      <c r="M1446" s="426"/>
      <c r="N1446" s="876">
        <v>13.33</v>
      </c>
      <c r="P1446" s="1056"/>
      <c r="Q1446" s="1057"/>
      <c r="R1446" s="1058"/>
      <c r="S1446" s="738">
        <f t="shared" si="143"/>
        <v>4713.1400000000003</v>
      </c>
      <c r="T1446" s="738" t="str">
        <f t="shared" si="144"/>
        <v>M2</v>
      </c>
    </row>
    <row r="1447" spans="1:21" x14ac:dyDescent="0.2">
      <c r="A1447" s="294"/>
      <c r="B1447" s="390"/>
      <c r="C1447" s="578" t="s">
        <v>1452</v>
      </c>
      <c r="D1447" s="870">
        <v>192</v>
      </c>
      <c r="E1447" s="871" t="s">
        <v>8</v>
      </c>
      <c r="F1447" s="668">
        <v>0</v>
      </c>
      <c r="G1447" s="870">
        <v>193</v>
      </c>
      <c r="H1447" s="871" t="s">
        <v>8</v>
      </c>
      <c r="I1447" s="668">
        <v>10</v>
      </c>
      <c r="K1447" s="297">
        <v>30</v>
      </c>
      <c r="L1447" s="876">
        <v>0.1</v>
      </c>
      <c r="M1447" s="426" t="s">
        <v>1465</v>
      </c>
      <c r="N1447" s="876">
        <v>1.5</v>
      </c>
      <c r="P1447" s="1056"/>
      <c r="Q1447" s="1057"/>
      <c r="R1447" s="1058"/>
      <c r="S1447" s="738">
        <f t="shared" si="143"/>
        <v>4713.1400000000003</v>
      </c>
      <c r="T1447" s="738" t="str">
        <f t="shared" si="144"/>
        <v>M2</v>
      </c>
    </row>
    <row r="1448" spans="1:21" x14ac:dyDescent="0.2">
      <c r="A1448" s="294"/>
      <c r="B1448" s="390"/>
      <c r="C1448" s="578" t="s">
        <v>1305</v>
      </c>
      <c r="D1448" s="870">
        <v>193</v>
      </c>
      <c r="E1448" s="871" t="s">
        <v>8</v>
      </c>
      <c r="F1448" s="668">
        <v>0</v>
      </c>
      <c r="G1448" s="870">
        <v>196</v>
      </c>
      <c r="H1448" s="871" t="s">
        <v>8</v>
      </c>
      <c r="I1448" s="668">
        <v>0</v>
      </c>
      <c r="K1448" s="297">
        <v>60</v>
      </c>
      <c r="L1448" s="876">
        <v>0.1</v>
      </c>
      <c r="M1448" s="426"/>
      <c r="N1448" s="876">
        <v>8</v>
      </c>
      <c r="P1448" s="1056"/>
      <c r="Q1448" s="1057"/>
      <c r="R1448" s="1058"/>
      <c r="S1448" s="738">
        <f t="shared" si="143"/>
        <v>4713.1400000000003</v>
      </c>
      <c r="T1448" s="738" t="str">
        <f t="shared" si="144"/>
        <v>M2</v>
      </c>
    </row>
    <row r="1449" spans="1:21" x14ac:dyDescent="0.2">
      <c r="A1449" s="294"/>
      <c r="B1449" s="390"/>
      <c r="C1449" s="578" t="s">
        <v>1275</v>
      </c>
      <c r="D1449" s="870">
        <v>196</v>
      </c>
      <c r="E1449" s="871" t="s">
        <v>8</v>
      </c>
      <c r="F1449" s="668">
        <v>0</v>
      </c>
      <c r="G1449" s="870">
        <v>209</v>
      </c>
      <c r="H1449" s="871" t="s">
        <v>8</v>
      </c>
      <c r="I1449" s="668">
        <v>0</v>
      </c>
      <c r="K1449" s="297">
        <v>260</v>
      </c>
      <c r="L1449" s="876">
        <v>0.1</v>
      </c>
      <c r="M1449" s="426"/>
      <c r="N1449" s="876">
        <v>52</v>
      </c>
      <c r="P1449" s="1056"/>
      <c r="Q1449" s="1057"/>
      <c r="R1449" s="1058"/>
      <c r="S1449" s="738">
        <f t="shared" si="143"/>
        <v>4713.1400000000003</v>
      </c>
      <c r="T1449" s="738" t="str">
        <f t="shared" si="144"/>
        <v>M2</v>
      </c>
    </row>
    <row r="1450" spans="1:21" x14ac:dyDescent="0.2">
      <c r="A1450" s="294"/>
      <c r="B1450" s="390"/>
      <c r="C1450" s="578" t="s">
        <v>1453</v>
      </c>
      <c r="D1450" s="870">
        <v>201</v>
      </c>
      <c r="E1450" s="871" t="s">
        <v>8</v>
      </c>
      <c r="F1450" s="668">
        <v>0</v>
      </c>
      <c r="G1450" s="870">
        <v>205</v>
      </c>
      <c r="H1450" s="871" t="s">
        <v>8</v>
      </c>
      <c r="I1450" s="668">
        <v>0</v>
      </c>
      <c r="K1450" s="297">
        <v>82</v>
      </c>
      <c r="L1450" s="876">
        <v>0.1</v>
      </c>
      <c r="M1450" s="426"/>
      <c r="N1450" s="876">
        <v>8.1999999999999993</v>
      </c>
      <c r="P1450" s="1056"/>
      <c r="Q1450" s="1057"/>
      <c r="R1450" s="1058"/>
      <c r="S1450" s="738">
        <f t="shared" si="143"/>
        <v>4713.1400000000003</v>
      </c>
      <c r="T1450" s="738" t="str">
        <f t="shared" si="144"/>
        <v>M2</v>
      </c>
    </row>
    <row r="1451" spans="1:21" x14ac:dyDescent="0.2">
      <c r="A1451" s="294"/>
      <c r="B1451" s="390"/>
      <c r="C1451" s="578" t="s">
        <v>1454</v>
      </c>
      <c r="D1451" s="870">
        <v>201</v>
      </c>
      <c r="E1451" s="871" t="s">
        <v>8</v>
      </c>
      <c r="F1451" s="668">
        <v>0</v>
      </c>
      <c r="G1451" s="870">
        <v>205</v>
      </c>
      <c r="H1451" s="871" t="s">
        <v>8</v>
      </c>
      <c r="I1451" s="668">
        <v>0</v>
      </c>
      <c r="K1451" s="297">
        <v>80</v>
      </c>
      <c r="L1451" s="876">
        <v>0.1</v>
      </c>
      <c r="M1451" s="426" t="s">
        <v>1465</v>
      </c>
      <c r="N1451" s="876">
        <v>4</v>
      </c>
      <c r="P1451" s="1056"/>
      <c r="Q1451" s="1057"/>
      <c r="R1451" s="1058"/>
      <c r="S1451" s="738">
        <f t="shared" si="143"/>
        <v>4713.1400000000003</v>
      </c>
      <c r="T1451" s="738" t="str">
        <f t="shared" si="144"/>
        <v>M2</v>
      </c>
    </row>
    <row r="1452" spans="1:21" x14ac:dyDescent="0.2">
      <c r="A1452" s="294"/>
      <c r="B1452" s="390"/>
      <c r="C1452" s="578" t="s">
        <v>1303</v>
      </c>
      <c r="D1452" s="870">
        <v>202</v>
      </c>
      <c r="E1452" s="871" t="s">
        <v>8</v>
      </c>
      <c r="F1452" s="668">
        <v>0</v>
      </c>
      <c r="G1452" s="870">
        <v>253</v>
      </c>
      <c r="H1452" s="871" t="s">
        <v>8</v>
      </c>
      <c r="I1452" s="668">
        <v>0</v>
      </c>
      <c r="K1452" s="297">
        <v>1020</v>
      </c>
      <c r="L1452" s="876">
        <v>0.1</v>
      </c>
      <c r="M1452" s="426" t="s">
        <v>1461</v>
      </c>
      <c r="N1452" s="876">
        <v>34</v>
      </c>
      <c r="P1452" s="1056"/>
      <c r="Q1452" s="1057"/>
      <c r="R1452" s="1058"/>
      <c r="S1452" s="738">
        <f t="shared" si="143"/>
        <v>4713.1400000000003</v>
      </c>
      <c r="T1452" s="738" t="str">
        <f t="shared" si="144"/>
        <v>M2</v>
      </c>
    </row>
    <row r="1453" spans="1:21" x14ac:dyDescent="0.2">
      <c r="A1453" s="294"/>
      <c r="B1453" s="390"/>
      <c r="C1453" s="578" t="s">
        <v>1455</v>
      </c>
      <c r="D1453" s="870">
        <v>205</v>
      </c>
      <c r="E1453" s="871" t="s">
        <v>8</v>
      </c>
      <c r="F1453" s="668">
        <v>0</v>
      </c>
      <c r="G1453" s="870">
        <v>209</v>
      </c>
      <c r="H1453" s="871" t="s">
        <v>8</v>
      </c>
      <c r="I1453" s="668">
        <v>0</v>
      </c>
      <c r="K1453" s="297">
        <v>82</v>
      </c>
      <c r="L1453" s="876">
        <v>0.1</v>
      </c>
      <c r="M1453" s="426"/>
      <c r="N1453" s="876">
        <v>8.1999999999999993</v>
      </c>
      <c r="P1453" s="1056"/>
      <c r="Q1453" s="1057"/>
      <c r="R1453" s="1058"/>
      <c r="S1453" s="738">
        <f t="shared" si="143"/>
        <v>4713.1400000000003</v>
      </c>
      <c r="T1453" s="738" t="str">
        <f t="shared" si="144"/>
        <v>M2</v>
      </c>
    </row>
    <row r="1454" spans="1:21" x14ac:dyDescent="0.2">
      <c r="A1454" s="294"/>
      <c r="B1454" s="390"/>
      <c r="C1454" s="578" t="s">
        <v>1456</v>
      </c>
      <c r="D1454" s="870">
        <v>205</v>
      </c>
      <c r="E1454" s="871" t="s">
        <v>8</v>
      </c>
      <c r="F1454" s="668">
        <v>0</v>
      </c>
      <c r="G1454" s="870">
        <v>209</v>
      </c>
      <c r="H1454" s="871" t="s">
        <v>8</v>
      </c>
      <c r="I1454" s="668">
        <v>0</v>
      </c>
      <c r="K1454" s="297">
        <v>80</v>
      </c>
      <c r="L1454" s="876">
        <v>0.1</v>
      </c>
      <c r="M1454" s="426" t="s">
        <v>1465</v>
      </c>
      <c r="N1454" s="876">
        <v>4</v>
      </c>
      <c r="P1454" s="1056"/>
      <c r="Q1454" s="1057"/>
      <c r="R1454" s="1058"/>
      <c r="S1454" s="738">
        <f t="shared" si="143"/>
        <v>4713.1400000000003</v>
      </c>
      <c r="T1454" s="738" t="str">
        <f t="shared" si="144"/>
        <v>M2</v>
      </c>
    </row>
    <row r="1455" spans="1:21" x14ac:dyDescent="0.2">
      <c r="A1455" s="294"/>
      <c r="B1455" s="390"/>
      <c r="C1455" s="578" t="s">
        <v>1275</v>
      </c>
      <c r="D1455" s="870">
        <v>253</v>
      </c>
      <c r="E1455" s="871" t="s">
        <v>8</v>
      </c>
      <c r="F1455" s="668">
        <v>0</v>
      </c>
      <c r="G1455" s="870">
        <v>282</v>
      </c>
      <c r="H1455" s="871" t="s">
        <v>8</v>
      </c>
      <c r="I1455" s="668">
        <v>5</v>
      </c>
      <c r="K1455" s="297">
        <v>585</v>
      </c>
      <c r="L1455" s="876">
        <v>0.1</v>
      </c>
      <c r="M1455" s="426"/>
      <c r="N1455" s="876">
        <v>117</v>
      </c>
      <c r="P1455" s="1056"/>
      <c r="Q1455" s="1057"/>
      <c r="R1455" s="1058"/>
      <c r="S1455" s="738">
        <f t="shared" si="143"/>
        <v>4713.1400000000003</v>
      </c>
      <c r="T1455" s="738" t="str">
        <f t="shared" si="144"/>
        <v>M2</v>
      </c>
    </row>
    <row r="1456" spans="1:21" x14ac:dyDescent="0.2">
      <c r="A1456" s="294"/>
      <c r="B1456" s="390"/>
      <c r="C1456" s="578" t="s">
        <v>1453</v>
      </c>
      <c r="D1456" s="870">
        <v>253</v>
      </c>
      <c r="E1456" s="871" t="s">
        <v>8</v>
      </c>
      <c r="F1456" s="668">
        <v>0</v>
      </c>
      <c r="G1456" s="870">
        <v>257</v>
      </c>
      <c r="H1456" s="871" t="s">
        <v>8</v>
      </c>
      <c r="I1456" s="668">
        <v>0</v>
      </c>
      <c r="K1456" s="297">
        <v>82</v>
      </c>
      <c r="L1456" s="876">
        <v>0.1</v>
      </c>
      <c r="M1456" s="426"/>
      <c r="N1456" s="876">
        <v>8.1999999999999993</v>
      </c>
      <c r="P1456" s="1056"/>
      <c r="Q1456" s="1057"/>
      <c r="R1456" s="1058"/>
      <c r="S1456" s="738">
        <f t="shared" si="143"/>
        <v>4713.1400000000003</v>
      </c>
      <c r="T1456" s="738" t="str">
        <f t="shared" si="144"/>
        <v>M2</v>
      </c>
    </row>
    <row r="1457" spans="1:20" x14ac:dyDescent="0.2">
      <c r="A1457" s="294"/>
      <c r="B1457" s="390"/>
      <c r="C1457" s="578" t="s">
        <v>1454</v>
      </c>
      <c r="D1457" s="870">
        <v>253</v>
      </c>
      <c r="E1457" s="871" t="s">
        <v>8</v>
      </c>
      <c r="F1457" s="668">
        <v>0</v>
      </c>
      <c r="G1457" s="870">
        <v>257</v>
      </c>
      <c r="H1457" s="871" t="s">
        <v>8</v>
      </c>
      <c r="I1457" s="668">
        <v>0</v>
      </c>
      <c r="K1457" s="297">
        <v>80</v>
      </c>
      <c r="L1457" s="876">
        <v>0.1</v>
      </c>
      <c r="M1457" s="426" t="s">
        <v>1465</v>
      </c>
      <c r="N1457" s="876">
        <v>4</v>
      </c>
      <c r="P1457" s="1056"/>
      <c r="Q1457" s="1057"/>
      <c r="R1457" s="1058"/>
      <c r="S1457" s="738">
        <f t="shared" si="143"/>
        <v>4713.1400000000003</v>
      </c>
      <c r="T1457" s="738" t="str">
        <f t="shared" si="144"/>
        <v>M2</v>
      </c>
    </row>
    <row r="1458" spans="1:20" x14ac:dyDescent="0.2">
      <c r="A1458" s="294"/>
      <c r="B1458" s="390"/>
      <c r="C1458" s="578" t="s">
        <v>1455</v>
      </c>
      <c r="D1458" s="870">
        <v>257</v>
      </c>
      <c r="E1458" s="871" t="s">
        <v>8</v>
      </c>
      <c r="F1458" s="668">
        <v>0</v>
      </c>
      <c r="G1458" s="870">
        <v>261</v>
      </c>
      <c r="H1458" s="871" t="s">
        <v>8</v>
      </c>
      <c r="I1458" s="668">
        <v>0</v>
      </c>
      <c r="K1458" s="297">
        <v>82</v>
      </c>
      <c r="L1458" s="876">
        <v>0.1</v>
      </c>
      <c r="M1458" s="426"/>
      <c r="N1458" s="876">
        <v>8.1999999999999993</v>
      </c>
      <c r="P1458" s="1056"/>
      <c r="Q1458" s="1057"/>
      <c r="R1458" s="1058"/>
      <c r="S1458" s="738">
        <f t="shared" si="143"/>
        <v>4713.1400000000003</v>
      </c>
      <c r="T1458" s="738" t="str">
        <f t="shared" si="144"/>
        <v>M2</v>
      </c>
    </row>
    <row r="1459" spans="1:20" x14ac:dyDescent="0.2">
      <c r="A1459" s="294"/>
      <c r="B1459" s="390"/>
      <c r="C1459" s="578" t="s">
        <v>1456</v>
      </c>
      <c r="D1459" s="870">
        <v>257</v>
      </c>
      <c r="E1459" s="871" t="s">
        <v>8</v>
      </c>
      <c r="F1459" s="668">
        <v>0</v>
      </c>
      <c r="G1459" s="870">
        <v>261</v>
      </c>
      <c r="H1459" s="871" t="s">
        <v>8</v>
      </c>
      <c r="I1459" s="668">
        <v>0</v>
      </c>
      <c r="K1459" s="297">
        <v>80</v>
      </c>
      <c r="L1459" s="876">
        <v>0.1</v>
      </c>
      <c r="M1459" s="426" t="s">
        <v>1465</v>
      </c>
      <c r="N1459" s="876">
        <v>4</v>
      </c>
      <c r="P1459" s="1056"/>
      <c r="Q1459" s="1057"/>
      <c r="R1459" s="1058"/>
      <c r="S1459" s="738">
        <f t="shared" ref="S1459:S1522" si="145">VLOOKUP("Total",C1460:O3120,12,FALSE)</f>
        <v>4713.1400000000003</v>
      </c>
      <c r="T1459" s="738" t="str">
        <f t="shared" ref="T1459:T1522" si="146">VLOOKUP("Total",C1460:O3120,13,FALSE)</f>
        <v>M2</v>
      </c>
    </row>
    <row r="1460" spans="1:20" x14ac:dyDescent="0.2">
      <c r="A1460" s="294"/>
      <c r="B1460" s="390"/>
      <c r="C1460" s="578" t="s">
        <v>1452</v>
      </c>
      <c r="D1460" s="870">
        <v>282</v>
      </c>
      <c r="E1460" s="871" t="s">
        <v>8</v>
      </c>
      <c r="F1460" s="668">
        <v>5</v>
      </c>
      <c r="G1460" s="870">
        <v>283</v>
      </c>
      <c r="H1460" s="871" t="s">
        <v>8</v>
      </c>
      <c r="I1460" s="668">
        <v>5</v>
      </c>
      <c r="K1460" s="297">
        <v>20</v>
      </c>
      <c r="L1460" s="876">
        <v>0.1</v>
      </c>
      <c r="M1460" s="426" t="s">
        <v>1465</v>
      </c>
      <c r="N1460" s="876">
        <v>1</v>
      </c>
      <c r="P1460" s="1056"/>
      <c r="Q1460" s="1057"/>
      <c r="R1460" s="1058"/>
      <c r="S1460" s="738">
        <f t="shared" si="145"/>
        <v>4713.1400000000003</v>
      </c>
      <c r="T1460" s="738" t="str">
        <f t="shared" si="146"/>
        <v>M2</v>
      </c>
    </row>
    <row r="1461" spans="1:20" x14ac:dyDescent="0.2">
      <c r="A1461" s="294"/>
      <c r="B1461" s="390"/>
      <c r="C1461" s="578" t="s">
        <v>1275</v>
      </c>
      <c r="D1461" s="870">
        <v>283</v>
      </c>
      <c r="E1461" s="871" t="s">
        <v>8</v>
      </c>
      <c r="F1461" s="668">
        <v>5</v>
      </c>
      <c r="G1461" s="870">
        <v>284</v>
      </c>
      <c r="H1461" s="871" t="s">
        <v>8</v>
      </c>
      <c r="I1461" s="668">
        <v>16</v>
      </c>
      <c r="K1461" s="297">
        <v>31</v>
      </c>
      <c r="L1461" s="876">
        <v>0.1</v>
      </c>
      <c r="M1461" s="426"/>
      <c r="N1461" s="876">
        <v>6.2</v>
      </c>
      <c r="P1461" s="1056"/>
      <c r="Q1461" s="1057"/>
      <c r="R1461" s="1058"/>
      <c r="S1461" s="738">
        <f t="shared" si="145"/>
        <v>4713.1400000000003</v>
      </c>
      <c r="T1461" s="738" t="str">
        <f t="shared" si="146"/>
        <v>M2</v>
      </c>
    </row>
    <row r="1462" spans="1:20" x14ac:dyDescent="0.2">
      <c r="A1462" s="294"/>
      <c r="B1462" s="390"/>
      <c r="C1462" s="578" t="s">
        <v>1303</v>
      </c>
      <c r="D1462" s="870">
        <v>328</v>
      </c>
      <c r="E1462" s="871" t="s">
        <v>8</v>
      </c>
      <c r="F1462" s="668">
        <v>0</v>
      </c>
      <c r="G1462" s="870">
        <v>338</v>
      </c>
      <c r="H1462" s="871" t="s">
        <v>8</v>
      </c>
      <c r="I1462" s="668">
        <v>0</v>
      </c>
      <c r="K1462" s="297">
        <v>200</v>
      </c>
      <c r="L1462" s="876">
        <v>0.1</v>
      </c>
      <c r="M1462" s="426" t="s">
        <v>1461</v>
      </c>
      <c r="N1462" s="876">
        <v>6.67</v>
      </c>
      <c r="P1462" s="1056"/>
      <c r="Q1462" s="1057"/>
      <c r="R1462" s="1058"/>
      <c r="S1462" s="738">
        <f t="shared" si="145"/>
        <v>4713.1400000000003</v>
      </c>
      <c r="T1462" s="738" t="str">
        <f t="shared" si="146"/>
        <v>M2</v>
      </c>
    </row>
    <row r="1463" spans="1:20" x14ac:dyDescent="0.2">
      <c r="A1463" s="294"/>
      <c r="B1463" s="390"/>
      <c r="C1463" s="578" t="s">
        <v>1275</v>
      </c>
      <c r="D1463" s="870">
        <v>338</v>
      </c>
      <c r="E1463" s="871" t="s">
        <v>8</v>
      </c>
      <c r="F1463" s="668">
        <v>0</v>
      </c>
      <c r="G1463" s="870">
        <v>340</v>
      </c>
      <c r="H1463" s="871" t="s">
        <v>8</v>
      </c>
      <c r="I1463" s="668">
        <v>5</v>
      </c>
      <c r="K1463" s="297">
        <v>45</v>
      </c>
      <c r="L1463" s="876">
        <v>0.1</v>
      </c>
      <c r="M1463" s="426"/>
      <c r="N1463" s="876">
        <v>9</v>
      </c>
      <c r="P1463" s="1056"/>
      <c r="Q1463" s="1057"/>
      <c r="R1463" s="1058"/>
      <c r="S1463" s="738">
        <f t="shared" si="145"/>
        <v>4713.1400000000003</v>
      </c>
      <c r="T1463" s="738" t="str">
        <f t="shared" si="146"/>
        <v>M2</v>
      </c>
    </row>
    <row r="1464" spans="1:20" x14ac:dyDescent="0.2">
      <c r="A1464" s="294"/>
      <c r="B1464" s="390"/>
      <c r="C1464" s="578" t="s">
        <v>1452</v>
      </c>
      <c r="D1464" s="870">
        <v>340</v>
      </c>
      <c r="E1464" s="871" t="s">
        <v>8</v>
      </c>
      <c r="F1464" s="668">
        <v>5</v>
      </c>
      <c r="G1464" s="870">
        <v>340</v>
      </c>
      <c r="H1464" s="871" t="s">
        <v>8</v>
      </c>
      <c r="I1464" s="668">
        <v>15</v>
      </c>
      <c r="K1464" s="297">
        <v>10</v>
      </c>
      <c r="L1464" s="876">
        <v>0.1</v>
      </c>
      <c r="M1464" s="426" t="s">
        <v>1465</v>
      </c>
      <c r="N1464" s="876">
        <v>0.5</v>
      </c>
      <c r="P1464" s="877"/>
      <c r="Q1464" s="878"/>
      <c r="R1464" s="920"/>
      <c r="S1464" s="738">
        <f t="shared" si="145"/>
        <v>4713.1400000000003</v>
      </c>
      <c r="T1464" s="738" t="str">
        <f t="shared" si="146"/>
        <v>M2</v>
      </c>
    </row>
    <row r="1465" spans="1:20" x14ac:dyDescent="0.2">
      <c r="A1465" s="294"/>
      <c r="B1465" s="390"/>
      <c r="C1465" s="578" t="s">
        <v>1275</v>
      </c>
      <c r="D1465" s="870">
        <v>340</v>
      </c>
      <c r="E1465" s="871" t="s">
        <v>8</v>
      </c>
      <c r="F1465" s="668">
        <v>15</v>
      </c>
      <c r="G1465" s="870">
        <v>374</v>
      </c>
      <c r="H1465" s="871" t="s">
        <v>8</v>
      </c>
      <c r="I1465" s="668">
        <v>0</v>
      </c>
      <c r="K1465" s="297">
        <v>665</v>
      </c>
      <c r="L1465" s="876">
        <v>0.1</v>
      </c>
      <c r="M1465" s="426"/>
      <c r="N1465" s="876">
        <v>133</v>
      </c>
      <c r="P1465" s="1056"/>
      <c r="Q1465" s="1057"/>
      <c r="R1465" s="1058"/>
      <c r="S1465" s="738">
        <f t="shared" si="145"/>
        <v>4713.1400000000003</v>
      </c>
      <c r="T1465" s="738" t="str">
        <f t="shared" si="146"/>
        <v>M2</v>
      </c>
    </row>
    <row r="1466" spans="1:20" x14ac:dyDescent="0.2">
      <c r="A1466" s="294"/>
      <c r="B1466" s="390"/>
      <c r="C1466" s="578" t="s">
        <v>1455</v>
      </c>
      <c r="D1466" s="870">
        <v>350</v>
      </c>
      <c r="E1466" s="871" t="s">
        <v>8</v>
      </c>
      <c r="F1466" s="668">
        <v>0</v>
      </c>
      <c r="G1466" s="870">
        <v>354</v>
      </c>
      <c r="H1466" s="871" t="s">
        <v>8</v>
      </c>
      <c r="I1466" s="668">
        <v>0</v>
      </c>
      <c r="K1466" s="297">
        <v>82</v>
      </c>
      <c r="L1466" s="876">
        <v>0.1</v>
      </c>
      <c r="M1466" s="426"/>
      <c r="N1466" s="876">
        <v>8.1999999999999993</v>
      </c>
      <c r="P1466" s="1056"/>
      <c r="Q1466" s="1057"/>
      <c r="R1466" s="1058"/>
      <c r="S1466" s="738">
        <f t="shared" si="145"/>
        <v>4713.1400000000003</v>
      </c>
      <c r="T1466" s="738" t="str">
        <f t="shared" si="146"/>
        <v>M2</v>
      </c>
    </row>
    <row r="1467" spans="1:20" x14ac:dyDescent="0.2">
      <c r="A1467" s="294"/>
      <c r="B1467" s="390"/>
      <c r="C1467" s="578" t="s">
        <v>1456</v>
      </c>
      <c r="D1467" s="870">
        <v>350</v>
      </c>
      <c r="E1467" s="871" t="s">
        <v>8</v>
      </c>
      <c r="F1467" s="668">
        <v>0</v>
      </c>
      <c r="G1467" s="870">
        <v>354</v>
      </c>
      <c r="H1467" s="871" t="s">
        <v>8</v>
      </c>
      <c r="I1467" s="668">
        <v>0</v>
      </c>
      <c r="K1467" s="297">
        <v>80</v>
      </c>
      <c r="L1467" s="876">
        <v>0.1</v>
      </c>
      <c r="M1467" s="426" t="s">
        <v>1465</v>
      </c>
      <c r="N1467" s="876">
        <v>4</v>
      </c>
      <c r="P1467" s="1056"/>
      <c r="Q1467" s="1057"/>
      <c r="R1467" s="1058"/>
      <c r="S1467" s="738">
        <f t="shared" si="145"/>
        <v>4713.1400000000003</v>
      </c>
      <c r="T1467" s="738" t="str">
        <f t="shared" si="146"/>
        <v>M2</v>
      </c>
    </row>
    <row r="1468" spans="1:20" x14ac:dyDescent="0.2">
      <c r="A1468" s="294"/>
      <c r="B1468" s="390"/>
      <c r="C1468" s="578" t="s">
        <v>1453</v>
      </c>
      <c r="D1468" s="870">
        <v>354</v>
      </c>
      <c r="E1468" s="871" t="s">
        <v>8</v>
      </c>
      <c r="F1468" s="668">
        <v>0</v>
      </c>
      <c r="G1468" s="870">
        <v>358</v>
      </c>
      <c r="H1468" s="871" t="s">
        <v>8</v>
      </c>
      <c r="I1468" s="668">
        <v>0</v>
      </c>
      <c r="K1468" s="297">
        <v>82</v>
      </c>
      <c r="L1468" s="876">
        <v>0.1</v>
      </c>
      <c r="M1468" s="426"/>
      <c r="N1468" s="876">
        <v>8.1999999999999993</v>
      </c>
      <c r="P1468" s="1056"/>
      <c r="Q1468" s="1057"/>
      <c r="R1468" s="1058"/>
      <c r="S1468" s="738">
        <f t="shared" si="145"/>
        <v>4713.1400000000003</v>
      </c>
      <c r="T1468" s="738" t="str">
        <f t="shared" si="146"/>
        <v>M2</v>
      </c>
    </row>
    <row r="1469" spans="1:20" x14ac:dyDescent="0.2">
      <c r="A1469" s="294"/>
      <c r="B1469" s="390"/>
      <c r="C1469" s="578" t="s">
        <v>1454</v>
      </c>
      <c r="D1469" s="870">
        <v>354</v>
      </c>
      <c r="E1469" s="871" t="s">
        <v>8</v>
      </c>
      <c r="F1469" s="668">
        <v>0</v>
      </c>
      <c r="G1469" s="870">
        <v>358</v>
      </c>
      <c r="H1469" s="871" t="s">
        <v>8</v>
      </c>
      <c r="I1469" s="668">
        <v>0</v>
      </c>
      <c r="K1469" s="297">
        <v>80</v>
      </c>
      <c r="L1469" s="876">
        <v>0.1</v>
      </c>
      <c r="M1469" s="426" t="s">
        <v>1465</v>
      </c>
      <c r="N1469" s="876">
        <v>4</v>
      </c>
      <c r="P1469" s="1056"/>
      <c r="Q1469" s="1057"/>
      <c r="R1469" s="1058"/>
      <c r="S1469" s="738">
        <f t="shared" si="145"/>
        <v>4713.1400000000003</v>
      </c>
      <c r="T1469" s="738" t="str">
        <f t="shared" si="146"/>
        <v>M2</v>
      </c>
    </row>
    <row r="1470" spans="1:20" x14ac:dyDescent="0.2">
      <c r="A1470" s="294"/>
      <c r="B1470" s="390"/>
      <c r="C1470" s="578" t="s">
        <v>1452</v>
      </c>
      <c r="D1470" s="870">
        <v>374</v>
      </c>
      <c r="E1470" s="871" t="s">
        <v>8</v>
      </c>
      <c r="F1470" s="668">
        <v>0</v>
      </c>
      <c r="G1470" s="870">
        <v>375</v>
      </c>
      <c r="H1470" s="871" t="s">
        <v>8</v>
      </c>
      <c r="I1470" s="668">
        <v>0</v>
      </c>
      <c r="K1470" s="297">
        <v>20</v>
      </c>
      <c r="L1470" s="876">
        <v>0.1</v>
      </c>
      <c r="M1470" s="426" t="s">
        <v>1465</v>
      </c>
      <c r="N1470" s="876">
        <v>1</v>
      </c>
      <c r="P1470" s="1056"/>
      <c r="Q1470" s="1057"/>
      <c r="R1470" s="1058"/>
      <c r="S1470" s="738">
        <f t="shared" si="145"/>
        <v>4713.1400000000003</v>
      </c>
      <c r="T1470" s="738" t="str">
        <f t="shared" si="146"/>
        <v>M2</v>
      </c>
    </row>
    <row r="1471" spans="1:20" x14ac:dyDescent="0.2">
      <c r="A1471" s="294"/>
      <c r="B1471" s="390"/>
      <c r="C1471" s="578" t="s">
        <v>1275</v>
      </c>
      <c r="D1471" s="870">
        <v>375</v>
      </c>
      <c r="E1471" s="871" t="s">
        <v>8</v>
      </c>
      <c r="F1471" s="668">
        <v>0</v>
      </c>
      <c r="G1471" s="870">
        <v>376</v>
      </c>
      <c r="H1471" s="871" t="s">
        <v>8</v>
      </c>
      <c r="I1471" s="668">
        <v>5</v>
      </c>
      <c r="K1471" s="297">
        <v>25</v>
      </c>
      <c r="L1471" s="876">
        <v>0.1</v>
      </c>
      <c r="M1471" s="426"/>
      <c r="N1471" s="876">
        <v>5</v>
      </c>
      <c r="P1471" s="1056"/>
      <c r="Q1471" s="1057"/>
      <c r="R1471" s="1058"/>
      <c r="S1471" s="738">
        <f t="shared" si="145"/>
        <v>4713.1400000000003</v>
      </c>
      <c r="T1471" s="738" t="str">
        <f t="shared" si="146"/>
        <v>M2</v>
      </c>
    </row>
    <row r="1472" spans="1:20" x14ac:dyDescent="0.2">
      <c r="A1472" s="294"/>
      <c r="B1472" s="390"/>
      <c r="C1472" s="578" t="s">
        <v>1452</v>
      </c>
      <c r="D1472" s="870">
        <v>376</v>
      </c>
      <c r="E1472" s="871" t="s">
        <v>8</v>
      </c>
      <c r="F1472" s="668">
        <v>5</v>
      </c>
      <c r="G1472" s="870">
        <v>377</v>
      </c>
      <c r="H1472" s="871" t="s">
        <v>8</v>
      </c>
      <c r="I1472" s="668">
        <v>5</v>
      </c>
      <c r="K1472" s="297">
        <v>20</v>
      </c>
      <c r="L1472" s="876">
        <v>0.1</v>
      </c>
      <c r="M1472" s="426" t="s">
        <v>1465</v>
      </c>
      <c r="N1472" s="876">
        <v>1</v>
      </c>
      <c r="P1472" s="1056"/>
      <c r="Q1472" s="1057"/>
      <c r="R1472" s="1058"/>
      <c r="S1472" s="738">
        <f t="shared" si="145"/>
        <v>4713.1400000000003</v>
      </c>
      <c r="T1472" s="738" t="str">
        <f t="shared" si="146"/>
        <v>M2</v>
      </c>
    </row>
    <row r="1473" spans="1:20" x14ac:dyDescent="0.2">
      <c r="A1473" s="294"/>
      <c r="B1473" s="390"/>
      <c r="C1473" s="578" t="s">
        <v>1275</v>
      </c>
      <c r="D1473" s="870">
        <v>377</v>
      </c>
      <c r="E1473" s="871" t="s">
        <v>8</v>
      </c>
      <c r="F1473" s="668">
        <v>5</v>
      </c>
      <c r="G1473" s="870">
        <v>402</v>
      </c>
      <c r="H1473" s="871" t="s">
        <v>8</v>
      </c>
      <c r="I1473" s="668">
        <v>0</v>
      </c>
      <c r="K1473" s="297">
        <v>495</v>
      </c>
      <c r="L1473" s="876">
        <v>0.1</v>
      </c>
      <c r="M1473" s="426"/>
      <c r="N1473" s="876">
        <v>99</v>
      </c>
      <c r="P1473" s="1056"/>
      <c r="Q1473" s="1057"/>
      <c r="R1473" s="1058"/>
      <c r="S1473" s="738">
        <f t="shared" si="145"/>
        <v>4713.1400000000003</v>
      </c>
      <c r="T1473" s="738" t="str">
        <f t="shared" si="146"/>
        <v>M2</v>
      </c>
    </row>
    <row r="1474" spans="1:20" x14ac:dyDescent="0.2">
      <c r="A1474" s="294"/>
      <c r="B1474" s="390"/>
      <c r="C1474" s="578" t="s">
        <v>1453</v>
      </c>
      <c r="D1474" s="870">
        <v>391</v>
      </c>
      <c r="E1474" s="871" t="s">
        <v>8</v>
      </c>
      <c r="F1474" s="668">
        <v>0</v>
      </c>
      <c r="G1474" s="870">
        <v>395</v>
      </c>
      <c r="H1474" s="871" t="s">
        <v>8</v>
      </c>
      <c r="I1474" s="668">
        <v>0</v>
      </c>
      <c r="K1474" s="297">
        <v>82</v>
      </c>
      <c r="L1474" s="876">
        <v>0.1</v>
      </c>
      <c r="M1474" s="426"/>
      <c r="N1474" s="876">
        <v>8.1999999999999993</v>
      </c>
      <c r="P1474" s="1056"/>
      <c r="Q1474" s="1057"/>
      <c r="R1474" s="1058"/>
      <c r="S1474" s="738">
        <f t="shared" si="145"/>
        <v>4713.1400000000003</v>
      </c>
      <c r="T1474" s="738" t="str">
        <f t="shared" si="146"/>
        <v>M2</v>
      </c>
    </row>
    <row r="1475" spans="1:20" x14ac:dyDescent="0.2">
      <c r="A1475" s="294"/>
      <c r="B1475" s="390"/>
      <c r="C1475" s="578" t="s">
        <v>1454</v>
      </c>
      <c r="D1475" s="870">
        <v>391</v>
      </c>
      <c r="E1475" s="871" t="s">
        <v>8</v>
      </c>
      <c r="F1475" s="668">
        <v>0</v>
      </c>
      <c r="G1475" s="870">
        <v>395</v>
      </c>
      <c r="H1475" s="871" t="s">
        <v>8</v>
      </c>
      <c r="I1475" s="668">
        <v>0</v>
      </c>
      <c r="K1475" s="297">
        <v>80</v>
      </c>
      <c r="L1475" s="876">
        <v>0.1</v>
      </c>
      <c r="M1475" s="426" t="s">
        <v>1465</v>
      </c>
      <c r="N1475" s="876">
        <v>4</v>
      </c>
      <c r="P1475" s="1056"/>
      <c r="Q1475" s="1057"/>
      <c r="R1475" s="1058"/>
      <c r="S1475" s="738">
        <f t="shared" si="145"/>
        <v>4713.1400000000003</v>
      </c>
      <c r="T1475" s="738" t="str">
        <f t="shared" si="146"/>
        <v>M2</v>
      </c>
    </row>
    <row r="1476" spans="1:20" x14ac:dyDescent="0.2">
      <c r="A1476" s="294"/>
      <c r="B1476" s="390"/>
      <c r="C1476" s="578" t="s">
        <v>1455</v>
      </c>
      <c r="D1476" s="870">
        <v>398</v>
      </c>
      <c r="E1476" s="871" t="s">
        <v>8</v>
      </c>
      <c r="F1476" s="668">
        <v>0</v>
      </c>
      <c r="G1476" s="870">
        <v>402</v>
      </c>
      <c r="H1476" s="871" t="s">
        <v>8</v>
      </c>
      <c r="I1476" s="668">
        <v>0</v>
      </c>
      <c r="K1476" s="297">
        <v>82</v>
      </c>
      <c r="L1476" s="876">
        <v>0.1</v>
      </c>
      <c r="M1476" s="426"/>
      <c r="N1476" s="876">
        <v>8.1999999999999993</v>
      </c>
      <c r="P1476" s="1056"/>
      <c r="Q1476" s="1057"/>
      <c r="R1476" s="1058"/>
      <c r="S1476" s="738">
        <f t="shared" si="145"/>
        <v>4713.1400000000003</v>
      </c>
      <c r="T1476" s="738" t="str">
        <f t="shared" si="146"/>
        <v>M2</v>
      </c>
    </row>
    <row r="1477" spans="1:20" x14ac:dyDescent="0.2">
      <c r="A1477" s="294"/>
      <c r="B1477" s="390"/>
      <c r="C1477" s="578" t="s">
        <v>1456</v>
      </c>
      <c r="D1477" s="870">
        <v>398</v>
      </c>
      <c r="E1477" s="871" t="s">
        <v>8</v>
      </c>
      <c r="F1477" s="668">
        <v>0</v>
      </c>
      <c r="G1477" s="870">
        <v>402</v>
      </c>
      <c r="H1477" s="871" t="s">
        <v>8</v>
      </c>
      <c r="I1477" s="668">
        <v>0</v>
      </c>
      <c r="K1477" s="297">
        <v>80</v>
      </c>
      <c r="L1477" s="876">
        <v>0.1</v>
      </c>
      <c r="M1477" s="426" t="s">
        <v>1465</v>
      </c>
      <c r="N1477" s="876">
        <v>4</v>
      </c>
      <c r="P1477" s="1056"/>
      <c r="Q1477" s="1057"/>
      <c r="R1477" s="1058"/>
      <c r="S1477" s="738">
        <f t="shared" si="145"/>
        <v>4713.1400000000003</v>
      </c>
      <c r="T1477" s="738" t="str">
        <f t="shared" si="146"/>
        <v>M2</v>
      </c>
    </row>
    <row r="1478" spans="1:20" x14ac:dyDescent="0.2">
      <c r="A1478" s="294"/>
      <c r="B1478" s="390"/>
      <c r="C1478" s="578" t="s">
        <v>1303</v>
      </c>
      <c r="D1478" s="870">
        <v>402</v>
      </c>
      <c r="E1478" s="871" t="s">
        <v>8</v>
      </c>
      <c r="F1478" s="668">
        <v>0</v>
      </c>
      <c r="G1478" s="870">
        <v>418</v>
      </c>
      <c r="H1478" s="871" t="s">
        <v>8</v>
      </c>
      <c r="I1478" s="668">
        <v>0</v>
      </c>
      <c r="K1478" s="297">
        <v>320</v>
      </c>
      <c r="L1478" s="876">
        <v>0.1</v>
      </c>
      <c r="M1478" s="426" t="s">
        <v>1461</v>
      </c>
      <c r="N1478" s="876">
        <v>10.67</v>
      </c>
      <c r="P1478" s="1056"/>
      <c r="Q1478" s="1057"/>
      <c r="R1478" s="1058"/>
      <c r="S1478" s="738">
        <f t="shared" si="145"/>
        <v>4713.1400000000003</v>
      </c>
      <c r="T1478" s="738" t="str">
        <f t="shared" si="146"/>
        <v>M2</v>
      </c>
    </row>
    <row r="1479" spans="1:20" x14ac:dyDescent="0.2">
      <c r="A1479" s="294"/>
      <c r="B1479" s="390"/>
      <c r="C1479" s="578" t="s">
        <v>1275</v>
      </c>
      <c r="D1479" s="870">
        <v>418</v>
      </c>
      <c r="E1479" s="871" t="s">
        <v>8</v>
      </c>
      <c r="F1479" s="668">
        <v>0</v>
      </c>
      <c r="G1479" s="870">
        <v>430</v>
      </c>
      <c r="H1479" s="871" t="s">
        <v>8</v>
      </c>
      <c r="I1479" s="668">
        <v>0</v>
      </c>
      <c r="K1479" s="297">
        <v>240</v>
      </c>
      <c r="L1479" s="876">
        <v>0.1</v>
      </c>
      <c r="M1479" s="426"/>
      <c r="N1479" s="876">
        <v>48</v>
      </c>
      <c r="P1479" s="1056"/>
      <c r="Q1479" s="1057"/>
      <c r="R1479" s="1058"/>
      <c r="S1479" s="738">
        <f t="shared" si="145"/>
        <v>4713.1400000000003</v>
      </c>
      <c r="T1479" s="738" t="str">
        <f t="shared" si="146"/>
        <v>M2</v>
      </c>
    </row>
    <row r="1480" spans="1:20" x14ac:dyDescent="0.2">
      <c r="A1480" s="294"/>
      <c r="B1480" s="390"/>
      <c r="C1480" s="578" t="s">
        <v>1453</v>
      </c>
      <c r="D1480" s="870">
        <v>420</v>
      </c>
      <c r="E1480" s="871" t="s">
        <v>8</v>
      </c>
      <c r="F1480" s="668">
        <v>0</v>
      </c>
      <c r="G1480" s="870">
        <v>424</v>
      </c>
      <c r="H1480" s="871" t="s">
        <v>8</v>
      </c>
      <c r="I1480" s="668">
        <v>0</v>
      </c>
      <c r="K1480" s="297">
        <v>82</v>
      </c>
      <c r="L1480" s="876">
        <v>0.1</v>
      </c>
      <c r="M1480" s="426"/>
      <c r="N1480" s="876">
        <v>8.1999999999999993</v>
      </c>
      <c r="P1480" s="1056"/>
      <c r="Q1480" s="1057"/>
      <c r="R1480" s="1058"/>
      <c r="S1480" s="738">
        <f t="shared" si="145"/>
        <v>4713.1400000000003</v>
      </c>
      <c r="T1480" s="738" t="str">
        <f t="shared" si="146"/>
        <v>M2</v>
      </c>
    </row>
    <row r="1481" spans="1:20" x14ac:dyDescent="0.2">
      <c r="A1481" s="294"/>
      <c r="B1481" s="390"/>
      <c r="C1481" s="578" t="s">
        <v>1454</v>
      </c>
      <c r="D1481" s="870">
        <v>420</v>
      </c>
      <c r="E1481" s="871" t="s">
        <v>8</v>
      </c>
      <c r="F1481" s="668">
        <v>0</v>
      </c>
      <c r="G1481" s="870">
        <v>424</v>
      </c>
      <c r="H1481" s="871" t="s">
        <v>8</v>
      </c>
      <c r="I1481" s="668">
        <v>0</v>
      </c>
      <c r="K1481" s="297">
        <v>80</v>
      </c>
      <c r="L1481" s="876">
        <v>0.1</v>
      </c>
      <c r="M1481" s="426" t="s">
        <v>1465</v>
      </c>
      <c r="N1481" s="876">
        <v>4</v>
      </c>
      <c r="P1481" s="1056"/>
      <c r="Q1481" s="1057"/>
      <c r="R1481" s="1058"/>
      <c r="S1481" s="738">
        <f t="shared" si="145"/>
        <v>4713.1400000000003</v>
      </c>
      <c r="T1481" s="738" t="str">
        <f t="shared" si="146"/>
        <v>M2</v>
      </c>
    </row>
    <row r="1482" spans="1:20" x14ac:dyDescent="0.2">
      <c r="A1482" s="294"/>
      <c r="B1482" s="390"/>
      <c r="C1482" s="578" t="s">
        <v>1455</v>
      </c>
      <c r="D1482" s="870">
        <v>424</v>
      </c>
      <c r="E1482" s="871" t="s">
        <v>8</v>
      </c>
      <c r="F1482" s="668">
        <v>0</v>
      </c>
      <c r="G1482" s="870">
        <v>428</v>
      </c>
      <c r="H1482" s="871" t="s">
        <v>8</v>
      </c>
      <c r="I1482" s="668">
        <v>0</v>
      </c>
      <c r="K1482" s="297">
        <v>82</v>
      </c>
      <c r="L1482" s="876">
        <v>0.1</v>
      </c>
      <c r="M1482" s="426"/>
      <c r="N1482" s="876">
        <v>8.1999999999999993</v>
      </c>
      <c r="P1482" s="1056"/>
      <c r="Q1482" s="1057"/>
      <c r="R1482" s="1058"/>
      <c r="S1482" s="738">
        <f t="shared" si="145"/>
        <v>4713.1400000000003</v>
      </c>
      <c r="T1482" s="738" t="str">
        <f t="shared" si="146"/>
        <v>M2</v>
      </c>
    </row>
    <row r="1483" spans="1:20" x14ac:dyDescent="0.2">
      <c r="A1483" s="294"/>
      <c r="B1483" s="390"/>
      <c r="C1483" s="578" t="s">
        <v>1456</v>
      </c>
      <c r="D1483" s="870">
        <v>424</v>
      </c>
      <c r="E1483" s="871" t="s">
        <v>8</v>
      </c>
      <c r="F1483" s="668">
        <v>0</v>
      </c>
      <c r="G1483" s="870">
        <v>428</v>
      </c>
      <c r="H1483" s="871" t="s">
        <v>8</v>
      </c>
      <c r="I1483" s="668">
        <v>0</v>
      </c>
      <c r="K1483" s="297">
        <v>80</v>
      </c>
      <c r="L1483" s="876">
        <v>0.1</v>
      </c>
      <c r="M1483" s="426" t="s">
        <v>1465</v>
      </c>
      <c r="N1483" s="876">
        <v>4</v>
      </c>
      <c r="P1483" s="1056"/>
      <c r="Q1483" s="1057"/>
      <c r="R1483" s="1058"/>
      <c r="S1483" s="738">
        <f t="shared" si="145"/>
        <v>4713.1400000000003</v>
      </c>
      <c r="T1483" s="738" t="str">
        <f t="shared" si="146"/>
        <v>M2</v>
      </c>
    </row>
    <row r="1484" spans="1:20" x14ac:dyDescent="0.2">
      <c r="A1484" s="294"/>
      <c r="B1484" s="390"/>
      <c r="C1484" s="578" t="s">
        <v>1303</v>
      </c>
      <c r="D1484" s="870">
        <v>430</v>
      </c>
      <c r="E1484" s="871" t="s">
        <v>8</v>
      </c>
      <c r="F1484" s="668">
        <v>0</v>
      </c>
      <c r="G1484" s="870">
        <v>449</v>
      </c>
      <c r="H1484" s="871" t="s">
        <v>8</v>
      </c>
      <c r="I1484" s="668">
        <v>0</v>
      </c>
      <c r="K1484" s="297">
        <v>380</v>
      </c>
      <c r="L1484" s="876">
        <v>0.1</v>
      </c>
      <c r="M1484" s="426" t="s">
        <v>1461</v>
      </c>
      <c r="N1484" s="876">
        <v>12.67</v>
      </c>
      <c r="P1484" s="1056"/>
      <c r="Q1484" s="1057"/>
      <c r="R1484" s="1058"/>
      <c r="S1484" s="738">
        <f t="shared" si="145"/>
        <v>4713.1400000000003</v>
      </c>
      <c r="T1484" s="738" t="str">
        <f t="shared" si="146"/>
        <v>M2</v>
      </c>
    </row>
    <row r="1485" spans="1:20" x14ac:dyDescent="0.2">
      <c r="A1485" s="294"/>
      <c r="B1485" s="390"/>
      <c r="C1485" s="578" t="s">
        <v>1275</v>
      </c>
      <c r="D1485" s="870">
        <v>449</v>
      </c>
      <c r="E1485" s="871" t="s">
        <v>8</v>
      </c>
      <c r="F1485" s="668">
        <v>0</v>
      </c>
      <c r="G1485" s="870">
        <v>460</v>
      </c>
      <c r="H1485" s="871" t="s">
        <v>8</v>
      </c>
      <c r="I1485" s="668">
        <v>0</v>
      </c>
      <c r="K1485" s="297">
        <v>220</v>
      </c>
      <c r="L1485" s="876">
        <v>0.1</v>
      </c>
      <c r="M1485" s="426"/>
      <c r="N1485" s="876">
        <v>44</v>
      </c>
      <c r="P1485" s="1056"/>
      <c r="Q1485" s="1057"/>
      <c r="R1485" s="1058"/>
      <c r="S1485" s="738">
        <f t="shared" si="145"/>
        <v>4713.1400000000003</v>
      </c>
      <c r="T1485" s="738" t="str">
        <f t="shared" si="146"/>
        <v>M2</v>
      </c>
    </row>
    <row r="1486" spans="1:20" x14ac:dyDescent="0.2">
      <c r="A1486" s="294"/>
      <c r="B1486" s="390"/>
      <c r="C1486" s="578" t="s">
        <v>1453</v>
      </c>
      <c r="D1486" s="870">
        <v>450</v>
      </c>
      <c r="E1486" s="871" t="s">
        <v>8</v>
      </c>
      <c r="F1486" s="668">
        <v>0</v>
      </c>
      <c r="G1486" s="870">
        <v>454</v>
      </c>
      <c r="H1486" s="871" t="s">
        <v>8</v>
      </c>
      <c r="I1486" s="668">
        <v>0</v>
      </c>
      <c r="K1486" s="297">
        <v>82</v>
      </c>
      <c r="L1486" s="876">
        <v>0.1</v>
      </c>
      <c r="M1486" s="426"/>
      <c r="N1486" s="876">
        <v>8.1999999999999993</v>
      </c>
      <c r="P1486" s="1056"/>
      <c r="Q1486" s="1057"/>
      <c r="R1486" s="1058"/>
      <c r="S1486" s="738">
        <f t="shared" si="145"/>
        <v>4713.1400000000003</v>
      </c>
      <c r="T1486" s="738" t="str">
        <f t="shared" si="146"/>
        <v>M2</v>
      </c>
    </row>
    <row r="1487" spans="1:20" x14ac:dyDescent="0.2">
      <c r="A1487" s="294"/>
      <c r="B1487" s="390"/>
      <c r="C1487" s="578" t="s">
        <v>1454</v>
      </c>
      <c r="D1487" s="870">
        <v>450</v>
      </c>
      <c r="E1487" s="871" t="s">
        <v>8</v>
      </c>
      <c r="F1487" s="668">
        <v>0</v>
      </c>
      <c r="G1487" s="870">
        <v>454</v>
      </c>
      <c r="H1487" s="871" t="s">
        <v>8</v>
      </c>
      <c r="I1487" s="668">
        <v>0</v>
      </c>
      <c r="K1487" s="297">
        <v>80</v>
      </c>
      <c r="L1487" s="876">
        <v>0.1</v>
      </c>
      <c r="M1487" s="426" t="s">
        <v>1465</v>
      </c>
      <c r="N1487" s="876">
        <v>4</v>
      </c>
      <c r="P1487" s="1056"/>
      <c r="Q1487" s="1057"/>
      <c r="R1487" s="1058"/>
      <c r="S1487" s="738">
        <f t="shared" si="145"/>
        <v>4713.1400000000003</v>
      </c>
      <c r="T1487" s="738" t="str">
        <f t="shared" si="146"/>
        <v>M2</v>
      </c>
    </row>
    <row r="1488" spans="1:20" x14ac:dyDescent="0.2">
      <c r="A1488" s="294"/>
      <c r="B1488" s="390"/>
      <c r="C1488" s="578" t="s">
        <v>1455</v>
      </c>
      <c r="D1488" s="870">
        <v>454</v>
      </c>
      <c r="E1488" s="871" t="s">
        <v>8</v>
      </c>
      <c r="F1488" s="668">
        <v>0</v>
      </c>
      <c r="G1488" s="870">
        <v>458</v>
      </c>
      <c r="H1488" s="871" t="s">
        <v>8</v>
      </c>
      <c r="I1488" s="668">
        <v>0</v>
      </c>
      <c r="K1488" s="297">
        <v>82</v>
      </c>
      <c r="L1488" s="876">
        <v>0.1</v>
      </c>
      <c r="M1488" s="426"/>
      <c r="N1488" s="876">
        <v>8.1999999999999993</v>
      </c>
      <c r="P1488" s="1056"/>
      <c r="Q1488" s="1057"/>
      <c r="R1488" s="1058"/>
      <c r="S1488" s="738">
        <f t="shared" si="145"/>
        <v>4713.1400000000003</v>
      </c>
      <c r="T1488" s="738" t="str">
        <f t="shared" si="146"/>
        <v>M2</v>
      </c>
    </row>
    <row r="1489" spans="1:20" x14ac:dyDescent="0.2">
      <c r="A1489" s="294"/>
      <c r="B1489" s="390"/>
      <c r="C1489" s="578" t="s">
        <v>1456</v>
      </c>
      <c r="D1489" s="870">
        <v>454</v>
      </c>
      <c r="E1489" s="871" t="s">
        <v>8</v>
      </c>
      <c r="F1489" s="668">
        <v>0</v>
      </c>
      <c r="G1489" s="870">
        <v>458</v>
      </c>
      <c r="H1489" s="871" t="s">
        <v>8</v>
      </c>
      <c r="I1489" s="668">
        <v>0</v>
      </c>
      <c r="K1489" s="297">
        <v>80</v>
      </c>
      <c r="L1489" s="876">
        <v>0.1</v>
      </c>
      <c r="M1489" s="426" t="s">
        <v>1465</v>
      </c>
      <c r="N1489" s="876">
        <v>4</v>
      </c>
      <c r="P1489" s="1056"/>
      <c r="Q1489" s="1057"/>
      <c r="R1489" s="1058"/>
      <c r="S1489" s="738">
        <f t="shared" si="145"/>
        <v>4713.1400000000003</v>
      </c>
      <c r="T1489" s="738" t="str">
        <f t="shared" si="146"/>
        <v>M2</v>
      </c>
    </row>
    <row r="1490" spans="1:20" x14ac:dyDescent="0.2">
      <c r="A1490" s="294"/>
      <c r="B1490" s="390"/>
      <c r="C1490" s="578" t="s">
        <v>1303</v>
      </c>
      <c r="D1490" s="870">
        <v>460</v>
      </c>
      <c r="E1490" s="871" t="s">
        <v>8</v>
      </c>
      <c r="F1490" s="668">
        <v>0</v>
      </c>
      <c r="G1490" s="870">
        <v>485</v>
      </c>
      <c r="H1490" s="871" t="s">
        <v>8</v>
      </c>
      <c r="I1490" s="668">
        <v>0</v>
      </c>
      <c r="K1490" s="297">
        <v>500</v>
      </c>
      <c r="L1490" s="876">
        <v>0.1</v>
      </c>
      <c r="M1490" s="426" t="s">
        <v>1461</v>
      </c>
      <c r="N1490" s="876">
        <v>16.670000000000002</v>
      </c>
      <c r="P1490" s="1056"/>
      <c r="Q1490" s="1057"/>
      <c r="R1490" s="1058"/>
      <c r="S1490" s="738">
        <f t="shared" si="145"/>
        <v>4713.1400000000003</v>
      </c>
      <c r="T1490" s="738" t="str">
        <f t="shared" si="146"/>
        <v>M2</v>
      </c>
    </row>
    <row r="1491" spans="1:20" x14ac:dyDescent="0.2">
      <c r="A1491" s="294"/>
      <c r="B1491" s="390"/>
      <c r="C1491" s="578" t="s">
        <v>1275</v>
      </c>
      <c r="D1491" s="870">
        <v>485</v>
      </c>
      <c r="E1491" s="871" t="s">
        <v>8</v>
      </c>
      <c r="F1491" s="668">
        <v>0</v>
      </c>
      <c r="G1491" s="870">
        <v>498</v>
      </c>
      <c r="H1491" s="871" t="s">
        <v>8</v>
      </c>
      <c r="I1491" s="668">
        <v>0</v>
      </c>
      <c r="K1491" s="297">
        <v>260</v>
      </c>
      <c r="L1491" s="876">
        <v>0.1</v>
      </c>
      <c r="M1491" s="426"/>
      <c r="N1491" s="876">
        <v>52</v>
      </c>
      <c r="P1491" s="1056"/>
      <c r="Q1491" s="1057"/>
      <c r="R1491" s="1058"/>
      <c r="S1491" s="738">
        <f t="shared" si="145"/>
        <v>4713.1400000000003</v>
      </c>
      <c r="T1491" s="738" t="str">
        <f t="shared" si="146"/>
        <v>M2</v>
      </c>
    </row>
    <row r="1492" spans="1:20" x14ac:dyDescent="0.2">
      <c r="A1492" s="294"/>
      <c r="B1492" s="390"/>
      <c r="C1492" s="578" t="s">
        <v>1453</v>
      </c>
      <c r="D1492" s="870">
        <v>486</v>
      </c>
      <c r="E1492" s="871" t="s">
        <v>8</v>
      </c>
      <c r="F1492" s="668">
        <v>0</v>
      </c>
      <c r="G1492" s="870">
        <v>490</v>
      </c>
      <c r="H1492" s="871" t="s">
        <v>8</v>
      </c>
      <c r="I1492" s="668">
        <v>0</v>
      </c>
      <c r="K1492" s="297">
        <v>82</v>
      </c>
      <c r="L1492" s="876">
        <v>0.1</v>
      </c>
      <c r="M1492" s="426"/>
      <c r="N1492" s="876">
        <v>8.1999999999999993</v>
      </c>
      <c r="P1492" s="1056"/>
      <c r="Q1492" s="1057"/>
      <c r="R1492" s="1058"/>
      <c r="S1492" s="738">
        <f t="shared" si="145"/>
        <v>4713.1400000000003</v>
      </c>
      <c r="T1492" s="738" t="str">
        <f t="shared" si="146"/>
        <v>M2</v>
      </c>
    </row>
    <row r="1493" spans="1:20" x14ac:dyDescent="0.2">
      <c r="A1493" s="294"/>
      <c r="B1493" s="390"/>
      <c r="C1493" s="578" t="s">
        <v>1454</v>
      </c>
      <c r="D1493" s="870">
        <v>486</v>
      </c>
      <c r="E1493" s="871" t="s">
        <v>8</v>
      </c>
      <c r="F1493" s="668">
        <v>0</v>
      </c>
      <c r="G1493" s="870">
        <v>490</v>
      </c>
      <c r="H1493" s="871" t="s">
        <v>8</v>
      </c>
      <c r="I1493" s="668">
        <v>0</v>
      </c>
      <c r="K1493" s="297">
        <v>80</v>
      </c>
      <c r="L1493" s="876">
        <v>0.1</v>
      </c>
      <c r="M1493" s="426" t="s">
        <v>1465</v>
      </c>
      <c r="N1493" s="876">
        <v>4</v>
      </c>
      <c r="P1493" s="1056"/>
      <c r="Q1493" s="1057"/>
      <c r="R1493" s="1058"/>
      <c r="S1493" s="738">
        <f t="shared" si="145"/>
        <v>4713.1400000000003</v>
      </c>
      <c r="T1493" s="738" t="str">
        <f t="shared" si="146"/>
        <v>M2</v>
      </c>
    </row>
    <row r="1494" spans="1:20" x14ac:dyDescent="0.2">
      <c r="A1494" s="294"/>
      <c r="B1494" s="390"/>
      <c r="C1494" s="578" t="s">
        <v>1455</v>
      </c>
      <c r="D1494" s="870">
        <v>490</v>
      </c>
      <c r="E1494" s="871" t="s">
        <v>8</v>
      </c>
      <c r="F1494" s="668">
        <v>0</v>
      </c>
      <c r="G1494" s="870">
        <v>494</v>
      </c>
      <c r="H1494" s="871" t="s">
        <v>8</v>
      </c>
      <c r="I1494" s="668">
        <v>0</v>
      </c>
      <c r="K1494" s="297">
        <v>82</v>
      </c>
      <c r="L1494" s="876">
        <v>0.1</v>
      </c>
      <c r="M1494" s="426"/>
      <c r="N1494" s="876">
        <v>8.1999999999999993</v>
      </c>
      <c r="P1494" s="1056"/>
      <c r="Q1494" s="1057"/>
      <c r="R1494" s="1058"/>
      <c r="S1494" s="738">
        <f t="shared" si="145"/>
        <v>4713.1400000000003</v>
      </c>
      <c r="T1494" s="738" t="str">
        <f t="shared" si="146"/>
        <v>M2</v>
      </c>
    </row>
    <row r="1495" spans="1:20" x14ac:dyDescent="0.2">
      <c r="A1495" s="294"/>
      <c r="B1495" s="390"/>
      <c r="C1495" s="578" t="s">
        <v>1456</v>
      </c>
      <c r="D1495" s="870">
        <v>490</v>
      </c>
      <c r="E1495" s="871" t="s">
        <v>8</v>
      </c>
      <c r="F1495" s="668">
        <v>0</v>
      </c>
      <c r="G1495" s="870">
        <v>494</v>
      </c>
      <c r="H1495" s="871" t="s">
        <v>8</v>
      </c>
      <c r="I1495" s="668">
        <v>0</v>
      </c>
      <c r="K1495" s="297">
        <v>80</v>
      </c>
      <c r="L1495" s="876">
        <v>0.1</v>
      </c>
      <c r="M1495" s="426" t="s">
        <v>1465</v>
      </c>
      <c r="N1495" s="876">
        <v>4</v>
      </c>
      <c r="P1495" s="1056"/>
      <c r="Q1495" s="1057"/>
      <c r="R1495" s="1058"/>
      <c r="S1495" s="738">
        <f t="shared" si="145"/>
        <v>4713.1400000000003</v>
      </c>
      <c r="T1495" s="738" t="str">
        <f t="shared" si="146"/>
        <v>M2</v>
      </c>
    </row>
    <row r="1496" spans="1:20" x14ac:dyDescent="0.2">
      <c r="A1496" s="294"/>
      <c r="B1496" s="390"/>
      <c r="C1496" s="578" t="s">
        <v>1305</v>
      </c>
      <c r="D1496" s="870">
        <v>498</v>
      </c>
      <c r="E1496" s="871" t="s">
        <v>8</v>
      </c>
      <c r="F1496" s="668">
        <v>0</v>
      </c>
      <c r="G1496" s="870">
        <v>533</v>
      </c>
      <c r="H1496" s="871" t="s">
        <v>8</v>
      </c>
      <c r="I1496" s="668">
        <v>0</v>
      </c>
      <c r="K1496" s="297">
        <v>700</v>
      </c>
      <c r="L1496" s="876">
        <v>0.1</v>
      </c>
      <c r="M1496" s="426"/>
      <c r="N1496" s="876">
        <v>93.33</v>
      </c>
      <c r="P1496" s="1056"/>
      <c r="Q1496" s="1057"/>
      <c r="R1496" s="1058"/>
      <c r="S1496" s="738">
        <f t="shared" si="145"/>
        <v>4713.1400000000003</v>
      </c>
      <c r="T1496" s="738" t="str">
        <f t="shared" si="146"/>
        <v>M2</v>
      </c>
    </row>
    <row r="1497" spans="1:20" x14ac:dyDescent="0.2">
      <c r="A1497" s="294"/>
      <c r="B1497" s="390"/>
      <c r="C1497" s="578" t="s">
        <v>1453</v>
      </c>
      <c r="D1497" s="870">
        <v>517</v>
      </c>
      <c r="E1497" s="871" t="s">
        <v>8</v>
      </c>
      <c r="F1497" s="668">
        <v>0</v>
      </c>
      <c r="G1497" s="870">
        <v>521</v>
      </c>
      <c r="H1497" s="871" t="s">
        <v>8</v>
      </c>
      <c r="I1497" s="668">
        <v>0</v>
      </c>
      <c r="K1497" s="297">
        <v>82</v>
      </c>
      <c r="L1497" s="876">
        <v>0.1</v>
      </c>
      <c r="M1497" s="426"/>
      <c r="N1497" s="876">
        <v>8.1999999999999993</v>
      </c>
      <c r="P1497" s="1056"/>
      <c r="Q1497" s="1057"/>
      <c r="R1497" s="1058"/>
      <c r="S1497" s="738">
        <f t="shared" si="145"/>
        <v>4713.1400000000003</v>
      </c>
      <c r="T1497" s="738" t="str">
        <f t="shared" si="146"/>
        <v>M2</v>
      </c>
    </row>
    <row r="1498" spans="1:20" x14ac:dyDescent="0.2">
      <c r="A1498" s="294"/>
      <c r="B1498" s="390"/>
      <c r="C1498" s="578" t="s">
        <v>1454</v>
      </c>
      <c r="D1498" s="870">
        <v>517</v>
      </c>
      <c r="E1498" s="871" t="s">
        <v>8</v>
      </c>
      <c r="F1498" s="668">
        <v>0</v>
      </c>
      <c r="G1498" s="870">
        <v>521</v>
      </c>
      <c r="H1498" s="871" t="s">
        <v>8</v>
      </c>
      <c r="I1498" s="668">
        <v>0</v>
      </c>
      <c r="K1498" s="297">
        <v>80</v>
      </c>
      <c r="L1498" s="876">
        <v>0.1</v>
      </c>
      <c r="M1498" s="426" t="s">
        <v>1465</v>
      </c>
      <c r="N1498" s="876">
        <v>4</v>
      </c>
      <c r="P1498" s="1056"/>
      <c r="Q1498" s="1057"/>
      <c r="R1498" s="1058"/>
      <c r="S1498" s="738">
        <f t="shared" si="145"/>
        <v>4713.1400000000003</v>
      </c>
      <c r="T1498" s="738" t="str">
        <f t="shared" si="146"/>
        <v>M2</v>
      </c>
    </row>
    <row r="1499" spans="1:20" x14ac:dyDescent="0.2">
      <c r="A1499" s="294"/>
      <c r="B1499" s="390"/>
      <c r="C1499" s="578" t="s">
        <v>1455</v>
      </c>
      <c r="D1499" s="870">
        <v>523</v>
      </c>
      <c r="E1499" s="871" t="s">
        <v>8</v>
      </c>
      <c r="F1499" s="668">
        <v>0</v>
      </c>
      <c r="G1499" s="870">
        <v>527</v>
      </c>
      <c r="H1499" s="871" t="s">
        <v>8</v>
      </c>
      <c r="I1499" s="668">
        <v>0</v>
      </c>
      <c r="K1499" s="297">
        <v>82</v>
      </c>
      <c r="L1499" s="876">
        <v>0.1</v>
      </c>
      <c r="M1499" s="426"/>
      <c r="N1499" s="876">
        <v>8.1999999999999993</v>
      </c>
      <c r="P1499" s="1056"/>
      <c r="Q1499" s="1057"/>
      <c r="R1499" s="1058"/>
      <c r="S1499" s="738">
        <f t="shared" si="145"/>
        <v>4713.1400000000003</v>
      </c>
      <c r="T1499" s="738" t="str">
        <f t="shared" si="146"/>
        <v>M2</v>
      </c>
    </row>
    <row r="1500" spans="1:20" x14ac:dyDescent="0.2">
      <c r="A1500" s="294"/>
      <c r="B1500" s="390"/>
      <c r="C1500" s="578" t="s">
        <v>1456</v>
      </c>
      <c r="D1500" s="870">
        <v>523</v>
      </c>
      <c r="E1500" s="871" t="s">
        <v>8</v>
      </c>
      <c r="F1500" s="668">
        <v>0</v>
      </c>
      <c r="G1500" s="870">
        <v>527</v>
      </c>
      <c r="H1500" s="871" t="s">
        <v>8</v>
      </c>
      <c r="I1500" s="668">
        <v>0</v>
      </c>
      <c r="K1500" s="297">
        <v>80</v>
      </c>
      <c r="L1500" s="876">
        <v>0.1</v>
      </c>
      <c r="M1500" s="426" t="s">
        <v>1465</v>
      </c>
      <c r="N1500" s="876">
        <v>4</v>
      </c>
      <c r="P1500" s="1056"/>
      <c r="Q1500" s="1057"/>
      <c r="R1500" s="1058"/>
      <c r="S1500" s="738">
        <f t="shared" si="145"/>
        <v>4713.1400000000003</v>
      </c>
      <c r="T1500" s="738" t="str">
        <f t="shared" si="146"/>
        <v>M2</v>
      </c>
    </row>
    <row r="1501" spans="1:20" x14ac:dyDescent="0.2">
      <c r="A1501" s="294"/>
      <c r="B1501" s="390"/>
      <c r="C1501" s="578" t="s">
        <v>1275</v>
      </c>
      <c r="D1501" s="870">
        <v>533</v>
      </c>
      <c r="E1501" s="871" t="s">
        <v>8</v>
      </c>
      <c r="F1501" s="668">
        <v>0</v>
      </c>
      <c r="G1501" s="870">
        <v>538</v>
      </c>
      <c r="H1501" s="871" t="s">
        <v>8</v>
      </c>
      <c r="I1501" s="668">
        <v>0</v>
      </c>
      <c r="K1501" s="876">
        <v>100</v>
      </c>
      <c r="L1501" s="876">
        <v>0.1</v>
      </c>
      <c r="M1501" s="426"/>
      <c r="N1501" s="876">
        <v>20</v>
      </c>
      <c r="P1501" s="1056"/>
      <c r="Q1501" s="1057"/>
      <c r="R1501" s="1058"/>
      <c r="S1501" s="738">
        <f t="shared" si="145"/>
        <v>4713.1400000000003</v>
      </c>
      <c r="T1501" s="738" t="str">
        <f t="shared" si="146"/>
        <v>M2</v>
      </c>
    </row>
    <row r="1502" spans="1:20" x14ac:dyDescent="0.2">
      <c r="A1502" s="294"/>
      <c r="B1502" s="390"/>
      <c r="C1502" s="578" t="s">
        <v>1452</v>
      </c>
      <c r="D1502" s="870">
        <v>538</v>
      </c>
      <c r="E1502" s="871" t="s">
        <v>8</v>
      </c>
      <c r="F1502" s="668">
        <v>0</v>
      </c>
      <c r="G1502" s="870">
        <v>538</v>
      </c>
      <c r="H1502" s="871" t="s">
        <v>8</v>
      </c>
      <c r="I1502" s="668">
        <v>10</v>
      </c>
      <c r="K1502" s="876">
        <v>10</v>
      </c>
      <c r="L1502" s="876">
        <v>0.1</v>
      </c>
      <c r="M1502" s="426" t="s">
        <v>1465</v>
      </c>
      <c r="N1502" s="876">
        <v>0.5</v>
      </c>
      <c r="P1502" s="877"/>
      <c r="Q1502" s="878"/>
      <c r="R1502" s="920"/>
      <c r="S1502" s="738">
        <f t="shared" si="145"/>
        <v>4713.1400000000003</v>
      </c>
      <c r="T1502" s="738" t="str">
        <f t="shared" si="146"/>
        <v>M2</v>
      </c>
    </row>
    <row r="1503" spans="1:20" x14ac:dyDescent="0.2">
      <c r="A1503" s="294"/>
      <c r="B1503" s="390"/>
      <c r="C1503" s="578" t="s">
        <v>1275</v>
      </c>
      <c r="D1503" s="870">
        <v>538</v>
      </c>
      <c r="E1503" s="871" t="s">
        <v>8</v>
      </c>
      <c r="F1503" s="668">
        <v>10</v>
      </c>
      <c r="G1503" s="870">
        <v>561</v>
      </c>
      <c r="H1503" s="871" t="s">
        <v>8</v>
      </c>
      <c r="I1503" s="668">
        <v>12.45</v>
      </c>
      <c r="K1503" s="876">
        <v>463.45</v>
      </c>
      <c r="L1503" s="876">
        <v>0.1</v>
      </c>
      <c r="M1503" s="426"/>
      <c r="N1503" s="876">
        <v>92.69</v>
      </c>
      <c r="P1503" s="1056"/>
      <c r="Q1503" s="1057"/>
      <c r="R1503" s="1058"/>
      <c r="S1503" s="738">
        <f t="shared" si="145"/>
        <v>4713.1400000000003</v>
      </c>
      <c r="T1503" s="738" t="str">
        <f t="shared" si="146"/>
        <v>M2</v>
      </c>
    </row>
    <row r="1504" spans="1:20" x14ac:dyDescent="0.2">
      <c r="A1504" s="294"/>
      <c r="B1504" s="390"/>
      <c r="C1504" s="578" t="s">
        <v>1453</v>
      </c>
      <c r="D1504" s="870">
        <v>551</v>
      </c>
      <c r="E1504" s="871" t="s">
        <v>8</v>
      </c>
      <c r="F1504" s="668">
        <v>0</v>
      </c>
      <c r="G1504" s="870">
        <v>555</v>
      </c>
      <c r="H1504" s="871" t="s">
        <v>8</v>
      </c>
      <c r="I1504" s="668">
        <v>0</v>
      </c>
      <c r="K1504" s="297">
        <v>82</v>
      </c>
      <c r="L1504" s="876">
        <v>0.1</v>
      </c>
      <c r="M1504" s="426"/>
      <c r="N1504" s="876">
        <v>8.1999999999999993</v>
      </c>
      <c r="P1504" s="1056"/>
      <c r="Q1504" s="1057"/>
      <c r="R1504" s="1058"/>
      <c r="S1504" s="738">
        <f t="shared" si="145"/>
        <v>4713.1400000000003</v>
      </c>
      <c r="T1504" s="738" t="str">
        <f t="shared" si="146"/>
        <v>M2</v>
      </c>
    </row>
    <row r="1505" spans="1:31" x14ac:dyDescent="0.2">
      <c r="A1505" s="294"/>
      <c r="B1505" s="390"/>
      <c r="C1505" s="578" t="s">
        <v>1454</v>
      </c>
      <c r="D1505" s="870">
        <v>551</v>
      </c>
      <c r="E1505" s="871" t="s">
        <v>8</v>
      </c>
      <c r="F1505" s="668">
        <v>0</v>
      </c>
      <c r="G1505" s="870">
        <v>555</v>
      </c>
      <c r="H1505" s="871" t="s">
        <v>8</v>
      </c>
      <c r="I1505" s="668">
        <v>0</v>
      </c>
      <c r="K1505" s="297">
        <v>80</v>
      </c>
      <c r="L1505" s="876">
        <v>0.1</v>
      </c>
      <c r="M1505" s="426" t="s">
        <v>1465</v>
      </c>
      <c r="N1505" s="876">
        <v>4</v>
      </c>
      <c r="P1505" s="1056"/>
      <c r="Q1505" s="1057"/>
      <c r="R1505" s="1058"/>
      <c r="S1505" s="738">
        <f t="shared" si="145"/>
        <v>4713.1400000000003</v>
      </c>
      <c r="T1505" s="738" t="str">
        <f t="shared" si="146"/>
        <v>M2</v>
      </c>
    </row>
    <row r="1506" spans="1:31" x14ac:dyDescent="0.2">
      <c r="A1506" s="294"/>
      <c r="B1506" s="390"/>
      <c r="C1506" s="578" t="s">
        <v>1455</v>
      </c>
      <c r="D1506" s="870">
        <v>555</v>
      </c>
      <c r="E1506" s="871" t="s">
        <v>8</v>
      </c>
      <c r="F1506" s="668">
        <v>0</v>
      </c>
      <c r="G1506" s="870">
        <v>559</v>
      </c>
      <c r="H1506" s="871" t="s">
        <v>8</v>
      </c>
      <c r="I1506" s="668">
        <v>0</v>
      </c>
      <c r="K1506" s="297">
        <v>82</v>
      </c>
      <c r="L1506" s="876">
        <v>0.1</v>
      </c>
      <c r="M1506" s="426"/>
      <c r="N1506" s="876">
        <v>8.1999999999999993</v>
      </c>
      <c r="P1506" s="1056"/>
      <c r="Q1506" s="1057"/>
      <c r="R1506" s="1058"/>
      <c r="S1506" s="738">
        <f t="shared" si="145"/>
        <v>4713.1400000000003</v>
      </c>
      <c r="T1506" s="738" t="str">
        <f t="shared" si="146"/>
        <v>M2</v>
      </c>
    </row>
    <row r="1507" spans="1:31" x14ac:dyDescent="0.2">
      <c r="A1507" s="294"/>
      <c r="B1507" s="390"/>
      <c r="C1507" s="578" t="s">
        <v>1456</v>
      </c>
      <c r="D1507" s="870">
        <v>555</v>
      </c>
      <c r="E1507" s="871" t="s">
        <v>8</v>
      </c>
      <c r="F1507" s="668">
        <v>0</v>
      </c>
      <c r="G1507" s="870">
        <v>559</v>
      </c>
      <c r="H1507" s="871" t="s">
        <v>8</v>
      </c>
      <c r="I1507" s="668">
        <v>0</v>
      </c>
      <c r="K1507" s="297">
        <v>80</v>
      </c>
      <c r="L1507" s="876">
        <v>0.1</v>
      </c>
      <c r="M1507" s="426" t="s">
        <v>1465</v>
      </c>
      <c r="N1507" s="876">
        <v>4</v>
      </c>
      <c r="P1507" s="1056"/>
      <c r="Q1507" s="1057"/>
      <c r="R1507" s="1058"/>
      <c r="S1507" s="738">
        <f t="shared" si="145"/>
        <v>4713.1400000000003</v>
      </c>
      <c r="T1507" s="738" t="str">
        <f t="shared" si="146"/>
        <v>M2</v>
      </c>
    </row>
    <row r="1508" spans="1:31" x14ac:dyDescent="0.2">
      <c r="A1508" s="294"/>
      <c r="B1508" s="390"/>
      <c r="C1508" s="744" t="s">
        <v>1553</v>
      </c>
      <c r="D1508" s="871"/>
      <c r="E1508" s="871"/>
      <c r="F1508" s="668"/>
      <c r="G1508" s="870"/>
      <c r="H1508" s="871"/>
      <c r="I1508" s="668"/>
      <c r="L1508" s="876"/>
      <c r="M1508" s="426"/>
      <c r="N1508" s="876"/>
      <c r="P1508" s="878"/>
      <c r="Q1508" s="878"/>
      <c r="R1508" s="920"/>
      <c r="S1508" s="738">
        <f t="shared" si="145"/>
        <v>4713.1400000000003</v>
      </c>
      <c r="T1508" s="738" t="str">
        <f t="shared" si="146"/>
        <v>M2</v>
      </c>
    </row>
    <row r="1509" spans="1:31" x14ac:dyDescent="0.2">
      <c r="A1509" s="294"/>
      <c r="B1509" s="769"/>
      <c r="C1509" s="770" t="s">
        <v>1583</v>
      </c>
      <c r="D1509" s="296">
        <v>0</v>
      </c>
      <c r="E1509" s="291" t="s">
        <v>8</v>
      </c>
      <c r="F1509" s="292">
        <v>0</v>
      </c>
      <c r="G1509" s="290">
        <v>9</v>
      </c>
      <c r="H1509" s="292" t="s">
        <v>8</v>
      </c>
      <c r="I1509" s="292">
        <v>0</v>
      </c>
      <c r="J1509" s="349" t="s">
        <v>1584</v>
      </c>
      <c r="K1509" s="298">
        <f t="shared" ref="K1509:K1540" si="147">+G1509*20+I1509-D1509*20-F1509</f>
        <v>180</v>
      </c>
      <c r="L1509" s="875">
        <v>0.1</v>
      </c>
      <c r="N1509" s="876">
        <f>TRUNC(K1509*0.1*0.5,2)</f>
        <v>9</v>
      </c>
      <c r="O1509" s="351"/>
      <c r="P1509" s="882"/>
      <c r="Q1509" s="880"/>
      <c r="R1509" s="898"/>
      <c r="S1509" s="738">
        <f t="shared" si="145"/>
        <v>4713.1400000000003</v>
      </c>
      <c r="T1509" s="738" t="str">
        <f t="shared" si="146"/>
        <v>M2</v>
      </c>
      <c r="U1509" s="771"/>
      <c r="V1509" s="772"/>
      <c r="W1509" s="772"/>
      <c r="X1509" s="772"/>
      <c r="Y1509" s="772"/>
      <c r="Z1509" s="772"/>
      <c r="AA1509" s="772"/>
      <c r="AB1509" s="772"/>
      <c r="AC1509" s="772"/>
      <c r="AD1509" s="772"/>
      <c r="AE1509" s="772"/>
    </row>
    <row r="1510" spans="1:31" x14ac:dyDescent="0.2">
      <c r="A1510" s="294"/>
      <c r="B1510" s="769"/>
      <c r="C1510" s="770" t="s">
        <v>1585</v>
      </c>
      <c r="D1510" s="296">
        <v>0</v>
      </c>
      <c r="E1510" s="291" t="s">
        <v>8</v>
      </c>
      <c r="F1510" s="292">
        <v>0</v>
      </c>
      <c r="G1510" s="290">
        <v>13</v>
      </c>
      <c r="H1510" s="292" t="s">
        <v>8</v>
      </c>
      <c r="I1510" s="292">
        <v>0</v>
      </c>
      <c r="J1510" s="349" t="s">
        <v>1564</v>
      </c>
      <c r="K1510" s="298">
        <f t="shared" si="147"/>
        <v>260</v>
      </c>
      <c r="L1510" s="875">
        <v>0.1</v>
      </c>
      <c r="N1510" s="876">
        <f>TRUNC(K1510*0.1,2)</f>
        <v>26</v>
      </c>
      <c r="O1510" s="351"/>
      <c r="P1510" s="882"/>
      <c r="Q1510" s="880"/>
      <c r="R1510" s="898"/>
      <c r="S1510" s="738">
        <f t="shared" si="145"/>
        <v>4713.1400000000003</v>
      </c>
      <c r="T1510" s="738" t="str">
        <f t="shared" si="146"/>
        <v>M2</v>
      </c>
      <c r="U1510" s="771"/>
      <c r="V1510" s="772"/>
      <c r="W1510" s="772"/>
      <c r="X1510" s="772"/>
      <c r="Y1510" s="772"/>
      <c r="Z1510" s="772"/>
      <c r="AA1510" s="772"/>
      <c r="AB1510" s="772"/>
      <c r="AC1510" s="772"/>
      <c r="AD1510" s="772"/>
      <c r="AE1510" s="772"/>
    </row>
    <row r="1511" spans="1:31" s="319" customFormat="1" x14ac:dyDescent="0.2">
      <c r="A1511" s="294"/>
      <c r="B1511" s="769"/>
      <c r="C1511" s="770" t="s">
        <v>1585</v>
      </c>
      <c r="D1511" s="296">
        <v>0</v>
      </c>
      <c r="E1511" s="291" t="s">
        <v>8</v>
      </c>
      <c r="F1511" s="292">
        <v>0</v>
      </c>
      <c r="G1511" s="290">
        <v>14</v>
      </c>
      <c r="H1511" s="292" t="s">
        <v>8</v>
      </c>
      <c r="I1511" s="292">
        <v>4.5</v>
      </c>
      <c r="J1511" s="349" t="s">
        <v>1556</v>
      </c>
      <c r="K1511" s="298">
        <f t="shared" si="147"/>
        <v>284.5</v>
      </c>
      <c r="L1511" s="875">
        <v>0.1</v>
      </c>
      <c r="M1511" s="299"/>
      <c r="N1511" s="876">
        <f>TRUNC(K1511*0.1,2)</f>
        <v>28.45</v>
      </c>
      <c r="O1511" s="351"/>
      <c r="P1511" s="882"/>
      <c r="Q1511" s="880"/>
      <c r="R1511" s="898"/>
      <c r="S1511" s="738">
        <f t="shared" si="145"/>
        <v>4713.1400000000003</v>
      </c>
      <c r="T1511" s="738" t="str">
        <f t="shared" si="146"/>
        <v>M2</v>
      </c>
      <c r="U1511" s="771"/>
      <c r="V1511" s="773"/>
      <c r="W1511" s="773"/>
      <c r="X1511" s="773"/>
      <c r="Y1511" s="773"/>
      <c r="Z1511" s="773"/>
      <c r="AA1511" s="773"/>
      <c r="AB1511" s="773"/>
      <c r="AC1511" s="773"/>
      <c r="AD1511" s="773"/>
      <c r="AE1511" s="773"/>
    </row>
    <row r="1512" spans="1:31" x14ac:dyDescent="0.2">
      <c r="A1512" s="294"/>
      <c r="B1512" s="769"/>
      <c r="C1512" s="770" t="s">
        <v>1586</v>
      </c>
      <c r="D1512" s="296">
        <v>9</v>
      </c>
      <c r="E1512" s="291" t="s">
        <v>8</v>
      </c>
      <c r="F1512" s="292">
        <v>0</v>
      </c>
      <c r="G1512" s="290">
        <v>34</v>
      </c>
      <c r="H1512" s="292" t="s">
        <v>8</v>
      </c>
      <c r="I1512" s="292">
        <v>0</v>
      </c>
      <c r="J1512" s="349" t="s">
        <v>1584</v>
      </c>
      <c r="K1512" s="298">
        <f t="shared" si="147"/>
        <v>500</v>
      </c>
      <c r="L1512" s="875">
        <v>0.1</v>
      </c>
      <c r="N1512" s="876">
        <f>TRUNC(K1512*0.15,2)</f>
        <v>75</v>
      </c>
      <c r="O1512" s="351"/>
      <c r="P1512" s="882"/>
      <c r="Q1512" s="880"/>
      <c r="R1512" s="898"/>
      <c r="S1512" s="738">
        <f t="shared" si="145"/>
        <v>4713.1400000000003</v>
      </c>
      <c r="T1512" s="738" t="str">
        <f t="shared" si="146"/>
        <v>M2</v>
      </c>
      <c r="U1512" s="771"/>
      <c r="V1512" s="772"/>
      <c r="W1512" s="772"/>
      <c r="X1512" s="772"/>
      <c r="Y1512" s="772"/>
      <c r="Z1512" s="772"/>
      <c r="AA1512" s="772"/>
      <c r="AB1512" s="772"/>
      <c r="AC1512" s="772"/>
      <c r="AD1512" s="772"/>
      <c r="AE1512" s="772"/>
    </row>
    <row r="1513" spans="1:31" x14ac:dyDescent="0.2">
      <c r="A1513" s="294"/>
      <c r="B1513" s="769"/>
      <c r="C1513" s="770" t="s">
        <v>1587</v>
      </c>
      <c r="D1513" s="296">
        <v>13</v>
      </c>
      <c r="E1513" s="291" t="s">
        <v>8</v>
      </c>
      <c r="F1513" s="292">
        <v>0</v>
      </c>
      <c r="G1513" s="290">
        <v>18</v>
      </c>
      <c r="H1513" s="292" t="s">
        <v>8</v>
      </c>
      <c r="I1513" s="292">
        <v>4</v>
      </c>
      <c r="J1513" s="349" t="s">
        <v>1564</v>
      </c>
      <c r="K1513" s="298">
        <f t="shared" si="147"/>
        <v>104</v>
      </c>
      <c r="L1513" s="875">
        <v>0.1</v>
      </c>
      <c r="N1513" s="876">
        <f>TRUNC(K1513*0.1/2,2)</f>
        <v>5.2</v>
      </c>
      <c r="O1513" s="351"/>
      <c r="P1513" s="882"/>
      <c r="Q1513" s="880"/>
      <c r="R1513" s="898"/>
      <c r="S1513" s="738">
        <f t="shared" si="145"/>
        <v>4713.1400000000003</v>
      </c>
      <c r="T1513" s="738" t="str">
        <f t="shared" si="146"/>
        <v>M2</v>
      </c>
      <c r="U1513" s="771"/>
      <c r="V1513" s="772"/>
      <c r="W1513" s="772"/>
      <c r="X1513" s="772"/>
      <c r="Y1513" s="772"/>
      <c r="Z1513" s="772"/>
      <c r="AA1513" s="772"/>
      <c r="AB1513" s="772"/>
      <c r="AC1513" s="772"/>
      <c r="AD1513" s="772"/>
      <c r="AE1513" s="772"/>
    </row>
    <row r="1514" spans="1:31" x14ac:dyDescent="0.2">
      <c r="A1514" s="294"/>
      <c r="B1514" s="769"/>
      <c r="C1514" s="770" t="s">
        <v>1588</v>
      </c>
      <c r="D1514" s="296">
        <v>13</v>
      </c>
      <c r="E1514" s="291" t="s">
        <v>8</v>
      </c>
      <c r="F1514" s="292">
        <v>0</v>
      </c>
      <c r="G1514" s="290">
        <v>18</v>
      </c>
      <c r="H1514" s="292" t="s">
        <v>8</v>
      </c>
      <c r="I1514" s="292">
        <v>4</v>
      </c>
      <c r="J1514" s="349"/>
      <c r="K1514" s="298">
        <f t="shared" si="147"/>
        <v>104</v>
      </c>
      <c r="L1514" s="875">
        <v>0.1</v>
      </c>
      <c r="N1514" s="876">
        <f>TRUNC(K1514*0.1,2)</f>
        <v>10.4</v>
      </c>
      <c r="O1514" s="351"/>
      <c r="P1514" s="882"/>
      <c r="Q1514" s="880"/>
      <c r="R1514" s="898"/>
      <c r="S1514" s="738">
        <f t="shared" si="145"/>
        <v>4713.1400000000003</v>
      </c>
      <c r="T1514" s="738" t="str">
        <f t="shared" si="146"/>
        <v>M2</v>
      </c>
      <c r="U1514" s="771"/>
      <c r="V1514" s="772"/>
      <c r="W1514" s="772"/>
      <c r="X1514" s="772"/>
      <c r="Y1514" s="772"/>
      <c r="Z1514" s="772"/>
      <c r="AA1514" s="772"/>
      <c r="AB1514" s="772"/>
      <c r="AC1514" s="772"/>
      <c r="AD1514" s="772"/>
      <c r="AE1514" s="772"/>
    </row>
    <row r="1515" spans="1:31" x14ac:dyDescent="0.2">
      <c r="A1515" s="294"/>
      <c r="B1515" s="769"/>
      <c r="C1515" s="770" t="s">
        <v>1587</v>
      </c>
      <c r="D1515" s="296">
        <v>14</v>
      </c>
      <c r="E1515" s="291" t="s">
        <v>8</v>
      </c>
      <c r="F1515" s="292">
        <v>4.5</v>
      </c>
      <c r="G1515" s="290">
        <v>18</v>
      </c>
      <c r="H1515" s="292" t="s">
        <v>8</v>
      </c>
      <c r="I1515" s="292">
        <v>4</v>
      </c>
      <c r="J1515" s="349" t="s">
        <v>1556</v>
      </c>
      <c r="K1515" s="298">
        <f t="shared" si="147"/>
        <v>79.5</v>
      </c>
      <c r="L1515" s="875">
        <v>0.1</v>
      </c>
      <c r="N1515" s="876">
        <f>TRUNC(K1515*0.1/2,2)</f>
        <v>3.97</v>
      </c>
      <c r="O1515" s="351"/>
      <c r="P1515" s="882"/>
      <c r="Q1515" s="880"/>
      <c r="R1515" s="898"/>
      <c r="S1515" s="738">
        <f t="shared" si="145"/>
        <v>4713.1400000000003</v>
      </c>
      <c r="T1515" s="738" t="str">
        <f t="shared" si="146"/>
        <v>M2</v>
      </c>
      <c r="U1515" s="771"/>
      <c r="V1515" s="772"/>
      <c r="W1515" s="772"/>
      <c r="X1515" s="772"/>
      <c r="Y1515" s="772"/>
      <c r="Z1515" s="772"/>
      <c r="AA1515" s="772"/>
      <c r="AB1515" s="772"/>
      <c r="AC1515" s="772"/>
      <c r="AD1515" s="772"/>
      <c r="AE1515" s="772"/>
    </row>
    <row r="1516" spans="1:31" x14ac:dyDescent="0.2">
      <c r="A1516" s="294"/>
      <c r="B1516" s="769"/>
      <c r="C1516" s="770" t="s">
        <v>1588</v>
      </c>
      <c r="D1516" s="296">
        <v>14</v>
      </c>
      <c r="E1516" s="291" t="s">
        <v>8</v>
      </c>
      <c r="F1516" s="292">
        <v>4.5</v>
      </c>
      <c r="G1516" s="290">
        <v>18</v>
      </c>
      <c r="H1516" s="292" t="s">
        <v>8</v>
      </c>
      <c r="I1516" s="292">
        <v>4</v>
      </c>
      <c r="J1516" s="349"/>
      <c r="K1516" s="298">
        <f t="shared" si="147"/>
        <v>79.5</v>
      </c>
      <c r="L1516" s="875">
        <v>0.1</v>
      </c>
      <c r="N1516" s="876">
        <f>TRUNC(K1516*0.1,2)</f>
        <v>7.95</v>
      </c>
      <c r="O1516" s="351"/>
      <c r="P1516" s="882"/>
      <c r="Q1516" s="880"/>
      <c r="R1516" s="898"/>
      <c r="S1516" s="738">
        <f t="shared" si="145"/>
        <v>4713.1400000000003</v>
      </c>
      <c r="T1516" s="738" t="str">
        <f t="shared" si="146"/>
        <v>M2</v>
      </c>
      <c r="U1516" s="771"/>
      <c r="V1516" s="772"/>
      <c r="W1516" s="772"/>
      <c r="X1516" s="772"/>
      <c r="Y1516" s="772"/>
      <c r="Z1516" s="772"/>
      <c r="AA1516" s="772"/>
      <c r="AB1516" s="772"/>
      <c r="AC1516" s="772"/>
      <c r="AD1516" s="772"/>
      <c r="AE1516" s="772"/>
    </row>
    <row r="1517" spans="1:31" x14ac:dyDescent="0.2">
      <c r="A1517" s="294"/>
      <c r="B1517" s="769"/>
      <c r="C1517" s="770" t="s">
        <v>1585</v>
      </c>
      <c r="D1517" s="296">
        <v>18</v>
      </c>
      <c r="E1517" s="291" t="s">
        <v>8</v>
      </c>
      <c r="F1517" s="292">
        <v>4</v>
      </c>
      <c r="G1517" s="290">
        <v>57</v>
      </c>
      <c r="H1517" s="292" t="s">
        <v>8</v>
      </c>
      <c r="I1517" s="292">
        <v>7</v>
      </c>
      <c r="J1517" s="349" t="s">
        <v>1556</v>
      </c>
      <c r="K1517" s="298">
        <f t="shared" si="147"/>
        <v>783</v>
      </c>
      <c r="L1517" s="875">
        <v>0.1</v>
      </c>
      <c r="N1517" s="876">
        <f>TRUNC(K1517*0.1,2)</f>
        <v>78.3</v>
      </c>
      <c r="O1517" s="351"/>
      <c r="P1517" s="882"/>
      <c r="Q1517" s="880"/>
      <c r="R1517" s="898"/>
      <c r="S1517" s="738">
        <f t="shared" si="145"/>
        <v>4713.1400000000003</v>
      </c>
      <c r="T1517" s="738" t="str">
        <f t="shared" si="146"/>
        <v>M2</v>
      </c>
      <c r="U1517" s="771"/>
      <c r="V1517" s="772"/>
      <c r="W1517" s="772"/>
      <c r="X1517" s="772"/>
      <c r="Y1517" s="772"/>
      <c r="Z1517" s="772"/>
      <c r="AA1517" s="772"/>
      <c r="AB1517" s="772"/>
      <c r="AC1517" s="772"/>
      <c r="AD1517" s="772"/>
      <c r="AE1517" s="772"/>
    </row>
    <row r="1518" spans="1:31" x14ac:dyDescent="0.2">
      <c r="A1518" s="294"/>
      <c r="B1518" s="769"/>
      <c r="C1518" s="770" t="s">
        <v>1585</v>
      </c>
      <c r="D1518" s="296">
        <v>18</v>
      </c>
      <c r="E1518" s="291" t="s">
        <v>8</v>
      </c>
      <c r="F1518" s="292">
        <v>4</v>
      </c>
      <c r="G1518" s="290">
        <v>57</v>
      </c>
      <c r="H1518" s="292" t="s">
        <v>8</v>
      </c>
      <c r="I1518" s="292">
        <v>13</v>
      </c>
      <c r="J1518" s="349" t="s">
        <v>1564</v>
      </c>
      <c r="K1518" s="298">
        <f t="shared" si="147"/>
        <v>789</v>
      </c>
      <c r="L1518" s="875">
        <v>0.1</v>
      </c>
      <c r="N1518" s="876">
        <f>TRUNC(K1518*0.1,2)</f>
        <v>78.900000000000006</v>
      </c>
      <c r="O1518" s="351"/>
      <c r="P1518" s="882"/>
      <c r="Q1518" s="880"/>
      <c r="R1518" s="898"/>
      <c r="S1518" s="738">
        <f t="shared" si="145"/>
        <v>4713.1400000000003</v>
      </c>
      <c r="T1518" s="738" t="str">
        <f t="shared" si="146"/>
        <v>M2</v>
      </c>
      <c r="U1518" s="771"/>
      <c r="V1518" s="772"/>
      <c r="W1518" s="772"/>
      <c r="X1518" s="772"/>
      <c r="Y1518" s="772"/>
      <c r="Z1518" s="772"/>
      <c r="AA1518" s="772"/>
      <c r="AB1518" s="772"/>
      <c r="AC1518" s="772"/>
      <c r="AD1518" s="772"/>
      <c r="AE1518" s="772"/>
    </row>
    <row r="1519" spans="1:31" x14ac:dyDescent="0.2">
      <c r="A1519" s="294"/>
      <c r="B1519" s="769"/>
      <c r="C1519" s="770" t="s">
        <v>1589</v>
      </c>
      <c r="D1519" s="296">
        <v>34</v>
      </c>
      <c r="E1519" s="291" t="s">
        <v>8</v>
      </c>
      <c r="F1519" s="292">
        <v>0</v>
      </c>
      <c r="G1519" s="290">
        <v>49</v>
      </c>
      <c r="H1519" s="292" t="s">
        <v>8</v>
      </c>
      <c r="I1519" s="292">
        <v>0</v>
      </c>
      <c r="J1519" s="349" t="s">
        <v>1584</v>
      </c>
      <c r="K1519" s="298">
        <f t="shared" si="147"/>
        <v>300</v>
      </c>
      <c r="L1519" s="875">
        <v>0.1</v>
      </c>
      <c r="N1519" s="876">
        <f>TRUNC(K1519*0.1*1.5,2)</f>
        <v>45</v>
      </c>
      <c r="O1519" s="351"/>
      <c r="P1519" s="882"/>
      <c r="Q1519" s="880"/>
      <c r="R1519" s="898"/>
      <c r="S1519" s="738">
        <f t="shared" si="145"/>
        <v>4713.1400000000003</v>
      </c>
      <c r="T1519" s="738" t="str">
        <f t="shared" si="146"/>
        <v>M2</v>
      </c>
      <c r="U1519" s="771"/>
      <c r="V1519" s="772"/>
      <c r="W1519" s="772"/>
      <c r="X1519" s="772"/>
      <c r="Y1519" s="772"/>
      <c r="Z1519" s="772"/>
      <c r="AA1519" s="772"/>
      <c r="AB1519" s="772"/>
      <c r="AC1519" s="772"/>
      <c r="AD1519" s="772"/>
      <c r="AE1519" s="772"/>
    </row>
    <row r="1520" spans="1:31" x14ac:dyDescent="0.2">
      <c r="A1520" s="294"/>
      <c r="B1520" s="769"/>
      <c r="C1520" s="770" t="s">
        <v>1590</v>
      </c>
      <c r="D1520" s="296">
        <v>49</v>
      </c>
      <c r="E1520" s="291" t="s">
        <v>8</v>
      </c>
      <c r="F1520" s="292">
        <v>0</v>
      </c>
      <c r="G1520" s="290">
        <v>80</v>
      </c>
      <c r="H1520" s="292" t="s">
        <v>8</v>
      </c>
      <c r="I1520" s="292">
        <v>0</v>
      </c>
      <c r="J1520" s="349" t="s">
        <v>1584</v>
      </c>
      <c r="K1520" s="298">
        <f t="shared" si="147"/>
        <v>620</v>
      </c>
      <c r="L1520" s="875">
        <v>0.1</v>
      </c>
      <c r="N1520" s="876">
        <f>TRUNC(K1520*0.1*2,2)</f>
        <v>124</v>
      </c>
      <c r="O1520" s="351"/>
      <c r="P1520" s="882"/>
      <c r="Q1520" s="880"/>
      <c r="R1520" s="898"/>
      <c r="S1520" s="738">
        <f t="shared" si="145"/>
        <v>4713.1400000000003</v>
      </c>
      <c r="T1520" s="738" t="str">
        <f t="shared" si="146"/>
        <v>M2</v>
      </c>
      <c r="U1520" s="771"/>
      <c r="V1520" s="772"/>
      <c r="W1520" s="772"/>
      <c r="X1520" s="772"/>
      <c r="Y1520" s="772"/>
      <c r="Z1520" s="772"/>
      <c r="AA1520" s="772"/>
      <c r="AB1520" s="772"/>
      <c r="AC1520" s="772"/>
      <c r="AD1520" s="772"/>
      <c r="AE1520" s="772"/>
    </row>
    <row r="1521" spans="1:31" x14ac:dyDescent="0.2">
      <c r="A1521" s="294"/>
      <c r="B1521" s="769"/>
      <c r="C1521" s="770" t="s">
        <v>1587</v>
      </c>
      <c r="D1521" s="296">
        <v>57</v>
      </c>
      <c r="E1521" s="291" t="s">
        <v>8</v>
      </c>
      <c r="F1521" s="292">
        <v>7</v>
      </c>
      <c r="G1521" s="290">
        <v>63</v>
      </c>
      <c r="H1521" s="292" t="s">
        <v>8</v>
      </c>
      <c r="I1521" s="292">
        <v>0</v>
      </c>
      <c r="J1521" s="349" t="s">
        <v>1556</v>
      </c>
      <c r="K1521" s="298">
        <f t="shared" si="147"/>
        <v>113</v>
      </c>
      <c r="L1521" s="875">
        <v>0.1</v>
      </c>
      <c r="N1521" s="876">
        <f>TRUNC(K1521*0.1/2,2)</f>
        <v>5.65</v>
      </c>
      <c r="O1521" s="351"/>
      <c r="P1521" s="882"/>
      <c r="Q1521" s="880"/>
      <c r="R1521" s="898"/>
      <c r="S1521" s="738">
        <f t="shared" si="145"/>
        <v>4713.1400000000003</v>
      </c>
      <c r="T1521" s="738" t="str">
        <f t="shared" si="146"/>
        <v>M2</v>
      </c>
      <c r="U1521" s="771"/>
      <c r="V1521" s="772"/>
      <c r="W1521" s="772"/>
      <c r="X1521" s="772"/>
      <c r="Y1521" s="772"/>
      <c r="Z1521" s="772"/>
      <c r="AA1521" s="772"/>
      <c r="AB1521" s="772"/>
      <c r="AC1521" s="772"/>
      <c r="AD1521" s="772"/>
      <c r="AE1521" s="772"/>
    </row>
    <row r="1522" spans="1:31" x14ac:dyDescent="0.2">
      <c r="A1522" s="294"/>
      <c r="B1522" s="769"/>
      <c r="C1522" s="770" t="s">
        <v>1587</v>
      </c>
      <c r="D1522" s="296">
        <v>57</v>
      </c>
      <c r="E1522" s="291" t="s">
        <v>8</v>
      </c>
      <c r="F1522" s="292">
        <v>13</v>
      </c>
      <c r="G1522" s="290">
        <v>63</v>
      </c>
      <c r="H1522" s="292" t="s">
        <v>8</v>
      </c>
      <c r="I1522" s="292">
        <v>3</v>
      </c>
      <c r="J1522" s="349" t="s">
        <v>1564</v>
      </c>
      <c r="K1522" s="298">
        <f t="shared" si="147"/>
        <v>110</v>
      </c>
      <c r="L1522" s="875">
        <v>0.1</v>
      </c>
      <c r="N1522" s="876">
        <f>TRUNC(K1522*0.1/2,2)</f>
        <v>5.5</v>
      </c>
      <c r="O1522" s="351"/>
      <c r="P1522" s="882"/>
      <c r="Q1522" s="880"/>
      <c r="R1522" s="898"/>
      <c r="S1522" s="738">
        <f t="shared" si="145"/>
        <v>4713.1400000000003</v>
      </c>
      <c r="T1522" s="738" t="str">
        <f t="shared" si="146"/>
        <v>M2</v>
      </c>
      <c r="U1522" s="771"/>
      <c r="V1522" s="772"/>
      <c r="W1522" s="772"/>
      <c r="X1522" s="772"/>
      <c r="Y1522" s="772"/>
      <c r="Z1522" s="772"/>
      <c r="AA1522" s="772"/>
      <c r="AB1522" s="772"/>
      <c r="AC1522" s="772"/>
      <c r="AD1522" s="772"/>
      <c r="AE1522" s="772"/>
    </row>
    <row r="1523" spans="1:31" x14ac:dyDescent="0.2">
      <c r="A1523" s="294"/>
      <c r="B1523" s="769"/>
      <c r="C1523" s="770" t="s">
        <v>1588</v>
      </c>
      <c r="D1523" s="296">
        <v>57</v>
      </c>
      <c r="E1523" s="291" t="s">
        <v>8</v>
      </c>
      <c r="F1523" s="292">
        <v>7</v>
      </c>
      <c r="G1523" s="290">
        <v>63</v>
      </c>
      <c r="H1523" s="292" t="s">
        <v>8</v>
      </c>
      <c r="I1523" s="292">
        <v>0</v>
      </c>
      <c r="J1523" s="349"/>
      <c r="K1523" s="298">
        <f t="shared" si="147"/>
        <v>113</v>
      </c>
      <c r="L1523" s="875">
        <v>0.1</v>
      </c>
      <c r="N1523" s="876">
        <f>TRUNC(K1523*0.1,2)</f>
        <v>11.3</v>
      </c>
      <c r="O1523" s="351"/>
      <c r="P1523" s="882"/>
      <c r="Q1523" s="880"/>
      <c r="R1523" s="898"/>
      <c r="S1523" s="738">
        <f t="shared" ref="S1523:S1586" si="148">VLOOKUP("Total",C1524:O3184,12,FALSE)</f>
        <v>4713.1400000000003</v>
      </c>
      <c r="T1523" s="738" t="str">
        <f t="shared" ref="T1523:T1586" si="149">VLOOKUP("Total",C1524:O3184,13,FALSE)</f>
        <v>M2</v>
      </c>
      <c r="U1523" s="771"/>
      <c r="V1523" s="772"/>
      <c r="W1523" s="772"/>
      <c r="X1523" s="772"/>
      <c r="Y1523" s="772"/>
      <c r="Z1523" s="772"/>
      <c r="AA1523" s="772"/>
      <c r="AB1523" s="772"/>
      <c r="AC1523" s="772"/>
      <c r="AD1523" s="772"/>
      <c r="AE1523" s="772"/>
    </row>
    <row r="1524" spans="1:31" x14ac:dyDescent="0.2">
      <c r="A1524" s="294"/>
      <c r="B1524" s="769"/>
      <c r="C1524" s="770" t="s">
        <v>1588</v>
      </c>
      <c r="D1524" s="296">
        <v>57</v>
      </c>
      <c r="E1524" s="291" t="s">
        <v>8</v>
      </c>
      <c r="F1524" s="292">
        <v>13</v>
      </c>
      <c r="G1524" s="290">
        <v>63</v>
      </c>
      <c r="H1524" s="292" t="s">
        <v>8</v>
      </c>
      <c r="I1524" s="292">
        <v>3</v>
      </c>
      <c r="J1524" s="349"/>
      <c r="K1524" s="298">
        <f t="shared" si="147"/>
        <v>110</v>
      </c>
      <c r="L1524" s="875">
        <v>0.1</v>
      </c>
      <c r="N1524" s="876">
        <f>TRUNC(K1524*0.1,2)</f>
        <v>11</v>
      </c>
      <c r="O1524" s="351"/>
      <c r="P1524" s="882"/>
      <c r="Q1524" s="880"/>
      <c r="R1524" s="898"/>
      <c r="S1524" s="738">
        <f t="shared" si="148"/>
        <v>4713.1400000000003</v>
      </c>
      <c r="T1524" s="738" t="str">
        <f t="shared" si="149"/>
        <v>M2</v>
      </c>
      <c r="U1524" s="771"/>
      <c r="V1524" s="772"/>
      <c r="W1524" s="772"/>
      <c r="X1524" s="772"/>
      <c r="Y1524" s="772"/>
      <c r="Z1524" s="772"/>
      <c r="AA1524" s="772"/>
      <c r="AB1524" s="772"/>
      <c r="AC1524" s="772"/>
      <c r="AD1524" s="772"/>
      <c r="AE1524" s="772"/>
    </row>
    <row r="1525" spans="1:31" x14ac:dyDescent="0.2">
      <c r="A1525" s="294"/>
      <c r="B1525" s="769"/>
      <c r="C1525" s="770" t="s">
        <v>1585</v>
      </c>
      <c r="D1525" s="296">
        <v>63</v>
      </c>
      <c r="E1525" s="291" t="s">
        <v>8</v>
      </c>
      <c r="F1525" s="292">
        <v>3</v>
      </c>
      <c r="G1525" s="290">
        <v>73</v>
      </c>
      <c r="H1525" s="292" t="s">
        <v>8</v>
      </c>
      <c r="I1525" s="292">
        <v>7</v>
      </c>
      <c r="J1525" s="349" t="s">
        <v>1564</v>
      </c>
      <c r="K1525" s="298">
        <f t="shared" si="147"/>
        <v>204</v>
      </c>
      <c r="L1525" s="875">
        <v>0.1</v>
      </c>
      <c r="N1525" s="876">
        <f>TRUNC(K1525*0.1,2)</f>
        <v>20.399999999999999</v>
      </c>
      <c r="O1525" s="351"/>
      <c r="P1525" s="882"/>
      <c r="Q1525" s="880"/>
      <c r="R1525" s="898"/>
      <c r="S1525" s="738">
        <f t="shared" si="148"/>
        <v>4713.1400000000003</v>
      </c>
      <c r="T1525" s="738" t="str">
        <f t="shared" si="149"/>
        <v>M2</v>
      </c>
      <c r="U1525" s="771"/>
      <c r="V1525" s="772"/>
      <c r="W1525" s="772"/>
      <c r="X1525" s="772"/>
      <c r="Y1525" s="772"/>
      <c r="Z1525" s="772"/>
      <c r="AA1525" s="772"/>
      <c r="AB1525" s="772"/>
      <c r="AC1525" s="772"/>
      <c r="AD1525" s="772"/>
      <c r="AE1525" s="772"/>
    </row>
    <row r="1526" spans="1:31" x14ac:dyDescent="0.2">
      <c r="A1526" s="294"/>
      <c r="B1526" s="769"/>
      <c r="C1526" s="770" t="s">
        <v>1585</v>
      </c>
      <c r="D1526" s="296">
        <v>63</v>
      </c>
      <c r="E1526" s="291" t="s">
        <v>8</v>
      </c>
      <c r="F1526" s="292">
        <v>0</v>
      </c>
      <c r="G1526" s="290">
        <v>74</v>
      </c>
      <c r="H1526" s="292" t="s">
        <v>8</v>
      </c>
      <c r="I1526" s="292">
        <v>5</v>
      </c>
      <c r="J1526" s="349" t="s">
        <v>1556</v>
      </c>
      <c r="K1526" s="298">
        <f t="shared" si="147"/>
        <v>225</v>
      </c>
      <c r="L1526" s="875">
        <v>0.1</v>
      </c>
      <c r="N1526" s="876">
        <f>TRUNC(K1526*0.1,2)</f>
        <v>22.5</v>
      </c>
      <c r="O1526" s="351"/>
      <c r="P1526" s="882"/>
      <c r="Q1526" s="880"/>
      <c r="R1526" s="898"/>
      <c r="S1526" s="738">
        <f t="shared" si="148"/>
        <v>4713.1400000000003</v>
      </c>
      <c r="T1526" s="738" t="str">
        <f t="shared" si="149"/>
        <v>M2</v>
      </c>
      <c r="U1526" s="771"/>
      <c r="V1526" s="772"/>
      <c r="W1526" s="772"/>
      <c r="X1526" s="772"/>
      <c r="Y1526" s="772"/>
      <c r="Z1526" s="772"/>
      <c r="AA1526" s="772"/>
      <c r="AB1526" s="772"/>
      <c r="AC1526" s="772"/>
      <c r="AD1526" s="772"/>
      <c r="AE1526" s="772"/>
    </row>
    <row r="1527" spans="1:31" x14ac:dyDescent="0.2">
      <c r="A1527" s="294"/>
      <c r="B1527" s="769"/>
      <c r="C1527" s="770" t="s">
        <v>1587</v>
      </c>
      <c r="D1527" s="296">
        <v>73</v>
      </c>
      <c r="E1527" s="291" t="s">
        <v>8</v>
      </c>
      <c r="F1527" s="292">
        <v>7</v>
      </c>
      <c r="G1527" s="290">
        <v>79</v>
      </c>
      <c r="H1527" s="292" t="s">
        <v>8</v>
      </c>
      <c r="I1527" s="292">
        <v>5.5</v>
      </c>
      <c r="J1527" s="349" t="s">
        <v>1564</v>
      </c>
      <c r="K1527" s="298">
        <f t="shared" si="147"/>
        <v>118.5</v>
      </c>
      <c r="L1527" s="875">
        <v>0.1</v>
      </c>
      <c r="N1527" s="876">
        <f>TRUNC(K1527*0.1/2,2)</f>
        <v>5.92</v>
      </c>
      <c r="O1527" s="351"/>
      <c r="P1527" s="882"/>
      <c r="Q1527" s="880"/>
      <c r="R1527" s="898"/>
      <c r="S1527" s="738">
        <f t="shared" si="148"/>
        <v>4713.1400000000003</v>
      </c>
      <c r="T1527" s="738" t="str">
        <f t="shared" si="149"/>
        <v>M2</v>
      </c>
      <c r="U1527" s="771"/>
      <c r="V1527" s="772"/>
      <c r="W1527" s="772"/>
      <c r="X1527" s="772"/>
      <c r="Y1527" s="772"/>
      <c r="Z1527" s="772"/>
      <c r="AA1527" s="772"/>
      <c r="AB1527" s="772"/>
      <c r="AC1527" s="772"/>
      <c r="AD1527" s="772"/>
      <c r="AE1527" s="772"/>
    </row>
    <row r="1528" spans="1:31" x14ac:dyDescent="0.2">
      <c r="A1528" s="294"/>
      <c r="B1528" s="769"/>
      <c r="C1528" s="770" t="s">
        <v>1588</v>
      </c>
      <c r="D1528" s="296">
        <v>73</v>
      </c>
      <c r="E1528" s="291" t="s">
        <v>8</v>
      </c>
      <c r="F1528" s="292">
        <v>7</v>
      </c>
      <c r="G1528" s="290">
        <v>79</v>
      </c>
      <c r="H1528" s="292" t="s">
        <v>8</v>
      </c>
      <c r="I1528" s="292">
        <v>5.5</v>
      </c>
      <c r="J1528" s="349"/>
      <c r="K1528" s="298">
        <f t="shared" si="147"/>
        <v>118.5</v>
      </c>
      <c r="L1528" s="875">
        <v>0.1</v>
      </c>
      <c r="N1528" s="876">
        <f>TRUNC(K1528*0.1,2)</f>
        <v>11.85</v>
      </c>
      <c r="O1528" s="351"/>
      <c r="P1528" s="882"/>
      <c r="Q1528" s="880"/>
      <c r="R1528" s="898"/>
      <c r="S1528" s="738">
        <f t="shared" si="148"/>
        <v>4713.1400000000003</v>
      </c>
      <c r="T1528" s="738" t="str">
        <f t="shared" si="149"/>
        <v>M2</v>
      </c>
      <c r="U1528" s="771"/>
      <c r="V1528" s="772"/>
      <c r="W1528" s="772"/>
      <c r="X1528" s="772"/>
      <c r="Y1528" s="772"/>
      <c r="Z1528" s="772"/>
      <c r="AA1528" s="772"/>
      <c r="AB1528" s="772"/>
      <c r="AC1528" s="772"/>
      <c r="AD1528" s="772"/>
      <c r="AE1528" s="772"/>
    </row>
    <row r="1529" spans="1:31" x14ac:dyDescent="0.2">
      <c r="A1529" s="294"/>
      <c r="B1529" s="769"/>
      <c r="C1529" s="770" t="s">
        <v>1587</v>
      </c>
      <c r="D1529" s="296">
        <v>74</v>
      </c>
      <c r="E1529" s="291" t="s">
        <v>8</v>
      </c>
      <c r="F1529" s="292">
        <v>5</v>
      </c>
      <c r="G1529" s="290">
        <v>79</v>
      </c>
      <c r="H1529" s="292" t="s">
        <v>8</v>
      </c>
      <c r="I1529" s="292">
        <v>5.5</v>
      </c>
      <c r="J1529" s="349" t="s">
        <v>1556</v>
      </c>
      <c r="K1529" s="298">
        <f t="shared" si="147"/>
        <v>100.5</v>
      </c>
      <c r="L1529" s="875">
        <v>0.1</v>
      </c>
      <c r="N1529" s="876">
        <f>TRUNC(K1529*0.1/2,2)</f>
        <v>5.0199999999999996</v>
      </c>
      <c r="O1529" s="351"/>
      <c r="P1529" s="882"/>
      <c r="Q1529" s="880"/>
      <c r="R1529" s="898"/>
      <c r="S1529" s="738">
        <f t="shared" si="148"/>
        <v>4713.1400000000003</v>
      </c>
      <c r="T1529" s="738" t="str">
        <f t="shared" si="149"/>
        <v>M2</v>
      </c>
      <c r="U1529" s="771"/>
      <c r="V1529" s="772"/>
      <c r="W1529" s="772"/>
      <c r="X1529" s="772"/>
      <c r="Y1529" s="772"/>
      <c r="Z1529" s="772"/>
      <c r="AA1529" s="772"/>
      <c r="AB1529" s="772"/>
      <c r="AC1529" s="772"/>
      <c r="AD1529" s="772"/>
      <c r="AE1529" s="772"/>
    </row>
    <row r="1530" spans="1:31" x14ac:dyDescent="0.2">
      <c r="A1530" s="294"/>
      <c r="B1530" s="769"/>
      <c r="C1530" s="770" t="s">
        <v>1588</v>
      </c>
      <c r="D1530" s="296">
        <v>74</v>
      </c>
      <c r="E1530" s="291" t="s">
        <v>8</v>
      </c>
      <c r="F1530" s="292">
        <v>5</v>
      </c>
      <c r="G1530" s="290">
        <v>79</v>
      </c>
      <c r="H1530" s="292" t="s">
        <v>8</v>
      </c>
      <c r="I1530" s="292">
        <v>5.5</v>
      </c>
      <c r="J1530" s="349"/>
      <c r="K1530" s="298">
        <f t="shared" si="147"/>
        <v>100.5</v>
      </c>
      <c r="L1530" s="875">
        <v>0.1</v>
      </c>
      <c r="N1530" s="876">
        <f>TRUNC(K1530*0.1,2)</f>
        <v>10.050000000000001</v>
      </c>
      <c r="O1530" s="351"/>
      <c r="P1530" s="882"/>
      <c r="Q1530" s="880"/>
      <c r="R1530" s="898"/>
      <c r="S1530" s="738">
        <f t="shared" si="148"/>
        <v>4713.1400000000003</v>
      </c>
      <c r="T1530" s="738" t="str">
        <f t="shared" si="149"/>
        <v>M2</v>
      </c>
      <c r="U1530" s="771"/>
      <c r="V1530" s="772"/>
      <c r="W1530" s="772"/>
      <c r="X1530" s="772"/>
      <c r="Y1530" s="772"/>
      <c r="Z1530" s="772"/>
      <c r="AA1530" s="772"/>
      <c r="AB1530" s="772"/>
      <c r="AC1530" s="772"/>
      <c r="AD1530" s="772"/>
      <c r="AE1530" s="772"/>
    </row>
    <row r="1531" spans="1:31" x14ac:dyDescent="0.2">
      <c r="A1531" s="294"/>
      <c r="B1531" s="769"/>
      <c r="C1531" s="770" t="s">
        <v>1585</v>
      </c>
      <c r="D1531" s="296">
        <v>79</v>
      </c>
      <c r="E1531" s="291" t="s">
        <v>8</v>
      </c>
      <c r="F1531" s="292">
        <v>5.5</v>
      </c>
      <c r="G1531" s="290">
        <v>104</v>
      </c>
      <c r="H1531" s="292" t="s">
        <v>8</v>
      </c>
      <c r="I1531" s="292">
        <v>8.5</v>
      </c>
      <c r="J1531" s="349" t="s">
        <v>1556</v>
      </c>
      <c r="K1531" s="298">
        <f t="shared" si="147"/>
        <v>503</v>
      </c>
      <c r="L1531" s="875">
        <v>0.1</v>
      </c>
      <c r="N1531" s="876">
        <f>TRUNC(K1531*0.1,2)</f>
        <v>50.3</v>
      </c>
      <c r="O1531" s="351"/>
      <c r="P1531" s="882"/>
      <c r="Q1531" s="880"/>
      <c r="R1531" s="898"/>
      <c r="S1531" s="738">
        <f t="shared" si="148"/>
        <v>4713.1400000000003</v>
      </c>
      <c r="T1531" s="738" t="str">
        <f t="shared" si="149"/>
        <v>M2</v>
      </c>
      <c r="U1531" s="771"/>
      <c r="V1531" s="772"/>
      <c r="W1531" s="772"/>
      <c r="X1531" s="772"/>
      <c r="Y1531" s="772"/>
      <c r="Z1531" s="772"/>
      <c r="AA1531" s="772"/>
      <c r="AB1531" s="772"/>
      <c r="AC1531" s="772"/>
      <c r="AD1531" s="772"/>
      <c r="AE1531" s="772"/>
    </row>
    <row r="1532" spans="1:31" x14ac:dyDescent="0.2">
      <c r="A1532" s="294"/>
      <c r="B1532" s="769"/>
      <c r="C1532" s="770" t="s">
        <v>1585</v>
      </c>
      <c r="D1532" s="296">
        <v>79</v>
      </c>
      <c r="E1532" s="291" t="s">
        <v>8</v>
      </c>
      <c r="F1532" s="292">
        <v>5.5</v>
      </c>
      <c r="G1532" s="290">
        <v>106</v>
      </c>
      <c r="H1532" s="292" t="s">
        <v>8</v>
      </c>
      <c r="I1532" s="292">
        <v>11</v>
      </c>
      <c r="J1532" s="349" t="s">
        <v>1564</v>
      </c>
      <c r="K1532" s="298">
        <f t="shared" si="147"/>
        <v>545.5</v>
      </c>
      <c r="L1532" s="875">
        <v>0.1</v>
      </c>
      <c r="N1532" s="876">
        <f>TRUNC(K1532*0.1,2)</f>
        <v>54.55</v>
      </c>
      <c r="O1532" s="351"/>
      <c r="P1532" s="882"/>
      <c r="Q1532" s="880"/>
      <c r="R1532" s="898"/>
      <c r="S1532" s="738">
        <f t="shared" si="148"/>
        <v>4713.1400000000003</v>
      </c>
      <c r="T1532" s="738" t="str">
        <f t="shared" si="149"/>
        <v>M2</v>
      </c>
      <c r="U1532" s="771"/>
      <c r="V1532" s="772"/>
      <c r="W1532" s="772"/>
      <c r="X1532" s="772"/>
      <c r="Y1532" s="772"/>
      <c r="Z1532" s="772"/>
      <c r="AA1532" s="772"/>
      <c r="AB1532" s="772"/>
      <c r="AC1532" s="772"/>
      <c r="AD1532" s="772"/>
      <c r="AE1532" s="772"/>
    </row>
    <row r="1533" spans="1:31" x14ac:dyDescent="0.2">
      <c r="A1533" s="294"/>
      <c r="B1533" s="769"/>
      <c r="C1533" s="770" t="s">
        <v>1583</v>
      </c>
      <c r="D1533" s="296">
        <v>80</v>
      </c>
      <c r="E1533" s="291" t="s">
        <v>8</v>
      </c>
      <c r="F1533" s="292">
        <v>0</v>
      </c>
      <c r="G1533" s="290">
        <v>90</v>
      </c>
      <c r="H1533" s="292" t="s">
        <v>8</v>
      </c>
      <c r="I1533" s="292">
        <v>0</v>
      </c>
      <c r="J1533" s="349" t="s">
        <v>1584</v>
      </c>
      <c r="K1533" s="298">
        <f t="shared" si="147"/>
        <v>200</v>
      </c>
      <c r="L1533" s="875">
        <v>0.1</v>
      </c>
      <c r="N1533" s="876">
        <f>TRUNC(K1533*0.1*0.5,2)</f>
        <v>10</v>
      </c>
      <c r="O1533" s="351"/>
      <c r="P1533" s="882"/>
      <c r="Q1533" s="880"/>
      <c r="R1533" s="898"/>
      <c r="S1533" s="738">
        <f t="shared" si="148"/>
        <v>4713.1400000000003</v>
      </c>
      <c r="T1533" s="738" t="str">
        <f t="shared" si="149"/>
        <v>M2</v>
      </c>
      <c r="U1533" s="771"/>
      <c r="V1533" s="772"/>
      <c r="W1533" s="772"/>
      <c r="X1533" s="772"/>
      <c r="Y1533" s="772"/>
      <c r="Z1533" s="772"/>
      <c r="AA1533" s="772"/>
      <c r="AB1533" s="772"/>
      <c r="AC1533" s="772"/>
      <c r="AD1533" s="772"/>
      <c r="AE1533" s="772"/>
    </row>
    <row r="1534" spans="1:31" x14ac:dyDescent="0.2">
      <c r="A1534" s="294"/>
      <c r="B1534" s="769"/>
      <c r="C1534" s="770" t="s">
        <v>1589</v>
      </c>
      <c r="D1534" s="296">
        <v>90</v>
      </c>
      <c r="E1534" s="291" t="s">
        <v>8</v>
      </c>
      <c r="F1534" s="292">
        <v>0</v>
      </c>
      <c r="G1534" s="290">
        <v>103</v>
      </c>
      <c r="H1534" s="292" t="s">
        <v>8</v>
      </c>
      <c r="I1534" s="292">
        <v>0</v>
      </c>
      <c r="J1534" s="349" t="s">
        <v>1584</v>
      </c>
      <c r="K1534" s="298">
        <f t="shared" si="147"/>
        <v>260</v>
      </c>
      <c r="L1534" s="875">
        <v>0.1</v>
      </c>
      <c r="N1534" s="876">
        <f>TRUNC(K1534*0.1*1.5,2)</f>
        <v>39</v>
      </c>
      <c r="O1534" s="351"/>
      <c r="P1534" s="882"/>
      <c r="Q1534" s="880"/>
      <c r="R1534" s="898"/>
      <c r="S1534" s="738">
        <f t="shared" si="148"/>
        <v>4713.1400000000003</v>
      </c>
      <c r="T1534" s="738" t="str">
        <f t="shared" si="149"/>
        <v>M2</v>
      </c>
      <c r="U1534" s="771"/>
      <c r="V1534" s="772"/>
      <c r="W1534" s="772"/>
      <c r="X1534" s="772"/>
      <c r="Y1534" s="772"/>
      <c r="Z1534" s="772"/>
      <c r="AA1534" s="772"/>
      <c r="AB1534" s="772"/>
      <c r="AC1534" s="772"/>
      <c r="AD1534" s="772"/>
      <c r="AE1534" s="772"/>
    </row>
    <row r="1535" spans="1:31" x14ac:dyDescent="0.2">
      <c r="A1535" s="294"/>
      <c r="B1535" s="769"/>
      <c r="C1535" s="770" t="s">
        <v>1586</v>
      </c>
      <c r="D1535" s="296">
        <v>103</v>
      </c>
      <c r="E1535" s="291" t="s">
        <v>8</v>
      </c>
      <c r="F1535" s="292">
        <v>0</v>
      </c>
      <c r="G1535" s="290">
        <v>111</v>
      </c>
      <c r="H1535" s="292" t="s">
        <v>8</v>
      </c>
      <c r="I1535" s="292">
        <v>11.53</v>
      </c>
      <c r="J1535" s="349" t="s">
        <v>1584</v>
      </c>
      <c r="K1535" s="298">
        <f t="shared" si="147"/>
        <v>171.53</v>
      </c>
      <c r="L1535" s="875">
        <v>0.1</v>
      </c>
      <c r="N1535" s="876">
        <f>TRUNC(K1535*0.15,2)</f>
        <v>25.72</v>
      </c>
      <c r="O1535" s="351"/>
      <c r="P1535" s="882"/>
      <c r="Q1535" s="880"/>
      <c r="R1535" s="898"/>
      <c r="S1535" s="738">
        <f t="shared" si="148"/>
        <v>4713.1400000000003</v>
      </c>
      <c r="T1535" s="738" t="str">
        <f t="shared" si="149"/>
        <v>M2</v>
      </c>
      <c r="U1535" s="771"/>
      <c r="V1535" s="772"/>
      <c r="W1535" s="772"/>
      <c r="X1535" s="772"/>
      <c r="Y1535" s="772"/>
      <c r="Z1535" s="772"/>
      <c r="AA1535" s="772"/>
      <c r="AB1535" s="772"/>
      <c r="AC1535" s="772"/>
      <c r="AD1535" s="772"/>
      <c r="AE1535" s="772"/>
    </row>
    <row r="1536" spans="1:31" x14ac:dyDescent="0.2">
      <c r="A1536" s="294"/>
      <c r="B1536" s="769"/>
      <c r="C1536" s="770" t="s">
        <v>1587</v>
      </c>
      <c r="D1536" s="296">
        <v>104</v>
      </c>
      <c r="E1536" s="291" t="s">
        <v>8</v>
      </c>
      <c r="F1536" s="292">
        <v>8.5</v>
      </c>
      <c r="G1536" s="290">
        <v>109</v>
      </c>
      <c r="H1536" s="292" t="s">
        <v>8</v>
      </c>
      <c r="I1536" s="292">
        <v>10</v>
      </c>
      <c r="J1536" s="349" t="s">
        <v>1556</v>
      </c>
      <c r="K1536" s="298">
        <f t="shared" si="147"/>
        <v>101.5</v>
      </c>
      <c r="L1536" s="875">
        <v>0.1</v>
      </c>
      <c r="N1536" s="876">
        <f>TRUNC(K1536*0.1/2,2)</f>
        <v>5.07</v>
      </c>
      <c r="O1536" s="351"/>
      <c r="P1536" s="882"/>
      <c r="Q1536" s="880"/>
      <c r="R1536" s="898"/>
      <c r="S1536" s="738">
        <f t="shared" si="148"/>
        <v>4713.1400000000003</v>
      </c>
      <c r="T1536" s="738" t="str">
        <f t="shared" si="149"/>
        <v>M2</v>
      </c>
      <c r="U1536" s="771"/>
      <c r="V1536" s="772"/>
      <c r="W1536" s="772"/>
      <c r="X1536" s="772"/>
      <c r="Y1536" s="772"/>
      <c r="Z1536" s="772"/>
      <c r="AA1536" s="772"/>
      <c r="AB1536" s="772"/>
      <c r="AC1536" s="772"/>
      <c r="AD1536" s="772"/>
      <c r="AE1536" s="772"/>
    </row>
    <row r="1537" spans="1:31" x14ac:dyDescent="0.2">
      <c r="A1537" s="294"/>
      <c r="B1537" s="769"/>
      <c r="C1537" s="770" t="s">
        <v>1588</v>
      </c>
      <c r="D1537" s="296">
        <v>104</v>
      </c>
      <c r="E1537" s="291" t="s">
        <v>8</v>
      </c>
      <c r="F1537" s="292">
        <v>8.5</v>
      </c>
      <c r="G1537" s="290">
        <v>109</v>
      </c>
      <c r="H1537" s="292" t="s">
        <v>8</v>
      </c>
      <c r="I1537" s="292">
        <v>10</v>
      </c>
      <c r="J1537" s="349"/>
      <c r="K1537" s="298">
        <f t="shared" si="147"/>
        <v>101.5</v>
      </c>
      <c r="L1537" s="875">
        <v>0.1</v>
      </c>
      <c r="N1537" s="876">
        <f>TRUNC(K1537*0.1,2)</f>
        <v>10.15</v>
      </c>
      <c r="O1537" s="351"/>
      <c r="P1537" s="882"/>
      <c r="Q1537" s="880"/>
      <c r="R1537" s="898"/>
      <c r="S1537" s="738">
        <f t="shared" si="148"/>
        <v>4713.1400000000003</v>
      </c>
      <c r="T1537" s="738" t="str">
        <f t="shared" si="149"/>
        <v>M2</v>
      </c>
      <c r="U1537" s="771"/>
      <c r="V1537" s="772"/>
      <c r="W1537" s="772"/>
      <c r="X1537" s="772"/>
      <c r="Y1537" s="772"/>
      <c r="Z1537" s="772"/>
      <c r="AA1537" s="772"/>
      <c r="AB1537" s="772"/>
      <c r="AC1537" s="772"/>
      <c r="AD1537" s="772"/>
      <c r="AE1537" s="772"/>
    </row>
    <row r="1538" spans="1:31" x14ac:dyDescent="0.2">
      <c r="A1538" s="294"/>
      <c r="B1538" s="769"/>
      <c r="C1538" s="770" t="s">
        <v>1587</v>
      </c>
      <c r="D1538" s="296">
        <v>106</v>
      </c>
      <c r="E1538" s="291" t="s">
        <v>8</v>
      </c>
      <c r="F1538" s="292">
        <v>11</v>
      </c>
      <c r="G1538" s="290">
        <v>111</v>
      </c>
      <c r="H1538" s="292" t="s">
        <v>8</v>
      </c>
      <c r="I1538" s="292">
        <v>11.53</v>
      </c>
      <c r="J1538" s="349" t="s">
        <v>1564</v>
      </c>
      <c r="K1538" s="298">
        <f t="shared" si="147"/>
        <v>100.53</v>
      </c>
      <c r="L1538" s="875">
        <v>0.1</v>
      </c>
      <c r="N1538" s="876">
        <f>TRUNC(K1538*0.1/2,2)</f>
        <v>5.0199999999999996</v>
      </c>
      <c r="O1538" s="351"/>
      <c r="P1538" s="882"/>
      <c r="Q1538" s="880"/>
      <c r="R1538" s="898"/>
      <c r="S1538" s="738">
        <f t="shared" si="148"/>
        <v>4713.1400000000003</v>
      </c>
      <c r="T1538" s="738" t="str">
        <f t="shared" si="149"/>
        <v>M2</v>
      </c>
      <c r="U1538" s="771"/>
      <c r="V1538" s="772"/>
      <c r="W1538" s="772"/>
      <c r="X1538" s="772"/>
      <c r="Y1538" s="772"/>
      <c r="Z1538" s="772"/>
      <c r="AA1538" s="772"/>
      <c r="AB1538" s="772"/>
      <c r="AC1538" s="772"/>
      <c r="AD1538" s="772"/>
      <c r="AE1538" s="772"/>
    </row>
    <row r="1539" spans="1:31" x14ac:dyDescent="0.2">
      <c r="A1539" s="294"/>
      <c r="B1539" s="769"/>
      <c r="C1539" s="770" t="s">
        <v>1588</v>
      </c>
      <c r="D1539" s="296">
        <v>106</v>
      </c>
      <c r="E1539" s="291" t="s">
        <v>8</v>
      </c>
      <c r="F1539" s="292">
        <v>11</v>
      </c>
      <c r="G1539" s="290">
        <v>111</v>
      </c>
      <c r="H1539" s="292" t="s">
        <v>8</v>
      </c>
      <c r="I1539" s="292">
        <v>11.53</v>
      </c>
      <c r="J1539" s="349"/>
      <c r="K1539" s="298">
        <f t="shared" si="147"/>
        <v>100.53</v>
      </c>
      <c r="L1539" s="875">
        <v>0.1</v>
      </c>
      <c r="N1539" s="876">
        <f>TRUNC(K1539*0.1,2)</f>
        <v>10.050000000000001</v>
      </c>
      <c r="O1539" s="351"/>
      <c r="P1539" s="882"/>
      <c r="Q1539" s="880"/>
      <c r="R1539" s="898"/>
      <c r="S1539" s="738">
        <f t="shared" si="148"/>
        <v>4713.1400000000003</v>
      </c>
      <c r="T1539" s="738" t="str">
        <f t="shared" si="149"/>
        <v>M2</v>
      </c>
      <c r="U1539" s="771"/>
      <c r="V1539" s="772"/>
      <c r="W1539" s="772"/>
      <c r="X1539" s="772"/>
      <c r="Y1539" s="772"/>
      <c r="Z1539" s="772"/>
      <c r="AA1539" s="772"/>
      <c r="AB1539" s="772"/>
      <c r="AC1539" s="772"/>
      <c r="AD1539" s="772"/>
      <c r="AE1539" s="772"/>
    </row>
    <row r="1540" spans="1:31" x14ac:dyDescent="0.2">
      <c r="A1540" s="294"/>
      <c r="B1540" s="769"/>
      <c r="C1540" s="770" t="s">
        <v>1585</v>
      </c>
      <c r="D1540" s="296">
        <v>109</v>
      </c>
      <c r="E1540" s="291" t="s">
        <v>8</v>
      </c>
      <c r="F1540" s="292">
        <v>10</v>
      </c>
      <c r="G1540" s="290">
        <v>111</v>
      </c>
      <c r="H1540" s="292" t="s">
        <v>8</v>
      </c>
      <c r="I1540" s="292">
        <v>11.53</v>
      </c>
      <c r="J1540" s="349" t="s">
        <v>1556</v>
      </c>
      <c r="K1540" s="298">
        <f t="shared" si="147"/>
        <v>41.53</v>
      </c>
      <c r="L1540" s="875">
        <v>0.1</v>
      </c>
      <c r="N1540" s="876">
        <f>TRUNC(K1540*0.1,2)</f>
        <v>4.1500000000000004</v>
      </c>
      <c r="O1540" s="351"/>
      <c r="P1540" s="882"/>
      <c r="Q1540" s="880"/>
      <c r="R1540" s="898"/>
      <c r="S1540" s="738">
        <f t="shared" si="148"/>
        <v>4713.1400000000003</v>
      </c>
      <c r="T1540" s="738" t="str">
        <f t="shared" si="149"/>
        <v>M2</v>
      </c>
      <c r="U1540" s="771"/>
      <c r="V1540" s="772"/>
      <c r="W1540" s="772"/>
      <c r="X1540" s="772"/>
      <c r="Y1540" s="772"/>
      <c r="Z1540" s="772"/>
      <c r="AA1540" s="772"/>
      <c r="AB1540" s="772"/>
      <c r="AC1540" s="772"/>
      <c r="AD1540" s="772"/>
      <c r="AE1540" s="772"/>
    </row>
    <row r="1541" spans="1:31" x14ac:dyDescent="0.2">
      <c r="A1541" s="899"/>
      <c r="B1541" s="353"/>
      <c r="C1541" s="354" t="s">
        <v>2</v>
      </c>
      <c r="D1541" s="355"/>
      <c r="E1541" s="352"/>
      <c r="F1541" s="356"/>
      <c r="G1541" s="355"/>
      <c r="H1541" s="356"/>
      <c r="I1541" s="356"/>
      <c r="J1541" s="353"/>
      <c r="K1541" s="360"/>
      <c r="L1541" s="360"/>
      <c r="M1541" s="360"/>
      <c r="N1541" s="360">
        <f>SUM(N1407:N1540)</f>
        <v>4713.1400000000003</v>
      </c>
      <c r="O1541" s="361" t="str">
        <f>IF(MID(B1405,1,2)="LG",VLOOKUP(B1405,'Compos lug'!J:M,4,FALSE),IF(MID(B1405,1,1)="6",VLOOKUP(B1405,tranp.!$A$6:$K$51,3,FALSE),VLOOKUP(B1405,'DER 10-18'!$A$1:$I$1981,3,FALSE)))</f>
        <v>M2</v>
      </c>
      <c r="P1541" s="362"/>
      <c r="Q1541" s="362"/>
      <c r="R1541" s="900"/>
      <c r="S1541" s="738">
        <f t="shared" si="148"/>
        <v>115.12</v>
      </c>
      <c r="T1541" s="738" t="str">
        <f t="shared" si="149"/>
        <v>M2</v>
      </c>
      <c r="U1541" s="738"/>
    </row>
    <row r="1542" spans="1:31" x14ac:dyDescent="0.2">
      <c r="A1542" s="294"/>
      <c r="B1542" s="293"/>
      <c r="C1542" s="343"/>
      <c r="H1542" s="292"/>
      <c r="N1542" s="314"/>
      <c r="O1542" s="344"/>
      <c r="P1542" s="315"/>
      <c r="Q1542" s="315"/>
      <c r="R1542" s="903"/>
      <c r="S1542" s="738">
        <f t="shared" si="148"/>
        <v>115.12</v>
      </c>
      <c r="T1542" s="738" t="str">
        <f t="shared" si="149"/>
        <v>M2</v>
      </c>
      <c r="U1542" s="738"/>
    </row>
    <row r="1543" spans="1:31" ht="30.75" customHeight="1" x14ac:dyDescent="0.2">
      <c r="A1543" s="913" t="s">
        <v>279</v>
      </c>
      <c r="B1543" s="346">
        <v>42524</v>
      </c>
      <c r="C1543" s="347" t="str">
        <f>IF(MID(B1543,1,2)="LG",VLOOKUP(B1543,'Compos lug'!J:M,3,FALSE),IF(MID(B1543,1,1)="6",VLOOKUP(B1543,tranp.!$A$4:$K$19,11,FALSE)&amp;" -  XP="&amp;TEXT(#REF!,"0.000")&amp;" / XR="&amp;TEXT(#REF!,"0.000"),VLOOKUP(B1543,'DER 10-18'!$A$1:$I$1981,2,FALSE)))</f>
        <v>Pintura de setas e zebrados em material termoplástico - 5 anos ( por extrusão)</v>
      </c>
      <c r="D1543" s="1059" t="s">
        <v>1000</v>
      </c>
      <c r="E1543" s="1060"/>
      <c r="F1543" s="1061"/>
      <c r="G1543" s="1059" t="s">
        <v>1001</v>
      </c>
      <c r="H1543" s="1060"/>
      <c r="I1543" s="1061"/>
      <c r="J1543" s="349" t="s">
        <v>989</v>
      </c>
      <c r="K1543" s="876" t="s">
        <v>998</v>
      </c>
      <c r="L1543" s="876"/>
      <c r="M1543" s="885"/>
      <c r="N1543" s="876" t="str">
        <f>CONCATENATE("Total (",IF(MID(B1543,1,2)="LG",VLOOKUP(B1543,'Compos lug'!J:M,4,FALSE),IF(MID(B1543,1,1)="6","t",VLOOKUP(B1543,'DER 10-18'!$A$1:$I$1981,3,FALSE))),")")</f>
        <v>Total (M2)</v>
      </c>
      <c r="O1543" s="313"/>
      <c r="P1543" s="1062" t="s">
        <v>1002</v>
      </c>
      <c r="Q1543" s="1063"/>
      <c r="R1543" s="909"/>
      <c r="S1543" s="738">
        <f t="shared" si="148"/>
        <v>115.12</v>
      </c>
      <c r="T1543" s="738" t="str">
        <f t="shared" si="149"/>
        <v>M2</v>
      </c>
      <c r="U1543" s="738"/>
    </row>
    <row r="1544" spans="1:31" x14ac:dyDescent="0.2">
      <c r="A1544" s="294"/>
      <c r="B1544" s="293"/>
      <c r="C1544" s="744" t="s">
        <v>1552</v>
      </c>
      <c r="N1544" s="876"/>
      <c r="R1544" s="912"/>
      <c r="S1544" s="738">
        <f t="shared" si="148"/>
        <v>115.12</v>
      </c>
      <c r="T1544" s="738" t="str">
        <f t="shared" si="149"/>
        <v>M2</v>
      </c>
    </row>
    <row r="1545" spans="1:31" x14ac:dyDescent="0.2">
      <c r="A1545" s="913"/>
      <c r="B1545" s="346"/>
      <c r="C1545" s="580" t="s">
        <v>1466</v>
      </c>
      <c r="D1545" s="870">
        <v>57</v>
      </c>
      <c r="E1545" s="871" t="s">
        <v>8</v>
      </c>
      <c r="F1545" s="667">
        <v>10</v>
      </c>
      <c r="G1545" s="871"/>
      <c r="H1545" s="871"/>
      <c r="I1545" s="872"/>
      <c r="J1545" s="872"/>
      <c r="K1545" s="884">
        <v>5</v>
      </c>
      <c r="L1545" s="876"/>
      <c r="M1545" s="885"/>
      <c r="N1545" s="885">
        <v>1.88</v>
      </c>
      <c r="O1545" s="313"/>
      <c r="P1545" s="881" t="s">
        <v>1469</v>
      </c>
      <c r="Q1545" s="880"/>
      <c r="R1545" s="909"/>
      <c r="S1545" s="738">
        <f t="shared" si="148"/>
        <v>115.12</v>
      </c>
      <c r="T1545" s="738" t="str">
        <f t="shared" si="149"/>
        <v>M2</v>
      </c>
      <c r="U1545" s="738"/>
    </row>
    <row r="1546" spans="1:31" x14ac:dyDescent="0.2">
      <c r="A1546" s="913"/>
      <c r="B1546" s="346"/>
      <c r="C1546" s="580" t="s">
        <v>1472</v>
      </c>
      <c r="D1546" s="870">
        <v>54</v>
      </c>
      <c r="E1546" s="871" t="s">
        <v>8</v>
      </c>
      <c r="F1546" s="667">
        <v>0</v>
      </c>
      <c r="G1546" s="871">
        <v>56</v>
      </c>
      <c r="H1546" s="871" t="s">
        <v>8</v>
      </c>
      <c r="I1546" s="667">
        <v>0</v>
      </c>
      <c r="J1546" s="872"/>
      <c r="K1546" s="884"/>
      <c r="L1546" s="876"/>
      <c r="M1546" s="885"/>
      <c r="N1546" s="885">
        <v>9</v>
      </c>
      <c r="O1546" s="313"/>
      <c r="P1546" s="290" t="s">
        <v>1473</v>
      </c>
      <c r="Q1546" s="880"/>
      <c r="R1546" s="909"/>
      <c r="S1546" s="738">
        <f t="shared" si="148"/>
        <v>115.12</v>
      </c>
      <c r="T1546" s="738" t="str">
        <f t="shared" si="149"/>
        <v>M2</v>
      </c>
      <c r="U1546" s="738"/>
    </row>
    <row r="1547" spans="1:31" x14ac:dyDescent="0.2">
      <c r="A1547" s="913"/>
      <c r="B1547" s="346"/>
      <c r="C1547" s="580" t="s">
        <v>1467</v>
      </c>
      <c r="D1547" s="870">
        <v>59</v>
      </c>
      <c r="E1547" s="871" t="s">
        <v>8</v>
      </c>
      <c r="F1547" s="667">
        <v>15</v>
      </c>
      <c r="G1547" s="871"/>
      <c r="H1547" s="871"/>
      <c r="I1547" s="872"/>
      <c r="J1547" s="872"/>
      <c r="K1547" s="884">
        <v>5</v>
      </c>
      <c r="L1547" s="876"/>
      <c r="M1547" s="885"/>
      <c r="N1547" s="885">
        <v>3.8</v>
      </c>
      <c r="O1547" s="313"/>
      <c r="P1547" s="881" t="s">
        <v>1432</v>
      </c>
      <c r="Q1547" s="880"/>
      <c r="R1547" s="909"/>
      <c r="S1547" s="738">
        <f t="shared" si="148"/>
        <v>115.12</v>
      </c>
      <c r="T1547" s="738" t="str">
        <f t="shared" si="149"/>
        <v>M2</v>
      </c>
      <c r="U1547" s="738"/>
    </row>
    <row r="1548" spans="1:31" x14ac:dyDescent="0.2">
      <c r="A1548" s="913"/>
      <c r="B1548" s="346"/>
      <c r="C1548" s="580" t="s">
        <v>1466</v>
      </c>
      <c r="D1548" s="870">
        <v>60</v>
      </c>
      <c r="E1548" s="871" t="s">
        <v>8</v>
      </c>
      <c r="F1548" s="667">
        <v>10</v>
      </c>
      <c r="G1548" s="871"/>
      <c r="H1548" s="871"/>
      <c r="I1548" s="872"/>
      <c r="J1548" s="872"/>
      <c r="K1548" s="884">
        <v>5</v>
      </c>
      <c r="L1548" s="876"/>
      <c r="M1548" s="885"/>
      <c r="N1548" s="885">
        <v>1.88</v>
      </c>
      <c r="O1548" s="313"/>
      <c r="P1548" s="881" t="s">
        <v>1469</v>
      </c>
      <c r="Q1548" s="880"/>
      <c r="R1548" s="909"/>
      <c r="S1548" s="738">
        <f t="shared" si="148"/>
        <v>115.12</v>
      </c>
      <c r="T1548" s="738" t="str">
        <f t="shared" si="149"/>
        <v>M2</v>
      </c>
      <c r="U1548" s="738"/>
    </row>
    <row r="1549" spans="1:31" x14ac:dyDescent="0.2">
      <c r="A1549" s="913"/>
      <c r="B1549" s="346"/>
      <c r="C1549" s="580" t="s">
        <v>1467</v>
      </c>
      <c r="D1549" s="870">
        <v>60</v>
      </c>
      <c r="E1549" s="871" t="s">
        <v>8</v>
      </c>
      <c r="F1549" s="667">
        <v>15</v>
      </c>
      <c r="G1549" s="871"/>
      <c r="H1549" s="871"/>
      <c r="I1549" s="872"/>
      <c r="J1549" s="872"/>
      <c r="K1549" s="884">
        <v>5</v>
      </c>
      <c r="L1549" s="876"/>
      <c r="M1549" s="885"/>
      <c r="N1549" s="885">
        <v>3.8</v>
      </c>
      <c r="O1549" s="313"/>
      <c r="P1549" s="881"/>
      <c r="Q1549" s="880"/>
      <c r="R1549" s="909"/>
      <c r="S1549" s="738">
        <f t="shared" si="148"/>
        <v>115.12</v>
      </c>
      <c r="T1549" s="738" t="str">
        <f t="shared" si="149"/>
        <v>M2</v>
      </c>
      <c r="U1549" s="738"/>
    </row>
    <row r="1550" spans="1:31" x14ac:dyDescent="0.2">
      <c r="A1550" s="913"/>
      <c r="B1550" s="346"/>
      <c r="C1550" s="580" t="s">
        <v>1466</v>
      </c>
      <c r="D1550" s="870">
        <v>62</v>
      </c>
      <c r="E1550" s="871" t="s">
        <v>8</v>
      </c>
      <c r="F1550" s="667">
        <v>10</v>
      </c>
      <c r="G1550" s="871"/>
      <c r="H1550" s="871"/>
      <c r="I1550" s="872"/>
      <c r="J1550" s="872"/>
      <c r="K1550" s="884">
        <v>5</v>
      </c>
      <c r="L1550" s="876"/>
      <c r="M1550" s="885"/>
      <c r="N1550" s="885">
        <v>1.88</v>
      </c>
      <c r="O1550" s="313"/>
      <c r="P1550" s="881" t="s">
        <v>1469</v>
      </c>
      <c r="Q1550" s="880"/>
      <c r="R1550" s="909"/>
      <c r="S1550" s="738">
        <f t="shared" si="148"/>
        <v>115.12</v>
      </c>
      <c r="T1550" s="738" t="str">
        <f t="shared" si="149"/>
        <v>M2</v>
      </c>
      <c r="U1550" s="738"/>
    </row>
    <row r="1551" spans="1:31" x14ac:dyDescent="0.2">
      <c r="A1551" s="913"/>
      <c r="B1551" s="346"/>
      <c r="C1551" s="580" t="s">
        <v>1472</v>
      </c>
      <c r="D1551" s="870">
        <v>62</v>
      </c>
      <c r="E1551" s="871" t="s">
        <v>8</v>
      </c>
      <c r="F1551" s="667">
        <v>10</v>
      </c>
      <c r="G1551" s="871">
        <v>64</v>
      </c>
      <c r="H1551" s="871" t="s">
        <v>8</v>
      </c>
      <c r="I1551" s="667">
        <v>0</v>
      </c>
      <c r="J1551" s="872"/>
      <c r="K1551" s="884"/>
      <c r="L1551" s="876"/>
      <c r="M1551" s="885"/>
      <c r="N1551" s="885">
        <v>8</v>
      </c>
      <c r="O1551" s="313"/>
      <c r="P1551" s="290" t="s">
        <v>1473</v>
      </c>
      <c r="Q1551" s="880"/>
      <c r="R1551" s="909"/>
      <c r="S1551" s="738">
        <f t="shared" si="148"/>
        <v>115.12</v>
      </c>
      <c r="T1551" s="738" t="str">
        <f t="shared" si="149"/>
        <v>M2</v>
      </c>
      <c r="U1551" s="738"/>
    </row>
    <row r="1552" spans="1:31" x14ac:dyDescent="0.2">
      <c r="A1552" s="913"/>
      <c r="B1552" s="346"/>
      <c r="C1552" s="580" t="s">
        <v>1471</v>
      </c>
      <c r="D1552" s="870">
        <v>64</v>
      </c>
      <c r="E1552" s="871" t="s">
        <v>8</v>
      </c>
      <c r="F1552" s="668">
        <v>0</v>
      </c>
      <c r="G1552" s="870"/>
      <c r="H1552" s="871"/>
      <c r="I1552" s="872"/>
      <c r="J1552" s="872"/>
      <c r="K1552" s="884">
        <v>1.6</v>
      </c>
      <c r="L1552" s="876"/>
      <c r="M1552" s="885"/>
      <c r="N1552" s="885">
        <f>1.6*3.3</f>
        <v>5.28</v>
      </c>
      <c r="O1552" s="313"/>
      <c r="P1552" s="881" t="s">
        <v>1470</v>
      </c>
      <c r="Q1552" s="880"/>
      <c r="R1552" s="909"/>
      <c r="S1552" s="738">
        <f t="shared" si="148"/>
        <v>115.12</v>
      </c>
      <c r="T1552" s="738" t="str">
        <f t="shared" si="149"/>
        <v>M2</v>
      </c>
      <c r="U1552" s="738"/>
    </row>
    <row r="1553" spans="1:21" x14ac:dyDescent="0.2">
      <c r="A1553" s="913"/>
      <c r="B1553" s="346"/>
      <c r="C1553" s="580" t="s">
        <v>1471</v>
      </c>
      <c r="D1553" s="870">
        <v>64</v>
      </c>
      <c r="E1553" s="871" t="s">
        <v>8</v>
      </c>
      <c r="F1553" s="668">
        <v>10</v>
      </c>
      <c r="G1553" s="870"/>
      <c r="H1553" s="871"/>
      <c r="I1553" s="872"/>
      <c r="J1553" s="872"/>
      <c r="K1553" s="884">
        <v>1.6</v>
      </c>
      <c r="L1553" s="876"/>
      <c r="M1553" s="885"/>
      <c r="N1553" s="885">
        <f>1.6*3.3</f>
        <v>5.28</v>
      </c>
      <c r="O1553" s="313"/>
      <c r="P1553" s="882" t="s">
        <v>1470</v>
      </c>
      <c r="Q1553" s="880"/>
      <c r="R1553" s="909"/>
      <c r="S1553" s="738">
        <f t="shared" si="148"/>
        <v>115.12</v>
      </c>
      <c r="T1553" s="738" t="str">
        <f t="shared" si="149"/>
        <v>M2</v>
      </c>
      <c r="U1553" s="738"/>
    </row>
    <row r="1554" spans="1:21" x14ac:dyDescent="0.2">
      <c r="A1554" s="913"/>
      <c r="B1554" s="346"/>
      <c r="C1554" s="580" t="s">
        <v>1471</v>
      </c>
      <c r="D1554" s="870">
        <v>64</v>
      </c>
      <c r="E1554" s="871" t="s">
        <v>8</v>
      </c>
      <c r="F1554" s="668">
        <v>0</v>
      </c>
      <c r="G1554" s="870"/>
      <c r="H1554" s="871"/>
      <c r="I1554" s="872"/>
      <c r="J1554" s="872"/>
      <c r="K1554" s="884">
        <v>1.6</v>
      </c>
      <c r="L1554" s="876"/>
      <c r="M1554" s="885"/>
      <c r="N1554" s="885">
        <f>1.6*3.3</f>
        <v>5.28</v>
      </c>
      <c r="O1554" s="313"/>
      <c r="P1554" s="882" t="s">
        <v>1469</v>
      </c>
      <c r="Q1554" s="880"/>
      <c r="R1554" s="909"/>
      <c r="S1554" s="738">
        <f t="shared" si="148"/>
        <v>115.12</v>
      </c>
      <c r="T1554" s="738" t="str">
        <f t="shared" si="149"/>
        <v>M2</v>
      </c>
      <c r="U1554" s="738"/>
    </row>
    <row r="1555" spans="1:21" x14ac:dyDescent="0.2">
      <c r="A1555" s="913"/>
      <c r="B1555" s="346"/>
      <c r="C1555" s="580" t="s">
        <v>1472</v>
      </c>
      <c r="D1555" s="870">
        <v>64</v>
      </c>
      <c r="E1555" s="871" t="s">
        <v>8</v>
      </c>
      <c r="F1555" s="668">
        <v>10</v>
      </c>
      <c r="G1555" s="870">
        <v>65</v>
      </c>
      <c r="H1555" s="871" t="s">
        <v>8</v>
      </c>
      <c r="I1555" s="667">
        <v>10</v>
      </c>
      <c r="J1555" s="872"/>
      <c r="K1555" s="884"/>
      <c r="L1555" s="876"/>
      <c r="M1555" s="885"/>
      <c r="N1555" s="885">
        <v>8.1999999999999993</v>
      </c>
      <c r="O1555" s="313"/>
      <c r="P1555" s="296" t="s">
        <v>1473</v>
      </c>
      <c r="Q1555" s="880"/>
      <c r="R1555" s="909"/>
      <c r="S1555" s="738">
        <f t="shared" si="148"/>
        <v>115.12</v>
      </c>
      <c r="T1555" s="738" t="str">
        <f t="shared" si="149"/>
        <v>M2</v>
      </c>
      <c r="U1555" s="738"/>
    </row>
    <row r="1556" spans="1:21" ht="12.75" customHeight="1" x14ac:dyDescent="0.2">
      <c r="A1556" s="913"/>
      <c r="B1556" s="346"/>
      <c r="C1556" s="580" t="s">
        <v>1474</v>
      </c>
      <c r="D1556" s="870">
        <v>64</v>
      </c>
      <c r="E1556" s="871" t="s">
        <v>8</v>
      </c>
      <c r="F1556" s="668">
        <v>0</v>
      </c>
      <c r="G1556" s="870"/>
      <c r="H1556" s="871"/>
      <c r="I1556" s="872"/>
      <c r="J1556" s="872"/>
      <c r="K1556" s="884"/>
      <c r="L1556" s="876"/>
      <c r="M1556" s="885"/>
      <c r="N1556" s="885">
        <v>2.1</v>
      </c>
      <c r="O1556" s="313"/>
      <c r="P1556" s="774" t="s">
        <v>1473</v>
      </c>
      <c r="Q1556" s="880"/>
      <c r="R1556" s="909"/>
      <c r="S1556" s="738">
        <f t="shared" si="148"/>
        <v>115.12</v>
      </c>
      <c r="T1556" s="738" t="str">
        <f t="shared" si="149"/>
        <v>M2</v>
      </c>
      <c r="U1556" s="738"/>
    </row>
    <row r="1557" spans="1:21" ht="12.75" customHeight="1" x14ac:dyDescent="0.2">
      <c r="A1557" s="913"/>
      <c r="B1557" s="346"/>
      <c r="C1557" s="580" t="s">
        <v>1474</v>
      </c>
      <c r="D1557" s="870">
        <v>65</v>
      </c>
      <c r="E1557" s="871" t="s">
        <v>8</v>
      </c>
      <c r="F1557" s="668">
        <v>0</v>
      </c>
      <c r="G1557" s="870"/>
      <c r="H1557" s="871"/>
      <c r="I1557" s="872"/>
      <c r="J1557" s="872"/>
      <c r="K1557" s="884"/>
      <c r="L1557" s="876"/>
      <c r="M1557" s="885"/>
      <c r="N1557" s="885">
        <v>2.1</v>
      </c>
      <c r="O1557" s="313"/>
      <c r="P1557" s="774" t="s">
        <v>1473</v>
      </c>
      <c r="Q1557" s="880"/>
      <c r="R1557" s="909"/>
      <c r="S1557" s="738">
        <f t="shared" si="148"/>
        <v>115.12</v>
      </c>
      <c r="T1557" s="738" t="str">
        <f t="shared" si="149"/>
        <v>M2</v>
      </c>
      <c r="U1557" s="738"/>
    </row>
    <row r="1558" spans="1:21" ht="12.75" customHeight="1" x14ac:dyDescent="0.2">
      <c r="A1558" s="913"/>
      <c r="B1558" s="346"/>
      <c r="C1558" s="580" t="s">
        <v>1468</v>
      </c>
      <c r="D1558" s="870">
        <v>66</v>
      </c>
      <c r="E1558" s="871" t="s">
        <v>8</v>
      </c>
      <c r="F1558" s="668">
        <v>5</v>
      </c>
      <c r="G1558" s="870"/>
      <c r="H1558" s="871"/>
      <c r="I1558" s="872"/>
      <c r="J1558" s="872"/>
      <c r="K1558" s="884">
        <v>5</v>
      </c>
      <c r="L1558" s="876"/>
      <c r="M1558" s="885"/>
      <c r="N1558" s="885">
        <v>1.88</v>
      </c>
      <c r="O1558" s="313"/>
      <c r="P1558" s="774" t="s">
        <v>1470</v>
      </c>
      <c r="Q1558" s="880"/>
      <c r="R1558" s="909"/>
      <c r="S1558" s="738">
        <f t="shared" si="148"/>
        <v>115.12</v>
      </c>
      <c r="T1558" s="738" t="str">
        <f t="shared" si="149"/>
        <v>M2</v>
      </c>
      <c r="U1558" s="738"/>
    </row>
    <row r="1559" spans="1:21" ht="12.75" customHeight="1" x14ac:dyDescent="0.2">
      <c r="A1559" s="913"/>
      <c r="B1559" s="346"/>
      <c r="C1559" s="580" t="s">
        <v>1468</v>
      </c>
      <c r="D1559" s="870">
        <v>67</v>
      </c>
      <c r="E1559" s="871" t="s">
        <v>8</v>
      </c>
      <c r="F1559" s="668">
        <v>15</v>
      </c>
      <c r="G1559" s="870"/>
      <c r="H1559" s="871"/>
      <c r="I1559" s="872"/>
      <c r="J1559" s="872"/>
      <c r="K1559" s="884">
        <v>5</v>
      </c>
      <c r="L1559" s="876"/>
      <c r="M1559" s="885"/>
      <c r="N1559" s="885">
        <v>1.88</v>
      </c>
      <c r="O1559" s="313"/>
      <c r="P1559" s="774" t="s">
        <v>1470</v>
      </c>
      <c r="Q1559" s="880"/>
      <c r="R1559" s="909"/>
      <c r="S1559" s="738">
        <f t="shared" si="148"/>
        <v>115.12</v>
      </c>
      <c r="T1559" s="738" t="str">
        <f t="shared" si="149"/>
        <v>M2</v>
      </c>
      <c r="U1559" s="738"/>
    </row>
    <row r="1560" spans="1:21" ht="12.75" customHeight="1" x14ac:dyDescent="0.2">
      <c r="A1560" s="913"/>
      <c r="B1560" s="346"/>
      <c r="C1560" s="580" t="s">
        <v>1474</v>
      </c>
      <c r="D1560" s="870">
        <v>67</v>
      </c>
      <c r="E1560" s="871" t="s">
        <v>8</v>
      </c>
      <c r="F1560" s="668">
        <v>0</v>
      </c>
      <c r="G1560" s="870">
        <v>71</v>
      </c>
      <c r="H1560" s="871" t="s">
        <v>8</v>
      </c>
      <c r="I1560" s="667">
        <v>0</v>
      </c>
      <c r="J1560" s="872"/>
      <c r="K1560" s="884"/>
      <c r="L1560" s="876"/>
      <c r="M1560" s="885"/>
      <c r="N1560" s="885">
        <v>46</v>
      </c>
      <c r="O1560" s="313"/>
      <c r="P1560" s="882" t="s">
        <v>1475</v>
      </c>
      <c r="Q1560" s="880"/>
      <c r="R1560" s="909"/>
      <c r="S1560" s="738">
        <f t="shared" si="148"/>
        <v>115.12</v>
      </c>
      <c r="T1560" s="738" t="str">
        <f t="shared" si="149"/>
        <v>M2</v>
      </c>
      <c r="U1560" s="738"/>
    </row>
    <row r="1561" spans="1:21" ht="12.75" customHeight="1" x14ac:dyDescent="0.2">
      <c r="A1561" s="913"/>
      <c r="B1561" s="346"/>
      <c r="C1561" s="580" t="s">
        <v>1472</v>
      </c>
      <c r="D1561" s="870">
        <v>68</v>
      </c>
      <c r="E1561" s="871" t="s">
        <v>8</v>
      </c>
      <c r="F1561" s="668">
        <v>0</v>
      </c>
      <c r="G1561" s="870">
        <v>69</v>
      </c>
      <c r="H1561" s="871" t="s">
        <v>8</v>
      </c>
      <c r="I1561" s="667">
        <v>0</v>
      </c>
      <c r="J1561" s="872"/>
      <c r="K1561" s="884"/>
      <c r="L1561" s="876"/>
      <c r="M1561" s="885"/>
      <c r="N1561" s="885">
        <v>5</v>
      </c>
      <c r="O1561" s="313"/>
      <c r="P1561" s="296" t="s">
        <v>1473</v>
      </c>
      <c r="Q1561" s="880"/>
      <c r="R1561" s="909"/>
      <c r="S1561" s="738">
        <f t="shared" si="148"/>
        <v>115.12</v>
      </c>
      <c r="T1561" s="738" t="str">
        <f t="shared" si="149"/>
        <v>M2</v>
      </c>
      <c r="U1561" s="738"/>
    </row>
    <row r="1562" spans="1:21" ht="12.75" customHeight="1" x14ac:dyDescent="0.2">
      <c r="A1562" s="913"/>
      <c r="B1562" s="346"/>
      <c r="C1562" s="580" t="s">
        <v>1468</v>
      </c>
      <c r="D1562" s="870">
        <v>69</v>
      </c>
      <c r="E1562" s="871" t="s">
        <v>8</v>
      </c>
      <c r="F1562" s="668">
        <v>15</v>
      </c>
      <c r="G1562" s="870"/>
      <c r="H1562" s="871"/>
      <c r="I1562" s="872"/>
      <c r="J1562" s="872"/>
      <c r="K1562" s="884">
        <v>5</v>
      </c>
      <c r="L1562" s="876"/>
      <c r="M1562" s="885"/>
      <c r="N1562" s="885">
        <v>1.88</v>
      </c>
      <c r="O1562" s="313"/>
      <c r="P1562" s="882" t="s">
        <v>1470</v>
      </c>
      <c r="Q1562" s="880"/>
      <c r="R1562" s="909"/>
      <c r="S1562" s="738">
        <f t="shared" si="148"/>
        <v>115.12</v>
      </c>
      <c r="T1562" s="738" t="str">
        <f t="shared" si="149"/>
        <v>M2</v>
      </c>
      <c r="U1562" s="738"/>
    </row>
    <row r="1563" spans="1:21" x14ac:dyDescent="0.2">
      <c r="A1563" s="899"/>
      <c r="B1563" s="353"/>
      <c r="C1563" s="354" t="s">
        <v>2</v>
      </c>
      <c r="D1563" s="355"/>
      <c r="E1563" s="352"/>
      <c r="F1563" s="356"/>
      <c r="G1563" s="355"/>
      <c r="H1563" s="356"/>
      <c r="I1563" s="356"/>
      <c r="J1563" s="353"/>
      <c r="K1563" s="357"/>
      <c r="L1563" s="358"/>
      <c r="M1563" s="359"/>
      <c r="N1563" s="360">
        <f>SUM(N1545:N1562)</f>
        <v>115.12</v>
      </c>
      <c r="O1563" s="361" t="str">
        <f>IF(MID(B1543,1,2)="LG",VLOOKUP(B1543,'Compos lug'!J:M,4,FALSE),IF(MID(B1543,1,1)="6",VLOOKUP(B1543,tranp.!$A$6:$K$51,3,FALSE),VLOOKUP(B1543,'DER 10-18'!$A$1:$I$1981,3,FALSE)))</f>
        <v>M2</v>
      </c>
      <c r="P1563" s="362"/>
      <c r="Q1563" s="362"/>
      <c r="R1563" s="900"/>
      <c r="S1563" s="738">
        <f t="shared" si="148"/>
        <v>2430</v>
      </c>
      <c r="T1563" s="738" t="str">
        <f t="shared" si="149"/>
        <v>Ud</v>
      </c>
      <c r="U1563" s="738"/>
    </row>
    <row r="1564" spans="1:21" x14ac:dyDescent="0.2">
      <c r="A1564" s="294"/>
      <c r="B1564" s="293"/>
      <c r="C1564" s="343"/>
      <c r="H1564" s="292"/>
      <c r="N1564" s="314"/>
      <c r="O1564" s="344"/>
      <c r="P1564" s="315"/>
      <c r="Q1564" s="315"/>
      <c r="R1564" s="903"/>
      <c r="S1564" s="738">
        <f t="shared" si="148"/>
        <v>2430</v>
      </c>
      <c r="T1564" s="738" t="str">
        <f t="shared" si="149"/>
        <v>Ud</v>
      </c>
      <c r="U1564" s="738"/>
    </row>
    <row r="1565" spans="1:21" x14ac:dyDescent="0.2">
      <c r="A1565" s="913" t="s">
        <v>280</v>
      </c>
      <c r="B1565" s="346">
        <v>40932</v>
      </c>
      <c r="C1565" s="347" t="str">
        <f>IF(MID(B1565,1,2)="LG",VLOOKUP(B1565,'Compos lug'!J:M,3,FALSE),IF(MID(B1565,1,1)="6",VLOOKUP(B1565,tranp.!$A$4:$K$19,11,FALSE)&amp;" -  XP="&amp;TEXT(#REF!,"0.000")&amp;" / XR="&amp;TEXT(#REF!,"0.000"),VLOOKUP(B1565,'DER 10-18'!$A$1:$I$1981,2,FALSE)))</f>
        <v>Tacha refletiva monodirecional, fornecimento e aplicação</v>
      </c>
      <c r="D1565" s="1059" t="s">
        <v>1000</v>
      </c>
      <c r="E1565" s="1060"/>
      <c r="F1565" s="1061"/>
      <c r="G1565" s="1059" t="s">
        <v>1001</v>
      </c>
      <c r="H1565" s="1060"/>
      <c r="I1565" s="1061"/>
      <c r="J1565" s="349" t="s">
        <v>989</v>
      </c>
      <c r="K1565" s="876" t="s">
        <v>998</v>
      </c>
      <c r="L1565" s="876"/>
      <c r="M1565" s="885"/>
      <c r="N1565" s="876" t="str">
        <f>CONCATENATE("Total (",IF(MID(B1565,1,2)="LG",VLOOKUP(B1565,'Compos lug'!J:M,4,FALSE),IF(MID(B1565,1,1)="6","t",VLOOKUP(B1565,'DER 10-18'!$A$1:$I$1981,3,FALSE))),")")</f>
        <v>Total (Ud)</v>
      </c>
      <c r="O1565" s="313"/>
      <c r="P1565" s="1062" t="s">
        <v>1002</v>
      </c>
      <c r="Q1565" s="1063"/>
      <c r="R1565" s="909"/>
      <c r="S1565" s="738">
        <f t="shared" si="148"/>
        <v>2430</v>
      </c>
      <c r="T1565" s="738" t="str">
        <f t="shared" si="149"/>
        <v>Ud</v>
      </c>
      <c r="U1565" s="738"/>
    </row>
    <row r="1566" spans="1:21" x14ac:dyDescent="0.2">
      <c r="A1566" s="294"/>
      <c r="B1566" s="293"/>
      <c r="C1566" s="744" t="s">
        <v>1552</v>
      </c>
      <c r="N1566" s="876"/>
      <c r="R1566" s="912"/>
      <c r="S1566" s="738">
        <f t="shared" si="148"/>
        <v>2430</v>
      </c>
      <c r="T1566" s="738" t="str">
        <f t="shared" si="149"/>
        <v>Ud</v>
      </c>
    </row>
    <row r="1567" spans="1:21" x14ac:dyDescent="0.2">
      <c r="A1567" s="913"/>
      <c r="B1567" s="346"/>
      <c r="C1567" s="578" t="s">
        <v>1447</v>
      </c>
      <c r="D1567" s="871">
        <v>0</v>
      </c>
      <c r="E1567" s="871" t="s">
        <v>8</v>
      </c>
      <c r="F1567" s="872">
        <v>0</v>
      </c>
      <c r="G1567" s="871">
        <v>284</v>
      </c>
      <c r="H1567" s="871" t="s">
        <v>8</v>
      </c>
      <c r="I1567" s="872">
        <v>16</v>
      </c>
      <c r="J1567" s="872" t="s">
        <v>1102</v>
      </c>
      <c r="K1567" s="884">
        <v>5696</v>
      </c>
      <c r="L1567" s="876"/>
      <c r="M1567" s="885"/>
      <c r="N1567" s="876">
        <v>570</v>
      </c>
      <c r="O1567" s="313"/>
      <c r="P1567" s="1096" t="s">
        <v>1302</v>
      </c>
      <c r="Q1567" s="1097"/>
      <c r="R1567" s="1098"/>
      <c r="S1567" s="738">
        <f t="shared" si="148"/>
        <v>2430</v>
      </c>
      <c r="T1567" s="738" t="str">
        <f t="shared" si="149"/>
        <v>Ud</v>
      </c>
      <c r="U1567" s="738"/>
    </row>
    <row r="1568" spans="1:21" x14ac:dyDescent="0.2">
      <c r="A1568" s="913"/>
      <c r="B1568" s="346"/>
      <c r="C1568" s="578" t="s">
        <v>1447</v>
      </c>
      <c r="D1568" s="871">
        <v>327</v>
      </c>
      <c r="E1568" s="871" t="s">
        <v>8</v>
      </c>
      <c r="F1568" s="872">
        <v>15</v>
      </c>
      <c r="G1568" s="871">
        <v>561</v>
      </c>
      <c r="H1568" s="871" t="s">
        <v>8</v>
      </c>
      <c r="I1568" s="872">
        <v>12.451000000000001</v>
      </c>
      <c r="J1568" s="872" t="s">
        <v>1102</v>
      </c>
      <c r="K1568" s="884">
        <v>4677.45</v>
      </c>
      <c r="L1568" s="876"/>
      <c r="M1568" s="885"/>
      <c r="N1568" s="876">
        <v>468</v>
      </c>
      <c r="O1568" s="313"/>
      <c r="P1568" s="1096" t="s">
        <v>1302</v>
      </c>
      <c r="Q1568" s="1097"/>
      <c r="R1568" s="1098"/>
      <c r="S1568" s="738">
        <f t="shared" si="148"/>
        <v>2430</v>
      </c>
      <c r="T1568" s="738" t="str">
        <f t="shared" si="149"/>
        <v>Ud</v>
      </c>
      <c r="U1568" s="738"/>
    </row>
    <row r="1569" spans="1:31" x14ac:dyDescent="0.2">
      <c r="A1569" s="913"/>
      <c r="B1569" s="346"/>
      <c r="C1569" s="578" t="s">
        <v>1447</v>
      </c>
      <c r="D1569" s="871">
        <v>0</v>
      </c>
      <c r="E1569" s="871" t="s">
        <v>8</v>
      </c>
      <c r="F1569" s="872">
        <v>0</v>
      </c>
      <c r="G1569" s="871">
        <v>284</v>
      </c>
      <c r="H1569" s="871" t="s">
        <v>8</v>
      </c>
      <c r="I1569" s="872">
        <v>16</v>
      </c>
      <c r="J1569" s="872" t="s">
        <v>1101</v>
      </c>
      <c r="K1569" s="884">
        <v>5696</v>
      </c>
      <c r="L1569" s="876"/>
      <c r="M1569" s="885"/>
      <c r="N1569" s="876">
        <v>570</v>
      </c>
      <c r="O1569" s="313"/>
      <c r="P1569" s="1096" t="s">
        <v>1302</v>
      </c>
      <c r="Q1569" s="1097"/>
      <c r="R1569" s="1098"/>
      <c r="S1569" s="738">
        <f t="shared" si="148"/>
        <v>2430</v>
      </c>
      <c r="T1569" s="738" t="str">
        <f t="shared" si="149"/>
        <v>Ud</v>
      </c>
      <c r="U1569" s="738"/>
    </row>
    <row r="1570" spans="1:31" x14ac:dyDescent="0.2">
      <c r="A1570" s="913"/>
      <c r="B1570" s="346"/>
      <c r="C1570" s="578" t="s">
        <v>1447</v>
      </c>
      <c r="D1570" s="871">
        <v>327</v>
      </c>
      <c r="E1570" s="871" t="s">
        <v>8</v>
      </c>
      <c r="F1570" s="667">
        <v>15</v>
      </c>
      <c r="G1570" s="871">
        <v>561</v>
      </c>
      <c r="H1570" s="871" t="s">
        <v>8</v>
      </c>
      <c r="I1570" s="667">
        <v>12.45</v>
      </c>
      <c r="J1570" s="872" t="s">
        <v>1101</v>
      </c>
      <c r="K1570" s="884">
        <v>4677.45</v>
      </c>
      <c r="L1570" s="876"/>
      <c r="M1570" s="885"/>
      <c r="N1570" s="876">
        <v>468</v>
      </c>
      <c r="O1570" s="313"/>
      <c r="P1570" s="1096" t="s">
        <v>1302</v>
      </c>
      <c r="Q1570" s="1097"/>
      <c r="R1570" s="1098"/>
      <c r="S1570" s="738">
        <f t="shared" si="148"/>
        <v>2430</v>
      </c>
      <c r="T1570" s="738" t="str">
        <f t="shared" si="149"/>
        <v>Ud</v>
      </c>
      <c r="U1570" s="738"/>
    </row>
    <row r="1571" spans="1:31" x14ac:dyDescent="0.2">
      <c r="A1571" s="913"/>
      <c r="B1571" s="346"/>
      <c r="C1571" s="578" t="s">
        <v>1447</v>
      </c>
      <c r="D1571" s="871">
        <v>67</v>
      </c>
      <c r="E1571" s="871" t="s">
        <v>8</v>
      </c>
      <c r="F1571" s="667">
        <v>0</v>
      </c>
      <c r="G1571" s="871">
        <v>71</v>
      </c>
      <c r="H1571" s="871" t="s">
        <v>8</v>
      </c>
      <c r="I1571" s="667">
        <v>0</v>
      </c>
      <c r="J1571" s="872" t="s">
        <v>1446</v>
      </c>
      <c r="K1571" s="884"/>
      <c r="L1571" s="876"/>
      <c r="M1571" s="885"/>
      <c r="N1571" s="876">
        <v>40</v>
      </c>
      <c r="O1571" s="313"/>
      <c r="P1571" s="1096" t="s">
        <v>1432</v>
      </c>
      <c r="Q1571" s="1097"/>
      <c r="R1571" s="1098"/>
      <c r="S1571" s="738">
        <f t="shared" si="148"/>
        <v>2430</v>
      </c>
      <c r="T1571" s="738" t="str">
        <f t="shared" si="149"/>
        <v>Ud</v>
      </c>
      <c r="U1571" s="738"/>
    </row>
    <row r="1572" spans="1:31" x14ac:dyDescent="0.2">
      <c r="A1572" s="913"/>
      <c r="B1572" s="346"/>
      <c r="C1572" s="744" t="s">
        <v>1553</v>
      </c>
      <c r="D1572" s="871"/>
      <c r="E1572" s="871"/>
      <c r="F1572" s="668"/>
      <c r="G1572" s="871"/>
      <c r="H1572" s="871"/>
      <c r="I1572" s="668"/>
      <c r="J1572" s="872"/>
      <c r="K1572" s="884"/>
      <c r="L1572" s="876"/>
      <c r="M1572" s="885"/>
      <c r="N1572" s="876"/>
      <c r="O1572" s="313"/>
      <c r="P1572" s="1096"/>
      <c r="Q1572" s="1097"/>
      <c r="R1572" s="1098"/>
      <c r="S1572" s="738">
        <f t="shared" si="148"/>
        <v>2430</v>
      </c>
      <c r="T1572" s="738" t="str">
        <f t="shared" si="149"/>
        <v>Ud</v>
      </c>
      <c r="U1572" s="738"/>
    </row>
    <row r="1573" spans="1:31" x14ac:dyDescent="0.2">
      <c r="A1573" s="895"/>
      <c r="B1573" s="346"/>
      <c r="C1573" s="348" t="s">
        <v>1591</v>
      </c>
      <c r="D1573" s="405">
        <v>0</v>
      </c>
      <c r="E1573" s="871" t="s">
        <v>8</v>
      </c>
      <c r="F1573" s="406">
        <v>0</v>
      </c>
      <c r="G1573" s="405">
        <v>9</v>
      </c>
      <c r="H1573" s="871" t="s">
        <v>8</v>
      </c>
      <c r="I1573" s="406">
        <v>0</v>
      </c>
      <c r="J1573" s="349" t="s">
        <v>1584</v>
      </c>
      <c r="K1573" s="298">
        <f t="shared" ref="K1573:K1584" si="150">+G1573*20+I1573-D1573*20-F1573</f>
        <v>180</v>
      </c>
      <c r="N1573" s="876">
        <v>30</v>
      </c>
      <c r="O1573" s="351"/>
      <c r="P1573" s="1096"/>
      <c r="Q1573" s="1097"/>
      <c r="R1573" s="1098"/>
      <c r="S1573" s="738">
        <f t="shared" si="148"/>
        <v>2430</v>
      </c>
      <c r="T1573" s="738" t="str">
        <f t="shared" si="149"/>
        <v>Ud</v>
      </c>
      <c r="U1573" s="771"/>
      <c r="V1573" s="772"/>
      <c r="W1573" s="772"/>
      <c r="X1573" s="772"/>
      <c r="Y1573" s="772"/>
      <c r="Z1573" s="772"/>
      <c r="AA1573" s="772"/>
      <c r="AB1573" s="772"/>
      <c r="AC1573" s="772"/>
      <c r="AD1573" s="772"/>
      <c r="AE1573" s="772"/>
    </row>
    <row r="1574" spans="1:31" x14ac:dyDescent="0.2">
      <c r="A1574" s="895"/>
      <c r="B1574" s="346"/>
      <c r="C1574" s="348" t="s">
        <v>1592</v>
      </c>
      <c r="D1574" s="405">
        <v>0</v>
      </c>
      <c r="E1574" s="871" t="s">
        <v>8</v>
      </c>
      <c r="F1574" s="406">
        <v>0</v>
      </c>
      <c r="G1574" s="405">
        <v>14</v>
      </c>
      <c r="H1574" s="871" t="s">
        <v>8</v>
      </c>
      <c r="I1574" s="406">
        <v>4.5</v>
      </c>
      <c r="J1574" s="349" t="s">
        <v>1556</v>
      </c>
      <c r="K1574" s="298">
        <f t="shared" si="150"/>
        <v>284.5</v>
      </c>
      <c r="N1574" s="876">
        <v>15</v>
      </c>
      <c r="O1574" s="351"/>
      <c r="P1574" s="1096"/>
      <c r="Q1574" s="1097"/>
      <c r="R1574" s="1098"/>
      <c r="S1574" s="738">
        <f t="shared" si="148"/>
        <v>2430</v>
      </c>
      <c r="T1574" s="738" t="str">
        <f t="shared" si="149"/>
        <v>Ud</v>
      </c>
      <c r="U1574" s="771"/>
      <c r="V1574" s="772"/>
      <c r="W1574" s="772"/>
      <c r="X1574" s="772"/>
      <c r="Y1574" s="772"/>
      <c r="Z1574" s="772"/>
      <c r="AA1574" s="772"/>
      <c r="AB1574" s="772"/>
      <c r="AC1574" s="772"/>
      <c r="AD1574" s="772"/>
      <c r="AE1574" s="772"/>
    </row>
    <row r="1575" spans="1:31" x14ac:dyDescent="0.2">
      <c r="A1575" s="895"/>
      <c r="B1575" s="346"/>
      <c r="C1575" s="348" t="s">
        <v>1592</v>
      </c>
      <c r="D1575" s="405">
        <v>0</v>
      </c>
      <c r="E1575" s="871" t="s">
        <v>8</v>
      </c>
      <c r="F1575" s="406">
        <v>0</v>
      </c>
      <c r="G1575" s="405">
        <v>13</v>
      </c>
      <c r="H1575" s="871" t="s">
        <v>8</v>
      </c>
      <c r="I1575" s="406">
        <v>0</v>
      </c>
      <c r="J1575" s="349" t="s">
        <v>1556</v>
      </c>
      <c r="K1575" s="298">
        <f t="shared" si="150"/>
        <v>260</v>
      </c>
      <c r="N1575" s="876">
        <v>13</v>
      </c>
      <c r="O1575" s="351"/>
      <c r="P1575" s="1096"/>
      <c r="Q1575" s="1097"/>
      <c r="R1575" s="1098"/>
      <c r="S1575" s="738">
        <f t="shared" si="148"/>
        <v>2430</v>
      </c>
      <c r="T1575" s="738" t="str">
        <f t="shared" si="149"/>
        <v>Ud</v>
      </c>
      <c r="U1575" s="771"/>
      <c r="V1575" s="772"/>
      <c r="W1575" s="772"/>
      <c r="X1575" s="772"/>
      <c r="Y1575" s="772"/>
      <c r="Z1575" s="772"/>
      <c r="AA1575" s="772"/>
      <c r="AB1575" s="772"/>
      <c r="AC1575" s="772"/>
      <c r="AD1575" s="772"/>
      <c r="AE1575" s="772"/>
    </row>
    <row r="1576" spans="1:31" x14ac:dyDescent="0.2">
      <c r="A1576" s="895"/>
      <c r="B1576" s="346"/>
      <c r="C1576" s="348" t="s">
        <v>1592</v>
      </c>
      <c r="D1576" s="405">
        <v>18</v>
      </c>
      <c r="E1576" s="871" t="s">
        <v>8</v>
      </c>
      <c r="F1576" s="406">
        <v>4</v>
      </c>
      <c r="G1576" s="405">
        <v>57</v>
      </c>
      <c r="H1576" s="871" t="s">
        <v>8</v>
      </c>
      <c r="I1576" s="406">
        <v>7</v>
      </c>
      <c r="J1576" s="349" t="s">
        <v>1564</v>
      </c>
      <c r="K1576" s="298">
        <f t="shared" si="150"/>
        <v>783</v>
      </c>
      <c r="N1576" s="876">
        <v>40</v>
      </c>
      <c r="O1576" s="351"/>
      <c r="P1576" s="882"/>
      <c r="Q1576" s="880"/>
      <c r="R1576" s="898"/>
      <c r="S1576" s="738">
        <f t="shared" si="148"/>
        <v>2430</v>
      </c>
      <c r="T1576" s="738" t="str">
        <f t="shared" si="149"/>
        <v>Ud</v>
      </c>
      <c r="U1576" s="771"/>
      <c r="V1576" s="772"/>
      <c r="W1576" s="772"/>
      <c r="X1576" s="772"/>
      <c r="Y1576" s="772"/>
      <c r="Z1576" s="772"/>
      <c r="AA1576" s="772"/>
      <c r="AB1576" s="772"/>
      <c r="AC1576" s="772"/>
      <c r="AD1576" s="772"/>
      <c r="AE1576" s="772"/>
    </row>
    <row r="1577" spans="1:31" x14ac:dyDescent="0.2">
      <c r="A1577" s="895"/>
      <c r="B1577" s="346"/>
      <c r="C1577" s="348" t="s">
        <v>1592</v>
      </c>
      <c r="D1577" s="405">
        <v>18</v>
      </c>
      <c r="E1577" s="871" t="s">
        <v>8</v>
      </c>
      <c r="F1577" s="406">
        <v>4</v>
      </c>
      <c r="G1577" s="405">
        <v>57</v>
      </c>
      <c r="H1577" s="871" t="s">
        <v>8</v>
      </c>
      <c r="I1577" s="406">
        <v>13</v>
      </c>
      <c r="J1577" s="349" t="s">
        <v>1564</v>
      </c>
      <c r="K1577" s="298">
        <f t="shared" si="150"/>
        <v>789</v>
      </c>
      <c r="N1577" s="876">
        <v>40</v>
      </c>
      <c r="O1577" s="351"/>
      <c r="P1577" s="882"/>
      <c r="Q1577" s="880"/>
      <c r="R1577" s="898"/>
      <c r="S1577" s="738">
        <f t="shared" si="148"/>
        <v>2430</v>
      </c>
      <c r="T1577" s="738" t="str">
        <f t="shared" si="149"/>
        <v>Ud</v>
      </c>
      <c r="U1577" s="771"/>
      <c r="V1577" s="772"/>
      <c r="W1577" s="772"/>
      <c r="X1577" s="772"/>
      <c r="Y1577" s="772"/>
      <c r="Z1577" s="772"/>
      <c r="AA1577" s="772"/>
      <c r="AB1577" s="772"/>
      <c r="AC1577" s="772"/>
      <c r="AD1577" s="772"/>
      <c r="AE1577" s="772"/>
    </row>
    <row r="1578" spans="1:31" x14ac:dyDescent="0.2">
      <c r="A1578" s="895"/>
      <c r="B1578" s="346"/>
      <c r="C1578" s="348" t="s">
        <v>1593</v>
      </c>
      <c r="D1578" s="405">
        <v>49</v>
      </c>
      <c r="E1578" s="871" t="s">
        <v>8</v>
      </c>
      <c r="F1578" s="406">
        <v>0</v>
      </c>
      <c r="G1578" s="405">
        <v>80</v>
      </c>
      <c r="H1578" s="871" t="s">
        <v>8</v>
      </c>
      <c r="I1578" s="406">
        <v>0</v>
      </c>
      <c r="J1578" s="349" t="s">
        <v>1584</v>
      </c>
      <c r="K1578" s="298">
        <f t="shared" si="150"/>
        <v>620</v>
      </c>
      <c r="N1578" s="876">
        <v>62</v>
      </c>
      <c r="O1578" s="351"/>
      <c r="P1578" s="882"/>
      <c r="Q1578" s="880"/>
      <c r="R1578" s="898"/>
      <c r="S1578" s="738">
        <f t="shared" si="148"/>
        <v>2430</v>
      </c>
      <c r="T1578" s="738" t="str">
        <f t="shared" si="149"/>
        <v>Ud</v>
      </c>
      <c r="U1578" s="771"/>
      <c r="V1578" s="772"/>
      <c r="W1578" s="772"/>
      <c r="X1578" s="772"/>
      <c r="Y1578" s="772"/>
      <c r="Z1578" s="772"/>
      <c r="AA1578" s="772"/>
      <c r="AB1578" s="772"/>
      <c r="AC1578" s="772"/>
      <c r="AD1578" s="772"/>
      <c r="AE1578" s="772"/>
    </row>
    <row r="1579" spans="1:31" x14ac:dyDescent="0.2">
      <c r="A1579" s="895"/>
      <c r="B1579" s="346"/>
      <c r="C1579" s="348" t="s">
        <v>1592</v>
      </c>
      <c r="D1579" s="405">
        <v>63</v>
      </c>
      <c r="E1579" s="871" t="s">
        <v>8</v>
      </c>
      <c r="F1579" s="406">
        <v>0</v>
      </c>
      <c r="G1579" s="405">
        <v>74</v>
      </c>
      <c r="H1579" s="871" t="s">
        <v>8</v>
      </c>
      <c r="I1579" s="406">
        <v>5</v>
      </c>
      <c r="J1579" s="349" t="s">
        <v>1556</v>
      </c>
      <c r="K1579" s="298">
        <f t="shared" si="150"/>
        <v>225</v>
      </c>
      <c r="N1579" s="876">
        <v>12</v>
      </c>
      <c r="O1579" s="351"/>
      <c r="P1579" s="882"/>
      <c r="Q1579" s="880"/>
      <c r="R1579" s="898"/>
      <c r="S1579" s="738">
        <f t="shared" si="148"/>
        <v>2430</v>
      </c>
      <c r="T1579" s="738" t="str">
        <f t="shared" si="149"/>
        <v>Ud</v>
      </c>
      <c r="U1579" s="771"/>
      <c r="V1579" s="772"/>
      <c r="W1579" s="772"/>
      <c r="X1579" s="772"/>
      <c r="Y1579" s="772"/>
      <c r="Z1579" s="772"/>
      <c r="AA1579" s="772"/>
      <c r="AB1579" s="772"/>
      <c r="AC1579" s="772"/>
      <c r="AD1579" s="772"/>
      <c r="AE1579" s="772"/>
    </row>
    <row r="1580" spans="1:31" x14ac:dyDescent="0.2">
      <c r="A1580" s="895"/>
      <c r="B1580" s="346"/>
      <c r="C1580" s="348" t="s">
        <v>1592</v>
      </c>
      <c r="D1580" s="405">
        <v>63</v>
      </c>
      <c r="E1580" s="871" t="s">
        <v>8</v>
      </c>
      <c r="F1580" s="406">
        <v>3</v>
      </c>
      <c r="G1580" s="405">
        <v>73</v>
      </c>
      <c r="H1580" s="871" t="s">
        <v>8</v>
      </c>
      <c r="I1580" s="406">
        <v>7</v>
      </c>
      <c r="J1580" s="349" t="s">
        <v>1556</v>
      </c>
      <c r="K1580" s="298">
        <f t="shared" si="150"/>
        <v>204</v>
      </c>
      <c r="N1580" s="876">
        <v>11</v>
      </c>
      <c r="O1580" s="351"/>
      <c r="P1580" s="882"/>
      <c r="Q1580" s="880"/>
      <c r="R1580" s="898"/>
      <c r="S1580" s="738">
        <f t="shared" si="148"/>
        <v>2430</v>
      </c>
      <c r="T1580" s="738" t="str">
        <f t="shared" si="149"/>
        <v>Ud</v>
      </c>
      <c r="U1580" s="771"/>
      <c r="V1580" s="772"/>
      <c r="W1580" s="772"/>
      <c r="X1580" s="772"/>
      <c r="Y1580" s="772"/>
      <c r="Z1580" s="772"/>
      <c r="AA1580" s="772"/>
      <c r="AB1580" s="772"/>
      <c r="AC1580" s="772"/>
      <c r="AD1580" s="772"/>
      <c r="AE1580" s="772"/>
    </row>
    <row r="1581" spans="1:31" x14ac:dyDescent="0.2">
      <c r="A1581" s="895"/>
      <c r="B1581" s="346"/>
      <c r="C1581" s="348" t="s">
        <v>1592</v>
      </c>
      <c r="D1581" s="405">
        <v>79</v>
      </c>
      <c r="E1581" s="871" t="s">
        <v>8</v>
      </c>
      <c r="F1581" s="406">
        <v>5.5</v>
      </c>
      <c r="G1581" s="405">
        <v>104</v>
      </c>
      <c r="H1581" s="871" t="s">
        <v>8</v>
      </c>
      <c r="I1581" s="406">
        <v>8.5</v>
      </c>
      <c r="J1581" s="349" t="s">
        <v>1564</v>
      </c>
      <c r="K1581" s="298">
        <f t="shared" si="150"/>
        <v>503</v>
      </c>
      <c r="N1581" s="876">
        <v>26</v>
      </c>
      <c r="O1581" s="351"/>
      <c r="P1581" s="882"/>
      <c r="Q1581" s="880"/>
      <c r="R1581" s="898"/>
      <c r="S1581" s="738">
        <f t="shared" si="148"/>
        <v>2430</v>
      </c>
      <c r="T1581" s="738" t="str">
        <f t="shared" si="149"/>
        <v>Ud</v>
      </c>
      <c r="U1581" s="771"/>
      <c r="V1581" s="772"/>
      <c r="W1581" s="772"/>
      <c r="X1581" s="772"/>
      <c r="Y1581" s="772"/>
      <c r="Z1581" s="772"/>
      <c r="AA1581" s="772"/>
      <c r="AB1581" s="772"/>
      <c r="AC1581" s="772"/>
      <c r="AD1581" s="772"/>
      <c r="AE1581" s="772"/>
    </row>
    <row r="1582" spans="1:31" x14ac:dyDescent="0.2">
      <c r="A1582" s="895"/>
      <c r="B1582" s="346"/>
      <c r="C1582" s="348" t="s">
        <v>1592</v>
      </c>
      <c r="D1582" s="405">
        <v>79</v>
      </c>
      <c r="E1582" s="871" t="s">
        <v>8</v>
      </c>
      <c r="F1582" s="406">
        <v>5.5</v>
      </c>
      <c r="G1582" s="405">
        <v>106</v>
      </c>
      <c r="H1582" s="871" t="s">
        <v>8</v>
      </c>
      <c r="I1582" s="406">
        <v>11</v>
      </c>
      <c r="J1582" s="349" t="s">
        <v>1564</v>
      </c>
      <c r="K1582" s="298">
        <f t="shared" si="150"/>
        <v>545.5</v>
      </c>
      <c r="N1582" s="876">
        <v>28</v>
      </c>
      <c r="O1582" s="351"/>
      <c r="P1582" s="882"/>
      <c r="Q1582" s="880"/>
      <c r="R1582" s="898"/>
      <c r="S1582" s="738">
        <f t="shared" si="148"/>
        <v>2430</v>
      </c>
      <c r="T1582" s="738" t="str">
        <f t="shared" si="149"/>
        <v>Ud</v>
      </c>
      <c r="U1582" s="771"/>
      <c r="V1582" s="772"/>
      <c r="W1582" s="772"/>
      <c r="X1582" s="772"/>
      <c r="Y1582" s="772"/>
      <c r="Z1582" s="772"/>
      <c r="AA1582" s="772"/>
      <c r="AB1582" s="772"/>
      <c r="AC1582" s="772"/>
      <c r="AD1582" s="772"/>
      <c r="AE1582" s="772"/>
    </row>
    <row r="1583" spans="1:31" x14ac:dyDescent="0.2">
      <c r="A1583" s="895"/>
      <c r="B1583" s="346"/>
      <c r="C1583" s="348" t="s">
        <v>1591</v>
      </c>
      <c r="D1583" s="405">
        <v>80</v>
      </c>
      <c r="E1583" s="871" t="s">
        <v>8</v>
      </c>
      <c r="F1583" s="406">
        <v>0</v>
      </c>
      <c r="G1583" s="405">
        <v>90</v>
      </c>
      <c r="H1583" s="871" t="s">
        <v>8</v>
      </c>
      <c r="I1583" s="406">
        <v>0</v>
      </c>
      <c r="J1583" s="349" t="s">
        <v>1584</v>
      </c>
      <c r="K1583" s="298">
        <f t="shared" si="150"/>
        <v>200</v>
      </c>
      <c r="N1583" s="876">
        <v>34</v>
      </c>
      <c r="O1583" s="351"/>
      <c r="P1583" s="882"/>
      <c r="Q1583" s="880"/>
      <c r="R1583" s="898"/>
      <c r="S1583" s="738">
        <f t="shared" si="148"/>
        <v>2430</v>
      </c>
      <c r="T1583" s="738" t="str">
        <f t="shared" si="149"/>
        <v>Ud</v>
      </c>
      <c r="U1583" s="771"/>
      <c r="V1583" s="772"/>
      <c r="W1583" s="772"/>
      <c r="X1583" s="772"/>
      <c r="Y1583" s="772"/>
      <c r="Z1583" s="772"/>
      <c r="AA1583" s="772"/>
      <c r="AB1583" s="772"/>
      <c r="AC1583" s="772"/>
      <c r="AD1583" s="772"/>
      <c r="AE1583" s="772"/>
    </row>
    <row r="1584" spans="1:31" x14ac:dyDescent="0.2">
      <c r="A1584" s="895"/>
      <c r="B1584" s="346"/>
      <c r="C1584" s="348" t="s">
        <v>1592</v>
      </c>
      <c r="D1584" s="405">
        <v>109</v>
      </c>
      <c r="E1584" s="871" t="s">
        <v>8</v>
      </c>
      <c r="F1584" s="406">
        <v>10</v>
      </c>
      <c r="G1584" s="405">
        <v>111</v>
      </c>
      <c r="H1584" s="871" t="s">
        <v>8</v>
      </c>
      <c r="I1584" s="406">
        <v>11.53</v>
      </c>
      <c r="J1584" s="349" t="s">
        <v>1556</v>
      </c>
      <c r="K1584" s="298">
        <f t="shared" si="150"/>
        <v>41.53</v>
      </c>
      <c r="N1584" s="876">
        <v>3</v>
      </c>
      <c r="O1584" s="351"/>
      <c r="P1584" s="882"/>
      <c r="Q1584" s="880"/>
      <c r="R1584" s="898"/>
      <c r="S1584" s="738">
        <f t="shared" si="148"/>
        <v>2430</v>
      </c>
      <c r="T1584" s="738" t="str">
        <f t="shared" si="149"/>
        <v>Ud</v>
      </c>
      <c r="U1584" s="771"/>
      <c r="V1584" s="772"/>
      <c r="W1584" s="772"/>
      <c r="X1584" s="772"/>
      <c r="Y1584" s="772"/>
      <c r="Z1584" s="772"/>
      <c r="AA1584" s="772"/>
      <c r="AB1584" s="772"/>
      <c r="AC1584" s="772"/>
      <c r="AD1584" s="772"/>
      <c r="AE1584" s="772"/>
    </row>
    <row r="1585" spans="1:21" x14ac:dyDescent="0.2">
      <c r="A1585" s="899"/>
      <c r="B1585" s="353"/>
      <c r="C1585" s="354" t="s">
        <v>2</v>
      </c>
      <c r="D1585" s="355"/>
      <c r="E1585" s="352"/>
      <c r="F1585" s="356"/>
      <c r="G1585" s="355"/>
      <c r="H1585" s="356"/>
      <c r="I1585" s="356"/>
      <c r="J1585" s="353"/>
      <c r="K1585" s="357"/>
      <c r="L1585" s="358"/>
      <c r="M1585" s="359"/>
      <c r="N1585" s="360">
        <f>SUM(N1567:N1584)</f>
        <v>2430</v>
      </c>
      <c r="O1585" s="361" t="str">
        <f>IF(MID(B1565,1,2)="LG",VLOOKUP(B1565,'Compos lug'!J:M,4,FALSE),IF(MID(B1565,1,1)="6",VLOOKUP(B1565,tranp.!$A$6:$K$51,3,FALSE),VLOOKUP(B1565,'DER 10-18'!$A$1:$I$1981,3,FALSE)))</f>
        <v>Ud</v>
      </c>
      <c r="P1585" s="362"/>
      <c r="Q1585" s="362"/>
      <c r="R1585" s="900"/>
      <c r="S1585" s="738">
        <f t="shared" si="148"/>
        <v>955</v>
      </c>
      <c r="T1585" s="738" t="str">
        <f t="shared" si="149"/>
        <v>Ud</v>
      </c>
      <c r="U1585" s="738"/>
    </row>
    <row r="1586" spans="1:21" x14ac:dyDescent="0.2">
      <c r="A1586" s="294"/>
      <c r="B1586" s="293"/>
      <c r="C1586" s="343"/>
      <c r="H1586" s="292"/>
      <c r="N1586" s="314"/>
      <c r="O1586" s="344"/>
      <c r="P1586" s="315"/>
      <c r="Q1586" s="315"/>
      <c r="R1586" s="903"/>
      <c r="S1586" s="738">
        <f t="shared" si="148"/>
        <v>955</v>
      </c>
      <c r="T1586" s="738" t="str">
        <f t="shared" si="149"/>
        <v>Ud</v>
      </c>
      <c r="U1586" s="738"/>
    </row>
    <row r="1587" spans="1:21" ht="33" customHeight="1" x14ac:dyDescent="0.2">
      <c r="A1587" s="913" t="s">
        <v>1019</v>
      </c>
      <c r="B1587" s="346">
        <v>40934</v>
      </c>
      <c r="C1587" s="347" t="str">
        <f>IF(MID(B1587,1,2)="LG",VLOOKUP(B1587,'Compos lug'!J:M,3,FALSE),IF(MID(B1587,1,1)="6",VLOOKUP(B1587,tranp.!$A$4:$K$19,11,FALSE)&amp;" -  XP="&amp;TEXT(#REF!,"0.000")&amp;" / XR="&amp;TEXT(#REF!,"0.000"),VLOOKUP(B1587,'DER 10-18'!$A$1:$I$1981,2,FALSE)))</f>
        <v>Tacha refletiva birrefletorizada, fornecimento e aplicação</v>
      </c>
      <c r="D1587" s="1059" t="s">
        <v>1000</v>
      </c>
      <c r="E1587" s="1060"/>
      <c r="F1587" s="1061"/>
      <c r="G1587" s="1059" t="s">
        <v>1001</v>
      </c>
      <c r="H1587" s="1060"/>
      <c r="I1587" s="1061"/>
      <c r="J1587" s="349" t="s">
        <v>989</v>
      </c>
      <c r="K1587" s="876" t="s">
        <v>998</v>
      </c>
      <c r="L1587" s="876"/>
      <c r="M1587" s="885"/>
      <c r="N1587" s="876" t="str">
        <f>CONCATENATE("Total (",IF(MID(B1587,1,2)="LG",VLOOKUP(B1587,'Compos lug'!J:M,4,FALSE),IF(MID(B1587,1,1)="6","t",VLOOKUP(B1587,'DER 10-18'!$A$1:$I$1981,3,FALSE))),")")</f>
        <v>Total (Ud)</v>
      </c>
      <c r="O1587" s="313"/>
      <c r="P1587" s="1062" t="s">
        <v>1002</v>
      </c>
      <c r="Q1587" s="1063"/>
      <c r="R1587" s="909"/>
      <c r="S1587" s="738">
        <f t="shared" ref="S1587:S1650" si="151">VLOOKUP("Total",C1588:O3248,12,FALSE)</f>
        <v>955</v>
      </c>
      <c r="T1587" s="738" t="str">
        <f t="shared" ref="T1587:T1650" si="152">VLOOKUP("Total",C1588:O3248,13,FALSE)</f>
        <v>Ud</v>
      </c>
      <c r="U1587" s="738"/>
    </row>
    <row r="1588" spans="1:21" x14ac:dyDescent="0.2">
      <c r="A1588" s="294"/>
      <c r="B1588" s="293"/>
      <c r="C1588" s="744" t="s">
        <v>1552</v>
      </c>
      <c r="N1588" s="876"/>
      <c r="R1588" s="912"/>
      <c r="S1588" s="738">
        <f t="shared" si="151"/>
        <v>955</v>
      </c>
      <c r="T1588" s="738" t="str">
        <f t="shared" si="152"/>
        <v>Ud</v>
      </c>
    </row>
    <row r="1589" spans="1:21" x14ac:dyDescent="0.2">
      <c r="A1589" s="913"/>
      <c r="B1589" s="346"/>
      <c r="C1589" s="580" t="s">
        <v>1304</v>
      </c>
      <c r="D1589" s="870">
        <v>0</v>
      </c>
      <c r="E1589" s="871" t="s">
        <v>8</v>
      </c>
      <c r="F1589" s="872">
        <v>0</v>
      </c>
      <c r="G1589" s="871">
        <v>12</v>
      </c>
      <c r="H1589" s="871" t="s">
        <v>8</v>
      </c>
      <c r="I1589" s="872">
        <v>0</v>
      </c>
      <c r="J1589" s="872" t="s">
        <v>1276</v>
      </c>
      <c r="K1589" s="884">
        <v>240</v>
      </c>
      <c r="L1589" s="876"/>
      <c r="M1589" s="885"/>
      <c r="N1589" s="876">
        <v>24</v>
      </c>
      <c r="O1589" s="313"/>
      <c r="P1589" s="881" t="s">
        <v>1303</v>
      </c>
      <c r="Q1589" s="882"/>
      <c r="R1589" s="921"/>
      <c r="S1589" s="738">
        <f t="shared" si="151"/>
        <v>955</v>
      </c>
      <c r="T1589" s="738" t="str">
        <f t="shared" si="152"/>
        <v>Ud</v>
      </c>
      <c r="U1589" s="738"/>
    </row>
    <row r="1590" spans="1:21" x14ac:dyDescent="0.2">
      <c r="A1590" s="913"/>
      <c r="B1590" s="346"/>
      <c r="C1590" s="580" t="s">
        <v>1304</v>
      </c>
      <c r="D1590" s="870">
        <v>119</v>
      </c>
      <c r="E1590" s="871" t="s">
        <v>8</v>
      </c>
      <c r="F1590" s="872">
        <v>0</v>
      </c>
      <c r="G1590" s="871">
        <v>144</v>
      </c>
      <c r="H1590" s="871" t="s">
        <v>8</v>
      </c>
      <c r="I1590" s="872">
        <v>0</v>
      </c>
      <c r="J1590" s="872" t="s">
        <v>1276</v>
      </c>
      <c r="K1590" s="884">
        <v>500</v>
      </c>
      <c r="L1590" s="876"/>
      <c r="M1590" s="885"/>
      <c r="N1590" s="876">
        <v>50</v>
      </c>
      <c r="O1590" s="313"/>
      <c r="P1590" s="881" t="s">
        <v>1303</v>
      </c>
      <c r="Q1590" s="882"/>
      <c r="R1590" s="921"/>
      <c r="S1590" s="738">
        <f t="shared" si="151"/>
        <v>955</v>
      </c>
      <c r="T1590" s="738" t="str">
        <f t="shared" si="152"/>
        <v>Ud</v>
      </c>
      <c r="U1590" s="738"/>
    </row>
    <row r="1591" spans="1:21" x14ac:dyDescent="0.2">
      <c r="A1591" s="913"/>
      <c r="B1591" s="346"/>
      <c r="C1591" s="580" t="s">
        <v>1304</v>
      </c>
      <c r="D1591" s="870">
        <v>152</v>
      </c>
      <c r="E1591" s="871" t="s">
        <v>8</v>
      </c>
      <c r="F1591" s="872">
        <v>0</v>
      </c>
      <c r="G1591" s="871">
        <v>187</v>
      </c>
      <c r="H1591" s="871" t="s">
        <v>8</v>
      </c>
      <c r="I1591" s="872">
        <v>0</v>
      </c>
      <c r="J1591" s="872" t="s">
        <v>1276</v>
      </c>
      <c r="K1591" s="884">
        <v>700</v>
      </c>
      <c r="L1591" s="876"/>
      <c r="M1591" s="885"/>
      <c r="N1591" s="876">
        <v>70</v>
      </c>
      <c r="O1591" s="313"/>
      <c r="P1591" s="881" t="s">
        <v>1303</v>
      </c>
      <c r="Q1591" s="882"/>
      <c r="R1591" s="921"/>
      <c r="S1591" s="738">
        <f t="shared" si="151"/>
        <v>955</v>
      </c>
      <c r="T1591" s="738" t="str">
        <f t="shared" si="152"/>
        <v>Ud</v>
      </c>
      <c r="U1591" s="738"/>
    </row>
    <row r="1592" spans="1:21" x14ac:dyDescent="0.2">
      <c r="A1592" s="913"/>
      <c r="B1592" s="346"/>
      <c r="C1592" s="580" t="s">
        <v>1304</v>
      </c>
      <c r="D1592" s="870">
        <v>202</v>
      </c>
      <c r="E1592" s="871" t="s">
        <v>8</v>
      </c>
      <c r="F1592" s="872">
        <v>0</v>
      </c>
      <c r="G1592" s="871">
        <v>253</v>
      </c>
      <c r="H1592" s="871" t="s">
        <v>8</v>
      </c>
      <c r="I1592" s="872">
        <v>0</v>
      </c>
      <c r="J1592" s="872" t="s">
        <v>1276</v>
      </c>
      <c r="K1592" s="884">
        <v>1020</v>
      </c>
      <c r="L1592" s="876"/>
      <c r="M1592" s="885"/>
      <c r="N1592" s="876">
        <v>102</v>
      </c>
      <c r="O1592" s="313"/>
      <c r="P1592" s="881" t="s">
        <v>1303</v>
      </c>
      <c r="Q1592" s="882"/>
      <c r="R1592" s="921"/>
      <c r="S1592" s="738">
        <f t="shared" si="151"/>
        <v>955</v>
      </c>
      <c r="T1592" s="738" t="str">
        <f t="shared" si="152"/>
        <v>Ud</v>
      </c>
      <c r="U1592" s="738"/>
    </row>
    <row r="1593" spans="1:21" x14ac:dyDescent="0.2">
      <c r="A1593" s="913"/>
      <c r="B1593" s="346"/>
      <c r="C1593" s="580" t="s">
        <v>1304</v>
      </c>
      <c r="D1593" s="870">
        <v>328</v>
      </c>
      <c r="E1593" s="871" t="s">
        <v>8</v>
      </c>
      <c r="F1593" s="872">
        <v>0</v>
      </c>
      <c r="G1593" s="871">
        <v>338</v>
      </c>
      <c r="H1593" s="871" t="s">
        <v>8</v>
      </c>
      <c r="I1593" s="872">
        <v>0</v>
      </c>
      <c r="J1593" s="872" t="s">
        <v>1276</v>
      </c>
      <c r="K1593" s="884">
        <v>200</v>
      </c>
      <c r="L1593" s="876"/>
      <c r="M1593" s="885"/>
      <c r="N1593" s="876">
        <v>20</v>
      </c>
      <c r="O1593" s="313"/>
      <c r="P1593" s="881" t="s">
        <v>1303</v>
      </c>
      <c r="Q1593" s="882"/>
      <c r="R1593" s="921"/>
      <c r="S1593" s="738">
        <f t="shared" si="151"/>
        <v>955</v>
      </c>
      <c r="T1593" s="738" t="str">
        <f t="shared" si="152"/>
        <v>Ud</v>
      </c>
      <c r="U1593" s="738"/>
    </row>
    <row r="1594" spans="1:21" x14ac:dyDescent="0.2">
      <c r="A1594" s="913"/>
      <c r="B1594" s="346"/>
      <c r="C1594" s="580" t="s">
        <v>1304</v>
      </c>
      <c r="D1594" s="870">
        <v>402</v>
      </c>
      <c r="E1594" s="871" t="s">
        <v>8</v>
      </c>
      <c r="F1594" s="872">
        <v>0</v>
      </c>
      <c r="G1594" s="871">
        <v>418</v>
      </c>
      <c r="H1594" s="871" t="s">
        <v>8</v>
      </c>
      <c r="I1594" s="872">
        <v>0</v>
      </c>
      <c r="J1594" s="872" t="s">
        <v>1276</v>
      </c>
      <c r="K1594" s="884">
        <v>320</v>
      </c>
      <c r="L1594" s="876"/>
      <c r="M1594" s="885"/>
      <c r="N1594" s="876">
        <v>32</v>
      </c>
      <c r="O1594" s="313"/>
      <c r="P1594" s="881" t="s">
        <v>1303</v>
      </c>
      <c r="Q1594" s="882"/>
      <c r="R1594" s="921"/>
      <c r="S1594" s="738">
        <f t="shared" si="151"/>
        <v>955</v>
      </c>
      <c r="T1594" s="738" t="str">
        <f t="shared" si="152"/>
        <v>Ud</v>
      </c>
      <c r="U1594" s="738"/>
    </row>
    <row r="1595" spans="1:21" x14ac:dyDescent="0.2">
      <c r="A1595" s="913"/>
      <c r="B1595" s="346"/>
      <c r="C1595" s="580" t="s">
        <v>1304</v>
      </c>
      <c r="D1595" s="870">
        <v>430</v>
      </c>
      <c r="E1595" s="871" t="s">
        <v>8</v>
      </c>
      <c r="F1595" s="872">
        <v>0</v>
      </c>
      <c r="G1595" s="871">
        <v>449</v>
      </c>
      <c r="H1595" s="871" t="s">
        <v>8</v>
      </c>
      <c r="I1595" s="872">
        <v>0</v>
      </c>
      <c r="J1595" s="872" t="s">
        <v>1276</v>
      </c>
      <c r="K1595" s="884">
        <v>380</v>
      </c>
      <c r="L1595" s="876"/>
      <c r="M1595" s="885"/>
      <c r="N1595" s="876">
        <v>38</v>
      </c>
      <c r="O1595" s="313"/>
      <c r="P1595" s="881" t="s">
        <v>1303</v>
      </c>
      <c r="Q1595" s="882"/>
      <c r="R1595" s="921"/>
      <c r="S1595" s="738">
        <f t="shared" si="151"/>
        <v>955</v>
      </c>
      <c r="T1595" s="738" t="str">
        <f t="shared" si="152"/>
        <v>Ud</v>
      </c>
      <c r="U1595" s="738"/>
    </row>
    <row r="1596" spans="1:21" x14ac:dyDescent="0.2">
      <c r="A1596" s="913"/>
      <c r="B1596" s="346"/>
      <c r="C1596" s="580" t="s">
        <v>1304</v>
      </c>
      <c r="D1596" s="870">
        <v>460</v>
      </c>
      <c r="E1596" s="871" t="s">
        <v>8</v>
      </c>
      <c r="F1596" s="872">
        <v>0</v>
      </c>
      <c r="G1596" s="871">
        <v>485</v>
      </c>
      <c r="H1596" s="871" t="s">
        <v>8</v>
      </c>
      <c r="I1596" s="872">
        <v>0</v>
      </c>
      <c r="J1596" s="872" t="s">
        <v>1276</v>
      </c>
      <c r="K1596" s="884">
        <v>500</v>
      </c>
      <c r="L1596" s="876"/>
      <c r="M1596" s="885"/>
      <c r="N1596" s="876">
        <v>50</v>
      </c>
      <c r="O1596" s="313"/>
      <c r="P1596" s="881" t="s">
        <v>1303</v>
      </c>
      <c r="Q1596" s="882"/>
      <c r="R1596" s="921"/>
      <c r="S1596" s="738">
        <f t="shared" si="151"/>
        <v>955</v>
      </c>
      <c r="T1596" s="738" t="str">
        <f t="shared" si="152"/>
        <v>Ud</v>
      </c>
      <c r="U1596" s="738"/>
    </row>
    <row r="1597" spans="1:21" x14ac:dyDescent="0.2">
      <c r="A1597" s="913"/>
      <c r="B1597" s="346"/>
      <c r="C1597" s="580" t="s">
        <v>1304</v>
      </c>
      <c r="D1597" s="870">
        <v>12</v>
      </c>
      <c r="E1597" s="871" t="s">
        <v>8</v>
      </c>
      <c r="F1597" s="872">
        <v>0</v>
      </c>
      <c r="G1597" s="871">
        <v>26</v>
      </c>
      <c r="H1597" s="871" t="s">
        <v>8</v>
      </c>
      <c r="I1597" s="872">
        <v>0</v>
      </c>
      <c r="J1597" s="872" t="s">
        <v>1276</v>
      </c>
      <c r="K1597" s="884">
        <v>280</v>
      </c>
      <c r="L1597" s="876"/>
      <c r="M1597" s="885"/>
      <c r="N1597" s="876">
        <v>28</v>
      </c>
      <c r="O1597" s="313"/>
      <c r="P1597" s="881" t="s">
        <v>1275</v>
      </c>
      <c r="Q1597" s="882"/>
      <c r="R1597" s="921"/>
      <c r="S1597" s="738">
        <f t="shared" si="151"/>
        <v>955</v>
      </c>
      <c r="T1597" s="738" t="str">
        <f t="shared" si="152"/>
        <v>Ud</v>
      </c>
      <c r="U1597" s="738"/>
    </row>
    <row r="1598" spans="1:21" x14ac:dyDescent="0.2">
      <c r="A1598" s="913"/>
      <c r="B1598" s="346"/>
      <c r="C1598" s="580" t="s">
        <v>1304</v>
      </c>
      <c r="D1598" s="870">
        <v>37</v>
      </c>
      <c r="E1598" s="871" t="s">
        <v>8</v>
      </c>
      <c r="F1598" s="872">
        <v>0</v>
      </c>
      <c r="G1598" s="871">
        <v>54</v>
      </c>
      <c r="H1598" s="871" t="s">
        <v>8</v>
      </c>
      <c r="I1598" s="872">
        <v>0</v>
      </c>
      <c r="J1598" s="872" t="s">
        <v>1276</v>
      </c>
      <c r="K1598" s="884">
        <v>340</v>
      </c>
      <c r="L1598" s="876"/>
      <c r="M1598" s="885"/>
      <c r="N1598" s="876">
        <v>34</v>
      </c>
      <c r="O1598" s="313"/>
      <c r="P1598" s="881" t="s">
        <v>1275</v>
      </c>
      <c r="Q1598" s="882"/>
      <c r="R1598" s="921"/>
      <c r="S1598" s="738">
        <f t="shared" si="151"/>
        <v>955</v>
      </c>
      <c r="T1598" s="738" t="str">
        <f t="shared" si="152"/>
        <v>Ud</v>
      </c>
      <c r="U1598" s="738"/>
    </row>
    <row r="1599" spans="1:21" x14ac:dyDescent="0.2">
      <c r="A1599" s="913"/>
      <c r="B1599" s="346"/>
      <c r="C1599" s="580" t="s">
        <v>1304</v>
      </c>
      <c r="D1599" s="870">
        <v>69</v>
      </c>
      <c r="E1599" s="871" t="s">
        <v>8</v>
      </c>
      <c r="F1599" s="872">
        <v>0</v>
      </c>
      <c r="G1599" s="871">
        <v>115</v>
      </c>
      <c r="H1599" s="871" t="s">
        <v>8</v>
      </c>
      <c r="I1599" s="872">
        <v>0</v>
      </c>
      <c r="J1599" s="872" t="s">
        <v>1276</v>
      </c>
      <c r="K1599" s="884">
        <v>920</v>
      </c>
      <c r="L1599" s="876"/>
      <c r="M1599" s="885"/>
      <c r="N1599" s="876">
        <v>92</v>
      </c>
      <c r="O1599" s="313"/>
      <c r="P1599" s="881" t="s">
        <v>1275</v>
      </c>
      <c r="Q1599" s="882"/>
      <c r="R1599" s="921"/>
      <c r="S1599" s="738">
        <f t="shared" si="151"/>
        <v>955</v>
      </c>
      <c r="T1599" s="738" t="str">
        <f t="shared" si="152"/>
        <v>Ud</v>
      </c>
      <c r="U1599" s="738"/>
    </row>
    <row r="1600" spans="1:21" x14ac:dyDescent="0.2">
      <c r="A1600" s="913"/>
      <c r="B1600" s="346"/>
      <c r="C1600" s="580" t="s">
        <v>1304</v>
      </c>
      <c r="D1600" s="870">
        <v>115</v>
      </c>
      <c r="E1600" s="871" t="s">
        <v>8</v>
      </c>
      <c r="F1600" s="872">
        <v>10</v>
      </c>
      <c r="G1600" s="871">
        <v>119</v>
      </c>
      <c r="H1600" s="871" t="s">
        <v>8</v>
      </c>
      <c r="I1600" s="872">
        <v>0</v>
      </c>
      <c r="J1600" s="872" t="s">
        <v>1276</v>
      </c>
      <c r="K1600" s="884">
        <v>70</v>
      </c>
      <c r="L1600" s="876"/>
      <c r="M1600" s="885"/>
      <c r="N1600" s="876">
        <v>7</v>
      </c>
      <c r="O1600" s="313"/>
      <c r="P1600" s="881" t="s">
        <v>1275</v>
      </c>
      <c r="Q1600" s="882"/>
      <c r="R1600" s="921"/>
      <c r="S1600" s="738">
        <f t="shared" si="151"/>
        <v>955</v>
      </c>
      <c r="T1600" s="738" t="str">
        <f t="shared" si="152"/>
        <v>Ud</v>
      </c>
      <c r="U1600" s="738"/>
    </row>
    <row r="1601" spans="1:21" x14ac:dyDescent="0.2">
      <c r="A1601" s="913"/>
      <c r="B1601" s="346"/>
      <c r="C1601" s="580" t="s">
        <v>1304</v>
      </c>
      <c r="D1601" s="870">
        <v>144</v>
      </c>
      <c r="E1601" s="871" t="s">
        <v>8</v>
      </c>
      <c r="F1601" s="872">
        <v>0</v>
      </c>
      <c r="G1601" s="871">
        <v>152</v>
      </c>
      <c r="H1601" s="871" t="s">
        <v>8</v>
      </c>
      <c r="I1601" s="872">
        <v>0</v>
      </c>
      <c r="J1601" s="872" t="s">
        <v>1276</v>
      </c>
      <c r="K1601" s="884">
        <v>160</v>
      </c>
      <c r="L1601" s="876"/>
      <c r="M1601" s="885"/>
      <c r="N1601" s="876">
        <v>16</v>
      </c>
      <c r="O1601" s="313"/>
      <c r="P1601" s="881" t="s">
        <v>1275</v>
      </c>
      <c r="Q1601" s="882"/>
      <c r="R1601" s="921"/>
      <c r="S1601" s="738">
        <f t="shared" si="151"/>
        <v>955</v>
      </c>
      <c r="T1601" s="738" t="str">
        <f t="shared" si="152"/>
        <v>Ud</v>
      </c>
      <c r="U1601" s="738"/>
    </row>
    <row r="1602" spans="1:21" x14ac:dyDescent="0.2">
      <c r="A1602" s="913"/>
      <c r="B1602" s="346"/>
      <c r="C1602" s="580" t="s">
        <v>1304</v>
      </c>
      <c r="D1602" s="870">
        <v>196</v>
      </c>
      <c r="E1602" s="871" t="s">
        <v>8</v>
      </c>
      <c r="F1602" s="872">
        <v>0</v>
      </c>
      <c r="G1602" s="871">
        <v>209</v>
      </c>
      <c r="H1602" s="871" t="s">
        <v>8</v>
      </c>
      <c r="I1602" s="872">
        <v>0</v>
      </c>
      <c r="J1602" s="872" t="s">
        <v>1276</v>
      </c>
      <c r="K1602" s="884">
        <v>260</v>
      </c>
      <c r="L1602" s="876"/>
      <c r="M1602" s="885"/>
      <c r="N1602" s="876">
        <v>26</v>
      </c>
      <c r="O1602" s="313"/>
      <c r="P1602" s="881" t="s">
        <v>1275</v>
      </c>
      <c r="Q1602" s="882"/>
      <c r="R1602" s="921"/>
      <c r="S1602" s="738">
        <f t="shared" si="151"/>
        <v>955</v>
      </c>
      <c r="T1602" s="738" t="str">
        <f t="shared" si="152"/>
        <v>Ud</v>
      </c>
      <c r="U1602" s="738"/>
    </row>
    <row r="1603" spans="1:21" x14ac:dyDescent="0.2">
      <c r="A1603" s="913"/>
      <c r="B1603" s="346"/>
      <c r="C1603" s="580" t="s">
        <v>1304</v>
      </c>
      <c r="D1603" s="870">
        <v>253</v>
      </c>
      <c r="E1603" s="871" t="s">
        <v>8</v>
      </c>
      <c r="F1603" s="872">
        <v>0</v>
      </c>
      <c r="G1603" s="871">
        <v>282</v>
      </c>
      <c r="H1603" s="871" t="s">
        <v>8</v>
      </c>
      <c r="I1603" s="872">
        <v>5</v>
      </c>
      <c r="J1603" s="872" t="s">
        <v>1276</v>
      </c>
      <c r="K1603" s="884">
        <v>585</v>
      </c>
      <c r="L1603" s="876"/>
      <c r="M1603" s="885"/>
      <c r="N1603" s="876">
        <v>59</v>
      </c>
      <c r="O1603" s="313"/>
      <c r="P1603" s="881" t="s">
        <v>1275</v>
      </c>
      <c r="Q1603" s="882"/>
      <c r="R1603" s="921"/>
      <c r="S1603" s="738">
        <f t="shared" si="151"/>
        <v>955</v>
      </c>
      <c r="T1603" s="738" t="str">
        <f t="shared" si="152"/>
        <v>Ud</v>
      </c>
      <c r="U1603" s="738"/>
    </row>
    <row r="1604" spans="1:21" x14ac:dyDescent="0.2">
      <c r="A1604" s="913"/>
      <c r="B1604" s="346"/>
      <c r="C1604" s="580" t="s">
        <v>1304</v>
      </c>
      <c r="D1604" s="870">
        <v>283</v>
      </c>
      <c r="E1604" s="871" t="s">
        <v>8</v>
      </c>
      <c r="F1604" s="872">
        <v>5</v>
      </c>
      <c r="G1604" s="871">
        <v>284</v>
      </c>
      <c r="H1604" s="871" t="s">
        <v>8</v>
      </c>
      <c r="I1604" s="872">
        <v>16</v>
      </c>
      <c r="J1604" s="872" t="s">
        <v>1276</v>
      </c>
      <c r="K1604" s="884">
        <v>31</v>
      </c>
      <c r="L1604" s="876"/>
      <c r="M1604" s="885"/>
      <c r="N1604" s="876">
        <v>4</v>
      </c>
      <c r="O1604" s="313"/>
      <c r="P1604" s="881" t="s">
        <v>1275</v>
      </c>
      <c r="Q1604" s="882"/>
      <c r="R1604" s="921"/>
      <c r="S1604" s="738">
        <f t="shared" si="151"/>
        <v>955</v>
      </c>
      <c r="T1604" s="738" t="str">
        <f t="shared" si="152"/>
        <v>Ud</v>
      </c>
      <c r="U1604" s="738"/>
    </row>
    <row r="1605" spans="1:21" x14ac:dyDescent="0.2">
      <c r="A1605" s="913"/>
      <c r="B1605" s="346"/>
      <c r="C1605" s="580" t="s">
        <v>1304</v>
      </c>
      <c r="D1605" s="870">
        <v>338</v>
      </c>
      <c r="E1605" s="871" t="s">
        <v>8</v>
      </c>
      <c r="F1605" s="872">
        <v>0</v>
      </c>
      <c r="G1605" s="871">
        <v>374</v>
      </c>
      <c r="H1605" s="871" t="s">
        <v>8</v>
      </c>
      <c r="I1605" s="872">
        <v>0</v>
      </c>
      <c r="J1605" s="872" t="s">
        <v>1276</v>
      </c>
      <c r="K1605" s="884">
        <v>720</v>
      </c>
      <c r="L1605" s="876"/>
      <c r="M1605" s="885"/>
      <c r="N1605" s="876">
        <v>72</v>
      </c>
      <c r="O1605" s="313"/>
      <c r="P1605" s="881" t="s">
        <v>1275</v>
      </c>
      <c r="Q1605" s="882"/>
      <c r="R1605" s="921"/>
      <c r="S1605" s="738">
        <f t="shared" si="151"/>
        <v>955</v>
      </c>
      <c r="T1605" s="738" t="str">
        <f t="shared" si="152"/>
        <v>Ud</v>
      </c>
      <c r="U1605" s="738"/>
    </row>
    <row r="1606" spans="1:21" x14ac:dyDescent="0.2">
      <c r="A1606" s="913"/>
      <c r="B1606" s="346"/>
      <c r="C1606" s="580" t="s">
        <v>1304</v>
      </c>
      <c r="D1606" s="870">
        <v>375</v>
      </c>
      <c r="E1606" s="871" t="s">
        <v>8</v>
      </c>
      <c r="F1606" s="872">
        <v>0</v>
      </c>
      <c r="G1606" s="871">
        <v>376</v>
      </c>
      <c r="H1606" s="871" t="s">
        <v>8</v>
      </c>
      <c r="I1606" s="872">
        <v>5</v>
      </c>
      <c r="J1606" s="872" t="s">
        <v>1276</v>
      </c>
      <c r="K1606" s="884">
        <v>25</v>
      </c>
      <c r="L1606" s="876"/>
      <c r="M1606" s="885"/>
      <c r="N1606" s="876">
        <v>3</v>
      </c>
      <c r="O1606" s="313"/>
      <c r="P1606" s="881" t="s">
        <v>1275</v>
      </c>
      <c r="Q1606" s="882"/>
      <c r="R1606" s="921"/>
      <c r="S1606" s="738">
        <f t="shared" si="151"/>
        <v>955</v>
      </c>
      <c r="T1606" s="738" t="str">
        <f t="shared" si="152"/>
        <v>Ud</v>
      </c>
      <c r="U1606" s="738"/>
    </row>
    <row r="1607" spans="1:21" x14ac:dyDescent="0.2">
      <c r="A1607" s="913"/>
      <c r="B1607" s="346"/>
      <c r="C1607" s="580" t="s">
        <v>1304</v>
      </c>
      <c r="D1607" s="870">
        <v>377</v>
      </c>
      <c r="E1607" s="871" t="s">
        <v>8</v>
      </c>
      <c r="F1607" s="872">
        <v>5</v>
      </c>
      <c r="G1607" s="871">
        <v>402</v>
      </c>
      <c r="H1607" s="871" t="s">
        <v>8</v>
      </c>
      <c r="I1607" s="872">
        <v>0</v>
      </c>
      <c r="J1607" s="872" t="s">
        <v>1276</v>
      </c>
      <c r="K1607" s="884">
        <v>495</v>
      </c>
      <c r="L1607" s="876"/>
      <c r="M1607" s="885"/>
      <c r="N1607" s="876">
        <v>50</v>
      </c>
      <c r="O1607" s="313"/>
      <c r="P1607" s="881" t="s">
        <v>1275</v>
      </c>
      <c r="Q1607" s="882"/>
      <c r="R1607" s="921"/>
      <c r="S1607" s="738">
        <f t="shared" si="151"/>
        <v>955</v>
      </c>
      <c r="T1607" s="738" t="str">
        <f t="shared" si="152"/>
        <v>Ud</v>
      </c>
      <c r="U1607" s="738"/>
    </row>
    <row r="1608" spans="1:21" x14ac:dyDescent="0.2">
      <c r="A1608" s="913"/>
      <c r="B1608" s="346"/>
      <c r="C1608" s="580" t="s">
        <v>1304</v>
      </c>
      <c r="D1608" s="870">
        <v>418</v>
      </c>
      <c r="E1608" s="871" t="s">
        <v>8</v>
      </c>
      <c r="F1608" s="872">
        <v>0</v>
      </c>
      <c r="G1608" s="871">
        <v>430</v>
      </c>
      <c r="H1608" s="871" t="s">
        <v>8</v>
      </c>
      <c r="I1608" s="872">
        <v>0</v>
      </c>
      <c r="J1608" s="872" t="s">
        <v>1276</v>
      </c>
      <c r="K1608" s="884">
        <v>240</v>
      </c>
      <c r="L1608" s="876"/>
      <c r="M1608" s="885"/>
      <c r="N1608" s="876">
        <v>24</v>
      </c>
      <c r="O1608" s="313"/>
      <c r="P1608" s="881" t="s">
        <v>1275</v>
      </c>
      <c r="Q1608" s="882"/>
      <c r="R1608" s="921"/>
      <c r="S1608" s="738">
        <f t="shared" si="151"/>
        <v>955</v>
      </c>
      <c r="T1608" s="738" t="str">
        <f t="shared" si="152"/>
        <v>Ud</v>
      </c>
      <c r="U1608" s="738"/>
    </row>
    <row r="1609" spans="1:21" x14ac:dyDescent="0.2">
      <c r="A1609" s="913"/>
      <c r="B1609" s="346"/>
      <c r="C1609" s="580" t="s">
        <v>1304</v>
      </c>
      <c r="D1609" s="870">
        <v>449</v>
      </c>
      <c r="E1609" s="871" t="s">
        <v>8</v>
      </c>
      <c r="F1609" s="872">
        <v>0</v>
      </c>
      <c r="G1609" s="871">
        <v>460</v>
      </c>
      <c r="H1609" s="871" t="s">
        <v>8</v>
      </c>
      <c r="I1609" s="872">
        <v>0</v>
      </c>
      <c r="J1609" s="872" t="s">
        <v>1276</v>
      </c>
      <c r="K1609" s="884">
        <v>220</v>
      </c>
      <c r="L1609" s="876"/>
      <c r="M1609" s="885"/>
      <c r="N1609" s="876">
        <v>22</v>
      </c>
      <c r="O1609" s="313"/>
      <c r="P1609" s="881" t="s">
        <v>1275</v>
      </c>
      <c r="Q1609" s="882"/>
      <c r="R1609" s="921"/>
      <c r="S1609" s="738">
        <f t="shared" si="151"/>
        <v>955</v>
      </c>
      <c r="T1609" s="738" t="str">
        <f t="shared" si="152"/>
        <v>Ud</v>
      </c>
      <c r="U1609" s="738"/>
    </row>
    <row r="1610" spans="1:21" x14ac:dyDescent="0.2">
      <c r="A1610" s="913"/>
      <c r="B1610" s="346"/>
      <c r="C1610" s="580" t="s">
        <v>1304</v>
      </c>
      <c r="D1610" s="870">
        <v>485</v>
      </c>
      <c r="E1610" s="871" t="s">
        <v>8</v>
      </c>
      <c r="F1610" s="667">
        <v>0</v>
      </c>
      <c r="G1610" s="871">
        <v>498</v>
      </c>
      <c r="H1610" s="871" t="s">
        <v>8</v>
      </c>
      <c r="I1610" s="667">
        <v>0</v>
      </c>
      <c r="J1610" s="872" t="s">
        <v>1276</v>
      </c>
      <c r="K1610" s="884">
        <v>260</v>
      </c>
      <c r="L1610" s="876"/>
      <c r="M1610" s="885"/>
      <c r="N1610" s="876">
        <v>26</v>
      </c>
      <c r="O1610" s="313"/>
      <c r="P1610" s="881" t="s">
        <v>1275</v>
      </c>
      <c r="Q1610" s="882"/>
      <c r="R1610" s="921"/>
      <c r="S1610" s="738">
        <f t="shared" si="151"/>
        <v>955</v>
      </c>
      <c r="T1610" s="738" t="str">
        <f t="shared" si="152"/>
        <v>Ud</v>
      </c>
      <c r="U1610" s="738"/>
    </row>
    <row r="1611" spans="1:21" x14ac:dyDescent="0.2">
      <c r="A1611" s="913"/>
      <c r="B1611" s="346"/>
      <c r="C1611" s="580" t="s">
        <v>1304</v>
      </c>
      <c r="D1611" s="870">
        <v>533</v>
      </c>
      <c r="E1611" s="871" t="s">
        <v>8</v>
      </c>
      <c r="F1611" s="667">
        <v>0</v>
      </c>
      <c r="G1611" s="871">
        <v>561</v>
      </c>
      <c r="H1611" s="871" t="s">
        <v>8</v>
      </c>
      <c r="I1611" s="667">
        <v>12.45</v>
      </c>
      <c r="J1611" s="872" t="s">
        <v>1276</v>
      </c>
      <c r="K1611" s="884">
        <v>572.45000000000005</v>
      </c>
      <c r="L1611" s="876"/>
      <c r="M1611" s="885"/>
      <c r="N1611" s="876">
        <v>58</v>
      </c>
      <c r="O1611" s="313"/>
      <c r="P1611" s="881" t="s">
        <v>1275</v>
      </c>
      <c r="Q1611" s="882"/>
      <c r="R1611" s="921"/>
      <c r="S1611" s="738">
        <f t="shared" si="151"/>
        <v>955</v>
      </c>
      <c r="T1611" s="738" t="str">
        <f t="shared" si="152"/>
        <v>Ud</v>
      </c>
      <c r="U1611" s="738"/>
    </row>
    <row r="1612" spans="1:21" x14ac:dyDescent="0.2">
      <c r="A1612" s="913"/>
      <c r="B1612" s="346"/>
      <c r="C1612" s="578" t="s">
        <v>1446</v>
      </c>
      <c r="D1612" s="870">
        <v>54</v>
      </c>
      <c r="E1612" s="871" t="s">
        <v>8</v>
      </c>
      <c r="F1612" s="667">
        <v>0</v>
      </c>
      <c r="G1612" s="871">
        <v>56</v>
      </c>
      <c r="H1612" s="871" t="s">
        <v>8</v>
      </c>
      <c r="I1612" s="667">
        <v>0</v>
      </c>
      <c r="J1612" s="872"/>
      <c r="K1612" s="884"/>
      <c r="L1612" s="876"/>
      <c r="M1612" s="885"/>
      <c r="N1612" s="876">
        <v>17</v>
      </c>
      <c r="O1612" s="313"/>
      <c r="P1612" s="881" t="s">
        <v>1444</v>
      </c>
      <c r="Q1612" s="882"/>
      <c r="R1612" s="921"/>
      <c r="S1612" s="738">
        <f t="shared" si="151"/>
        <v>955</v>
      </c>
      <c r="T1612" s="738" t="str">
        <f t="shared" si="152"/>
        <v>Ud</v>
      </c>
      <c r="U1612" s="738"/>
    </row>
    <row r="1613" spans="1:21" x14ac:dyDescent="0.2">
      <c r="A1613" s="913"/>
      <c r="B1613" s="346"/>
      <c r="C1613" s="578" t="s">
        <v>1446</v>
      </c>
      <c r="D1613" s="870">
        <v>64</v>
      </c>
      <c r="E1613" s="871" t="s">
        <v>8</v>
      </c>
      <c r="F1613" s="667">
        <v>10</v>
      </c>
      <c r="G1613" s="871"/>
      <c r="H1613" s="871"/>
      <c r="I1613" s="667"/>
      <c r="J1613" s="872"/>
      <c r="K1613" s="884"/>
      <c r="L1613" s="876"/>
      <c r="M1613" s="885"/>
      <c r="N1613" s="876">
        <v>5</v>
      </c>
      <c r="O1613" s="313"/>
      <c r="P1613" s="881" t="s">
        <v>1445</v>
      </c>
      <c r="Q1613" s="882"/>
      <c r="R1613" s="921"/>
      <c r="S1613" s="738">
        <f t="shared" si="151"/>
        <v>955</v>
      </c>
      <c r="T1613" s="738" t="str">
        <f t="shared" si="152"/>
        <v>Ud</v>
      </c>
      <c r="U1613" s="738"/>
    </row>
    <row r="1614" spans="1:21" x14ac:dyDescent="0.2">
      <c r="A1614" s="913"/>
      <c r="B1614" s="346"/>
      <c r="C1614" s="578" t="s">
        <v>1446</v>
      </c>
      <c r="D1614" s="870">
        <v>68</v>
      </c>
      <c r="E1614" s="871" t="s">
        <v>8</v>
      </c>
      <c r="F1614" s="667">
        <v>0</v>
      </c>
      <c r="G1614" s="871">
        <v>69</v>
      </c>
      <c r="H1614" s="871" t="s">
        <v>8</v>
      </c>
      <c r="I1614" s="667">
        <v>0</v>
      </c>
      <c r="J1614" s="872"/>
      <c r="K1614" s="884"/>
      <c r="L1614" s="876"/>
      <c r="M1614" s="885"/>
      <c r="N1614" s="876">
        <v>7</v>
      </c>
      <c r="O1614" s="313"/>
      <c r="P1614" s="881" t="s">
        <v>1444</v>
      </c>
      <c r="Q1614" s="882"/>
      <c r="R1614" s="921"/>
      <c r="S1614" s="738">
        <f t="shared" si="151"/>
        <v>955</v>
      </c>
      <c r="T1614" s="738" t="str">
        <f t="shared" si="152"/>
        <v>Ud</v>
      </c>
      <c r="U1614" s="738"/>
    </row>
    <row r="1615" spans="1:21" x14ac:dyDescent="0.2">
      <c r="A1615" s="913"/>
      <c r="B1615" s="346"/>
      <c r="C1615" s="578" t="s">
        <v>1446</v>
      </c>
      <c r="D1615" s="870">
        <v>62</v>
      </c>
      <c r="E1615" s="871" t="s">
        <v>8</v>
      </c>
      <c r="F1615" s="667">
        <v>10</v>
      </c>
      <c r="G1615" s="871">
        <v>64</v>
      </c>
      <c r="H1615" s="871" t="s">
        <v>8</v>
      </c>
      <c r="I1615" s="667">
        <v>0</v>
      </c>
      <c r="J1615" s="872"/>
      <c r="K1615" s="884"/>
      <c r="L1615" s="876"/>
      <c r="M1615" s="885"/>
      <c r="N1615" s="876">
        <v>12</v>
      </c>
      <c r="O1615" s="313"/>
      <c r="P1615" s="881" t="s">
        <v>1444</v>
      </c>
      <c r="Q1615" s="882"/>
      <c r="R1615" s="921"/>
      <c r="S1615" s="738">
        <f t="shared" si="151"/>
        <v>955</v>
      </c>
      <c r="T1615" s="738" t="str">
        <f t="shared" si="152"/>
        <v>Ud</v>
      </c>
      <c r="U1615" s="738"/>
    </row>
    <row r="1616" spans="1:21" x14ac:dyDescent="0.2">
      <c r="A1616" s="913"/>
      <c r="B1616" s="346"/>
      <c r="C1616" s="578" t="s">
        <v>1446</v>
      </c>
      <c r="D1616" s="870">
        <v>64</v>
      </c>
      <c r="E1616" s="871" t="s">
        <v>8</v>
      </c>
      <c r="F1616" s="667">
        <v>10</v>
      </c>
      <c r="G1616" s="871">
        <v>65</v>
      </c>
      <c r="H1616" s="871" t="s">
        <v>8</v>
      </c>
      <c r="I1616" s="667">
        <v>10</v>
      </c>
      <c r="J1616" s="872"/>
      <c r="K1616" s="884"/>
      <c r="L1616" s="876"/>
      <c r="M1616" s="885"/>
      <c r="N1616" s="876">
        <v>7</v>
      </c>
      <c r="O1616" s="313"/>
      <c r="P1616" s="881" t="s">
        <v>1444</v>
      </c>
      <c r="Q1616" s="882"/>
      <c r="R1616" s="921"/>
      <c r="S1616" s="738">
        <f t="shared" si="151"/>
        <v>955</v>
      </c>
      <c r="T1616" s="738" t="str">
        <f t="shared" si="152"/>
        <v>Ud</v>
      </c>
      <c r="U1616" s="738"/>
    </row>
    <row r="1617" spans="1:21" x14ac:dyDescent="0.2">
      <c r="A1617" s="899"/>
      <c r="B1617" s="353"/>
      <c r="C1617" s="354" t="s">
        <v>2</v>
      </c>
      <c r="D1617" s="355"/>
      <c r="E1617" s="352"/>
      <c r="F1617" s="356"/>
      <c r="G1617" s="355"/>
      <c r="H1617" s="356"/>
      <c r="I1617" s="356"/>
      <c r="J1617" s="353"/>
      <c r="K1617" s="357"/>
      <c r="L1617" s="358"/>
      <c r="M1617" s="359"/>
      <c r="N1617" s="360">
        <f>SUM(N1589:N1616)</f>
        <v>955</v>
      </c>
      <c r="O1617" s="361" t="str">
        <f>IF(MID(B1587,1,2)="LG",VLOOKUP(B1587,'Compos lug'!J:M,4,FALSE),IF(MID(B1587,1,1)="6",VLOOKUP(B1587,tranp.!$A$6:$K$51,3,FALSE),VLOOKUP(B1587,'DER 10-18'!$A$1:$I$1981,3,FALSE)))</f>
        <v>Ud</v>
      </c>
      <c r="P1617" s="362"/>
      <c r="Q1617" s="362"/>
      <c r="R1617" s="900"/>
      <c r="S1617" s="738">
        <f t="shared" si="151"/>
        <v>16</v>
      </c>
      <c r="T1617" s="738" t="str">
        <f t="shared" si="152"/>
        <v>Ud</v>
      </c>
      <c r="U1617" s="738"/>
    </row>
    <row r="1618" spans="1:21" x14ac:dyDescent="0.2">
      <c r="A1618" s="294"/>
      <c r="B1618" s="293"/>
      <c r="C1618" s="343"/>
      <c r="H1618" s="292"/>
      <c r="N1618" s="314"/>
      <c r="O1618" s="344"/>
      <c r="P1618" s="315"/>
      <c r="Q1618" s="315"/>
      <c r="R1618" s="903"/>
      <c r="S1618" s="738">
        <f t="shared" si="151"/>
        <v>16</v>
      </c>
      <c r="T1618" s="738" t="str">
        <f t="shared" si="152"/>
        <v>Ud</v>
      </c>
      <c r="U1618" s="738"/>
    </row>
    <row r="1619" spans="1:21" ht="33" customHeight="1" x14ac:dyDescent="0.2">
      <c r="A1619" s="913" t="s">
        <v>1425</v>
      </c>
      <c r="B1619" s="346">
        <v>40933</v>
      </c>
      <c r="C1619" s="347" t="str">
        <f>IF(MID(B1619,1,2)="LG",VLOOKUP(B1619,'Compos lug'!J:M,3,FALSE),IF(MID(B1619,1,1)="6",VLOOKUP(B1619,tranp.!$A$4:$K$19,11,FALSE)&amp;" -  XP="&amp;TEXT(#REF!,"0.000")&amp;" / XR="&amp;TEXT(#REF!,"0.000"),VLOOKUP(B1619,'DER 10-18'!$A$1:$I$1981,2,FALSE)))</f>
        <v>Tachão refletivo monodirecional, fornecimento e aplicação</v>
      </c>
      <c r="D1619" s="1059" t="s">
        <v>1000</v>
      </c>
      <c r="E1619" s="1060"/>
      <c r="F1619" s="1061"/>
      <c r="G1619" s="1059" t="s">
        <v>1001</v>
      </c>
      <c r="H1619" s="1060"/>
      <c r="I1619" s="1061"/>
      <c r="J1619" s="349" t="s">
        <v>989</v>
      </c>
      <c r="K1619" s="876" t="s">
        <v>998</v>
      </c>
      <c r="L1619" s="876"/>
      <c r="M1619" s="885"/>
      <c r="N1619" s="876" t="str">
        <f>CONCATENATE("Total (",IF(MID(B1619,1,2)="LG",VLOOKUP(B1619,'Compos lug'!J:M,4,FALSE),IF(MID(B1619,1,1)="6","t",VLOOKUP(B1619,'DER 10-18'!$A$1:$I$1981,3,FALSE))),")")</f>
        <v>Total (Ud)</v>
      </c>
      <c r="O1619" s="313"/>
      <c r="P1619" s="1062" t="s">
        <v>1002</v>
      </c>
      <c r="Q1619" s="1063"/>
      <c r="R1619" s="909"/>
      <c r="S1619" s="738">
        <f t="shared" si="151"/>
        <v>16</v>
      </c>
      <c r="T1619" s="738" t="str">
        <f t="shared" si="152"/>
        <v>Ud</v>
      </c>
      <c r="U1619" s="738"/>
    </row>
    <row r="1620" spans="1:21" x14ac:dyDescent="0.2">
      <c r="A1620" s="294"/>
      <c r="B1620" s="293"/>
      <c r="C1620" s="744" t="s">
        <v>1552</v>
      </c>
      <c r="N1620" s="876"/>
      <c r="R1620" s="912"/>
      <c r="S1620" s="738">
        <f t="shared" si="151"/>
        <v>16</v>
      </c>
      <c r="T1620" s="738" t="str">
        <f t="shared" si="152"/>
        <v>Ud</v>
      </c>
    </row>
    <row r="1621" spans="1:21" x14ac:dyDescent="0.2">
      <c r="A1621" s="913"/>
      <c r="B1621" s="346"/>
      <c r="C1621" s="578" t="s">
        <v>1446</v>
      </c>
      <c r="D1621" s="870">
        <v>64</v>
      </c>
      <c r="E1621" s="871" t="s">
        <v>8</v>
      </c>
      <c r="F1621" s="667">
        <v>0</v>
      </c>
      <c r="G1621" s="871"/>
      <c r="H1621" s="871"/>
      <c r="I1621" s="667"/>
      <c r="J1621" s="872"/>
      <c r="K1621" s="884"/>
      <c r="L1621" s="876"/>
      <c r="M1621" s="885"/>
      <c r="N1621" s="876">
        <v>8</v>
      </c>
      <c r="O1621" s="313"/>
      <c r="P1621" s="881" t="s">
        <v>1449</v>
      </c>
      <c r="Q1621" s="882"/>
      <c r="R1621" s="921"/>
      <c r="S1621" s="738">
        <f t="shared" si="151"/>
        <v>16</v>
      </c>
      <c r="T1621" s="738" t="str">
        <f t="shared" si="152"/>
        <v>Ud</v>
      </c>
      <c r="U1621" s="738"/>
    </row>
    <row r="1622" spans="1:21" x14ac:dyDescent="0.2">
      <c r="A1622" s="913"/>
      <c r="B1622" s="346"/>
      <c r="C1622" s="578" t="s">
        <v>1446</v>
      </c>
      <c r="D1622" s="870">
        <v>65</v>
      </c>
      <c r="E1622" s="871" t="s">
        <v>8</v>
      </c>
      <c r="F1622" s="667">
        <v>0</v>
      </c>
      <c r="G1622" s="871"/>
      <c r="H1622" s="871"/>
      <c r="I1622" s="667"/>
      <c r="J1622" s="872"/>
      <c r="K1622" s="884"/>
      <c r="L1622" s="876"/>
      <c r="M1622" s="885"/>
      <c r="N1622" s="876">
        <v>8</v>
      </c>
      <c r="O1622" s="313"/>
      <c r="P1622" s="881" t="s">
        <v>1449</v>
      </c>
      <c r="Q1622" s="882"/>
      <c r="R1622" s="921"/>
      <c r="S1622" s="738">
        <f t="shared" si="151"/>
        <v>16</v>
      </c>
      <c r="T1622" s="738" t="str">
        <f t="shared" si="152"/>
        <v>Ud</v>
      </c>
      <c r="U1622" s="738"/>
    </row>
    <row r="1623" spans="1:21" x14ac:dyDescent="0.2">
      <c r="A1623" s="899"/>
      <c r="B1623" s="353"/>
      <c r="C1623" s="354" t="s">
        <v>2</v>
      </c>
      <c r="D1623" s="355"/>
      <c r="E1623" s="352"/>
      <c r="F1623" s="356"/>
      <c r="G1623" s="355"/>
      <c r="H1623" s="356"/>
      <c r="I1623" s="356"/>
      <c r="J1623" s="353"/>
      <c r="K1623" s="357"/>
      <c r="L1623" s="358"/>
      <c r="M1623" s="359"/>
      <c r="N1623" s="360">
        <f>SUM(N1621:N1622)</f>
        <v>16</v>
      </c>
      <c r="O1623" s="361" t="str">
        <f>IF(MID(B1619,1,2)="LG",VLOOKUP(B1619,'Compos lug'!J:M,4,FALSE),IF(MID(B1619,1,1)="6",VLOOKUP(B1619,tranp.!$A$6:$K$51,3,FALSE),VLOOKUP(B1619,'DER 10-18'!$A$1:$I$1981,3,FALSE)))</f>
        <v>Ud</v>
      </c>
      <c r="P1623" s="362"/>
      <c r="Q1623" s="362"/>
      <c r="R1623" s="900"/>
      <c r="S1623" s="738">
        <f t="shared" si="151"/>
        <v>78.459999999999994</v>
      </c>
      <c r="T1623" s="738" t="str">
        <f t="shared" si="152"/>
        <v>M2</v>
      </c>
      <c r="U1623" s="738"/>
    </row>
    <row r="1624" spans="1:21" x14ac:dyDescent="0.2">
      <c r="A1624" s="294"/>
      <c r="B1624" s="293"/>
      <c r="C1624" s="343"/>
      <c r="H1624" s="292"/>
      <c r="N1624" s="314"/>
      <c r="O1624" s="344"/>
      <c r="P1624" s="315"/>
      <c r="Q1624" s="315"/>
      <c r="R1624" s="903"/>
      <c r="S1624" s="738">
        <f t="shared" si="151"/>
        <v>78.459999999999994</v>
      </c>
      <c r="T1624" s="738" t="str">
        <f t="shared" si="152"/>
        <v>M2</v>
      </c>
      <c r="U1624" s="738"/>
    </row>
    <row r="1625" spans="1:21" ht="25.5" x14ac:dyDescent="0.2">
      <c r="A1625" s="913" t="s">
        <v>1448</v>
      </c>
      <c r="B1625" s="346">
        <v>40936</v>
      </c>
      <c r="C1625" s="347" t="str">
        <f>IF(MID(B1625,1,2)="LG",VLOOKUP(B1625,'Compos lug'!J:M,3,FALSE),IF(MID(B1625,1,1)="6",VLOOKUP(B1625,tranp.!$A$4:$K$19,11,FALSE)&amp;" -  XP="&amp;TEXT(#REF!,"0.000")&amp;" / XR="&amp;TEXT(#REF!,"0.000"),VLOOKUP(B1625,'DER 10-18'!$A$1:$I$1981,2,FALSE)))</f>
        <v>Sinalização vertical com chapa revestida em película, inclusive suporte em madeira</v>
      </c>
      <c r="D1625" s="1059" t="s">
        <v>7</v>
      </c>
      <c r="E1625" s="1060"/>
      <c r="F1625" s="1061"/>
      <c r="G1625" s="1059"/>
      <c r="H1625" s="1060"/>
      <c r="I1625" s="1061"/>
      <c r="J1625" s="349" t="s">
        <v>989</v>
      </c>
      <c r="K1625" s="884"/>
      <c r="L1625" s="876"/>
      <c r="M1625" s="876"/>
      <c r="N1625" s="885" t="str">
        <f>CONCATENATE("Total (",IF(MID(B1625,1,2)="LG",VLOOKUP(B1625,'Compos lug'!J:M,4,FALSE),IF(MID(B1625,1,1)="6","t",VLOOKUP(B1625,'DER 10-18'!$A$1:$I$1981,3,FALSE))),")")</f>
        <v>Total (M2)</v>
      </c>
      <c r="O1625" s="695"/>
      <c r="P1625" s="1062" t="s">
        <v>1002</v>
      </c>
      <c r="Q1625" s="1063"/>
      <c r="R1625" s="909"/>
      <c r="S1625" s="738">
        <f t="shared" si="151"/>
        <v>78.459999999999994</v>
      </c>
      <c r="T1625" s="738" t="str">
        <f t="shared" si="152"/>
        <v>M2</v>
      </c>
      <c r="U1625" s="738"/>
    </row>
    <row r="1626" spans="1:21" x14ac:dyDescent="0.2">
      <c r="A1626" s="294"/>
      <c r="B1626" s="293"/>
      <c r="C1626" s="744" t="s">
        <v>1552</v>
      </c>
      <c r="N1626" s="876"/>
      <c r="R1626" s="912"/>
      <c r="S1626" s="738">
        <f t="shared" si="151"/>
        <v>78.459999999999994</v>
      </c>
      <c r="T1626" s="738" t="str">
        <f t="shared" si="152"/>
        <v>M2</v>
      </c>
    </row>
    <row r="1627" spans="1:21" x14ac:dyDescent="0.2">
      <c r="A1627" s="895"/>
      <c r="B1627" s="390"/>
      <c r="C1627" s="694" t="s">
        <v>1232</v>
      </c>
      <c r="D1627" s="871">
        <v>1</v>
      </c>
      <c r="E1627" s="871" t="s">
        <v>8</v>
      </c>
      <c r="F1627" s="668">
        <v>0</v>
      </c>
      <c r="G1627" s="870"/>
      <c r="H1627" s="871"/>
      <c r="I1627" s="871"/>
      <c r="J1627" s="349" t="s">
        <v>1102</v>
      </c>
      <c r="K1627" s="876"/>
      <c r="L1627" s="876"/>
      <c r="M1627" s="885"/>
      <c r="N1627" s="876">
        <v>0.2</v>
      </c>
      <c r="O1627" s="351"/>
      <c r="P1627" s="880"/>
      <c r="Q1627" s="880"/>
      <c r="R1627" s="902"/>
      <c r="S1627" s="738">
        <f t="shared" si="151"/>
        <v>78.459999999999994</v>
      </c>
      <c r="T1627" s="738" t="str">
        <f t="shared" si="152"/>
        <v>M2</v>
      </c>
      <c r="U1627" s="738"/>
    </row>
    <row r="1628" spans="1:21" x14ac:dyDescent="0.2">
      <c r="A1628" s="895"/>
      <c r="B1628" s="390"/>
      <c r="C1628" s="694" t="s">
        <v>1292</v>
      </c>
      <c r="D1628" s="871">
        <v>3</v>
      </c>
      <c r="E1628" s="871" t="s">
        <v>8</v>
      </c>
      <c r="F1628" s="668">
        <v>0</v>
      </c>
      <c r="G1628" s="870"/>
      <c r="H1628" s="871"/>
      <c r="I1628" s="871"/>
      <c r="J1628" s="349" t="s">
        <v>1102</v>
      </c>
      <c r="K1628" s="876"/>
      <c r="L1628" s="876"/>
      <c r="M1628" s="885"/>
      <c r="N1628" s="876">
        <v>0.2</v>
      </c>
      <c r="O1628" s="351"/>
      <c r="P1628" s="880"/>
      <c r="Q1628" s="880"/>
      <c r="R1628" s="902"/>
      <c r="S1628" s="738">
        <f t="shared" si="151"/>
        <v>78.459999999999994</v>
      </c>
      <c r="T1628" s="738" t="str">
        <f t="shared" si="152"/>
        <v>M2</v>
      </c>
      <c r="U1628" s="738"/>
    </row>
    <row r="1629" spans="1:21" x14ac:dyDescent="0.2">
      <c r="A1629" s="895"/>
      <c r="B1629" s="390"/>
      <c r="C1629" s="694" t="s">
        <v>1277</v>
      </c>
      <c r="D1629" s="871">
        <v>12</v>
      </c>
      <c r="E1629" s="871" t="s">
        <v>8</v>
      </c>
      <c r="F1629" s="668">
        <v>0</v>
      </c>
      <c r="G1629" s="870"/>
      <c r="H1629" s="871"/>
      <c r="I1629" s="871"/>
      <c r="J1629" s="349" t="s">
        <v>1102</v>
      </c>
      <c r="K1629" s="876"/>
      <c r="L1629" s="876"/>
      <c r="M1629" s="885"/>
      <c r="N1629" s="876">
        <v>0.2</v>
      </c>
      <c r="O1629" s="351"/>
      <c r="P1629" s="880"/>
      <c r="Q1629" s="880"/>
      <c r="R1629" s="902"/>
      <c r="S1629" s="738">
        <f t="shared" si="151"/>
        <v>78.459999999999994</v>
      </c>
      <c r="T1629" s="738" t="str">
        <f t="shared" si="152"/>
        <v>M2</v>
      </c>
      <c r="U1629" s="738"/>
    </row>
    <row r="1630" spans="1:21" x14ac:dyDescent="0.2">
      <c r="A1630" s="895"/>
      <c r="B1630" s="390"/>
      <c r="C1630" s="694" t="s">
        <v>1436</v>
      </c>
      <c r="D1630" s="871">
        <v>15</v>
      </c>
      <c r="E1630" s="871" t="s">
        <v>8</v>
      </c>
      <c r="F1630" s="668">
        <v>0</v>
      </c>
      <c r="G1630" s="870"/>
      <c r="H1630" s="871"/>
      <c r="I1630" s="871"/>
      <c r="J1630" s="349" t="s">
        <v>1102</v>
      </c>
      <c r="K1630" s="876"/>
      <c r="L1630" s="876"/>
      <c r="M1630" s="885"/>
      <c r="N1630" s="876">
        <v>1.2</v>
      </c>
      <c r="O1630" s="351"/>
      <c r="P1630" s="880"/>
      <c r="Q1630" s="880"/>
      <c r="R1630" s="902"/>
      <c r="S1630" s="738">
        <f t="shared" si="151"/>
        <v>78.459999999999994</v>
      </c>
      <c r="T1630" s="738" t="str">
        <f t="shared" si="152"/>
        <v>M2</v>
      </c>
      <c r="U1630" s="738"/>
    </row>
    <row r="1631" spans="1:21" x14ac:dyDescent="0.2">
      <c r="A1631" s="895"/>
      <c r="B1631" s="390"/>
      <c r="C1631" s="694" t="s">
        <v>1292</v>
      </c>
      <c r="D1631" s="871">
        <v>21</v>
      </c>
      <c r="E1631" s="871" t="s">
        <v>8</v>
      </c>
      <c r="F1631" s="668">
        <v>0</v>
      </c>
      <c r="G1631" s="870"/>
      <c r="H1631" s="871"/>
      <c r="I1631" s="871"/>
      <c r="J1631" s="349" t="s">
        <v>1101</v>
      </c>
      <c r="K1631" s="876"/>
      <c r="L1631" s="876"/>
      <c r="M1631" s="885"/>
      <c r="N1631" s="876">
        <v>0.2</v>
      </c>
      <c r="O1631" s="351"/>
      <c r="P1631" s="880"/>
      <c r="Q1631" s="880"/>
      <c r="R1631" s="902"/>
      <c r="S1631" s="738">
        <f t="shared" si="151"/>
        <v>78.459999999999994</v>
      </c>
      <c r="T1631" s="738" t="str">
        <f t="shared" si="152"/>
        <v>M2</v>
      </c>
      <c r="U1631" s="738"/>
    </row>
    <row r="1632" spans="1:21" x14ac:dyDescent="0.2">
      <c r="A1632" s="895"/>
      <c r="B1632" s="390"/>
      <c r="C1632" s="694" t="s">
        <v>1292</v>
      </c>
      <c r="D1632" s="871">
        <v>23</v>
      </c>
      <c r="E1632" s="871" t="s">
        <v>8</v>
      </c>
      <c r="F1632" s="668">
        <v>0</v>
      </c>
      <c r="G1632" s="870"/>
      <c r="H1632" s="871"/>
      <c r="I1632" s="871"/>
      <c r="J1632" s="349" t="s">
        <v>1102</v>
      </c>
      <c r="K1632" s="876"/>
      <c r="L1632" s="876"/>
      <c r="M1632" s="885"/>
      <c r="N1632" s="876">
        <v>0.2</v>
      </c>
      <c r="O1632" s="351"/>
      <c r="P1632" s="880"/>
      <c r="Q1632" s="880"/>
      <c r="R1632" s="902"/>
      <c r="S1632" s="738">
        <f t="shared" si="151"/>
        <v>78.459999999999994</v>
      </c>
      <c r="T1632" s="738" t="str">
        <f t="shared" si="152"/>
        <v>M2</v>
      </c>
      <c r="U1632" s="738"/>
    </row>
    <row r="1633" spans="1:21" x14ac:dyDescent="0.2">
      <c r="A1633" s="895"/>
      <c r="B1633" s="390"/>
      <c r="C1633" s="694" t="s">
        <v>1277</v>
      </c>
      <c r="D1633" s="871">
        <v>26</v>
      </c>
      <c r="E1633" s="871" t="s">
        <v>8</v>
      </c>
      <c r="F1633" s="668">
        <v>0</v>
      </c>
      <c r="G1633" s="870"/>
      <c r="H1633" s="871"/>
      <c r="I1633" s="871"/>
      <c r="J1633" s="349" t="s">
        <v>1101</v>
      </c>
      <c r="K1633" s="876"/>
      <c r="L1633" s="876"/>
      <c r="M1633" s="885"/>
      <c r="N1633" s="876">
        <v>0.2</v>
      </c>
      <c r="O1633" s="351"/>
      <c r="P1633" s="880"/>
      <c r="Q1633" s="880"/>
      <c r="R1633" s="902"/>
      <c r="S1633" s="738">
        <f t="shared" si="151"/>
        <v>78.459999999999994</v>
      </c>
      <c r="T1633" s="738" t="str">
        <f t="shared" si="152"/>
        <v>M2</v>
      </c>
      <c r="U1633" s="738"/>
    </row>
    <row r="1634" spans="1:21" x14ac:dyDescent="0.2">
      <c r="A1634" s="895"/>
      <c r="B1634" s="390"/>
      <c r="C1634" s="694" t="s">
        <v>1437</v>
      </c>
      <c r="D1634" s="871">
        <v>39</v>
      </c>
      <c r="E1634" s="871" t="s">
        <v>8</v>
      </c>
      <c r="F1634" s="668">
        <v>0</v>
      </c>
      <c r="G1634" s="870"/>
      <c r="H1634" s="871"/>
      <c r="I1634" s="871"/>
      <c r="J1634" s="349" t="s">
        <v>1102</v>
      </c>
      <c r="K1634" s="876"/>
      <c r="L1634" s="876"/>
      <c r="M1634" s="885"/>
      <c r="N1634" s="876">
        <v>0.62</v>
      </c>
      <c r="O1634" s="351"/>
      <c r="P1634" s="880"/>
      <c r="Q1634" s="880"/>
      <c r="R1634" s="902"/>
      <c r="S1634" s="738">
        <f t="shared" si="151"/>
        <v>78.459999999999994</v>
      </c>
      <c r="T1634" s="738" t="str">
        <f t="shared" si="152"/>
        <v>M2</v>
      </c>
      <c r="U1634" s="738"/>
    </row>
    <row r="1635" spans="1:21" x14ac:dyDescent="0.2">
      <c r="A1635" s="895"/>
      <c r="B1635" s="390"/>
      <c r="C1635" s="694" t="s">
        <v>1437</v>
      </c>
      <c r="D1635" s="871">
        <v>41</v>
      </c>
      <c r="E1635" s="871" t="s">
        <v>8</v>
      </c>
      <c r="F1635" s="668">
        <v>0</v>
      </c>
      <c r="G1635" s="870"/>
      <c r="H1635" s="871"/>
      <c r="I1635" s="871"/>
      <c r="J1635" s="349" t="s">
        <v>1101</v>
      </c>
      <c r="K1635" s="876"/>
      <c r="L1635" s="876"/>
      <c r="M1635" s="885"/>
      <c r="N1635" s="876">
        <v>0.62</v>
      </c>
      <c r="O1635" s="351"/>
      <c r="P1635" s="880"/>
      <c r="Q1635" s="880"/>
      <c r="R1635" s="902"/>
      <c r="S1635" s="738">
        <f t="shared" si="151"/>
        <v>78.459999999999994</v>
      </c>
      <c r="T1635" s="738" t="str">
        <f t="shared" si="152"/>
        <v>M2</v>
      </c>
      <c r="U1635" s="738"/>
    </row>
    <row r="1636" spans="1:21" x14ac:dyDescent="0.2">
      <c r="A1636" s="895"/>
      <c r="B1636" s="390"/>
      <c r="C1636" s="694" t="s">
        <v>1231</v>
      </c>
      <c r="D1636" s="871">
        <v>53</v>
      </c>
      <c r="E1636" s="871" t="s">
        <v>8</v>
      </c>
      <c r="F1636" s="668">
        <v>0</v>
      </c>
      <c r="G1636" s="870"/>
      <c r="H1636" s="871"/>
      <c r="I1636" s="871"/>
      <c r="J1636" s="349" t="s">
        <v>1102</v>
      </c>
      <c r="K1636" s="876"/>
      <c r="L1636" s="876"/>
      <c r="M1636" s="885"/>
      <c r="N1636" s="876">
        <v>0.2</v>
      </c>
      <c r="O1636" s="351"/>
      <c r="P1636" s="880"/>
      <c r="Q1636" s="880"/>
      <c r="R1636" s="902"/>
      <c r="S1636" s="738">
        <f t="shared" si="151"/>
        <v>78.459999999999994</v>
      </c>
      <c r="T1636" s="738" t="str">
        <f t="shared" si="152"/>
        <v>M2</v>
      </c>
      <c r="U1636" s="738"/>
    </row>
    <row r="1637" spans="1:21" x14ac:dyDescent="0.2">
      <c r="A1637" s="895"/>
      <c r="B1637" s="390"/>
      <c r="C1637" s="694" t="s">
        <v>1438</v>
      </c>
      <c r="D1637" s="871">
        <v>55</v>
      </c>
      <c r="E1637" s="871" t="s">
        <v>8</v>
      </c>
      <c r="F1637" s="668">
        <v>0</v>
      </c>
      <c r="G1637" s="870"/>
      <c r="H1637" s="871"/>
      <c r="I1637" s="871"/>
      <c r="J1637" s="349" t="s">
        <v>1102</v>
      </c>
      <c r="K1637" s="876"/>
      <c r="L1637" s="876"/>
      <c r="M1637" s="885"/>
      <c r="N1637" s="876">
        <v>1.2</v>
      </c>
      <c r="O1637" s="351"/>
      <c r="P1637" s="880"/>
      <c r="Q1637" s="880"/>
      <c r="R1637" s="902"/>
      <c r="S1637" s="738">
        <f t="shared" si="151"/>
        <v>78.459999999999994</v>
      </c>
      <c r="T1637" s="738" t="str">
        <f t="shared" si="152"/>
        <v>M2</v>
      </c>
      <c r="U1637" s="738"/>
    </row>
    <row r="1638" spans="1:21" x14ac:dyDescent="0.2">
      <c r="A1638" s="895"/>
      <c r="B1638" s="390"/>
      <c r="C1638" s="694" t="s">
        <v>1439</v>
      </c>
      <c r="D1638" s="871">
        <v>55</v>
      </c>
      <c r="E1638" s="871" t="s">
        <v>8</v>
      </c>
      <c r="F1638" s="668">
        <v>10</v>
      </c>
      <c r="G1638" s="870"/>
      <c r="H1638" s="871"/>
      <c r="I1638" s="871"/>
      <c r="J1638" s="349" t="s">
        <v>1102</v>
      </c>
      <c r="K1638" s="876"/>
      <c r="L1638" s="876"/>
      <c r="M1638" s="885"/>
      <c r="N1638" s="876">
        <v>0.2</v>
      </c>
      <c r="O1638" s="351"/>
      <c r="P1638" s="880"/>
      <c r="Q1638" s="880"/>
      <c r="R1638" s="902"/>
      <c r="S1638" s="738">
        <f t="shared" si="151"/>
        <v>78.459999999999994</v>
      </c>
      <c r="T1638" s="738" t="str">
        <f t="shared" si="152"/>
        <v>M2</v>
      </c>
      <c r="U1638" s="738"/>
    </row>
    <row r="1639" spans="1:21" x14ac:dyDescent="0.2">
      <c r="A1639" s="895"/>
      <c r="B1639" s="390"/>
      <c r="C1639" s="694" t="s">
        <v>1440</v>
      </c>
      <c r="D1639" s="871">
        <v>64</v>
      </c>
      <c r="E1639" s="871" t="s">
        <v>8</v>
      </c>
      <c r="F1639" s="668">
        <v>0</v>
      </c>
      <c r="G1639" s="870"/>
      <c r="H1639" s="871"/>
      <c r="I1639" s="871"/>
      <c r="J1639" s="349" t="s">
        <v>1101</v>
      </c>
      <c r="K1639" s="876"/>
      <c r="L1639" s="876"/>
      <c r="M1639" s="885"/>
      <c r="N1639" s="876">
        <v>0.2</v>
      </c>
      <c r="O1639" s="351"/>
      <c r="P1639" s="880"/>
      <c r="Q1639" s="880"/>
      <c r="R1639" s="902"/>
      <c r="S1639" s="738">
        <f t="shared" si="151"/>
        <v>78.459999999999994</v>
      </c>
      <c r="T1639" s="738" t="str">
        <f t="shared" si="152"/>
        <v>M2</v>
      </c>
      <c r="U1639" s="738"/>
    </row>
    <row r="1640" spans="1:21" x14ac:dyDescent="0.2">
      <c r="A1640" s="895"/>
      <c r="B1640" s="390"/>
      <c r="C1640" s="694" t="s">
        <v>1441</v>
      </c>
      <c r="D1640" s="871">
        <v>64</v>
      </c>
      <c r="E1640" s="871" t="s">
        <v>8</v>
      </c>
      <c r="F1640" s="668">
        <v>0</v>
      </c>
      <c r="G1640" s="870"/>
      <c r="H1640" s="871"/>
      <c r="I1640" s="871"/>
      <c r="J1640" s="349" t="s">
        <v>1101</v>
      </c>
      <c r="K1640" s="876"/>
      <c r="L1640" s="876"/>
      <c r="M1640" s="885"/>
      <c r="N1640" s="876">
        <v>1.2</v>
      </c>
      <c r="O1640" s="351"/>
      <c r="P1640" s="880"/>
      <c r="Q1640" s="880"/>
      <c r="R1640" s="902"/>
      <c r="S1640" s="738">
        <f t="shared" si="151"/>
        <v>78.459999999999994</v>
      </c>
      <c r="T1640" s="738" t="str">
        <f t="shared" si="152"/>
        <v>M2</v>
      </c>
      <c r="U1640" s="738"/>
    </row>
    <row r="1641" spans="1:21" x14ac:dyDescent="0.2">
      <c r="A1641" s="895"/>
      <c r="B1641" s="390"/>
      <c r="C1641" s="694" t="s">
        <v>1440</v>
      </c>
      <c r="D1641" s="871">
        <v>64</v>
      </c>
      <c r="E1641" s="871" t="s">
        <v>8</v>
      </c>
      <c r="F1641" s="668">
        <v>10</v>
      </c>
      <c r="G1641" s="870"/>
      <c r="H1641" s="871"/>
      <c r="I1641" s="871"/>
      <c r="J1641" s="349" t="s">
        <v>1101</v>
      </c>
      <c r="K1641" s="876"/>
      <c r="L1641" s="876"/>
      <c r="M1641" s="885"/>
      <c r="N1641" s="876">
        <v>0.2</v>
      </c>
      <c r="O1641" s="351"/>
      <c r="P1641" s="880"/>
      <c r="Q1641" s="880"/>
      <c r="R1641" s="902"/>
      <c r="S1641" s="738">
        <f t="shared" si="151"/>
        <v>78.459999999999994</v>
      </c>
      <c r="T1641" s="738" t="str">
        <f t="shared" si="152"/>
        <v>M2</v>
      </c>
      <c r="U1641" s="738"/>
    </row>
    <row r="1642" spans="1:21" x14ac:dyDescent="0.2">
      <c r="A1642" s="895"/>
      <c r="B1642" s="390"/>
      <c r="C1642" s="694" t="s">
        <v>1439</v>
      </c>
      <c r="D1642" s="871">
        <v>68</v>
      </c>
      <c r="E1642" s="871" t="s">
        <v>8</v>
      </c>
      <c r="F1642" s="668">
        <v>0</v>
      </c>
      <c r="G1642" s="870"/>
      <c r="H1642" s="871"/>
      <c r="I1642" s="871"/>
      <c r="J1642" s="349" t="s">
        <v>1101</v>
      </c>
      <c r="K1642" s="876"/>
      <c r="L1642" s="876"/>
      <c r="M1642" s="885"/>
      <c r="N1642" s="876">
        <v>0.2</v>
      </c>
      <c r="O1642" s="351"/>
      <c r="P1642" s="880"/>
      <c r="Q1642" s="880"/>
      <c r="R1642" s="902"/>
      <c r="S1642" s="738">
        <f t="shared" si="151"/>
        <v>78.459999999999994</v>
      </c>
      <c r="T1642" s="738" t="str">
        <f t="shared" si="152"/>
        <v>M2</v>
      </c>
      <c r="U1642" s="738"/>
    </row>
    <row r="1643" spans="1:21" x14ac:dyDescent="0.2">
      <c r="A1643" s="895"/>
      <c r="B1643" s="390"/>
      <c r="C1643" s="694" t="s">
        <v>1442</v>
      </c>
      <c r="D1643" s="871">
        <v>70</v>
      </c>
      <c r="E1643" s="871" t="s">
        <v>8</v>
      </c>
      <c r="F1643" s="668">
        <v>0</v>
      </c>
      <c r="G1643" s="870"/>
      <c r="H1643" s="871"/>
      <c r="I1643" s="871"/>
      <c r="J1643" s="349" t="s">
        <v>1101</v>
      </c>
      <c r="K1643" s="876"/>
      <c r="L1643" s="876"/>
      <c r="M1643" s="885"/>
      <c r="N1643" s="876">
        <v>1.2</v>
      </c>
      <c r="O1643" s="351"/>
      <c r="P1643" s="880"/>
      <c r="Q1643" s="880"/>
      <c r="R1643" s="902"/>
      <c r="S1643" s="738">
        <f t="shared" si="151"/>
        <v>78.459999999999994</v>
      </c>
      <c r="T1643" s="738" t="str">
        <f t="shared" si="152"/>
        <v>M2</v>
      </c>
      <c r="U1643" s="738"/>
    </row>
    <row r="1644" spans="1:21" x14ac:dyDescent="0.2">
      <c r="A1644" s="895"/>
      <c r="B1644" s="390"/>
      <c r="C1644" s="694" t="s">
        <v>1293</v>
      </c>
      <c r="D1644" s="871">
        <v>71</v>
      </c>
      <c r="E1644" s="871" t="s">
        <v>8</v>
      </c>
      <c r="F1644" s="668">
        <v>0</v>
      </c>
      <c r="G1644" s="870"/>
      <c r="H1644" s="871"/>
      <c r="I1644" s="871"/>
      <c r="J1644" s="349" t="s">
        <v>1101</v>
      </c>
      <c r="K1644" s="876"/>
      <c r="L1644" s="876"/>
      <c r="M1644" s="885"/>
      <c r="N1644" s="876">
        <v>0.2</v>
      </c>
      <c r="O1644" s="351"/>
      <c r="P1644" s="880"/>
      <c r="Q1644" s="880"/>
      <c r="R1644" s="902"/>
      <c r="S1644" s="738">
        <f t="shared" si="151"/>
        <v>78.459999999999994</v>
      </c>
      <c r="T1644" s="738" t="str">
        <f t="shared" si="152"/>
        <v>M2</v>
      </c>
      <c r="U1644" s="738"/>
    </row>
    <row r="1645" spans="1:21" x14ac:dyDescent="0.2">
      <c r="A1645" s="895"/>
      <c r="B1645" s="390"/>
      <c r="C1645" s="694" t="s">
        <v>1437</v>
      </c>
      <c r="D1645" s="871">
        <v>73</v>
      </c>
      <c r="E1645" s="871" t="s">
        <v>8</v>
      </c>
      <c r="F1645" s="668">
        <v>0</v>
      </c>
      <c r="G1645" s="870"/>
      <c r="H1645" s="871"/>
      <c r="I1645" s="871"/>
      <c r="J1645" s="349" t="s">
        <v>1102</v>
      </c>
      <c r="K1645" s="876"/>
      <c r="L1645" s="876"/>
      <c r="M1645" s="885"/>
      <c r="N1645" s="876">
        <v>0.62</v>
      </c>
      <c r="O1645" s="351"/>
      <c r="P1645" s="880"/>
      <c r="Q1645" s="880"/>
      <c r="R1645" s="902"/>
      <c r="S1645" s="738">
        <f t="shared" si="151"/>
        <v>78.459999999999994</v>
      </c>
      <c r="T1645" s="738" t="str">
        <f t="shared" si="152"/>
        <v>M2</v>
      </c>
      <c r="U1645" s="738"/>
    </row>
    <row r="1646" spans="1:21" x14ac:dyDescent="0.2">
      <c r="A1646" s="895"/>
      <c r="B1646" s="390"/>
      <c r="C1646" s="694" t="s">
        <v>1295</v>
      </c>
      <c r="D1646" s="871">
        <v>74</v>
      </c>
      <c r="E1646" s="871" t="s">
        <v>8</v>
      </c>
      <c r="F1646" s="668">
        <v>0</v>
      </c>
      <c r="G1646" s="870"/>
      <c r="H1646" s="871"/>
      <c r="I1646" s="871"/>
      <c r="J1646" s="349" t="s">
        <v>1102</v>
      </c>
      <c r="K1646" s="876"/>
      <c r="L1646" s="876"/>
      <c r="M1646" s="885"/>
      <c r="N1646" s="876">
        <v>0.2</v>
      </c>
      <c r="O1646" s="351"/>
      <c r="P1646" s="880"/>
      <c r="Q1646" s="880"/>
      <c r="R1646" s="902"/>
      <c r="S1646" s="738">
        <f t="shared" si="151"/>
        <v>78.459999999999994</v>
      </c>
      <c r="T1646" s="738" t="str">
        <f t="shared" si="152"/>
        <v>M2</v>
      </c>
      <c r="U1646" s="738"/>
    </row>
    <row r="1647" spans="1:21" x14ac:dyDescent="0.2">
      <c r="A1647" s="895"/>
      <c r="B1647" s="390"/>
      <c r="C1647" s="694" t="s">
        <v>1437</v>
      </c>
      <c r="D1647" s="871">
        <v>75</v>
      </c>
      <c r="E1647" s="871" t="s">
        <v>8</v>
      </c>
      <c r="F1647" s="668">
        <v>0</v>
      </c>
      <c r="G1647" s="870"/>
      <c r="H1647" s="871"/>
      <c r="I1647" s="871"/>
      <c r="J1647" s="349" t="s">
        <v>1101</v>
      </c>
      <c r="K1647" s="876"/>
      <c r="L1647" s="876"/>
      <c r="M1647" s="885"/>
      <c r="N1647" s="876">
        <v>0.62</v>
      </c>
      <c r="O1647" s="351"/>
      <c r="P1647" s="880"/>
      <c r="Q1647" s="880"/>
      <c r="R1647" s="902"/>
      <c r="S1647" s="738">
        <f t="shared" si="151"/>
        <v>78.459999999999994</v>
      </c>
      <c r="T1647" s="738" t="str">
        <f t="shared" si="152"/>
        <v>M2</v>
      </c>
      <c r="U1647" s="738"/>
    </row>
    <row r="1648" spans="1:21" x14ac:dyDescent="0.2">
      <c r="A1648" s="895"/>
      <c r="B1648" s="390"/>
      <c r="C1648" s="694" t="s">
        <v>1277</v>
      </c>
      <c r="D1648" s="871">
        <v>84</v>
      </c>
      <c r="E1648" s="871" t="s">
        <v>8</v>
      </c>
      <c r="F1648" s="668">
        <v>0</v>
      </c>
      <c r="G1648" s="870"/>
      <c r="H1648" s="871"/>
      <c r="I1648" s="871"/>
      <c r="J1648" s="349" t="s">
        <v>1102</v>
      </c>
      <c r="K1648" s="876"/>
      <c r="L1648" s="876"/>
      <c r="M1648" s="885"/>
      <c r="N1648" s="876">
        <v>0.2</v>
      </c>
      <c r="O1648" s="351"/>
      <c r="P1648" s="880"/>
      <c r="Q1648" s="880"/>
      <c r="R1648" s="902"/>
      <c r="S1648" s="738">
        <f t="shared" si="151"/>
        <v>78.459999999999994</v>
      </c>
      <c r="T1648" s="738" t="str">
        <f t="shared" si="152"/>
        <v>M2</v>
      </c>
      <c r="U1648" s="738"/>
    </row>
    <row r="1649" spans="1:21" x14ac:dyDescent="0.2">
      <c r="A1649" s="895"/>
      <c r="B1649" s="390"/>
      <c r="C1649" s="694" t="s">
        <v>1277</v>
      </c>
      <c r="D1649" s="871">
        <v>85</v>
      </c>
      <c r="E1649" s="871" t="s">
        <v>8</v>
      </c>
      <c r="F1649" s="668">
        <v>0</v>
      </c>
      <c r="G1649" s="870"/>
      <c r="H1649" s="871"/>
      <c r="I1649" s="871"/>
      <c r="J1649" s="349" t="s">
        <v>1101</v>
      </c>
      <c r="K1649" s="876"/>
      <c r="L1649" s="876"/>
      <c r="M1649" s="885"/>
      <c r="N1649" s="876">
        <v>0.2</v>
      </c>
      <c r="O1649" s="351"/>
      <c r="P1649" s="880"/>
      <c r="Q1649" s="880"/>
      <c r="R1649" s="902"/>
      <c r="S1649" s="738">
        <f t="shared" si="151"/>
        <v>78.459999999999994</v>
      </c>
      <c r="T1649" s="738" t="str">
        <f t="shared" si="152"/>
        <v>M2</v>
      </c>
      <c r="U1649" s="738"/>
    </row>
    <row r="1650" spans="1:21" x14ac:dyDescent="0.2">
      <c r="A1650" s="895"/>
      <c r="B1650" s="390"/>
      <c r="C1650" s="694" t="s">
        <v>1231</v>
      </c>
      <c r="D1650" s="871">
        <v>87</v>
      </c>
      <c r="E1650" s="871" t="s">
        <v>8</v>
      </c>
      <c r="F1650" s="668">
        <v>0</v>
      </c>
      <c r="G1650" s="870"/>
      <c r="H1650" s="871"/>
      <c r="I1650" s="871"/>
      <c r="J1650" s="349" t="s">
        <v>1102</v>
      </c>
      <c r="K1650" s="876"/>
      <c r="L1650" s="876"/>
      <c r="M1650" s="885"/>
      <c r="N1650" s="876">
        <v>0.2</v>
      </c>
      <c r="O1650" s="351"/>
      <c r="P1650" s="880"/>
      <c r="Q1650" s="880"/>
      <c r="R1650" s="902"/>
      <c r="S1650" s="738">
        <f t="shared" si="151"/>
        <v>78.459999999999994</v>
      </c>
      <c r="T1650" s="738" t="str">
        <f t="shared" si="152"/>
        <v>M2</v>
      </c>
      <c r="U1650" s="738"/>
    </row>
    <row r="1651" spans="1:21" x14ac:dyDescent="0.2">
      <c r="A1651" s="895"/>
      <c r="B1651" s="390"/>
      <c r="C1651" s="694" t="s">
        <v>1294</v>
      </c>
      <c r="D1651" s="871">
        <v>89</v>
      </c>
      <c r="E1651" s="871" t="s">
        <v>8</v>
      </c>
      <c r="F1651" s="668">
        <v>0</v>
      </c>
      <c r="G1651" s="870"/>
      <c r="H1651" s="871"/>
      <c r="I1651" s="871"/>
      <c r="J1651" s="349" t="s">
        <v>1101</v>
      </c>
      <c r="K1651" s="876"/>
      <c r="L1651" s="876"/>
      <c r="M1651" s="885"/>
      <c r="N1651" s="876">
        <v>0.2</v>
      </c>
      <c r="O1651" s="351"/>
      <c r="P1651" s="880"/>
      <c r="Q1651" s="880"/>
      <c r="R1651" s="902"/>
      <c r="S1651" s="738">
        <f t="shared" ref="S1651:S1714" si="153">VLOOKUP("Total",C1652:O3312,12,FALSE)</f>
        <v>78.459999999999994</v>
      </c>
      <c r="T1651" s="738" t="str">
        <f t="shared" ref="T1651:T1714" si="154">VLOOKUP("Total",C1652:O3312,13,FALSE)</f>
        <v>M2</v>
      </c>
      <c r="U1651" s="738"/>
    </row>
    <row r="1652" spans="1:21" x14ac:dyDescent="0.2">
      <c r="A1652" s="895"/>
      <c r="B1652" s="390"/>
      <c r="C1652" s="694" t="s">
        <v>1294</v>
      </c>
      <c r="D1652" s="871">
        <v>95</v>
      </c>
      <c r="E1652" s="871" t="s">
        <v>8</v>
      </c>
      <c r="F1652" s="668">
        <v>0</v>
      </c>
      <c r="G1652" s="870"/>
      <c r="H1652" s="871"/>
      <c r="I1652" s="871"/>
      <c r="J1652" s="349" t="s">
        <v>1102</v>
      </c>
      <c r="K1652" s="876"/>
      <c r="L1652" s="876"/>
      <c r="M1652" s="885"/>
      <c r="N1652" s="876">
        <v>0.2</v>
      </c>
      <c r="O1652" s="351"/>
      <c r="P1652" s="880"/>
      <c r="Q1652" s="880"/>
      <c r="R1652" s="902"/>
      <c r="S1652" s="738">
        <f t="shared" si="153"/>
        <v>78.459999999999994</v>
      </c>
      <c r="T1652" s="738" t="str">
        <f t="shared" si="154"/>
        <v>M2</v>
      </c>
      <c r="U1652" s="738"/>
    </row>
    <row r="1653" spans="1:21" x14ac:dyDescent="0.2">
      <c r="A1653" s="895"/>
      <c r="B1653" s="390"/>
      <c r="C1653" s="694" t="s">
        <v>1298</v>
      </c>
      <c r="D1653" s="871">
        <v>99</v>
      </c>
      <c r="E1653" s="871" t="s">
        <v>8</v>
      </c>
      <c r="F1653" s="668">
        <v>0</v>
      </c>
      <c r="G1653" s="870"/>
      <c r="H1653" s="871"/>
      <c r="I1653" s="871"/>
      <c r="J1653" s="349" t="s">
        <v>1102</v>
      </c>
      <c r="K1653" s="876"/>
      <c r="L1653" s="876"/>
      <c r="M1653" s="885"/>
      <c r="N1653" s="876">
        <v>0.3</v>
      </c>
      <c r="O1653" s="351"/>
      <c r="P1653" s="880"/>
      <c r="Q1653" s="880"/>
      <c r="R1653" s="902"/>
      <c r="S1653" s="738">
        <f t="shared" si="153"/>
        <v>78.459999999999994</v>
      </c>
      <c r="T1653" s="738" t="str">
        <f t="shared" si="154"/>
        <v>M2</v>
      </c>
      <c r="U1653" s="738"/>
    </row>
    <row r="1654" spans="1:21" x14ac:dyDescent="0.2">
      <c r="A1654" s="895"/>
      <c r="B1654" s="390"/>
      <c r="C1654" s="694" t="s">
        <v>1298</v>
      </c>
      <c r="D1654" s="871">
        <v>99</v>
      </c>
      <c r="E1654" s="871" t="s">
        <v>8</v>
      </c>
      <c r="F1654" s="668">
        <v>11</v>
      </c>
      <c r="G1654" s="870"/>
      <c r="H1654" s="871"/>
      <c r="I1654" s="871"/>
      <c r="J1654" s="349" t="s">
        <v>1102</v>
      </c>
      <c r="K1654" s="876"/>
      <c r="L1654" s="876"/>
      <c r="M1654" s="885"/>
      <c r="N1654" s="876">
        <v>0.3</v>
      </c>
      <c r="O1654" s="351"/>
      <c r="P1654" s="880"/>
      <c r="Q1654" s="880"/>
      <c r="R1654" s="902"/>
      <c r="S1654" s="738">
        <f t="shared" si="153"/>
        <v>78.459999999999994</v>
      </c>
      <c r="T1654" s="738" t="str">
        <f t="shared" si="154"/>
        <v>M2</v>
      </c>
      <c r="U1654" s="738"/>
    </row>
    <row r="1655" spans="1:21" x14ac:dyDescent="0.2">
      <c r="A1655" s="895"/>
      <c r="B1655" s="390"/>
      <c r="C1655" s="694" t="s">
        <v>1293</v>
      </c>
      <c r="D1655" s="871">
        <v>100</v>
      </c>
      <c r="E1655" s="871" t="s">
        <v>8</v>
      </c>
      <c r="F1655" s="668">
        <v>0</v>
      </c>
      <c r="G1655" s="870"/>
      <c r="H1655" s="871"/>
      <c r="I1655" s="871"/>
      <c r="J1655" s="349" t="s">
        <v>1101</v>
      </c>
      <c r="K1655" s="876"/>
      <c r="L1655" s="876"/>
      <c r="M1655" s="885"/>
      <c r="N1655" s="876">
        <v>0.2</v>
      </c>
      <c r="O1655" s="351"/>
      <c r="P1655" s="880"/>
      <c r="Q1655" s="880"/>
      <c r="R1655" s="902"/>
      <c r="S1655" s="738">
        <f t="shared" si="153"/>
        <v>78.459999999999994</v>
      </c>
      <c r="T1655" s="738" t="str">
        <f t="shared" si="154"/>
        <v>M2</v>
      </c>
      <c r="U1655" s="738"/>
    </row>
    <row r="1656" spans="1:21" x14ac:dyDescent="0.2">
      <c r="A1656" s="895"/>
      <c r="B1656" s="390"/>
      <c r="C1656" s="694" t="s">
        <v>1298</v>
      </c>
      <c r="D1656" s="871">
        <v>100</v>
      </c>
      <c r="E1656" s="871" t="s">
        <v>8</v>
      </c>
      <c r="F1656" s="668">
        <v>2</v>
      </c>
      <c r="G1656" s="870"/>
      <c r="H1656" s="871"/>
      <c r="I1656" s="871"/>
      <c r="J1656" s="349" t="s">
        <v>1102</v>
      </c>
      <c r="K1656" s="876"/>
      <c r="L1656" s="876"/>
      <c r="M1656" s="885"/>
      <c r="N1656" s="876">
        <v>0.3</v>
      </c>
      <c r="O1656" s="351"/>
      <c r="P1656" s="880"/>
      <c r="Q1656" s="880"/>
      <c r="R1656" s="902"/>
      <c r="S1656" s="738">
        <f t="shared" si="153"/>
        <v>78.459999999999994</v>
      </c>
      <c r="T1656" s="738" t="str">
        <f t="shared" si="154"/>
        <v>M2</v>
      </c>
      <c r="U1656" s="738"/>
    </row>
    <row r="1657" spans="1:21" x14ac:dyDescent="0.2">
      <c r="A1657" s="895"/>
      <c r="B1657" s="390"/>
      <c r="C1657" s="694" t="s">
        <v>1298</v>
      </c>
      <c r="D1657" s="871">
        <v>100</v>
      </c>
      <c r="E1657" s="871" t="s">
        <v>8</v>
      </c>
      <c r="F1657" s="668">
        <v>13</v>
      </c>
      <c r="G1657" s="870"/>
      <c r="H1657" s="871"/>
      <c r="I1657" s="871"/>
      <c r="J1657" s="349" t="s">
        <v>1102</v>
      </c>
      <c r="K1657" s="876"/>
      <c r="L1657" s="876"/>
      <c r="M1657" s="885"/>
      <c r="N1657" s="876">
        <v>0.3</v>
      </c>
      <c r="O1657" s="351"/>
      <c r="P1657" s="880"/>
      <c r="Q1657" s="880"/>
      <c r="R1657" s="902"/>
      <c r="S1657" s="738">
        <f t="shared" si="153"/>
        <v>78.459999999999994</v>
      </c>
      <c r="T1657" s="738" t="str">
        <f t="shared" si="154"/>
        <v>M2</v>
      </c>
      <c r="U1657" s="738"/>
    </row>
    <row r="1658" spans="1:21" x14ac:dyDescent="0.2">
      <c r="A1658" s="895"/>
      <c r="B1658" s="390"/>
      <c r="C1658" s="694" t="s">
        <v>1298</v>
      </c>
      <c r="D1658" s="871">
        <v>101</v>
      </c>
      <c r="E1658" s="871" t="s">
        <v>8</v>
      </c>
      <c r="F1658" s="668">
        <v>4</v>
      </c>
      <c r="G1658" s="870"/>
      <c r="H1658" s="871"/>
      <c r="I1658" s="871"/>
      <c r="J1658" s="349" t="s">
        <v>1102</v>
      </c>
      <c r="K1658" s="876"/>
      <c r="L1658" s="876"/>
      <c r="M1658" s="885"/>
      <c r="N1658" s="876">
        <v>0.3</v>
      </c>
      <c r="O1658" s="351"/>
      <c r="P1658" s="880"/>
      <c r="Q1658" s="880"/>
      <c r="R1658" s="902"/>
      <c r="S1658" s="738">
        <f t="shared" si="153"/>
        <v>78.459999999999994</v>
      </c>
      <c r="T1658" s="738" t="str">
        <f t="shared" si="154"/>
        <v>M2</v>
      </c>
      <c r="U1658" s="738"/>
    </row>
    <row r="1659" spans="1:21" x14ac:dyDescent="0.2">
      <c r="A1659" s="895"/>
      <c r="B1659" s="390"/>
      <c r="C1659" s="694" t="s">
        <v>1298</v>
      </c>
      <c r="D1659" s="871">
        <v>101</v>
      </c>
      <c r="E1659" s="871" t="s">
        <v>8</v>
      </c>
      <c r="F1659" s="668">
        <v>15</v>
      </c>
      <c r="G1659" s="870"/>
      <c r="H1659" s="871"/>
      <c r="I1659" s="871"/>
      <c r="J1659" s="349" t="s">
        <v>1102</v>
      </c>
      <c r="K1659" s="876"/>
      <c r="L1659" s="876"/>
      <c r="M1659" s="885"/>
      <c r="N1659" s="876">
        <v>0.3</v>
      </c>
      <c r="O1659" s="351"/>
      <c r="P1659" s="880"/>
      <c r="Q1659" s="880"/>
      <c r="R1659" s="902"/>
      <c r="S1659" s="738">
        <f t="shared" si="153"/>
        <v>78.459999999999994</v>
      </c>
      <c r="T1659" s="738" t="str">
        <f t="shared" si="154"/>
        <v>M2</v>
      </c>
      <c r="U1659" s="738"/>
    </row>
    <row r="1660" spans="1:21" x14ac:dyDescent="0.2">
      <c r="A1660" s="895"/>
      <c r="B1660" s="390"/>
      <c r="C1660" s="694" t="s">
        <v>1298</v>
      </c>
      <c r="D1660" s="871">
        <v>102</v>
      </c>
      <c r="E1660" s="871" t="s">
        <v>8</v>
      </c>
      <c r="F1660" s="668">
        <v>6</v>
      </c>
      <c r="G1660" s="870"/>
      <c r="H1660" s="871"/>
      <c r="I1660" s="871"/>
      <c r="J1660" s="349" t="s">
        <v>1102</v>
      </c>
      <c r="K1660" s="876"/>
      <c r="L1660" s="876"/>
      <c r="M1660" s="885"/>
      <c r="N1660" s="876">
        <v>0.3</v>
      </c>
      <c r="O1660" s="351"/>
      <c r="P1660" s="880"/>
      <c r="Q1660" s="880"/>
      <c r="R1660" s="902"/>
      <c r="S1660" s="738">
        <f t="shared" si="153"/>
        <v>78.459999999999994</v>
      </c>
      <c r="T1660" s="738" t="str">
        <f t="shared" si="154"/>
        <v>M2</v>
      </c>
      <c r="U1660" s="738"/>
    </row>
    <row r="1661" spans="1:21" x14ac:dyDescent="0.2">
      <c r="A1661" s="895"/>
      <c r="B1661" s="390"/>
      <c r="C1661" s="694" t="s">
        <v>1298</v>
      </c>
      <c r="D1661" s="871">
        <v>102</v>
      </c>
      <c r="E1661" s="871" t="s">
        <v>8</v>
      </c>
      <c r="F1661" s="668">
        <v>17</v>
      </c>
      <c r="G1661" s="870"/>
      <c r="H1661" s="871"/>
      <c r="I1661" s="871"/>
      <c r="J1661" s="349" t="s">
        <v>1102</v>
      </c>
      <c r="K1661" s="876"/>
      <c r="L1661" s="876"/>
      <c r="M1661" s="885"/>
      <c r="N1661" s="876">
        <v>0.3</v>
      </c>
      <c r="O1661" s="351"/>
      <c r="P1661" s="880"/>
      <c r="Q1661" s="880"/>
      <c r="R1661" s="902"/>
      <c r="S1661" s="738">
        <f t="shared" si="153"/>
        <v>78.459999999999994</v>
      </c>
      <c r="T1661" s="738" t="str">
        <f t="shared" si="154"/>
        <v>M2</v>
      </c>
      <c r="U1661" s="738"/>
    </row>
    <row r="1662" spans="1:21" x14ac:dyDescent="0.2">
      <c r="A1662" s="895"/>
      <c r="B1662" s="390"/>
      <c r="C1662" s="694" t="s">
        <v>1298</v>
      </c>
      <c r="D1662" s="871">
        <v>103</v>
      </c>
      <c r="E1662" s="871" t="s">
        <v>8</v>
      </c>
      <c r="F1662" s="668">
        <v>8</v>
      </c>
      <c r="G1662" s="870"/>
      <c r="H1662" s="871"/>
      <c r="I1662" s="871"/>
      <c r="J1662" s="349" t="s">
        <v>1102</v>
      </c>
      <c r="K1662" s="876"/>
      <c r="L1662" s="876"/>
      <c r="M1662" s="885"/>
      <c r="N1662" s="876">
        <v>0.3</v>
      </c>
      <c r="O1662" s="351"/>
      <c r="P1662" s="880"/>
      <c r="Q1662" s="880"/>
      <c r="R1662" s="902"/>
      <c r="S1662" s="738">
        <f t="shared" si="153"/>
        <v>78.459999999999994</v>
      </c>
      <c r="T1662" s="738" t="str">
        <f t="shared" si="154"/>
        <v>M2</v>
      </c>
      <c r="U1662" s="738"/>
    </row>
    <row r="1663" spans="1:21" x14ac:dyDescent="0.2">
      <c r="A1663" s="895"/>
      <c r="B1663" s="390"/>
      <c r="C1663" s="694" t="s">
        <v>1298</v>
      </c>
      <c r="D1663" s="871">
        <v>103</v>
      </c>
      <c r="E1663" s="871" t="s">
        <v>8</v>
      </c>
      <c r="F1663" s="668">
        <v>19</v>
      </c>
      <c r="G1663" s="870"/>
      <c r="H1663" s="871"/>
      <c r="I1663" s="871"/>
      <c r="J1663" s="349" t="s">
        <v>1102</v>
      </c>
      <c r="K1663" s="876"/>
      <c r="L1663" s="876"/>
      <c r="M1663" s="885"/>
      <c r="N1663" s="876">
        <v>0.3</v>
      </c>
      <c r="O1663" s="351"/>
      <c r="P1663" s="880"/>
      <c r="Q1663" s="880"/>
      <c r="R1663" s="902"/>
      <c r="S1663" s="738">
        <f t="shared" si="153"/>
        <v>78.459999999999994</v>
      </c>
      <c r="T1663" s="738" t="str">
        <f t="shared" si="154"/>
        <v>M2</v>
      </c>
      <c r="U1663" s="738"/>
    </row>
    <row r="1664" spans="1:21" x14ac:dyDescent="0.2">
      <c r="A1664" s="895"/>
      <c r="B1664" s="390"/>
      <c r="C1664" s="694" t="s">
        <v>1298</v>
      </c>
      <c r="D1664" s="871">
        <v>104</v>
      </c>
      <c r="E1664" s="871" t="s">
        <v>8</v>
      </c>
      <c r="F1664" s="668">
        <v>10</v>
      </c>
      <c r="G1664" s="870"/>
      <c r="H1664" s="871"/>
      <c r="I1664" s="871"/>
      <c r="J1664" s="349" t="s">
        <v>1102</v>
      </c>
      <c r="K1664" s="876"/>
      <c r="L1664" s="876"/>
      <c r="M1664" s="885"/>
      <c r="N1664" s="876">
        <v>0.3</v>
      </c>
      <c r="O1664" s="351"/>
      <c r="P1664" s="880"/>
      <c r="Q1664" s="880"/>
      <c r="R1664" s="902"/>
      <c r="S1664" s="738">
        <f t="shared" si="153"/>
        <v>78.459999999999994</v>
      </c>
      <c r="T1664" s="738" t="str">
        <f t="shared" si="154"/>
        <v>M2</v>
      </c>
      <c r="U1664" s="738"/>
    </row>
    <row r="1665" spans="1:21" x14ac:dyDescent="0.2">
      <c r="A1665" s="895"/>
      <c r="B1665" s="390"/>
      <c r="C1665" s="694" t="s">
        <v>1298</v>
      </c>
      <c r="D1665" s="871">
        <v>105</v>
      </c>
      <c r="E1665" s="871" t="s">
        <v>8</v>
      </c>
      <c r="F1665" s="668">
        <v>1</v>
      </c>
      <c r="G1665" s="870"/>
      <c r="H1665" s="871"/>
      <c r="I1665" s="871"/>
      <c r="J1665" s="349" t="s">
        <v>1102</v>
      </c>
      <c r="K1665" s="876"/>
      <c r="L1665" s="876"/>
      <c r="M1665" s="885"/>
      <c r="N1665" s="876">
        <v>0.3</v>
      </c>
      <c r="O1665" s="351"/>
      <c r="P1665" s="880"/>
      <c r="Q1665" s="880"/>
      <c r="R1665" s="902"/>
      <c r="S1665" s="738">
        <f t="shared" si="153"/>
        <v>78.459999999999994</v>
      </c>
      <c r="T1665" s="738" t="str">
        <f t="shared" si="154"/>
        <v>M2</v>
      </c>
      <c r="U1665" s="738"/>
    </row>
    <row r="1666" spans="1:21" x14ac:dyDescent="0.2">
      <c r="A1666" s="895"/>
      <c r="B1666" s="390"/>
      <c r="C1666" s="694" t="s">
        <v>1298</v>
      </c>
      <c r="D1666" s="871">
        <v>105</v>
      </c>
      <c r="E1666" s="871" t="s">
        <v>8</v>
      </c>
      <c r="F1666" s="668">
        <v>12</v>
      </c>
      <c r="G1666" s="870"/>
      <c r="H1666" s="871"/>
      <c r="I1666" s="871"/>
      <c r="J1666" s="349" t="s">
        <v>1102</v>
      </c>
      <c r="K1666" s="876"/>
      <c r="L1666" s="876"/>
      <c r="M1666" s="885"/>
      <c r="N1666" s="876">
        <v>0.3</v>
      </c>
      <c r="O1666" s="351"/>
      <c r="P1666" s="880"/>
      <c r="Q1666" s="880"/>
      <c r="R1666" s="902"/>
      <c r="S1666" s="738">
        <f t="shared" si="153"/>
        <v>78.459999999999994</v>
      </c>
      <c r="T1666" s="738" t="str">
        <f t="shared" si="154"/>
        <v>M2</v>
      </c>
      <c r="U1666" s="738"/>
    </row>
    <row r="1667" spans="1:21" x14ac:dyDescent="0.2">
      <c r="A1667" s="895"/>
      <c r="B1667" s="390"/>
      <c r="C1667" s="694" t="s">
        <v>1298</v>
      </c>
      <c r="D1667" s="871">
        <v>106</v>
      </c>
      <c r="E1667" s="871" t="s">
        <v>8</v>
      </c>
      <c r="F1667" s="668">
        <v>3</v>
      </c>
      <c r="G1667" s="870"/>
      <c r="H1667" s="871"/>
      <c r="I1667" s="871"/>
      <c r="J1667" s="349" t="s">
        <v>1102</v>
      </c>
      <c r="K1667" s="876"/>
      <c r="L1667" s="876"/>
      <c r="M1667" s="885"/>
      <c r="N1667" s="876">
        <v>0.3</v>
      </c>
      <c r="O1667" s="351"/>
      <c r="P1667" s="880"/>
      <c r="Q1667" s="880"/>
      <c r="R1667" s="902"/>
      <c r="S1667" s="738">
        <f t="shared" si="153"/>
        <v>78.459999999999994</v>
      </c>
      <c r="T1667" s="738" t="str">
        <f t="shared" si="154"/>
        <v>M2</v>
      </c>
      <c r="U1667" s="738"/>
    </row>
    <row r="1668" spans="1:21" x14ac:dyDescent="0.2">
      <c r="A1668" s="895"/>
      <c r="B1668" s="390"/>
      <c r="C1668" s="694" t="s">
        <v>1298</v>
      </c>
      <c r="D1668" s="871">
        <v>106</v>
      </c>
      <c r="E1668" s="871" t="s">
        <v>8</v>
      </c>
      <c r="F1668" s="668">
        <v>14</v>
      </c>
      <c r="G1668" s="870"/>
      <c r="H1668" s="871"/>
      <c r="I1668" s="871"/>
      <c r="J1668" s="349" t="s">
        <v>1102</v>
      </c>
      <c r="K1668" s="876"/>
      <c r="L1668" s="876"/>
      <c r="M1668" s="885"/>
      <c r="N1668" s="876">
        <v>0.3</v>
      </c>
      <c r="O1668" s="351"/>
      <c r="P1668" s="880"/>
      <c r="Q1668" s="880"/>
      <c r="R1668" s="902"/>
      <c r="S1668" s="738">
        <f t="shared" si="153"/>
        <v>78.459999999999994</v>
      </c>
      <c r="T1668" s="738" t="str">
        <f t="shared" si="154"/>
        <v>M2</v>
      </c>
      <c r="U1668" s="738"/>
    </row>
    <row r="1669" spans="1:21" x14ac:dyDescent="0.2">
      <c r="A1669" s="895"/>
      <c r="B1669" s="390"/>
      <c r="C1669" s="694" t="s">
        <v>1298</v>
      </c>
      <c r="D1669" s="871">
        <v>107</v>
      </c>
      <c r="E1669" s="871" t="s">
        <v>8</v>
      </c>
      <c r="F1669" s="668">
        <v>5</v>
      </c>
      <c r="G1669" s="870"/>
      <c r="H1669" s="871"/>
      <c r="I1669" s="871"/>
      <c r="J1669" s="349" t="s">
        <v>1102</v>
      </c>
      <c r="K1669" s="876"/>
      <c r="L1669" s="876"/>
      <c r="M1669" s="885"/>
      <c r="N1669" s="876">
        <v>0.3</v>
      </c>
      <c r="O1669" s="351"/>
      <c r="P1669" s="880"/>
      <c r="Q1669" s="880"/>
      <c r="R1669" s="902"/>
      <c r="S1669" s="738">
        <f t="shared" si="153"/>
        <v>78.459999999999994</v>
      </c>
      <c r="T1669" s="738" t="str">
        <f t="shared" si="154"/>
        <v>M2</v>
      </c>
      <c r="U1669" s="738"/>
    </row>
    <row r="1670" spans="1:21" x14ac:dyDescent="0.2">
      <c r="A1670" s="895"/>
      <c r="B1670" s="390"/>
      <c r="C1670" s="694" t="s">
        <v>1298</v>
      </c>
      <c r="D1670" s="871">
        <v>107</v>
      </c>
      <c r="E1670" s="871" t="s">
        <v>8</v>
      </c>
      <c r="F1670" s="668">
        <v>16</v>
      </c>
      <c r="G1670" s="870"/>
      <c r="H1670" s="871"/>
      <c r="I1670" s="871"/>
      <c r="J1670" s="349" t="s">
        <v>1102</v>
      </c>
      <c r="K1670" s="876"/>
      <c r="L1670" s="876"/>
      <c r="M1670" s="885"/>
      <c r="N1670" s="876">
        <v>0.3</v>
      </c>
      <c r="O1670" s="351"/>
      <c r="P1670" s="880"/>
      <c r="Q1670" s="880"/>
      <c r="R1670" s="902"/>
      <c r="S1670" s="738">
        <f t="shared" si="153"/>
        <v>78.459999999999994</v>
      </c>
      <c r="T1670" s="738" t="str">
        <f t="shared" si="154"/>
        <v>M2</v>
      </c>
      <c r="U1670" s="738"/>
    </row>
    <row r="1671" spans="1:21" x14ac:dyDescent="0.2">
      <c r="A1671" s="895"/>
      <c r="B1671" s="390"/>
      <c r="C1671" s="694" t="s">
        <v>1298</v>
      </c>
      <c r="D1671" s="871">
        <v>108</v>
      </c>
      <c r="E1671" s="871" t="s">
        <v>8</v>
      </c>
      <c r="F1671" s="668">
        <v>7</v>
      </c>
      <c r="G1671" s="870"/>
      <c r="H1671" s="871"/>
      <c r="I1671" s="871"/>
      <c r="J1671" s="349" t="s">
        <v>1102</v>
      </c>
      <c r="K1671" s="876"/>
      <c r="L1671" s="876"/>
      <c r="M1671" s="885"/>
      <c r="N1671" s="876">
        <v>0.3</v>
      </c>
      <c r="O1671" s="351"/>
      <c r="P1671" s="880"/>
      <c r="Q1671" s="880"/>
      <c r="R1671" s="902"/>
      <c r="S1671" s="738">
        <f t="shared" si="153"/>
        <v>78.459999999999994</v>
      </c>
      <c r="T1671" s="738" t="str">
        <f t="shared" si="154"/>
        <v>M2</v>
      </c>
      <c r="U1671" s="738"/>
    </row>
    <row r="1672" spans="1:21" x14ac:dyDescent="0.2">
      <c r="A1672" s="895"/>
      <c r="B1672" s="390"/>
      <c r="C1672" s="694" t="s">
        <v>1298</v>
      </c>
      <c r="D1672" s="871">
        <v>108</v>
      </c>
      <c r="E1672" s="871" t="s">
        <v>8</v>
      </c>
      <c r="F1672" s="668">
        <v>18</v>
      </c>
      <c r="G1672" s="870"/>
      <c r="H1672" s="871"/>
      <c r="I1672" s="871"/>
      <c r="J1672" s="349" t="s">
        <v>1102</v>
      </c>
      <c r="K1672" s="876"/>
      <c r="L1672" s="876"/>
      <c r="M1672" s="885"/>
      <c r="N1672" s="876">
        <v>0.3</v>
      </c>
      <c r="O1672" s="351"/>
      <c r="P1672" s="880"/>
      <c r="Q1672" s="880"/>
      <c r="R1672" s="902"/>
      <c r="S1672" s="738">
        <f t="shared" si="153"/>
        <v>78.459999999999994</v>
      </c>
      <c r="T1672" s="738" t="str">
        <f t="shared" si="154"/>
        <v>M2</v>
      </c>
      <c r="U1672" s="738"/>
    </row>
    <row r="1673" spans="1:21" x14ac:dyDescent="0.2">
      <c r="A1673" s="895"/>
      <c r="B1673" s="390"/>
      <c r="C1673" s="694" t="s">
        <v>1298</v>
      </c>
      <c r="D1673" s="871">
        <v>109</v>
      </c>
      <c r="E1673" s="871" t="s">
        <v>8</v>
      </c>
      <c r="F1673" s="668">
        <v>9</v>
      </c>
      <c r="G1673" s="870"/>
      <c r="H1673" s="871"/>
      <c r="I1673" s="871"/>
      <c r="J1673" s="349" t="s">
        <v>1102</v>
      </c>
      <c r="K1673" s="876"/>
      <c r="L1673" s="876"/>
      <c r="M1673" s="885"/>
      <c r="N1673" s="876">
        <v>0.3</v>
      </c>
      <c r="O1673" s="351"/>
      <c r="P1673" s="880"/>
      <c r="Q1673" s="880"/>
      <c r="R1673" s="902"/>
      <c r="S1673" s="738">
        <f t="shared" si="153"/>
        <v>78.459999999999994</v>
      </c>
      <c r="T1673" s="738" t="str">
        <f t="shared" si="154"/>
        <v>M2</v>
      </c>
      <c r="U1673" s="738"/>
    </row>
    <row r="1674" spans="1:21" x14ac:dyDescent="0.2">
      <c r="A1674" s="895"/>
      <c r="B1674" s="390"/>
      <c r="C1674" s="694" t="s">
        <v>1298</v>
      </c>
      <c r="D1674" s="871">
        <v>110</v>
      </c>
      <c r="E1674" s="871" t="s">
        <v>8</v>
      </c>
      <c r="F1674" s="668">
        <v>0</v>
      </c>
      <c r="G1674" s="870"/>
      <c r="H1674" s="871"/>
      <c r="I1674" s="871"/>
      <c r="J1674" s="349" t="s">
        <v>1102</v>
      </c>
      <c r="K1674" s="876"/>
      <c r="L1674" s="876"/>
      <c r="M1674" s="885"/>
      <c r="N1674" s="876">
        <v>0.3</v>
      </c>
      <c r="O1674" s="351"/>
      <c r="P1674" s="880"/>
      <c r="Q1674" s="880"/>
      <c r="R1674" s="902"/>
      <c r="S1674" s="738">
        <f t="shared" si="153"/>
        <v>78.459999999999994</v>
      </c>
      <c r="T1674" s="738" t="str">
        <f t="shared" si="154"/>
        <v>M2</v>
      </c>
      <c r="U1674" s="738"/>
    </row>
    <row r="1675" spans="1:21" x14ac:dyDescent="0.2">
      <c r="A1675" s="895"/>
      <c r="B1675" s="390"/>
      <c r="C1675" s="694" t="s">
        <v>1298</v>
      </c>
      <c r="D1675" s="871">
        <v>110</v>
      </c>
      <c r="E1675" s="871" t="s">
        <v>8</v>
      </c>
      <c r="F1675" s="668">
        <v>11</v>
      </c>
      <c r="G1675" s="870"/>
      <c r="H1675" s="871"/>
      <c r="I1675" s="871"/>
      <c r="J1675" s="349" t="s">
        <v>1102</v>
      </c>
      <c r="K1675" s="876"/>
      <c r="L1675" s="876"/>
      <c r="M1675" s="885"/>
      <c r="N1675" s="876">
        <v>0.3</v>
      </c>
      <c r="O1675" s="351"/>
      <c r="P1675" s="880"/>
      <c r="Q1675" s="880"/>
      <c r="R1675" s="902"/>
      <c r="S1675" s="738">
        <f t="shared" si="153"/>
        <v>78.459999999999994</v>
      </c>
      <c r="T1675" s="738" t="str">
        <f t="shared" si="154"/>
        <v>M2</v>
      </c>
      <c r="U1675" s="738"/>
    </row>
    <row r="1676" spans="1:21" x14ac:dyDescent="0.2">
      <c r="A1676" s="895"/>
      <c r="B1676" s="390"/>
      <c r="C1676" s="694" t="s">
        <v>1298</v>
      </c>
      <c r="D1676" s="871">
        <v>111</v>
      </c>
      <c r="E1676" s="871" t="s">
        <v>8</v>
      </c>
      <c r="F1676" s="668">
        <v>2</v>
      </c>
      <c r="G1676" s="870"/>
      <c r="H1676" s="871"/>
      <c r="I1676" s="871"/>
      <c r="J1676" s="349" t="s">
        <v>1102</v>
      </c>
      <c r="K1676" s="876"/>
      <c r="L1676" s="876"/>
      <c r="M1676" s="885"/>
      <c r="N1676" s="876">
        <v>0.3</v>
      </c>
      <c r="O1676" s="351"/>
      <c r="P1676" s="880"/>
      <c r="Q1676" s="880"/>
      <c r="R1676" s="902"/>
      <c r="S1676" s="738">
        <f t="shared" si="153"/>
        <v>78.459999999999994</v>
      </c>
      <c r="T1676" s="738" t="str">
        <f t="shared" si="154"/>
        <v>M2</v>
      </c>
      <c r="U1676" s="738"/>
    </row>
    <row r="1677" spans="1:21" x14ac:dyDescent="0.2">
      <c r="A1677" s="895"/>
      <c r="B1677" s="390"/>
      <c r="C1677" s="694" t="s">
        <v>1231</v>
      </c>
      <c r="D1677" s="871">
        <v>111</v>
      </c>
      <c r="E1677" s="871" t="s">
        <v>8</v>
      </c>
      <c r="F1677" s="668">
        <v>2</v>
      </c>
      <c r="G1677" s="870"/>
      <c r="H1677" s="871"/>
      <c r="I1677" s="871"/>
      <c r="J1677" s="349" t="s">
        <v>1102</v>
      </c>
      <c r="K1677" s="876"/>
      <c r="L1677" s="876"/>
      <c r="M1677" s="885"/>
      <c r="N1677" s="876">
        <v>0.2</v>
      </c>
      <c r="O1677" s="351"/>
      <c r="P1677" s="880"/>
      <c r="Q1677" s="880"/>
      <c r="R1677" s="902"/>
      <c r="S1677" s="738">
        <f t="shared" si="153"/>
        <v>78.459999999999994</v>
      </c>
      <c r="T1677" s="738" t="str">
        <f t="shared" si="154"/>
        <v>M2</v>
      </c>
      <c r="U1677" s="738"/>
    </row>
    <row r="1678" spans="1:21" x14ac:dyDescent="0.2">
      <c r="A1678" s="895"/>
      <c r="B1678" s="390"/>
      <c r="C1678" s="694" t="s">
        <v>1437</v>
      </c>
      <c r="D1678" s="871">
        <v>114</v>
      </c>
      <c r="E1678" s="871" t="s">
        <v>8</v>
      </c>
      <c r="F1678" s="668">
        <v>0</v>
      </c>
      <c r="G1678" s="870"/>
      <c r="H1678" s="871"/>
      <c r="I1678" s="871"/>
      <c r="J1678" s="349" t="s">
        <v>1102</v>
      </c>
      <c r="K1678" s="876"/>
      <c r="L1678" s="876"/>
      <c r="M1678" s="885"/>
      <c r="N1678" s="876">
        <v>0.62</v>
      </c>
      <c r="O1678" s="351"/>
      <c r="P1678" s="880"/>
      <c r="Q1678" s="880"/>
      <c r="R1678" s="902"/>
      <c r="S1678" s="738">
        <f t="shared" si="153"/>
        <v>78.459999999999994</v>
      </c>
      <c r="T1678" s="738" t="str">
        <f t="shared" si="154"/>
        <v>M2</v>
      </c>
      <c r="U1678" s="738"/>
    </row>
    <row r="1679" spans="1:21" x14ac:dyDescent="0.2">
      <c r="A1679" s="895"/>
      <c r="B1679" s="390"/>
      <c r="C1679" s="694" t="s">
        <v>1295</v>
      </c>
      <c r="D1679" s="871">
        <v>115</v>
      </c>
      <c r="E1679" s="871" t="s">
        <v>8</v>
      </c>
      <c r="F1679" s="668">
        <v>0</v>
      </c>
      <c r="G1679" s="870"/>
      <c r="H1679" s="871"/>
      <c r="I1679" s="871"/>
      <c r="J1679" s="349" t="s">
        <v>1101</v>
      </c>
      <c r="K1679" s="876"/>
      <c r="L1679" s="876"/>
      <c r="M1679" s="885"/>
      <c r="N1679" s="876">
        <v>0.2</v>
      </c>
      <c r="O1679" s="351"/>
      <c r="P1679" s="880"/>
      <c r="Q1679" s="880"/>
      <c r="R1679" s="902"/>
      <c r="S1679" s="738">
        <f t="shared" si="153"/>
        <v>78.459999999999994</v>
      </c>
      <c r="T1679" s="738" t="str">
        <f t="shared" si="154"/>
        <v>M2</v>
      </c>
      <c r="U1679" s="738"/>
    </row>
    <row r="1680" spans="1:21" x14ac:dyDescent="0.2">
      <c r="A1680" s="895"/>
      <c r="B1680" s="390"/>
      <c r="C1680" s="694" t="s">
        <v>1437</v>
      </c>
      <c r="D1680" s="871">
        <v>116</v>
      </c>
      <c r="E1680" s="871" t="s">
        <v>8</v>
      </c>
      <c r="F1680" s="668">
        <v>0</v>
      </c>
      <c r="G1680" s="870"/>
      <c r="H1680" s="871"/>
      <c r="I1680" s="871"/>
      <c r="J1680" s="349" t="s">
        <v>1101</v>
      </c>
      <c r="K1680" s="876"/>
      <c r="L1680" s="876"/>
      <c r="M1680" s="885"/>
      <c r="N1680" s="876">
        <v>0.62</v>
      </c>
      <c r="O1680" s="351"/>
      <c r="P1680" s="880"/>
      <c r="Q1680" s="880"/>
      <c r="R1680" s="902"/>
      <c r="S1680" s="738">
        <f t="shared" si="153"/>
        <v>78.459999999999994</v>
      </c>
      <c r="T1680" s="738" t="str">
        <f t="shared" si="154"/>
        <v>M2</v>
      </c>
      <c r="U1680" s="738"/>
    </row>
    <row r="1681" spans="1:21" x14ac:dyDescent="0.2">
      <c r="A1681" s="895"/>
      <c r="B1681" s="390"/>
      <c r="C1681" s="694" t="s">
        <v>1277</v>
      </c>
      <c r="D1681" s="871">
        <v>119</v>
      </c>
      <c r="E1681" s="871" t="s">
        <v>8</v>
      </c>
      <c r="F1681" s="668">
        <v>0</v>
      </c>
      <c r="G1681" s="870"/>
      <c r="H1681" s="871"/>
      <c r="I1681" s="871"/>
      <c r="J1681" s="349" t="s">
        <v>1101</v>
      </c>
      <c r="K1681" s="876"/>
      <c r="L1681" s="876"/>
      <c r="M1681" s="885"/>
      <c r="N1681" s="876">
        <v>0.2</v>
      </c>
      <c r="O1681" s="351"/>
      <c r="P1681" s="880"/>
      <c r="Q1681" s="880"/>
      <c r="R1681" s="902"/>
      <c r="S1681" s="738">
        <f t="shared" si="153"/>
        <v>78.459999999999994</v>
      </c>
      <c r="T1681" s="738" t="str">
        <f t="shared" si="154"/>
        <v>M2</v>
      </c>
      <c r="U1681" s="738"/>
    </row>
    <row r="1682" spans="1:21" x14ac:dyDescent="0.2">
      <c r="A1682" s="895"/>
      <c r="B1682" s="390"/>
      <c r="C1682" s="694" t="s">
        <v>1293</v>
      </c>
      <c r="D1682" s="871">
        <v>131</v>
      </c>
      <c r="E1682" s="871" t="s">
        <v>8</v>
      </c>
      <c r="F1682" s="668">
        <v>0</v>
      </c>
      <c r="G1682" s="870"/>
      <c r="H1682" s="871"/>
      <c r="I1682" s="871"/>
      <c r="J1682" s="349" t="s">
        <v>1101</v>
      </c>
      <c r="K1682" s="876"/>
      <c r="L1682" s="876"/>
      <c r="M1682" s="885"/>
      <c r="N1682" s="876">
        <v>0.2</v>
      </c>
      <c r="O1682" s="351"/>
      <c r="P1682" s="880"/>
      <c r="Q1682" s="880"/>
      <c r="R1682" s="902"/>
      <c r="S1682" s="738">
        <f t="shared" si="153"/>
        <v>78.459999999999994</v>
      </c>
      <c r="T1682" s="738" t="str">
        <f t="shared" si="154"/>
        <v>M2</v>
      </c>
      <c r="U1682" s="738"/>
    </row>
    <row r="1683" spans="1:21" x14ac:dyDescent="0.2">
      <c r="A1683" s="895"/>
      <c r="B1683" s="390"/>
      <c r="C1683" s="694" t="s">
        <v>1297</v>
      </c>
      <c r="D1683" s="871">
        <v>132</v>
      </c>
      <c r="E1683" s="871" t="s">
        <v>8</v>
      </c>
      <c r="F1683" s="668">
        <v>0</v>
      </c>
      <c r="G1683" s="870"/>
      <c r="H1683" s="871"/>
      <c r="I1683" s="871"/>
      <c r="J1683" s="349" t="s">
        <v>1102</v>
      </c>
      <c r="K1683" s="876"/>
      <c r="L1683" s="876"/>
      <c r="M1683" s="885"/>
      <c r="N1683" s="876">
        <v>0.2</v>
      </c>
      <c r="O1683" s="351"/>
      <c r="P1683" s="880"/>
      <c r="Q1683" s="880"/>
      <c r="R1683" s="902"/>
      <c r="S1683" s="738">
        <f t="shared" si="153"/>
        <v>78.459999999999994</v>
      </c>
      <c r="T1683" s="738" t="str">
        <f t="shared" si="154"/>
        <v>M2</v>
      </c>
      <c r="U1683" s="738"/>
    </row>
    <row r="1684" spans="1:21" x14ac:dyDescent="0.2">
      <c r="A1684" s="895"/>
      <c r="B1684" s="390"/>
      <c r="C1684" s="694" t="s">
        <v>1277</v>
      </c>
      <c r="D1684" s="871">
        <v>144</v>
      </c>
      <c r="E1684" s="871" t="s">
        <v>8</v>
      </c>
      <c r="F1684" s="668">
        <v>0</v>
      </c>
      <c r="G1684" s="870"/>
      <c r="H1684" s="871"/>
      <c r="I1684" s="871"/>
      <c r="J1684" s="349" t="s">
        <v>1102</v>
      </c>
      <c r="K1684" s="876"/>
      <c r="L1684" s="876"/>
      <c r="M1684" s="885"/>
      <c r="N1684" s="876">
        <v>0.2</v>
      </c>
      <c r="O1684" s="351"/>
      <c r="P1684" s="880"/>
      <c r="Q1684" s="880"/>
      <c r="R1684" s="902"/>
      <c r="S1684" s="738">
        <f t="shared" si="153"/>
        <v>78.459999999999994</v>
      </c>
      <c r="T1684" s="738" t="str">
        <f t="shared" si="154"/>
        <v>M2</v>
      </c>
      <c r="U1684" s="738"/>
    </row>
    <row r="1685" spans="1:21" x14ac:dyDescent="0.2">
      <c r="A1685" s="895"/>
      <c r="B1685" s="390"/>
      <c r="C1685" s="694" t="s">
        <v>1437</v>
      </c>
      <c r="D1685" s="871">
        <v>147</v>
      </c>
      <c r="E1685" s="871" t="s">
        <v>8</v>
      </c>
      <c r="F1685" s="668">
        <v>0</v>
      </c>
      <c r="G1685" s="870"/>
      <c r="H1685" s="871"/>
      <c r="I1685" s="871"/>
      <c r="J1685" s="349" t="s">
        <v>1102</v>
      </c>
      <c r="K1685" s="876"/>
      <c r="L1685" s="876"/>
      <c r="M1685" s="885"/>
      <c r="N1685" s="876">
        <v>0.62</v>
      </c>
      <c r="O1685" s="351"/>
      <c r="P1685" s="880"/>
      <c r="Q1685" s="880"/>
      <c r="R1685" s="902"/>
      <c r="S1685" s="738">
        <f t="shared" si="153"/>
        <v>78.459999999999994</v>
      </c>
      <c r="T1685" s="738" t="str">
        <f t="shared" si="154"/>
        <v>M2</v>
      </c>
      <c r="U1685" s="738"/>
    </row>
    <row r="1686" spans="1:21" x14ac:dyDescent="0.2">
      <c r="A1686" s="895"/>
      <c r="B1686" s="390"/>
      <c r="C1686" s="694" t="s">
        <v>1437</v>
      </c>
      <c r="D1686" s="871">
        <v>149</v>
      </c>
      <c r="E1686" s="871" t="s">
        <v>8</v>
      </c>
      <c r="F1686" s="668">
        <v>0</v>
      </c>
      <c r="G1686" s="870"/>
      <c r="H1686" s="871"/>
      <c r="I1686" s="871"/>
      <c r="J1686" s="349" t="s">
        <v>1101</v>
      </c>
      <c r="K1686" s="876"/>
      <c r="L1686" s="876"/>
      <c r="M1686" s="885"/>
      <c r="N1686" s="876">
        <v>0.62</v>
      </c>
      <c r="O1686" s="351"/>
      <c r="P1686" s="880"/>
      <c r="Q1686" s="880"/>
      <c r="R1686" s="902"/>
      <c r="S1686" s="738">
        <f t="shared" si="153"/>
        <v>78.459999999999994</v>
      </c>
      <c r="T1686" s="738" t="str">
        <f t="shared" si="154"/>
        <v>M2</v>
      </c>
      <c r="U1686" s="738"/>
    </row>
    <row r="1687" spans="1:21" x14ac:dyDescent="0.2">
      <c r="A1687" s="895"/>
      <c r="B1687" s="390"/>
      <c r="C1687" s="694" t="s">
        <v>1277</v>
      </c>
      <c r="D1687" s="871">
        <v>152</v>
      </c>
      <c r="E1687" s="871" t="s">
        <v>8</v>
      </c>
      <c r="F1687" s="668">
        <v>0</v>
      </c>
      <c r="G1687" s="870"/>
      <c r="H1687" s="871"/>
      <c r="I1687" s="871"/>
      <c r="J1687" s="349" t="s">
        <v>1101</v>
      </c>
      <c r="K1687" s="876"/>
      <c r="L1687" s="876"/>
      <c r="M1687" s="885"/>
      <c r="N1687" s="876">
        <v>0.2</v>
      </c>
      <c r="O1687" s="351"/>
      <c r="P1687" s="880"/>
      <c r="Q1687" s="880"/>
      <c r="R1687" s="902"/>
      <c r="S1687" s="738">
        <f t="shared" si="153"/>
        <v>78.459999999999994</v>
      </c>
      <c r="T1687" s="738" t="str">
        <f t="shared" si="154"/>
        <v>M2</v>
      </c>
      <c r="U1687" s="738"/>
    </row>
    <row r="1688" spans="1:21" x14ac:dyDescent="0.2">
      <c r="A1688" s="895"/>
      <c r="B1688" s="390"/>
      <c r="C1688" s="694" t="s">
        <v>1296</v>
      </c>
      <c r="D1688" s="871">
        <v>168</v>
      </c>
      <c r="E1688" s="871" t="s">
        <v>8</v>
      </c>
      <c r="F1688" s="668">
        <v>0</v>
      </c>
      <c r="G1688" s="870"/>
      <c r="H1688" s="871"/>
      <c r="I1688" s="871"/>
      <c r="J1688" s="349" t="s">
        <v>1101</v>
      </c>
      <c r="K1688" s="876"/>
      <c r="L1688" s="876"/>
      <c r="M1688" s="885"/>
      <c r="N1688" s="876">
        <v>0.2</v>
      </c>
      <c r="O1688" s="351"/>
      <c r="P1688" s="880"/>
      <c r="Q1688" s="880"/>
      <c r="R1688" s="902"/>
      <c r="S1688" s="738">
        <f t="shared" si="153"/>
        <v>78.459999999999994</v>
      </c>
      <c r="T1688" s="738" t="str">
        <f t="shared" si="154"/>
        <v>M2</v>
      </c>
      <c r="U1688" s="738"/>
    </row>
    <row r="1689" spans="1:21" x14ac:dyDescent="0.2">
      <c r="A1689" s="895"/>
      <c r="B1689" s="390"/>
      <c r="C1689" s="694" t="s">
        <v>1296</v>
      </c>
      <c r="D1689" s="871">
        <v>170</v>
      </c>
      <c r="E1689" s="871" t="s">
        <v>8</v>
      </c>
      <c r="F1689" s="668">
        <v>0</v>
      </c>
      <c r="G1689" s="870"/>
      <c r="H1689" s="871"/>
      <c r="I1689" s="871"/>
      <c r="J1689" s="349" t="s">
        <v>1102</v>
      </c>
      <c r="K1689" s="876"/>
      <c r="L1689" s="876"/>
      <c r="M1689" s="885"/>
      <c r="N1689" s="876">
        <v>0.2</v>
      </c>
      <c r="O1689" s="351"/>
      <c r="P1689" s="880"/>
      <c r="Q1689" s="880"/>
      <c r="R1689" s="902"/>
      <c r="S1689" s="738">
        <f t="shared" si="153"/>
        <v>78.459999999999994</v>
      </c>
      <c r="T1689" s="738" t="str">
        <f t="shared" si="154"/>
        <v>M2</v>
      </c>
      <c r="U1689" s="738"/>
    </row>
    <row r="1690" spans="1:21" x14ac:dyDescent="0.2">
      <c r="A1690" s="895"/>
      <c r="B1690" s="390"/>
      <c r="C1690" s="694" t="s">
        <v>1277</v>
      </c>
      <c r="D1690" s="871">
        <v>187</v>
      </c>
      <c r="E1690" s="871" t="s">
        <v>8</v>
      </c>
      <c r="F1690" s="668">
        <v>0</v>
      </c>
      <c r="G1690" s="870"/>
      <c r="H1690" s="871"/>
      <c r="I1690" s="871"/>
      <c r="J1690" s="349" t="s">
        <v>1102</v>
      </c>
      <c r="K1690" s="876"/>
      <c r="L1690" s="876"/>
      <c r="M1690" s="885"/>
      <c r="N1690" s="876">
        <v>0.2</v>
      </c>
      <c r="O1690" s="351"/>
      <c r="P1690" s="880"/>
      <c r="Q1690" s="880"/>
      <c r="R1690" s="902"/>
      <c r="S1690" s="738">
        <f t="shared" si="153"/>
        <v>78.459999999999994</v>
      </c>
      <c r="T1690" s="738" t="str">
        <f t="shared" si="154"/>
        <v>M2</v>
      </c>
      <c r="U1690" s="738"/>
    </row>
    <row r="1691" spans="1:21" x14ac:dyDescent="0.2">
      <c r="A1691" s="895"/>
      <c r="B1691" s="390"/>
      <c r="C1691" s="694" t="s">
        <v>1277</v>
      </c>
      <c r="D1691" s="871">
        <v>202</v>
      </c>
      <c r="E1691" s="871" t="s">
        <v>8</v>
      </c>
      <c r="F1691" s="668">
        <v>0</v>
      </c>
      <c r="G1691" s="870"/>
      <c r="H1691" s="871"/>
      <c r="I1691" s="871"/>
      <c r="J1691" s="349" t="s">
        <v>1101</v>
      </c>
      <c r="K1691" s="876"/>
      <c r="L1691" s="876"/>
      <c r="M1691" s="885"/>
      <c r="N1691" s="876">
        <v>0.2</v>
      </c>
      <c r="O1691" s="351"/>
      <c r="P1691" s="880"/>
      <c r="Q1691" s="880"/>
      <c r="R1691" s="902"/>
      <c r="S1691" s="738">
        <f t="shared" si="153"/>
        <v>78.459999999999994</v>
      </c>
      <c r="T1691" s="738" t="str">
        <f t="shared" si="154"/>
        <v>M2</v>
      </c>
      <c r="U1691" s="738"/>
    </row>
    <row r="1692" spans="1:21" x14ac:dyDescent="0.2">
      <c r="A1692" s="895"/>
      <c r="B1692" s="390"/>
      <c r="C1692" s="694" t="s">
        <v>1297</v>
      </c>
      <c r="D1692" s="871">
        <v>204</v>
      </c>
      <c r="E1692" s="871" t="s">
        <v>8</v>
      </c>
      <c r="F1692" s="668">
        <v>0</v>
      </c>
      <c r="G1692" s="870"/>
      <c r="H1692" s="871"/>
      <c r="I1692" s="871"/>
      <c r="J1692" s="349" t="s">
        <v>1101</v>
      </c>
      <c r="K1692" s="876"/>
      <c r="L1692" s="876"/>
      <c r="M1692" s="885"/>
      <c r="N1692" s="876">
        <v>0.2</v>
      </c>
      <c r="O1692" s="351"/>
      <c r="P1692" s="880"/>
      <c r="Q1692" s="880"/>
      <c r="R1692" s="902"/>
      <c r="S1692" s="738">
        <f t="shared" si="153"/>
        <v>78.459999999999994</v>
      </c>
      <c r="T1692" s="738" t="str">
        <f t="shared" si="154"/>
        <v>M2</v>
      </c>
      <c r="U1692" s="738"/>
    </row>
    <row r="1693" spans="1:21" x14ac:dyDescent="0.2">
      <c r="A1693" s="895"/>
      <c r="B1693" s="390"/>
      <c r="C1693" s="694" t="s">
        <v>1437</v>
      </c>
      <c r="D1693" s="871">
        <v>204</v>
      </c>
      <c r="E1693" s="871" t="s">
        <v>8</v>
      </c>
      <c r="F1693" s="668">
        <v>0</v>
      </c>
      <c r="G1693" s="870"/>
      <c r="H1693" s="871"/>
      <c r="I1693" s="871"/>
      <c r="J1693" s="349" t="s">
        <v>1102</v>
      </c>
      <c r="K1693" s="876"/>
      <c r="L1693" s="876"/>
      <c r="M1693" s="885"/>
      <c r="N1693" s="876">
        <v>0.62</v>
      </c>
      <c r="O1693" s="351"/>
      <c r="P1693" s="880"/>
      <c r="Q1693" s="880"/>
      <c r="R1693" s="902"/>
      <c r="S1693" s="738">
        <f t="shared" si="153"/>
        <v>78.459999999999994</v>
      </c>
      <c r="T1693" s="738" t="str">
        <f t="shared" si="154"/>
        <v>M2</v>
      </c>
      <c r="U1693" s="738"/>
    </row>
    <row r="1694" spans="1:21" x14ac:dyDescent="0.2">
      <c r="A1694" s="895"/>
      <c r="B1694" s="390"/>
      <c r="C1694" s="694" t="s">
        <v>1437</v>
      </c>
      <c r="D1694" s="871">
        <v>206</v>
      </c>
      <c r="E1694" s="871" t="s">
        <v>8</v>
      </c>
      <c r="F1694" s="668">
        <v>0</v>
      </c>
      <c r="G1694" s="870"/>
      <c r="H1694" s="871"/>
      <c r="I1694" s="871"/>
      <c r="J1694" s="349" t="s">
        <v>1101</v>
      </c>
      <c r="K1694" s="876"/>
      <c r="L1694" s="876"/>
      <c r="M1694" s="885"/>
      <c r="N1694" s="876">
        <v>0.62</v>
      </c>
      <c r="O1694" s="351"/>
      <c r="P1694" s="880"/>
      <c r="Q1694" s="880"/>
      <c r="R1694" s="902"/>
      <c r="S1694" s="738">
        <f t="shared" si="153"/>
        <v>78.459999999999994</v>
      </c>
      <c r="T1694" s="738" t="str">
        <f t="shared" si="154"/>
        <v>M2</v>
      </c>
      <c r="U1694" s="738"/>
    </row>
    <row r="1695" spans="1:21" x14ac:dyDescent="0.2">
      <c r="A1695" s="895"/>
      <c r="B1695" s="390"/>
      <c r="C1695" s="694" t="s">
        <v>1296</v>
      </c>
      <c r="D1695" s="871">
        <v>212</v>
      </c>
      <c r="E1695" s="871" t="s">
        <v>8</v>
      </c>
      <c r="F1695" s="668">
        <v>0</v>
      </c>
      <c r="G1695" s="870"/>
      <c r="H1695" s="871"/>
      <c r="I1695" s="871"/>
      <c r="J1695" s="349" t="s">
        <v>1102</v>
      </c>
      <c r="K1695" s="876"/>
      <c r="L1695" s="876"/>
      <c r="M1695" s="885"/>
      <c r="N1695" s="876">
        <v>0.2</v>
      </c>
      <c r="O1695" s="351"/>
      <c r="P1695" s="880"/>
      <c r="Q1695" s="880"/>
      <c r="R1695" s="902"/>
      <c r="S1695" s="738">
        <f t="shared" si="153"/>
        <v>78.459999999999994</v>
      </c>
      <c r="T1695" s="738" t="str">
        <f t="shared" si="154"/>
        <v>M2</v>
      </c>
      <c r="U1695" s="738"/>
    </row>
    <row r="1696" spans="1:21" x14ac:dyDescent="0.2">
      <c r="A1696" s="895"/>
      <c r="B1696" s="390"/>
      <c r="C1696" s="694" t="s">
        <v>1233</v>
      </c>
      <c r="D1696" s="871">
        <v>235</v>
      </c>
      <c r="E1696" s="871" t="s">
        <v>8</v>
      </c>
      <c r="F1696" s="668">
        <v>0</v>
      </c>
      <c r="G1696" s="870"/>
      <c r="H1696" s="871"/>
      <c r="I1696" s="871"/>
      <c r="J1696" s="349" t="s">
        <v>1101</v>
      </c>
      <c r="K1696" s="876"/>
      <c r="L1696" s="876"/>
      <c r="M1696" s="885"/>
      <c r="N1696" s="876">
        <v>0.62</v>
      </c>
      <c r="O1696" s="351"/>
      <c r="P1696" s="880"/>
      <c r="Q1696" s="880"/>
      <c r="R1696" s="902"/>
      <c r="S1696" s="738">
        <f t="shared" si="153"/>
        <v>78.459999999999994</v>
      </c>
      <c r="T1696" s="738" t="str">
        <f t="shared" si="154"/>
        <v>M2</v>
      </c>
      <c r="U1696" s="738"/>
    </row>
    <row r="1697" spans="1:21" x14ac:dyDescent="0.2">
      <c r="A1697" s="895"/>
      <c r="B1697" s="390"/>
      <c r="C1697" s="694" t="s">
        <v>1233</v>
      </c>
      <c r="D1697" s="871">
        <v>235</v>
      </c>
      <c r="E1697" s="871" t="s">
        <v>8</v>
      </c>
      <c r="F1697" s="668">
        <v>0</v>
      </c>
      <c r="G1697" s="870"/>
      <c r="H1697" s="871"/>
      <c r="I1697" s="871"/>
      <c r="J1697" s="349" t="s">
        <v>1102</v>
      </c>
      <c r="K1697" s="876"/>
      <c r="L1697" s="876"/>
      <c r="M1697" s="885"/>
      <c r="N1697" s="876">
        <v>0.62</v>
      </c>
      <c r="O1697" s="351"/>
      <c r="P1697" s="880"/>
      <c r="Q1697" s="880"/>
      <c r="R1697" s="902"/>
      <c r="S1697" s="738">
        <f t="shared" si="153"/>
        <v>78.459999999999994</v>
      </c>
      <c r="T1697" s="738" t="str">
        <f t="shared" si="154"/>
        <v>M2</v>
      </c>
      <c r="U1697" s="738"/>
    </row>
    <row r="1698" spans="1:21" x14ac:dyDescent="0.2">
      <c r="A1698" s="895"/>
      <c r="B1698" s="390"/>
      <c r="C1698" s="694" t="s">
        <v>1277</v>
      </c>
      <c r="D1698" s="871">
        <v>253</v>
      </c>
      <c r="E1698" s="871" t="s">
        <v>8</v>
      </c>
      <c r="F1698" s="668">
        <v>0</v>
      </c>
      <c r="G1698" s="870"/>
      <c r="H1698" s="871"/>
      <c r="I1698" s="871"/>
      <c r="J1698" s="349" t="s">
        <v>1102</v>
      </c>
      <c r="K1698" s="876"/>
      <c r="L1698" s="876"/>
      <c r="M1698" s="885"/>
      <c r="N1698" s="876">
        <v>0.2</v>
      </c>
      <c r="O1698" s="351"/>
      <c r="P1698" s="880"/>
      <c r="Q1698" s="880"/>
      <c r="R1698" s="902"/>
      <c r="S1698" s="738">
        <f t="shared" si="153"/>
        <v>78.459999999999994</v>
      </c>
      <c r="T1698" s="738" t="str">
        <f t="shared" si="154"/>
        <v>M2</v>
      </c>
      <c r="U1698" s="738"/>
    </row>
    <row r="1699" spans="1:21" x14ac:dyDescent="0.2">
      <c r="A1699" s="895"/>
      <c r="B1699" s="390"/>
      <c r="C1699" s="694" t="s">
        <v>1437</v>
      </c>
      <c r="D1699" s="871">
        <v>256</v>
      </c>
      <c r="E1699" s="871" t="s">
        <v>8</v>
      </c>
      <c r="F1699" s="668">
        <v>0</v>
      </c>
      <c r="G1699" s="870"/>
      <c r="H1699" s="871"/>
      <c r="I1699" s="871"/>
      <c r="J1699" s="349" t="s">
        <v>1102</v>
      </c>
      <c r="K1699" s="876"/>
      <c r="L1699" s="876"/>
      <c r="M1699" s="885"/>
      <c r="N1699" s="876">
        <v>0.62</v>
      </c>
      <c r="O1699" s="351"/>
      <c r="P1699" s="880"/>
      <c r="Q1699" s="880"/>
      <c r="R1699" s="902"/>
      <c r="S1699" s="738">
        <f t="shared" si="153"/>
        <v>78.459999999999994</v>
      </c>
      <c r="T1699" s="738" t="str">
        <f t="shared" si="154"/>
        <v>M2</v>
      </c>
      <c r="U1699" s="738"/>
    </row>
    <row r="1700" spans="1:21" x14ac:dyDescent="0.2">
      <c r="A1700" s="895"/>
      <c r="B1700" s="390"/>
      <c r="C1700" s="694" t="s">
        <v>1296</v>
      </c>
      <c r="D1700" s="871">
        <v>257</v>
      </c>
      <c r="E1700" s="871" t="s">
        <v>8</v>
      </c>
      <c r="F1700" s="668">
        <v>0</v>
      </c>
      <c r="G1700" s="870"/>
      <c r="H1700" s="871"/>
      <c r="I1700" s="871"/>
      <c r="J1700" s="349" t="s">
        <v>1102</v>
      </c>
      <c r="K1700" s="876"/>
      <c r="L1700" s="876"/>
      <c r="M1700" s="885"/>
      <c r="N1700" s="876">
        <v>0.2</v>
      </c>
      <c r="O1700" s="351"/>
      <c r="P1700" s="880"/>
      <c r="Q1700" s="880"/>
      <c r="R1700" s="902"/>
      <c r="S1700" s="738">
        <f t="shared" si="153"/>
        <v>78.459999999999994</v>
      </c>
      <c r="T1700" s="738" t="str">
        <f t="shared" si="154"/>
        <v>M2</v>
      </c>
      <c r="U1700" s="738"/>
    </row>
    <row r="1701" spans="1:21" x14ac:dyDescent="0.2">
      <c r="A1701" s="895"/>
      <c r="B1701" s="390"/>
      <c r="C1701" s="694" t="s">
        <v>1437</v>
      </c>
      <c r="D1701" s="871">
        <v>258</v>
      </c>
      <c r="E1701" s="871" t="s">
        <v>8</v>
      </c>
      <c r="F1701" s="668">
        <v>0</v>
      </c>
      <c r="G1701" s="870"/>
      <c r="H1701" s="871"/>
      <c r="I1701" s="871"/>
      <c r="J1701" s="349" t="s">
        <v>1101</v>
      </c>
      <c r="K1701" s="876"/>
      <c r="L1701" s="876"/>
      <c r="M1701" s="885"/>
      <c r="N1701" s="876">
        <v>0.62</v>
      </c>
      <c r="O1701" s="351"/>
      <c r="P1701" s="880"/>
      <c r="Q1701" s="880"/>
      <c r="R1701" s="902"/>
      <c r="S1701" s="738">
        <f t="shared" si="153"/>
        <v>78.459999999999994</v>
      </c>
      <c r="T1701" s="738" t="str">
        <f t="shared" si="154"/>
        <v>M2</v>
      </c>
      <c r="U1701" s="738"/>
    </row>
    <row r="1702" spans="1:21" x14ac:dyDescent="0.2">
      <c r="A1702" s="895"/>
      <c r="B1702" s="390"/>
      <c r="C1702" s="694" t="s">
        <v>1296</v>
      </c>
      <c r="D1702" s="871">
        <v>261</v>
      </c>
      <c r="E1702" s="871" t="s">
        <v>8</v>
      </c>
      <c r="F1702" s="668">
        <v>0</v>
      </c>
      <c r="G1702" s="870"/>
      <c r="H1702" s="871"/>
      <c r="I1702" s="871"/>
      <c r="J1702" s="349" t="s">
        <v>1101</v>
      </c>
      <c r="K1702" s="876"/>
      <c r="L1702" s="876"/>
      <c r="M1702" s="885"/>
      <c r="N1702" s="876">
        <v>0.2</v>
      </c>
      <c r="O1702" s="351"/>
      <c r="P1702" s="880"/>
      <c r="Q1702" s="880"/>
      <c r="R1702" s="902"/>
      <c r="S1702" s="738">
        <f t="shared" si="153"/>
        <v>78.459999999999994</v>
      </c>
      <c r="T1702" s="738" t="str">
        <f t="shared" si="154"/>
        <v>M2</v>
      </c>
      <c r="U1702" s="738"/>
    </row>
    <row r="1703" spans="1:21" x14ac:dyDescent="0.2">
      <c r="A1703" s="895"/>
      <c r="B1703" s="390"/>
      <c r="C1703" s="694" t="s">
        <v>1232</v>
      </c>
      <c r="D1703" s="871">
        <v>282</v>
      </c>
      <c r="E1703" s="871" t="s">
        <v>8</v>
      </c>
      <c r="F1703" s="668">
        <v>0</v>
      </c>
      <c r="G1703" s="870"/>
      <c r="H1703" s="871"/>
      <c r="I1703" s="871"/>
      <c r="J1703" s="349" t="s">
        <v>1101</v>
      </c>
      <c r="K1703" s="876"/>
      <c r="L1703" s="876"/>
      <c r="M1703" s="885"/>
      <c r="N1703" s="876">
        <v>0.2</v>
      </c>
      <c r="O1703" s="351"/>
      <c r="P1703" s="880"/>
      <c r="Q1703" s="880"/>
      <c r="R1703" s="902"/>
      <c r="S1703" s="738">
        <f t="shared" si="153"/>
        <v>78.459999999999994</v>
      </c>
      <c r="T1703" s="738" t="str">
        <f t="shared" si="154"/>
        <v>M2</v>
      </c>
      <c r="U1703" s="738"/>
    </row>
    <row r="1704" spans="1:21" x14ac:dyDescent="0.2">
      <c r="A1704" s="895"/>
      <c r="B1704" s="390"/>
      <c r="C1704" s="694" t="s">
        <v>1277</v>
      </c>
      <c r="D1704" s="871">
        <v>285</v>
      </c>
      <c r="E1704" s="871" t="s">
        <v>8</v>
      </c>
      <c r="F1704" s="668">
        <v>0</v>
      </c>
      <c r="G1704" s="870"/>
      <c r="H1704" s="871"/>
      <c r="I1704" s="871"/>
      <c r="J1704" s="349" t="s">
        <v>1101</v>
      </c>
      <c r="K1704" s="876"/>
      <c r="L1704" s="876"/>
      <c r="M1704" s="885"/>
      <c r="N1704" s="876">
        <v>0.2</v>
      </c>
      <c r="O1704" s="351"/>
      <c r="P1704" s="880"/>
      <c r="Q1704" s="880"/>
      <c r="R1704" s="902"/>
      <c r="S1704" s="738">
        <f t="shared" si="153"/>
        <v>78.459999999999994</v>
      </c>
      <c r="T1704" s="738" t="str">
        <f t="shared" si="154"/>
        <v>M2</v>
      </c>
      <c r="U1704" s="738"/>
    </row>
    <row r="1705" spans="1:21" x14ac:dyDescent="0.2">
      <c r="A1705" s="895"/>
      <c r="B1705" s="390"/>
      <c r="C1705" s="694" t="s">
        <v>1232</v>
      </c>
      <c r="D1705" s="871">
        <v>329</v>
      </c>
      <c r="E1705" s="871" t="s">
        <v>8</v>
      </c>
      <c r="F1705" s="668">
        <v>0</v>
      </c>
      <c r="G1705" s="870"/>
      <c r="H1705" s="871"/>
      <c r="I1705" s="871"/>
      <c r="J1705" s="349" t="s">
        <v>1102</v>
      </c>
      <c r="K1705" s="876"/>
      <c r="L1705" s="876"/>
      <c r="M1705" s="885"/>
      <c r="N1705" s="876">
        <v>0.2</v>
      </c>
      <c r="O1705" s="351"/>
      <c r="P1705" s="880"/>
      <c r="Q1705" s="880"/>
      <c r="R1705" s="902"/>
      <c r="S1705" s="738">
        <f t="shared" si="153"/>
        <v>78.459999999999994</v>
      </c>
      <c r="T1705" s="738" t="str">
        <f t="shared" si="154"/>
        <v>M2</v>
      </c>
      <c r="U1705" s="738"/>
    </row>
    <row r="1706" spans="1:21" x14ac:dyDescent="0.2">
      <c r="A1706" s="895"/>
      <c r="B1706" s="390"/>
      <c r="C1706" s="694" t="s">
        <v>1296</v>
      </c>
      <c r="D1706" s="871">
        <v>333</v>
      </c>
      <c r="E1706" s="871" t="s">
        <v>8</v>
      </c>
      <c r="F1706" s="668">
        <v>0</v>
      </c>
      <c r="G1706" s="870"/>
      <c r="H1706" s="871"/>
      <c r="I1706" s="871"/>
      <c r="J1706" s="349" t="s">
        <v>1102</v>
      </c>
      <c r="K1706" s="876"/>
      <c r="L1706" s="876"/>
      <c r="M1706" s="885"/>
      <c r="N1706" s="876">
        <v>0.2</v>
      </c>
      <c r="O1706" s="351"/>
      <c r="P1706" s="880"/>
      <c r="Q1706" s="880"/>
      <c r="R1706" s="902"/>
      <c r="S1706" s="738">
        <f t="shared" si="153"/>
        <v>78.459999999999994</v>
      </c>
      <c r="T1706" s="738" t="str">
        <f t="shared" si="154"/>
        <v>M2</v>
      </c>
      <c r="U1706" s="738"/>
    </row>
    <row r="1707" spans="1:21" x14ac:dyDescent="0.2">
      <c r="A1707" s="895"/>
      <c r="B1707" s="390"/>
      <c r="C1707" s="694" t="s">
        <v>1277</v>
      </c>
      <c r="D1707" s="871">
        <v>338</v>
      </c>
      <c r="E1707" s="871" t="s">
        <v>8</v>
      </c>
      <c r="F1707" s="668">
        <v>0</v>
      </c>
      <c r="G1707" s="870"/>
      <c r="H1707" s="871"/>
      <c r="I1707" s="871"/>
      <c r="J1707" s="349" t="s">
        <v>1102</v>
      </c>
      <c r="K1707" s="876"/>
      <c r="L1707" s="876"/>
      <c r="M1707" s="885"/>
      <c r="N1707" s="876">
        <v>0.2</v>
      </c>
      <c r="O1707" s="351"/>
      <c r="P1707" s="880"/>
      <c r="Q1707" s="880"/>
      <c r="R1707" s="902"/>
      <c r="S1707" s="738">
        <f t="shared" si="153"/>
        <v>78.459999999999994</v>
      </c>
      <c r="T1707" s="738" t="str">
        <f t="shared" si="154"/>
        <v>M2</v>
      </c>
      <c r="U1707" s="738"/>
    </row>
    <row r="1708" spans="1:21" x14ac:dyDescent="0.2">
      <c r="A1708" s="895"/>
      <c r="B1708" s="390"/>
      <c r="C1708" s="694" t="s">
        <v>1298</v>
      </c>
      <c r="D1708" s="871">
        <v>346</v>
      </c>
      <c r="E1708" s="871" t="s">
        <v>8</v>
      </c>
      <c r="F1708" s="668">
        <v>0</v>
      </c>
      <c r="G1708" s="870"/>
      <c r="H1708" s="871"/>
      <c r="I1708" s="871"/>
      <c r="J1708" s="349" t="s">
        <v>1101</v>
      </c>
      <c r="K1708" s="876"/>
      <c r="L1708" s="876"/>
      <c r="M1708" s="885"/>
      <c r="N1708" s="876">
        <v>0.3</v>
      </c>
      <c r="O1708" s="351"/>
      <c r="P1708" s="880"/>
      <c r="Q1708" s="880"/>
      <c r="R1708" s="902"/>
      <c r="S1708" s="738">
        <f t="shared" si="153"/>
        <v>78.459999999999994</v>
      </c>
      <c r="T1708" s="738" t="str">
        <f t="shared" si="154"/>
        <v>M2</v>
      </c>
      <c r="U1708" s="738"/>
    </row>
    <row r="1709" spans="1:21" x14ac:dyDescent="0.2">
      <c r="A1709" s="895"/>
      <c r="B1709" s="390"/>
      <c r="C1709" s="694" t="s">
        <v>1298</v>
      </c>
      <c r="D1709" s="871">
        <v>346</v>
      </c>
      <c r="E1709" s="871" t="s">
        <v>8</v>
      </c>
      <c r="F1709" s="668">
        <v>9</v>
      </c>
      <c r="G1709" s="870"/>
      <c r="H1709" s="871"/>
      <c r="I1709" s="871"/>
      <c r="J1709" s="349" t="s">
        <v>1101</v>
      </c>
      <c r="K1709" s="876"/>
      <c r="L1709" s="876"/>
      <c r="M1709" s="885"/>
      <c r="N1709" s="876">
        <v>0.3</v>
      </c>
      <c r="O1709" s="351"/>
      <c r="P1709" s="880"/>
      <c r="Q1709" s="880"/>
      <c r="R1709" s="902"/>
      <c r="S1709" s="738">
        <f t="shared" si="153"/>
        <v>78.459999999999994</v>
      </c>
      <c r="T1709" s="738" t="str">
        <f t="shared" si="154"/>
        <v>M2</v>
      </c>
      <c r="U1709" s="738"/>
    </row>
    <row r="1710" spans="1:21" x14ac:dyDescent="0.2">
      <c r="A1710" s="895"/>
      <c r="B1710" s="390"/>
      <c r="C1710" s="694" t="s">
        <v>1298</v>
      </c>
      <c r="D1710" s="871">
        <v>346</v>
      </c>
      <c r="E1710" s="871" t="s">
        <v>8</v>
      </c>
      <c r="F1710" s="668">
        <v>18</v>
      </c>
      <c r="G1710" s="870"/>
      <c r="H1710" s="871"/>
      <c r="I1710" s="871"/>
      <c r="J1710" s="349" t="s">
        <v>1101</v>
      </c>
      <c r="K1710" s="876"/>
      <c r="L1710" s="876"/>
      <c r="M1710" s="885"/>
      <c r="N1710" s="876">
        <v>0.3</v>
      </c>
      <c r="O1710" s="351"/>
      <c r="P1710" s="880"/>
      <c r="Q1710" s="880"/>
      <c r="R1710" s="902"/>
      <c r="S1710" s="738">
        <f t="shared" si="153"/>
        <v>78.459999999999994</v>
      </c>
      <c r="T1710" s="738" t="str">
        <f t="shared" si="154"/>
        <v>M2</v>
      </c>
      <c r="U1710" s="738"/>
    </row>
    <row r="1711" spans="1:21" x14ac:dyDescent="0.2">
      <c r="A1711" s="895"/>
      <c r="B1711" s="390"/>
      <c r="C1711" s="694" t="s">
        <v>1298</v>
      </c>
      <c r="D1711" s="871">
        <v>347</v>
      </c>
      <c r="E1711" s="871" t="s">
        <v>8</v>
      </c>
      <c r="F1711" s="668">
        <v>7</v>
      </c>
      <c r="G1711" s="870"/>
      <c r="H1711" s="871"/>
      <c r="I1711" s="871"/>
      <c r="J1711" s="349" t="s">
        <v>1101</v>
      </c>
      <c r="K1711" s="876"/>
      <c r="L1711" s="876"/>
      <c r="M1711" s="885"/>
      <c r="N1711" s="876">
        <v>0.3</v>
      </c>
      <c r="O1711" s="351"/>
      <c r="P1711" s="880"/>
      <c r="Q1711" s="880"/>
      <c r="R1711" s="902"/>
      <c r="S1711" s="738">
        <f t="shared" si="153"/>
        <v>78.459999999999994</v>
      </c>
      <c r="T1711" s="738" t="str">
        <f t="shared" si="154"/>
        <v>M2</v>
      </c>
      <c r="U1711" s="738"/>
    </row>
    <row r="1712" spans="1:21" x14ac:dyDescent="0.2">
      <c r="A1712" s="895"/>
      <c r="B1712" s="390"/>
      <c r="C1712" s="694" t="s">
        <v>1298</v>
      </c>
      <c r="D1712" s="871">
        <v>347</v>
      </c>
      <c r="E1712" s="871" t="s">
        <v>8</v>
      </c>
      <c r="F1712" s="668">
        <v>16</v>
      </c>
      <c r="G1712" s="870"/>
      <c r="H1712" s="871"/>
      <c r="I1712" s="871"/>
      <c r="J1712" s="349" t="s">
        <v>1101</v>
      </c>
      <c r="K1712" s="876"/>
      <c r="L1712" s="876"/>
      <c r="M1712" s="885"/>
      <c r="N1712" s="876">
        <v>0.3</v>
      </c>
      <c r="O1712" s="351"/>
      <c r="P1712" s="880"/>
      <c r="Q1712" s="880"/>
      <c r="R1712" s="902"/>
      <c r="S1712" s="738">
        <f t="shared" si="153"/>
        <v>78.459999999999994</v>
      </c>
      <c r="T1712" s="738" t="str">
        <f t="shared" si="154"/>
        <v>M2</v>
      </c>
      <c r="U1712" s="738"/>
    </row>
    <row r="1713" spans="1:21" x14ac:dyDescent="0.2">
      <c r="A1713" s="895"/>
      <c r="B1713" s="390"/>
      <c r="C1713" s="694" t="s">
        <v>1298</v>
      </c>
      <c r="D1713" s="871">
        <v>348</v>
      </c>
      <c r="E1713" s="871" t="s">
        <v>8</v>
      </c>
      <c r="F1713" s="668">
        <v>5</v>
      </c>
      <c r="G1713" s="870"/>
      <c r="H1713" s="871"/>
      <c r="I1713" s="871"/>
      <c r="J1713" s="349" t="s">
        <v>1101</v>
      </c>
      <c r="K1713" s="876"/>
      <c r="L1713" s="876"/>
      <c r="M1713" s="885"/>
      <c r="N1713" s="876">
        <v>0.3</v>
      </c>
      <c r="O1713" s="351"/>
      <c r="P1713" s="880"/>
      <c r="Q1713" s="880"/>
      <c r="R1713" s="902"/>
      <c r="S1713" s="738">
        <f t="shared" si="153"/>
        <v>78.459999999999994</v>
      </c>
      <c r="T1713" s="738" t="str">
        <f t="shared" si="154"/>
        <v>M2</v>
      </c>
      <c r="U1713" s="738"/>
    </row>
    <row r="1714" spans="1:21" x14ac:dyDescent="0.2">
      <c r="A1714" s="895"/>
      <c r="B1714" s="390"/>
      <c r="C1714" s="694" t="s">
        <v>1298</v>
      </c>
      <c r="D1714" s="871">
        <v>348</v>
      </c>
      <c r="E1714" s="871" t="s">
        <v>8</v>
      </c>
      <c r="F1714" s="668">
        <v>13</v>
      </c>
      <c r="G1714" s="870"/>
      <c r="H1714" s="871"/>
      <c r="I1714" s="871"/>
      <c r="J1714" s="349" t="s">
        <v>1101</v>
      </c>
      <c r="K1714" s="876"/>
      <c r="L1714" s="876"/>
      <c r="M1714" s="885"/>
      <c r="N1714" s="876">
        <v>0.3</v>
      </c>
      <c r="O1714" s="351"/>
      <c r="P1714" s="880"/>
      <c r="Q1714" s="880"/>
      <c r="R1714" s="902"/>
      <c r="S1714" s="738">
        <f t="shared" si="153"/>
        <v>78.459999999999994</v>
      </c>
      <c r="T1714" s="738" t="str">
        <f t="shared" si="154"/>
        <v>M2</v>
      </c>
      <c r="U1714" s="738"/>
    </row>
    <row r="1715" spans="1:21" x14ac:dyDescent="0.2">
      <c r="A1715" s="895"/>
      <c r="B1715" s="390"/>
      <c r="C1715" s="694" t="s">
        <v>1298</v>
      </c>
      <c r="D1715" s="871">
        <v>349</v>
      </c>
      <c r="E1715" s="871" t="s">
        <v>8</v>
      </c>
      <c r="F1715" s="668">
        <v>2</v>
      </c>
      <c r="G1715" s="870"/>
      <c r="H1715" s="871"/>
      <c r="I1715" s="871"/>
      <c r="J1715" s="349" t="s">
        <v>1101</v>
      </c>
      <c r="K1715" s="876"/>
      <c r="L1715" s="876"/>
      <c r="M1715" s="885"/>
      <c r="N1715" s="876">
        <v>0.3</v>
      </c>
      <c r="O1715" s="351"/>
      <c r="P1715" s="880"/>
      <c r="Q1715" s="880"/>
      <c r="R1715" s="902"/>
      <c r="S1715" s="738">
        <f t="shared" ref="S1715:S1778" si="155">VLOOKUP("Total",C1716:O3376,12,FALSE)</f>
        <v>78.459999999999994</v>
      </c>
      <c r="T1715" s="738" t="str">
        <f t="shared" ref="T1715:T1778" si="156">VLOOKUP("Total",C1716:O3376,13,FALSE)</f>
        <v>M2</v>
      </c>
      <c r="U1715" s="738"/>
    </row>
    <row r="1716" spans="1:21" x14ac:dyDescent="0.2">
      <c r="A1716" s="895"/>
      <c r="B1716" s="390"/>
      <c r="C1716" s="694" t="s">
        <v>1298</v>
      </c>
      <c r="D1716" s="871">
        <v>349</v>
      </c>
      <c r="E1716" s="871" t="s">
        <v>8</v>
      </c>
      <c r="F1716" s="668">
        <v>11</v>
      </c>
      <c r="G1716" s="870"/>
      <c r="H1716" s="871"/>
      <c r="I1716" s="871"/>
      <c r="J1716" s="349" t="s">
        <v>1101</v>
      </c>
      <c r="K1716" s="876"/>
      <c r="L1716" s="876"/>
      <c r="M1716" s="885"/>
      <c r="N1716" s="876">
        <v>0.3</v>
      </c>
      <c r="O1716" s="351"/>
      <c r="P1716" s="880"/>
      <c r="Q1716" s="880"/>
      <c r="R1716" s="902"/>
      <c r="S1716" s="738">
        <f t="shared" si="155"/>
        <v>78.459999999999994</v>
      </c>
      <c r="T1716" s="738" t="str">
        <f t="shared" si="156"/>
        <v>M2</v>
      </c>
      <c r="U1716" s="738"/>
    </row>
    <row r="1717" spans="1:21" x14ac:dyDescent="0.2">
      <c r="A1717" s="895"/>
      <c r="B1717" s="390"/>
      <c r="C1717" s="694" t="s">
        <v>1298</v>
      </c>
      <c r="D1717" s="871">
        <v>350</v>
      </c>
      <c r="E1717" s="871" t="s">
        <v>8</v>
      </c>
      <c r="F1717" s="668">
        <v>0</v>
      </c>
      <c r="G1717" s="870"/>
      <c r="H1717" s="871"/>
      <c r="I1717" s="871"/>
      <c r="J1717" s="349" t="s">
        <v>1101</v>
      </c>
      <c r="K1717" s="876"/>
      <c r="L1717" s="876"/>
      <c r="M1717" s="885"/>
      <c r="N1717" s="876">
        <v>0.3</v>
      </c>
      <c r="O1717" s="351"/>
      <c r="P1717" s="880"/>
      <c r="Q1717" s="880"/>
      <c r="R1717" s="902"/>
      <c r="S1717" s="738">
        <f t="shared" si="155"/>
        <v>78.459999999999994</v>
      </c>
      <c r="T1717" s="738" t="str">
        <f t="shared" si="156"/>
        <v>M2</v>
      </c>
      <c r="U1717" s="738"/>
    </row>
    <row r="1718" spans="1:21" x14ac:dyDescent="0.2">
      <c r="A1718" s="895"/>
      <c r="B1718" s="390"/>
      <c r="C1718" s="694" t="s">
        <v>1437</v>
      </c>
      <c r="D1718" s="871">
        <v>351</v>
      </c>
      <c r="E1718" s="871" t="s">
        <v>8</v>
      </c>
      <c r="F1718" s="668">
        <v>0</v>
      </c>
      <c r="G1718" s="870"/>
      <c r="H1718" s="871"/>
      <c r="I1718" s="871"/>
      <c r="J1718" s="349" t="s">
        <v>1101</v>
      </c>
      <c r="K1718" s="876"/>
      <c r="L1718" s="876"/>
      <c r="M1718" s="885"/>
      <c r="N1718" s="876">
        <v>0.62</v>
      </c>
      <c r="O1718" s="351"/>
      <c r="P1718" s="880"/>
      <c r="Q1718" s="880"/>
      <c r="R1718" s="902"/>
      <c r="S1718" s="738">
        <f t="shared" si="155"/>
        <v>78.459999999999994</v>
      </c>
      <c r="T1718" s="738" t="str">
        <f t="shared" si="156"/>
        <v>M2</v>
      </c>
      <c r="U1718" s="738"/>
    </row>
    <row r="1719" spans="1:21" x14ac:dyDescent="0.2">
      <c r="A1719" s="895"/>
      <c r="B1719" s="390"/>
      <c r="C1719" s="694" t="s">
        <v>1294</v>
      </c>
      <c r="D1719" s="871">
        <v>352</v>
      </c>
      <c r="E1719" s="871" t="s">
        <v>8</v>
      </c>
      <c r="F1719" s="668">
        <v>0</v>
      </c>
      <c r="G1719" s="870"/>
      <c r="H1719" s="871"/>
      <c r="I1719" s="871"/>
      <c r="J1719" s="349" t="s">
        <v>1102</v>
      </c>
      <c r="K1719" s="876"/>
      <c r="L1719" s="876"/>
      <c r="M1719" s="885"/>
      <c r="N1719" s="876">
        <v>0.2</v>
      </c>
      <c r="O1719" s="351"/>
      <c r="P1719" s="880"/>
      <c r="Q1719" s="880"/>
      <c r="R1719" s="902"/>
      <c r="S1719" s="738">
        <f t="shared" si="155"/>
        <v>78.459999999999994</v>
      </c>
      <c r="T1719" s="738" t="str">
        <f t="shared" si="156"/>
        <v>M2</v>
      </c>
      <c r="U1719" s="738"/>
    </row>
    <row r="1720" spans="1:21" x14ac:dyDescent="0.2">
      <c r="A1720" s="895"/>
      <c r="B1720" s="390"/>
      <c r="C1720" s="694" t="s">
        <v>1297</v>
      </c>
      <c r="D1720" s="871">
        <v>355</v>
      </c>
      <c r="E1720" s="871" t="s">
        <v>8</v>
      </c>
      <c r="F1720" s="668">
        <v>0</v>
      </c>
      <c r="G1720" s="870"/>
      <c r="H1720" s="871"/>
      <c r="I1720" s="871"/>
      <c r="J1720" s="349" t="s">
        <v>1101</v>
      </c>
      <c r="K1720" s="876"/>
      <c r="L1720" s="876"/>
      <c r="M1720" s="885"/>
      <c r="N1720" s="876">
        <v>0.2</v>
      </c>
      <c r="O1720" s="351"/>
      <c r="P1720" s="880"/>
      <c r="Q1720" s="880"/>
      <c r="R1720" s="902"/>
      <c r="S1720" s="738">
        <f t="shared" si="155"/>
        <v>78.459999999999994</v>
      </c>
      <c r="T1720" s="738" t="str">
        <f t="shared" si="156"/>
        <v>M2</v>
      </c>
      <c r="U1720" s="738"/>
    </row>
    <row r="1721" spans="1:21" x14ac:dyDescent="0.2">
      <c r="A1721" s="895"/>
      <c r="B1721" s="390"/>
      <c r="C1721" s="694" t="s">
        <v>1437</v>
      </c>
      <c r="D1721" s="871">
        <v>357</v>
      </c>
      <c r="E1721" s="871" t="s">
        <v>8</v>
      </c>
      <c r="F1721" s="668">
        <v>0</v>
      </c>
      <c r="G1721" s="870"/>
      <c r="H1721" s="871"/>
      <c r="I1721" s="871"/>
      <c r="J1721" s="349" t="s">
        <v>1102</v>
      </c>
      <c r="K1721" s="876"/>
      <c r="L1721" s="876"/>
      <c r="M1721" s="885"/>
      <c r="N1721" s="876">
        <v>0.62</v>
      </c>
      <c r="O1721" s="351"/>
      <c r="P1721" s="880"/>
      <c r="Q1721" s="880"/>
      <c r="R1721" s="902"/>
      <c r="S1721" s="738">
        <f t="shared" si="155"/>
        <v>78.459999999999994</v>
      </c>
      <c r="T1721" s="738" t="str">
        <f t="shared" si="156"/>
        <v>M2</v>
      </c>
      <c r="U1721" s="738"/>
    </row>
    <row r="1722" spans="1:21" x14ac:dyDescent="0.2">
      <c r="A1722" s="895"/>
      <c r="B1722" s="390"/>
      <c r="C1722" s="694" t="s">
        <v>1298</v>
      </c>
      <c r="D1722" s="871">
        <v>357</v>
      </c>
      <c r="E1722" s="871" t="s">
        <v>8</v>
      </c>
      <c r="F1722" s="668">
        <v>0</v>
      </c>
      <c r="G1722" s="870"/>
      <c r="H1722" s="871"/>
      <c r="I1722" s="871"/>
      <c r="J1722" s="349" t="s">
        <v>1102</v>
      </c>
      <c r="K1722" s="876"/>
      <c r="L1722" s="876"/>
      <c r="M1722" s="885"/>
      <c r="N1722" s="876">
        <v>0.3</v>
      </c>
      <c r="O1722" s="351"/>
      <c r="P1722" s="880"/>
      <c r="Q1722" s="880"/>
      <c r="R1722" s="902"/>
      <c r="S1722" s="738">
        <f t="shared" si="155"/>
        <v>78.459999999999994</v>
      </c>
      <c r="T1722" s="738" t="str">
        <f t="shared" si="156"/>
        <v>M2</v>
      </c>
      <c r="U1722" s="738"/>
    </row>
    <row r="1723" spans="1:21" x14ac:dyDescent="0.2">
      <c r="A1723" s="895"/>
      <c r="B1723" s="390"/>
      <c r="C1723" s="694" t="s">
        <v>1298</v>
      </c>
      <c r="D1723" s="871">
        <v>357</v>
      </c>
      <c r="E1723" s="871" t="s">
        <v>8</v>
      </c>
      <c r="F1723" s="668">
        <v>9</v>
      </c>
      <c r="G1723" s="870"/>
      <c r="H1723" s="871"/>
      <c r="I1723" s="871"/>
      <c r="J1723" s="349" t="s">
        <v>1102</v>
      </c>
      <c r="K1723" s="876"/>
      <c r="L1723" s="876"/>
      <c r="M1723" s="885"/>
      <c r="N1723" s="876">
        <v>0.3</v>
      </c>
      <c r="O1723" s="351"/>
      <c r="P1723" s="880"/>
      <c r="Q1723" s="880"/>
      <c r="R1723" s="902"/>
      <c r="S1723" s="738">
        <f t="shared" si="155"/>
        <v>78.459999999999994</v>
      </c>
      <c r="T1723" s="738" t="str">
        <f t="shared" si="156"/>
        <v>M2</v>
      </c>
      <c r="U1723" s="738"/>
    </row>
    <row r="1724" spans="1:21" x14ac:dyDescent="0.2">
      <c r="A1724" s="895"/>
      <c r="B1724" s="390"/>
      <c r="C1724" s="694" t="s">
        <v>1298</v>
      </c>
      <c r="D1724" s="871">
        <v>357</v>
      </c>
      <c r="E1724" s="871" t="s">
        <v>8</v>
      </c>
      <c r="F1724" s="668">
        <v>18</v>
      </c>
      <c r="G1724" s="870"/>
      <c r="H1724" s="871"/>
      <c r="I1724" s="871"/>
      <c r="J1724" s="349" t="s">
        <v>1102</v>
      </c>
      <c r="K1724" s="876"/>
      <c r="L1724" s="876"/>
      <c r="M1724" s="885"/>
      <c r="N1724" s="876">
        <v>0.3</v>
      </c>
      <c r="O1724" s="351"/>
      <c r="P1724" s="880"/>
      <c r="Q1724" s="880"/>
      <c r="R1724" s="902"/>
      <c r="S1724" s="738">
        <f t="shared" si="155"/>
        <v>78.459999999999994</v>
      </c>
      <c r="T1724" s="738" t="str">
        <f t="shared" si="156"/>
        <v>M2</v>
      </c>
      <c r="U1724" s="738"/>
    </row>
    <row r="1725" spans="1:21" x14ac:dyDescent="0.2">
      <c r="A1725" s="895"/>
      <c r="B1725" s="390"/>
      <c r="C1725" s="694" t="s">
        <v>1298</v>
      </c>
      <c r="D1725" s="871">
        <v>358</v>
      </c>
      <c r="E1725" s="871" t="s">
        <v>8</v>
      </c>
      <c r="F1725" s="668">
        <v>16</v>
      </c>
      <c r="G1725" s="870"/>
      <c r="H1725" s="871"/>
      <c r="I1725" s="871"/>
      <c r="J1725" s="349" t="s">
        <v>1102</v>
      </c>
      <c r="K1725" s="876"/>
      <c r="L1725" s="876"/>
      <c r="M1725" s="885"/>
      <c r="N1725" s="876">
        <v>0.3</v>
      </c>
      <c r="O1725" s="351"/>
      <c r="P1725" s="880"/>
      <c r="Q1725" s="880"/>
      <c r="R1725" s="902"/>
      <c r="S1725" s="738">
        <f t="shared" si="155"/>
        <v>78.459999999999994</v>
      </c>
      <c r="T1725" s="738" t="str">
        <f t="shared" si="156"/>
        <v>M2</v>
      </c>
      <c r="U1725" s="738"/>
    </row>
    <row r="1726" spans="1:21" x14ac:dyDescent="0.2">
      <c r="A1726" s="895"/>
      <c r="B1726" s="390"/>
      <c r="C1726" s="694" t="s">
        <v>1298</v>
      </c>
      <c r="D1726" s="871">
        <v>359</v>
      </c>
      <c r="E1726" s="871" t="s">
        <v>8</v>
      </c>
      <c r="F1726" s="668">
        <v>5</v>
      </c>
      <c r="G1726" s="870"/>
      <c r="H1726" s="871"/>
      <c r="I1726" s="871"/>
      <c r="J1726" s="349" t="s">
        <v>1102</v>
      </c>
      <c r="K1726" s="876"/>
      <c r="L1726" s="876"/>
      <c r="M1726" s="885"/>
      <c r="N1726" s="876">
        <v>0.3</v>
      </c>
      <c r="O1726" s="351"/>
      <c r="P1726" s="880"/>
      <c r="Q1726" s="880"/>
      <c r="R1726" s="902"/>
      <c r="S1726" s="738">
        <f t="shared" si="155"/>
        <v>78.459999999999994</v>
      </c>
      <c r="T1726" s="738" t="str">
        <f t="shared" si="156"/>
        <v>M2</v>
      </c>
      <c r="U1726" s="738"/>
    </row>
    <row r="1727" spans="1:21" x14ac:dyDescent="0.2">
      <c r="A1727" s="895"/>
      <c r="B1727" s="390"/>
      <c r="C1727" s="694" t="s">
        <v>1298</v>
      </c>
      <c r="D1727" s="871">
        <v>359</v>
      </c>
      <c r="E1727" s="871" t="s">
        <v>8</v>
      </c>
      <c r="F1727" s="668">
        <v>13</v>
      </c>
      <c r="G1727" s="870"/>
      <c r="H1727" s="871"/>
      <c r="I1727" s="871"/>
      <c r="J1727" s="349" t="s">
        <v>1102</v>
      </c>
      <c r="K1727" s="876"/>
      <c r="L1727" s="876"/>
      <c r="M1727" s="885"/>
      <c r="N1727" s="876">
        <v>0.3</v>
      </c>
      <c r="O1727" s="351"/>
      <c r="P1727" s="880"/>
      <c r="Q1727" s="880"/>
      <c r="R1727" s="902"/>
      <c r="S1727" s="738">
        <f t="shared" si="155"/>
        <v>78.459999999999994</v>
      </c>
      <c r="T1727" s="738" t="str">
        <f t="shared" si="156"/>
        <v>M2</v>
      </c>
      <c r="U1727" s="738"/>
    </row>
    <row r="1728" spans="1:21" x14ac:dyDescent="0.2">
      <c r="A1728" s="895"/>
      <c r="B1728" s="390"/>
      <c r="C1728" s="694" t="s">
        <v>1298</v>
      </c>
      <c r="D1728" s="871">
        <v>360</v>
      </c>
      <c r="E1728" s="871" t="s">
        <v>8</v>
      </c>
      <c r="F1728" s="668">
        <v>2</v>
      </c>
      <c r="G1728" s="870"/>
      <c r="H1728" s="871"/>
      <c r="I1728" s="871"/>
      <c r="J1728" s="349" t="s">
        <v>1102</v>
      </c>
      <c r="K1728" s="876"/>
      <c r="L1728" s="876"/>
      <c r="M1728" s="885"/>
      <c r="N1728" s="876">
        <v>0.3</v>
      </c>
      <c r="O1728" s="351"/>
      <c r="P1728" s="880"/>
      <c r="Q1728" s="880"/>
      <c r="R1728" s="902"/>
      <c r="S1728" s="738">
        <f t="shared" si="155"/>
        <v>78.459999999999994</v>
      </c>
      <c r="T1728" s="738" t="str">
        <f t="shared" si="156"/>
        <v>M2</v>
      </c>
      <c r="U1728" s="738"/>
    </row>
    <row r="1729" spans="1:21" x14ac:dyDescent="0.2">
      <c r="A1729" s="895"/>
      <c r="B1729" s="390"/>
      <c r="C1729" s="694" t="s">
        <v>1298</v>
      </c>
      <c r="D1729" s="871">
        <v>360</v>
      </c>
      <c r="E1729" s="871" t="s">
        <v>8</v>
      </c>
      <c r="F1729" s="668">
        <v>11</v>
      </c>
      <c r="G1729" s="870"/>
      <c r="H1729" s="871"/>
      <c r="I1729" s="871"/>
      <c r="J1729" s="349" t="s">
        <v>1102</v>
      </c>
      <c r="K1729" s="876"/>
      <c r="L1729" s="876"/>
      <c r="M1729" s="885"/>
      <c r="N1729" s="876">
        <v>0.3</v>
      </c>
      <c r="O1729" s="351"/>
      <c r="P1729" s="880"/>
      <c r="Q1729" s="880"/>
      <c r="R1729" s="902"/>
      <c r="S1729" s="738">
        <f t="shared" si="155"/>
        <v>78.459999999999994</v>
      </c>
      <c r="T1729" s="738" t="str">
        <f t="shared" si="156"/>
        <v>M2</v>
      </c>
      <c r="U1729" s="738"/>
    </row>
    <row r="1730" spans="1:21" x14ac:dyDescent="0.2">
      <c r="A1730" s="895"/>
      <c r="B1730" s="390"/>
      <c r="C1730" s="694" t="s">
        <v>1298</v>
      </c>
      <c r="D1730" s="871">
        <v>361</v>
      </c>
      <c r="E1730" s="871" t="s">
        <v>8</v>
      </c>
      <c r="F1730" s="668">
        <v>0</v>
      </c>
      <c r="G1730" s="870"/>
      <c r="H1730" s="871"/>
      <c r="I1730" s="871"/>
      <c r="J1730" s="349" t="s">
        <v>1102</v>
      </c>
      <c r="K1730" s="876"/>
      <c r="L1730" s="876"/>
      <c r="M1730" s="885"/>
      <c r="N1730" s="876">
        <v>0.3</v>
      </c>
      <c r="O1730" s="351"/>
      <c r="P1730" s="880"/>
      <c r="Q1730" s="880"/>
      <c r="R1730" s="902"/>
      <c r="S1730" s="738">
        <f t="shared" si="155"/>
        <v>78.459999999999994</v>
      </c>
      <c r="T1730" s="738" t="str">
        <f t="shared" si="156"/>
        <v>M2</v>
      </c>
      <c r="U1730" s="738"/>
    </row>
    <row r="1731" spans="1:21" x14ac:dyDescent="0.2">
      <c r="A1731" s="895"/>
      <c r="B1731" s="390"/>
      <c r="C1731" s="694" t="s">
        <v>1278</v>
      </c>
      <c r="D1731" s="871">
        <v>366</v>
      </c>
      <c r="E1731" s="871" t="s">
        <v>8</v>
      </c>
      <c r="F1731" s="668">
        <v>0</v>
      </c>
      <c r="G1731" s="870"/>
      <c r="H1731" s="871"/>
      <c r="I1731" s="871"/>
      <c r="J1731" s="349" t="s">
        <v>1102</v>
      </c>
      <c r="K1731" s="876"/>
      <c r="L1731" s="876"/>
      <c r="M1731" s="885"/>
      <c r="N1731" s="876">
        <v>0.2</v>
      </c>
      <c r="O1731" s="351"/>
      <c r="P1731" s="880"/>
      <c r="Q1731" s="880"/>
      <c r="R1731" s="902"/>
      <c r="S1731" s="738">
        <f t="shared" si="155"/>
        <v>78.459999999999994</v>
      </c>
      <c r="T1731" s="738" t="str">
        <f t="shared" si="156"/>
        <v>M2</v>
      </c>
      <c r="U1731" s="738"/>
    </row>
    <row r="1732" spans="1:21" x14ac:dyDescent="0.2">
      <c r="A1732" s="895"/>
      <c r="B1732" s="390"/>
      <c r="C1732" s="694" t="s">
        <v>1295</v>
      </c>
      <c r="D1732" s="871">
        <v>368</v>
      </c>
      <c r="E1732" s="871" t="s">
        <v>8</v>
      </c>
      <c r="F1732" s="668">
        <v>0</v>
      </c>
      <c r="G1732" s="870"/>
      <c r="H1732" s="871"/>
      <c r="I1732" s="871"/>
      <c r="J1732" s="349" t="s">
        <v>1101</v>
      </c>
      <c r="K1732" s="876"/>
      <c r="L1732" s="876"/>
      <c r="M1732" s="885"/>
      <c r="N1732" s="876">
        <v>0.2</v>
      </c>
      <c r="O1732" s="351"/>
      <c r="P1732" s="880"/>
      <c r="Q1732" s="880"/>
      <c r="R1732" s="902"/>
      <c r="S1732" s="738">
        <f t="shared" si="155"/>
        <v>78.459999999999994</v>
      </c>
      <c r="T1732" s="738" t="str">
        <f t="shared" si="156"/>
        <v>M2</v>
      </c>
      <c r="U1732" s="738"/>
    </row>
    <row r="1733" spans="1:21" x14ac:dyDescent="0.2">
      <c r="A1733" s="895"/>
      <c r="B1733" s="390"/>
      <c r="C1733" s="694" t="s">
        <v>1277</v>
      </c>
      <c r="D1733" s="871">
        <v>368</v>
      </c>
      <c r="E1733" s="871" t="s">
        <v>8</v>
      </c>
      <c r="F1733" s="668">
        <v>0</v>
      </c>
      <c r="G1733" s="870"/>
      <c r="H1733" s="871"/>
      <c r="I1733" s="871"/>
      <c r="J1733" s="349" t="s">
        <v>1102</v>
      </c>
      <c r="K1733" s="876"/>
      <c r="L1733" s="876"/>
      <c r="M1733" s="885"/>
      <c r="N1733" s="876">
        <v>0.2</v>
      </c>
      <c r="O1733" s="351"/>
      <c r="P1733" s="880"/>
      <c r="Q1733" s="880"/>
      <c r="R1733" s="902"/>
      <c r="S1733" s="738">
        <f t="shared" si="155"/>
        <v>78.459999999999994</v>
      </c>
      <c r="T1733" s="738" t="str">
        <f t="shared" si="156"/>
        <v>M2</v>
      </c>
      <c r="U1733" s="738"/>
    </row>
    <row r="1734" spans="1:21" x14ac:dyDescent="0.2">
      <c r="A1734" s="895"/>
      <c r="B1734" s="390"/>
      <c r="C1734" s="694" t="s">
        <v>1300</v>
      </c>
      <c r="D1734" s="871">
        <v>371</v>
      </c>
      <c r="E1734" s="871" t="s">
        <v>8</v>
      </c>
      <c r="F1734" s="668">
        <v>0</v>
      </c>
      <c r="G1734" s="870"/>
      <c r="H1734" s="871"/>
      <c r="I1734" s="871"/>
      <c r="J1734" s="349" t="s">
        <v>1102</v>
      </c>
      <c r="K1734" s="876"/>
      <c r="L1734" s="876"/>
      <c r="M1734" s="885"/>
      <c r="N1734" s="876">
        <v>0.2</v>
      </c>
      <c r="O1734" s="351"/>
      <c r="P1734" s="880"/>
      <c r="Q1734" s="880"/>
      <c r="R1734" s="902"/>
      <c r="S1734" s="738">
        <f t="shared" si="155"/>
        <v>78.459999999999994</v>
      </c>
      <c r="T1734" s="738" t="str">
        <f t="shared" si="156"/>
        <v>M2</v>
      </c>
      <c r="U1734" s="738"/>
    </row>
    <row r="1735" spans="1:21" x14ac:dyDescent="0.2">
      <c r="A1735" s="895"/>
      <c r="B1735" s="390"/>
      <c r="C1735" s="694" t="s">
        <v>1277</v>
      </c>
      <c r="D1735" s="871">
        <v>375</v>
      </c>
      <c r="E1735" s="871" t="s">
        <v>8</v>
      </c>
      <c r="F1735" s="668">
        <v>0</v>
      </c>
      <c r="G1735" s="870"/>
      <c r="H1735" s="871"/>
      <c r="I1735" s="871"/>
      <c r="J1735" s="349" t="s">
        <v>1101</v>
      </c>
      <c r="K1735" s="876"/>
      <c r="L1735" s="876"/>
      <c r="M1735" s="885"/>
      <c r="N1735" s="876">
        <v>0.2</v>
      </c>
      <c r="O1735" s="351"/>
      <c r="P1735" s="880"/>
      <c r="Q1735" s="880"/>
      <c r="R1735" s="902"/>
      <c r="S1735" s="738">
        <f t="shared" si="155"/>
        <v>78.459999999999994</v>
      </c>
      <c r="T1735" s="738" t="str">
        <f t="shared" si="156"/>
        <v>M2</v>
      </c>
      <c r="U1735" s="738"/>
    </row>
    <row r="1736" spans="1:21" x14ac:dyDescent="0.2">
      <c r="A1736" s="895"/>
      <c r="B1736" s="390"/>
      <c r="C1736" s="694" t="s">
        <v>1295</v>
      </c>
      <c r="D1736" s="871">
        <v>379</v>
      </c>
      <c r="E1736" s="871" t="s">
        <v>8</v>
      </c>
      <c r="F1736" s="668">
        <v>0</v>
      </c>
      <c r="G1736" s="870"/>
      <c r="H1736" s="871"/>
      <c r="I1736" s="871"/>
      <c r="J1736" s="349" t="s">
        <v>1102</v>
      </c>
      <c r="K1736" s="876"/>
      <c r="L1736" s="876"/>
      <c r="M1736" s="885"/>
      <c r="N1736" s="876">
        <v>0.2</v>
      </c>
      <c r="O1736" s="351"/>
      <c r="P1736" s="880"/>
      <c r="Q1736" s="880"/>
      <c r="R1736" s="902"/>
      <c r="S1736" s="738">
        <f t="shared" si="155"/>
        <v>78.459999999999994</v>
      </c>
      <c r="T1736" s="738" t="str">
        <f t="shared" si="156"/>
        <v>M2</v>
      </c>
      <c r="U1736" s="738"/>
    </row>
    <row r="1737" spans="1:21" x14ac:dyDescent="0.2">
      <c r="A1737" s="895"/>
      <c r="B1737" s="390"/>
      <c r="C1737" s="694" t="s">
        <v>1278</v>
      </c>
      <c r="D1737" s="871">
        <v>381</v>
      </c>
      <c r="E1737" s="871" t="s">
        <v>8</v>
      </c>
      <c r="F1737" s="668">
        <v>0</v>
      </c>
      <c r="G1737" s="870"/>
      <c r="H1737" s="871"/>
      <c r="I1737" s="871"/>
      <c r="J1737" s="349" t="s">
        <v>1101</v>
      </c>
      <c r="K1737" s="876"/>
      <c r="L1737" s="876"/>
      <c r="M1737" s="885"/>
      <c r="N1737" s="876">
        <v>0.2</v>
      </c>
      <c r="O1737" s="351"/>
      <c r="P1737" s="880"/>
      <c r="Q1737" s="880"/>
      <c r="R1737" s="902"/>
      <c r="S1737" s="738">
        <f t="shared" si="155"/>
        <v>78.459999999999994</v>
      </c>
      <c r="T1737" s="738" t="str">
        <f t="shared" si="156"/>
        <v>M2</v>
      </c>
      <c r="U1737" s="738"/>
    </row>
    <row r="1738" spans="1:21" x14ac:dyDescent="0.2">
      <c r="A1738" s="895"/>
      <c r="B1738" s="390"/>
      <c r="C1738" s="694" t="s">
        <v>1298</v>
      </c>
      <c r="D1738" s="871">
        <v>382</v>
      </c>
      <c r="E1738" s="871" t="s">
        <v>8</v>
      </c>
      <c r="F1738" s="668">
        <v>0</v>
      </c>
      <c r="G1738" s="870"/>
      <c r="H1738" s="871"/>
      <c r="I1738" s="871"/>
      <c r="J1738" s="349" t="s">
        <v>1101</v>
      </c>
      <c r="K1738" s="876"/>
      <c r="L1738" s="876"/>
      <c r="M1738" s="885"/>
      <c r="N1738" s="876">
        <v>0.3</v>
      </c>
      <c r="O1738" s="351"/>
      <c r="P1738" s="880"/>
      <c r="Q1738" s="880"/>
      <c r="R1738" s="902"/>
      <c r="S1738" s="738">
        <f t="shared" si="155"/>
        <v>78.459999999999994</v>
      </c>
      <c r="T1738" s="738" t="str">
        <f t="shared" si="156"/>
        <v>M2</v>
      </c>
      <c r="U1738" s="738"/>
    </row>
    <row r="1739" spans="1:21" x14ac:dyDescent="0.2">
      <c r="A1739" s="895"/>
      <c r="B1739" s="390"/>
      <c r="C1739" s="694" t="s">
        <v>1298</v>
      </c>
      <c r="D1739" s="871">
        <v>382</v>
      </c>
      <c r="E1739" s="871" t="s">
        <v>8</v>
      </c>
      <c r="F1739" s="668">
        <v>9</v>
      </c>
      <c r="G1739" s="870"/>
      <c r="H1739" s="871"/>
      <c r="I1739" s="871"/>
      <c r="J1739" s="349" t="s">
        <v>1101</v>
      </c>
      <c r="K1739" s="876"/>
      <c r="L1739" s="876"/>
      <c r="M1739" s="885"/>
      <c r="N1739" s="876">
        <v>0.3</v>
      </c>
      <c r="O1739" s="351"/>
      <c r="P1739" s="880"/>
      <c r="Q1739" s="880"/>
      <c r="R1739" s="902"/>
      <c r="S1739" s="738">
        <f t="shared" si="155"/>
        <v>78.459999999999994</v>
      </c>
      <c r="T1739" s="738" t="str">
        <f t="shared" si="156"/>
        <v>M2</v>
      </c>
      <c r="U1739" s="738"/>
    </row>
    <row r="1740" spans="1:21" x14ac:dyDescent="0.2">
      <c r="A1740" s="895"/>
      <c r="B1740" s="390"/>
      <c r="C1740" s="694" t="s">
        <v>1298</v>
      </c>
      <c r="D1740" s="871">
        <v>382</v>
      </c>
      <c r="E1740" s="871" t="s">
        <v>8</v>
      </c>
      <c r="F1740" s="668">
        <v>18</v>
      </c>
      <c r="G1740" s="870"/>
      <c r="H1740" s="871"/>
      <c r="I1740" s="871"/>
      <c r="J1740" s="349" t="s">
        <v>1101</v>
      </c>
      <c r="K1740" s="876"/>
      <c r="L1740" s="876"/>
      <c r="M1740" s="885"/>
      <c r="N1740" s="876">
        <v>0.3</v>
      </c>
      <c r="O1740" s="351"/>
      <c r="P1740" s="880"/>
      <c r="Q1740" s="880"/>
      <c r="R1740" s="902"/>
      <c r="S1740" s="738">
        <f t="shared" si="155"/>
        <v>78.459999999999994</v>
      </c>
      <c r="T1740" s="738" t="str">
        <f t="shared" si="156"/>
        <v>M2</v>
      </c>
      <c r="U1740" s="738"/>
    </row>
    <row r="1741" spans="1:21" x14ac:dyDescent="0.2">
      <c r="A1741" s="895"/>
      <c r="B1741" s="390"/>
      <c r="C1741" s="673" t="s">
        <v>1298</v>
      </c>
      <c r="D1741" s="871">
        <v>383</v>
      </c>
      <c r="E1741" s="871" t="s">
        <v>8</v>
      </c>
      <c r="F1741" s="668">
        <v>7</v>
      </c>
      <c r="G1741" s="870"/>
      <c r="H1741" s="871"/>
      <c r="I1741" s="871"/>
      <c r="J1741" s="349" t="s">
        <v>1101</v>
      </c>
      <c r="K1741" s="876"/>
      <c r="L1741" s="876"/>
      <c r="M1741" s="885"/>
      <c r="N1741" s="876">
        <v>0.3</v>
      </c>
      <c r="O1741" s="351"/>
      <c r="P1741" s="880"/>
      <c r="Q1741" s="880"/>
      <c r="R1741" s="902"/>
      <c r="S1741" s="738">
        <f t="shared" si="155"/>
        <v>78.459999999999994</v>
      </c>
      <c r="T1741" s="738" t="str">
        <f t="shared" si="156"/>
        <v>M2</v>
      </c>
      <c r="U1741" s="738"/>
    </row>
    <row r="1742" spans="1:21" x14ac:dyDescent="0.2">
      <c r="A1742" s="895"/>
      <c r="B1742" s="390"/>
      <c r="C1742" s="694" t="s">
        <v>1298</v>
      </c>
      <c r="D1742" s="871">
        <v>383</v>
      </c>
      <c r="E1742" s="871" t="s">
        <v>8</v>
      </c>
      <c r="F1742" s="668">
        <v>16</v>
      </c>
      <c r="G1742" s="870"/>
      <c r="H1742" s="871"/>
      <c r="I1742" s="871"/>
      <c r="J1742" s="349" t="s">
        <v>1101</v>
      </c>
      <c r="K1742" s="876"/>
      <c r="L1742" s="876"/>
      <c r="M1742" s="885"/>
      <c r="N1742" s="876">
        <v>0.3</v>
      </c>
      <c r="O1742" s="351"/>
      <c r="P1742" s="880"/>
      <c r="Q1742" s="880"/>
      <c r="R1742" s="902"/>
      <c r="S1742" s="738">
        <f t="shared" si="155"/>
        <v>78.459999999999994</v>
      </c>
      <c r="T1742" s="738" t="str">
        <f t="shared" si="156"/>
        <v>M2</v>
      </c>
      <c r="U1742" s="738"/>
    </row>
    <row r="1743" spans="1:21" x14ac:dyDescent="0.2">
      <c r="A1743" s="895"/>
      <c r="B1743" s="390"/>
      <c r="C1743" s="694" t="s">
        <v>1298</v>
      </c>
      <c r="D1743" s="871">
        <v>384</v>
      </c>
      <c r="E1743" s="871" t="s">
        <v>8</v>
      </c>
      <c r="F1743" s="668">
        <v>5</v>
      </c>
      <c r="G1743" s="870"/>
      <c r="H1743" s="871"/>
      <c r="I1743" s="871"/>
      <c r="J1743" s="349" t="s">
        <v>1101</v>
      </c>
      <c r="K1743" s="876"/>
      <c r="L1743" s="876"/>
      <c r="M1743" s="885"/>
      <c r="N1743" s="876">
        <v>0.3</v>
      </c>
      <c r="O1743" s="351"/>
      <c r="P1743" s="880"/>
      <c r="Q1743" s="880"/>
      <c r="R1743" s="902"/>
      <c r="S1743" s="738">
        <f t="shared" si="155"/>
        <v>78.459999999999994</v>
      </c>
      <c r="T1743" s="738" t="str">
        <f t="shared" si="156"/>
        <v>M2</v>
      </c>
      <c r="U1743" s="738"/>
    </row>
    <row r="1744" spans="1:21" x14ac:dyDescent="0.2">
      <c r="A1744" s="895"/>
      <c r="B1744" s="390"/>
      <c r="C1744" s="694" t="s">
        <v>1298</v>
      </c>
      <c r="D1744" s="871">
        <v>384</v>
      </c>
      <c r="E1744" s="871" t="s">
        <v>8</v>
      </c>
      <c r="F1744" s="668">
        <v>13</v>
      </c>
      <c r="G1744" s="870"/>
      <c r="H1744" s="871"/>
      <c r="I1744" s="871"/>
      <c r="J1744" s="349" t="s">
        <v>1101</v>
      </c>
      <c r="K1744" s="876"/>
      <c r="L1744" s="876"/>
      <c r="M1744" s="885"/>
      <c r="N1744" s="876">
        <v>0.3</v>
      </c>
      <c r="O1744" s="351"/>
      <c r="P1744" s="880"/>
      <c r="Q1744" s="880"/>
      <c r="R1744" s="902"/>
      <c r="S1744" s="738">
        <f t="shared" si="155"/>
        <v>78.459999999999994</v>
      </c>
      <c r="T1744" s="738" t="str">
        <f t="shared" si="156"/>
        <v>M2</v>
      </c>
      <c r="U1744" s="738"/>
    </row>
    <row r="1745" spans="1:21" x14ac:dyDescent="0.2">
      <c r="A1745" s="895"/>
      <c r="B1745" s="390"/>
      <c r="C1745" s="694" t="s">
        <v>1298</v>
      </c>
      <c r="D1745" s="871">
        <v>385</v>
      </c>
      <c r="E1745" s="871" t="s">
        <v>8</v>
      </c>
      <c r="F1745" s="668">
        <v>2</v>
      </c>
      <c r="G1745" s="870"/>
      <c r="H1745" s="871"/>
      <c r="I1745" s="871"/>
      <c r="J1745" s="349" t="s">
        <v>1101</v>
      </c>
      <c r="K1745" s="876"/>
      <c r="L1745" s="876"/>
      <c r="M1745" s="885"/>
      <c r="N1745" s="876">
        <v>0.3</v>
      </c>
      <c r="O1745" s="351"/>
      <c r="P1745" s="880"/>
      <c r="Q1745" s="880"/>
      <c r="R1745" s="902"/>
      <c r="S1745" s="738">
        <f t="shared" si="155"/>
        <v>78.459999999999994</v>
      </c>
      <c r="T1745" s="738" t="str">
        <f t="shared" si="156"/>
        <v>M2</v>
      </c>
      <c r="U1745" s="738"/>
    </row>
    <row r="1746" spans="1:21" x14ac:dyDescent="0.2">
      <c r="A1746" s="895"/>
      <c r="B1746" s="390"/>
      <c r="C1746" s="694" t="s">
        <v>1298</v>
      </c>
      <c r="D1746" s="871">
        <v>385</v>
      </c>
      <c r="E1746" s="871" t="s">
        <v>8</v>
      </c>
      <c r="F1746" s="668">
        <v>11</v>
      </c>
      <c r="G1746" s="870"/>
      <c r="H1746" s="871"/>
      <c r="I1746" s="871"/>
      <c r="J1746" s="349" t="s">
        <v>1101</v>
      </c>
      <c r="K1746" s="876"/>
      <c r="L1746" s="876"/>
      <c r="M1746" s="885"/>
      <c r="N1746" s="876">
        <v>0.3</v>
      </c>
      <c r="O1746" s="351"/>
      <c r="P1746" s="880"/>
      <c r="Q1746" s="880"/>
      <c r="R1746" s="902"/>
      <c r="S1746" s="738">
        <f t="shared" si="155"/>
        <v>78.459999999999994</v>
      </c>
      <c r="T1746" s="738" t="str">
        <f t="shared" si="156"/>
        <v>M2</v>
      </c>
      <c r="U1746" s="738"/>
    </row>
    <row r="1747" spans="1:21" x14ac:dyDescent="0.2">
      <c r="A1747" s="895"/>
      <c r="B1747" s="390"/>
      <c r="C1747" s="694" t="s">
        <v>1298</v>
      </c>
      <c r="D1747" s="871">
        <v>386</v>
      </c>
      <c r="E1747" s="871" t="s">
        <v>8</v>
      </c>
      <c r="F1747" s="668">
        <v>0</v>
      </c>
      <c r="G1747" s="870"/>
      <c r="H1747" s="871"/>
      <c r="I1747" s="871"/>
      <c r="J1747" s="349" t="s">
        <v>1101</v>
      </c>
      <c r="K1747" s="876"/>
      <c r="L1747" s="876"/>
      <c r="M1747" s="885"/>
      <c r="N1747" s="876">
        <v>0.3</v>
      </c>
      <c r="O1747" s="351"/>
      <c r="P1747" s="880"/>
      <c r="Q1747" s="880"/>
      <c r="R1747" s="902"/>
      <c r="S1747" s="738">
        <f t="shared" si="155"/>
        <v>78.459999999999994</v>
      </c>
      <c r="T1747" s="738" t="str">
        <f t="shared" si="156"/>
        <v>M2</v>
      </c>
      <c r="U1747" s="738"/>
    </row>
    <row r="1748" spans="1:21" x14ac:dyDescent="0.2">
      <c r="A1748" s="895"/>
      <c r="B1748" s="390"/>
      <c r="C1748" s="694" t="s">
        <v>1298</v>
      </c>
      <c r="D1748" s="871">
        <v>386</v>
      </c>
      <c r="E1748" s="871" t="s">
        <v>8</v>
      </c>
      <c r="F1748" s="668">
        <v>9</v>
      </c>
      <c r="G1748" s="870"/>
      <c r="H1748" s="871"/>
      <c r="I1748" s="871"/>
      <c r="J1748" s="349" t="s">
        <v>1101</v>
      </c>
      <c r="K1748" s="876"/>
      <c r="L1748" s="876"/>
      <c r="M1748" s="885"/>
      <c r="N1748" s="876">
        <v>0.3</v>
      </c>
      <c r="O1748" s="351"/>
      <c r="P1748" s="880"/>
      <c r="Q1748" s="880"/>
      <c r="R1748" s="902"/>
      <c r="S1748" s="738">
        <f t="shared" si="155"/>
        <v>78.459999999999994</v>
      </c>
      <c r="T1748" s="738" t="str">
        <f t="shared" si="156"/>
        <v>M2</v>
      </c>
      <c r="U1748" s="738"/>
    </row>
    <row r="1749" spans="1:21" x14ac:dyDescent="0.2">
      <c r="A1749" s="895"/>
      <c r="B1749" s="390"/>
      <c r="C1749" s="694" t="s">
        <v>1298</v>
      </c>
      <c r="D1749" s="871">
        <v>386</v>
      </c>
      <c r="E1749" s="871" t="s">
        <v>8</v>
      </c>
      <c r="F1749" s="668">
        <v>18</v>
      </c>
      <c r="G1749" s="870"/>
      <c r="H1749" s="871"/>
      <c r="I1749" s="871"/>
      <c r="J1749" s="349" t="s">
        <v>1101</v>
      </c>
      <c r="K1749" s="876"/>
      <c r="L1749" s="876"/>
      <c r="M1749" s="885"/>
      <c r="N1749" s="876">
        <v>0.3</v>
      </c>
      <c r="O1749" s="351"/>
      <c r="P1749" s="880"/>
      <c r="Q1749" s="880"/>
      <c r="R1749" s="902"/>
      <c r="S1749" s="738">
        <f t="shared" si="155"/>
        <v>78.459999999999994</v>
      </c>
      <c r="T1749" s="738" t="str">
        <f t="shared" si="156"/>
        <v>M2</v>
      </c>
      <c r="U1749" s="738"/>
    </row>
    <row r="1750" spans="1:21" x14ac:dyDescent="0.2">
      <c r="A1750" s="895"/>
      <c r="B1750" s="390"/>
      <c r="C1750" s="694" t="s">
        <v>1298</v>
      </c>
      <c r="D1750" s="871">
        <v>387</v>
      </c>
      <c r="E1750" s="871" t="s">
        <v>8</v>
      </c>
      <c r="F1750" s="668">
        <v>7</v>
      </c>
      <c r="G1750" s="870"/>
      <c r="H1750" s="871"/>
      <c r="I1750" s="871"/>
      <c r="J1750" s="349" t="s">
        <v>1101</v>
      </c>
      <c r="K1750" s="876"/>
      <c r="L1750" s="876"/>
      <c r="M1750" s="885"/>
      <c r="N1750" s="876">
        <v>0.3</v>
      </c>
      <c r="O1750" s="351"/>
      <c r="P1750" s="880"/>
      <c r="Q1750" s="880"/>
      <c r="R1750" s="902"/>
      <c r="S1750" s="738">
        <f t="shared" si="155"/>
        <v>78.459999999999994</v>
      </c>
      <c r="T1750" s="738" t="str">
        <f t="shared" si="156"/>
        <v>M2</v>
      </c>
      <c r="U1750" s="738"/>
    </row>
    <row r="1751" spans="1:21" x14ac:dyDescent="0.2">
      <c r="A1751" s="895"/>
      <c r="B1751" s="390"/>
      <c r="C1751" s="694" t="s">
        <v>1298</v>
      </c>
      <c r="D1751" s="871">
        <v>387</v>
      </c>
      <c r="E1751" s="871" t="s">
        <v>8</v>
      </c>
      <c r="F1751" s="668">
        <v>16</v>
      </c>
      <c r="G1751" s="870"/>
      <c r="H1751" s="871"/>
      <c r="I1751" s="871"/>
      <c r="J1751" s="349" t="s">
        <v>1101</v>
      </c>
      <c r="K1751" s="876"/>
      <c r="L1751" s="876"/>
      <c r="M1751" s="885"/>
      <c r="N1751" s="876">
        <v>0.3</v>
      </c>
      <c r="O1751" s="351"/>
      <c r="P1751" s="880"/>
      <c r="Q1751" s="880"/>
      <c r="R1751" s="902"/>
      <c r="S1751" s="738">
        <f t="shared" si="155"/>
        <v>78.459999999999994</v>
      </c>
      <c r="T1751" s="738" t="str">
        <f t="shared" si="156"/>
        <v>M2</v>
      </c>
      <c r="U1751" s="738"/>
    </row>
    <row r="1752" spans="1:21" x14ac:dyDescent="0.2">
      <c r="A1752" s="895"/>
      <c r="B1752" s="390"/>
      <c r="C1752" s="694" t="s">
        <v>1298</v>
      </c>
      <c r="D1752" s="871">
        <v>388</v>
      </c>
      <c r="E1752" s="871" t="s">
        <v>8</v>
      </c>
      <c r="F1752" s="668">
        <v>5</v>
      </c>
      <c r="G1752" s="870"/>
      <c r="H1752" s="871"/>
      <c r="I1752" s="871"/>
      <c r="J1752" s="349" t="s">
        <v>1101</v>
      </c>
      <c r="K1752" s="876"/>
      <c r="L1752" s="876"/>
      <c r="M1752" s="885"/>
      <c r="N1752" s="876">
        <v>0.3</v>
      </c>
      <c r="O1752" s="351"/>
      <c r="P1752" s="880"/>
      <c r="Q1752" s="880"/>
      <c r="R1752" s="902"/>
      <c r="S1752" s="738">
        <f t="shared" si="155"/>
        <v>78.459999999999994</v>
      </c>
      <c r="T1752" s="738" t="str">
        <f t="shared" si="156"/>
        <v>M2</v>
      </c>
      <c r="U1752" s="738"/>
    </row>
    <row r="1753" spans="1:21" x14ac:dyDescent="0.2">
      <c r="A1753" s="895"/>
      <c r="B1753" s="390"/>
      <c r="C1753" s="694" t="s">
        <v>1298</v>
      </c>
      <c r="D1753" s="871">
        <v>388</v>
      </c>
      <c r="E1753" s="871" t="s">
        <v>8</v>
      </c>
      <c r="F1753" s="668">
        <v>13</v>
      </c>
      <c r="G1753" s="870"/>
      <c r="H1753" s="871"/>
      <c r="I1753" s="871"/>
      <c r="J1753" s="349" t="s">
        <v>1101</v>
      </c>
      <c r="K1753" s="876"/>
      <c r="L1753" s="876"/>
      <c r="M1753" s="885"/>
      <c r="N1753" s="876">
        <v>0.3</v>
      </c>
      <c r="O1753" s="351"/>
      <c r="P1753" s="880"/>
      <c r="Q1753" s="880"/>
      <c r="R1753" s="902"/>
      <c r="S1753" s="738">
        <f t="shared" si="155"/>
        <v>78.459999999999994</v>
      </c>
      <c r="T1753" s="738" t="str">
        <f t="shared" si="156"/>
        <v>M2</v>
      </c>
      <c r="U1753" s="738"/>
    </row>
    <row r="1754" spans="1:21" x14ac:dyDescent="0.2">
      <c r="A1754" s="895"/>
      <c r="B1754" s="390"/>
      <c r="C1754" s="694" t="s">
        <v>1298</v>
      </c>
      <c r="D1754" s="871">
        <v>389</v>
      </c>
      <c r="E1754" s="871" t="s">
        <v>8</v>
      </c>
      <c r="F1754" s="668">
        <v>2</v>
      </c>
      <c r="G1754" s="870"/>
      <c r="H1754" s="871"/>
      <c r="I1754" s="871"/>
      <c r="J1754" s="349" t="s">
        <v>1101</v>
      </c>
      <c r="K1754" s="876"/>
      <c r="L1754" s="876"/>
      <c r="M1754" s="885"/>
      <c r="N1754" s="876">
        <v>0.3</v>
      </c>
      <c r="O1754" s="351"/>
      <c r="P1754" s="880"/>
      <c r="Q1754" s="880"/>
      <c r="R1754" s="902"/>
      <c r="S1754" s="738">
        <f t="shared" si="155"/>
        <v>78.459999999999994</v>
      </c>
      <c r="T1754" s="738" t="str">
        <f t="shared" si="156"/>
        <v>M2</v>
      </c>
      <c r="U1754" s="738"/>
    </row>
    <row r="1755" spans="1:21" x14ac:dyDescent="0.2">
      <c r="A1755" s="895"/>
      <c r="B1755" s="579"/>
      <c r="C1755" s="694" t="s">
        <v>1298</v>
      </c>
      <c r="D1755" s="871">
        <v>389</v>
      </c>
      <c r="E1755" s="871" t="s">
        <v>8</v>
      </c>
      <c r="F1755" s="668">
        <v>11</v>
      </c>
      <c r="G1755" s="870"/>
      <c r="H1755" s="871"/>
      <c r="I1755" s="668"/>
      <c r="J1755" s="349" t="s">
        <v>1101</v>
      </c>
      <c r="K1755" s="876"/>
      <c r="L1755" s="876"/>
      <c r="M1755" s="885"/>
      <c r="N1755" s="876">
        <v>0.3</v>
      </c>
      <c r="O1755" s="351"/>
      <c r="P1755" s="882"/>
      <c r="Q1755" s="880"/>
      <c r="R1755" s="902"/>
      <c r="S1755" s="738">
        <f t="shared" si="155"/>
        <v>78.459999999999994</v>
      </c>
      <c r="T1755" s="738" t="str">
        <f t="shared" si="156"/>
        <v>M2</v>
      </c>
      <c r="U1755" s="738"/>
    </row>
    <row r="1756" spans="1:21" x14ac:dyDescent="0.2">
      <c r="A1756" s="895"/>
      <c r="B1756" s="390"/>
      <c r="C1756" s="694" t="s">
        <v>1298</v>
      </c>
      <c r="D1756" s="871">
        <v>390</v>
      </c>
      <c r="E1756" s="871" t="s">
        <v>8</v>
      </c>
      <c r="F1756" s="668">
        <v>0</v>
      </c>
      <c r="G1756" s="870"/>
      <c r="H1756" s="871"/>
      <c r="I1756" s="668"/>
      <c r="J1756" s="349" t="s">
        <v>1101</v>
      </c>
      <c r="K1756" s="876"/>
      <c r="L1756" s="876"/>
      <c r="M1756" s="885"/>
      <c r="N1756" s="876">
        <v>0.3</v>
      </c>
      <c r="O1756" s="351"/>
      <c r="P1756" s="882"/>
      <c r="Q1756" s="880"/>
      <c r="R1756" s="902"/>
      <c r="S1756" s="738">
        <f t="shared" si="155"/>
        <v>78.459999999999994</v>
      </c>
      <c r="T1756" s="738" t="str">
        <f t="shared" si="156"/>
        <v>M2</v>
      </c>
      <c r="U1756" s="738"/>
    </row>
    <row r="1757" spans="1:21" x14ac:dyDescent="0.2">
      <c r="A1757" s="895"/>
      <c r="B1757" s="390"/>
      <c r="C1757" s="694" t="s">
        <v>1298</v>
      </c>
      <c r="D1757" s="871">
        <v>390</v>
      </c>
      <c r="E1757" s="871" t="s">
        <v>8</v>
      </c>
      <c r="F1757" s="668">
        <v>9</v>
      </c>
      <c r="G1757" s="870"/>
      <c r="H1757" s="871"/>
      <c r="I1757" s="668"/>
      <c r="J1757" s="349" t="s">
        <v>1101</v>
      </c>
      <c r="K1757" s="876"/>
      <c r="L1757" s="876"/>
      <c r="M1757" s="885"/>
      <c r="N1757" s="876">
        <v>0.3</v>
      </c>
      <c r="O1757" s="351"/>
      <c r="P1757" s="882"/>
      <c r="Q1757" s="880"/>
      <c r="R1757" s="902"/>
      <c r="S1757" s="738">
        <f t="shared" si="155"/>
        <v>78.459999999999994</v>
      </c>
      <c r="T1757" s="738" t="str">
        <f t="shared" si="156"/>
        <v>M2</v>
      </c>
      <c r="U1757" s="738"/>
    </row>
    <row r="1758" spans="1:21" x14ac:dyDescent="0.2">
      <c r="A1758" s="895"/>
      <c r="B1758" s="390"/>
      <c r="C1758" s="694" t="s">
        <v>1298</v>
      </c>
      <c r="D1758" s="871">
        <v>390</v>
      </c>
      <c r="E1758" s="871" t="s">
        <v>8</v>
      </c>
      <c r="F1758" s="668">
        <v>18</v>
      </c>
      <c r="G1758" s="870"/>
      <c r="H1758" s="871"/>
      <c r="I1758" s="668"/>
      <c r="J1758" s="349" t="s">
        <v>1101</v>
      </c>
      <c r="K1758" s="876"/>
      <c r="L1758" s="876"/>
      <c r="M1758" s="885"/>
      <c r="N1758" s="876">
        <v>0.3</v>
      </c>
      <c r="O1758" s="351"/>
      <c r="P1758" s="882"/>
      <c r="Q1758" s="880"/>
      <c r="R1758" s="902"/>
      <c r="S1758" s="738">
        <f t="shared" si="155"/>
        <v>78.459999999999994</v>
      </c>
      <c r="T1758" s="738" t="str">
        <f t="shared" si="156"/>
        <v>M2</v>
      </c>
      <c r="U1758" s="738"/>
    </row>
    <row r="1759" spans="1:21" x14ac:dyDescent="0.2">
      <c r="A1759" s="895"/>
      <c r="B1759" s="390"/>
      <c r="C1759" s="694" t="s">
        <v>1437</v>
      </c>
      <c r="D1759" s="871">
        <v>394</v>
      </c>
      <c r="E1759" s="871" t="s">
        <v>8</v>
      </c>
      <c r="F1759" s="668">
        <v>0</v>
      </c>
      <c r="G1759" s="870"/>
      <c r="H1759" s="871"/>
      <c r="I1759" s="668"/>
      <c r="J1759" s="349" t="s">
        <v>1102</v>
      </c>
      <c r="K1759" s="876"/>
      <c r="L1759" s="876"/>
      <c r="M1759" s="885"/>
      <c r="N1759" s="876">
        <v>0.62</v>
      </c>
      <c r="O1759" s="351"/>
      <c r="P1759" s="882"/>
      <c r="Q1759" s="880"/>
      <c r="R1759" s="902"/>
      <c r="S1759" s="738">
        <f t="shared" si="155"/>
        <v>78.459999999999994</v>
      </c>
      <c r="T1759" s="738" t="str">
        <f t="shared" si="156"/>
        <v>M2</v>
      </c>
      <c r="U1759" s="738"/>
    </row>
    <row r="1760" spans="1:21" x14ac:dyDescent="0.2">
      <c r="A1760" s="895"/>
      <c r="B1760" s="390"/>
      <c r="C1760" s="694" t="s">
        <v>1294</v>
      </c>
      <c r="D1760" s="871">
        <v>395</v>
      </c>
      <c r="E1760" s="871" t="s">
        <v>8</v>
      </c>
      <c r="F1760" s="668">
        <v>0</v>
      </c>
      <c r="G1760" s="870"/>
      <c r="H1760" s="871"/>
      <c r="I1760" s="668"/>
      <c r="J1760" s="349" t="s">
        <v>1101</v>
      </c>
      <c r="K1760" s="876"/>
      <c r="L1760" s="876"/>
      <c r="M1760" s="885"/>
      <c r="N1760" s="876">
        <v>0.2</v>
      </c>
      <c r="O1760" s="351"/>
      <c r="P1760" s="882"/>
      <c r="Q1760" s="880"/>
      <c r="R1760" s="902"/>
      <c r="S1760" s="738">
        <f t="shared" si="155"/>
        <v>78.459999999999994</v>
      </c>
      <c r="T1760" s="738" t="str">
        <f t="shared" si="156"/>
        <v>M2</v>
      </c>
      <c r="U1760" s="738"/>
    </row>
    <row r="1761" spans="1:21" x14ac:dyDescent="0.2">
      <c r="A1761" s="895"/>
      <c r="B1761" s="390"/>
      <c r="C1761" s="694" t="s">
        <v>1437</v>
      </c>
      <c r="D1761" s="871">
        <v>399</v>
      </c>
      <c r="E1761" s="871" t="s">
        <v>8</v>
      </c>
      <c r="F1761" s="668">
        <v>0</v>
      </c>
      <c r="G1761" s="870"/>
      <c r="H1761" s="871"/>
      <c r="I1761" s="668"/>
      <c r="J1761" s="349" t="s">
        <v>1101</v>
      </c>
      <c r="K1761" s="876"/>
      <c r="L1761" s="876"/>
      <c r="M1761" s="885"/>
      <c r="N1761" s="876">
        <v>0.62</v>
      </c>
      <c r="O1761" s="351"/>
      <c r="P1761" s="882"/>
      <c r="Q1761" s="880"/>
      <c r="R1761" s="902"/>
      <c r="S1761" s="738">
        <f t="shared" si="155"/>
        <v>78.459999999999994</v>
      </c>
      <c r="T1761" s="738" t="str">
        <f t="shared" si="156"/>
        <v>M2</v>
      </c>
      <c r="U1761" s="738"/>
    </row>
    <row r="1762" spans="1:21" x14ac:dyDescent="0.2">
      <c r="A1762" s="895"/>
      <c r="B1762" s="390"/>
      <c r="C1762" s="694" t="s">
        <v>1277</v>
      </c>
      <c r="D1762" s="871">
        <v>418</v>
      </c>
      <c r="E1762" s="871" t="s">
        <v>8</v>
      </c>
      <c r="F1762" s="668">
        <v>0</v>
      </c>
      <c r="G1762" s="870"/>
      <c r="H1762" s="871"/>
      <c r="I1762" s="668"/>
      <c r="J1762" s="349" t="s">
        <v>1102</v>
      </c>
      <c r="K1762" s="876"/>
      <c r="L1762" s="876"/>
      <c r="M1762" s="885"/>
      <c r="N1762" s="876">
        <v>0.2</v>
      </c>
      <c r="O1762" s="351"/>
      <c r="P1762" s="882"/>
      <c r="Q1762" s="880"/>
      <c r="R1762" s="902"/>
      <c r="S1762" s="738">
        <f t="shared" si="155"/>
        <v>78.459999999999994</v>
      </c>
      <c r="T1762" s="738" t="str">
        <f t="shared" si="156"/>
        <v>M2</v>
      </c>
      <c r="U1762" s="738"/>
    </row>
    <row r="1763" spans="1:21" x14ac:dyDescent="0.2">
      <c r="A1763" s="895"/>
      <c r="B1763" s="390"/>
      <c r="C1763" s="694" t="s">
        <v>1301</v>
      </c>
      <c r="D1763" s="871">
        <v>422</v>
      </c>
      <c r="E1763" s="871" t="s">
        <v>8</v>
      </c>
      <c r="F1763" s="668">
        <v>0</v>
      </c>
      <c r="G1763" s="870"/>
      <c r="H1763" s="871"/>
      <c r="I1763" s="668"/>
      <c r="J1763" s="349" t="s">
        <v>1101</v>
      </c>
      <c r="K1763" s="876"/>
      <c r="L1763" s="876"/>
      <c r="M1763" s="885"/>
      <c r="N1763" s="876">
        <v>0.2</v>
      </c>
      <c r="O1763" s="351"/>
      <c r="P1763" s="882"/>
      <c r="Q1763" s="880"/>
      <c r="R1763" s="902"/>
      <c r="S1763" s="738">
        <f t="shared" si="155"/>
        <v>78.459999999999994</v>
      </c>
      <c r="T1763" s="738" t="str">
        <f t="shared" si="156"/>
        <v>M2</v>
      </c>
      <c r="U1763" s="738"/>
    </row>
    <row r="1764" spans="1:21" x14ac:dyDescent="0.2">
      <c r="A1764" s="895"/>
      <c r="B1764" s="390"/>
      <c r="C1764" s="694" t="s">
        <v>1437</v>
      </c>
      <c r="D1764" s="871">
        <v>423</v>
      </c>
      <c r="E1764" s="871" t="s">
        <v>8</v>
      </c>
      <c r="F1764" s="668">
        <v>0</v>
      </c>
      <c r="G1764" s="870"/>
      <c r="H1764" s="871"/>
      <c r="I1764" s="668"/>
      <c r="J1764" s="349" t="s">
        <v>1102</v>
      </c>
      <c r="K1764" s="876"/>
      <c r="L1764" s="876"/>
      <c r="M1764" s="885"/>
      <c r="N1764" s="876">
        <v>0.62</v>
      </c>
      <c r="O1764" s="351"/>
      <c r="P1764" s="882"/>
      <c r="Q1764" s="880"/>
      <c r="R1764" s="898"/>
      <c r="S1764" s="738">
        <f t="shared" si="155"/>
        <v>78.459999999999994</v>
      </c>
      <c r="T1764" s="738" t="str">
        <f t="shared" si="156"/>
        <v>M2</v>
      </c>
      <c r="U1764" s="738"/>
    </row>
    <row r="1765" spans="1:21" x14ac:dyDescent="0.2">
      <c r="A1765" s="895"/>
      <c r="B1765" s="390"/>
      <c r="C1765" s="694" t="s">
        <v>1437</v>
      </c>
      <c r="D1765" s="871">
        <v>425</v>
      </c>
      <c r="E1765" s="871" t="s">
        <v>8</v>
      </c>
      <c r="F1765" s="668">
        <v>0</v>
      </c>
      <c r="G1765" s="870"/>
      <c r="H1765" s="871"/>
      <c r="I1765" s="668"/>
      <c r="J1765" s="349" t="s">
        <v>1101</v>
      </c>
      <c r="K1765" s="876"/>
      <c r="L1765" s="876"/>
      <c r="M1765" s="885"/>
      <c r="N1765" s="876">
        <v>0.62</v>
      </c>
      <c r="O1765" s="351"/>
      <c r="P1765" s="882"/>
      <c r="Q1765" s="880"/>
      <c r="R1765" s="902"/>
      <c r="S1765" s="738">
        <f t="shared" si="155"/>
        <v>78.459999999999994</v>
      </c>
      <c r="T1765" s="738" t="str">
        <f t="shared" si="156"/>
        <v>M2</v>
      </c>
      <c r="U1765" s="738"/>
    </row>
    <row r="1766" spans="1:21" x14ac:dyDescent="0.2">
      <c r="A1766" s="895"/>
      <c r="B1766" s="390"/>
      <c r="C1766" s="694" t="s">
        <v>1277</v>
      </c>
      <c r="D1766" s="871">
        <v>430</v>
      </c>
      <c r="E1766" s="871" t="s">
        <v>8</v>
      </c>
      <c r="F1766" s="668">
        <v>0</v>
      </c>
      <c r="G1766" s="870"/>
      <c r="H1766" s="871"/>
      <c r="I1766" s="668"/>
      <c r="J1766" s="349" t="s">
        <v>1101</v>
      </c>
      <c r="K1766" s="876"/>
      <c r="L1766" s="876"/>
      <c r="M1766" s="775"/>
      <c r="N1766" s="876">
        <v>0.2</v>
      </c>
      <c r="O1766" s="351"/>
      <c r="P1766" s="882"/>
      <c r="Q1766" s="880"/>
      <c r="R1766" s="898"/>
      <c r="S1766" s="738">
        <f t="shared" si="155"/>
        <v>78.459999999999994</v>
      </c>
      <c r="T1766" s="738" t="str">
        <f t="shared" si="156"/>
        <v>M2</v>
      </c>
      <c r="U1766" s="738"/>
    </row>
    <row r="1767" spans="1:21" x14ac:dyDescent="0.2">
      <c r="A1767" s="895"/>
      <c r="B1767" s="390"/>
      <c r="C1767" s="694" t="s">
        <v>1231</v>
      </c>
      <c r="D1767" s="871">
        <v>433</v>
      </c>
      <c r="E1767" s="871" t="s">
        <v>8</v>
      </c>
      <c r="F1767" s="668">
        <v>0</v>
      </c>
      <c r="G1767" s="870"/>
      <c r="H1767" s="871"/>
      <c r="I1767" s="871"/>
      <c r="J1767" s="349" t="s">
        <v>1102</v>
      </c>
      <c r="K1767" s="876"/>
      <c r="L1767" s="876"/>
      <c r="M1767" s="885"/>
      <c r="N1767" s="876">
        <v>0.2</v>
      </c>
      <c r="O1767" s="351"/>
      <c r="P1767" s="882"/>
      <c r="Q1767" s="880"/>
      <c r="R1767" s="898"/>
      <c r="S1767" s="738">
        <f t="shared" si="155"/>
        <v>78.459999999999994</v>
      </c>
      <c r="T1767" s="738" t="str">
        <f t="shared" si="156"/>
        <v>M2</v>
      </c>
      <c r="U1767" s="738"/>
    </row>
    <row r="1768" spans="1:21" x14ac:dyDescent="0.2">
      <c r="A1768" s="895"/>
      <c r="B1768" s="390"/>
      <c r="C1768" s="694" t="s">
        <v>1277</v>
      </c>
      <c r="D1768" s="871">
        <v>449</v>
      </c>
      <c r="E1768" s="871" t="s">
        <v>8</v>
      </c>
      <c r="F1768" s="668">
        <v>0</v>
      </c>
      <c r="G1768" s="870"/>
      <c r="H1768" s="871"/>
      <c r="I1768" s="871"/>
      <c r="J1768" s="349" t="s">
        <v>1102</v>
      </c>
      <c r="K1768" s="876"/>
      <c r="L1768" s="876"/>
      <c r="M1768" s="885"/>
      <c r="N1768" s="876">
        <v>0.2</v>
      </c>
      <c r="O1768" s="351"/>
      <c r="P1768" s="882"/>
      <c r="Q1768" s="880"/>
      <c r="R1768" s="898"/>
      <c r="S1768" s="738">
        <f t="shared" si="155"/>
        <v>78.459999999999994</v>
      </c>
      <c r="T1768" s="738" t="str">
        <f t="shared" si="156"/>
        <v>M2</v>
      </c>
      <c r="U1768" s="738"/>
    </row>
    <row r="1769" spans="1:21" x14ac:dyDescent="0.2">
      <c r="A1769" s="895"/>
      <c r="B1769" s="390"/>
      <c r="C1769" s="694" t="s">
        <v>1293</v>
      </c>
      <c r="D1769" s="871">
        <v>450</v>
      </c>
      <c r="E1769" s="871" t="s">
        <v>8</v>
      </c>
      <c r="F1769" s="668">
        <v>0</v>
      </c>
      <c r="G1769" s="870"/>
      <c r="H1769" s="871"/>
      <c r="I1769" s="871"/>
      <c r="J1769" s="349" t="s">
        <v>1101</v>
      </c>
      <c r="K1769" s="876"/>
      <c r="L1769" s="876"/>
      <c r="M1769" s="885"/>
      <c r="N1769" s="876">
        <v>0.2</v>
      </c>
      <c r="O1769" s="351"/>
      <c r="P1769" s="882"/>
      <c r="Q1769" s="880"/>
      <c r="R1769" s="898"/>
      <c r="S1769" s="738">
        <f t="shared" si="155"/>
        <v>78.459999999999994</v>
      </c>
      <c r="T1769" s="738" t="str">
        <f t="shared" si="156"/>
        <v>M2</v>
      </c>
      <c r="U1769" s="738"/>
    </row>
    <row r="1770" spans="1:21" x14ac:dyDescent="0.2">
      <c r="A1770" s="895"/>
      <c r="B1770" s="390"/>
      <c r="C1770" s="694" t="s">
        <v>1437</v>
      </c>
      <c r="D1770" s="871">
        <v>453</v>
      </c>
      <c r="E1770" s="871" t="s">
        <v>8</v>
      </c>
      <c r="F1770" s="668">
        <v>0</v>
      </c>
      <c r="G1770" s="870"/>
      <c r="H1770" s="871"/>
      <c r="I1770" s="871"/>
      <c r="J1770" s="349" t="s">
        <v>1102</v>
      </c>
      <c r="K1770" s="876"/>
      <c r="L1770" s="876"/>
      <c r="M1770" s="885"/>
      <c r="N1770" s="876">
        <v>0.62</v>
      </c>
      <c r="O1770" s="351"/>
      <c r="P1770" s="882"/>
      <c r="Q1770" s="880"/>
      <c r="R1770" s="898"/>
      <c r="S1770" s="738">
        <f t="shared" si="155"/>
        <v>78.459999999999994</v>
      </c>
      <c r="T1770" s="738" t="str">
        <f t="shared" si="156"/>
        <v>M2</v>
      </c>
      <c r="U1770" s="738"/>
    </row>
    <row r="1771" spans="1:21" x14ac:dyDescent="0.2">
      <c r="A1771" s="895"/>
      <c r="B1771" s="390"/>
      <c r="C1771" s="694" t="s">
        <v>1437</v>
      </c>
      <c r="D1771" s="871">
        <v>455</v>
      </c>
      <c r="E1771" s="871" t="s">
        <v>8</v>
      </c>
      <c r="F1771" s="668">
        <v>0</v>
      </c>
      <c r="G1771" s="870"/>
      <c r="H1771" s="871"/>
      <c r="I1771" s="871"/>
      <c r="J1771" s="349" t="s">
        <v>1101</v>
      </c>
      <c r="K1771" s="876"/>
      <c r="L1771" s="876"/>
      <c r="M1771" s="885"/>
      <c r="N1771" s="876">
        <v>0.62</v>
      </c>
      <c r="O1771" s="351"/>
      <c r="P1771" s="882"/>
      <c r="Q1771" s="880"/>
      <c r="R1771" s="898"/>
      <c r="S1771" s="738">
        <f t="shared" si="155"/>
        <v>78.459999999999994</v>
      </c>
      <c r="T1771" s="738" t="str">
        <f t="shared" si="156"/>
        <v>M2</v>
      </c>
      <c r="U1771" s="738"/>
    </row>
    <row r="1772" spans="1:21" x14ac:dyDescent="0.2">
      <c r="A1772" s="895"/>
      <c r="B1772" s="390"/>
      <c r="C1772" s="694" t="s">
        <v>1277</v>
      </c>
      <c r="D1772" s="871">
        <v>460</v>
      </c>
      <c r="E1772" s="871" t="s">
        <v>8</v>
      </c>
      <c r="F1772" s="668">
        <v>0</v>
      </c>
      <c r="G1772" s="870"/>
      <c r="H1772" s="871"/>
      <c r="I1772" s="871"/>
      <c r="J1772" s="349" t="s">
        <v>1101</v>
      </c>
      <c r="K1772" s="876"/>
      <c r="L1772" s="876"/>
      <c r="M1772" s="885"/>
      <c r="N1772" s="876">
        <v>0.2</v>
      </c>
      <c r="O1772" s="351"/>
      <c r="P1772" s="882"/>
      <c r="Q1772" s="880"/>
      <c r="R1772" s="898"/>
      <c r="S1772" s="738">
        <f t="shared" si="155"/>
        <v>78.459999999999994</v>
      </c>
      <c r="T1772" s="738" t="str">
        <f t="shared" si="156"/>
        <v>M2</v>
      </c>
      <c r="U1772" s="738"/>
    </row>
    <row r="1773" spans="1:21" x14ac:dyDescent="0.2">
      <c r="A1773" s="895"/>
      <c r="B1773" s="390"/>
      <c r="C1773" s="694" t="s">
        <v>1299</v>
      </c>
      <c r="D1773" s="871">
        <v>465</v>
      </c>
      <c r="E1773" s="871" t="s">
        <v>8</v>
      </c>
      <c r="F1773" s="668">
        <v>0</v>
      </c>
      <c r="G1773" s="870"/>
      <c r="H1773" s="871"/>
      <c r="I1773" s="871"/>
      <c r="J1773" s="349" t="s">
        <v>1101</v>
      </c>
      <c r="K1773" s="876"/>
      <c r="L1773" s="876"/>
      <c r="M1773" s="885"/>
      <c r="N1773" s="876">
        <v>0.62</v>
      </c>
      <c r="O1773" s="351"/>
      <c r="P1773" s="882"/>
      <c r="Q1773" s="880"/>
      <c r="R1773" s="898"/>
      <c r="S1773" s="738">
        <f t="shared" si="155"/>
        <v>78.459999999999994</v>
      </c>
      <c r="T1773" s="738" t="str">
        <f t="shared" si="156"/>
        <v>M2</v>
      </c>
      <c r="U1773" s="738"/>
    </row>
    <row r="1774" spans="1:21" x14ac:dyDescent="0.2">
      <c r="A1774" s="895"/>
      <c r="B1774" s="390"/>
      <c r="C1774" s="694" t="s">
        <v>1299</v>
      </c>
      <c r="D1774" s="871">
        <v>465</v>
      </c>
      <c r="E1774" s="871" t="s">
        <v>8</v>
      </c>
      <c r="F1774" s="668">
        <v>0</v>
      </c>
      <c r="G1774" s="870"/>
      <c r="H1774" s="871"/>
      <c r="I1774" s="871"/>
      <c r="J1774" s="349" t="s">
        <v>1102</v>
      </c>
      <c r="K1774" s="876"/>
      <c r="L1774" s="876"/>
      <c r="M1774" s="885"/>
      <c r="N1774" s="876">
        <v>0.62</v>
      </c>
      <c r="O1774" s="351"/>
      <c r="P1774" s="882"/>
      <c r="Q1774" s="880"/>
      <c r="R1774" s="898"/>
      <c r="S1774" s="738">
        <f t="shared" si="155"/>
        <v>78.459999999999994</v>
      </c>
      <c r="T1774" s="738" t="str">
        <f t="shared" si="156"/>
        <v>M2</v>
      </c>
      <c r="U1774" s="738"/>
    </row>
    <row r="1775" spans="1:21" x14ac:dyDescent="0.2">
      <c r="A1775" s="895"/>
      <c r="B1775" s="390"/>
      <c r="C1775" s="673" t="s">
        <v>1443</v>
      </c>
      <c r="D1775" s="870">
        <v>474</v>
      </c>
      <c r="E1775" s="871" t="s">
        <v>8</v>
      </c>
      <c r="F1775" s="668">
        <v>0</v>
      </c>
      <c r="G1775" s="870"/>
      <c r="H1775" s="871"/>
      <c r="I1775" s="871"/>
      <c r="J1775" s="349" t="s">
        <v>1101</v>
      </c>
      <c r="K1775" s="876"/>
      <c r="L1775" s="876"/>
      <c r="M1775" s="885"/>
      <c r="N1775" s="876">
        <v>1.2</v>
      </c>
      <c r="O1775" s="351"/>
      <c r="P1775" s="882"/>
      <c r="Q1775" s="880"/>
      <c r="R1775" s="898"/>
      <c r="S1775" s="738">
        <f t="shared" si="155"/>
        <v>78.459999999999994</v>
      </c>
      <c r="T1775" s="738" t="str">
        <f t="shared" si="156"/>
        <v>M2</v>
      </c>
      <c r="U1775" s="738"/>
    </row>
    <row r="1776" spans="1:21" x14ac:dyDescent="0.2">
      <c r="A1776" s="895"/>
      <c r="B1776" s="390"/>
      <c r="C1776" s="673" t="s">
        <v>1277</v>
      </c>
      <c r="D1776" s="870">
        <v>485</v>
      </c>
      <c r="E1776" s="871" t="s">
        <v>8</v>
      </c>
      <c r="F1776" s="668">
        <v>0</v>
      </c>
      <c r="G1776" s="870"/>
      <c r="H1776" s="871"/>
      <c r="I1776" s="871"/>
      <c r="J1776" s="349" t="s">
        <v>1102</v>
      </c>
      <c r="K1776" s="876"/>
      <c r="L1776" s="876"/>
      <c r="M1776" s="885"/>
      <c r="N1776" s="876">
        <v>0.2</v>
      </c>
      <c r="O1776" s="351"/>
      <c r="P1776" s="882"/>
      <c r="Q1776" s="880"/>
      <c r="R1776" s="898"/>
      <c r="S1776" s="738">
        <f t="shared" si="155"/>
        <v>78.459999999999994</v>
      </c>
      <c r="T1776" s="738" t="str">
        <f t="shared" si="156"/>
        <v>M2</v>
      </c>
      <c r="U1776" s="738"/>
    </row>
    <row r="1777" spans="1:21" x14ac:dyDescent="0.2">
      <c r="A1777" s="895"/>
      <c r="B1777" s="390"/>
      <c r="C1777" s="673" t="s">
        <v>1301</v>
      </c>
      <c r="D1777" s="870">
        <v>486</v>
      </c>
      <c r="E1777" s="871" t="s">
        <v>8</v>
      </c>
      <c r="F1777" s="668">
        <v>0</v>
      </c>
      <c r="G1777" s="870"/>
      <c r="H1777" s="871"/>
      <c r="I1777" s="871"/>
      <c r="J1777" s="349" t="s">
        <v>1102</v>
      </c>
      <c r="K1777" s="876"/>
      <c r="L1777" s="876"/>
      <c r="M1777" s="885"/>
      <c r="N1777" s="876">
        <v>0.2</v>
      </c>
      <c r="O1777" s="351"/>
      <c r="P1777" s="882"/>
      <c r="Q1777" s="880"/>
      <c r="R1777" s="898"/>
      <c r="S1777" s="738">
        <f t="shared" si="155"/>
        <v>78.459999999999994</v>
      </c>
      <c r="T1777" s="738" t="str">
        <f t="shared" si="156"/>
        <v>M2</v>
      </c>
      <c r="U1777" s="738"/>
    </row>
    <row r="1778" spans="1:21" x14ac:dyDescent="0.2">
      <c r="A1778" s="895"/>
      <c r="B1778" s="390"/>
      <c r="C1778" s="673" t="s">
        <v>1437</v>
      </c>
      <c r="D1778" s="870">
        <v>489</v>
      </c>
      <c r="E1778" s="871" t="s">
        <v>8</v>
      </c>
      <c r="F1778" s="668">
        <v>0</v>
      </c>
      <c r="G1778" s="870"/>
      <c r="H1778" s="871"/>
      <c r="I1778" s="871"/>
      <c r="J1778" s="349" t="s">
        <v>1102</v>
      </c>
      <c r="K1778" s="876"/>
      <c r="L1778" s="876"/>
      <c r="M1778" s="885"/>
      <c r="N1778" s="876">
        <v>0.62</v>
      </c>
      <c r="O1778" s="351"/>
      <c r="P1778" s="882"/>
      <c r="Q1778" s="880"/>
      <c r="R1778" s="898"/>
      <c r="S1778" s="738">
        <f t="shared" si="155"/>
        <v>78.459999999999994</v>
      </c>
      <c r="T1778" s="738" t="str">
        <f t="shared" si="156"/>
        <v>M2</v>
      </c>
      <c r="U1778" s="738"/>
    </row>
    <row r="1779" spans="1:21" x14ac:dyDescent="0.2">
      <c r="A1779" s="895"/>
      <c r="B1779" s="390"/>
      <c r="C1779" s="673" t="s">
        <v>1437</v>
      </c>
      <c r="D1779" s="870">
        <v>491</v>
      </c>
      <c r="E1779" s="871" t="s">
        <v>8</v>
      </c>
      <c r="F1779" s="668">
        <v>0</v>
      </c>
      <c r="G1779" s="870"/>
      <c r="H1779" s="871"/>
      <c r="I1779" s="871"/>
      <c r="J1779" s="349" t="s">
        <v>1101</v>
      </c>
      <c r="K1779" s="876"/>
      <c r="L1779" s="876"/>
      <c r="M1779" s="885"/>
      <c r="N1779" s="876">
        <v>0.62</v>
      </c>
      <c r="O1779" s="351"/>
      <c r="P1779" s="882"/>
      <c r="Q1779" s="880"/>
      <c r="R1779" s="898"/>
      <c r="S1779" s="738">
        <f t="shared" ref="S1779:S1842" si="157">VLOOKUP("Total",C1780:O3440,12,FALSE)</f>
        <v>78.459999999999994</v>
      </c>
      <c r="T1779" s="738" t="str">
        <f t="shared" ref="T1779:T1842" si="158">VLOOKUP("Total",C1780:O3440,13,FALSE)</f>
        <v>M2</v>
      </c>
      <c r="U1779" s="738"/>
    </row>
    <row r="1780" spans="1:21" x14ac:dyDescent="0.2">
      <c r="A1780" s="895"/>
      <c r="B1780" s="390"/>
      <c r="C1780" s="673" t="s">
        <v>1277</v>
      </c>
      <c r="D1780" s="870">
        <v>498</v>
      </c>
      <c r="E1780" s="871" t="s">
        <v>8</v>
      </c>
      <c r="F1780" s="668">
        <v>0</v>
      </c>
      <c r="G1780" s="870"/>
      <c r="H1780" s="871"/>
      <c r="I1780" s="871"/>
      <c r="J1780" s="349" t="s">
        <v>1102</v>
      </c>
      <c r="K1780" s="876"/>
      <c r="L1780" s="876"/>
      <c r="M1780" s="885"/>
      <c r="N1780" s="876">
        <v>0.2</v>
      </c>
      <c r="O1780" s="351"/>
      <c r="P1780" s="882"/>
      <c r="Q1780" s="880"/>
      <c r="R1780" s="898"/>
      <c r="S1780" s="738">
        <f t="shared" si="157"/>
        <v>78.459999999999994</v>
      </c>
      <c r="T1780" s="738" t="str">
        <f t="shared" si="158"/>
        <v>M2</v>
      </c>
      <c r="U1780" s="738"/>
    </row>
    <row r="1781" spans="1:21" x14ac:dyDescent="0.2">
      <c r="A1781" s="895"/>
      <c r="B1781" s="390"/>
      <c r="C1781" s="673" t="s">
        <v>1231</v>
      </c>
      <c r="D1781" s="870">
        <v>508</v>
      </c>
      <c r="E1781" s="871" t="s">
        <v>8</v>
      </c>
      <c r="F1781" s="668">
        <v>0</v>
      </c>
      <c r="G1781" s="870"/>
      <c r="H1781" s="871"/>
      <c r="I1781" s="871"/>
      <c r="J1781" s="349" t="s">
        <v>1102</v>
      </c>
      <c r="K1781" s="876"/>
      <c r="L1781" s="876"/>
      <c r="M1781" s="885"/>
      <c r="N1781" s="876">
        <v>0.2</v>
      </c>
      <c r="O1781" s="351"/>
      <c r="P1781" s="882"/>
      <c r="Q1781" s="880"/>
      <c r="R1781" s="898"/>
      <c r="S1781" s="738">
        <f t="shared" si="157"/>
        <v>78.459999999999994</v>
      </c>
      <c r="T1781" s="738" t="str">
        <f t="shared" si="158"/>
        <v>M2</v>
      </c>
      <c r="U1781" s="738"/>
    </row>
    <row r="1782" spans="1:21" x14ac:dyDescent="0.2">
      <c r="A1782" s="895"/>
      <c r="B1782" s="390"/>
      <c r="C1782" s="673" t="s">
        <v>1293</v>
      </c>
      <c r="D1782" s="870">
        <v>520</v>
      </c>
      <c r="E1782" s="871" t="s">
        <v>8</v>
      </c>
      <c r="F1782" s="668">
        <v>0</v>
      </c>
      <c r="G1782" s="870"/>
      <c r="H1782" s="871"/>
      <c r="I1782" s="871"/>
      <c r="J1782" s="349" t="s">
        <v>1101</v>
      </c>
      <c r="K1782" s="876"/>
      <c r="L1782" s="876"/>
      <c r="M1782" s="885"/>
      <c r="N1782" s="876">
        <v>0.2</v>
      </c>
      <c r="O1782" s="351"/>
      <c r="P1782" s="882"/>
      <c r="Q1782" s="880"/>
      <c r="R1782" s="898"/>
      <c r="S1782" s="738">
        <f t="shared" si="157"/>
        <v>78.459999999999994</v>
      </c>
      <c r="T1782" s="738" t="str">
        <f t="shared" si="158"/>
        <v>M2</v>
      </c>
      <c r="U1782" s="738"/>
    </row>
    <row r="1783" spans="1:21" x14ac:dyDescent="0.2">
      <c r="A1783" s="895"/>
      <c r="B1783" s="390"/>
      <c r="C1783" s="673" t="s">
        <v>1437</v>
      </c>
      <c r="D1783" s="870">
        <v>520</v>
      </c>
      <c r="E1783" s="871" t="s">
        <v>8</v>
      </c>
      <c r="F1783" s="668">
        <v>0</v>
      </c>
      <c r="G1783" s="870"/>
      <c r="H1783" s="871"/>
      <c r="I1783" s="871"/>
      <c r="J1783" s="349" t="s">
        <v>1102</v>
      </c>
      <c r="K1783" s="876"/>
      <c r="L1783" s="876"/>
      <c r="M1783" s="885"/>
      <c r="N1783" s="876">
        <v>0.62</v>
      </c>
      <c r="O1783" s="351"/>
      <c r="P1783" s="882"/>
      <c r="Q1783" s="880"/>
      <c r="R1783" s="898"/>
      <c r="S1783" s="738">
        <f t="shared" si="157"/>
        <v>78.459999999999994</v>
      </c>
      <c r="T1783" s="738" t="str">
        <f t="shared" si="158"/>
        <v>M2</v>
      </c>
      <c r="U1783" s="738"/>
    </row>
    <row r="1784" spans="1:21" x14ac:dyDescent="0.2">
      <c r="A1784" s="895"/>
      <c r="B1784" s="390"/>
      <c r="C1784" s="673" t="s">
        <v>1231</v>
      </c>
      <c r="D1784" s="870">
        <v>523</v>
      </c>
      <c r="E1784" s="871" t="s">
        <v>8</v>
      </c>
      <c r="F1784" s="668">
        <v>0</v>
      </c>
      <c r="G1784" s="870"/>
      <c r="H1784" s="871"/>
      <c r="I1784" s="871"/>
      <c r="J1784" s="349" t="s">
        <v>1102</v>
      </c>
      <c r="K1784" s="876"/>
      <c r="L1784" s="876"/>
      <c r="M1784" s="885"/>
      <c r="N1784" s="876">
        <v>0.2</v>
      </c>
      <c r="O1784" s="351"/>
      <c r="P1784" s="882"/>
      <c r="Q1784" s="880"/>
      <c r="R1784" s="898"/>
      <c r="S1784" s="738">
        <f t="shared" si="157"/>
        <v>78.459999999999994</v>
      </c>
      <c r="T1784" s="738" t="str">
        <f t="shared" si="158"/>
        <v>M2</v>
      </c>
      <c r="U1784" s="738"/>
    </row>
    <row r="1785" spans="1:21" x14ac:dyDescent="0.2">
      <c r="A1785" s="895"/>
      <c r="B1785" s="390"/>
      <c r="C1785" s="673" t="s">
        <v>1437</v>
      </c>
      <c r="D1785" s="870">
        <v>524</v>
      </c>
      <c r="E1785" s="871" t="s">
        <v>8</v>
      </c>
      <c r="F1785" s="668">
        <v>0</v>
      </c>
      <c r="G1785" s="870"/>
      <c r="H1785" s="871"/>
      <c r="I1785" s="871"/>
      <c r="J1785" s="349" t="s">
        <v>1101</v>
      </c>
      <c r="K1785" s="876"/>
      <c r="L1785" s="876"/>
      <c r="M1785" s="885"/>
      <c r="N1785" s="876">
        <v>0.62</v>
      </c>
      <c r="O1785" s="351"/>
      <c r="P1785" s="882"/>
      <c r="Q1785" s="880"/>
      <c r="R1785" s="898"/>
      <c r="S1785" s="738">
        <f t="shared" si="157"/>
        <v>78.459999999999994</v>
      </c>
      <c r="T1785" s="738" t="str">
        <f t="shared" si="158"/>
        <v>M2</v>
      </c>
      <c r="U1785" s="738"/>
    </row>
    <row r="1786" spans="1:21" x14ac:dyDescent="0.2">
      <c r="A1786" s="895"/>
      <c r="B1786" s="390"/>
      <c r="C1786" s="673" t="s">
        <v>1300</v>
      </c>
      <c r="D1786" s="870">
        <v>527</v>
      </c>
      <c r="E1786" s="871" t="s">
        <v>8</v>
      </c>
      <c r="F1786" s="668">
        <v>0</v>
      </c>
      <c r="G1786" s="870"/>
      <c r="H1786" s="871"/>
      <c r="I1786" s="871"/>
      <c r="J1786" s="349" t="s">
        <v>1101</v>
      </c>
      <c r="K1786" s="876"/>
      <c r="L1786" s="876"/>
      <c r="M1786" s="885"/>
      <c r="N1786" s="876">
        <v>0.2</v>
      </c>
      <c r="O1786" s="351"/>
      <c r="P1786" s="882"/>
      <c r="Q1786" s="880"/>
      <c r="R1786" s="898"/>
      <c r="S1786" s="738">
        <f t="shared" si="157"/>
        <v>78.459999999999994</v>
      </c>
      <c r="T1786" s="738" t="str">
        <f t="shared" si="158"/>
        <v>M2</v>
      </c>
      <c r="U1786" s="738"/>
    </row>
    <row r="1787" spans="1:21" x14ac:dyDescent="0.2">
      <c r="A1787" s="895"/>
      <c r="B1787" s="390"/>
      <c r="C1787" s="673" t="s">
        <v>1277</v>
      </c>
      <c r="D1787" s="870">
        <v>527</v>
      </c>
      <c r="E1787" s="871" t="s">
        <v>8</v>
      </c>
      <c r="F1787" s="668">
        <v>0</v>
      </c>
      <c r="G1787" s="870"/>
      <c r="H1787" s="871"/>
      <c r="I1787" s="871"/>
      <c r="J1787" s="349" t="s">
        <v>1102</v>
      </c>
      <c r="K1787" s="876"/>
      <c r="L1787" s="876"/>
      <c r="M1787" s="885"/>
      <c r="N1787" s="876">
        <v>0.2</v>
      </c>
      <c r="O1787" s="351"/>
      <c r="P1787" s="882"/>
      <c r="Q1787" s="880"/>
      <c r="R1787" s="898"/>
      <c r="S1787" s="738">
        <f t="shared" si="157"/>
        <v>78.459999999999994</v>
      </c>
      <c r="T1787" s="738" t="str">
        <f t="shared" si="158"/>
        <v>M2</v>
      </c>
      <c r="U1787" s="738"/>
    </row>
    <row r="1788" spans="1:21" x14ac:dyDescent="0.2">
      <c r="A1788" s="895"/>
      <c r="B1788" s="390"/>
      <c r="C1788" s="673" t="s">
        <v>1231</v>
      </c>
      <c r="D1788" s="870">
        <v>535</v>
      </c>
      <c r="E1788" s="871" t="s">
        <v>8</v>
      </c>
      <c r="F1788" s="668">
        <v>0</v>
      </c>
      <c r="G1788" s="870"/>
      <c r="H1788" s="871"/>
      <c r="I1788" s="871"/>
      <c r="J1788" s="349" t="s">
        <v>1102</v>
      </c>
      <c r="K1788" s="876"/>
      <c r="L1788" s="876"/>
      <c r="M1788" s="885"/>
      <c r="N1788" s="876">
        <v>0.2</v>
      </c>
      <c r="O1788" s="351"/>
      <c r="P1788" s="882"/>
      <c r="Q1788" s="880"/>
      <c r="R1788" s="898"/>
      <c r="S1788" s="738">
        <f t="shared" si="157"/>
        <v>78.459999999999994</v>
      </c>
      <c r="T1788" s="738" t="str">
        <f t="shared" si="158"/>
        <v>M2</v>
      </c>
      <c r="U1788" s="738"/>
    </row>
    <row r="1789" spans="1:21" x14ac:dyDescent="0.2">
      <c r="A1789" s="895"/>
      <c r="B1789" s="390"/>
      <c r="C1789" s="673" t="s">
        <v>1293</v>
      </c>
      <c r="D1789" s="870">
        <v>537</v>
      </c>
      <c r="E1789" s="871" t="s">
        <v>8</v>
      </c>
      <c r="F1789" s="668">
        <v>0</v>
      </c>
      <c r="G1789" s="870"/>
      <c r="H1789" s="871"/>
      <c r="I1789" s="871"/>
      <c r="J1789" s="349" t="s">
        <v>1101</v>
      </c>
      <c r="K1789" s="876"/>
      <c r="L1789" s="876"/>
      <c r="M1789" s="885"/>
      <c r="N1789" s="876">
        <v>0.2</v>
      </c>
      <c r="O1789" s="351"/>
      <c r="P1789" s="882"/>
      <c r="Q1789" s="880"/>
      <c r="R1789" s="898"/>
      <c r="S1789" s="738">
        <f t="shared" si="157"/>
        <v>78.459999999999994</v>
      </c>
      <c r="T1789" s="738" t="str">
        <f t="shared" si="158"/>
        <v>M2</v>
      </c>
      <c r="U1789" s="738"/>
    </row>
    <row r="1790" spans="1:21" x14ac:dyDescent="0.2">
      <c r="A1790" s="895"/>
      <c r="B1790" s="390"/>
      <c r="C1790" s="673" t="s">
        <v>1293</v>
      </c>
      <c r="D1790" s="870">
        <v>550</v>
      </c>
      <c r="E1790" s="871" t="s">
        <v>8</v>
      </c>
      <c r="F1790" s="668">
        <v>0</v>
      </c>
      <c r="G1790" s="870"/>
      <c r="H1790" s="871"/>
      <c r="I1790" s="871"/>
      <c r="J1790" s="349" t="s">
        <v>1101</v>
      </c>
      <c r="K1790" s="876"/>
      <c r="L1790" s="876"/>
      <c r="M1790" s="885"/>
      <c r="N1790" s="876">
        <v>0.2</v>
      </c>
      <c r="O1790" s="351"/>
      <c r="P1790" s="882"/>
      <c r="Q1790" s="880"/>
      <c r="R1790" s="898"/>
      <c r="S1790" s="738">
        <f t="shared" si="157"/>
        <v>78.459999999999994</v>
      </c>
      <c r="T1790" s="738" t="str">
        <f t="shared" si="158"/>
        <v>M2</v>
      </c>
      <c r="U1790" s="738"/>
    </row>
    <row r="1791" spans="1:21" x14ac:dyDescent="0.2">
      <c r="A1791" s="895"/>
      <c r="B1791" s="390"/>
      <c r="C1791" s="673" t="s">
        <v>1437</v>
      </c>
      <c r="D1791" s="870">
        <v>554</v>
      </c>
      <c r="E1791" s="871" t="s">
        <v>8</v>
      </c>
      <c r="F1791" s="668">
        <v>0</v>
      </c>
      <c r="G1791" s="870"/>
      <c r="H1791" s="871"/>
      <c r="I1791" s="871"/>
      <c r="J1791" s="349" t="s">
        <v>1102</v>
      </c>
      <c r="K1791" s="876"/>
      <c r="L1791" s="876"/>
      <c r="M1791" s="885"/>
      <c r="N1791" s="876">
        <v>0.62</v>
      </c>
      <c r="O1791" s="351"/>
      <c r="P1791" s="882"/>
      <c r="Q1791" s="880"/>
      <c r="R1791" s="898"/>
      <c r="S1791" s="738">
        <f t="shared" si="157"/>
        <v>78.459999999999994</v>
      </c>
      <c r="T1791" s="738" t="str">
        <f t="shared" si="158"/>
        <v>M2</v>
      </c>
      <c r="U1791" s="738"/>
    </row>
    <row r="1792" spans="1:21" x14ac:dyDescent="0.2">
      <c r="A1792" s="895"/>
      <c r="B1792" s="390"/>
      <c r="C1792" s="673" t="s">
        <v>1437</v>
      </c>
      <c r="D1792" s="870">
        <v>556</v>
      </c>
      <c r="E1792" s="871" t="s">
        <v>8</v>
      </c>
      <c r="F1792" s="668">
        <v>0</v>
      </c>
      <c r="G1792" s="870"/>
      <c r="H1792" s="871"/>
      <c r="I1792" s="871"/>
      <c r="J1792" s="349" t="s">
        <v>1101</v>
      </c>
      <c r="K1792" s="876"/>
      <c r="L1792" s="876"/>
      <c r="M1792" s="885"/>
      <c r="N1792" s="876">
        <v>0.62</v>
      </c>
      <c r="O1792" s="351"/>
      <c r="P1792" s="882"/>
      <c r="Q1792" s="880"/>
      <c r="R1792" s="898"/>
      <c r="S1792" s="738">
        <f t="shared" si="157"/>
        <v>78.459999999999994</v>
      </c>
      <c r="T1792" s="738" t="str">
        <f t="shared" si="158"/>
        <v>M2</v>
      </c>
      <c r="U1792" s="738"/>
    </row>
    <row r="1793" spans="1:31" x14ac:dyDescent="0.2">
      <c r="A1793" s="895"/>
      <c r="B1793" s="390"/>
      <c r="C1793" s="673" t="s">
        <v>1277</v>
      </c>
      <c r="D1793" s="870">
        <v>560</v>
      </c>
      <c r="E1793" s="871" t="s">
        <v>8</v>
      </c>
      <c r="F1793" s="668">
        <v>0</v>
      </c>
      <c r="G1793" s="870"/>
      <c r="H1793" s="871"/>
      <c r="I1793" s="871"/>
      <c r="J1793" s="349" t="s">
        <v>1101</v>
      </c>
      <c r="K1793" s="876"/>
      <c r="L1793" s="876"/>
      <c r="M1793" s="885"/>
      <c r="N1793" s="876">
        <v>0.2</v>
      </c>
      <c r="O1793" s="351"/>
      <c r="P1793" s="882"/>
      <c r="Q1793" s="880"/>
      <c r="R1793" s="898"/>
      <c r="S1793" s="738">
        <f t="shared" si="157"/>
        <v>78.459999999999994</v>
      </c>
      <c r="T1793" s="738" t="str">
        <f t="shared" si="158"/>
        <v>M2</v>
      </c>
      <c r="U1793" s="738"/>
    </row>
    <row r="1794" spans="1:31" x14ac:dyDescent="0.2">
      <c r="A1794" s="895"/>
      <c r="B1794" s="390"/>
      <c r="C1794" s="776" t="s">
        <v>1553</v>
      </c>
      <c r="D1794" s="870"/>
      <c r="E1794" s="871"/>
      <c r="F1794" s="668"/>
      <c r="G1794" s="870"/>
      <c r="H1794" s="871"/>
      <c r="I1794" s="871"/>
      <c r="J1794" s="349"/>
      <c r="K1794" s="884"/>
      <c r="L1794" s="876"/>
      <c r="M1794" s="885"/>
      <c r="N1794" s="876"/>
      <c r="O1794" s="351"/>
      <c r="P1794" s="882"/>
      <c r="Q1794" s="880"/>
      <c r="R1794" s="898"/>
      <c r="S1794" s="738">
        <f t="shared" si="157"/>
        <v>78.459999999999994</v>
      </c>
      <c r="T1794" s="738" t="str">
        <f t="shared" si="158"/>
        <v>M2</v>
      </c>
      <c r="U1794" s="738"/>
    </row>
    <row r="1795" spans="1:31" x14ac:dyDescent="0.2">
      <c r="A1795" s="895"/>
      <c r="B1795" s="346"/>
      <c r="C1795" s="348" t="s">
        <v>1231</v>
      </c>
      <c r="D1795" s="405">
        <v>3</v>
      </c>
      <c r="E1795" s="871" t="s">
        <v>8</v>
      </c>
      <c r="F1795" s="406">
        <v>0</v>
      </c>
      <c r="G1795" s="405"/>
      <c r="H1795" s="871"/>
      <c r="I1795" s="406"/>
      <c r="J1795" s="349" t="s">
        <v>1564</v>
      </c>
      <c r="K1795" s="350"/>
      <c r="N1795" s="876">
        <v>0.5</v>
      </c>
      <c r="O1795" s="351"/>
      <c r="P1795" s="882"/>
      <c r="Q1795" s="880"/>
      <c r="R1795" s="898"/>
      <c r="S1795" s="738">
        <f t="shared" si="157"/>
        <v>78.459999999999994</v>
      </c>
      <c r="T1795" s="738" t="str">
        <f t="shared" si="158"/>
        <v>M2</v>
      </c>
      <c r="U1795" s="771"/>
      <c r="V1795" s="772"/>
      <c r="W1795" s="772"/>
      <c r="X1795" s="772"/>
      <c r="Y1795" s="772"/>
      <c r="Z1795" s="772"/>
      <c r="AA1795" s="772"/>
      <c r="AB1795" s="772"/>
      <c r="AC1795" s="772"/>
      <c r="AD1795" s="772"/>
      <c r="AE1795" s="772"/>
    </row>
    <row r="1796" spans="1:31" x14ac:dyDescent="0.2">
      <c r="A1796" s="895"/>
      <c r="B1796" s="346"/>
      <c r="C1796" s="348" t="s">
        <v>1277</v>
      </c>
      <c r="D1796" s="405">
        <v>9</v>
      </c>
      <c r="E1796" s="871" t="s">
        <v>8</v>
      </c>
      <c r="F1796" s="406">
        <v>0</v>
      </c>
      <c r="G1796" s="405"/>
      <c r="H1796" s="871"/>
      <c r="I1796" s="406"/>
      <c r="J1796" s="349" t="s">
        <v>1564</v>
      </c>
      <c r="K1796" s="350"/>
      <c r="N1796" s="876">
        <v>0.44</v>
      </c>
      <c r="O1796" s="351"/>
      <c r="P1796" s="882"/>
      <c r="Q1796" s="880"/>
      <c r="R1796" s="898"/>
      <c r="S1796" s="738">
        <f t="shared" si="157"/>
        <v>78.459999999999994</v>
      </c>
      <c r="T1796" s="738" t="str">
        <f t="shared" si="158"/>
        <v>M2</v>
      </c>
      <c r="U1796" s="771"/>
      <c r="V1796" s="772"/>
      <c r="W1796" s="772"/>
      <c r="X1796" s="772"/>
      <c r="Y1796" s="772"/>
      <c r="Z1796" s="772"/>
      <c r="AA1796" s="772"/>
      <c r="AB1796" s="772"/>
      <c r="AC1796" s="772"/>
      <c r="AD1796" s="772"/>
      <c r="AE1796" s="772"/>
    </row>
    <row r="1797" spans="1:31" x14ac:dyDescent="0.2">
      <c r="A1797" s="895"/>
      <c r="B1797" s="346"/>
      <c r="C1797" s="348" t="s">
        <v>1294</v>
      </c>
      <c r="D1797" s="405">
        <v>13</v>
      </c>
      <c r="E1797" s="871" t="s">
        <v>8</v>
      </c>
      <c r="F1797" s="406">
        <v>0</v>
      </c>
      <c r="G1797" s="405"/>
      <c r="H1797" s="871"/>
      <c r="I1797" s="406"/>
      <c r="J1797" s="349" t="s">
        <v>1564</v>
      </c>
      <c r="K1797" s="350"/>
      <c r="N1797" s="876">
        <v>0.5</v>
      </c>
      <c r="O1797" s="351"/>
      <c r="P1797" s="882"/>
      <c r="Q1797" s="880"/>
      <c r="R1797" s="898"/>
      <c r="S1797" s="738">
        <f t="shared" si="157"/>
        <v>78.459999999999994</v>
      </c>
      <c r="T1797" s="738" t="str">
        <f t="shared" si="158"/>
        <v>M2</v>
      </c>
      <c r="U1797" s="771"/>
      <c r="V1797" s="772"/>
      <c r="W1797" s="772"/>
      <c r="X1797" s="772"/>
      <c r="Y1797" s="772"/>
      <c r="Z1797" s="772"/>
      <c r="AA1797" s="772"/>
      <c r="AB1797" s="772"/>
      <c r="AC1797" s="772"/>
      <c r="AD1797" s="772"/>
      <c r="AE1797" s="772"/>
    </row>
    <row r="1798" spans="1:31" x14ac:dyDescent="0.2">
      <c r="A1798" s="895"/>
      <c r="B1798" s="346"/>
      <c r="C1798" s="348" t="s">
        <v>1437</v>
      </c>
      <c r="D1798" s="405">
        <v>15</v>
      </c>
      <c r="E1798" s="871" t="s">
        <v>8</v>
      </c>
      <c r="F1798" s="406">
        <v>0</v>
      </c>
      <c r="G1798" s="405"/>
      <c r="H1798" s="871"/>
      <c r="I1798" s="406"/>
      <c r="J1798" s="349" t="s">
        <v>1564</v>
      </c>
      <c r="K1798" s="350"/>
      <c r="N1798" s="876">
        <v>0.62</v>
      </c>
      <c r="O1798" s="351"/>
      <c r="P1798" s="882"/>
      <c r="Q1798" s="880"/>
      <c r="R1798" s="898"/>
      <c r="S1798" s="738">
        <f t="shared" si="157"/>
        <v>78.459999999999994</v>
      </c>
      <c r="T1798" s="738" t="str">
        <f t="shared" si="158"/>
        <v>M2</v>
      </c>
      <c r="U1798" s="771"/>
      <c r="V1798" s="772"/>
      <c r="W1798" s="772"/>
      <c r="X1798" s="772"/>
      <c r="Y1798" s="772"/>
      <c r="Z1798" s="772"/>
      <c r="AA1798" s="772"/>
      <c r="AB1798" s="772"/>
      <c r="AC1798" s="772"/>
      <c r="AD1798" s="772"/>
      <c r="AE1798" s="772"/>
    </row>
    <row r="1799" spans="1:31" x14ac:dyDescent="0.2">
      <c r="A1799" s="895"/>
      <c r="B1799" s="346"/>
      <c r="C1799" s="348" t="s">
        <v>1437</v>
      </c>
      <c r="D1799" s="405">
        <v>17</v>
      </c>
      <c r="E1799" s="871" t="s">
        <v>8</v>
      </c>
      <c r="F1799" s="406">
        <v>0</v>
      </c>
      <c r="G1799" s="405"/>
      <c r="H1799" s="871"/>
      <c r="I1799" s="406"/>
      <c r="J1799" s="349" t="s">
        <v>1556</v>
      </c>
      <c r="K1799" s="350"/>
      <c r="N1799" s="876">
        <v>0.62</v>
      </c>
      <c r="O1799" s="351"/>
      <c r="P1799" s="882"/>
      <c r="Q1799" s="880"/>
      <c r="R1799" s="898"/>
      <c r="S1799" s="738">
        <f t="shared" si="157"/>
        <v>78.459999999999994</v>
      </c>
      <c r="T1799" s="738" t="str">
        <f t="shared" si="158"/>
        <v>M2</v>
      </c>
      <c r="U1799" s="771"/>
      <c r="V1799" s="772"/>
      <c r="W1799" s="772"/>
      <c r="X1799" s="772"/>
      <c r="Y1799" s="772"/>
      <c r="Z1799" s="772"/>
      <c r="AA1799" s="772"/>
      <c r="AB1799" s="772"/>
      <c r="AC1799" s="772"/>
      <c r="AD1799" s="772"/>
      <c r="AE1799" s="772"/>
    </row>
    <row r="1800" spans="1:31" x14ac:dyDescent="0.2">
      <c r="A1800" s="895"/>
      <c r="B1800" s="346"/>
      <c r="C1800" s="348" t="s">
        <v>1298</v>
      </c>
      <c r="D1800" s="405">
        <v>21</v>
      </c>
      <c r="E1800" s="871" t="s">
        <v>8</v>
      </c>
      <c r="F1800" s="406">
        <v>0</v>
      </c>
      <c r="G1800" s="405"/>
      <c r="H1800" s="871"/>
      <c r="I1800" s="406"/>
      <c r="J1800" s="349" t="s">
        <v>1564</v>
      </c>
      <c r="K1800" s="350"/>
      <c r="N1800" s="876">
        <v>0.3</v>
      </c>
      <c r="O1800" s="351"/>
      <c r="P1800" s="882"/>
      <c r="Q1800" s="880"/>
      <c r="R1800" s="898"/>
      <c r="S1800" s="738">
        <f t="shared" si="157"/>
        <v>78.459999999999994</v>
      </c>
      <c r="T1800" s="738" t="str">
        <f t="shared" si="158"/>
        <v>M2</v>
      </c>
      <c r="U1800" s="771"/>
      <c r="V1800" s="772"/>
      <c r="W1800" s="772"/>
      <c r="X1800" s="772"/>
      <c r="Y1800" s="772"/>
      <c r="Z1800" s="772"/>
      <c r="AA1800" s="772"/>
      <c r="AB1800" s="772"/>
      <c r="AC1800" s="772"/>
      <c r="AD1800" s="772"/>
      <c r="AE1800" s="772"/>
    </row>
    <row r="1801" spans="1:31" x14ac:dyDescent="0.2">
      <c r="A1801" s="895"/>
      <c r="B1801" s="346"/>
      <c r="C1801" s="348" t="s">
        <v>1298</v>
      </c>
      <c r="D1801" s="405">
        <v>21</v>
      </c>
      <c r="E1801" s="871" t="s">
        <v>8</v>
      </c>
      <c r="F1801" s="406">
        <v>0</v>
      </c>
      <c r="G1801" s="405"/>
      <c r="H1801" s="871"/>
      <c r="I1801" s="406"/>
      <c r="J1801" s="349" t="s">
        <v>1564</v>
      </c>
      <c r="K1801" s="350"/>
      <c r="N1801" s="876">
        <v>0.3</v>
      </c>
      <c r="O1801" s="351"/>
      <c r="P1801" s="882"/>
      <c r="Q1801" s="880"/>
      <c r="R1801" s="898"/>
      <c r="S1801" s="738">
        <f t="shared" si="157"/>
        <v>78.459999999999994</v>
      </c>
      <c r="T1801" s="738" t="str">
        <f t="shared" si="158"/>
        <v>M2</v>
      </c>
      <c r="U1801" s="771"/>
      <c r="V1801" s="772"/>
      <c r="W1801" s="772"/>
      <c r="X1801" s="772"/>
      <c r="Y1801" s="772"/>
      <c r="Z1801" s="772"/>
      <c r="AA1801" s="772"/>
      <c r="AB1801" s="772"/>
      <c r="AC1801" s="772"/>
      <c r="AD1801" s="772"/>
      <c r="AE1801" s="772"/>
    </row>
    <row r="1802" spans="1:31" x14ac:dyDescent="0.2">
      <c r="A1802" s="895"/>
      <c r="B1802" s="346"/>
      <c r="C1802" s="348" t="s">
        <v>1298</v>
      </c>
      <c r="D1802" s="405">
        <v>21</v>
      </c>
      <c r="E1802" s="871" t="s">
        <v>8</v>
      </c>
      <c r="F1802" s="406">
        <v>5</v>
      </c>
      <c r="G1802" s="405"/>
      <c r="H1802" s="871"/>
      <c r="I1802" s="406"/>
      <c r="J1802" s="349" t="s">
        <v>1564</v>
      </c>
      <c r="K1802" s="350"/>
      <c r="N1802" s="876">
        <v>0.3</v>
      </c>
      <c r="O1802" s="351"/>
      <c r="P1802" s="882"/>
      <c r="Q1802" s="880"/>
      <c r="R1802" s="898"/>
      <c r="S1802" s="738">
        <f t="shared" si="157"/>
        <v>78.459999999999994</v>
      </c>
      <c r="T1802" s="738" t="str">
        <f t="shared" si="158"/>
        <v>M2</v>
      </c>
      <c r="U1802" s="771"/>
      <c r="V1802" s="772"/>
      <c r="W1802" s="772"/>
      <c r="X1802" s="772"/>
      <c r="Y1802" s="772"/>
      <c r="Z1802" s="772"/>
      <c r="AA1802" s="772"/>
      <c r="AB1802" s="772"/>
      <c r="AC1802" s="772"/>
      <c r="AD1802" s="772"/>
      <c r="AE1802" s="772"/>
    </row>
    <row r="1803" spans="1:31" x14ac:dyDescent="0.2">
      <c r="A1803" s="895"/>
      <c r="B1803" s="346"/>
      <c r="C1803" s="348" t="s">
        <v>1298</v>
      </c>
      <c r="D1803" s="405">
        <v>21</v>
      </c>
      <c r="E1803" s="871" t="s">
        <v>8</v>
      </c>
      <c r="F1803" s="406">
        <v>10</v>
      </c>
      <c r="G1803" s="405"/>
      <c r="H1803" s="871"/>
      <c r="I1803" s="406"/>
      <c r="J1803" s="349" t="s">
        <v>1564</v>
      </c>
      <c r="K1803" s="350"/>
      <c r="N1803" s="876">
        <v>0.3</v>
      </c>
      <c r="O1803" s="351"/>
      <c r="P1803" s="882"/>
      <c r="Q1803" s="880"/>
      <c r="R1803" s="898"/>
      <c r="S1803" s="738">
        <f t="shared" si="157"/>
        <v>78.459999999999994</v>
      </c>
      <c r="T1803" s="738" t="str">
        <f t="shared" si="158"/>
        <v>M2</v>
      </c>
      <c r="U1803" s="771"/>
      <c r="V1803" s="772"/>
      <c r="W1803" s="772"/>
      <c r="X1803" s="772"/>
      <c r="Y1803" s="772"/>
      <c r="Z1803" s="772"/>
      <c r="AA1803" s="772"/>
      <c r="AB1803" s="772"/>
      <c r="AC1803" s="772"/>
      <c r="AD1803" s="772"/>
      <c r="AE1803" s="772"/>
    </row>
    <row r="1804" spans="1:31" x14ac:dyDescent="0.2">
      <c r="A1804" s="895"/>
      <c r="B1804" s="346"/>
      <c r="C1804" s="348" t="s">
        <v>1298</v>
      </c>
      <c r="D1804" s="405">
        <v>21</v>
      </c>
      <c r="E1804" s="871" t="s">
        <v>8</v>
      </c>
      <c r="F1804" s="406">
        <v>15</v>
      </c>
      <c r="G1804" s="405"/>
      <c r="H1804" s="871"/>
      <c r="I1804" s="406"/>
      <c r="J1804" s="349" t="s">
        <v>1564</v>
      </c>
      <c r="K1804" s="350"/>
      <c r="N1804" s="876">
        <v>0.3</v>
      </c>
      <c r="O1804" s="351"/>
      <c r="P1804" s="882"/>
      <c r="Q1804" s="880"/>
      <c r="R1804" s="898"/>
      <c r="S1804" s="738">
        <f t="shared" si="157"/>
        <v>78.459999999999994</v>
      </c>
      <c r="T1804" s="738" t="str">
        <f t="shared" si="158"/>
        <v>M2</v>
      </c>
      <c r="U1804" s="771"/>
      <c r="V1804" s="772"/>
      <c r="W1804" s="772"/>
      <c r="X1804" s="772"/>
      <c r="Y1804" s="772"/>
      <c r="Z1804" s="772"/>
      <c r="AA1804" s="772"/>
      <c r="AB1804" s="772"/>
      <c r="AC1804" s="772"/>
      <c r="AD1804" s="772"/>
      <c r="AE1804" s="772"/>
    </row>
    <row r="1805" spans="1:31" x14ac:dyDescent="0.2">
      <c r="A1805" s="895"/>
      <c r="B1805" s="346"/>
      <c r="C1805" s="348" t="s">
        <v>1298</v>
      </c>
      <c r="D1805" s="405">
        <v>22</v>
      </c>
      <c r="E1805" s="871" t="s">
        <v>8</v>
      </c>
      <c r="F1805" s="406">
        <v>0</v>
      </c>
      <c r="G1805" s="405"/>
      <c r="H1805" s="871"/>
      <c r="I1805" s="406"/>
      <c r="J1805" s="349" t="s">
        <v>1564</v>
      </c>
      <c r="K1805" s="350"/>
      <c r="N1805" s="876">
        <v>0.3</v>
      </c>
      <c r="O1805" s="351"/>
      <c r="P1805" s="882"/>
      <c r="Q1805" s="880"/>
      <c r="R1805" s="898"/>
      <c r="S1805" s="738">
        <f t="shared" si="157"/>
        <v>78.459999999999994</v>
      </c>
      <c r="T1805" s="738" t="str">
        <f t="shared" si="158"/>
        <v>M2</v>
      </c>
      <c r="U1805" s="771"/>
      <c r="V1805" s="772"/>
      <c r="W1805" s="772"/>
      <c r="X1805" s="772"/>
      <c r="Y1805" s="772"/>
      <c r="Z1805" s="772"/>
      <c r="AA1805" s="772"/>
      <c r="AB1805" s="772"/>
      <c r="AC1805" s="772"/>
      <c r="AD1805" s="772"/>
      <c r="AE1805" s="772"/>
    </row>
    <row r="1806" spans="1:31" x14ac:dyDescent="0.2">
      <c r="A1806" s="895"/>
      <c r="B1806" s="346"/>
      <c r="C1806" s="348" t="s">
        <v>1298</v>
      </c>
      <c r="D1806" s="405">
        <v>22</v>
      </c>
      <c r="E1806" s="871" t="s">
        <v>8</v>
      </c>
      <c r="F1806" s="406">
        <v>5</v>
      </c>
      <c r="G1806" s="405"/>
      <c r="H1806" s="871"/>
      <c r="I1806" s="406"/>
      <c r="J1806" s="349" t="s">
        <v>1564</v>
      </c>
      <c r="K1806" s="350"/>
      <c r="N1806" s="876">
        <v>0.3</v>
      </c>
      <c r="O1806" s="351"/>
      <c r="P1806" s="882"/>
      <c r="Q1806" s="880"/>
      <c r="R1806" s="898"/>
      <c r="S1806" s="738">
        <f t="shared" si="157"/>
        <v>78.459999999999994</v>
      </c>
      <c r="T1806" s="738" t="str">
        <f t="shared" si="158"/>
        <v>M2</v>
      </c>
      <c r="U1806" s="771"/>
      <c r="V1806" s="772"/>
      <c r="W1806" s="772"/>
      <c r="X1806" s="772"/>
      <c r="Y1806" s="772"/>
      <c r="Z1806" s="772"/>
      <c r="AA1806" s="772"/>
      <c r="AB1806" s="772"/>
      <c r="AC1806" s="772"/>
      <c r="AD1806" s="772"/>
      <c r="AE1806" s="772"/>
    </row>
    <row r="1807" spans="1:31" x14ac:dyDescent="0.2">
      <c r="A1807" s="895"/>
      <c r="B1807" s="346"/>
      <c r="C1807" s="348" t="s">
        <v>1298</v>
      </c>
      <c r="D1807" s="405">
        <v>22</v>
      </c>
      <c r="E1807" s="871" t="s">
        <v>8</v>
      </c>
      <c r="F1807" s="406">
        <v>10</v>
      </c>
      <c r="G1807" s="405"/>
      <c r="H1807" s="871"/>
      <c r="I1807" s="406"/>
      <c r="J1807" s="349" t="s">
        <v>1564</v>
      </c>
      <c r="K1807" s="350"/>
      <c r="N1807" s="876">
        <v>0.3</v>
      </c>
      <c r="O1807" s="351"/>
      <c r="P1807" s="882"/>
      <c r="Q1807" s="880"/>
      <c r="R1807" s="898"/>
      <c r="S1807" s="738">
        <f t="shared" si="157"/>
        <v>78.459999999999994</v>
      </c>
      <c r="T1807" s="738" t="str">
        <f t="shared" si="158"/>
        <v>M2</v>
      </c>
      <c r="U1807" s="771"/>
      <c r="V1807" s="772"/>
      <c r="W1807" s="772"/>
      <c r="X1807" s="772"/>
      <c r="Y1807" s="772"/>
      <c r="Z1807" s="772"/>
      <c r="AA1807" s="772"/>
      <c r="AB1807" s="772"/>
      <c r="AC1807" s="772"/>
      <c r="AD1807" s="772"/>
      <c r="AE1807" s="772"/>
    </row>
    <row r="1808" spans="1:31" x14ac:dyDescent="0.2">
      <c r="A1808" s="895"/>
      <c r="B1808" s="346"/>
      <c r="C1808" s="348" t="s">
        <v>1298</v>
      </c>
      <c r="D1808" s="405">
        <v>22</v>
      </c>
      <c r="E1808" s="871" t="s">
        <v>8</v>
      </c>
      <c r="F1808" s="406">
        <v>15</v>
      </c>
      <c r="G1808" s="405"/>
      <c r="H1808" s="871"/>
      <c r="I1808" s="406"/>
      <c r="J1808" s="349" t="s">
        <v>1564</v>
      </c>
      <c r="K1808" s="350"/>
      <c r="N1808" s="876">
        <v>0.3</v>
      </c>
      <c r="O1808" s="351"/>
      <c r="P1808" s="882"/>
      <c r="Q1808" s="880"/>
      <c r="R1808" s="898"/>
      <c r="S1808" s="738">
        <f t="shared" si="157"/>
        <v>78.459999999999994</v>
      </c>
      <c r="T1808" s="738" t="str">
        <f t="shared" si="158"/>
        <v>M2</v>
      </c>
      <c r="U1808" s="771"/>
      <c r="V1808" s="772"/>
      <c r="W1808" s="772"/>
      <c r="X1808" s="772"/>
      <c r="Y1808" s="772"/>
      <c r="Z1808" s="772"/>
      <c r="AA1808" s="772"/>
      <c r="AB1808" s="772"/>
      <c r="AC1808" s="772"/>
      <c r="AD1808" s="772"/>
      <c r="AE1808" s="772"/>
    </row>
    <row r="1809" spans="1:31" x14ac:dyDescent="0.2">
      <c r="A1809" s="895"/>
      <c r="B1809" s="346"/>
      <c r="C1809" s="348" t="s">
        <v>1298</v>
      </c>
      <c r="D1809" s="405">
        <v>23</v>
      </c>
      <c r="E1809" s="871" t="s">
        <v>8</v>
      </c>
      <c r="F1809" s="406">
        <v>0</v>
      </c>
      <c r="G1809" s="405"/>
      <c r="H1809" s="871"/>
      <c r="I1809" s="406"/>
      <c r="J1809" s="349" t="s">
        <v>1564</v>
      </c>
      <c r="K1809" s="350"/>
      <c r="N1809" s="876">
        <v>0.3</v>
      </c>
      <c r="O1809" s="351"/>
      <c r="P1809" s="882"/>
      <c r="Q1809" s="880"/>
      <c r="R1809" s="898"/>
      <c r="S1809" s="738">
        <f t="shared" si="157"/>
        <v>78.459999999999994</v>
      </c>
      <c r="T1809" s="738" t="str">
        <f t="shared" si="158"/>
        <v>M2</v>
      </c>
      <c r="U1809" s="771"/>
      <c r="V1809" s="772"/>
      <c r="W1809" s="772"/>
      <c r="X1809" s="772"/>
      <c r="Y1809" s="772"/>
      <c r="Z1809" s="772"/>
      <c r="AA1809" s="772"/>
      <c r="AB1809" s="772"/>
      <c r="AC1809" s="772"/>
      <c r="AD1809" s="772"/>
      <c r="AE1809" s="772"/>
    </row>
    <row r="1810" spans="1:31" x14ac:dyDescent="0.2">
      <c r="A1810" s="895"/>
      <c r="B1810" s="346"/>
      <c r="C1810" s="348" t="s">
        <v>1298</v>
      </c>
      <c r="D1810" s="405">
        <v>23</v>
      </c>
      <c r="E1810" s="871" t="s">
        <v>8</v>
      </c>
      <c r="F1810" s="406">
        <v>5</v>
      </c>
      <c r="G1810" s="405"/>
      <c r="H1810" s="871"/>
      <c r="I1810" s="406"/>
      <c r="J1810" s="349" t="s">
        <v>1564</v>
      </c>
      <c r="K1810" s="350"/>
      <c r="N1810" s="876">
        <v>0.3</v>
      </c>
      <c r="O1810" s="351"/>
      <c r="P1810" s="882"/>
      <c r="Q1810" s="880"/>
      <c r="R1810" s="898"/>
      <c r="S1810" s="738">
        <f t="shared" si="157"/>
        <v>78.459999999999994</v>
      </c>
      <c r="T1810" s="738" t="str">
        <f t="shared" si="158"/>
        <v>M2</v>
      </c>
      <c r="U1810" s="771"/>
      <c r="V1810" s="772"/>
      <c r="W1810" s="772"/>
      <c r="X1810" s="772"/>
      <c r="Y1810" s="772"/>
      <c r="Z1810" s="772"/>
      <c r="AA1810" s="772"/>
      <c r="AB1810" s="772"/>
      <c r="AC1810" s="772"/>
      <c r="AD1810" s="772"/>
      <c r="AE1810" s="772"/>
    </row>
    <row r="1811" spans="1:31" x14ac:dyDescent="0.2">
      <c r="A1811" s="895"/>
      <c r="B1811" s="346"/>
      <c r="C1811" s="348" t="s">
        <v>1293</v>
      </c>
      <c r="D1811" s="405">
        <v>26</v>
      </c>
      <c r="E1811" s="871" t="s">
        <v>8</v>
      </c>
      <c r="F1811" s="406">
        <v>0</v>
      </c>
      <c r="G1811" s="405"/>
      <c r="H1811" s="871"/>
      <c r="I1811" s="406"/>
      <c r="J1811" s="349" t="s">
        <v>1564</v>
      </c>
      <c r="K1811" s="350"/>
      <c r="N1811" s="876">
        <v>0.5</v>
      </c>
      <c r="O1811" s="351"/>
      <c r="P1811" s="882"/>
      <c r="Q1811" s="880"/>
      <c r="R1811" s="898"/>
      <c r="S1811" s="738">
        <f t="shared" si="157"/>
        <v>78.459999999999994</v>
      </c>
      <c r="T1811" s="738" t="str">
        <f t="shared" si="158"/>
        <v>M2</v>
      </c>
      <c r="U1811" s="771"/>
      <c r="V1811" s="772"/>
      <c r="W1811" s="772"/>
      <c r="X1811" s="772"/>
      <c r="Y1811" s="772"/>
      <c r="Z1811" s="772"/>
      <c r="AA1811" s="772"/>
      <c r="AB1811" s="772"/>
      <c r="AC1811" s="772"/>
      <c r="AD1811" s="772"/>
      <c r="AE1811" s="772"/>
    </row>
    <row r="1812" spans="1:31" x14ac:dyDescent="0.2">
      <c r="A1812" s="895"/>
      <c r="B1812" s="346"/>
      <c r="C1812" s="348" t="s">
        <v>1295</v>
      </c>
      <c r="D1812" s="405">
        <v>28</v>
      </c>
      <c r="E1812" s="871" t="s">
        <v>8</v>
      </c>
      <c r="F1812" s="406">
        <v>0</v>
      </c>
      <c r="G1812" s="405"/>
      <c r="H1812" s="871"/>
      <c r="I1812" s="406"/>
      <c r="J1812" s="349" t="s">
        <v>1556</v>
      </c>
      <c r="K1812" s="350"/>
      <c r="N1812" s="876">
        <v>0.5</v>
      </c>
      <c r="O1812" s="351"/>
      <c r="P1812" s="882"/>
      <c r="Q1812" s="880"/>
      <c r="R1812" s="898"/>
      <c r="S1812" s="738">
        <f t="shared" si="157"/>
        <v>78.459999999999994</v>
      </c>
      <c r="T1812" s="738" t="str">
        <f t="shared" si="158"/>
        <v>M2</v>
      </c>
      <c r="U1812" s="771"/>
      <c r="V1812" s="772"/>
      <c r="W1812" s="772"/>
      <c r="X1812" s="772"/>
      <c r="Y1812" s="772"/>
      <c r="Z1812" s="772"/>
      <c r="AA1812" s="772"/>
      <c r="AB1812" s="772"/>
      <c r="AC1812" s="772"/>
      <c r="AD1812" s="772"/>
      <c r="AE1812" s="772"/>
    </row>
    <row r="1813" spans="1:31" x14ac:dyDescent="0.2">
      <c r="A1813" s="895"/>
      <c r="B1813" s="346"/>
      <c r="C1813" s="348" t="s">
        <v>1277</v>
      </c>
      <c r="D1813" s="405">
        <v>34</v>
      </c>
      <c r="E1813" s="871" t="s">
        <v>8</v>
      </c>
      <c r="F1813" s="406">
        <v>0</v>
      </c>
      <c r="G1813" s="405"/>
      <c r="H1813" s="871"/>
      <c r="I1813" s="406"/>
      <c r="J1813" s="349" t="s">
        <v>1556</v>
      </c>
      <c r="K1813" s="350"/>
      <c r="N1813" s="876">
        <v>0.44</v>
      </c>
      <c r="O1813" s="351"/>
      <c r="P1813" s="882"/>
      <c r="Q1813" s="880"/>
      <c r="R1813" s="898"/>
      <c r="S1813" s="738">
        <f t="shared" si="157"/>
        <v>78.459999999999994</v>
      </c>
      <c r="T1813" s="738" t="str">
        <f t="shared" si="158"/>
        <v>M2</v>
      </c>
      <c r="U1813" s="771"/>
      <c r="V1813" s="772"/>
      <c r="W1813" s="772"/>
      <c r="X1813" s="772"/>
      <c r="Y1813" s="772"/>
      <c r="Z1813" s="772"/>
      <c r="AA1813" s="772"/>
      <c r="AB1813" s="772"/>
      <c r="AC1813" s="772"/>
      <c r="AD1813" s="772"/>
      <c r="AE1813" s="772"/>
    </row>
    <row r="1814" spans="1:31" x14ac:dyDescent="0.2">
      <c r="A1814" s="895"/>
      <c r="B1814" s="346"/>
      <c r="C1814" s="348" t="s">
        <v>1232</v>
      </c>
      <c r="D1814" s="405">
        <v>37</v>
      </c>
      <c r="E1814" s="871" t="s">
        <v>8</v>
      </c>
      <c r="F1814" s="406">
        <v>0</v>
      </c>
      <c r="G1814" s="405"/>
      <c r="H1814" s="871"/>
      <c r="I1814" s="406"/>
      <c r="J1814" s="349" t="s">
        <v>1564</v>
      </c>
      <c r="K1814" s="350"/>
      <c r="N1814" s="876">
        <v>0.44</v>
      </c>
      <c r="O1814" s="351"/>
      <c r="P1814" s="882"/>
      <c r="Q1814" s="880"/>
      <c r="R1814" s="898"/>
      <c r="S1814" s="738">
        <f t="shared" si="157"/>
        <v>78.459999999999994</v>
      </c>
      <c r="T1814" s="738" t="str">
        <f t="shared" si="158"/>
        <v>M2</v>
      </c>
      <c r="U1814" s="771"/>
      <c r="V1814" s="772"/>
      <c r="W1814" s="772"/>
      <c r="X1814" s="772"/>
      <c r="Y1814" s="772"/>
      <c r="Z1814" s="772"/>
      <c r="AA1814" s="772"/>
      <c r="AB1814" s="772"/>
      <c r="AC1814" s="772"/>
      <c r="AD1814" s="772"/>
      <c r="AE1814" s="772"/>
    </row>
    <row r="1815" spans="1:31" x14ac:dyDescent="0.2">
      <c r="A1815" s="895"/>
      <c r="B1815" s="346"/>
      <c r="C1815" s="348" t="s">
        <v>1300</v>
      </c>
      <c r="D1815" s="405">
        <v>38</v>
      </c>
      <c r="E1815" s="871" t="s">
        <v>8</v>
      </c>
      <c r="F1815" s="406">
        <v>0</v>
      </c>
      <c r="G1815" s="405"/>
      <c r="H1815" s="871"/>
      <c r="I1815" s="406"/>
      <c r="J1815" s="349" t="s">
        <v>1564</v>
      </c>
      <c r="K1815" s="350"/>
      <c r="N1815" s="876">
        <v>0.5</v>
      </c>
      <c r="O1815" s="351"/>
      <c r="P1815" s="882"/>
      <c r="Q1815" s="880"/>
      <c r="R1815" s="898"/>
      <c r="S1815" s="738">
        <f t="shared" si="157"/>
        <v>78.459999999999994</v>
      </c>
      <c r="T1815" s="738" t="str">
        <f t="shared" si="158"/>
        <v>M2</v>
      </c>
      <c r="U1815" s="771"/>
      <c r="V1815" s="772"/>
      <c r="W1815" s="772"/>
      <c r="X1815" s="772"/>
      <c r="Y1815" s="772"/>
      <c r="Z1815" s="772"/>
      <c r="AA1815" s="772"/>
      <c r="AB1815" s="772"/>
      <c r="AC1815" s="772"/>
      <c r="AD1815" s="772"/>
      <c r="AE1815" s="772"/>
    </row>
    <row r="1816" spans="1:31" x14ac:dyDescent="0.2">
      <c r="A1816" s="895"/>
      <c r="B1816" s="346"/>
      <c r="C1816" s="348" t="s">
        <v>1231</v>
      </c>
      <c r="D1816" s="405">
        <v>38</v>
      </c>
      <c r="E1816" s="871" t="s">
        <v>8</v>
      </c>
      <c r="F1816" s="406">
        <v>0</v>
      </c>
      <c r="G1816" s="405"/>
      <c r="H1816" s="871"/>
      <c r="I1816" s="406"/>
      <c r="J1816" s="349" t="s">
        <v>1556</v>
      </c>
      <c r="K1816" s="350"/>
      <c r="N1816" s="876">
        <v>0.5</v>
      </c>
      <c r="O1816" s="351"/>
      <c r="P1816" s="882"/>
      <c r="Q1816" s="880"/>
      <c r="R1816" s="898"/>
      <c r="S1816" s="738">
        <f t="shared" si="157"/>
        <v>78.459999999999994</v>
      </c>
      <c r="T1816" s="738" t="str">
        <f t="shared" si="158"/>
        <v>M2</v>
      </c>
      <c r="U1816" s="771"/>
      <c r="V1816" s="772"/>
      <c r="W1816" s="772"/>
      <c r="X1816" s="772"/>
      <c r="Y1816" s="772"/>
      <c r="Z1816" s="772"/>
      <c r="AA1816" s="772"/>
      <c r="AB1816" s="772"/>
      <c r="AC1816" s="772"/>
      <c r="AD1816" s="772"/>
      <c r="AE1816" s="772"/>
    </row>
    <row r="1817" spans="1:31" x14ac:dyDescent="0.2">
      <c r="A1817" s="895"/>
      <c r="B1817" s="346"/>
      <c r="C1817" s="348" t="s">
        <v>1295</v>
      </c>
      <c r="D1817" s="405">
        <v>45</v>
      </c>
      <c r="E1817" s="871" t="s">
        <v>8</v>
      </c>
      <c r="F1817" s="406">
        <v>0</v>
      </c>
      <c r="G1817" s="405"/>
      <c r="H1817" s="871"/>
      <c r="I1817" s="406"/>
      <c r="J1817" s="349" t="s">
        <v>1564</v>
      </c>
      <c r="K1817" s="350"/>
      <c r="N1817" s="876">
        <v>0.5</v>
      </c>
      <c r="O1817" s="351"/>
      <c r="P1817" s="882"/>
      <c r="Q1817" s="880"/>
      <c r="R1817" s="898"/>
      <c r="S1817" s="738">
        <f t="shared" si="157"/>
        <v>78.459999999999994</v>
      </c>
      <c r="T1817" s="738" t="str">
        <f t="shared" si="158"/>
        <v>M2</v>
      </c>
      <c r="U1817" s="771"/>
      <c r="V1817" s="772"/>
      <c r="W1817" s="772"/>
      <c r="X1817" s="772"/>
      <c r="Y1817" s="772"/>
      <c r="Z1817" s="772"/>
      <c r="AA1817" s="772"/>
      <c r="AB1817" s="772"/>
      <c r="AC1817" s="772"/>
      <c r="AD1817" s="772"/>
      <c r="AE1817" s="772"/>
    </row>
    <row r="1818" spans="1:31" x14ac:dyDescent="0.2">
      <c r="A1818" s="895"/>
      <c r="B1818" s="346"/>
      <c r="C1818" s="348" t="s">
        <v>1277</v>
      </c>
      <c r="D1818" s="405">
        <v>49</v>
      </c>
      <c r="E1818" s="871" t="s">
        <v>8</v>
      </c>
      <c r="F1818" s="406">
        <v>0</v>
      </c>
      <c r="G1818" s="405"/>
      <c r="H1818" s="871"/>
      <c r="I1818" s="406"/>
      <c r="J1818" s="349" t="s">
        <v>1564</v>
      </c>
      <c r="K1818" s="350"/>
      <c r="N1818" s="876">
        <v>0.44</v>
      </c>
      <c r="O1818" s="351"/>
      <c r="P1818" s="882"/>
      <c r="Q1818" s="880"/>
      <c r="R1818" s="898"/>
      <c r="S1818" s="738">
        <f t="shared" si="157"/>
        <v>78.459999999999994</v>
      </c>
      <c r="T1818" s="738" t="str">
        <f t="shared" si="158"/>
        <v>M2</v>
      </c>
      <c r="U1818" s="771"/>
      <c r="V1818" s="772"/>
      <c r="W1818" s="772"/>
      <c r="X1818" s="772"/>
      <c r="Y1818" s="772"/>
      <c r="Z1818" s="772"/>
      <c r="AA1818" s="772"/>
      <c r="AB1818" s="772"/>
      <c r="AC1818" s="772"/>
      <c r="AD1818" s="772"/>
      <c r="AE1818" s="772"/>
    </row>
    <row r="1819" spans="1:31" x14ac:dyDescent="0.2">
      <c r="A1819" s="895"/>
      <c r="B1819" s="346"/>
      <c r="C1819" s="348" t="s">
        <v>1594</v>
      </c>
      <c r="D1819" s="405">
        <v>50</v>
      </c>
      <c r="E1819" s="871" t="s">
        <v>8</v>
      </c>
      <c r="F1819" s="406">
        <v>0</v>
      </c>
      <c r="G1819" s="405"/>
      <c r="H1819" s="871"/>
      <c r="I1819" s="406"/>
      <c r="J1819" s="349" t="s">
        <v>1564</v>
      </c>
      <c r="K1819" s="350"/>
      <c r="N1819" s="876">
        <v>0.51</v>
      </c>
      <c r="O1819" s="351"/>
      <c r="P1819" s="882"/>
      <c r="Q1819" s="880"/>
      <c r="R1819" s="898"/>
      <c r="S1819" s="738">
        <f t="shared" si="157"/>
        <v>78.459999999999994</v>
      </c>
      <c r="T1819" s="738" t="str">
        <f t="shared" si="158"/>
        <v>M2</v>
      </c>
      <c r="U1819" s="771"/>
      <c r="V1819" s="772"/>
      <c r="W1819" s="772"/>
      <c r="X1819" s="772"/>
      <c r="Y1819" s="772"/>
      <c r="Z1819" s="772"/>
      <c r="AA1819" s="772"/>
      <c r="AB1819" s="772"/>
      <c r="AC1819" s="772"/>
      <c r="AD1819" s="772"/>
      <c r="AE1819" s="772"/>
    </row>
    <row r="1820" spans="1:31" x14ac:dyDescent="0.2">
      <c r="A1820" s="895"/>
      <c r="B1820" s="346"/>
      <c r="C1820" s="348" t="s">
        <v>1298</v>
      </c>
      <c r="D1820" s="405">
        <v>51</v>
      </c>
      <c r="E1820" s="871" t="s">
        <v>8</v>
      </c>
      <c r="F1820" s="406">
        <v>10</v>
      </c>
      <c r="G1820" s="405"/>
      <c r="H1820" s="871"/>
      <c r="I1820" s="406"/>
      <c r="J1820" s="349" t="s">
        <v>1556</v>
      </c>
      <c r="K1820" s="350"/>
      <c r="N1820" s="876">
        <v>0.3</v>
      </c>
      <c r="O1820" s="351"/>
      <c r="P1820" s="882"/>
      <c r="Q1820" s="880"/>
      <c r="R1820" s="898"/>
      <c r="S1820" s="738">
        <f t="shared" si="157"/>
        <v>78.459999999999994</v>
      </c>
      <c r="T1820" s="738" t="str">
        <f t="shared" si="158"/>
        <v>M2</v>
      </c>
      <c r="U1820" s="771"/>
      <c r="V1820" s="772"/>
      <c r="W1820" s="772"/>
      <c r="X1820" s="772"/>
      <c r="Y1820" s="772"/>
      <c r="Z1820" s="772"/>
      <c r="AA1820" s="772"/>
      <c r="AB1820" s="772"/>
      <c r="AC1820" s="772"/>
      <c r="AD1820" s="772"/>
      <c r="AE1820" s="772"/>
    </row>
    <row r="1821" spans="1:31" x14ac:dyDescent="0.2">
      <c r="A1821" s="895"/>
      <c r="B1821" s="346"/>
      <c r="C1821" s="348" t="s">
        <v>1298</v>
      </c>
      <c r="D1821" s="405">
        <v>51</v>
      </c>
      <c r="E1821" s="871" t="s">
        <v>8</v>
      </c>
      <c r="F1821" s="406">
        <v>15</v>
      </c>
      <c r="G1821" s="405"/>
      <c r="H1821" s="871"/>
      <c r="I1821" s="406"/>
      <c r="J1821" s="349" t="s">
        <v>1556</v>
      </c>
      <c r="K1821" s="350"/>
      <c r="N1821" s="876">
        <v>0.3</v>
      </c>
      <c r="O1821" s="351"/>
      <c r="P1821" s="882"/>
      <c r="Q1821" s="880"/>
      <c r="R1821" s="898"/>
      <c r="S1821" s="738">
        <f t="shared" si="157"/>
        <v>78.459999999999994</v>
      </c>
      <c r="T1821" s="738" t="str">
        <f t="shared" si="158"/>
        <v>M2</v>
      </c>
      <c r="U1821" s="771"/>
      <c r="V1821" s="772"/>
      <c r="W1821" s="772"/>
      <c r="X1821" s="772"/>
      <c r="Y1821" s="772"/>
      <c r="Z1821" s="772"/>
      <c r="AA1821" s="772"/>
      <c r="AB1821" s="772"/>
      <c r="AC1821" s="772"/>
      <c r="AD1821" s="772"/>
      <c r="AE1821" s="772"/>
    </row>
    <row r="1822" spans="1:31" x14ac:dyDescent="0.2">
      <c r="A1822" s="895"/>
      <c r="B1822" s="346"/>
      <c r="C1822" s="348" t="s">
        <v>1298</v>
      </c>
      <c r="D1822" s="405">
        <v>52</v>
      </c>
      <c r="E1822" s="871" t="s">
        <v>8</v>
      </c>
      <c r="F1822" s="406">
        <v>0</v>
      </c>
      <c r="G1822" s="405"/>
      <c r="H1822" s="871"/>
      <c r="I1822" s="406"/>
      <c r="J1822" s="349" t="s">
        <v>1556</v>
      </c>
      <c r="K1822" s="350"/>
      <c r="N1822" s="876">
        <v>0.3</v>
      </c>
      <c r="O1822" s="351"/>
      <c r="P1822" s="882"/>
      <c r="Q1822" s="880"/>
      <c r="R1822" s="898"/>
      <c r="S1822" s="738">
        <f t="shared" si="157"/>
        <v>78.459999999999994</v>
      </c>
      <c r="T1822" s="738" t="str">
        <f t="shared" si="158"/>
        <v>M2</v>
      </c>
      <c r="U1822" s="771"/>
      <c r="V1822" s="772"/>
      <c r="W1822" s="772"/>
      <c r="X1822" s="772"/>
      <c r="Y1822" s="772"/>
      <c r="Z1822" s="772"/>
      <c r="AA1822" s="772"/>
      <c r="AB1822" s="772"/>
      <c r="AC1822" s="772"/>
      <c r="AD1822" s="772"/>
      <c r="AE1822" s="772"/>
    </row>
    <row r="1823" spans="1:31" x14ac:dyDescent="0.2">
      <c r="A1823" s="895"/>
      <c r="B1823" s="346"/>
      <c r="C1823" s="348" t="s">
        <v>1298</v>
      </c>
      <c r="D1823" s="405">
        <v>52</v>
      </c>
      <c r="E1823" s="871" t="s">
        <v>8</v>
      </c>
      <c r="F1823" s="406">
        <v>5</v>
      </c>
      <c r="G1823" s="405"/>
      <c r="H1823" s="871"/>
      <c r="I1823" s="406"/>
      <c r="J1823" s="349" t="s">
        <v>1556</v>
      </c>
      <c r="K1823" s="350"/>
      <c r="N1823" s="876">
        <v>0.3</v>
      </c>
      <c r="O1823" s="351"/>
      <c r="P1823" s="882"/>
      <c r="Q1823" s="880"/>
      <c r="R1823" s="898"/>
      <c r="S1823" s="738">
        <f t="shared" si="157"/>
        <v>78.459999999999994</v>
      </c>
      <c r="T1823" s="738" t="str">
        <f t="shared" si="158"/>
        <v>M2</v>
      </c>
      <c r="U1823" s="771"/>
      <c r="V1823" s="772"/>
      <c r="W1823" s="772"/>
      <c r="X1823" s="772"/>
      <c r="Y1823" s="772"/>
      <c r="Z1823" s="772"/>
      <c r="AA1823" s="772"/>
      <c r="AB1823" s="772"/>
      <c r="AC1823" s="772"/>
      <c r="AD1823" s="772"/>
      <c r="AE1823" s="772"/>
    </row>
    <row r="1824" spans="1:31" x14ac:dyDescent="0.2">
      <c r="A1824" s="895"/>
      <c r="B1824" s="346"/>
      <c r="C1824" s="348" t="s">
        <v>1298</v>
      </c>
      <c r="D1824" s="405">
        <v>52</v>
      </c>
      <c r="E1824" s="871" t="s">
        <v>8</v>
      </c>
      <c r="F1824" s="406">
        <v>10</v>
      </c>
      <c r="G1824" s="405"/>
      <c r="H1824" s="871"/>
      <c r="I1824" s="406"/>
      <c r="J1824" s="349" t="s">
        <v>1556</v>
      </c>
      <c r="K1824" s="350"/>
      <c r="N1824" s="876">
        <v>0.3</v>
      </c>
      <c r="O1824" s="351"/>
      <c r="P1824" s="882"/>
      <c r="Q1824" s="880"/>
      <c r="R1824" s="898"/>
      <c r="S1824" s="738">
        <f t="shared" si="157"/>
        <v>78.459999999999994</v>
      </c>
      <c r="T1824" s="738" t="str">
        <f t="shared" si="158"/>
        <v>M2</v>
      </c>
      <c r="U1824" s="771"/>
      <c r="V1824" s="772"/>
      <c r="W1824" s="772"/>
      <c r="X1824" s="772"/>
      <c r="Y1824" s="772"/>
      <c r="Z1824" s="772"/>
      <c r="AA1824" s="772"/>
      <c r="AB1824" s="772"/>
      <c r="AC1824" s="772"/>
      <c r="AD1824" s="772"/>
      <c r="AE1824" s="772"/>
    </row>
    <row r="1825" spans="1:31" x14ac:dyDescent="0.2">
      <c r="A1825" s="895"/>
      <c r="B1825" s="346"/>
      <c r="C1825" s="348" t="s">
        <v>1298</v>
      </c>
      <c r="D1825" s="405">
        <v>52</v>
      </c>
      <c r="E1825" s="871" t="s">
        <v>8</v>
      </c>
      <c r="F1825" s="406">
        <v>15</v>
      </c>
      <c r="G1825" s="405"/>
      <c r="H1825" s="871"/>
      <c r="I1825" s="406"/>
      <c r="J1825" s="349" t="s">
        <v>1556</v>
      </c>
      <c r="K1825" s="350"/>
      <c r="N1825" s="876">
        <v>0.3</v>
      </c>
      <c r="O1825" s="351"/>
      <c r="P1825" s="882"/>
      <c r="Q1825" s="880"/>
      <c r="R1825" s="898"/>
      <c r="S1825" s="738">
        <f t="shared" si="157"/>
        <v>78.459999999999994</v>
      </c>
      <c r="T1825" s="738" t="str">
        <f t="shared" si="158"/>
        <v>M2</v>
      </c>
      <c r="U1825" s="771"/>
      <c r="V1825" s="772"/>
      <c r="W1825" s="772"/>
      <c r="X1825" s="772"/>
      <c r="Y1825" s="772"/>
      <c r="Z1825" s="772"/>
      <c r="AA1825" s="772"/>
      <c r="AB1825" s="772"/>
      <c r="AC1825" s="772"/>
      <c r="AD1825" s="772"/>
      <c r="AE1825" s="772"/>
    </row>
    <row r="1826" spans="1:31" x14ac:dyDescent="0.2">
      <c r="A1826" s="895"/>
      <c r="B1826" s="346"/>
      <c r="C1826" s="348" t="s">
        <v>1298</v>
      </c>
      <c r="D1826" s="405">
        <v>53</v>
      </c>
      <c r="E1826" s="871" t="s">
        <v>8</v>
      </c>
      <c r="F1826" s="406">
        <v>0</v>
      </c>
      <c r="G1826" s="405"/>
      <c r="H1826" s="871"/>
      <c r="I1826" s="406"/>
      <c r="J1826" s="349" t="s">
        <v>1556</v>
      </c>
      <c r="K1826" s="350"/>
      <c r="N1826" s="876">
        <v>0.3</v>
      </c>
      <c r="O1826" s="351"/>
      <c r="P1826" s="882"/>
      <c r="Q1826" s="880"/>
      <c r="R1826" s="898"/>
      <c r="S1826" s="738">
        <f t="shared" si="157"/>
        <v>78.459999999999994</v>
      </c>
      <c r="T1826" s="738" t="str">
        <f t="shared" si="158"/>
        <v>M2</v>
      </c>
      <c r="U1826" s="771"/>
      <c r="V1826" s="772"/>
      <c r="W1826" s="772"/>
      <c r="X1826" s="772"/>
      <c r="Y1826" s="772"/>
      <c r="Z1826" s="772"/>
      <c r="AA1826" s="772"/>
      <c r="AB1826" s="772"/>
      <c r="AC1826" s="772"/>
      <c r="AD1826" s="772"/>
      <c r="AE1826" s="772"/>
    </row>
    <row r="1827" spans="1:31" x14ac:dyDescent="0.2">
      <c r="A1827" s="895"/>
      <c r="B1827" s="346"/>
      <c r="C1827" s="348" t="s">
        <v>1298</v>
      </c>
      <c r="D1827" s="405">
        <v>53</v>
      </c>
      <c r="E1827" s="871" t="s">
        <v>8</v>
      </c>
      <c r="F1827" s="406">
        <v>5</v>
      </c>
      <c r="G1827" s="405"/>
      <c r="H1827" s="871"/>
      <c r="I1827" s="406"/>
      <c r="J1827" s="349" t="s">
        <v>1556</v>
      </c>
      <c r="K1827" s="350"/>
      <c r="N1827" s="876">
        <v>0.3</v>
      </c>
      <c r="O1827" s="351"/>
      <c r="P1827" s="882"/>
      <c r="Q1827" s="880"/>
      <c r="R1827" s="898"/>
      <c r="S1827" s="738">
        <f t="shared" si="157"/>
        <v>78.459999999999994</v>
      </c>
      <c r="T1827" s="738" t="str">
        <f t="shared" si="158"/>
        <v>M2</v>
      </c>
      <c r="U1827" s="771"/>
      <c r="V1827" s="772"/>
      <c r="W1827" s="772"/>
      <c r="X1827" s="772"/>
      <c r="Y1827" s="772"/>
      <c r="Z1827" s="772"/>
      <c r="AA1827" s="772"/>
      <c r="AB1827" s="772"/>
      <c r="AC1827" s="772"/>
      <c r="AD1827" s="772"/>
      <c r="AE1827" s="772"/>
    </row>
    <row r="1828" spans="1:31" x14ac:dyDescent="0.2">
      <c r="A1828" s="895"/>
      <c r="B1828" s="346"/>
      <c r="C1828" s="348" t="s">
        <v>1298</v>
      </c>
      <c r="D1828" s="405">
        <v>53</v>
      </c>
      <c r="E1828" s="871" t="s">
        <v>8</v>
      </c>
      <c r="F1828" s="406">
        <v>10</v>
      </c>
      <c r="G1828" s="405"/>
      <c r="H1828" s="871"/>
      <c r="I1828" s="406"/>
      <c r="J1828" s="349" t="s">
        <v>1556</v>
      </c>
      <c r="K1828" s="350"/>
      <c r="N1828" s="876">
        <v>0.3</v>
      </c>
      <c r="O1828" s="351"/>
      <c r="P1828" s="882"/>
      <c r="Q1828" s="880"/>
      <c r="R1828" s="898"/>
      <c r="S1828" s="738">
        <f t="shared" si="157"/>
        <v>78.459999999999994</v>
      </c>
      <c r="T1828" s="738" t="str">
        <f t="shared" si="158"/>
        <v>M2</v>
      </c>
      <c r="U1828" s="771"/>
      <c r="V1828" s="772"/>
      <c r="W1828" s="772"/>
      <c r="X1828" s="772"/>
      <c r="Y1828" s="772"/>
      <c r="Z1828" s="772"/>
      <c r="AA1828" s="772"/>
      <c r="AB1828" s="772"/>
      <c r="AC1828" s="772"/>
      <c r="AD1828" s="772"/>
      <c r="AE1828" s="772"/>
    </row>
    <row r="1829" spans="1:31" x14ac:dyDescent="0.2">
      <c r="A1829" s="895"/>
      <c r="B1829" s="346"/>
      <c r="C1829" s="348" t="s">
        <v>1298</v>
      </c>
      <c r="D1829" s="405">
        <v>53</v>
      </c>
      <c r="E1829" s="871" t="s">
        <v>8</v>
      </c>
      <c r="F1829" s="406">
        <v>15</v>
      </c>
      <c r="G1829" s="405"/>
      <c r="H1829" s="871"/>
      <c r="I1829" s="406"/>
      <c r="J1829" s="349" t="s">
        <v>1556</v>
      </c>
      <c r="K1829" s="350"/>
      <c r="N1829" s="876">
        <v>0.3</v>
      </c>
      <c r="O1829" s="351"/>
      <c r="P1829" s="882"/>
      <c r="Q1829" s="880"/>
      <c r="R1829" s="898"/>
      <c r="S1829" s="738">
        <f t="shared" si="157"/>
        <v>78.459999999999994</v>
      </c>
      <c r="T1829" s="738" t="str">
        <f t="shared" si="158"/>
        <v>M2</v>
      </c>
      <c r="U1829" s="771"/>
      <c r="V1829" s="772"/>
      <c r="W1829" s="772"/>
      <c r="X1829" s="772"/>
      <c r="Y1829" s="772"/>
      <c r="Z1829" s="772"/>
      <c r="AA1829" s="772"/>
      <c r="AB1829" s="772"/>
      <c r="AC1829" s="772"/>
      <c r="AD1829" s="772"/>
      <c r="AE1829" s="772"/>
    </row>
    <row r="1830" spans="1:31" x14ac:dyDescent="0.2">
      <c r="A1830" s="895"/>
      <c r="B1830" s="346"/>
      <c r="C1830" s="348" t="s">
        <v>1298</v>
      </c>
      <c r="D1830" s="405">
        <v>54</v>
      </c>
      <c r="E1830" s="871" t="s">
        <v>8</v>
      </c>
      <c r="F1830" s="406">
        <v>0</v>
      </c>
      <c r="G1830" s="405"/>
      <c r="H1830" s="871"/>
      <c r="I1830" s="406"/>
      <c r="J1830" s="349" t="s">
        <v>1556</v>
      </c>
      <c r="K1830" s="350"/>
      <c r="N1830" s="876">
        <v>0.3</v>
      </c>
      <c r="O1830" s="351"/>
      <c r="P1830" s="882"/>
      <c r="Q1830" s="880"/>
      <c r="R1830" s="898"/>
      <c r="S1830" s="738">
        <f t="shared" si="157"/>
        <v>78.459999999999994</v>
      </c>
      <c r="T1830" s="738" t="str">
        <f t="shared" si="158"/>
        <v>M2</v>
      </c>
      <c r="U1830" s="771"/>
      <c r="V1830" s="772"/>
      <c r="W1830" s="772"/>
      <c r="X1830" s="772"/>
      <c r="Y1830" s="772"/>
      <c r="Z1830" s="772"/>
      <c r="AA1830" s="772"/>
      <c r="AB1830" s="772"/>
      <c r="AC1830" s="772"/>
      <c r="AD1830" s="772"/>
      <c r="AE1830" s="772"/>
    </row>
    <row r="1831" spans="1:31" x14ac:dyDescent="0.2">
      <c r="A1831" s="895"/>
      <c r="B1831" s="346"/>
      <c r="C1831" s="348" t="s">
        <v>1232</v>
      </c>
      <c r="D1831" s="405">
        <v>57</v>
      </c>
      <c r="E1831" s="871" t="s">
        <v>8</v>
      </c>
      <c r="F1831" s="406">
        <v>0</v>
      </c>
      <c r="G1831" s="405"/>
      <c r="H1831" s="871"/>
      <c r="I1831" s="406"/>
      <c r="J1831" s="349" t="s">
        <v>1556</v>
      </c>
      <c r="K1831" s="350"/>
      <c r="N1831" s="876">
        <v>0.44</v>
      </c>
      <c r="O1831" s="351"/>
      <c r="P1831" s="882"/>
      <c r="Q1831" s="880"/>
      <c r="R1831" s="898"/>
      <c r="S1831" s="738">
        <f t="shared" si="157"/>
        <v>78.459999999999994</v>
      </c>
      <c r="T1831" s="738" t="str">
        <f t="shared" si="158"/>
        <v>M2</v>
      </c>
      <c r="U1831" s="771"/>
      <c r="V1831" s="772"/>
      <c r="W1831" s="772"/>
      <c r="X1831" s="772"/>
      <c r="Y1831" s="772"/>
      <c r="Z1831" s="772"/>
      <c r="AA1831" s="772"/>
      <c r="AB1831" s="772"/>
      <c r="AC1831" s="772"/>
      <c r="AD1831" s="772"/>
      <c r="AE1831" s="772"/>
    </row>
    <row r="1832" spans="1:31" x14ac:dyDescent="0.2">
      <c r="A1832" s="895"/>
      <c r="B1832" s="346"/>
      <c r="C1832" s="348" t="s">
        <v>1301</v>
      </c>
      <c r="D1832" s="405">
        <v>58</v>
      </c>
      <c r="E1832" s="871" t="s">
        <v>8</v>
      </c>
      <c r="F1832" s="406">
        <v>0</v>
      </c>
      <c r="G1832" s="405"/>
      <c r="H1832" s="871"/>
      <c r="I1832" s="406"/>
      <c r="J1832" s="349" t="s">
        <v>1556</v>
      </c>
      <c r="K1832" s="350"/>
      <c r="N1832" s="876">
        <v>0.5</v>
      </c>
      <c r="O1832" s="351"/>
      <c r="P1832" s="882"/>
      <c r="Q1832" s="880"/>
      <c r="R1832" s="898"/>
      <c r="S1832" s="738">
        <f t="shared" si="157"/>
        <v>78.459999999999994</v>
      </c>
      <c r="T1832" s="738" t="str">
        <f t="shared" si="158"/>
        <v>M2</v>
      </c>
      <c r="U1832" s="771"/>
      <c r="V1832" s="772"/>
      <c r="W1832" s="772"/>
      <c r="X1832" s="772"/>
      <c r="Y1832" s="772"/>
      <c r="Z1832" s="772"/>
      <c r="AA1832" s="772"/>
      <c r="AB1832" s="772"/>
      <c r="AC1832" s="772"/>
      <c r="AD1832" s="772"/>
      <c r="AE1832" s="772"/>
    </row>
    <row r="1833" spans="1:31" x14ac:dyDescent="0.2">
      <c r="A1833" s="895"/>
      <c r="B1833" s="346"/>
      <c r="C1833" s="348" t="s">
        <v>1437</v>
      </c>
      <c r="D1833" s="405">
        <v>60</v>
      </c>
      <c r="E1833" s="871" t="s">
        <v>8</v>
      </c>
      <c r="F1833" s="406">
        <v>0</v>
      </c>
      <c r="G1833" s="405"/>
      <c r="H1833" s="871"/>
      <c r="I1833" s="406"/>
      <c r="J1833" s="349" t="s">
        <v>1564</v>
      </c>
      <c r="K1833" s="350"/>
      <c r="N1833" s="876">
        <v>0.62</v>
      </c>
      <c r="O1833" s="351"/>
      <c r="P1833" s="882"/>
      <c r="Q1833" s="880"/>
      <c r="R1833" s="898"/>
      <c r="S1833" s="738">
        <f t="shared" si="157"/>
        <v>78.459999999999994</v>
      </c>
      <c r="T1833" s="738" t="str">
        <f t="shared" si="158"/>
        <v>M2</v>
      </c>
      <c r="U1833" s="771"/>
      <c r="V1833" s="772"/>
      <c r="W1833" s="772"/>
      <c r="X1833" s="772"/>
      <c r="Y1833" s="772"/>
      <c r="Z1833" s="772"/>
      <c r="AA1833" s="772"/>
      <c r="AB1833" s="772"/>
      <c r="AC1833" s="772"/>
      <c r="AD1833" s="772"/>
      <c r="AE1833" s="772"/>
    </row>
    <row r="1834" spans="1:31" x14ac:dyDescent="0.2">
      <c r="A1834" s="895"/>
      <c r="B1834" s="346"/>
      <c r="C1834" s="348" t="s">
        <v>1437</v>
      </c>
      <c r="D1834" s="405">
        <v>61</v>
      </c>
      <c r="E1834" s="871" t="s">
        <v>8</v>
      </c>
      <c r="F1834" s="406">
        <v>0</v>
      </c>
      <c r="G1834" s="405"/>
      <c r="H1834" s="871"/>
      <c r="I1834" s="406"/>
      <c r="J1834" s="349" t="s">
        <v>1556</v>
      </c>
      <c r="K1834" s="350"/>
      <c r="N1834" s="876">
        <v>0.62</v>
      </c>
      <c r="O1834" s="351"/>
      <c r="P1834" s="882"/>
      <c r="Q1834" s="880"/>
      <c r="R1834" s="898"/>
      <c r="S1834" s="738">
        <f t="shared" si="157"/>
        <v>78.459999999999994</v>
      </c>
      <c r="T1834" s="738" t="str">
        <f t="shared" si="158"/>
        <v>M2</v>
      </c>
      <c r="U1834" s="771"/>
      <c r="V1834" s="772"/>
      <c r="W1834" s="772"/>
      <c r="X1834" s="772"/>
      <c r="Y1834" s="772"/>
      <c r="Z1834" s="772"/>
      <c r="AA1834" s="772"/>
      <c r="AB1834" s="772"/>
      <c r="AC1834" s="772"/>
      <c r="AD1834" s="772"/>
      <c r="AE1834" s="772"/>
    </row>
    <row r="1835" spans="1:31" s="289" customFormat="1" x14ac:dyDescent="0.2">
      <c r="A1835" s="895"/>
      <c r="B1835" s="346"/>
      <c r="C1835" s="348" t="s">
        <v>1294</v>
      </c>
      <c r="D1835" s="405">
        <v>63</v>
      </c>
      <c r="E1835" s="871" t="s">
        <v>8</v>
      </c>
      <c r="F1835" s="406">
        <v>0</v>
      </c>
      <c r="G1835" s="405"/>
      <c r="H1835" s="871"/>
      <c r="I1835" s="406"/>
      <c r="J1835" s="349" t="s">
        <v>1556</v>
      </c>
      <c r="K1835" s="350"/>
      <c r="L1835" s="298"/>
      <c r="M1835" s="299"/>
      <c r="N1835" s="876">
        <v>0.5</v>
      </c>
      <c r="O1835" s="351"/>
      <c r="P1835" s="882"/>
      <c r="Q1835" s="880"/>
      <c r="R1835" s="898"/>
      <c r="S1835" s="738">
        <f t="shared" si="157"/>
        <v>78.459999999999994</v>
      </c>
      <c r="T1835" s="738" t="str">
        <f t="shared" si="158"/>
        <v>M2</v>
      </c>
      <c r="U1835" s="771"/>
      <c r="V1835" s="777"/>
      <c r="W1835" s="777"/>
      <c r="X1835" s="777"/>
      <c r="Y1835" s="777"/>
      <c r="Z1835" s="777"/>
      <c r="AA1835" s="777"/>
      <c r="AB1835" s="777"/>
      <c r="AC1835" s="777"/>
      <c r="AD1835" s="777"/>
      <c r="AE1835" s="777"/>
    </row>
    <row r="1836" spans="1:31" x14ac:dyDescent="0.2">
      <c r="A1836" s="895"/>
      <c r="B1836" s="346"/>
      <c r="C1836" s="348" t="s">
        <v>1278</v>
      </c>
      <c r="D1836" s="405">
        <v>73</v>
      </c>
      <c r="E1836" s="871" t="s">
        <v>8</v>
      </c>
      <c r="F1836" s="406">
        <v>0</v>
      </c>
      <c r="G1836" s="405"/>
      <c r="H1836" s="871"/>
      <c r="I1836" s="406"/>
      <c r="J1836" s="349" t="s">
        <v>1564</v>
      </c>
      <c r="K1836" s="350"/>
      <c r="N1836" s="876">
        <v>0.5</v>
      </c>
      <c r="O1836" s="351"/>
      <c r="P1836" s="882"/>
      <c r="Q1836" s="880"/>
      <c r="R1836" s="898"/>
      <c r="S1836" s="738">
        <f t="shared" si="157"/>
        <v>78.459999999999994</v>
      </c>
      <c r="T1836" s="738" t="str">
        <f t="shared" si="158"/>
        <v>M2</v>
      </c>
      <c r="U1836" s="771"/>
      <c r="V1836" s="772"/>
      <c r="W1836" s="772"/>
      <c r="X1836" s="772"/>
      <c r="Y1836" s="772"/>
      <c r="Z1836" s="772"/>
      <c r="AA1836" s="772"/>
      <c r="AB1836" s="772"/>
      <c r="AC1836" s="772"/>
      <c r="AD1836" s="772"/>
      <c r="AE1836" s="772"/>
    </row>
    <row r="1837" spans="1:31" x14ac:dyDescent="0.2">
      <c r="A1837" s="895"/>
      <c r="B1837" s="346"/>
      <c r="C1837" s="348" t="s">
        <v>1437</v>
      </c>
      <c r="D1837" s="405">
        <v>76</v>
      </c>
      <c r="E1837" s="871" t="s">
        <v>8</v>
      </c>
      <c r="F1837" s="406">
        <v>0</v>
      </c>
      <c r="G1837" s="405"/>
      <c r="H1837" s="871"/>
      <c r="I1837" s="406"/>
      <c r="J1837" s="349" t="s">
        <v>1564</v>
      </c>
      <c r="K1837" s="350"/>
      <c r="N1837" s="876">
        <v>0.62</v>
      </c>
      <c r="O1837" s="351"/>
      <c r="P1837" s="882"/>
      <c r="Q1837" s="880"/>
      <c r="R1837" s="898"/>
      <c r="S1837" s="738">
        <f t="shared" si="157"/>
        <v>78.459999999999994</v>
      </c>
      <c r="T1837" s="738" t="str">
        <f t="shared" si="158"/>
        <v>M2</v>
      </c>
      <c r="U1837" s="771"/>
      <c r="V1837" s="772"/>
      <c r="W1837" s="772"/>
      <c r="X1837" s="772"/>
      <c r="Y1837" s="772"/>
      <c r="Z1837" s="772"/>
      <c r="AA1837" s="772"/>
      <c r="AB1837" s="772"/>
      <c r="AC1837" s="772"/>
      <c r="AD1837" s="772"/>
      <c r="AE1837" s="772"/>
    </row>
    <row r="1838" spans="1:31" x14ac:dyDescent="0.2">
      <c r="A1838" s="895"/>
      <c r="B1838" s="346"/>
      <c r="C1838" s="348" t="s">
        <v>1437</v>
      </c>
      <c r="D1838" s="405">
        <v>77</v>
      </c>
      <c r="E1838" s="871" t="s">
        <v>8</v>
      </c>
      <c r="F1838" s="406">
        <v>0</v>
      </c>
      <c r="G1838" s="405"/>
      <c r="H1838" s="871"/>
      <c r="I1838" s="406"/>
      <c r="J1838" s="349" t="s">
        <v>1556</v>
      </c>
      <c r="K1838" s="350"/>
      <c r="N1838" s="876">
        <v>0.62</v>
      </c>
      <c r="O1838" s="351"/>
      <c r="P1838" s="882"/>
      <c r="Q1838" s="880"/>
      <c r="R1838" s="898"/>
      <c r="S1838" s="738">
        <f t="shared" si="157"/>
        <v>78.459999999999994</v>
      </c>
      <c r="T1838" s="738" t="str">
        <f t="shared" si="158"/>
        <v>M2</v>
      </c>
      <c r="U1838" s="771"/>
      <c r="V1838" s="772"/>
      <c r="W1838" s="772"/>
      <c r="X1838" s="772"/>
      <c r="Y1838" s="772"/>
      <c r="Z1838" s="772"/>
      <c r="AA1838" s="772"/>
      <c r="AB1838" s="772"/>
      <c r="AC1838" s="772"/>
      <c r="AD1838" s="772"/>
      <c r="AE1838" s="772"/>
    </row>
    <row r="1839" spans="1:31" x14ac:dyDescent="0.2">
      <c r="A1839" s="895"/>
      <c r="B1839" s="346"/>
      <c r="C1839" s="348" t="s">
        <v>1277</v>
      </c>
      <c r="D1839" s="405">
        <v>80</v>
      </c>
      <c r="E1839" s="871" t="s">
        <v>8</v>
      </c>
      <c r="F1839" s="406">
        <v>0</v>
      </c>
      <c r="G1839" s="405"/>
      <c r="H1839" s="871"/>
      <c r="I1839" s="406"/>
      <c r="J1839" s="349" t="s">
        <v>1556</v>
      </c>
      <c r="K1839" s="350"/>
      <c r="N1839" s="876">
        <v>0.44</v>
      </c>
      <c r="O1839" s="351"/>
      <c r="P1839" s="882"/>
      <c r="Q1839" s="880"/>
      <c r="R1839" s="898"/>
      <c r="S1839" s="738">
        <f t="shared" si="157"/>
        <v>78.459999999999994</v>
      </c>
      <c r="T1839" s="738" t="str">
        <f t="shared" si="158"/>
        <v>M2</v>
      </c>
      <c r="U1839" s="771"/>
      <c r="V1839" s="772"/>
      <c r="W1839" s="772"/>
      <c r="X1839" s="772"/>
      <c r="Y1839" s="772"/>
      <c r="Z1839" s="772"/>
      <c r="AA1839" s="772"/>
      <c r="AB1839" s="772"/>
      <c r="AC1839" s="772"/>
      <c r="AD1839" s="772"/>
      <c r="AE1839" s="772"/>
    </row>
    <row r="1840" spans="1:31" x14ac:dyDescent="0.2">
      <c r="A1840" s="895"/>
      <c r="B1840" s="346"/>
      <c r="C1840" s="348" t="s">
        <v>1277</v>
      </c>
      <c r="D1840" s="405">
        <v>90</v>
      </c>
      <c r="E1840" s="871" t="s">
        <v>8</v>
      </c>
      <c r="F1840" s="406">
        <v>0</v>
      </c>
      <c r="G1840" s="405"/>
      <c r="H1840" s="871"/>
      <c r="I1840" s="406"/>
      <c r="J1840" s="349" t="s">
        <v>1564</v>
      </c>
      <c r="K1840" s="350"/>
      <c r="N1840" s="876">
        <v>0.44</v>
      </c>
      <c r="O1840" s="351"/>
      <c r="P1840" s="882"/>
      <c r="Q1840" s="880"/>
      <c r="R1840" s="898"/>
      <c r="S1840" s="738">
        <f t="shared" si="157"/>
        <v>78.459999999999994</v>
      </c>
      <c r="T1840" s="738" t="str">
        <f t="shared" si="158"/>
        <v>M2</v>
      </c>
      <c r="U1840" s="771"/>
      <c r="V1840" s="772"/>
      <c r="W1840" s="772"/>
      <c r="X1840" s="772"/>
      <c r="Y1840" s="772"/>
      <c r="Z1840" s="772"/>
      <c r="AA1840" s="772"/>
      <c r="AB1840" s="772"/>
      <c r="AC1840" s="772"/>
      <c r="AD1840" s="772"/>
      <c r="AE1840" s="772"/>
    </row>
    <row r="1841" spans="1:31" x14ac:dyDescent="0.2">
      <c r="A1841" s="895"/>
      <c r="B1841" s="346"/>
      <c r="C1841" s="348" t="s">
        <v>1595</v>
      </c>
      <c r="D1841" s="405">
        <v>100</v>
      </c>
      <c r="E1841" s="871" t="s">
        <v>8</v>
      </c>
      <c r="F1841" s="406">
        <v>0</v>
      </c>
      <c r="G1841" s="405"/>
      <c r="H1841" s="871"/>
      <c r="I1841" s="406"/>
      <c r="J1841" s="349" t="s">
        <v>1556</v>
      </c>
      <c r="K1841" s="350"/>
      <c r="N1841" s="876">
        <v>0.51</v>
      </c>
      <c r="O1841" s="351"/>
      <c r="P1841" s="882"/>
      <c r="Q1841" s="880"/>
      <c r="R1841" s="898"/>
      <c r="S1841" s="738">
        <f t="shared" si="157"/>
        <v>78.459999999999994</v>
      </c>
      <c r="T1841" s="738" t="str">
        <f t="shared" si="158"/>
        <v>M2</v>
      </c>
      <c r="U1841" s="771"/>
      <c r="V1841" s="772"/>
      <c r="W1841" s="772"/>
      <c r="X1841" s="772"/>
      <c r="Y1841" s="772"/>
      <c r="Z1841" s="772"/>
      <c r="AA1841" s="772"/>
      <c r="AB1841" s="772"/>
      <c r="AC1841" s="772"/>
      <c r="AD1841" s="772"/>
      <c r="AE1841" s="772"/>
    </row>
    <row r="1842" spans="1:31" x14ac:dyDescent="0.2">
      <c r="A1842" s="895"/>
      <c r="B1842" s="346"/>
      <c r="C1842" s="348" t="s">
        <v>1437</v>
      </c>
      <c r="D1842" s="405">
        <v>108</v>
      </c>
      <c r="E1842" s="871" t="s">
        <v>8</v>
      </c>
      <c r="F1842" s="406">
        <v>0</v>
      </c>
      <c r="G1842" s="405"/>
      <c r="H1842" s="871"/>
      <c r="I1842" s="406"/>
      <c r="J1842" s="349" t="s">
        <v>1564</v>
      </c>
      <c r="K1842" s="350"/>
      <c r="N1842" s="876">
        <v>0.62</v>
      </c>
      <c r="O1842" s="351"/>
      <c r="P1842" s="882"/>
      <c r="Q1842" s="880"/>
      <c r="R1842" s="898"/>
      <c r="S1842" s="738">
        <f t="shared" si="157"/>
        <v>78.459999999999994</v>
      </c>
      <c r="T1842" s="738" t="str">
        <f t="shared" si="158"/>
        <v>M2</v>
      </c>
      <c r="U1842" s="771"/>
      <c r="V1842" s="772"/>
      <c r="W1842" s="772"/>
      <c r="X1842" s="772"/>
      <c r="Y1842" s="772"/>
      <c r="Z1842" s="772"/>
      <c r="AA1842" s="772"/>
      <c r="AB1842" s="772"/>
      <c r="AC1842" s="772"/>
      <c r="AD1842" s="772"/>
      <c r="AE1842" s="772"/>
    </row>
    <row r="1843" spans="1:31" x14ac:dyDescent="0.2">
      <c r="A1843" s="895"/>
      <c r="B1843" s="346"/>
      <c r="C1843" s="348" t="s">
        <v>1437</v>
      </c>
      <c r="D1843" s="405">
        <v>108</v>
      </c>
      <c r="E1843" s="871" t="s">
        <v>8</v>
      </c>
      <c r="F1843" s="406">
        <v>0</v>
      </c>
      <c r="G1843" s="405"/>
      <c r="H1843" s="871"/>
      <c r="I1843" s="406"/>
      <c r="J1843" s="349" t="s">
        <v>1556</v>
      </c>
      <c r="K1843" s="350"/>
      <c r="N1843" s="876">
        <v>0.62</v>
      </c>
      <c r="O1843" s="351"/>
      <c r="P1843" s="882"/>
      <c r="Q1843" s="880"/>
      <c r="R1843" s="898"/>
      <c r="S1843" s="738">
        <f t="shared" ref="S1843:S1905" si="159">VLOOKUP("Total",C1844:O3504,12,FALSE)</f>
        <v>78.459999999999994</v>
      </c>
      <c r="T1843" s="738" t="str">
        <f t="shared" ref="T1843:T1905" si="160">VLOOKUP("Total",C1844:O3504,13,FALSE)</f>
        <v>M2</v>
      </c>
      <c r="U1843" s="771"/>
      <c r="V1843" s="772"/>
      <c r="W1843" s="772"/>
      <c r="X1843" s="772"/>
      <c r="Y1843" s="772"/>
      <c r="Z1843" s="772"/>
      <c r="AA1843" s="772"/>
      <c r="AB1843" s="772"/>
      <c r="AC1843" s="772"/>
      <c r="AD1843" s="772"/>
      <c r="AE1843" s="772"/>
    </row>
    <row r="1844" spans="1:31" x14ac:dyDescent="0.2">
      <c r="A1844" s="895"/>
      <c r="B1844" s="346"/>
      <c r="C1844" s="348" t="s">
        <v>1278</v>
      </c>
      <c r="D1844" s="405">
        <v>111</v>
      </c>
      <c r="E1844" s="871" t="s">
        <v>8</v>
      </c>
      <c r="F1844" s="406">
        <v>0</v>
      </c>
      <c r="G1844" s="405"/>
      <c r="H1844" s="871"/>
      <c r="I1844" s="406"/>
      <c r="J1844" s="349" t="s">
        <v>1556</v>
      </c>
      <c r="K1844" s="350"/>
      <c r="N1844" s="876">
        <v>0.5</v>
      </c>
      <c r="O1844" s="351"/>
      <c r="P1844" s="882"/>
      <c r="Q1844" s="880"/>
      <c r="R1844" s="898"/>
      <c r="S1844" s="738">
        <f t="shared" si="159"/>
        <v>78.459999999999994</v>
      </c>
      <c r="T1844" s="738" t="str">
        <f t="shared" si="160"/>
        <v>M2</v>
      </c>
      <c r="U1844" s="771"/>
      <c r="V1844" s="772"/>
      <c r="W1844" s="772"/>
      <c r="X1844" s="772"/>
      <c r="Y1844" s="772"/>
      <c r="Z1844" s="772"/>
      <c r="AA1844" s="772"/>
      <c r="AB1844" s="772"/>
      <c r="AC1844" s="772"/>
      <c r="AD1844" s="772"/>
      <c r="AE1844" s="772"/>
    </row>
    <row r="1845" spans="1:31" x14ac:dyDescent="0.2">
      <c r="A1845" s="899"/>
      <c r="B1845" s="353"/>
      <c r="C1845" s="354" t="s">
        <v>2</v>
      </c>
      <c r="D1845" s="355"/>
      <c r="E1845" s="352"/>
      <c r="F1845" s="356"/>
      <c r="G1845" s="355"/>
      <c r="H1845" s="356"/>
      <c r="I1845" s="356"/>
      <c r="J1845" s="353"/>
      <c r="K1845" s="357"/>
      <c r="L1845" s="358"/>
      <c r="M1845" s="359"/>
      <c r="N1845" s="360">
        <f>SUM(N1627:N1844)</f>
        <v>78.459999999999994</v>
      </c>
      <c r="O1845" s="361" t="str">
        <f>IF(MID(B1625,1,2)="LG",VLOOKUP(B1625,'Compos lug'!J:M,4,FALSE),IF(MID(B1625,1,1)="6",VLOOKUP(B1625,tranp.!$A$6:$K$51,3,FALSE),VLOOKUP(B1625,'DER 10-18'!$A$1:$I$1981,3,FALSE)))</f>
        <v>M2</v>
      </c>
      <c r="P1845" s="362"/>
      <c r="Q1845" s="362"/>
      <c r="R1845" s="900"/>
      <c r="S1845" s="738">
        <f t="shared" si="159"/>
        <v>150</v>
      </c>
      <c r="T1845" s="738" t="str">
        <f t="shared" si="160"/>
        <v>M</v>
      </c>
      <c r="U1845" s="738"/>
    </row>
    <row r="1846" spans="1:31" x14ac:dyDescent="0.2">
      <c r="A1846" s="294"/>
      <c r="B1846" s="293"/>
      <c r="C1846" s="343"/>
      <c r="D1846" s="682"/>
      <c r="E1846" s="683"/>
      <c r="F1846" s="684"/>
      <c r="H1846" s="292"/>
      <c r="K1846" s="385"/>
      <c r="L1846" s="386"/>
      <c r="M1846" s="387"/>
      <c r="N1846" s="404"/>
      <c r="O1846" s="344"/>
      <c r="P1846" s="315"/>
      <c r="Q1846" s="315"/>
      <c r="R1846" s="903"/>
      <c r="S1846" s="738">
        <f t="shared" si="159"/>
        <v>150</v>
      </c>
      <c r="T1846" s="738" t="str">
        <f t="shared" si="160"/>
        <v>M</v>
      </c>
      <c r="U1846" s="738"/>
    </row>
    <row r="1847" spans="1:31" ht="25.5" x14ac:dyDescent="0.2">
      <c r="A1847" s="895" t="s">
        <v>1476</v>
      </c>
      <c r="B1847" s="346">
        <v>41203</v>
      </c>
      <c r="C1847" s="347" t="str">
        <f>IF(MID(B1847,1,2)="LG",VLOOKUP(B1847,'Compos lug'!J:M,3,FALSE),IF(MID(B1847,1,1)="6",VLOOKUP(B1847,tranp.!$A$4:$K$19,11,FALSE)&amp;" -  XP="&amp;TEXT(#REF!,"0.000")&amp;" / XR="&amp;TEXT(#REF!,"0.000"),VLOOKUP(B1847,'DER 10-18'!$A$1:$I$1981,2,FALSE)))</f>
        <v>Defensa metálica (2 lâminas com espessuras = 3mm) inclusive acessórios, fornecimento e colocação</v>
      </c>
      <c r="D1847" s="1059" t="s">
        <v>1000</v>
      </c>
      <c r="E1847" s="1060"/>
      <c r="F1847" s="1061"/>
      <c r="G1847" s="1093" t="s">
        <v>1001</v>
      </c>
      <c r="H1847" s="1094"/>
      <c r="I1847" s="1095"/>
      <c r="J1847" s="349" t="s">
        <v>989</v>
      </c>
      <c r="K1847" s="876"/>
      <c r="L1847" s="885"/>
      <c r="M1847" s="876"/>
      <c r="N1847" s="876" t="s">
        <v>998</v>
      </c>
      <c r="O1847" s="778"/>
      <c r="P1847" s="1062"/>
      <c r="Q1847" s="1063"/>
      <c r="R1847" s="902"/>
      <c r="S1847" s="738">
        <f t="shared" si="159"/>
        <v>150</v>
      </c>
      <c r="T1847" s="738" t="str">
        <f t="shared" si="160"/>
        <v>M</v>
      </c>
      <c r="U1847" s="738"/>
    </row>
    <row r="1848" spans="1:31" x14ac:dyDescent="0.2">
      <c r="A1848" s="294"/>
      <c r="B1848" s="293"/>
      <c r="C1848" s="744" t="s">
        <v>1552</v>
      </c>
      <c r="N1848" s="876"/>
      <c r="R1848" s="912"/>
      <c r="S1848" s="738">
        <f t="shared" si="159"/>
        <v>150</v>
      </c>
      <c r="T1848" s="738" t="str">
        <f t="shared" si="160"/>
        <v>M</v>
      </c>
    </row>
    <row r="1849" spans="1:31" x14ac:dyDescent="0.2">
      <c r="A1849" s="294"/>
      <c r="B1849" s="293"/>
      <c r="C1849" s="673" t="s">
        <v>1419</v>
      </c>
      <c r="D1849" s="290">
        <v>340</v>
      </c>
      <c r="E1849" s="291" t="s">
        <v>8</v>
      </c>
      <c r="F1849" s="292">
        <v>10</v>
      </c>
      <c r="G1849" s="290">
        <v>343</v>
      </c>
      <c r="H1849" s="292" t="s">
        <v>8</v>
      </c>
      <c r="I1849" s="292">
        <v>0</v>
      </c>
      <c r="N1849" s="876">
        <v>70</v>
      </c>
      <c r="O1849" s="344"/>
      <c r="P1849" s="315"/>
      <c r="Q1849" s="315"/>
      <c r="R1849" s="903"/>
      <c r="S1849" s="738">
        <f t="shared" si="159"/>
        <v>150</v>
      </c>
      <c r="T1849" s="738" t="str">
        <f t="shared" si="160"/>
        <v>M</v>
      </c>
      <c r="U1849" s="738"/>
    </row>
    <row r="1850" spans="1:31" x14ac:dyDescent="0.2">
      <c r="A1850" s="294"/>
      <c r="B1850" s="293"/>
      <c r="C1850" s="673" t="s">
        <v>1378</v>
      </c>
      <c r="D1850" s="290">
        <v>535</v>
      </c>
      <c r="E1850" s="291" t="s">
        <v>8</v>
      </c>
      <c r="F1850" s="292">
        <v>10</v>
      </c>
      <c r="G1850" s="290">
        <v>538</v>
      </c>
      <c r="H1850" s="292" t="s">
        <v>8</v>
      </c>
      <c r="I1850" s="292">
        <v>0</v>
      </c>
      <c r="N1850" s="876">
        <v>80</v>
      </c>
      <c r="O1850" s="344"/>
      <c r="P1850" s="315"/>
      <c r="Q1850" s="315"/>
      <c r="R1850" s="903"/>
      <c r="S1850" s="738">
        <f t="shared" si="159"/>
        <v>150</v>
      </c>
      <c r="T1850" s="738" t="str">
        <f t="shared" si="160"/>
        <v>M</v>
      </c>
      <c r="U1850" s="738"/>
    </row>
    <row r="1851" spans="1:31" x14ac:dyDescent="0.2">
      <c r="A1851" s="899"/>
      <c r="B1851" s="353"/>
      <c r="C1851" s="354" t="s">
        <v>2</v>
      </c>
      <c r="D1851" s="355"/>
      <c r="E1851" s="352"/>
      <c r="F1851" s="356"/>
      <c r="G1851" s="355"/>
      <c r="H1851" s="356"/>
      <c r="I1851" s="356"/>
      <c r="J1851" s="353"/>
      <c r="K1851" s="357"/>
      <c r="L1851" s="358"/>
      <c r="M1851" s="359"/>
      <c r="N1851" s="360">
        <f>SUM(N1849:N1850)</f>
        <v>150</v>
      </c>
      <c r="O1851" s="361" t="str">
        <f>IF(MID(B1847,1,2)="LG",VLOOKUP(B1847,'Compos lug'!J:M,4,FALSE),IF(MID(B1847,1,1)="6",VLOOKUP(B1847,tranp.!$A$6:$K$51,3,FALSE),VLOOKUP(B1847,'DER 10-18'!$A$1:$I$1981,3,FALSE)))</f>
        <v>M</v>
      </c>
      <c r="P1851" s="362"/>
      <c r="Q1851" s="362"/>
      <c r="R1851" s="900"/>
      <c r="S1851" s="738">
        <f t="shared" si="159"/>
        <v>90</v>
      </c>
      <c r="T1851" s="738" t="str">
        <f t="shared" si="160"/>
        <v>Ud</v>
      </c>
      <c r="U1851" s="738"/>
    </row>
    <row r="1852" spans="1:31" x14ac:dyDescent="0.2">
      <c r="A1852" s="893" t="s">
        <v>156</v>
      </c>
      <c r="B1852" s="293"/>
      <c r="C1852" s="739" t="s">
        <v>1034</v>
      </c>
      <c r="H1852" s="292"/>
      <c r="N1852" s="314"/>
      <c r="O1852" s="344"/>
      <c r="P1852" s="315"/>
      <c r="Q1852" s="315"/>
      <c r="R1852" s="903"/>
      <c r="S1852" s="738">
        <f t="shared" si="159"/>
        <v>90</v>
      </c>
      <c r="T1852" s="738" t="str">
        <f t="shared" si="160"/>
        <v>Ud</v>
      </c>
      <c r="U1852" s="738"/>
    </row>
    <row r="1853" spans="1:31" x14ac:dyDescent="0.2">
      <c r="A1853" s="895" t="s">
        <v>281</v>
      </c>
      <c r="B1853" s="346">
        <v>42046</v>
      </c>
      <c r="C1853" s="347" t="str">
        <f>IF(MID(B1853,1,2)="LG",VLOOKUP(B1853,'Compos lug'!J:M,3,FALSE),IF(MID(B1853,1,1)="6",VLOOKUP(B1853,tranp.!$A$4:$K$19,11,FALSE)&amp;" -  XP="&amp;TEXT(T2382,"0.000")&amp;" / XR="&amp;TEXT(V2382,"0.000"),VLOOKUP(B1853,'DER 10-18'!$A$1:$I$1981,2,FALSE)))</f>
        <v>Cones para sinalização, fornecimento e colocação</v>
      </c>
      <c r="D1853" s="1059"/>
      <c r="E1853" s="1060"/>
      <c r="F1853" s="1061"/>
      <c r="G1853" s="870"/>
      <c r="H1853" s="871"/>
      <c r="I1853" s="406"/>
      <c r="J1853" s="349"/>
      <c r="K1853" s="884"/>
      <c r="L1853" s="876"/>
      <c r="M1853" s="885"/>
      <c r="N1853" s="876" t="str">
        <f>CONCATENATE("Total (",IF(MID(B1853,1,2)="LG",VLOOKUP(B1853,'Compos lug'!J:M,4,FALSE),IF(MID(B1853,1,1)="6","t",VLOOKUP(B1853,'DER 10-18'!$A$1:$I$1981,3,FALSE))),")")</f>
        <v>Total (Ud)</v>
      </c>
      <c r="O1853" s="351"/>
      <c r="P1853" s="880"/>
      <c r="Q1853" s="880"/>
      <c r="R1853" s="902"/>
      <c r="S1853" s="738">
        <f t="shared" si="159"/>
        <v>90</v>
      </c>
      <c r="T1853" s="738" t="str">
        <f t="shared" si="160"/>
        <v>Ud</v>
      </c>
      <c r="U1853" s="738"/>
    </row>
    <row r="1854" spans="1:31" x14ac:dyDescent="0.2">
      <c r="A1854" s="294"/>
      <c r="B1854" s="293"/>
      <c r="C1854" s="744" t="s">
        <v>1552</v>
      </c>
      <c r="N1854" s="876"/>
      <c r="R1854" s="912"/>
      <c r="S1854" s="738">
        <f t="shared" si="159"/>
        <v>90</v>
      </c>
      <c r="T1854" s="738" t="str">
        <f t="shared" si="160"/>
        <v>Ud</v>
      </c>
    </row>
    <row r="1855" spans="1:31" s="289" customFormat="1" x14ac:dyDescent="0.2">
      <c r="A1855" s="294"/>
      <c r="B1855" s="293"/>
      <c r="C1855" s="348" t="s">
        <v>999</v>
      </c>
      <c r="D1855" s="405"/>
      <c r="E1855" s="871"/>
      <c r="F1855" s="406"/>
      <c r="G1855" s="405"/>
      <c r="H1855" s="871"/>
      <c r="I1855" s="406"/>
      <c r="J1855" s="349"/>
      <c r="K1855" s="350"/>
      <c r="L1855" s="298"/>
      <c r="M1855" s="299"/>
      <c r="N1855" s="876">
        <v>60</v>
      </c>
      <c r="O1855" s="351"/>
      <c r="P1855" s="880"/>
      <c r="Q1855" s="880"/>
      <c r="R1855" s="898"/>
      <c r="S1855" s="738">
        <f t="shared" si="159"/>
        <v>90</v>
      </c>
      <c r="T1855" s="738" t="str">
        <f t="shared" si="160"/>
        <v>Ud</v>
      </c>
      <c r="U1855" s="738"/>
      <c r="W1855" s="712"/>
      <c r="X1855" s="712"/>
      <c r="Y1855" s="712"/>
      <c r="Z1855" s="712"/>
      <c r="AA1855" s="712"/>
    </row>
    <row r="1856" spans="1:31" x14ac:dyDescent="0.2">
      <c r="A1856" s="294"/>
      <c r="B1856" s="293"/>
      <c r="C1856" s="744" t="s">
        <v>1553</v>
      </c>
      <c r="N1856" s="876"/>
      <c r="R1856" s="912"/>
      <c r="S1856" s="738">
        <f t="shared" si="159"/>
        <v>90</v>
      </c>
      <c r="T1856" s="738" t="str">
        <f t="shared" si="160"/>
        <v>Ud</v>
      </c>
    </row>
    <row r="1857" spans="1:31" s="289" customFormat="1" x14ac:dyDescent="0.2">
      <c r="A1857" s="294"/>
      <c r="B1857" s="293"/>
      <c r="C1857" s="348" t="s">
        <v>999</v>
      </c>
      <c r="D1857" s="405"/>
      <c r="E1857" s="871"/>
      <c r="F1857" s="406"/>
      <c r="G1857" s="405"/>
      <c r="H1857" s="871"/>
      <c r="I1857" s="406"/>
      <c r="J1857" s="349"/>
      <c r="K1857" s="350"/>
      <c r="L1857" s="298"/>
      <c r="M1857" s="299"/>
      <c r="N1857" s="876">
        <v>30</v>
      </c>
      <c r="O1857" s="351"/>
      <c r="P1857" s="880"/>
      <c r="Q1857" s="880"/>
      <c r="R1857" s="898"/>
      <c r="S1857" s="738">
        <f t="shared" si="159"/>
        <v>90</v>
      </c>
      <c r="T1857" s="738" t="str">
        <f t="shared" si="160"/>
        <v>Ud</v>
      </c>
      <c r="U1857" s="771"/>
      <c r="V1857" s="777"/>
      <c r="W1857" s="777"/>
      <c r="X1857" s="777"/>
      <c r="Y1857" s="777"/>
      <c r="Z1857" s="777"/>
      <c r="AA1857" s="777"/>
      <c r="AB1857" s="777"/>
      <c r="AC1857" s="777"/>
      <c r="AD1857" s="777"/>
      <c r="AE1857" s="777"/>
    </row>
    <row r="1858" spans="1:31" x14ac:dyDescent="0.2">
      <c r="A1858" s="899"/>
      <c r="B1858" s="353"/>
      <c r="C1858" s="354" t="s">
        <v>2</v>
      </c>
      <c r="D1858" s="355"/>
      <c r="E1858" s="352"/>
      <c r="F1858" s="356"/>
      <c r="G1858" s="355"/>
      <c r="H1858" s="356"/>
      <c r="I1858" s="356"/>
      <c r="J1858" s="353"/>
      <c r="K1858" s="357"/>
      <c r="L1858" s="358"/>
      <c r="M1858" s="359"/>
      <c r="N1858" s="360">
        <f>+N1855+N1857</f>
        <v>90</v>
      </c>
      <c r="O1858" s="361" t="str">
        <f>IF(MID(B1853,1,2)="LG",VLOOKUP(B1853,'Compos lug'!J:M,4,FALSE),IF(MID(B1853,1,1)="6",VLOOKUP(B1853,tranp.!$A$6:$K$51,3,FALSE),VLOOKUP(B1853,'DER 10-18'!$A$1:$I$1981,3,FALSE)))</f>
        <v>Ud</v>
      </c>
      <c r="P1858" s="362"/>
      <c r="Q1858" s="362"/>
      <c r="R1858" s="900"/>
      <c r="S1858" s="738">
        <f t="shared" si="159"/>
        <v>70</v>
      </c>
      <c r="T1858" s="738" t="str">
        <f t="shared" si="160"/>
        <v>Ud</v>
      </c>
      <c r="U1858" s="738"/>
    </row>
    <row r="1859" spans="1:31" x14ac:dyDescent="0.2">
      <c r="A1859" s="294"/>
      <c r="B1859" s="293"/>
      <c r="C1859" s="343"/>
      <c r="H1859" s="292"/>
      <c r="N1859" s="314"/>
      <c r="O1859" s="344"/>
      <c r="P1859" s="315"/>
      <c r="Q1859" s="315"/>
      <c r="R1859" s="903"/>
      <c r="S1859" s="738">
        <f t="shared" si="159"/>
        <v>70</v>
      </c>
      <c r="T1859" s="738" t="str">
        <f t="shared" si="160"/>
        <v>Ud</v>
      </c>
      <c r="U1859" s="738"/>
    </row>
    <row r="1860" spans="1:31" x14ac:dyDescent="0.2">
      <c r="A1860" s="895" t="s">
        <v>282</v>
      </c>
      <c r="B1860" s="346">
        <v>42047</v>
      </c>
      <c r="C1860" s="347" t="str">
        <f>IF(MID(B1860,1,2)="LG",VLOOKUP(B1860,'Compos lug'!J:M,3,FALSE),IF(MID(B1860,1,1)="6",VLOOKUP(B1860,tranp.!$A$4:$K$19,11,FALSE)&amp;" -  XP="&amp;TEXT(T2386,"0.000")&amp;" / XR="&amp;TEXT(V2386,"0.000"),VLOOKUP(B1860,'DER 10-18'!$A$1:$I$1981,2,FALSE)))</f>
        <v>Elementos de madeira para sinalização - cavaletes</v>
      </c>
      <c r="D1860" s="1059"/>
      <c r="E1860" s="1060"/>
      <c r="F1860" s="1061"/>
      <c r="G1860" s="870"/>
      <c r="H1860" s="871"/>
      <c r="I1860" s="406"/>
      <c r="J1860" s="349"/>
      <c r="K1860" s="884"/>
      <c r="L1860" s="876"/>
      <c r="M1860" s="885"/>
      <c r="N1860" s="876" t="str">
        <f>CONCATENATE("Total (",IF(MID(B1860,1,2)="LG",VLOOKUP(B1860,'Compos lug'!J:M,4,FALSE),IF(MID(B1860,1,1)="6","t",VLOOKUP(B1860,'DER 10-18'!$A$1:$I$1981,3,FALSE))),")")</f>
        <v>Total (Ud)</v>
      </c>
      <c r="O1860" s="351"/>
      <c r="P1860" s="880"/>
      <c r="Q1860" s="880"/>
      <c r="R1860" s="902"/>
      <c r="S1860" s="738">
        <f t="shared" si="159"/>
        <v>70</v>
      </c>
      <c r="T1860" s="738" t="str">
        <f t="shared" si="160"/>
        <v>Ud</v>
      </c>
      <c r="U1860" s="738"/>
    </row>
    <row r="1861" spans="1:31" x14ac:dyDescent="0.2">
      <c r="A1861" s="294"/>
      <c r="B1861" s="293"/>
      <c r="C1861" s="744" t="s">
        <v>1552</v>
      </c>
      <c r="N1861" s="876"/>
      <c r="R1861" s="912"/>
      <c r="S1861" s="738">
        <f t="shared" si="159"/>
        <v>70</v>
      </c>
      <c r="T1861" s="738" t="str">
        <f t="shared" si="160"/>
        <v>Ud</v>
      </c>
    </row>
    <row r="1862" spans="1:31" s="289" customFormat="1" x14ac:dyDescent="0.2">
      <c r="A1862" s="294"/>
      <c r="B1862" s="293"/>
      <c r="C1862" s="348" t="s">
        <v>999</v>
      </c>
      <c r="D1862" s="405"/>
      <c r="E1862" s="871"/>
      <c r="F1862" s="406"/>
      <c r="G1862" s="405"/>
      <c r="H1862" s="871"/>
      <c r="I1862" s="406"/>
      <c r="J1862" s="349"/>
      <c r="K1862" s="350"/>
      <c r="L1862" s="298"/>
      <c r="M1862" s="299"/>
      <c r="N1862" s="876">
        <v>50</v>
      </c>
      <c r="O1862" s="351"/>
      <c r="P1862" s="880"/>
      <c r="Q1862" s="880"/>
      <c r="R1862" s="898"/>
      <c r="S1862" s="738">
        <f t="shared" si="159"/>
        <v>70</v>
      </c>
      <c r="T1862" s="738" t="str">
        <f t="shared" si="160"/>
        <v>Ud</v>
      </c>
      <c r="U1862" s="738"/>
      <c r="W1862" s="712"/>
      <c r="X1862" s="712"/>
      <c r="Y1862" s="712"/>
      <c r="Z1862" s="712"/>
      <c r="AA1862" s="712"/>
    </row>
    <row r="1863" spans="1:31" x14ac:dyDescent="0.2">
      <c r="A1863" s="294"/>
      <c r="B1863" s="293"/>
      <c r="C1863" s="744" t="s">
        <v>1553</v>
      </c>
      <c r="N1863" s="876"/>
      <c r="R1863" s="912"/>
      <c r="S1863" s="738">
        <f t="shared" si="159"/>
        <v>70</v>
      </c>
      <c r="T1863" s="738" t="str">
        <f t="shared" si="160"/>
        <v>Ud</v>
      </c>
    </row>
    <row r="1864" spans="1:31" s="289" customFormat="1" x14ac:dyDescent="0.2">
      <c r="A1864" s="294"/>
      <c r="B1864" s="293"/>
      <c r="C1864" s="348" t="s">
        <v>999</v>
      </c>
      <c r="D1864" s="405"/>
      <c r="E1864" s="871"/>
      <c r="F1864" s="406"/>
      <c r="G1864" s="405"/>
      <c r="H1864" s="871"/>
      <c r="I1864" s="406"/>
      <c r="J1864" s="349"/>
      <c r="K1864" s="350"/>
      <c r="L1864" s="298"/>
      <c r="M1864" s="299"/>
      <c r="N1864" s="876">
        <v>20</v>
      </c>
      <c r="O1864" s="351"/>
      <c r="P1864" s="880"/>
      <c r="Q1864" s="880"/>
      <c r="R1864" s="898"/>
      <c r="S1864" s="738">
        <f t="shared" si="159"/>
        <v>70</v>
      </c>
      <c r="T1864" s="738" t="str">
        <f t="shared" si="160"/>
        <v>Ud</v>
      </c>
      <c r="U1864" s="771"/>
      <c r="V1864" s="777"/>
      <c r="W1864" s="777"/>
      <c r="X1864" s="777"/>
      <c r="Y1864" s="777"/>
      <c r="Z1864" s="777"/>
      <c r="AA1864" s="777"/>
      <c r="AB1864" s="777"/>
      <c r="AC1864" s="777"/>
      <c r="AD1864" s="777"/>
      <c r="AE1864" s="777"/>
    </row>
    <row r="1865" spans="1:31" x14ac:dyDescent="0.2">
      <c r="A1865" s="899"/>
      <c r="B1865" s="353"/>
      <c r="C1865" s="354" t="s">
        <v>2</v>
      </c>
      <c r="D1865" s="355"/>
      <c r="E1865" s="352"/>
      <c r="F1865" s="356"/>
      <c r="G1865" s="355"/>
      <c r="H1865" s="356"/>
      <c r="I1865" s="356"/>
      <c r="J1865" s="353"/>
      <c r="K1865" s="357"/>
      <c r="L1865" s="358"/>
      <c r="M1865" s="359"/>
      <c r="N1865" s="360">
        <f>+N1862+N1864</f>
        <v>70</v>
      </c>
      <c r="O1865" s="361" t="str">
        <f>IF(MID(B1860,1,2)="LG",VLOOKUP(B1860,'Compos lug'!J:M,4,FALSE),IF(MID(B1860,1,1)="6",VLOOKUP(B1860,tranp.!$A$6:$K$51,3,FALSE),VLOOKUP(B1860,'DER 10-18'!$A$1:$I$1981,3,FALSE)))</f>
        <v>Ud</v>
      </c>
      <c r="P1865" s="362"/>
      <c r="Q1865" s="362"/>
      <c r="R1865" s="900"/>
      <c r="S1865" s="738">
        <f t="shared" si="159"/>
        <v>100</v>
      </c>
      <c r="T1865" s="738" t="str">
        <f t="shared" si="160"/>
        <v>M2</v>
      </c>
      <c r="U1865" s="738"/>
    </row>
    <row r="1866" spans="1:31" x14ac:dyDescent="0.2">
      <c r="A1866" s="294"/>
      <c r="B1866" s="293"/>
      <c r="C1866" s="343"/>
      <c r="H1866" s="292"/>
      <c r="N1866" s="314"/>
      <c r="O1866" s="344"/>
      <c r="P1866" s="315"/>
      <c r="Q1866" s="315"/>
      <c r="R1866" s="903"/>
      <c r="S1866" s="738">
        <f t="shared" si="159"/>
        <v>100</v>
      </c>
      <c r="T1866" s="738" t="str">
        <f t="shared" si="160"/>
        <v>M2</v>
      </c>
      <c r="U1866" s="738"/>
    </row>
    <row r="1867" spans="1:31" x14ac:dyDescent="0.2">
      <c r="A1867" s="895" t="s">
        <v>283</v>
      </c>
      <c r="B1867" s="346">
        <v>40937</v>
      </c>
      <c r="C1867" s="347" t="str">
        <f>IF(MID(B1867,1,2)="LG",VLOOKUP(B1867,'Compos lug'!J:M,3,FALSE),IF(MID(B1867,1,1)="6",VLOOKUP(B1867,tranp.!$A$4:$K$19,11,FALSE)&amp;" -  XP="&amp;TEXT(T2390,"0.000")&amp;" / XR="&amp;TEXT(V2390,"0.000"),VLOOKUP(B1867,'DER 10-18'!$A$1:$I$1981,2,FALSE)))</f>
        <v>Sinalização vertical com chapa em esmalte sintético</v>
      </c>
      <c r="D1867" s="1059"/>
      <c r="E1867" s="1060"/>
      <c r="F1867" s="1061"/>
      <c r="G1867" s="870"/>
      <c r="H1867" s="871"/>
      <c r="I1867" s="406"/>
      <c r="J1867" s="349"/>
      <c r="K1867" s="876"/>
      <c r="L1867" s="885"/>
      <c r="M1867" s="876"/>
      <c r="N1867" s="876" t="str">
        <f>CONCATENATE("Total (",IF(MID(B1867,1,2)="LG",VLOOKUP(B1867,'Compos lug'!J:M,4,FALSE),IF(MID(B1867,1,1)="6","t",VLOOKUP(B1867,'DER 10-18'!$A$1:$I$1981,3,FALSE))),")")</f>
        <v>Total (M2)</v>
      </c>
      <c r="O1867" s="351"/>
      <c r="P1867" s="880"/>
      <c r="Q1867" s="880"/>
      <c r="R1867" s="902"/>
      <c r="S1867" s="738">
        <f t="shared" si="159"/>
        <v>100</v>
      </c>
      <c r="T1867" s="738" t="str">
        <f t="shared" si="160"/>
        <v>M2</v>
      </c>
      <c r="U1867" s="738"/>
    </row>
    <row r="1868" spans="1:31" x14ac:dyDescent="0.2">
      <c r="A1868" s="294"/>
      <c r="B1868" s="293"/>
      <c r="C1868" s="744" t="s">
        <v>1552</v>
      </c>
      <c r="N1868" s="876"/>
      <c r="R1868" s="912"/>
      <c r="S1868" s="738">
        <f t="shared" si="159"/>
        <v>100</v>
      </c>
      <c r="T1868" s="738" t="str">
        <f t="shared" si="160"/>
        <v>M2</v>
      </c>
    </row>
    <row r="1869" spans="1:31" s="289" customFormat="1" x14ac:dyDescent="0.2">
      <c r="A1869" s="294"/>
      <c r="B1869" s="293"/>
      <c r="C1869" s="348" t="s">
        <v>999</v>
      </c>
      <c r="D1869" s="405"/>
      <c r="E1869" s="871"/>
      <c r="F1869" s="406"/>
      <c r="G1869" s="405"/>
      <c r="H1869" s="871"/>
      <c r="I1869" s="406"/>
      <c r="J1869" s="349"/>
      <c r="K1869" s="350"/>
      <c r="L1869" s="298"/>
      <c r="M1869" s="299"/>
      <c r="N1869" s="876">
        <v>70</v>
      </c>
      <c r="O1869" s="351"/>
      <c r="P1869" s="880"/>
      <c r="Q1869" s="880"/>
      <c r="R1869" s="898"/>
      <c r="S1869" s="738">
        <f t="shared" si="159"/>
        <v>100</v>
      </c>
      <c r="T1869" s="738" t="str">
        <f t="shared" si="160"/>
        <v>M2</v>
      </c>
      <c r="U1869" s="738"/>
      <c r="W1869" s="712"/>
      <c r="X1869" s="712"/>
      <c r="Y1869" s="712"/>
      <c r="Z1869" s="712"/>
      <c r="AA1869" s="712"/>
    </row>
    <row r="1870" spans="1:31" x14ac:dyDescent="0.2">
      <c r="A1870" s="294"/>
      <c r="B1870" s="293"/>
      <c r="C1870" s="744" t="s">
        <v>1553</v>
      </c>
      <c r="N1870" s="876"/>
      <c r="R1870" s="912"/>
      <c r="S1870" s="738">
        <f t="shared" si="159"/>
        <v>100</v>
      </c>
      <c r="T1870" s="738" t="str">
        <f t="shared" si="160"/>
        <v>M2</v>
      </c>
    </row>
    <row r="1871" spans="1:31" s="289" customFormat="1" x14ac:dyDescent="0.2">
      <c r="A1871" s="294"/>
      <c r="B1871" s="293"/>
      <c r="C1871" s="348" t="s">
        <v>999</v>
      </c>
      <c r="D1871" s="405"/>
      <c r="E1871" s="871"/>
      <c r="F1871" s="406"/>
      <c r="G1871" s="405"/>
      <c r="H1871" s="871"/>
      <c r="I1871" s="406"/>
      <c r="J1871" s="349"/>
      <c r="K1871" s="350"/>
      <c r="L1871" s="298"/>
      <c r="M1871" s="299"/>
      <c r="N1871" s="876">
        <v>30</v>
      </c>
      <c r="O1871" s="351"/>
      <c r="P1871" s="880"/>
      <c r="Q1871" s="880"/>
      <c r="R1871" s="898"/>
      <c r="S1871" s="738">
        <f t="shared" si="159"/>
        <v>100</v>
      </c>
      <c r="T1871" s="738" t="str">
        <f t="shared" si="160"/>
        <v>M2</v>
      </c>
      <c r="U1871" s="771"/>
      <c r="V1871" s="777"/>
      <c r="W1871" s="777"/>
      <c r="X1871" s="777"/>
      <c r="Y1871" s="777"/>
      <c r="Z1871" s="777"/>
      <c r="AA1871" s="777"/>
      <c r="AB1871" s="777"/>
      <c r="AC1871" s="777"/>
      <c r="AD1871" s="777"/>
      <c r="AE1871" s="777"/>
    </row>
    <row r="1872" spans="1:31" x14ac:dyDescent="0.2">
      <c r="A1872" s="899"/>
      <c r="B1872" s="353"/>
      <c r="C1872" s="354" t="s">
        <v>2</v>
      </c>
      <c r="D1872" s="355"/>
      <c r="E1872" s="352"/>
      <c r="F1872" s="356"/>
      <c r="G1872" s="355"/>
      <c r="H1872" s="356"/>
      <c r="I1872" s="356"/>
      <c r="J1872" s="353"/>
      <c r="K1872" s="357"/>
      <c r="L1872" s="358"/>
      <c r="M1872" s="359"/>
      <c r="N1872" s="360">
        <f>+N1869+N1871</f>
        <v>100</v>
      </c>
      <c r="O1872" s="361" t="str">
        <f>IF(MID(B1867,1,2)="LG",VLOOKUP(B1867,'Compos lug'!J:M,4,FALSE),IF(MID(B1867,1,1)="6",VLOOKUP(B1867,tranp.!$A$6:$K$51,3,FALSE),VLOOKUP(B1867,'DER 10-18'!$A$1:$I$1981,3,FALSE)))</f>
        <v>M2</v>
      </c>
      <c r="P1872" s="362"/>
      <c r="Q1872" s="362"/>
      <c r="R1872" s="900"/>
      <c r="S1872" s="738">
        <f t="shared" si="159"/>
        <v>93928</v>
      </c>
      <c r="T1872" s="738" t="str">
        <f t="shared" si="160"/>
        <v>M2</v>
      </c>
      <c r="U1872" s="738"/>
    </row>
    <row r="1873" spans="1:31" x14ac:dyDescent="0.2">
      <c r="A1873" s="906">
        <v>7</v>
      </c>
      <c r="B1873" s="394"/>
      <c r="C1873" s="395" t="s">
        <v>1080</v>
      </c>
      <c r="D1873" s="396"/>
      <c r="E1873" s="397"/>
      <c r="F1873" s="398"/>
      <c r="G1873" s="396"/>
      <c r="H1873" s="397"/>
      <c r="I1873" s="398"/>
      <c r="J1873" s="399"/>
      <c r="K1873" s="400"/>
      <c r="L1873" s="401"/>
      <c r="M1873" s="402"/>
      <c r="N1873" s="401"/>
      <c r="O1873" s="399"/>
      <c r="P1873" s="403"/>
      <c r="Q1873" s="403"/>
      <c r="R1873" s="907"/>
      <c r="S1873" s="738">
        <f t="shared" si="159"/>
        <v>93928</v>
      </c>
      <c r="T1873" s="738" t="str">
        <f t="shared" si="160"/>
        <v>M2</v>
      </c>
      <c r="U1873" s="738"/>
    </row>
    <row r="1874" spans="1:31" s="319" customFormat="1" x14ac:dyDescent="0.2">
      <c r="A1874" s="895" t="s">
        <v>241</v>
      </c>
      <c r="B1874" s="346">
        <v>42200</v>
      </c>
      <c r="C1874" s="347" t="str">
        <f>IF(MID(B1874,1,2)="LG",VLOOKUP(B1874,'Compos lug'!J:M,3,FALSE),IF(MID(B1874,1,1)="6",VLOOKUP(B1874,tranp.!$A$4:$K$19,11,FALSE)&amp;" -  XP="&amp;TEXT(#REF!,"0.000")&amp;" / XR="&amp;TEXT(#REF!,"0.000"),VLOOKUP(B1874,'DER 10-18'!$A$1:$I$1981,2,FALSE)))</f>
        <v>Hidrossemeadura simples em taludes</v>
      </c>
      <c r="D1874" s="1059" t="s">
        <v>7</v>
      </c>
      <c r="E1874" s="1060"/>
      <c r="F1874" s="1061"/>
      <c r="G1874" s="1059"/>
      <c r="H1874" s="1060"/>
      <c r="I1874" s="1061"/>
      <c r="J1874" s="349" t="s">
        <v>989</v>
      </c>
      <c r="K1874" s="884"/>
      <c r="L1874" s="298"/>
      <c r="M1874" s="299"/>
      <c r="N1874" s="876" t="str">
        <f>CONCATENATE("Total (",IF(MID(B1874,1,2)="LG",VLOOKUP(B1874,'Compos lug'!J:M,4,FALSE),IF(MID(B1874,1,1)="6","t",VLOOKUP(B1874,'DER 10-18'!$A$1:$I$1981,3,FALSE))),")")</f>
        <v>Total (M2)</v>
      </c>
      <c r="O1874" s="351"/>
      <c r="P1874" s="1062"/>
      <c r="Q1874" s="1063"/>
      <c r="R1874" s="902"/>
      <c r="S1874" s="738">
        <f t="shared" si="159"/>
        <v>93928</v>
      </c>
      <c r="T1874" s="738" t="str">
        <f t="shared" si="160"/>
        <v>M2</v>
      </c>
      <c r="U1874" s="738"/>
      <c r="W1874" s="717"/>
      <c r="X1874" s="717"/>
      <c r="Y1874" s="717"/>
      <c r="Z1874" s="717"/>
      <c r="AA1874" s="717"/>
    </row>
    <row r="1875" spans="1:31" x14ac:dyDescent="0.2">
      <c r="A1875" s="294"/>
      <c r="B1875" s="293"/>
      <c r="C1875" s="744" t="s">
        <v>1552</v>
      </c>
      <c r="N1875" s="876"/>
      <c r="R1875" s="912"/>
      <c r="S1875" s="738">
        <f t="shared" si="159"/>
        <v>93928</v>
      </c>
      <c r="T1875" s="738" t="str">
        <f t="shared" si="160"/>
        <v>M2</v>
      </c>
    </row>
    <row r="1876" spans="1:31" s="319" customFormat="1" x14ac:dyDescent="0.2">
      <c r="A1876" s="895"/>
      <c r="B1876" s="346"/>
      <c r="C1876" s="348" t="s">
        <v>1280</v>
      </c>
      <c r="D1876" s="870"/>
      <c r="E1876" s="871"/>
      <c r="F1876" s="871"/>
      <c r="G1876" s="870"/>
      <c r="H1876" s="871"/>
      <c r="I1876" s="871"/>
      <c r="J1876" s="349"/>
      <c r="K1876" s="884"/>
      <c r="L1876" s="298"/>
      <c r="M1876" s="299"/>
      <c r="N1876" s="779">
        <v>30720</v>
      </c>
      <c r="O1876" s="351"/>
      <c r="P1876" s="880"/>
      <c r="Q1876" s="880"/>
      <c r="R1876" s="902"/>
      <c r="S1876" s="738">
        <f t="shared" si="159"/>
        <v>93928</v>
      </c>
      <c r="T1876" s="738" t="str">
        <f t="shared" si="160"/>
        <v>M2</v>
      </c>
      <c r="U1876" s="738"/>
      <c r="W1876" s="717"/>
      <c r="X1876" s="717"/>
      <c r="Y1876" s="717"/>
      <c r="Z1876" s="717"/>
      <c r="AA1876" s="717"/>
    </row>
    <row r="1877" spans="1:31" s="319" customFormat="1" x14ac:dyDescent="0.2">
      <c r="A1877" s="895"/>
      <c r="B1877" s="346"/>
      <c r="C1877" s="348" t="s">
        <v>1281</v>
      </c>
      <c r="D1877" s="870"/>
      <c r="E1877" s="871"/>
      <c r="F1877" s="871"/>
      <c r="G1877" s="870"/>
      <c r="H1877" s="871"/>
      <c r="I1877" s="871"/>
      <c r="J1877" s="349"/>
      <c r="K1877" s="884"/>
      <c r="L1877" s="298"/>
      <c r="M1877" s="299"/>
      <c r="N1877" s="779">
        <v>29661</v>
      </c>
      <c r="O1877" s="351"/>
      <c r="P1877" s="880"/>
      <c r="Q1877" s="880"/>
      <c r="R1877" s="902"/>
      <c r="S1877" s="738">
        <f t="shared" si="159"/>
        <v>93928</v>
      </c>
      <c r="T1877" s="738" t="str">
        <f t="shared" si="160"/>
        <v>M2</v>
      </c>
      <c r="U1877" s="738"/>
      <c r="W1877" s="717"/>
      <c r="X1877" s="717"/>
      <c r="Y1877" s="717"/>
      <c r="Z1877" s="717"/>
      <c r="AA1877" s="717"/>
    </row>
    <row r="1878" spans="1:31" s="319" customFormat="1" x14ac:dyDescent="0.2">
      <c r="A1878" s="895"/>
      <c r="B1878" s="346"/>
      <c r="C1878" s="348" t="s">
        <v>1366</v>
      </c>
      <c r="D1878" s="870"/>
      <c r="E1878" s="871"/>
      <c r="F1878" s="871"/>
      <c r="G1878" s="870"/>
      <c r="H1878" s="871"/>
      <c r="I1878" s="871"/>
      <c r="J1878" s="349"/>
      <c r="K1878" s="884"/>
      <c r="L1878" s="298"/>
      <c r="M1878" s="299"/>
      <c r="N1878" s="779">
        <v>2650</v>
      </c>
      <c r="O1878" s="351"/>
      <c r="P1878" s="880"/>
      <c r="Q1878" s="880"/>
      <c r="R1878" s="902"/>
      <c r="S1878" s="738">
        <f t="shared" si="159"/>
        <v>93928</v>
      </c>
      <c r="T1878" s="738" t="str">
        <f t="shared" si="160"/>
        <v>M2</v>
      </c>
      <c r="U1878" s="738"/>
      <c r="W1878" s="717"/>
      <c r="X1878" s="717"/>
      <c r="Y1878" s="717"/>
      <c r="Z1878" s="717"/>
      <c r="AA1878" s="717"/>
    </row>
    <row r="1879" spans="1:31" s="319" customFormat="1" x14ac:dyDescent="0.2">
      <c r="A1879" s="895"/>
      <c r="B1879" s="346"/>
      <c r="C1879" s="348" t="s">
        <v>1367</v>
      </c>
      <c r="D1879" s="870"/>
      <c r="E1879" s="871"/>
      <c r="F1879" s="871"/>
      <c r="G1879" s="870"/>
      <c r="H1879" s="871"/>
      <c r="I1879" s="871"/>
      <c r="J1879" s="349"/>
      <c r="K1879" s="884"/>
      <c r="L1879" s="298"/>
      <c r="M1879" s="299"/>
      <c r="N1879" s="779">
        <v>1300</v>
      </c>
      <c r="O1879" s="351"/>
      <c r="P1879" s="880"/>
      <c r="Q1879" s="880"/>
      <c r="R1879" s="902"/>
      <c r="S1879" s="738">
        <f t="shared" si="159"/>
        <v>93928</v>
      </c>
      <c r="T1879" s="738" t="str">
        <f t="shared" si="160"/>
        <v>M2</v>
      </c>
      <c r="U1879" s="738"/>
      <c r="W1879" s="717"/>
      <c r="X1879" s="717"/>
      <c r="Y1879" s="717"/>
      <c r="Z1879" s="717"/>
      <c r="AA1879" s="717"/>
    </row>
    <row r="1880" spans="1:31" s="319" customFormat="1" x14ac:dyDescent="0.2">
      <c r="A1880" s="895"/>
      <c r="B1880" s="346"/>
      <c r="C1880" s="348" t="s">
        <v>1369</v>
      </c>
      <c r="D1880" s="870"/>
      <c r="E1880" s="871"/>
      <c r="F1880" s="871"/>
      <c r="G1880" s="870"/>
      <c r="H1880" s="871"/>
      <c r="I1880" s="871"/>
      <c r="J1880" s="349"/>
      <c r="K1880" s="884"/>
      <c r="L1880" s="298"/>
      <c r="M1880" s="299"/>
      <c r="N1880" s="779">
        <v>17637</v>
      </c>
      <c r="O1880" s="351"/>
      <c r="P1880" s="880"/>
      <c r="Q1880" s="880"/>
      <c r="R1880" s="902"/>
      <c r="S1880" s="738">
        <f t="shared" si="159"/>
        <v>93928</v>
      </c>
      <c r="T1880" s="738" t="str">
        <f t="shared" si="160"/>
        <v>M2</v>
      </c>
      <c r="U1880" s="738"/>
      <c r="W1880" s="717"/>
      <c r="X1880" s="717"/>
      <c r="Y1880" s="717"/>
      <c r="Z1880" s="717"/>
      <c r="AA1880" s="717"/>
    </row>
    <row r="1881" spans="1:31" s="319" customFormat="1" x14ac:dyDescent="0.2">
      <c r="A1881" s="895"/>
      <c r="B1881" s="346"/>
      <c r="C1881" s="348" t="s">
        <v>1368</v>
      </c>
      <c r="D1881" s="870"/>
      <c r="E1881" s="871"/>
      <c r="F1881" s="871"/>
      <c r="G1881" s="870"/>
      <c r="H1881" s="871"/>
      <c r="I1881" s="871"/>
      <c r="J1881" s="349"/>
      <c r="K1881" s="884"/>
      <c r="L1881" s="298"/>
      <c r="M1881" s="299"/>
      <c r="N1881" s="779">
        <v>2300</v>
      </c>
      <c r="O1881" s="351"/>
      <c r="P1881" s="880"/>
      <c r="Q1881" s="880"/>
      <c r="R1881" s="902"/>
      <c r="S1881" s="738">
        <f t="shared" si="159"/>
        <v>93928</v>
      </c>
      <c r="T1881" s="738" t="str">
        <f t="shared" si="160"/>
        <v>M2</v>
      </c>
      <c r="U1881" s="738"/>
      <c r="W1881" s="717"/>
      <c r="X1881" s="717"/>
      <c r="Y1881" s="717"/>
      <c r="Z1881" s="717"/>
      <c r="AA1881" s="717"/>
    </row>
    <row r="1882" spans="1:31" s="319" customFormat="1" x14ac:dyDescent="0.2">
      <c r="A1882" s="895"/>
      <c r="B1882" s="346"/>
      <c r="C1882" s="744" t="s">
        <v>1553</v>
      </c>
      <c r="D1882" s="870"/>
      <c r="E1882" s="871"/>
      <c r="F1882" s="871"/>
      <c r="G1882" s="870"/>
      <c r="H1882" s="871"/>
      <c r="I1882" s="871"/>
      <c r="J1882" s="349"/>
      <c r="K1882" s="884"/>
      <c r="L1882" s="298"/>
      <c r="M1882" s="299"/>
      <c r="N1882" s="779"/>
      <c r="O1882" s="351"/>
      <c r="P1882" s="880"/>
      <c r="Q1882" s="880"/>
      <c r="R1882" s="902"/>
      <c r="S1882" s="738">
        <f t="shared" si="159"/>
        <v>93928</v>
      </c>
      <c r="T1882" s="738" t="str">
        <f t="shared" si="160"/>
        <v>M2</v>
      </c>
      <c r="U1882" s="738"/>
      <c r="W1882" s="717"/>
      <c r="X1882" s="717"/>
      <c r="Y1882" s="717"/>
      <c r="Z1882" s="717"/>
      <c r="AA1882" s="717"/>
    </row>
    <row r="1883" spans="1:31" x14ac:dyDescent="0.2">
      <c r="A1883" s="294"/>
      <c r="B1883" s="293"/>
      <c r="C1883" s="348" t="s">
        <v>1555</v>
      </c>
      <c r="D1883" s="405"/>
      <c r="E1883" s="871"/>
      <c r="F1883" s="406"/>
      <c r="G1883" s="405"/>
      <c r="H1883" s="871"/>
      <c r="I1883" s="406"/>
      <c r="J1883" s="349"/>
      <c r="K1883" s="350"/>
      <c r="N1883" s="876">
        <v>1200</v>
      </c>
      <c r="O1883" s="351"/>
      <c r="P1883" s="882"/>
      <c r="Q1883" s="880"/>
      <c r="R1883" s="898"/>
      <c r="S1883" s="738">
        <f t="shared" si="159"/>
        <v>93928</v>
      </c>
      <c r="T1883" s="738" t="str">
        <f t="shared" si="160"/>
        <v>M2</v>
      </c>
      <c r="U1883" s="771"/>
      <c r="V1883" s="772"/>
      <c r="W1883" s="772"/>
      <c r="X1883" s="772"/>
      <c r="Y1883" s="772"/>
      <c r="Z1883" s="772"/>
      <c r="AA1883" s="772"/>
      <c r="AB1883" s="772"/>
      <c r="AC1883" s="772"/>
      <c r="AD1883" s="772"/>
      <c r="AE1883" s="772"/>
    </row>
    <row r="1884" spans="1:31" x14ac:dyDescent="0.2">
      <c r="A1884" s="294"/>
      <c r="B1884" s="293"/>
      <c r="C1884" s="348" t="s">
        <v>1596</v>
      </c>
      <c r="D1884" s="405"/>
      <c r="E1884" s="871"/>
      <c r="F1884" s="406"/>
      <c r="G1884" s="405"/>
      <c r="H1884" s="871"/>
      <c r="I1884" s="406"/>
      <c r="J1884" s="349"/>
      <c r="K1884" s="350"/>
      <c r="N1884" s="876">
        <v>3180</v>
      </c>
      <c r="O1884" s="351"/>
      <c r="P1884" s="882"/>
      <c r="Q1884" s="880"/>
      <c r="R1884" s="898"/>
      <c r="S1884" s="738">
        <f t="shared" si="159"/>
        <v>93928</v>
      </c>
      <c r="T1884" s="738" t="str">
        <f t="shared" si="160"/>
        <v>M2</v>
      </c>
      <c r="U1884" s="771"/>
      <c r="V1884" s="772"/>
      <c r="W1884" s="772"/>
      <c r="X1884" s="772"/>
      <c r="Y1884" s="772"/>
      <c r="Z1884" s="772"/>
      <c r="AA1884" s="772"/>
      <c r="AB1884" s="772"/>
      <c r="AC1884" s="772"/>
      <c r="AD1884" s="772"/>
      <c r="AE1884" s="772"/>
    </row>
    <row r="1885" spans="1:31" x14ac:dyDescent="0.2">
      <c r="A1885" s="294"/>
      <c r="B1885" s="293"/>
      <c r="C1885" s="348" t="s">
        <v>1597</v>
      </c>
      <c r="D1885" s="405"/>
      <c r="E1885" s="871"/>
      <c r="F1885" s="406"/>
      <c r="G1885" s="405"/>
      <c r="H1885" s="871"/>
      <c r="I1885" s="406"/>
      <c r="J1885" s="349"/>
      <c r="K1885" s="350"/>
      <c r="N1885" s="876">
        <v>5280</v>
      </c>
      <c r="O1885" s="351"/>
      <c r="P1885" s="882"/>
      <c r="Q1885" s="880"/>
      <c r="R1885" s="898"/>
      <c r="S1885" s="738">
        <f t="shared" si="159"/>
        <v>93928</v>
      </c>
      <c r="T1885" s="738" t="str">
        <f t="shared" si="160"/>
        <v>M2</v>
      </c>
      <c r="U1885" s="771"/>
      <c r="V1885" s="772"/>
      <c r="W1885" s="772"/>
      <c r="X1885" s="772"/>
      <c r="Y1885" s="772"/>
      <c r="Z1885" s="772"/>
      <c r="AA1885" s="772"/>
      <c r="AB1885" s="772"/>
      <c r="AC1885" s="772"/>
      <c r="AD1885" s="772"/>
      <c r="AE1885" s="772"/>
    </row>
    <row r="1886" spans="1:31" x14ac:dyDescent="0.2">
      <c r="A1886" s="899"/>
      <c r="B1886" s="353"/>
      <c r="C1886" s="354" t="s">
        <v>2</v>
      </c>
      <c r="D1886" s="355"/>
      <c r="E1886" s="352"/>
      <c r="F1886" s="356"/>
      <c r="G1886" s="355"/>
      <c r="H1886" s="356"/>
      <c r="I1886" s="356"/>
      <c r="J1886" s="353"/>
      <c r="K1886" s="357"/>
      <c r="L1886" s="358"/>
      <c r="M1886" s="359"/>
      <c r="N1886" s="360">
        <f>SUM(N1876:N1885)</f>
        <v>93928</v>
      </c>
      <c r="O1886" s="361" t="str">
        <f>IF(MID(B1874,1,2)="LG",VLOOKUP(B1874,'Compos lug'!J:M,4,FALSE),IF(MID(B1874,1,1)="6",VLOOKUP(B1874,tranp.!$A$6:$K$51,3,FALSE),VLOOKUP(B1874,'DER 10-18'!$A$1:$I$1981,3,FALSE)))</f>
        <v>M2</v>
      </c>
      <c r="P1886" s="362"/>
      <c r="Q1886" s="362"/>
      <c r="R1886" s="900"/>
      <c r="S1886" s="738">
        <f t="shared" si="159"/>
        <v>1700</v>
      </c>
      <c r="T1886" s="738" t="str">
        <f t="shared" si="160"/>
        <v>M</v>
      </c>
      <c r="U1886" s="738"/>
    </row>
    <row r="1887" spans="1:31" x14ac:dyDescent="0.2">
      <c r="A1887" s="294"/>
      <c r="B1887" s="293"/>
      <c r="C1887" s="343"/>
      <c r="H1887" s="292"/>
      <c r="N1887" s="314"/>
      <c r="O1887" s="344"/>
      <c r="P1887" s="315"/>
      <c r="Q1887" s="315"/>
      <c r="R1887" s="903"/>
      <c r="S1887" s="738">
        <f t="shared" si="159"/>
        <v>1700</v>
      </c>
      <c r="T1887" s="738" t="str">
        <f t="shared" si="160"/>
        <v>M</v>
      </c>
      <c r="U1887" s="738"/>
    </row>
    <row r="1888" spans="1:31" s="319" customFormat="1" ht="45.75" customHeight="1" x14ac:dyDescent="0.2">
      <c r="A1888" s="895" t="s">
        <v>242</v>
      </c>
      <c r="B1888" s="346">
        <v>42041</v>
      </c>
      <c r="C1888" s="347" t="str">
        <f>IF(MID(B1888,1,2)="LG",VLOOKUP(B1888,'Compos lug'!J:M,3,FALSE),IF(MID(B1888,1,1)="6",VLOOKUP(B1888,tranp.!$A$4:$K$19,11,FALSE)&amp;" -  XP="&amp;TEXT(#REF!,"0.000")&amp;" / XR="&amp;TEXT(#REF!,"0.000"),VLOOKUP(B1888,'DER 10-18'!$A$1:$I$1981,2,FALSE)))</f>
        <v>Barreira de Siltagem com escoras de eucalipto, diâm. 0,10m e a altura 1,60m, espaçadas a cada 2,0 m, 1 reaproveitamento</v>
      </c>
      <c r="D1888" s="1059" t="s">
        <v>7</v>
      </c>
      <c r="E1888" s="1060"/>
      <c r="F1888" s="1061"/>
      <c r="G1888" s="1059"/>
      <c r="H1888" s="1060"/>
      <c r="I1888" s="1061"/>
      <c r="J1888" s="349" t="s">
        <v>989</v>
      </c>
      <c r="K1888" s="884"/>
      <c r="L1888" s="298"/>
      <c r="M1888" s="299"/>
      <c r="N1888" s="876" t="str">
        <f>CONCATENATE("Total (",IF(MID(B1888,1,2)="LG",VLOOKUP(B1888,'Compos lug'!J:M,4,FALSE),IF(MID(B1888,1,1)="6","t",VLOOKUP(B1888,'DER 10-18'!$A$1:$I$1981,3,FALSE))),")")</f>
        <v>Total (M)</v>
      </c>
      <c r="O1888" s="351"/>
      <c r="P1888" s="1062"/>
      <c r="Q1888" s="1063"/>
      <c r="R1888" s="902"/>
      <c r="S1888" s="738">
        <f t="shared" si="159"/>
        <v>1700</v>
      </c>
      <c r="T1888" s="738" t="str">
        <f t="shared" si="160"/>
        <v>M</v>
      </c>
      <c r="U1888" s="738"/>
      <c r="W1888" s="717"/>
      <c r="X1888" s="717"/>
      <c r="Y1888" s="717"/>
      <c r="Z1888" s="717"/>
      <c r="AA1888" s="717"/>
    </row>
    <row r="1889" spans="1:31" x14ac:dyDescent="0.2">
      <c r="A1889" s="294"/>
      <c r="B1889" s="293"/>
      <c r="C1889" s="744" t="s">
        <v>1552</v>
      </c>
      <c r="N1889" s="876"/>
      <c r="R1889" s="912"/>
      <c r="S1889" s="738">
        <f t="shared" si="159"/>
        <v>1700</v>
      </c>
      <c r="T1889" s="738" t="str">
        <f t="shared" si="160"/>
        <v>M</v>
      </c>
    </row>
    <row r="1890" spans="1:31" s="319" customFormat="1" x14ac:dyDescent="0.2">
      <c r="A1890" s="895"/>
      <c r="B1890" s="346"/>
      <c r="C1890" s="348" t="s">
        <v>1279</v>
      </c>
      <c r="D1890" s="870"/>
      <c r="E1890" s="871"/>
      <c r="F1890" s="871"/>
      <c r="G1890" s="870"/>
      <c r="H1890" s="871"/>
      <c r="I1890" s="871"/>
      <c r="J1890" s="349"/>
      <c r="K1890" s="884"/>
      <c r="L1890" s="298"/>
      <c r="M1890" s="299"/>
      <c r="N1890" s="876">
        <v>400</v>
      </c>
      <c r="O1890" s="351"/>
      <c r="P1890" s="880"/>
      <c r="Q1890" s="880"/>
      <c r="R1890" s="902"/>
      <c r="S1890" s="738">
        <f t="shared" si="159"/>
        <v>1700</v>
      </c>
      <c r="T1890" s="738" t="str">
        <f t="shared" si="160"/>
        <v>M</v>
      </c>
      <c r="U1890" s="738"/>
      <c r="W1890" s="717"/>
      <c r="X1890" s="717"/>
      <c r="Y1890" s="717"/>
      <c r="Z1890" s="717"/>
      <c r="AA1890" s="717"/>
    </row>
    <row r="1891" spans="1:31" s="319" customFormat="1" x14ac:dyDescent="0.2">
      <c r="A1891" s="895"/>
      <c r="B1891" s="346"/>
      <c r="C1891" s="744" t="s">
        <v>1553</v>
      </c>
      <c r="D1891" s="870"/>
      <c r="E1891" s="871"/>
      <c r="F1891" s="871"/>
      <c r="G1891" s="870"/>
      <c r="H1891" s="871"/>
      <c r="I1891" s="871"/>
      <c r="J1891" s="349"/>
      <c r="K1891" s="884"/>
      <c r="L1891" s="298"/>
      <c r="M1891" s="299"/>
      <c r="N1891" s="876"/>
      <c r="O1891" s="351"/>
      <c r="P1891" s="880"/>
      <c r="Q1891" s="880"/>
      <c r="R1891" s="902"/>
      <c r="S1891" s="738">
        <f t="shared" si="159"/>
        <v>1700</v>
      </c>
      <c r="T1891" s="738" t="str">
        <f t="shared" si="160"/>
        <v>M</v>
      </c>
      <c r="U1891" s="738"/>
      <c r="W1891" s="717"/>
      <c r="X1891" s="717"/>
      <c r="Y1891" s="717"/>
      <c r="Z1891" s="717"/>
      <c r="AA1891" s="717"/>
    </row>
    <row r="1892" spans="1:31" x14ac:dyDescent="0.2">
      <c r="A1892" s="294"/>
      <c r="B1892" s="293"/>
      <c r="C1892" s="348" t="s">
        <v>1555</v>
      </c>
      <c r="D1892" s="405"/>
      <c r="E1892" s="871"/>
      <c r="F1892" s="406"/>
      <c r="G1892" s="405"/>
      <c r="H1892" s="871"/>
      <c r="I1892" s="406"/>
      <c r="J1892" s="349"/>
      <c r="K1892" s="350"/>
      <c r="N1892" s="876">
        <v>600</v>
      </c>
      <c r="O1892" s="351"/>
      <c r="P1892" s="882"/>
      <c r="Q1892" s="880"/>
      <c r="R1892" s="898"/>
      <c r="S1892" s="738">
        <f t="shared" si="159"/>
        <v>1700</v>
      </c>
      <c r="T1892" s="738" t="str">
        <f t="shared" si="160"/>
        <v>M</v>
      </c>
      <c r="U1892" s="771"/>
      <c r="V1892" s="772"/>
      <c r="W1892" s="772"/>
      <c r="X1892" s="772"/>
      <c r="Y1892" s="772"/>
      <c r="Z1892" s="772"/>
      <c r="AA1892" s="772"/>
      <c r="AB1892" s="772"/>
      <c r="AC1892" s="772"/>
      <c r="AD1892" s="772"/>
      <c r="AE1892" s="772"/>
    </row>
    <row r="1893" spans="1:31" x14ac:dyDescent="0.2">
      <c r="A1893" s="294"/>
      <c r="B1893" s="293"/>
      <c r="C1893" s="348" t="s">
        <v>1348</v>
      </c>
      <c r="D1893" s="405"/>
      <c r="E1893" s="871"/>
      <c r="F1893" s="406"/>
      <c r="G1893" s="405"/>
      <c r="H1893" s="871"/>
      <c r="I1893" s="406"/>
      <c r="J1893" s="349"/>
      <c r="K1893" s="350"/>
      <c r="N1893" s="876">
        <v>350</v>
      </c>
      <c r="O1893" s="351"/>
      <c r="P1893" s="882"/>
      <c r="Q1893" s="880"/>
      <c r="R1893" s="898"/>
      <c r="S1893" s="738">
        <f t="shared" si="159"/>
        <v>1700</v>
      </c>
      <c r="T1893" s="738" t="str">
        <f t="shared" si="160"/>
        <v>M</v>
      </c>
      <c r="U1893" s="771"/>
      <c r="V1893" s="772"/>
      <c r="W1893" s="772"/>
      <c r="X1893" s="772"/>
      <c r="Y1893" s="772"/>
      <c r="Z1893" s="772"/>
      <c r="AA1893" s="772"/>
      <c r="AB1893" s="772"/>
      <c r="AC1893" s="772"/>
      <c r="AD1893" s="772"/>
      <c r="AE1893" s="772"/>
    </row>
    <row r="1894" spans="1:31" x14ac:dyDescent="0.2">
      <c r="A1894" s="294"/>
      <c r="B1894" s="293"/>
      <c r="C1894" s="348" t="s">
        <v>1349</v>
      </c>
      <c r="D1894" s="405"/>
      <c r="E1894" s="871"/>
      <c r="F1894" s="406"/>
      <c r="G1894" s="405"/>
      <c r="H1894" s="871"/>
      <c r="I1894" s="406"/>
      <c r="J1894" s="349"/>
      <c r="K1894" s="350"/>
      <c r="N1894" s="876">
        <v>350</v>
      </c>
      <c r="O1894" s="351"/>
      <c r="P1894" s="882"/>
      <c r="Q1894" s="880"/>
      <c r="R1894" s="898"/>
      <c r="S1894" s="738">
        <f t="shared" si="159"/>
        <v>1700</v>
      </c>
      <c r="T1894" s="738" t="str">
        <f t="shared" si="160"/>
        <v>M</v>
      </c>
      <c r="U1894" s="771"/>
      <c r="V1894" s="772"/>
      <c r="W1894" s="772"/>
      <c r="X1894" s="772"/>
      <c r="Y1894" s="772"/>
      <c r="Z1894" s="772"/>
      <c r="AA1894" s="772"/>
      <c r="AB1894" s="772"/>
      <c r="AC1894" s="772"/>
      <c r="AD1894" s="772"/>
      <c r="AE1894" s="772"/>
    </row>
    <row r="1895" spans="1:31" x14ac:dyDescent="0.2">
      <c r="A1895" s="899"/>
      <c r="B1895" s="353"/>
      <c r="C1895" s="354" t="s">
        <v>2</v>
      </c>
      <c r="D1895" s="355"/>
      <c r="E1895" s="352"/>
      <c r="F1895" s="356"/>
      <c r="G1895" s="355"/>
      <c r="H1895" s="356"/>
      <c r="I1895" s="356"/>
      <c r="J1895" s="353"/>
      <c r="K1895" s="357"/>
      <c r="L1895" s="358"/>
      <c r="M1895" s="359"/>
      <c r="N1895" s="360">
        <f>SUM(N1890:N1894)</f>
        <v>1700</v>
      </c>
      <c r="O1895" s="361" t="str">
        <f>IF(MID(B1888,1,2)="LG",VLOOKUP(B1888,'Compos lug'!J:M,4,FALSE),IF(MID(B1888,1,1)="6",VLOOKUP(B1888,tranp.!$A$6:$K$51,3,FALSE),VLOOKUP(B1888,'DER 10-18'!$A$1:$I$1981,3,FALSE)))</f>
        <v>M</v>
      </c>
      <c r="P1895" s="362"/>
      <c r="Q1895" s="362"/>
      <c r="R1895" s="900"/>
      <c r="S1895" s="738">
        <f t="shared" si="159"/>
        <v>430</v>
      </c>
      <c r="T1895" s="738" t="str">
        <f t="shared" si="160"/>
        <v>M2</v>
      </c>
      <c r="U1895" s="738"/>
    </row>
    <row r="1896" spans="1:31" s="319" customFormat="1" x14ac:dyDescent="0.2">
      <c r="A1896" s="895" t="s">
        <v>1087</v>
      </c>
      <c r="B1896" s="346">
        <v>42206</v>
      </c>
      <c r="C1896" s="347" t="str">
        <f>IF(MID(B1896,1,2)="LG",VLOOKUP(B1896,'Compos lug'!J:M,3,FALSE),IF(MID(B1896,1,1)="6",VLOOKUP(B1896,tranp.!$A$4:$K$19,11,FALSE)&amp;" -  XP="&amp;TEXT(#REF!,"0.000")&amp;" / XR="&amp;TEXT(#REF!,"0.000"),VLOOKUP(B1896,'DER 10-18'!$A$1:$I$1981,2,FALSE)))</f>
        <v>Grama em placas, fornecimento e plantio (sem fixação com estacas)</v>
      </c>
      <c r="D1896" s="1059" t="s">
        <v>7</v>
      </c>
      <c r="E1896" s="1060"/>
      <c r="F1896" s="1061"/>
      <c r="G1896" s="1059"/>
      <c r="H1896" s="1060"/>
      <c r="I1896" s="1061"/>
      <c r="J1896" s="349" t="s">
        <v>989</v>
      </c>
      <c r="K1896" s="884"/>
      <c r="L1896" s="298"/>
      <c r="M1896" s="299"/>
      <c r="N1896" s="876" t="str">
        <f>CONCATENATE("Total (",IF(MID(B1896,1,2)="LG",VLOOKUP(B1896,'Compos lug'!J:M,4,FALSE),IF(MID(B1896,1,1)="6","t",VLOOKUP(B1896,'DER 10-18'!$A$1:$I$1981,3,FALSE))),")")</f>
        <v>Total (M2)</v>
      </c>
      <c r="O1896" s="351"/>
      <c r="P1896" s="1062"/>
      <c r="Q1896" s="1063"/>
      <c r="R1896" s="902"/>
      <c r="S1896" s="738">
        <f t="shared" si="159"/>
        <v>430</v>
      </c>
      <c r="T1896" s="738" t="str">
        <f t="shared" si="160"/>
        <v>M2</v>
      </c>
      <c r="U1896" s="738"/>
      <c r="W1896" s="717"/>
      <c r="X1896" s="717"/>
      <c r="Y1896" s="717"/>
      <c r="Z1896" s="717"/>
      <c r="AA1896" s="717"/>
    </row>
    <row r="1897" spans="1:31" x14ac:dyDescent="0.2">
      <c r="A1897" s="294"/>
      <c r="B1897" s="293"/>
      <c r="C1897" s="744" t="s">
        <v>1552</v>
      </c>
      <c r="N1897" s="876"/>
      <c r="R1897" s="912"/>
      <c r="S1897" s="738">
        <f t="shared" si="159"/>
        <v>430</v>
      </c>
      <c r="T1897" s="738" t="str">
        <f t="shared" si="160"/>
        <v>M2</v>
      </c>
    </row>
    <row r="1898" spans="1:31" s="319" customFormat="1" x14ac:dyDescent="0.2">
      <c r="A1898" s="895"/>
      <c r="B1898" s="346"/>
      <c r="C1898" s="580" t="s">
        <v>1479</v>
      </c>
      <c r="D1898" s="870"/>
      <c r="E1898" s="871"/>
      <c r="F1898" s="871"/>
      <c r="G1898" s="870"/>
      <c r="H1898" s="871"/>
      <c r="I1898" s="871"/>
      <c r="J1898" s="349"/>
      <c r="K1898" s="884"/>
      <c r="L1898" s="298"/>
      <c r="M1898" s="299"/>
      <c r="N1898" s="876">
        <v>171</v>
      </c>
      <c r="O1898" s="351"/>
      <c r="P1898" s="880"/>
      <c r="Q1898" s="880"/>
      <c r="R1898" s="902"/>
      <c r="S1898" s="738">
        <f t="shared" si="159"/>
        <v>430</v>
      </c>
      <c r="T1898" s="738" t="str">
        <f t="shared" si="160"/>
        <v>M2</v>
      </c>
      <c r="U1898" s="738"/>
      <c r="W1898" s="717"/>
      <c r="X1898" s="717"/>
      <c r="Y1898" s="717"/>
      <c r="Z1898" s="717"/>
      <c r="AA1898" s="717"/>
    </row>
    <row r="1899" spans="1:31" s="319" customFormat="1" x14ac:dyDescent="0.2">
      <c r="A1899" s="895"/>
      <c r="B1899" s="346"/>
      <c r="C1899" s="580" t="s">
        <v>1481</v>
      </c>
      <c r="D1899" s="870"/>
      <c r="E1899" s="871"/>
      <c r="F1899" s="871"/>
      <c r="G1899" s="870"/>
      <c r="H1899" s="871"/>
      <c r="I1899" s="871"/>
      <c r="J1899" s="349"/>
      <c r="K1899" s="884"/>
      <c r="L1899" s="298"/>
      <c r="M1899" s="299"/>
      <c r="N1899" s="876">
        <v>235</v>
      </c>
      <c r="O1899" s="351"/>
      <c r="P1899" s="880"/>
      <c r="Q1899" s="880"/>
      <c r="R1899" s="902"/>
      <c r="S1899" s="738">
        <f t="shared" si="159"/>
        <v>430</v>
      </c>
      <c r="T1899" s="738" t="str">
        <f t="shared" si="160"/>
        <v>M2</v>
      </c>
      <c r="U1899" s="738"/>
      <c r="W1899" s="717"/>
      <c r="X1899" s="717"/>
      <c r="Y1899" s="717"/>
      <c r="Z1899" s="717"/>
      <c r="AA1899" s="717"/>
    </row>
    <row r="1900" spans="1:31" s="319" customFormat="1" x14ac:dyDescent="0.2">
      <c r="A1900" s="895"/>
      <c r="B1900" s="346"/>
      <c r="C1900" s="580" t="s">
        <v>1480</v>
      </c>
      <c r="D1900" s="870"/>
      <c r="E1900" s="871"/>
      <c r="F1900" s="871"/>
      <c r="G1900" s="870"/>
      <c r="H1900" s="871"/>
      <c r="I1900" s="871"/>
      <c r="J1900" s="349"/>
      <c r="K1900" s="884"/>
      <c r="L1900" s="298"/>
      <c r="M1900" s="299"/>
      <c r="N1900" s="876">
        <v>24</v>
      </c>
      <c r="O1900" s="351"/>
      <c r="P1900" s="880"/>
      <c r="Q1900" s="880"/>
      <c r="R1900" s="902"/>
      <c r="S1900" s="738">
        <f t="shared" si="159"/>
        <v>430</v>
      </c>
      <c r="T1900" s="738" t="str">
        <f t="shared" si="160"/>
        <v>M2</v>
      </c>
      <c r="U1900" s="738"/>
      <c r="W1900" s="717"/>
      <c r="X1900" s="717"/>
      <c r="Y1900" s="717"/>
      <c r="Z1900" s="717"/>
      <c r="AA1900" s="717"/>
    </row>
    <row r="1901" spans="1:31" x14ac:dyDescent="0.2">
      <c r="A1901" s="899"/>
      <c r="B1901" s="353"/>
      <c r="C1901" s="354" t="s">
        <v>2</v>
      </c>
      <c r="D1901" s="355"/>
      <c r="E1901" s="352"/>
      <c r="F1901" s="356"/>
      <c r="G1901" s="355"/>
      <c r="H1901" s="356"/>
      <c r="I1901" s="356"/>
      <c r="J1901" s="353"/>
      <c r="K1901" s="357"/>
      <c r="L1901" s="358"/>
      <c r="M1901" s="359"/>
      <c r="N1901" s="360">
        <f>SUM(N1898:N1900)</f>
        <v>430</v>
      </c>
      <c r="O1901" s="361" t="str">
        <f>IF(MID(B1896,1,2)="LG",VLOOKUP(B1896,'Compos lug'!J:M,4,FALSE),IF(MID(B1896,1,1)="6",VLOOKUP(B1896,tranp.!$A$6:$K$51,3,FALSE),VLOOKUP(B1896,'DER 10-18'!$A$1:$I$1981,3,FALSE)))</f>
        <v>M2</v>
      </c>
      <c r="P1901" s="362"/>
      <c r="Q1901" s="362"/>
      <c r="R1901" s="900"/>
      <c r="S1901" s="738">
        <f t="shared" si="159"/>
        <v>4</v>
      </c>
      <c r="T1901" s="738" t="str">
        <f t="shared" si="160"/>
        <v>Ud</v>
      </c>
      <c r="U1901" s="738"/>
    </row>
    <row r="1902" spans="1:31" s="319" customFormat="1" x14ac:dyDescent="0.2">
      <c r="A1902" s="895" t="s">
        <v>1478</v>
      </c>
      <c r="B1902" s="346">
        <v>42044</v>
      </c>
      <c r="C1902" s="347" t="str">
        <f>IF(MID(B1902,1,2)="LG",VLOOKUP(B1902,'Compos lug'!J:M,3,FALSE),IF(MID(B1902,1,1)="6",VLOOKUP(B1902,tranp.!$A$4:$K$19,11,FALSE)&amp;" -  XP="&amp;TEXT(#REF!,"0.000")&amp;" / XR="&amp;TEXT(#REF!,"0.000"),VLOOKUP(B1902,'DER 10-18'!$A$1:$I$1981,2,FALSE)))</f>
        <v>Reunião de Comunicação Social inclusive material de consumo</v>
      </c>
      <c r="D1902" s="1059" t="s">
        <v>7</v>
      </c>
      <c r="E1902" s="1060"/>
      <c r="F1902" s="1061"/>
      <c r="G1902" s="1059"/>
      <c r="H1902" s="1060"/>
      <c r="I1902" s="1061"/>
      <c r="J1902" s="349" t="s">
        <v>989</v>
      </c>
      <c r="K1902" s="884"/>
      <c r="L1902" s="298"/>
      <c r="M1902" s="299"/>
      <c r="N1902" s="876" t="str">
        <f>CONCATENATE("Total (",IF(MID(B1902,1,2)="LG",VLOOKUP(B1902,'Compos lug'!J:M,4,FALSE),IF(MID(B1902,1,1)="6","t",VLOOKUP(B1902,'DER 10-18'!$A$1:$I$1981,3,FALSE))),")")</f>
        <v>Total (Ud)</v>
      </c>
      <c r="O1902" s="351"/>
      <c r="P1902" s="1062"/>
      <c r="Q1902" s="1063"/>
      <c r="R1902" s="902"/>
      <c r="S1902" s="738">
        <f t="shared" si="159"/>
        <v>4</v>
      </c>
      <c r="T1902" s="738" t="str">
        <f t="shared" si="160"/>
        <v>Ud</v>
      </c>
      <c r="U1902" s="738"/>
      <c r="W1902" s="717"/>
      <c r="X1902" s="717"/>
      <c r="Y1902" s="717"/>
      <c r="Z1902" s="717"/>
      <c r="AA1902" s="717"/>
    </row>
    <row r="1903" spans="1:31" x14ac:dyDescent="0.2">
      <c r="A1903" s="294"/>
      <c r="B1903" s="293"/>
      <c r="C1903" s="744" t="s">
        <v>1552</v>
      </c>
      <c r="D1903" s="405"/>
      <c r="E1903" s="871"/>
      <c r="F1903" s="406"/>
      <c r="G1903" s="405"/>
      <c r="H1903" s="871"/>
      <c r="I1903" s="406"/>
      <c r="J1903" s="349"/>
      <c r="K1903" s="350"/>
      <c r="N1903" s="876">
        <v>2</v>
      </c>
      <c r="O1903" s="351"/>
      <c r="P1903" s="882"/>
      <c r="Q1903" s="880"/>
      <c r="R1903" s="898"/>
      <c r="S1903" s="738">
        <f t="shared" si="159"/>
        <v>4</v>
      </c>
      <c r="T1903" s="738" t="str">
        <f t="shared" si="160"/>
        <v>Ud</v>
      </c>
      <c r="U1903" s="738"/>
    </row>
    <row r="1904" spans="1:31" x14ac:dyDescent="0.2">
      <c r="A1904" s="294"/>
      <c r="B1904" s="293"/>
      <c r="C1904" s="744" t="s">
        <v>1553</v>
      </c>
      <c r="D1904" s="405"/>
      <c r="E1904" s="871"/>
      <c r="F1904" s="406"/>
      <c r="G1904" s="405"/>
      <c r="H1904" s="871"/>
      <c r="I1904" s="406"/>
      <c r="J1904" s="349"/>
      <c r="K1904" s="350"/>
      <c r="N1904" s="876">
        <v>2</v>
      </c>
      <c r="O1904" s="351"/>
      <c r="P1904" s="882"/>
      <c r="Q1904" s="880"/>
      <c r="R1904" s="898"/>
      <c r="S1904" s="738">
        <f t="shared" si="159"/>
        <v>4</v>
      </c>
      <c r="T1904" s="738" t="str">
        <f t="shared" si="160"/>
        <v>Ud</v>
      </c>
      <c r="U1904" s="771"/>
      <c r="V1904" s="772"/>
      <c r="W1904" s="772"/>
      <c r="X1904" s="772"/>
      <c r="Y1904" s="772"/>
      <c r="Z1904" s="772"/>
      <c r="AA1904" s="772"/>
      <c r="AB1904" s="772"/>
      <c r="AC1904" s="772"/>
      <c r="AD1904" s="772"/>
      <c r="AE1904" s="772"/>
    </row>
    <row r="1905" spans="1:27" x14ac:dyDescent="0.2">
      <c r="A1905" s="899"/>
      <c r="B1905" s="353"/>
      <c r="C1905" s="354" t="s">
        <v>2</v>
      </c>
      <c r="D1905" s="355"/>
      <c r="E1905" s="352"/>
      <c r="F1905" s="356"/>
      <c r="G1905" s="355"/>
      <c r="H1905" s="356"/>
      <c r="I1905" s="356"/>
      <c r="J1905" s="353"/>
      <c r="K1905" s="357"/>
      <c r="L1905" s="358"/>
      <c r="M1905" s="359"/>
      <c r="N1905" s="360">
        <f>SUM(N1903:N1904)</f>
        <v>4</v>
      </c>
      <c r="O1905" s="361" t="str">
        <f>IF(MID(B1902,1,2)="LG",VLOOKUP(B1902,'Compos lug'!J:M,4,FALSE),IF(MID(B1902,1,1)="6",VLOOKUP(B1902,tranp.!$A$6:$K$51,3,FALSE),VLOOKUP(B1902,'DER 10-18'!$A$1:$I$1981,3,FALSE)))</f>
        <v>Ud</v>
      </c>
      <c r="P1905" s="362"/>
      <c r="Q1905" s="362"/>
      <c r="R1905" s="900"/>
      <c r="S1905" s="738">
        <f t="shared" si="159"/>
        <v>1066.8</v>
      </c>
      <c r="T1905" s="738" t="str">
        <f t="shared" si="160"/>
        <v>M2</v>
      </c>
      <c r="U1905" s="738"/>
    </row>
    <row r="1906" spans="1:27" s="289" customFormat="1" x14ac:dyDescent="0.2">
      <c r="A1906" s="294"/>
      <c r="B1906" s="293"/>
      <c r="C1906" s="343"/>
      <c r="D1906" s="290"/>
      <c r="E1906" s="291"/>
      <c r="F1906" s="292"/>
      <c r="G1906" s="290"/>
      <c r="H1906" s="292"/>
      <c r="I1906" s="292"/>
      <c r="J1906" s="293"/>
      <c r="K1906" s="297"/>
      <c r="L1906" s="298"/>
      <c r="M1906" s="299"/>
      <c r="N1906" s="314"/>
      <c r="O1906" s="344"/>
      <c r="P1906" s="315"/>
      <c r="Q1906" s="315"/>
      <c r="R1906" s="903"/>
      <c r="S1906" s="738">
        <f t="shared" ref="S1906:S1937" si="161">VLOOKUP("Total",C1907:O3643,12,FALSE)</f>
        <v>1066.8</v>
      </c>
      <c r="T1906" s="738" t="str">
        <f t="shared" ref="T1906:T1937" si="162">VLOOKUP("Total",C1907:O3643,13,FALSE)</f>
        <v>M2</v>
      </c>
      <c r="U1906" s="738"/>
      <c r="W1906" s="712"/>
      <c r="X1906" s="712"/>
      <c r="Y1906" s="712"/>
      <c r="Z1906" s="712"/>
      <c r="AA1906" s="712"/>
    </row>
    <row r="1907" spans="1:27" x14ac:dyDescent="0.2">
      <c r="A1907" s="906">
        <v>8</v>
      </c>
      <c r="B1907" s="394"/>
      <c r="C1907" s="395" t="s">
        <v>1374</v>
      </c>
      <c r="D1907" s="396"/>
      <c r="E1907" s="397"/>
      <c r="F1907" s="398"/>
      <c r="G1907" s="396"/>
      <c r="H1907" s="397"/>
      <c r="I1907" s="398"/>
      <c r="J1907" s="399"/>
      <c r="K1907" s="400"/>
      <c r="L1907" s="401"/>
      <c r="M1907" s="402"/>
      <c r="N1907" s="401"/>
      <c r="O1907" s="399"/>
      <c r="P1907" s="403"/>
      <c r="Q1907" s="403"/>
      <c r="R1907" s="907"/>
      <c r="S1907" s="738">
        <f t="shared" si="161"/>
        <v>1066.8</v>
      </c>
      <c r="T1907" s="738" t="str">
        <f t="shared" si="162"/>
        <v>M2</v>
      </c>
      <c r="U1907" s="738"/>
    </row>
    <row r="1908" spans="1:27" x14ac:dyDescent="0.2">
      <c r="A1908" s="906" t="s">
        <v>1025</v>
      </c>
      <c r="B1908" s="394"/>
      <c r="C1908" s="739" t="s">
        <v>1375</v>
      </c>
      <c r="D1908" s="396"/>
      <c r="E1908" s="397"/>
      <c r="F1908" s="398"/>
      <c r="G1908" s="396"/>
      <c r="H1908" s="397"/>
      <c r="I1908" s="398"/>
      <c r="J1908" s="399"/>
      <c r="K1908" s="400"/>
      <c r="L1908" s="401"/>
      <c r="M1908" s="402"/>
      <c r="N1908" s="401"/>
      <c r="O1908" s="399"/>
      <c r="P1908" s="403"/>
      <c r="Q1908" s="403"/>
      <c r="R1908" s="907"/>
      <c r="S1908" s="738">
        <f t="shared" si="161"/>
        <v>1066.8</v>
      </c>
      <c r="T1908" s="738" t="str">
        <f t="shared" si="162"/>
        <v>M2</v>
      </c>
      <c r="U1908" s="738"/>
    </row>
    <row r="1909" spans="1:27" s="289" customFormat="1" ht="45" customHeight="1" x14ac:dyDescent="0.2">
      <c r="A1909" s="922" t="s">
        <v>1869</v>
      </c>
      <c r="B1909" s="346">
        <v>40169</v>
      </c>
      <c r="C1909" s="347" t="str">
        <f>IF(MID(B1909,1,2)="LG",VLOOKUP(B1909,'Compos lug'!J:M,3,FALSE),IF(MID(B1909,1,1)="6",VLOOKUP(B1909,tranp.!$A$4:$K$19,11,FALSE)&amp;" -  XP="&amp;TEXT(T2399,"0.000")&amp;" / XR="&amp;TEXT(V2399,"0.000"),VLOOKUP(B1909,'DER 10-18'!$A$1:$I$1981,2,FALSE)))</f>
        <v>Limpeza e desmatamento em área alagada (pântano) com ferramentas manuais, inclusive moto serra</v>
      </c>
      <c r="D1909" s="1059" t="s">
        <v>1000</v>
      </c>
      <c r="E1909" s="1060"/>
      <c r="F1909" s="1061"/>
      <c r="G1909" s="1059" t="s">
        <v>1001</v>
      </c>
      <c r="H1909" s="1060"/>
      <c r="I1909" s="1061"/>
      <c r="J1909" s="349" t="s">
        <v>1380</v>
      </c>
      <c r="K1909" s="884" t="s">
        <v>994</v>
      </c>
      <c r="L1909" s="876" t="s">
        <v>1009</v>
      </c>
      <c r="M1909" s="299"/>
      <c r="N1909" s="876" t="str">
        <f>CONCATENATE("Total (",IF(MID(B1909,1,2)="LG",VLOOKUP(B1909,'Compos lug'!J:M,4,FALSE),IF(MID(B1909,1,1)="6","t",VLOOKUP(B1909,'DER 10-18'!$A$1:$I$1981,3,FALSE))),")")</f>
        <v>Total (M2)</v>
      </c>
      <c r="O1909" s="351"/>
      <c r="P1909" s="880"/>
      <c r="Q1909" s="880"/>
      <c r="R1909" s="902"/>
      <c r="S1909" s="738">
        <f t="shared" si="161"/>
        <v>1066.8</v>
      </c>
      <c r="T1909" s="738" t="str">
        <f t="shared" si="162"/>
        <v>M2</v>
      </c>
      <c r="U1909" s="738"/>
      <c r="W1909" s="712"/>
      <c r="X1909" s="712"/>
      <c r="Y1909" s="712"/>
      <c r="Z1909" s="712"/>
      <c r="AA1909" s="712"/>
    </row>
    <row r="1910" spans="1:27" x14ac:dyDescent="0.2">
      <c r="A1910" s="294"/>
      <c r="B1910" s="293"/>
      <c r="C1910" s="744" t="s">
        <v>1552</v>
      </c>
      <c r="N1910" s="876"/>
      <c r="R1910" s="912"/>
      <c r="S1910" s="738">
        <f t="shared" si="161"/>
        <v>1066.8</v>
      </c>
      <c r="T1910" s="738" t="str">
        <f t="shared" si="162"/>
        <v>M2</v>
      </c>
    </row>
    <row r="1911" spans="1:27" s="289" customFormat="1" x14ac:dyDescent="0.2">
      <c r="A1911" s="922"/>
      <c r="B1911" s="346"/>
      <c r="C1911" s="347" t="s">
        <v>1419</v>
      </c>
      <c r="D1911" s="870"/>
      <c r="E1911" s="871"/>
      <c r="F1911" s="871"/>
      <c r="G1911" s="870"/>
      <c r="H1911" s="871"/>
      <c r="I1911" s="406"/>
      <c r="J1911" s="349"/>
      <c r="K1911" s="884"/>
      <c r="L1911" s="298"/>
      <c r="M1911" s="299"/>
      <c r="N1911" s="876"/>
      <c r="O1911" s="351"/>
      <c r="P1911" s="880"/>
      <c r="Q1911" s="880"/>
      <c r="R1911" s="902"/>
      <c r="S1911" s="738">
        <f t="shared" si="161"/>
        <v>1066.8</v>
      </c>
      <c r="T1911" s="738" t="str">
        <f t="shared" si="162"/>
        <v>M2</v>
      </c>
      <c r="U1911" s="738"/>
      <c r="W1911" s="712"/>
      <c r="X1911" s="712"/>
      <c r="Y1911" s="712"/>
      <c r="Z1911" s="712"/>
      <c r="AA1911" s="712"/>
    </row>
    <row r="1912" spans="1:27" x14ac:dyDescent="0.2">
      <c r="A1912" s="294"/>
      <c r="B1912" s="293"/>
      <c r="C1912" s="580" t="s">
        <v>1379</v>
      </c>
      <c r="D1912" s="405">
        <v>341</v>
      </c>
      <c r="E1912" s="871" t="s">
        <v>8</v>
      </c>
      <c r="F1912" s="406">
        <v>8</v>
      </c>
      <c r="G1912" s="405">
        <v>342</v>
      </c>
      <c r="H1912" s="871" t="s">
        <v>8</v>
      </c>
      <c r="I1912" s="406">
        <v>3</v>
      </c>
      <c r="J1912" s="349">
        <v>25.4</v>
      </c>
      <c r="K1912" s="884">
        <v>21</v>
      </c>
      <c r="L1912" s="298">
        <v>1</v>
      </c>
      <c r="N1912" s="876">
        <f t="shared" ref="N1912" si="163">J1912*K1912*L1912</f>
        <v>533.4</v>
      </c>
      <c r="O1912" s="351"/>
      <c r="P1912" s="880"/>
      <c r="Q1912" s="880"/>
      <c r="R1912" s="898"/>
      <c r="S1912" s="738">
        <f t="shared" si="161"/>
        <v>1066.8</v>
      </c>
      <c r="T1912" s="738" t="str">
        <f t="shared" si="162"/>
        <v>M2</v>
      </c>
      <c r="U1912" s="738"/>
    </row>
    <row r="1913" spans="1:27" s="289" customFormat="1" x14ac:dyDescent="0.2">
      <c r="A1913" s="922"/>
      <c r="B1913" s="346"/>
      <c r="C1913" s="347" t="s">
        <v>1378</v>
      </c>
      <c r="D1913" s="870"/>
      <c r="E1913" s="871"/>
      <c r="F1913" s="871"/>
      <c r="G1913" s="870"/>
      <c r="H1913" s="871"/>
      <c r="I1913" s="406"/>
      <c r="J1913" s="349"/>
      <c r="K1913" s="884"/>
      <c r="L1913" s="298"/>
      <c r="M1913" s="299"/>
      <c r="N1913" s="876"/>
      <c r="O1913" s="351"/>
      <c r="P1913" s="880"/>
      <c r="Q1913" s="880"/>
      <c r="R1913" s="902"/>
      <c r="S1913" s="738">
        <f t="shared" si="161"/>
        <v>1066.8</v>
      </c>
      <c r="T1913" s="738" t="str">
        <f t="shared" si="162"/>
        <v>M2</v>
      </c>
      <c r="U1913" s="738"/>
      <c r="W1913" s="712"/>
      <c r="X1913" s="712"/>
      <c r="Y1913" s="712"/>
      <c r="Z1913" s="712"/>
      <c r="AA1913" s="712"/>
    </row>
    <row r="1914" spans="1:27" s="289" customFormat="1" x14ac:dyDescent="0.2">
      <c r="A1914" s="922"/>
      <c r="B1914" s="346"/>
      <c r="C1914" s="580" t="s">
        <v>1379</v>
      </c>
      <c r="D1914" s="405">
        <v>536</v>
      </c>
      <c r="E1914" s="871" t="s">
        <v>8</v>
      </c>
      <c r="F1914" s="406">
        <v>6</v>
      </c>
      <c r="G1914" s="405">
        <v>536</v>
      </c>
      <c r="H1914" s="871" t="s">
        <v>8</v>
      </c>
      <c r="I1914" s="780">
        <v>16</v>
      </c>
      <c r="J1914" s="349">
        <v>25.4</v>
      </c>
      <c r="K1914" s="884">
        <v>21</v>
      </c>
      <c r="L1914" s="298">
        <v>1</v>
      </c>
      <c r="M1914" s="299"/>
      <c r="N1914" s="876">
        <f>J1914*K1914*L1914</f>
        <v>533.4</v>
      </c>
      <c r="O1914" s="351"/>
      <c r="P1914" s="880"/>
      <c r="Q1914" s="880"/>
      <c r="R1914" s="902"/>
      <c r="S1914" s="738">
        <f t="shared" si="161"/>
        <v>1066.8</v>
      </c>
      <c r="T1914" s="738" t="str">
        <f t="shared" si="162"/>
        <v>M2</v>
      </c>
      <c r="U1914" s="738"/>
      <c r="W1914" s="712"/>
      <c r="X1914" s="712"/>
      <c r="Y1914" s="712"/>
      <c r="Z1914" s="712"/>
      <c r="AA1914" s="712"/>
    </row>
    <row r="1915" spans="1:27" x14ac:dyDescent="0.2">
      <c r="A1915" s="899"/>
      <c r="B1915" s="353"/>
      <c r="C1915" s="354" t="s">
        <v>2</v>
      </c>
      <c r="D1915" s="355"/>
      <c r="E1915" s="352"/>
      <c r="F1915" s="356"/>
      <c r="G1915" s="355"/>
      <c r="H1915" s="356"/>
      <c r="I1915" s="356"/>
      <c r="J1915" s="353"/>
      <c r="K1915" s="357"/>
      <c r="L1915" s="358"/>
      <c r="M1915" s="359"/>
      <c r="N1915" s="360">
        <f>SUM(N1911:N1914)</f>
        <v>1066.8</v>
      </c>
      <c r="O1915" s="361" t="str">
        <f>IF(MID(B1909,1,2)="LG",VLOOKUP(B1909,'Compos lug'!J:M,4,FALSE),IF(MID(B1909,1,1)="6",VLOOKUP(B1909,tranp.!$A$6:$K$51,3,FALSE),VLOOKUP(B1909,'DER 10-18'!$A$1:$I$1981,3,FALSE)))</f>
        <v>M2</v>
      </c>
      <c r="P1915" s="362"/>
      <c r="Q1915" s="362"/>
      <c r="R1915" s="900"/>
      <c r="S1915" s="738">
        <f t="shared" si="161"/>
        <v>1580.2</v>
      </c>
      <c r="T1915" s="738" t="str">
        <f t="shared" si="162"/>
        <v>M3</v>
      </c>
      <c r="U1915" s="738"/>
    </row>
    <row r="1916" spans="1:27" x14ac:dyDescent="0.2">
      <c r="A1916" s="294"/>
      <c r="B1916" s="293"/>
      <c r="C1916" s="343"/>
      <c r="H1916" s="292"/>
      <c r="N1916" s="314"/>
      <c r="O1916" s="344"/>
      <c r="P1916" s="315"/>
      <c r="Q1916" s="315"/>
      <c r="R1916" s="903"/>
      <c r="S1916" s="738">
        <f t="shared" si="161"/>
        <v>1580.2</v>
      </c>
      <c r="T1916" s="738" t="str">
        <f t="shared" si="162"/>
        <v>M3</v>
      </c>
      <c r="U1916" s="738"/>
    </row>
    <row r="1917" spans="1:27" s="289" customFormat="1" x14ac:dyDescent="0.2">
      <c r="A1917" s="922" t="s">
        <v>1870</v>
      </c>
      <c r="B1917" s="346">
        <v>40230</v>
      </c>
      <c r="C1917" s="347" t="str">
        <f>IF(MID(B1917,1,2)="LG",VLOOKUP(B1917,'Compos lug'!J:M,3,FALSE),IF(MID(B1917,1,1)="6",VLOOKUP(B1917,tranp.!$A$4:$K$19,11,FALSE)&amp;" -  XP="&amp;TEXT(T2402,"0.000")&amp;" / XR="&amp;TEXT(V2402,"0.000"),VLOOKUP(B1917,'DER 10-18'!$A$1:$I$1981,2,FALSE)))</f>
        <v>Escavação e carga de material de 1ª categoria com escavadeira</v>
      </c>
      <c r="D1917" s="1059"/>
      <c r="E1917" s="1060"/>
      <c r="F1917" s="1061"/>
      <c r="G1917" s="870"/>
      <c r="H1917" s="871"/>
      <c r="I1917" s="406"/>
      <c r="J1917" s="349" t="s">
        <v>1380</v>
      </c>
      <c r="K1917" s="884" t="s">
        <v>994</v>
      </c>
      <c r="L1917" s="876" t="s">
        <v>1009</v>
      </c>
      <c r="M1917" s="885" t="s">
        <v>1382</v>
      </c>
      <c r="N1917" s="876" t="str">
        <f>CONCATENATE("Total (",IF(MID(B1917,1,2)="LG",VLOOKUP(B1917,'Compos lug'!J:M,4,FALSE),IF(MID(B1917,1,1)="6","t",VLOOKUP(B1917,'DER 10-18'!$A$1:$I$1981,3,FALSE))),")")</f>
        <v>Total (M3)</v>
      </c>
      <c r="O1917" s="351"/>
      <c r="P1917" s="880"/>
      <c r="Q1917" s="880"/>
      <c r="R1917" s="902"/>
      <c r="S1917" s="738">
        <f t="shared" si="161"/>
        <v>1580.2</v>
      </c>
      <c r="T1917" s="738" t="str">
        <f t="shared" si="162"/>
        <v>M3</v>
      </c>
      <c r="U1917" s="738"/>
      <c r="W1917" s="712"/>
      <c r="X1917" s="712"/>
      <c r="Y1917" s="712"/>
      <c r="Z1917" s="712"/>
      <c r="AA1917" s="712"/>
    </row>
    <row r="1918" spans="1:27" x14ac:dyDescent="0.2">
      <c r="A1918" s="294"/>
      <c r="B1918" s="293"/>
      <c r="C1918" s="744" t="s">
        <v>1552</v>
      </c>
      <c r="N1918" s="876"/>
      <c r="R1918" s="912"/>
      <c r="S1918" s="738">
        <f t="shared" si="161"/>
        <v>1580.2</v>
      </c>
      <c r="T1918" s="738" t="str">
        <f t="shared" si="162"/>
        <v>M3</v>
      </c>
    </row>
    <row r="1919" spans="1:27" s="289" customFormat="1" x14ac:dyDescent="0.2">
      <c r="A1919" s="922"/>
      <c r="B1919" s="346"/>
      <c r="C1919" s="347" t="s">
        <v>1419</v>
      </c>
      <c r="D1919" s="870"/>
      <c r="E1919" s="871"/>
      <c r="F1919" s="871"/>
      <c r="G1919" s="870"/>
      <c r="H1919" s="871"/>
      <c r="I1919" s="406"/>
      <c r="J1919" s="349"/>
      <c r="K1919" s="884"/>
      <c r="L1919" s="298"/>
      <c r="M1919" s="299"/>
      <c r="N1919" s="876"/>
      <c r="O1919" s="351"/>
      <c r="P1919" s="880"/>
      <c r="Q1919" s="880"/>
      <c r="R1919" s="902"/>
      <c r="S1919" s="738">
        <f t="shared" si="161"/>
        <v>1580.2</v>
      </c>
      <c r="T1919" s="738" t="str">
        <f t="shared" si="162"/>
        <v>M3</v>
      </c>
      <c r="U1919" s="738"/>
      <c r="W1919" s="712"/>
      <c r="X1919" s="712"/>
      <c r="Y1919" s="712"/>
      <c r="Z1919" s="712"/>
      <c r="AA1919" s="712"/>
    </row>
    <row r="1920" spans="1:27" x14ac:dyDescent="0.2">
      <c r="A1920" s="294"/>
      <c r="B1920" s="293"/>
      <c r="C1920" s="348" t="s">
        <v>1381</v>
      </c>
      <c r="D1920" s="405">
        <v>341</v>
      </c>
      <c r="E1920" s="871" t="s">
        <v>8</v>
      </c>
      <c r="F1920" s="406">
        <v>8</v>
      </c>
      <c r="G1920" s="405">
        <v>342</v>
      </c>
      <c r="H1920" s="871" t="s">
        <v>8</v>
      </c>
      <c r="I1920" s="406">
        <v>3</v>
      </c>
      <c r="J1920" s="349">
        <v>10.5</v>
      </c>
      <c r="K1920" s="350">
        <v>20.399999999999999</v>
      </c>
      <c r="L1920" s="298">
        <v>1</v>
      </c>
      <c r="M1920" s="299">
        <v>2</v>
      </c>
      <c r="N1920" s="876">
        <f>J1920*K1920*L1920*M1920</f>
        <v>428.4</v>
      </c>
      <c r="O1920" s="351"/>
      <c r="P1920" s="880"/>
      <c r="Q1920" s="880"/>
      <c r="R1920" s="898"/>
      <c r="S1920" s="738">
        <f t="shared" si="161"/>
        <v>1580.2</v>
      </c>
      <c r="T1920" s="738" t="str">
        <f t="shared" si="162"/>
        <v>M3</v>
      </c>
      <c r="U1920" s="738"/>
    </row>
    <row r="1921" spans="1:32" s="289" customFormat="1" x14ac:dyDescent="0.2">
      <c r="A1921" s="922"/>
      <c r="B1921" s="346"/>
      <c r="C1921" s="347" t="s">
        <v>1378</v>
      </c>
      <c r="D1921" s="870"/>
      <c r="E1921" s="871"/>
      <c r="F1921" s="871"/>
      <c r="G1921" s="870"/>
      <c r="H1921" s="871"/>
      <c r="I1921" s="406"/>
      <c r="J1921" s="349"/>
      <c r="K1921" s="884"/>
      <c r="L1921" s="298"/>
      <c r="M1921" s="299"/>
      <c r="N1921" s="876"/>
      <c r="O1921" s="351"/>
      <c r="P1921" s="880"/>
      <c r="Q1921" s="880"/>
      <c r="R1921" s="902"/>
      <c r="S1921" s="738">
        <f t="shared" si="161"/>
        <v>1580.2</v>
      </c>
      <c r="T1921" s="738" t="str">
        <f t="shared" si="162"/>
        <v>M3</v>
      </c>
      <c r="U1921" s="738"/>
      <c r="W1921" s="712"/>
      <c r="X1921" s="712"/>
      <c r="Y1921" s="712"/>
      <c r="Z1921" s="712"/>
      <c r="AA1921" s="712"/>
    </row>
    <row r="1922" spans="1:32" x14ac:dyDescent="0.2">
      <c r="A1922" s="294"/>
      <c r="B1922" s="293"/>
      <c r="C1922" s="348" t="s">
        <v>1381</v>
      </c>
      <c r="D1922" s="405">
        <v>536</v>
      </c>
      <c r="E1922" s="871" t="s">
        <v>8</v>
      </c>
      <c r="F1922" s="406">
        <v>6</v>
      </c>
      <c r="G1922" s="405">
        <v>536</v>
      </c>
      <c r="H1922" s="871" t="s">
        <v>8</v>
      </c>
      <c r="I1922" s="780">
        <v>16</v>
      </c>
      <c r="J1922" s="349">
        <v>10.5</v>
      </c>
      <c r="K1922" s="350">
        <v>20.399999999999999</v>
      </c>
      <c r="L1922" s="298">
        <v>1</v>
      </c>
      <c r="M1922" s="299">
        <v>2</v>
      </c>
      <c r="N1922" s="876">
        <f>J1922*K1922*L1922*M1922</f>
        <v>428.4</v>
      </c>
      <c r="O1922" s="351"/>
      <c r="P1922" s="880"/>
      <c r="Q1922" s="880"/>
      <c r="R1922" s="898"/>
      <c r="S1922" s="738">
        <f t="shared" si="161"/>
        <v>1580.2</v>
      </c>
      <c r="T1922" s="738" t="str">
        <f t="shared" si="162"/>
        <v>M3</v>
      </c>
      <c r="U1922" s="738"/>
    </row>
    <row r="1923" spans="1:32" x14ac:dyDescent="0.2">
      <c r="A1923" s="294"/>
      <c r="B1923" s="293"/>
      <c r="C1923" s="384" t="s">
        <v>1488</v>
      </c>
      <c r="D1923" s="405"/>
      <c r="E1923" s="871"/>
      <c r="F1923" s="406"/>
      <c r="G1923" s="405"/>
      <c r="H1923" s="871"/>
      <c r="I1923" s="780"/>
      <c r="J1923" s="383"/>
      <c r="K1923" s="875"/>
      <c r="M1923" s="875"/>
      <c r="N1923" s="876">
        <f>148.2+575.2</f>
        <v>723.4</v>
      </c>
      <c r="P1923" s="301" t="s">
        <v>1506</v>
      </c>
      <c r="R1923" s="912"/>
      <c r="S1923" s="738">
        <f t="shared" si="161"/>
        <v>1580.2</v>
      </c>
      <c r="T1923" s="738" t="str">
        <f t="shared" si="162"/>
        <v>M3</v>
      </c>
      <c r="U1923" s="738"/>
    </row>
    <row r="1924" spans="1:32" x14ac:dyDescent="0.2">
      <c r="A1924" s="899"/>
      <c r="B1924" s="353"/>
      <c r="C1924" s="354" t="s">
        <v>2</v>
      </c>
      <c r="D1924" s="355"/>
      <c r="E1924" s="352"/>
      <c r="F1924" s="356"/>
      <c r="G1924" s="355"/>
      <c r="H1924" s="356"/>
      <c r="I1924" s="356"/>
      <c r="J1924" s="353"/>
      <c r="K1924" s="357"/>
      <c r="L1924" s="358"/>
      <c r="M1924" s="359"/>
      <c r="N1924" s="360">
        <f>SUM(N1919:N1923)</f>
        <v>1580.2</v>
      </c>
      <c r="O1924" s="361" t="str">
        <f>IF(MID(B1917,1,2)="LG",VLOOKUP(B1917,'Compos lug'!J:M,4,FALSE),IF(MID(B1917,1,1)="6",VLOOKUP(B1917,tranp.!$A$6:$K$51,3,FALSE),VLOOKUP(B1917,'DER 10-18'!$A$1:$I$1981,3,FALSE)))</f>
        <v>M3</v>
      </c>
      <c r="P1924" s="362"/>
      <c r="Q1924" s="362"/>
      <c r="R1924" s="900"/>
      <c r="S1924" s="738">
        <f t="shared" si="161"/>
        <v>856.8</v>
      </c>
      <c r="T1924" s="738" t="str">
        <f t="shared" si="162"/>
        <v>M3</v>
      </c>
      <c r="U1924" s="738"/>
    </row>
    <row r="1925" spans="1:32" x14ac:dyDescent="0.2">
      <c r="A1925" s="294"/>
      <c r="B1925" s="293"/>
      <c r="C1925" s="343"/>
      <c r="H1925" s="292"/>
      <c r="N1925" s="314"/>
      <c r="O1925" s="344"/>
      <c r="P1925" s="315"/>
      <c r="Q1925" s="315"/>
      <c r="R1925" s="903"/>
      <c r="S1925" s="738">
        <f t="shared" si="161"/>
        <v>856.8</v>
      </c>
      <c r="T1925" s="738" t="str">
        <f t="shared" si="162"/>
        <v>M3</v>
      </c>
      <c r="U1925" s="738"/>
      <c r="V1925" s="738"/>
      <c r="AF1925" s="288">
        <v>21</v>
      </c>
    </row>
    <row r="1926" spans="1:32" s="289" customFormat="1" ht="25.5" x14ac:dyDescent="0.2">
      <c r="A1926" s="895" t="s">
        <v>1871</v>
      </c>
      <c r="B1926" s="346">
        <v>43335</v>
      </c>
      <c r="C1926" s="347" t="str">
        <f>IF(MID(B1926,1,2)="LG",VLOOKUP(B1926,'Compos lug'!J:M,3,FALSE),IF(MID(B1926,1,1)="6",VLOOKUP(B1926,tranp.!$A$4:$K$19,11,FALSE)&amp;" -  XP="&amp;TEXT(T1926,"0.000")&amp;" / XR="&amp;TEXT(V1926,"0.000"),VLOOKUP(B1926,'DER 10-18'!$A$1:$I$1981,2,FALSE)))</f>
        <v>Espalhamento / regularização / compactação de material em bota-fora</v>
      </c>
      <c r="D1926" s="1059" t="s">
        <v>1000</v>
      </c>
      <c r="E1926" s="1060"/>
      <c r="F1926" s="1061"/>
      <c r="G1926" s="1059" t="s">
        <v>1001</v>
      </c>
      <c r="H1926" s="1060"/>
      <c r="I1926" s="1061"/>
      <c r="J1926" s="349"/>
      <c r="K1926" s="349"/>
      <c r="L1926" s="876"/>
      <c r="M1926" s="876"/>
      <c r="N1926" s="876" t="str">
        <f>CONCATENATE("Total (",IF(MID(B1926,1,2)="LG",VLOOKUP(B1926,'Compos lug'!J:M,4,FALSE),IF(MID(B1926,1,1)="6","t",VLOOKUP(B1926,'DER 10-18'!$A$1:$I$1981,3,FALSE))),")")</f>
        <v>Total (M3)</v>
      </c>
      <c r="O1926" s="313"/>
      <c r="P1926" s="363"/>
      <c r="Q1926" s="363"/>
      <c r="R1926" s="902"/>
      <c r="S1926" s="738">
        <f t="shared" si="161"/>
        <v>856.8</v>
      </c>
      <c r="T1926" s="738" t="str">
        <f t="shared" si="162"/>
        <v>M3</v>
      </c>
      <c r="U1926" s="738"/>
      <c r="V1926" s="741"/>
      <c r="W1926" s="742"/>
      <c r="X1926" s="742"/>
      <c r="Y1926" s="742"/>
      <c r="Z1926" s="712"/>
      <c r="AA1926" s="743"/>
      <c r="AF1926" s="289">
        <v>31</v>
      </c>
    </row>
    <row r="1927" spans="1:32" x14ac:dyDescent="0.2">
      <c r="A1927" s="294"/>
      <c r="B1927" s="293"/>
      <c r="C1927" s="744" t="s">
        <v>1552</v>
      </c>
      <c r="N1927" s="876"/>
      <c r="R1927" s="912"/>
      <c r="S1927" s="738">
        <f t="shared" si="161"/>
        <v>856.8</v>
      </c>
      <c r="T1927" s="738" t="str">
        <f t="shared" si="162"/>
        <v>M3</v>
      </c>
    </row>
    <row r="1928" spans="1:32" s="289" customFormat="1" x14ac:dyDescent="0.2">
      <c r="A1928" s="895"/>
      <c r="B1928" s="346"/>
      <c r="C1928" s="580" t="s">
        <v>1419</v>
      </c>
      <c r="D1928" s="405">
        <v>341</v>
      </c>
      <c r="E1928" s="871" t="s">
        <v>8</v>
      </c>
      <c r="F1928" s="406">
        <v>8</v>
      </c>
      <c r="G1928" s="405">
        <v>342</v>
      </c>
      <c r="H1928" s="871" t="s">
        <v>8</v>
      </c>
      <c r="I1928" s="406">
        <v>3</v>
      </c>
      <c r="J1928" s="383"/>
      <c r="K1928" s="350"/>
      <c r="L1928" s="876"/>
      <c r="M1928" s="298"/>
      <c r="N1928" s="876">
        <f>N1920</f>
        <v>428.4</v>
      </c>
      <c r="O1928" s="313"/>
      <c r="P1928" s="363"/>
      <c r="Q1928" s="363"/>
      <c r="R1928" s="902"/>
      <c r="S1928" s="738">
        <f t="shared" si="161"/>
        <v>856.8</v>
      </c>
      <c r="T1928" s="738" t="str">
        <f t="shared" si="162"/>
        <v>M3</v>
      </c>
      <c r="U1928" s="738"/>
      <c r="V1928" s="741"/>
      <c r="W1928" s="742"/>
      <c r="X1928" s="742"/>
      <c r="Y1928" s="742"/>
      <c r="Z1928" s="712"/>
      <c r="AA1928" s="743"/>
    </row>
    <row r="1929" spans="1:32" x14ac:dyDescent="0.2">
      <c r="A1929" s="897"/>
      <c r="B1929" s="349"/>
      <c r="C1929" s="580" t="s">
        <v>1378</v>
      </c>
      <c r="D1929" s="405">
        <v>536</v>
      </c>
      <c r="E1929" s="871" t="s">
        <v>8</v>
      </c>
      <c r="F1929" s="406">
        <v>6</v>
      </c>
      <c r="G1929" s="405">
        <v>536</v>
      </c>
      <c r="H1929" s="871" t="s">
        <v>8</v>
      </c>
      <c r="I1929" s="780">
        <v>16</v>
      </c>
      <c r="J1929" s="383"/>
      <c r="K1929" s="350"/>
      <c r="L1929" s="876"/>
      <c r="M1929" s="298"/>
      <c r="N1929" s="876">
        <f>N1922</f>
        <v>428.4</v>
      </c>
      <c r="O1929" s="740"/>
      <c r="P1929" s="881"/>
      <c r="Q1929" s="880"/>
      <c r="R1929" s="898"/>
      <c r="S1929" s="738">
        <f t="shared" si="161"/>
        <v>856.8</v>
      </c>
      <c r="T1929" s="738" t="str">
        <f t="shared" si="162"/>
        <v>M3</v>
      </c>
      <c r="U1929" s="738"/>
      <c r="V1929" s="738"/>
      <c r="AA1929" s="743"/>
      <c r="AF1929" s="288">
        <v>17</v>
      </c>
    </row>
    <row r="1930" spans="1:32" x14ac:dyDescent="0.2">
      <c r="A1930" s="899"/>
      <c r="B1930" s="353"/>
      <c r="C1930" s="354" t="s">
        <v>2</v>
      </c>
      <c r="D1930" s="355"/>
      <c r="E1930" s="352"/>
      <c r="F1930" s="356"/>
      <c r="G1930" s="355"/>
      <c r="H1930" s="356"/>
      <c r="I1930" s="356"/>
      <c r="J1930" s="353"/>
      <c r="K1930" s="357"/>
      <c r="L1930" s="358"/>
      <c r="M1930" s="359"/>
      <c r="N1930" s="360">
        <f>SUM(N1928:N1929)</f>
        <v>856.8</v>
      </c>
      <c r="O1930" s="361" t="str">
        <f>IF(MID(B1926,1,2)="LG",VLOOKUP(B1926,'Compos lug'!J:M,4,FALSE),IF(MID(B1926,1,1)="6",VLOOKUP(B1926,tranp.!$A$6:$K$51,3,FALSE),VLOOKUP(B1926,'DER 10-18'!$A$1:$I$1981,3,FALSE)))</f>
        <v>M3</v>
      </c>
      <c r="P1930" s="362"/>
      <c r="Q1930" s="362"/>
      <c r="R1930" s="900"/>
      <c r="S1930" s="738">
        <f t="shared" si="161"/>
        <v>222.6</v>
      </c>
      <c r="T1930" s="738" t="str">
        <f t="shared" si="162"/>
        <v>M3</v>
      </c>
      <c r="U1930" s="738"/>
      <c r="V1930" s="738"/>
      <c r="AA1930" s="743"/>
      <c r="AF1930" s="288">
        <v>21</v>
      </c>
    </row>
    <row r="1931" spans="1:32" x14ac:dyDescent="0.2">
      <c r="A1931" s="294"/>
      <c r="B1931" s="293"/>
      <c r="C1931" s="343"/>
      <c r="F1931" s="675"/>
      <c r="G1931" s="296"/>
      <c r="H1931" s="292"/>
      <c r="K1931" s="298"/>
      <c r="M1931" s="298"/>
      <c r="N1931" s="314"/>
      <c r="O1931" s="344"/>
      <c r="P1931" s="315"/>
      <c r="Q1931" s="315"/>
      <c r="R1931" s="903"/>
      <c r="S1931" s="738">
        <f t="shared" si="161"/>
        <v>222.6</v>
      </c>
      <c r="T1931" s="738" t="str">
        <f t="shared" si="162"/>
        <v>M3</v>
      </c>
      <c r="U1931" s="738"/>
    </row>
    <row r="1932" spans="1:32" x14ac:dyDescent="0.2">
      <c r="A1932" s="895" t="s">
        <v>1872</v>
      </c>
      <c r="B1932" s="666">
        <v>43340</v>
      </c>
      <c r="C1932" s="347" t="str">
        <f>IF(MID(B1932,1,2)="LG",VLOOKUP(B1932,'Compos lug'!J:M,3,FALSE),IF(MID(B1932,1,1)="6",VLOOKUP(B1932,tranp.!$A$4:$K$19,11,FALSE)&amp;" -  XP="&amp;TEXT(T1932,"0.000")&amp;" / XR="&amp;TEXT(V1932,"0.000"),VLOOKUP(B1932,'DER 10-18'!$A$1:$I$1981,2,FALSE)))</f>
        <v>Compactação de aterros 100% P.I.</v>
      </c>
      <c r="D1932" s="1059"/>
      <c r="E1932" s="1060"/>
      <c r="F1932" s="1061"/>
      <c r="G1932" s="1059"/>
      <c r="H1932" s="1060"/>
      <c r="I1932" s="1061"/>
      <c r="J1932" s="349"/>
      <c r="K1932" s="876"/>
      <c r="L1932" s="876"/>
      <c r="M1932" s="876"/>
      <c r="N1932" s="876" t="str">
        <f>CONCATENATE("Total (",IF(MID(B1932,1,2)="LG",VLOOKUP(B1932,'Compos lug'!J:M,4,FALSE),IF(MID(B1932,1,1)="6","t",VLOOKUP(B1932,'DER 10-18'!$A$1:$I$1981,3,FALSE))),")")</f>
        <v>Total (M3)</v>
      </c>
      <c r="O1932" s="313"/>
      <c r="P1932" s="315"/>
      <c r="Q1932" s="315"/>
      <c r="R1932" s="909"/>
      <c r="S1932" s="738">
        <f t="shared" si="161"/>
        <v>222.6</v>
      </c>
      <c r="T1932" s="738" t="str">
        <f t="shared" si="162"/>
        <v>M3</v>
      </c>
      <c r="U1932" s="738"/>
    </row>
    <row r="1933" spans="1:32" x14ac:dyDescent="0.2">
      <c r="A1933" s="294"/>
      <c r="B1933" s="293"/>
      <c r="C1933" s="744" t="s">
        <v>1552</v>
      </c>
      <c r="N1933" s="876"/>
      <c r="R1933" s="912"/>
      <c r="S1933" s="738">
        <f t="shared" si="161"/>
        <v>222.6</v>
      </c>
      <c r="T1933" s="738" t="str">
        <f t="shared" si="162"/>
        <v>M3</v>
      </c>
    </row>
    <row r="1934" spans="1:32" x14ac:dyDescent="0.2">
      <c r="A1934" s="294"/>
      <c r="B1934" s="293"/>
      <c r="C1934" s="384" t="s">
        <v>1488</v>
      </c>
      <c r="D1934" s="405"/>
      <c r="E1934" s="871"/>
      <c r="F1934" s="406"/>
      <c r="G1934" s="405"/>
      <c r="H1934" s="871"/>
      <c r="I1934" s="780"/>
      <c r="J1934" s="383"/>
      <c r="K1934" s="875"/>
      <c r="M1934" s="875"/>
      <c r="N1934" s="876">
        <v>222.6</v>
      </c>
      <c r="P1934" s="301" t="s">
        <v>1506</v>
      </c>
      <c r="R1934" s="912"/>
      <c r="S1934" s="738">
        <f t="shared" si="161"/>
        <v>222.6</v>
      </c>
      <c r="T1934" s="738" t="str">
        <f t="shared" si="162"/>
        <v>M3</v>
      </c>
      <c r="U1934" s="738"/>
    </row>
    <row r="1935" spans="1:32" x14ac:dyDescent="0.2">
      <c r="A1935" s="899"/>
      <c r="B1935" s="353"/>
      <c r="C1935" s="354" t="s">
        <v>2</v>
      </c>
      <c r="D1935" s="355"/>
      <c r="E1935" s="352"/>
      <c r="F1935" s="677"/>
      <c r="G1935" s="678"/>
      <c r="H1935" s="356"/>
      <c r="I1935" s="356"/>
      <c r="J1935" s="353"/>
      <c r="K1935" s="358"/>
      <c r="L1935" s="358"/>
      <c r="M1935" s="358"/>
      <c r="N1935" s="360">
        <f>SUM(N1934:N1934)</f>
        <v>222.6</v>
      </c>
      <c r="O1935" s="361" t="str">
        <f>IF(MID(B1932,1,2)="LG",VLOOKUP(B1932,'Compos lug'!J:M,4,FALSE),IF(MID(B1932,1,1)="6",VLOOKUP(B1932,tranp.!$A$6:$K$51,3,FALSE),VLOOKUP(B1932,'DER 10-18'!$A$1:$I$1981,3,FALSE)))</f>
        <v>M3</v>
      </c>
      <c r="P1935" s="362"/>
      <c r="Q1935" s="362"/>
      <c r="R1935" s="900"/>
      <c r="S1935" s="738">
        <f t="shared" si="161"/>
        <v>338.9</v>
      </c>
      <c r="T1935" s="738" t="str">
        <f t="shared" si="162"/>
        <v>M3</v>
      </c>
      <c r="U1935" s="738"/>
    </row>
    <row r="1936" spans="1:32" x14ac:dyDescent="0.2">
      <c r="A1936" s="294"/>
      <c r="B1936" s="293"/>
      <c r="C1936" s="343"/>
      <c r="F1936" s="675"/>
      <c r="G1936" s="296"/>
      <c r="H1936" s="292"/>
      <c r="K1936" s="298"/>
      <c r="M1936" s="298"/>
      <c r="N1936" s="314"/>
      <c r="O1936" s="344"/>
      <c r="P1936" s="315"/>
      <c r="Q1936" s="315"/>
      <c r="R1936" s="903"/>
      <c r="S1936" s="738">
        <f t="shared" si="161"/>
        <v>338.9</v>
      </c>
      <c r="T1936" s="738" t="str">
        <f t="shared" si="162"/>
        <v>M3</v>
      </c>
      <c r="U1936" s="738"/>
    </row>
    <row r="1937" spans="1:21" x14ac:dyDescent="0.2">
      <c r="A1937" s="895" t="s">
        <v>1873</v>
      </c>
      <c r="B1937" s="666">
        <v>40228</v>
      </c>
      <c r="C1937" s="347" t="str">
        <f>IF(MID(B1937,1,2)="LG",VLOOKUP(B1937,'Compos lug'!J:M,3,FALSE),IF(MID(B1937,1,1)="6",VLOOKUP(B1937,tranp.!$A$4:$K$19,11,FALSE)&amp;" -  XP="&amp;TEXT(T1937,"0.000")&amp;" / XR="&amp;TEXT(V1937,"0.000"),VLOOKUP(B1937,'DER 10-18'!$A$1:$I$1981,2,FALSE)))</f>
        <v>Compactação de aterros 100% PN</v>
      </c>
      <c r="D1937" s="1059"/>
      <c r="E1937" s="1060"/>
      <c r="F1937" s="1061"/>
      <c r="G1937" s="1059"/>
      <c r="H1937" s="1060"/>
      <c r="I1937" s="1061"/>
      <c r="J1937" s="349"/>
      <c r="K1937" s="876"/>
      <c r="L1937" s="876"/>
      <c r="M1937" s="876"/>
      <c r="N1937" s="876" t="str">
        <f>CONCATENATE("Total (",IF(MID(B1937,1,2)="LG",VLOOKUP(B1937,'Compos lug'!J:M,4,FALSE),IF(MID(B1937,1,1)="6","t",VLOOKUP(B1937,'DER 10-18'!$A$1:$I$1981,3,FALSE))),")")</f>
        <v>Total (M3)</v>
      </c>
      <c r="O1937" s="313"/>
      <c r="P1937" s="315"/>
      <c r="Q1937" s="315"/>
      <c r="R1937" s="909"/>
      <c r="S1937" s="738">
        <f t="shared" si="161"/>
        <v>338.9</v>
      </c>
      <c r="T1937" s="738" t="str">
        <f t="shared" si="162"/>
        <v>M3</v>
      </c>
      <c r="U1937" s="738"/>
    </row>
    <row r="1938" spans="1:21" x14ac:dyDescent="0.2">
      <c r="A1938" s="294"/>
      <c r="B1938" s="293"/>
      <c r="C1938" s="744" t="s">
        <v>1552</v>
      </c>
      <c r="N1938" s="876"/>
      <c r="R1938" s="912"/>
      <c r="S1938" s="738">
        <f t="shared" ref="S1938:S2001" si="164">VLOOKUP("Total",C1939:O3675,12,FALSE)</f>
        <v>338.9</v>
      </c>
      <c r="T1938" s="738" t="str">
        <f t="shared" ref="T1938:T2001" si="165">VLOOKUP("Total",C1939:O3675,13,FALSE)</f>
        <v>M3</v>
      </c>
    </row>
    <row r="1939" spans="1:21" x14ac:dyDescent="0.2">
      <c r="A1939" s="294"/>
      <c r="B1939" s="293"/>
      <c r="C1939" s="384" t="s">
        <v>1488</v>
      </c>
      <c r="D1939" s="405"/>
      <c r="E1939" s="871"/>
      <c r="F1939" s="406"/>
      <c r="G1939" s="405"/>
      <c r="H1939" s="871"/>
      <c r="I1939" s="780"/>
      <c r="J1939" s="383"/>
      <c r="K1939" s="875"/>
      <c r="M1939" s="875"/>
      <c r="N1939" s="876">
        <v>338.9</v>
      </c>
      <c r="P1939" s="301" t="s">
        <v>1506</v>
      </c>
      <c r="R1939" s="912"/>
      <c r="S1939" s="738">
        <f t="shared" si="164"/>
        <v>338.9</v>
      </c>
      <c r="T1939" s="738" t="str">
        <f t="shared" si="165"/>
        <v>M3</v>
      </c>
      <c r="U1939" s="738"/>
    </row>
    <row r="1940" spans="1:21" x14ac:dyDescent="0.2">
      <c r="A1940" s="899"/>
      <c r="B1940" s="353"/>
      <c r="C1940" s="354" t="s">
        <v>2</v>
      </c>
      <c r="D1940" s="355"/>
      <c r="E1940" s="352"/>
      <c r="F1940" s="677"/>
      <c r="G1940" s="678"/>
      <c r="H1940" s="356"/>
      <c r="I1940" s="356"/>
      <c r="J1940" s="353"/>
      <c r="K1940" s="358"/>
      <c r="L1940" s="358"/>
      <c r="M1940" s="358"/>
      <c r="N1940" s="360">
        <f>SUM(N1939:N1939)</f>
        <v>338.9</v>
      </c>
      <c r="O1940" s="361" t="str">
        <f>IF(MID(B1937,1,2)="LG",VLOOKUP(B1937,'Compos lug'!J:M,4,FALSE),IF(MID(B1937,1,1)="6",VLOOKUP(B1937,tranp.!$A$6:$K$51,3,FALSE),VLOOKUP(B1937,'DER 10-18'!$A$1:$I$1981,3,FALSE)))</f>
        <v>M3</v>
      </c>
      <c r="P1940" s="362"/>
      <c r="Q1940" s="362"/>
      <c r="R1940" s="900"/>
      <c r="S1940" s="738">
        <f t="shared" si="164"/>
        <v>50</v>
      </c>
      <c r="T1940" s="738" t="str">
        <f t="shared" si="165"/>
        <v>M3</v>
      </c>
      <c r="U1940" s="738"/>
    </row>
    <row r="1941" spans="1:21" x14ac:dyDescent="0.2">
      <c r="A1941" s="294"/>
      <c r="B1941" s="293"/>
      <c r="C1941" s="343"/>
      <c r="H1941" s="292"/>
      <c r="N1941" s="314"/>
      <c r="O1941" s="344"/>
      <c r="P1941" s="315"/>
      <c r="Q1941" s="315"/>
      <c r="R1941" s="903"/>
      <c r="S1941" s="738">
        <f t="shared" si="164"/>
        <v>50</v>
      </c>
      <c r="T1941" s="738" t="str">
        <f t="shared" si="165"/>
        <v>M3</v>
      </c>
      <c r="U1941" s="738"/>
    </row>
    <row r="1942" spans="1:21" ht="25.5" x14ac:dyDescent="0.2">
      <c r="A1942" s="895" t="s">
        <v>1874</v>
      </c>
      <c r="B1942" s="666">
        <v>40780</v>
      </c>
      <c r="C1942" s="347" t="str">
        <f>IF(MID(B1942,1,2)="LG",VLOOKUP(B1942,'Compos lug'!J:M,3,FALSE),IF(MID(B1942,1,1)="6",VLOOKUP(B1942,tranp.!$A$4:$K$19,11,FALSE)&amp;" -  XP="&amp;TEXT(T1942,"0.000")&amp;" / XR="&amp;TEXT(V1942,"0.000"),VLOOKUP(B1942,'DER 10-18'!$A$1:$I$1981,2,FALSE)))</f>
        <v>Sub-base solo brita, 50% em peso, inclusive fornecimento e transporte da brita</v>
      </c>
      <c r="D1942" s="1059" t="s">
        <v>1000</v>
      </c>
      <c r="E1942" s="1060"/>
      <c r="F1942" s="1061"/>
      <c r="G1942" s="1059" t="s">
        <v>1001</v>
      </c>
      <c r="H1942" s="1060"/>
      <c r="I1942" s="1061"/>
      <c r="J1942" s="349" t="s">
        <v>989</v>
      </c>
      <c r="K1942" s="876" t="s">
        <v>998</v>
      </c>
      <c r="L1942" s="876" t="s">
        <v>994</v>
      </c>
      <c r="M1942" s="876" t="s">
        <v>1009</v>
      </c>
      <c r="N1942" s="876" t="str">
        <f>CONCATENATE("Total (",IF(MID(B1942,1,2)="LG",VLOOKUP(B1942,'Compos lug'!J:M,4,FALSE),IF(MID(B1942,1,1)="6","t",VLOOKUP(B1942,'DER 10-18'!$A$1:$I$1981,3,FALSE))),")")</f>
        <v>Total (M3)</v>
      </c>
      <c r="O1942" s="313"/>
      <c r="P1942" s="315"/>
      <c r="Q1942" s="315"/>
      <c r="R1942" s="909"/>
      <c r="S1942" s="738">
        <f t="shared" si="164"/>
        <v>50</v>
      </c>
      <c r="T1942" s="738" t="str">
        <f t="shared" si="165"/>
        <v>M3</v>
      </c>
      <c r="U1942" s="738"/>
    </row>
    <row r="1943" spans="1:21" x14ac:dyDescent="0.2">
      <c r="A1943" s="294"/>
      <c r="B1943" s="293"/>
      <c r="C1943" s="744" t="s">
        <v>1552</v>
      </c>
      <c r="N1943" s="876"/>
      <c r="R1943" s="912"/>
      <c r="S1943" s="738">
        <f t="shared" si="164"/>
        <v>50</v>
      </c>
      <c r="T1943" s="738" t="str">
        <f t="shared" si="165"/>
        <v>M3</v>
      </c>
    </row>
    <row r="1944" spans="1:21" x14ac:dyDescent="0.2">
      <c r="A1944" s="913"/>
      <c r="B1944" s="666"/>
      <c r="C1944" s="384" t="s">
        <v>1488</v>
      </c>
      <c r="D1944" s="870">
        <v>1000</v>
      </c>
      <c r="E1944" s="871" t="s">
        <v>8</v>
      </c>
      <c r="F1944" s="667">
        <v>0</v>
      </c>
      <c r="G1944" s="871">
        <v>1005</v>
      </c>
      <c r="H1944" s="871" t="s">
        <v>8</v>
      </c>
      <c r="I1944" s="668">
        <v>0</v>
      </c>
      <c r="J1944" s="349"/>
      <c r="K1944" s="876">
        <f t="shared" ref="K1944" si="166">(G1944*20+I1944)-(D1944*20+F1944)</f>
        <v>100</v>
      </c>
      <c r="L1944" s="876">
        <v>5</v>
      </c>
      <c r="M1944" s="298">
        <v>0.1</v>
      </c>
      <c r="N1944" s="876">
        <f>TRUNC(K1944*L1944*M1944,3)</f>
        <v>50</v>
      </c>
      <c r="O1944" s="313"/>
      <c r="P1944" s="315"/>
      <c r="Q1944" s="315"/>
      <c r="R1944" s="909"/>
      <c r="S1944" s="738">
        <f t="shared" si="164"/>
        <v>50</v>
      </c>
      <c r="T1944" s="738" t="str">
        <f t="shared" si="165"/>
        <v>M3</v>
      </c>
      <c r="U1944" s="738"/>
    </row>
    <row r="1945" spans="1:21" x14ac:dyDescent="0.2">
      <c r="A1945" s="899"/>
      <c r="B1945" s="353"/>
      <c r="C1945" s="354" t="s">
        <v>2</v>
      </c>
      <c r="D1945" s="355"/>
      <c r="E1945" s="352"/>
      <c r="F1945" s="356"/>
      <c r="G1945" s="355"/>
      <c r="H1945" s="356"/>
      <c r="I1945" s="356"/>
      <c r="J1945" s="353"/>
      <c r="K1945" s="357"/>
      <c r="L1945" s="358"/>
      <c r="M1945" s="359"/>
      <c r="N1945" s="724">
        <f>SUM(N1944:N1944)</f>
        <v>50</v>
      </c>
      <c r="O1945" s="361" t="str">
        <f>IF(MID(B1942,1,2)="LG",VLOOKUP(B1942,'Compos lug'!J:M,4,FALSE),IF(MID(B1942,1,1)="6",VLOOKUP(B1942,tranp.!$A$6:$K$51,3,FALSE),VLOOKUP(B1942,'DER 10-18'!$A$1:$I$1981,3,FALSE)))</f>
        <v>M3</v>
      </c>
      <c r="P1945" s="362"/>
      <c r="Q1945" s="362"/>
      <c r="R1945" s="900"/>
      <c r="S1945" s="738">
        <f t="shared" si="164"/>
        <v>28.75</v>
      </c>
      <c r="T1945" s="738" t="str">
        <f t="shared" si="165"/>
        <v>M3</v>
      </c>
      <c r="U1945" s="738"/>
    </row>
    <row r="1946" spans="1:21" x14ac:dyDescent="0.2">
      <c r="A1946" s="294"/>
      <c r="B1946" s="293"/>
      <c r="C1946" s="343"/>
      <c r="H1946" s="292"/>
      <c r="N1946" s="314"/>
      <c r="O1946" s="344"/>
      <c r="P1946" s="315"/>
      <c r="Q1946" s="315"/>
      <c r="R1946" s="903"/>
      <c r="S1946" s="738">
        <f t="shared" si="164"/>
        <v>28.75</v>
      </c>
      <c r="T1946" s="738" t="str">
        <f t="shared" si="165"/>
        <v>M3</v>
      </c>
      <c r="U1946" s="738"/>
    </row>
    <row r="1947" spans="1:21" ht="27.75" customHeight="1" x14ac:dyDescent="0.2">
      <c r="A1947" s="895" t="s">
        <v>1875</v>
      </c>
      <c r="B1947" s="666">
        <v>40230</v>
      </c>
      <c r="C1947" s="347" t="str">
        <f>IF(MID(B1947,1,2)="LG",VLOOKUP(B1947,'Compos lug'!J:M,3,FALSE),IF(MID(B1947,1,1)="6",VLOOKUP(B1947,tranp.!$A$4:$K$19,11,FALSE)&amp;" -  XP="&amp;TEXT(T1947,"0.000")&amp;" / XR="&amp;TEXT(V1947,"0.000"),VLOOKUP(B1947,'DER 10-18'!$A$1:$I$1981,2,FALSE)))</f>
        <v>Escavação e carga de material de 1ª categoria com escavadeira</v>
      </c>
      <c r="D1947" s="1059" t="s">
        <v>1000</v>
      </c>
      <c r="E1947" s="1060"/>
      <c r="F1947" s="1061"/>
      <c r="G1947" s="1059" t="s">
        <v>1001</v>
      </c>
      <c r="H1947" s="1060"/>
      <c r="I1947" s="1061"/>
      <c r="J1947" s="876" t="s">
        <v>17</v>
      </c>
      <c r="K1947" s="876" t="s">
        <v>1572</v>
      </c>
      <c r="L1947" s="876" t="s">
        <v>1424</v>
      </c>
      <c r="M1947" s="876"/>
      <c r="N1947" s="876" t="str">
        <f>CONCATENATE("Total (",IF(MID(B1947,1,2)="LG",VLOOKUP(B1947,'Compos lug'!J:M,4,FALSE),IF(MID(B1947,1,1)="6","t",VLOOKUP(B1947,'DER 10-18'!$A$1:$I$1981,3,FALSE))),")")</f>
        <v>Total (M3)</v>
      </c>
      <c r="O1947" s="313"/>
      <c r="P1947" s="315"/>
      <c r="Q1947" s="315"/>
      <c r="R1947" s="909"/>
      <c r="S1947" s="738">
        <f t="shared" si="164"/>
        <v>28.75</v>
      </c>
      <c r="T1947" s="738" t="str">
        <f t="shared" si="165"/>
        <v>M3</v>
      </c>
      <c r="U1947" s="738"/>
    </row>
    <row r="1948" spans="1:21" x14ac:dyDescent="0.2">
      <c r="A1948" s="294"/>
      <c r="B1948" s="293"/>
      <c r="C1948" s="744" t="s">
        <v>1552</v>
      </c>
      <c r="N1948" s="876"/>
      <c r="R1948" s="912"/>
      <c r="S1948" s="738">
        <f t="shared" si="164"/>
        <v>28.75</v>
      </c>
      <c r="T1948" s="738" t="str">
        <f t="shared" si="165"/>
        <v>M3</v>
      </c>
    </row>
    <row r="1949" spans="1:21" x14ac:dyDescent="0.2">
      <c r="A1949" s="913"/>
      <c r="B1949" s="666"/>
      <c r="C1949" s="347" t="s">
        <v>1274</v>
      </c>
      <c r="D1949" s="870"/>
      <c r="E1949" s="871"/>
      <c r="F1949" s="667"/>
      <c r="G1949" s="871"/>
      <c r="H1949" s="871"/>
      <c r="I1949" s="668"/>
      <c r="J1949" s="876"/>
      <c r="K1949" s="876"/>
      <c r="M1949" s="298"/>
      <c r="N1949" s="876"/>
      <c r="O1949" s="313"/>
      <c r="Q1949" s="315"/>
      <c r="R1949" s="909"/>
      <c r="S1949" s="738">
        <f t="shared" si="164"/>
        <v>28.75</v>
      </c>
      <c r="T1949" s="738" t="str">
        <f t="shared" si="165"/>
        <v>M3</v>
      </c>
      <c r="U1949" s="738"/>
    </row>
    <row r="1950" spans="1:21" x14ac:dyDescent="0.2">
      <c r="A1950" s="913"/>
      <c r="B1950" s="666"/>
      <c r="C1950" s="384" t="s">
        <v>1488</v>
      </c>
      <c r="D1950" s="870">
        <v>1000</v>
      </c>
      <c r="E1950" s="871" t="s">
        <v>8</v>
      </c>
      <c r="F1950" s="667">
        <v>0</v>
      </c>
      <c r="G1950" s="871">
        <v>1005</v>
      </c>
      <c r="H1950" s="871" t="s">
        <v>8</v>
      </c>
      <c r="I1950" s="668">
        <v>0</v>
      </c>
      <c r="J1950" s="691">
        <v>50</v>
      </c>
      <c r="K1950" s="876">
        <f>N1944</f>
        <v>50</v>
      </c>
      <c r="L1950" s="876">
        <v>1.1499999999999999</v>
      </c>
      <c r="M1950" s="298"/>
      <c r="N1950" s="876">
        <f>TRUNC(J1950/100*K1950*L1950,3)</f>
        <v>28.75</v>
      </c>
      <c r="O1950" s="313"/>
      <c r="Q1950" s="315"/>
      <c r="R1950" s="909"/>
      <c r="S1950" s="738">
        <f t="shared" si="164"/>
        <v>28.75</v>
      </c>
      <c r="T1950" s="738" t="str">
        <f t="shared" si="165"/>
        <v>M3</v>
      </c>
      <c r="U1950" s="738"/>
    </row>
    <row r="1951" spans="1:21" x14ac:dyDescent="0.2">
      <c r="A1951" s="899"/>
      <c r="B1951" s="353"/>
      <c r="C1951" s="354" t="s">
        <v>2</v>
      </c>
      <c r="D1951" s="355"/>
      <c r="E1951" s="352"/>
      <c r="F1951" s="356"/>
      <c r="G1951" s="355"/>
      <c r="H1951" s="356"/>
      <c r="I1951" s="356"/>
      <c r="J1951" s="353"/>
      <c r="K1951" s="360"/>
      <c r="L1951" s="358"/>
      <c r="M1951" s="359"/>
      <c r="N1951" s="360">
        <f>SUM(N1949:N1950)</f>
        <v>28.75</v>
      </c>
      <c r="O1951" s="361" t="str">
        <f>IF(MID(B1947,1,2)="LG",VLOOKUP(B1947,'Compos lug'!J:M,4,FALSE),IF(MID(B1947,1,1)="6",VLOOKUP(B1947,tranp.!$A$6:$K$51,3,FALSE),VLOOKUP(B1947,'DER 10-18'!$A$1:$I$1981,3,FALSE)))</f>
        <v>M3</v>
      </c>
      <c r="P1951" s="362"/>
      <c r="Q1951" s="362"/>
      <c r="R1951" s="900"/>
      <c r="S1951" s="738">
        <f t="shared" si="164"/>
        <v>10</v>
      </c>
      <c r="T1951" s="738" t="str">
        <f t="shared" si="165"/>
        <v>M</v>
      </c>
      <c r="U1951" s="738"/>
    </row>
    <row r="1952" spans="1:21" x14ac:dyDescent="0.2">
      <c r="A1952" s="294"/>
      <c r="B1952" s="293"/>
      <c r="C1952" s="343"/>
      <c r="F1952" s="675"/>
      <c r="G1952" s="296"/>
      <c r="H1952" s="292"/>
      <c r="K1952" s="298"/>
      <c r="M1952" s="298"/>
      <c r="N1952" s="314"/>
      <c r="O1952" s="344"/>
      <c r="P1952" s="315"/>
      <c r="Q1952" s="315"/>
      <c r="R1952" s="903"/>
      <c r="S1952" s="738">
        <f t="shared" si="164"/>
        <v>10</v>
      </c>
      <c r="T1952" s="738" t="str">
        <f t="shared" si="165"/>
        <v>M</v>
      </c>
      <c r="U1952" s="738"/>
    </row>
    <row r="1953" spans="1:32" ht="42" customHeight="1" x14ac:dyDescent="0.2">
      <c r="A1953" s="895" t="s">
        <v>1876</v>
      </c>
      <c r="B1953" s="666">
        <v>40483</v>
      </c>
      <c r="C1953" s="347" t="str">
        <f>IF(MID(B1953,1,2)="LG",VLOOKUP(B1953,'Compos lug'!J:M,3,FALSE),IF(MID(B1953,1,1)="6",VLOOKUP(B1953,tranp.!$A$4:$K$19,11,FALSE)&amp;" -  XP="&amp;TEXT(T1953,"0.000")&amp;" / XR="&amp;TEXT(V1953,"0.000"),VLOOKUP(B1953,'DER 10-18'!$A$1:$I$1981,2,FALSE)))</f>
        <v>Corpo BDTC (grota) diâmetro 1,20 m CA-2 PB exclusive escavação e reaterro, inclusive transporte do tubo</v>
      </c>
      <c r="D1953" s="1059" t="s">
        <v>1000</v>
      </c>
      <c r="E1953" s="1060"/>
      <c r="F1953" s="1061"/>
      <c r="G1953" s="1059" t="s">
        <v>1001</v>
      </c>
      <c r="H1953" s="1060"/>
      <c r="I1953" s="1061"/>
      <c r="J1953" s="349"/>
      <c r="K1953" s="876"/>
      <c r="L1953" s="876"/>
      <c r="M1953" s="876"/>
      <c r="N1953" s="876" t="str">
        <f>CONCATENATE("Total (",IF(MID(B1953,1,2)="LG",VLOOKUP(B1953,'Compos lug'!J:M,4,FALSE),IF(MID(B1953,1,1)="6","t",VLOOKUP(B1953,'DER 10-18'!$A$1:$I$1981,3,FALSE))),")")</f>
        <v>Total (M)</v>
      </c>
      <c r="O1953" s="313"/>
      <c r="P1953" s="315"/>
      <c r="Q1953" s="315"/>
      <c r="R1953" s="909"/>
      <c r="S1953" s="738">
        <f t="shared" si="164"/>
        <v>10</v>
      </c>
      <c r="T1953" s="738" t="str">
        <f t="shared" si="165"/>
        <v>M</v>
      </c>
      <c r="U1953" s="738"/>
    </row>
    <row r="1954" spans="1:32" x14ac:dyDescent="0.2">
      <c r="A1954" s="294"/>
      <c r="B1954" s="293"/>
      <c r="C1954" s="744" t="s">
        <v>1552</v>
      </c>
      <c r="N1954" s="876"/>
      <c r="R1954" s="912"/>
      <c r="S1954" s="738">
        <f t="shared" si="164"/>
        <v>10</v>
      </c>
      <c r="T1954" s="738" t="str">
        <f t="shared" si="165"/>
        <v>M</v>
      </c>
    </row>
    <row r="1955" spans="1:32" x14ac:dyDescent="0.2">
      <c r="A1955" s="294"/>
      <c r="B1955" s="293"/>
      <c r="C1955" s="384" t="s">
        <v>1488</v>
      </c>
      <c r="D1955" s="405">
        <v>1002</v>
      </c>
      <c r="E1955" s="871" t="s">
        <v>8</v>
      </c>
      <c r="F1955" s="406">
        <v>0</v>
      </c>
      <c r="G1955" s="405"/>
      <c r="H1955" s="871"/>
      <c r="I1955" s="780"/>
      <c r="J1955" s="383"/>
      <c r="K1955" s="875"/>
      <c r="M1955" s="875"/>
      <c r="N1955" s="876">
        <v>10</v>
      </c>
      <c r="P1955" s="301" t="s">
        <v>1506</v>
      </c>
      <c r="R1955" s="912"/>
      <c r="S1955" s="738">
        <f t="shared" si="164"/>
        <v>10</v>
      </c>
      <c r="T1955" s="738" t="str">
        <f t="shared" si="165"/>
        <v>M</v>
      </c>
      <c r="U1955" s="738"/>
    </row>
    <row r="1956" spans="1:32" x14ac:dyDescent="0.2">
      <c r="A1956" s="899"/>
      <c r="B1956" s="353"/>
      <c r="C1956" s="354" t="s">
        <v>2</v>
      </c>
      <c r="D1956" s="355"/>
      <c r="E1956" s="352"/>
      <c r="F1956" s="677"/>
      <c r="G1956" s="678"/>
      <c r="H1956" s="356"/>
      <c r="I1956" s="356"/>
      <c r="J1956" s="353"/>
      <c r="K1956" s="358"/>
      <c r="L1956" s="358"/>
      <c r="M1956" s="358"/>
      <c r="N1956" s="360">
        <f>SUM(N1955:N1955)</f>
        <v>10</v>
      </c>
      <c r="O1956" s="361" t="str">
        <f>IF(MID(B1953,1,2)="LG",VLOOKUP(B1953,'Compos lug'!J:M,4,FALSE),IF(MID(B1953,1,1)="6",VLOOKUP(B1953,tranp.!$A$6:$K$51,3,FALSE),VLOOKUP(B1953,'DER 10-18'!$A$1:$I$1981,3,FALSE)))</f>
        <v>M</v>
      </c>
      <c r="P1956" s="362"/>
      <c r="Q1956" s="362"/>
      <c r="R1956" s="900"/>
      <c r="S1956" s="738">
        <f t="shared" si="164"/>
        <v>2</v>
      </c>
      <c r="T1956" s="738" t="str">
        <f t="shared" si="165"/>
        <v>Ud</v>
      </c>
      <c r="U1956" s="738"/>
    </row>
    <row r="1957" spans="1:32" x14ac:dyDescent="0.2">
      <c r="A1957" s="294"/>
      <c r="B1957" s="293"/>
      <c r="C1957" s="343"/>
      <c r="F1957" s="675"/>
      <c r="G1957" s="296"/>
      <c r="H1957" s="292"/>
      <c r="K1957" s="298"/>
      <c r="M1957" s="298"/>
      <c r="N1957" s="314"/>
      <c r="O1957" s="344"/>
      <c r="P1957" s="315"/>
      <c r="Q1957" s="315"/>
      <c r="R1957" s="903"/>
      <c r="S1957" s="738">
        <f t="shared" si="164"/>
        <v>2</v>
      </c>
      <c r="T1957" s="738" t="str">
        <f t="shared" si="165"/>
        <v>Ud</v>
      </c>
      <c r="U1957" s="738"/>
    </row>
    <row r="1958" spans="1:32" x14ac:dyDescent="0.2">
      <c r="A1958" s="895" t="s">
        <v>1877</v>
      </c>
      <c r="B1958" s="666">
        <v>40538</v>
      </c>
      <c r="C1958" s="347" t="str">
        <f>IF(MID(B1958,1,2)="LG",VLOOKUP(B1958,'Compos lug'!J:M,3,FALSE),IF(MID(B1958,1,1)="6",VLOOKUP(B1958,tranp.!$A$4:$K$19,11,FALSE)&amp;" -  XP="&amp;TEXT(T1958,"0.000")&amp;" / XR="&amp;TEXT(V1958,"0.000"),VLOOKUP(B1958,'DER 10-18'!$A$1:$I$1981,2,FALSE)))</f>
        <v>Boca de concreto ciclópico para BDTC diâmetro 1,20 m</v>
      </c>
      <c r="D1958" s="1059" t="s">
        <v>1000</v>
      </c>
      <c r="E1958" s="1060"/>
      <c r="F1958" s="1061"/>
      <c r="G1958" s="1059" t="s">
        <v>1001</v>
      </c>
      <c r="H1958" s="1060"/>
      <c r="I1958" s="1061"/>
      <c r="J1958" s="349"/>
      <c r="K1958" s="876"/>
      <c r="L1958" s="876"/>
      <c r="M1958" s="876"/>
      <c r="N1958" s="876" t="str">
        <f>CONCATENATE("Total (",IF(MID(B1958,1,2)="LG",VLOOKUP(B1958,'Compos lug'!J:M,4,FALSE),IF(MID(B1958,1,1)="6","t",VLOOKUP(B1958,'DER 10-18'!$A$1:$I$1981,3,FALSE))),")")</f>
        <v>Total (Ud)</v>
      </c>
      <c r="O1958" s="313"/>
      <c r="P1958" s="315"/>
      <c r="Q1958" s="315"/>
      <c r="R1958" s="909"/>
      <c r="S1958" s="738">
        <f t="shared" si="164"/>
        <v>2</v>
      </c>
      <c r="T1958" s="738" t="str">
        <f t="shared" si="165"/>
        <v>Ud</v>
      </c>
      <c r="U1958" s="738"/>
    </row>
    <row r="1959" spans="1:32" x14ac:dyDescent="0.2">
      <c r="A1959" s="294"/>
      <c r="B1959" s="293"/>
      <c r="C1959" s="744" t="s">
        <v>1552</v>
      </c>
      <c r="N1959" s="876"/>
      <c r="R1959" s="912"/>
      <c r="S1959" s="738">
        <f t="shared" si="164"/>
        <v>2</v>
      </c>
      <c r="T1959" s="738" t="str">
        <f t="shared" si="165"/>
        <v>Ud</v>
      </c>
    </row>
    <row r="1960" spans="1:32" x14ac:dyDescent="0.2">
      <c r="A1960" s="294"/>
      <c r="B1960" s="293"/>
      <c r="C1960" s="384" t="s">
        <v>1488</v>
      </c>
      <c r="D1960" s="405">
        <v>1002</v>
      </c>
      <c r="E1960" s="871" t="s">
        <v>8</v>
      </c>
      <c r="F1960" s="406">
        <v>0</v>
      </c>
      <c r="G1960" s="405"/>
      <c r="H1960" s="871"/>
      <c r="I1960" s="780"/>
      <c r="J1960" s="383"/>
      <c r="K1960" s="875"/>
      <c r="M1960" s="875"/>
      <c r="N1960" s="876">
        <v>2</v>
      </c>
      <c r="P1960" s="301" t="s">
        <v>1506</v>
      </c>
      <c r="R1960" s="912"/>
      <c r="S1960" s="738">
        <f t="shared" si="164"/>
        <v>2</v>
      </c>
      <c r="T1960" s="738" t="str">
        <f t="shared" si="165"/>
        <v>Ud</v>
      </c>
      <c r="U1960" s="738"/>
    </row>
    <row r="1961" spans="1:32" x14ac:dyDescent="0.2">
      <c r="A1961" s="899"/>
      <c r="B1961" s="353"/>
      <c r="C1961" s="354" t="s">
        <v>2</v>
      </c>
      <c r="D1961" s="355"/>
      <c r="E1961" s="352"/>
      <c r="F1961" s="677"/>
      <c r="G1961" s="678"/>
      <c r="H1961" s="356"/>
      <c r="I1961" s="356"/>
      <c r="J1961" s="353"/>
      <c r="K1961" s="358"/>
      <c r="L1961" s="358"/>
      <c r="M1961" s="358"/>
      <c r="N1961" s="360">
        <f>SUM(N1960:N1960)</f>
        <v>2</v>
      </c>
      <c r="O1961" s="361" t="str">
        <f>IF(MID(B1958,1,2)="LG",VLOOKUP(B1958,'Compos lug'!J:M,4,FALSE),IF(MID(B1958,1,1)="6",VLOOKUP(B1958,tranp.!$A$6:$K$51,3,FALSE),VLOOKUP(B1958,'DER 10-18'!$A$1:$I$1981,3,FALSE)))</f>
        <v>Ud</v>
      </c>
      <c r="P1961" s="362"/>
      <c r="Q1961" s="362"/>
      <c r="R1961" s="900"/>
      <c r="S1961" s="738">
        <f t="shared" si="164"/>
        <v>52.77</v>
      </c>
      <c r="T1961" s="738" t="str">
        <f t="shared" si="165"/>
        <v>M3</v>
      </c>
      <c r="U1961" s="738"/>
    </row>
    <row r="1962" spans="1:32" x14ac:dyDescent="0.2">
      <c r="A1962" s="294"/>
      <c r="B1962" s="293"/>
      <c r="C1962" s="343"/>
      <c r="H1962" s="292"/>
      <c r="N1962" s="314"/>
      <c r="O1962" s="344"/>
      <c r="P1962" s="315"/>
      <c r="Q1962" s="315"/>
      <c r="R1962" s="903"/>
      <c r="S1962" s="738">
        <f t="shared" si="164"/>
        <v>52.77</v>
      </c>
      <c r="T1962" s="738" t="str">
        <f t="shared" si="165"/>
        <v>M3</v>
      </c>
      <c r="U1962" s="738"/>
    </row>
    <row r="1963" spans="1:32" x14ac:dyDescent="0.2">
      <c r="A1963" s="895" t="s">
        <v>1878</v>
      </c>
      <c r="B1963" s="346">
        <v>40375</v>
      </c>
      <c r="C1963" s="347" t="str">
        <f>IF(MID(B1963,1,2)="LG",VLOOKUP(B1963,'Compos lug'!J:M,3,FALSE),IF(MID(B1963,1,1)="6",VLOOKUP(B1963,tranp.!$A$4:$K$19,11,FALSE)&amp;" -  XP="&amp;TEXT(T2467,"0.000")&amp;" / XR="&amp;TEXT(V2467,"0.000"),VLOOKUP(B1963,'DER 10-18'!$A$1:$I$1981,2,FALSE)))</f>
        <v>Demolição mecânica de concreto</v>
      </c>
      <c r="D1963" s="1059" t="s">
        <v>1000</v>
      </c>
      <c r="E1963" s="1060"/>
      <c r="F1963" s="1061"/>
      <c r="G1963" s="1059" t="s">
        <v>1001</v>
      </c>
      <c r="H1963" s="1060"/>
      <c r="I1963" s="1061"/>
      <c r="J1963" s="349"/>
      <c r="K1963" s="884"/>
      <c r="L1963" s="876"/>
      <c r="M1963" s="885"/>
      <c r="N1963" s="876" t="str">
        <f>CONCATENATE("Total (",IF(MID(B1963,1,2)="LG",VLOOKUP(B1963,'Compos lug'!J:M,4,FALSE),IF(MID(B1963,1,1)="6","t",VLOOKUP(B1963,'DER 10-18'!$A$1:$I$1981,3,FALSE))),")")</f>
        <v>Total (M3)</v>
      </c>
      <c r="O1963" s="351"/>
      <c r="P1963" s="880"/>
      <c r="Q1963" s="880"/>
      <c r="R1963" s="902"/>
      <c r="S1963" s="738">
        <f t="shared" si="164"/>
        <v>52.77</v>
      </c>
      <c r="T1963" s="738" t="str">
        <f t="shared" si="165"/>
        <v>M3</v>
      </c>
      <c r="U1963" s="781" t="s">
        <v>1501</v>
      </c>
      <c r="V1963" s="722" t="s">
        <v>1502</v>
      </c>
      <c r="W1963" s="722" t="s">
        <v>1503</v>
      </c>
    </row>
    <row r="1964" spans="1:32" x14ac:dyDescent="0.2">
      <c r="A1964" s="294"/>
      <c r="B1964" s="293"/>
      <c r="C1964" s="744" t="s">
        <v>1552</v>
      </c>
      <c r="N1964" s="876"/>
      <c r="R1964" s="912"/>
      <c r="S1964" s="738">
        <f t="shared" si="164"/>
        <v>52.77</v>
      </c>
      <c r="T1964" s="738" t="str">
        <f t="shared" si="165"/>
        <v>M3</v>
      </c>
    </row>
    <row r="1965" spans="1:32" x14ac:dyDescent="0.2">
      <c r="A1965" s="895"/>
      <c r="B1965" s="346"/>
      <c r="C1965" s="580" t="s">
        <v>1378</v>
      </c>
      <c r="D1965" s="405">
        <v>536</v>
      </c>
      <c r="E1965" s="871" t="s">
        <v>8</v>
      </c>
      <c r="F1965" s="406">
        <v>6</v>
      </c>
      <c r="G1965" s="405">
        <v>536</v>
      </c>
      <c r="H1965" s="871" t="s">
        <v>8</v>
      </c>
      <c r="I1965" s="780">
        <v>16</v>
      </c>
      <c r="J1965" s="349"/>
      <c r="K1965" s="884"/>
      <c r="L1965" s="876"/>
      <c r="M1965" s="885"/>
      <c r="N1965" s="876">
        <f>SUM(U1965:W1965)</f>
        <v>52.77</v>
      </c>
      <c r="O1965" s="351"/>
      <c r="P1965" s="880"/>
      <c r="Q1965" s="880"/>
      <c r="R1965" s="902"/>
      <c r="S1965" s="738">
        <f t="shared" si="164"/>
        <v>52.77</v>
      </c>
      <c r="T1965" s="738" t="str">
        <f t="shared" si="165"/>
        <v>M3</v>
      </c>
      <c r="U1965" s="781">
        <f>3*(6*((1.14-0.4)*0.2+(1.14/2*2)*0.2))</f>
        <v>6.77</v>
      </c>
      <c r="V1965" s="722">
        <f>(4*6)*0.25</f>
        <v>6</v>
      </c>
      <c r="W1965" s="722">
        <f>(5*4)*2</f>
        <v>40</v>
      </c>
    </row>
    <row r="1966" spans="1:32" x14ac:dyDescent="0.2">
      <c r="A1966" s="899"/>
      <c r="B1966" s="353"/>
      <c r="C1966" s="354" t="s">
        <v>2</v>
      </c>
      <c r="D1966" s="355"/>
      <c r="E1966" s="352"/>
      <c r="F1966" s="356"/>
      <c r="G1966" s="355"/>
      <c r="H1966" s="356"/>
      <c r="I1966" s="356"/>
      <c r="J1966" s="353"/>
      <c r="K1966" s="357"/>
      <c r="L1966" s="358"/>
      <c r="M1966" s="359"/>
      <c r="N1966" s="360">
        <f>SUM(N1963:N1965)</f>
        <v>52.77</v>
      </c>
      <c r="O1966" s="361" t="str">
        <f>IF(MID(B1963,1,2)="LG",VLOOKUP(B1963,'Compos lug'!J:M,4,FALSE),IF(MID(B1963,1,1)="6",VLOOKUP(B1963,tranp.!$A$6:$K$51,3,FALSE),VLOOKUP(B1963,'DER 10-18'!$A$1:$I$1981,3,FALSE)))</f>
        <v>M3</v>
      </c>
      <c r="P1966" s="362"/>
      <c r="Q1966" s="362"/>
      <c r="R1966" s="900"/>
      <c r="S1966" s="738">
        <f t="shared" si="164"/>
        <v>728.28</v>
      </c>
      <c r="T1966" s="738" t="str">
        <f t="shared" si="165"/>
        <v>T</v>
      </c>
      <c r="U1966" s="743"/>
      <c r="V1966" s="710"/>
    </row>
    <row r="1967" spans="1:32" x14ac:dyDescent="0.2">
      <c r="A1967" s="294"/>
      <c r="B1967" s="293"/>
      <c r="C1967" s="343"/>
      <c r="H1967" s="292"/>
      <c r="N1967" s="314"/>
      <c r="O1967" s="344"/>
      <c r="P1967" s="315"/>
      <c r="Q1967" s="315"/>
      <c r="R1967" s="903"/>
      <c r="S1967" s="738">
        <f t="shared" si="164"/>
        <v>728.28</v>
      </c>
      <c r="T1967" s="738" t="str">
        <f t="shared" si="165"/>
        <v>T</v>
      </c>
      <c r="U1967" s="738"/>
      <c r="V1967" s="738"/>
      <c r="AF1967" s="288">
        <v>21</v>
      </c>
    </row>
    <row r="1968" spans="1:32" s="289" customFormat="1" ht="61.5" customHeight="1" x14ac:dyDescent="0.2">
      <c r="A1968" s="895" t="s">
        <v>1879</v>
      </c>
      <c r="B1968" s="346">
        <v>60021</v>
      </c>
      <c r="C1968" s="347" t="str">
        <f>IF(MID(B1968,1,2)="LG",VLOOKUP(B1968,'Compos lug'!J:M,3,FALSE),IF(MID(B1968,1,1)="6",VLOOKUP(B1968,tranp.!$A$4:$K$19,11,FALSE)&amp;" -  XP="&amp;TEXT(Z1968,"0.000")&amp;" / XR="&amp;TEXT(AA1968,"0.000"),VLOOKUP(B1968,'DER 10-18'!$A$1:$I$1981,2,FALSE)))&amp;" - "&amp;TEXT(C1971,"0.000")</f>
        <v>LOCAL COM DMT DE 5,1 A 10,0 KM (Caminhão basculante)0,839XP+0,933XR+1,751 -  XP=0.000 / XR=7.600 - Transporte de Material  até o bota-fora - 7600.00m</v>
      </c>
      <c r="D1968" s="1059" t="s">
        <v>1000</v>
      </c>
      <c r="E1968" s="1060"/>
      <c r="F1968" s="1061"/>
      <c r="G1968" s="1059" t="s">
        <v>1001</v>
      </c>
      <c r="H1968" s="1060"/>
      <c r="I1968" s="1061"/>
      <c r="J1968" s="349" t="s">
        <v>992</v>
      </c>
      <c r="K1968" s="349" t="s">
        <v>993</v>
      </c>
      <c r="L1968" s="876" t="s">
        <v>1003</v>
      </c>
      <c r="M1968" s="876" t="s">
        <v>1062</v>
      </c>
      <c r="N1968" s="876" t="str">
        <f>CONCATENATE("Total (",IF(MID(B1968,1,2)="LG",VLOOKUP(B1968,'Compos lug'!J:M,4,FALSE),IF(MID(B1968,1,1)="6","t",VLOOKUP(B1968,'DER 10-18'!$A$1:$I$1981,3,FALSE))),")")</f>
        <v>Total (t)</v>
      </c>
      <c r="O1968" s="313"/>
      <c r="P1968" s="363"/>
      <c r="Q1968" s="363"/>
      <c r="R1968" s="902"/>
      <c r="S1968" s="738">
        <f t="shared" si="164"/>
        <v>728.28</v>
      </c>
      <c r="T1968" s="738" t="str">
        <f t="shared" si="165"/>
        <v>T</v>
      </c>
      <c r="U1968" s="738">
        <f>+AA1968/1000</f>
        <v>7.6</v>
      </c>
      <c r="V1968" s="741">
        <f>W1968*Z1968+X1968*U1968+Y1968</f>
        <v>8.84</v>
      </c>
      <c r="W1968" s="742">
        <f>VLOOKUP(B1968,tranp.!A:J,8,FALSE)</f>
        <v>0.83899999999999997</v>
      </c>
      <c r="X1968" s="742">
        <f>VLOOKUP(B1968,tranp.!A:J,9,FALSE)</f>
        <v>0.93300000000000005</v>
      </c>
      <c r="Y1968" s="742">
        <f>VLOOKUP(B1968,tranp.!A:J,10,FALSE)</f>
        <v>1.7509999999999999</v>
      </c>
      <c r="Z1968" s="712"/>
      <c r="AA1968" s="743">
        <v>7600</v>
      </c>
      <c r="AF1968" s="289">
        <v>31</v>
      </c>
    </row>
    <row r="1969" spans="1:32" x14ac:dyDescent="0.2">
      <c r="A1969" s="294"/>
      <c r="B1969" s="293"/>
      <c r="C1969" s="744" t="s">
        <v>1552</v>
      </c>
      <c r="N1969" s="876"/>
      <c r="R1969" s="912"/>
      <c r="S1969" s="738">
        <f t="shared" si="164"/>
        <v>728.28</v>
      </c>
      <c r="T1969" s="738" t="str">
        <f t="shared" si="165"/>
        <v>T</v>
      </c>
    </row>
    <row r="1970" spans="1:32" x14ac:dyDescent="0.2">
      <c r="A1970" s="897"/>
      <c r="B1970" s="349"/>
      <c r="C1970" s="347" t="s">
        <v>1419</v>
      </c>
      <c r="D1970" s="382"/>
      <c r="E1970" s="524"/>
      <c r="G1970" s="382"/>
      <c r="H1970" s="524"/>
      <c r="J1970" s="383"/>
      <c r="K1970" s="350"/>
      <c r="L1970" s="876"/>
      <c r="N1970" s="876"/>
      <c r="O1970" s="740"/>
      <c r="P1970" s="882"/>
      <c r="Q1970" s="880"/>
      <c r="R1970" s="898"/>
      <c r="S1970" s="738">
        <f t="shared" si="164"/>
        <v>728.28</v>
      </c>
      <c r="T1970" s="738" t="str">
        <f t="shared" si="165"/>
        <v>T</v>
      </c>
      <c r="U1970" s="738"/>
      <c r="V1970" s="738"/>
      <c r="AA1970" s="743"/>
    </row>
    <row r="1971" spans="1:32" x14ac:dyDescent="0.2">
      <c r="A1971" s="897"/>
      <c r="B1971" s="349"/>
      <c r="C1971" s="384" t="s">
        <v>1435</v>
      </c>
      <c r="D1971" s="405">
        <v>341</v>
      </c>
      <c r="E1971" s="871" t="s">
        <v>8</v>
      </c>
      <c r="F1971" s="406">
        <v>8</v>
      </c>
      <c r="G1971" s="405">
        <v>342</v>
      </c>
      <c r="H1971" s="871" t="s">
        <v>8</v>
      </c>
      <c r="I1971" s="406">
        <v>3</v>
      </c>
      <c r="J1971" s="383"/>
      <c r="K1971" s="350">
        <v>7.6</v>
      </c>
      <c r="L1971" s="876">
        <f>N1920</f>
        <v>428.4</v>
      </c>
      <c r="M1971" s="298">
        <v>1.7</v>
      </c>
      <c r="N1971" s="876">
        <f>+L1971*M1971</f>
        <v>728.28</v>
      </c>
      <c r="O1971" s="740"/>
      <c r="P1971" s="882"/>
      <c r="Q1971" s="880"/>
      <c r="R1971" s="898"/>
      <c r="S1971" s="738">
        <f t="shared" si="164"/>
        <v>728.28</v>
      </c>
      <c r="T1971" s="738" t="str">
        <f t="shared" si="165"/>
        <v>T</v>
      </c>
      <c r="U1971" s="738"/>
      <c r="V1971" s="738"/>
      <c r="AA1971" s="743"/>
    </row>
    <row r="1972" spans="1:32" x14ac:dyDescent="0.2">
      <c r="A1972" s="899"/>
      <c r="B1972" s="353"/>
      <c r="C1972" s="354" t="s">
        <v>2</v>
      </c>
      <c r="D1972" s="355"/>
      <c r="E1972" s="352"/>
      <c r="F1972" s="356"/>
      <c r="G1972" s="355"/>
      <c r="H1972" s="356"/>
      <c r="I1972" s="356"/>
      <c r="J1972" s="353"/>
      <c r="K1972" s="357"/>
      <c r="L1972" s="358"/>
      <c r="M1972" s="359"/>
      <c r="N1972" s="360">
        <f>SUM(N1970:N1971)</f>
        <v>728.28</v>
      </c>
      <c r="O1972" s="361" t="str">
        <f>IF(MID(B1968,1,2)="LG",VLOOKUP(B1968,'Compos lug'!J:M,4,FALSE),IF(MID(B1968,1,1)="6",VLOOKUP(B1968,tranp.!$A$6:$K$51,3,FALSE),VLOOKUP(B1968,'DER 10-18'!$A$1:$I$1981,3,FALSE)))</f>
        <v>T</v>
      </c>
      <c r="P1972" s="362"/>
      <c r="Q1972" s="362"/>
      <c r="R1972" s="900"/>
      <c r="S1972" s="738">
        <f t="shared" si="164"/>
        <v>251.94</v>
      </c>
      <c r="T1972" s="738" t="str">
        <f t="shared" si="165"/>
        <v>T</v>
      </c>
      <c r="U1972" s="738"/>
      <c r="V1972" s="738"/>
      <c r="AA1972" s="743"/>
      <c r="AF1972" s="288">
        <v>21</v>
      </c>
    </row>
    <row r="1973" spans="1:32" x14ac:dyDescent="0.2">
      <c r="A1973" s="294"/>
      <c r="B1973" s="293"/>
      <c r="C1973" s="343"/>
      <c r="F1973" s="675"/>
      <c r="G1973" s="296"/>
      <c r="H1973" s="292"/>
      <c r="K1973" s="298"/>
      <c r="M1973" s="298"/>
      <c r="N1973" s="314"/>
      <c r="O1973" s="344"/>
      <c r="P1973" s="315"/>
      <c r="Q1973" s="315"/>
      <c r="R1973" s="903"/>
      <c r="S1973" s="738">
        <f t="shared" si="164"/>
        <v>251.94</v>
      </c>
      <c r="T1973" s="738" t="str">
        <f t="shared" si="165"/>
        <v>T</v>
      </c>
      <c r="U1973" s="738"/>
    </row>
    <row r="1974" spans="1:32" s="289" customFormat="1" ht="55.5" customHeight="1" x14ac:dyDescent="0.2">
      <c r="A1974" s="895" t="s">
        <v>1880</v>
      </c>
      <c r="B1974" s="346">
        <v>60019</v>
      </c>
      <c r="C1974" s="347" t="str">
        <f>IF(MID(B1974,1,2)="LG",VLOOKUP(B1974,'Compos lug'!J:M,3,FALSE),IF(MID(B1974,1,1)="6",VLOOKUP(B1974,tranp.!$A$4:$K$19,11,FALSE)&amp;" -  XP="&amp;TEXT(Z1974,"0.000")&amp;" / XR="&amp;TEXT(AA1974,"0.000"),VLOOKUP(B1974,'DER 10-18'!$A$1:$I$1981,2,FALSE)))&amp;" - "&amp;TEXT(C1976,"0.000")</f>
        <v>LOCAL COM DMT ATÉ 3,0 KM (Caminhão basculante)1,085XP+1,198XR+1,904 (Incluindo BDI= 23,32%) -  XP=0.000 / XR=0.200 - Caminho de Serviço - Ponte Campo Novo - DMT 200.00m</v>
      </c>
      <c r="D1974" s="1059" t="s">
        <v>1000</v>
      </c>
      <c r="E1974" s="1060"/>
      <c r="F1974" s="1061"/>
      <c r="G1974" s="1059" t="s">
        <v>1001</v>
      </c>
      <c r="H1974" s="1060"/>
      <c r="I1974" s="1061"/>
      <c r="J1974" s="349" t="s">
        <v>989</v>
      </c>
      <c r="K1974" s="884"/>
      <c r="L1974" s="876" t="s">
        <v>1003</v>
      </c>
      <c r="M1974" s="876" t="s">
        <v>1062</v>
      </c>
      <c r="N1974" s="876" t="str">
        <f>CONCATENATE("Total (",IF(MID(B1974,1,2)="LG",VLOOKUP(B1974,'Compos lug'!J:M,4,FALSE),IF(MID(B1974,1,1)="6","t",VLOOKUP(B1974,'DER 10-18'!$A$1:$I$1981,3,FALSE))),")")</f>
        <v>Total (t)</v>
      </c>
      <c r="O1974" s="313"/>
      <c r="P1974" s="363"/>
      <c r="Q1974" s="363"/>
      <c r="R1974" s="902"/>
      <c r="S1974" s="738">
        <f t="shared" si="164"/>
        <v>251.94</v>
      </c>
      <c r="T1974" s="738" t="str">
        <f t="shared" si="165"/>
        <v>T</v>
      </c>
      <c r="U1974" s="738">
        <f>+AA1974/1000</f>
        <v>0.2</v>
      </c>
      <c r="V1974" s="741">
        <f>W1974*Z1974+X1974*U1974+Y1974</f>
        <v>2.14</v>
      </c>
      <c r="W1974" s="742">
        <f>VLOOKUP(B1974,tranp.!A:J,8,FALSE)</f>
        <v>1.085</v>
      </c>
      <c r="X1974" s="742">
        <f>VLOOKUP(B1974,tranp.!A:J,9,FALSE)</f>
        <v>1.198</v>
      </c>
      <c r="Y1974" s="742">
        <f>VLOOKUP(B1974,tranp.!A:J,10,FALSE)</f>
        <v>1.9039999999999999</v>
      </c>
      <c r="Z1974" s="712"/>
      <c r="AA1974" s="743">
        <v>200</v>
      </c>
      <c r="AF1974" s="289">
        <v>31</v>
      </c>
    </row>
    <row r="1975" spans="1:32" x14ac:dyDescent="0.2">
      <c r="A1975" s="294"/>
      <c r="B1975" s="293"/>
      <c r="C1975" s="744" t="s">
        <v>1552</v>
      </c>
      <c r="N1975" s="876"/>
      <c r="R1975" s="912"/>
      <c r="S1975" s="738">
        <f t="shared" si="164"/>
        <v>251.94</v>
      </c>
      <c r="T1975" s="738" t="str">
        <f t="shared" si="165"/>
        <v>T</v>
      </c>
    </row>
    <row r="1976" spans="1:32" x14ac:dyDescent="0.2">
      <c r="A1976" s="294"/>
      <c r="B1976" s="293"/>
      <c r="C1976" s="384" t="s">
        <v>1491</v>
      </c>
      <c r="D1976" s="405"/>
      <c r="E1976" s="871"/>
      <c r="F1976" s="406"/>
      <c r="G1976" s="405"/>
      <c r="H1976" s="871"/>
      <c r="I1976" s="780"/>
      <c r="J1976" s="383"/>
      <c r="K1976" s="875"/>
      <c r="L1976" s="298">
        <v>148.19999999999999</v>
      </c>
      <c r="M1976" s="875">
        <v>1.7</v>
      </c>
      <c r="N1976" s="876">
        <f>L1976*M1976</f>
        <v>251.94</v>
      </c>
      <c r="P1976" s="301" t="s">
        <v>1489</v>
      </c>
      <c r="R1976" s="912"/>
      <c r="S1976" s="738">
        <f t="shared" si="164"/>
        <v>251.94</v>
      </c>
      <c r="T1976" s="738" t="str">
        <f t="shared" si="165"/>
        <v>T</v>
      </c>
      <c r="U1976" s="738"/>
    </row>
    <row r="1977" spans="1:32" x14ac:dyDescent="0.2">
      <c r="A1977" s="899"/>
      <c r="B1977" s="353"/>
      <c r="C1977" s="354" t="s">
        <v>2</v>
      </c>
      <c r="D1977" s="355"/>
      <c r="E1977" s="352"/>
      <c r="F1977" s="677"/>
      <c r="G1977" s="678"/>
      <c r="H1977" s="356"/>
      <c r="I1977" s="356"/>
      <c r="J1977" s="353"/>
      <c r="K1977" s="358"/>
      <c r="L1977" s="358"/>
      <c r="M1977" s="358"/>
      <c r="N1977" s="360">
        <f>SUM(N1976:N1976)</f>
        <v>251.94</v>
      </c>
      <c r="O1977" s="361" t="str">
        <f>IF(MID(B1974,1,2)="LG",VLOOKUP(B1974,'Compos lug'!J:M,4,FALSE),IF(MID(B1974,1,1)="6",VLOOKUP(B1974,tranp.!$A$6:$K$51,3,FALSE),VLOOKUP(B1974,'DER 10-18'!$A$1:$I$1981,3,FALSE)))</f>
        <v>T</v>
      </c>
      <c r="P1977" s="362"/>
      <c r="Q1977" s="362"/>
      <c r="R1977" s="900"/>
      <c r="S1977" s="738">
        <f t="shared" si="164"/>
        <v>977.84</v>
      </c>
      <c r="T1977" s="738" t="str">
        <f t="shared" si="165"/>
        <v>T</v>
      </c>
      <c r="U1977" s="738"/>
    </row>
    <row r="1978" spans="1:32" x14ac:dyDescent="0.2">
      <c r="A1978" s="294"/>
      <c r="B1978" s="293"/>
      <c r="C1978" s="343"/>
      <c r="F1978" s="675"/>
      <c r="G1978" s="296"/>
      <c r="H1978" s="292"/>
      <c r="K1978" s="298"/>
      <c r="M1978" s="298"/>
      <c r="N1978" s="314"/>
      <c r="O1978" s="344"/>
      <c r="P1978" s="315"/>
      <c r="Q1978" s="315"/>
      <c r="R1978" s="903"/>
      <c r="S1978" s="738">
        <f t="shared" si="164"/>
        <v>977.84</v>
      </c>
      <c r="T1978" s="738" t="str">
        <f t="shared" si="165"/>
        <v>T</v>
      </c>
      <c r="U1978" s="738"/>
    </row>
    <row r="1979" spans="1:32" s="289" customFormat="1" ht="52.5" customHeight="1" x14ac:dyDescent="0.2">
      <c r="A1979" s="895" t="s">
        <v>1881</v>
      </c>
      <c r="B1979" s="346">
        <v>60019</v>
      </c>
      <c r="C1979" s="347" t="str">
        <f>IF(MID(B1979,1,2)="LG",VLOOKUP(B1979,'Compos lug'!J:M,3,FALSE),IF(MID(B1979,1,1)="6",VLOOKUP(B1979,tranp.!$A$4:$K$19,11,FALSE)&amp;" -  XP="&amp;TEXT(Z1979,"0.000")&amp;" / XR="&amp;TEXT(AA1979,"0.000"),VLOOKUP(B1979,'DER 10-18'!$A$1:$I$1981,2,FALSE)))&amp;" - "&amp;TEXT(C1981,"0.000")</f>
        <v>LOCAL COM DMT ATÉ 3,0 KM (Caminhão basculante)1,085XP+1,198XR+1,904 (Incluindo BDI= 23,32%) -  XP=0.000 / XR=3.000 - Empréstimo - Caminho de Serviço - DMT 3000.00m</v>
      </c>
      <c r="D1979" s="1059" t="s">
        <v>1000</v>
      </c>
      <c r="E1979" s="1060"/>
      <c r="F1979" s="1061"/>
      <c r="G1979" s="1059" t="s">
        <v>1001</v>
      </c>
      <c r="H1979" s="1060"/>
      <c r="I1979" s="1061"/>
      <c r="J1979" s="349" t="s">
        <v>989</v>
      </c>
      <c r="K1979" s="884"/>
      <c r="L1979" s="876" t="s">
        <v>1003</v>
      </c>
      <c r="M1979" s="876" t="s">
        <v>1062</v>
      </c>
      <c r="N1979" s="876" t="str">
        <f>CONCATENATE("Total (",IF(MID(B1979,1,2)="LG",VLOOKUP(B1979,'Compos lug'!J:M,4,FALSE),IF(MID(B1979,1,1)="6","t",VLOOKUP(B1979,'DER 10-18'!$A$1:$I$1981,3,FALSE))),")")</f>
        <v>Total (t)</v>
      </c>
      <c r="O1979" s="313"/>
      <c r="P1979" s="363"/>
      <c r="Q1979" s="363"/>
      <c r="R1979" s="902"/>
      <c r="S1979" s="738">
        <f t="shared" si="164"/>
        <v>977.84</v>
      </c>
      <c r="T1979" s="738" t="str">
        <f t="shared" si="165"/>
        <v>T</v>
      </c>
      <c r="U1979" s="738">
        <f>+AA1979/1000</f>
        <v>3</v>
      </c>
      <c r="V1979" s="741">
        <f>W1979*Z1979+X1979*U1979+Y1979</f>
        <v>5.5</v>
      </c>
      <c r="W1979" s="742">
        <f>VLOOKUP(B1979,tranp.!A:J,8,FALSE)</f>
        <v>1.085</v>
      </c>
      <c r="X1979" s="742">
        <f>VLOOKUP(B1979,tranp.!A:J,9,FALSE)</f>
        <v>1.198</v>
      </c>
      <c r="Y1979" s="742">
        <f>VLOOKUP(B1979,tranp.!A:J,10,FALSE)</f>
        <v>1.9039999999999999</v>
      </c>
      <c r="Z1979" s="712"/>
      <c r="AA1979" s="743">
        <v>3000</v>
      </c>
      <c r="AF1979" s="289">
        <v>31</v>
      </c>
    </row>
    <row r="1980" spans="1:32" x14ac:dyDescent="0.2">
      <c r="A1980" s="294"/>
      <c r="B1980" s="293"/>
      <c r="C1980" s="744" t="s">
        <v>1552</v>
      </c>
      <c r="N1980" s="876"/>
      <c r="R1980" s="912"/>
      <c r="S1980" s="738">
        <f t="shared" si="164"/>
        <v>977.84</v>
      </c>
      <c r="T1980" s="738" t="str">
        <f t="shared" si="165"/>
        <v>T</v>
      </c>
    </row>
    <row r="1981" spans="1:32" x14ac:dyDescent="0.2">
      <c r="A1981" s="294"/>
      <c r="B1981" s="293"/>
      <c r="C1981" s="384" t="s">
        <v>1492</v>
      </c>
      <c r="D1981" s="405"/>
      <c r="E1981" s="871"/>
      <c r="F1981" s="406"/>
      <c r="G1981" s="405"/>
      <c r="H1981" s="871"/>
      <c r="I1981" s="780"/>
      <c r="J1981" s="383"/>
      <c r="K1981" s="875"/>
      <c r="L1981" s="298">
        <v>575.20000000000005</v>
      </c>
      <c r="M1981" s="875">
        <v>1.7</v>
      </c>
      <c r="N1981" s="876">
        <f>L1981*M1981</f>
        <v>977.84</v>
      </c>
      <c r="P1981" s="301" t="s">
        <v>1489</v>
      </c>
      <c r="R1981" s="912"/>
      <c r="S1981" s="738">
        <f t="shared" si="164"/>
        <v>977.84</v>
      </c>
      <c r="T1981" s="738" t="str">
        <f t="shared" si="165"/>
        <v>T</v>
      </c>
      <c r="U1981" s="738"/>
    </row>
    <row r="1982" spans="1:32" x14ac:dyDescent="0.2">
      <c r="A1982" s="899"/>
      <c r="B1982" s="353"/>
      <c r="C1982" s="354" t="s">
        <v>2</v>
      </c>
      <c r="D1982" s="355"/>
      <c r="E1982" s="352"/>
      <c r="F1982" s="677"/>
      <c r="G1982" s="678"/>
      <c r="H1982" s="356"/>
      <c r="I1982" s="356"/>
      <c r="J1982" s="353"/>
      <c r="K1982" s="358"/>
      <c r="L1982" s="358"/>
      <c r="M1982" s="358"/>
      <c r="N1982" s="360">
        <f>SUM(N1981:N1981)</f>
        <v>977.84</v>
      </c>
      <c r="O1982" s="361" t="str">
        <f>IF(MID(B1979,1,2)="LG",VLOOKUP(B1979,'Compos lug'!J:M,4,FALSE),IF(MID(B1979,1,1)="6",VLOOKUP(B1979,tranp.!$A$6:$K$51,3,FALSE),VLOOKUP(B1979,'DER 10-18'!$A$1:$I$1981,3,FALSE)))</f>
        <v>T</v>
      </c>
      <c r="P1982" s="362"/>
      <c r="Q1982" s="362"/>
      <c r="R1982" s="900"/>
      <c r="S1982" s="738">
        <f t="shared" si="164"/>
        <v>58.65</v>
      </c>
      <c r="T1982" s="738" t="str">
        <f t="shared" si="165"/>
        <v>T</v>
      </c>
      <c r="U1982" s="738"/>
    </row>
    <row r="1983" spans="1:32" x14ac:dyDescent="0.2">
      <c r="A1983" s="294"/>
      <c r="B1983" s="293"/>
      <c r="C1983" s="343"/>
      <c r="H1983" s="292"/>
      <c r="N1983" s="314"/>
      <c r="O1983" s="344"/>
      <c r="P1983" s="696"/>
      <c r="Q1983" s="315"/>
      <c r="R1983" s="903"/>
      <c r="S1983" s="738">
        <f t="shared" si="164"/>
        <v>58.65</v>
      </c>
      <c r="T1983" s="738" t="str">
        <f t="shared" si="165"/>
        <v>T</v>
      </c>
      <c r="U1983" s="738"/>
    </row>
    <row r="1984" spans="1:32" ht="38.25" x14ac:dyDescent="0.2">
      <c r="A1984" s="895" t="s">
        <v>1882</v>
      </c>
      <c r="B1984" s="666">
        <v>60020</v>
      </c>
      <c r="C1984" s="347" t="str">
        <f>IF(MID(B1984,1,2)="LG",VLOOKUP(B1984,'Compos lug'!J:M,3,FALSE),IF(MID(B1984,1,1)="6",VLOOKUP(B1984,tranp.!$A$4:$K$19,11,FALSE)&amp;" -  XP="&amp;TEXT(Z1984*1000,"0.000")&amp;" / XR="&amp;TEXT(AA1984*1000,"0.000"),VLOOKUP(B1984,'DER 10-18'!$A$1:$I$1981,2,FALSE)))&amp;" - "&amp;TEXT(C1986,"0.000")</f>
        <v>LOCAL COM DMT DE 3,1 A 5,0 KM (Caminhão basculante)0,972XP+1,093XR+1,823 -  XP=0.000 / XR=4.180 - Sub-base</v>
      </c>
      <c r="D1984" s="1059" t="s">
        <v>1000</v>
      </c>
      <c r="E1984" s="1060"/>
      <c r="F1984" s="1061"/>
      <c r="G1984" s="1059" t="s">
        <v>1001</v>
      </c>
      <c r="H1984" s="1060"/>
      <c r="I1984" s="1061"/>
      <c r="J1984" s="349"/>
      <c r="K1984" s="884" t="s">
        <v>1361</v>
      </c>
      <c r="L1984" s="876" t="s">
        <v>992</v>
      </c>
      <c r="M1984" s="885" t="s">
        <v>993</v>
      </c>
      <c r="N1984" s="876" t="s">
        <v>1362</v>
      </c>
      <c r="O1984" s="351" t="s">
        <v>1363</v>
      </c>
      <c r="P1984" s="760" t="s">
        <v>1364</v>
      </c>
      <c r="Q1984" s="879" t="s">
        <v>1365</v>
      </c>
      <c r="R1984" s="912"/>
      <c r="S1984" s="738">
        <f t="shared" si="164"/>
        <v>58.65</v>
      </c>
      <c r="T1984" s="738" t="str">
        <f t="shared" si="165"/>
        <v>T</v>
      </c>
      <c r="U1984" s="738"/>
      <c r="V1984" s="741">
        <f>W1984*Z1984+X1984*AA1984+Y1984</f>
        <v>6.39</v>
      </c>
      <c r="W1984" s="742">
        <f>VLOOKUP(B1984,tranp.!A:J,8,FALSE)</f>
        <v>0.97199999999999998</v>
      </c>
      <c r="X1984" s="742">
        <f>VLOOKUP(B1984,tranp.!A:J,9,FALSE)</f>
        <v>1.093</v>
      </c>
      <c r="Y1984" s="742">
        <f>VLOOKUP(B1984,tranp.!A:J,10,FALSE)</f>
        <v>1.823</v>
      </c>
      <c r="Z1984" s="745">
        <f>VLOOKUP("Total",C1986:O3231,10,FALSE)</f>
        <v>0</v>
      </c>
      <c r="AA1984" s="743">
        <f>VLOOKUP("Total",C1987:O3232,11,FALSE)</f>
        <v>4.18</v>
      </c>
    </row>
    <row r="1985" spans="1:27" x14ac:dyDescent="0.2">
      <c r="A1985" s="294"/>
      <c r="B1985" s="293"/>
      <c r="C1985" s="744" t="s">
        <v>1552</v>
      </c>
      <c r="N1985" s="876"/>
      <c r="R1985" s="912"/>
      <c r="S1985" s="738">
        <f t="shared" si="164"/>
        <v>58.65</v>
      </c>
      <c r="T1985" s="738" t="str">
        <f t="shared" si="165"/>
        <v>T</v>
      </c>
    </row>
    <row r="1986" spans="1:27" x14ac:dyDescent="0.2">
      <c r="A1986" s="913"/>
      <c r="B1986" s="666"/>
      <c r="C1986" s="347" t="s">
        <v>1274</v>
      </c>
      <c r="D1986" s="870"/>
      <c r="E1986" s="871"/>
      <c r="F1986" s="667"/>
      <c r="G1986" s="871"/>
      <c r="H1986" s="871"/>
      <c r="I1986" s="668"/>
      <c r="J1986" s="876"/>
      <c r="K1986" s="876"/>
      <c r="M1986" s="298"/>
      <c r="N1986" s="876"/>
      <c r="P1986" s="697"/>
      <c r="R1986" s="912"/>
      <c r="S1986" s="738">
        <f t="shared" si="164"/>
        <v>58.65</v>
      </c>
      <c r="T1986" s="738" t="str">
        <f t="shared" si="165"/>
        <v>T</v>
      </c>
      <c r="U1986" s="738" t="s">
        <v>1477</v>
      </c>
      <c r="V1986" s="718"/>
      <c r="W1986" s="710" t="s">
        <v>1494</v>
      </c>
      <c r="X1986" s="710" t="s">
        <v>1495</v>
      </c>
      <c r="Y1986" s="710" t="s">
        <v>1496</v>
      </c>
      <c r="Z1986" s="710" t="s">
        <v>1497</v>
      </c>
      <c r="AA1986" s="710" t="s">
        <v>1498</v>
      </c>
    </row>
    <row r="1987" spans="1:27" x14ac:dyDescent="0.2">
      <c r="A1987" s="913"/>
      <c r="B1987" s="666"/>
      <c r="C1987" s="384" t="s">
        <v>1488</v>
      </c>
      <c r="D1987" s="870">
        <v>1000</v>
      </c>
      <c r="E1987" s="871" t="s">
        <v>8</v>
      </c>
      <c r="F1987" s="667">
        <v>0</v>
      </c>
      <c r="G1987" s="871">
        <v>1005</v>
      </c>
      <c r="H1987" s="871" t="s">
        <v>8</v>
      </c>
      <c r="I1987" s="668">
        <v>0</v>
      </c>
      <c r="J1987" s="699"/>
      <c r="K1987" s="876">
        <f>N1951</f>
        <v>28.75</v>
      </c>
      <c r="L1987" s="725">
        <v>0</v>
      </c>
      <c r="M1987" s="700">
        <v>4.18</v>
      </c>
      <c r="N1987" s="876">
        <f>K1987*O1987</f>
        <v>58.65</v>
      </c>
      <c r="O1987" s="295">
        <v>2.04</v>
      </c>
      <c r="P1987" s="697">
        <f>K1987*L1987</f>
        <v>0</v>
      </c>
      <c r="Q1987" s="301">
        <f>K1987*M1987</f>
        <v>120.18</v>
      </c>
      <c r="R1987" s="912"/>
      <c r="S1987" s="738">
        <f t="shared" si="164"/>
        <v>58.65</v>
      </c>
      <c r="T1987" s="738" t="str">
        <f t="shared" si="165"/>
        <v>T</v>
      </c>
      <c r="U1987" s="738">
        <v>397</v>
      </c>
      <c r="V1987" s="698"/>
      <c r="W1987" s="710">
        <f>(((G1987*20)+I1987)-((D1987*20)+F1987))</f>
        <v>100</v>
      </c>
      <c r="X1987" s="710">
        <f>W1987/2</f>
        <v>50</v>
      </c>
      <c r="Y1987" s="710">
        <f>(D1987*20)+F1987+X1987</f>
        <v>20050</v>
      </c>
      <c r="Z1987" s="716">
        <f>INT(Y1987/20)</f>
        <v>1002</v>
      </c>
      <c r="AA1987" s="716">
        <f>((Y1987/20)-Z1987)*20</f>
        <v>10</v>
      </c>
    </row>
    <row r="1988" spans="1:27" x14ac:dyDescent="0.2">
      <c r="A1988" s="899"/>
      <c r="B1988" s="353"/>
      <c r="C1988" s="354" t="s">
        <v>2</v>
      </c>
      <c r="D1988" s="355"/>
      <c r="E1988" s="352"/>
      <c r="F1988" s="356"/>
      <c r="G1988" s="355"/>
      <c r="H1988" s="356"/>
      <c r="I1988" s="356"/>
      <c r="J1988" s="353"/>
      <c r="K1988" s="360">
        <f>SUM(K1987:K1987)</f>
        <v>28.75</v>
      </c>
      <c r="L1988" s="726">
        <f>P1988/K1988</f>
        <v>0</v>
      </c>
      <c r="M1988" s="360">
        <f>Q1988/K1988</f>
        <v>4.18</v>
      </c>
      <c r="N1988" s="360">
        <f>SUM(N1987:N1987)</f>
        <v>58.65</v>
      </c>
      <c r="O1988" s="361" t="str">
        <f>IF(MID(B1984,1,2)="LG",VLOOKUP(B1984,'Compos lug'!J:M,4,FALSE),IF(MID(B1984,1,1)="6",VLOOKUP(B1984,tranp.!$A$6:$K$51,3,FALSE),VLOOKUP(B1984,'DER 10-18'!$A$1:$I$1981,3,FALSE)))</f>
        <v>T</v>
      </c>
      <c r="P1988" s="701">
        <f>SUM(P1987:P1987)</f>
        <v>0</v>
      </c>
      <c r="Q1988" s="701">
        <f>SUM(Q1987:Q1987)</f>
        <v>120.18</v>
      </c>
      <c r="R1988" s="918"/>
      <c r="S1988" s="738">
        <f t="shared" si="164"/>
        <v>96</v>
      </c>
      <c r="T1988" s="738" t="str">
        <f t="shared" si="165"/>
        <v>M</v>
      </c>
      <c r="U1988" s="738"/>
      <c r="V1988" s="698"/>
      <c r="Z1988" s="716"/>
      <c r="AA1988" s="716"/>
    </row>
    <row r="1989" spans="1:27" x14ac:dyDescent="0.2">
      <c r="A1989" s="294"/>
      <c r="B1989" s="293"/>
      <c r="C1989" s="343"/>
      <c r="H1989" s="292"/>
      <c r="N1989" s="314"/>
      <c r="O1989" s="344"/>
      <c r="P1989" s="315"/>
      <c r="Q1989" s="315"/>
      <c r="R1989" s="903"/>
      <c r="S1989" s="738">
        <f t="shared" si="164"/>
        <v>96</v>
      </c>
      <c r="T1989" s="738" t="str">
        <f t="shared" si="165"/>
        <v>M</v>
      </c>
      <c r="U1989" s="738"/>
    </row>
    <row r="1990" spans="1:27" x14ac:dyDescent="0.2">
      <c r="A1990" s="893" t="s">
        <v>1883</v>
      </c>
      <c r="B1990" s="293"/>
      <c r="C1990" s="739" t="s">
        <v>1376</v>
      </c>
      <c r="H1990" s="292"/>
      <c r="N1990" s="314"/>
      <c r="O1990" s="344"/>
      <c r="P1990" s="315"/>
      <c r="Q1990" s="315"/>
      <c r="R1990" s="903"/>
      <c r="S1990" s="738">
        <f t="shared" si="164"/>
        <v>96</v>
      </c>
      <c r="T1990" s="738" t="str">
        <f t="shared" si="165"/>
        <v>M</v>
      </c>
      <c r="U1990" s="738"/>
    </row>
    <row r="1991" spans="1:27" ht="40.5" customHeight="1" x14ac:dyDescent="0.2">
      <c r="A1991" s="923" t="s">
        <v>1884</v>
      </c>
      <c r="B1991" s="687">
        <v>41340</v>
      </c>
      <c r="C1991" s="347" t="str">
        <f>IF(MID(B1991,1,2)="LG",VLOOKUP(B1991,'Compos lug'!J:M,3,FALSE),IF(MID(B1991,1,1)="6",VLOOKUP(B1991,tranp.!$A$4:$K$19,11,FALSE)&amp;" -  XP="&amp;TEXT(T2403,"0.000")&amp;" / XR="&amp;TEXT(V2403,"0.000"),VLOOKUP(B1991,'DER 10-18'!$A$1:$I$1981,2,FALSE)))</f>
        <v>Encamisamento metálico de estacas, diâmetro 380mm em chapa de 6.3mm, preenchido c/ concreto auto adensável (20MPa)</v>
      </c>
      <c r="D1991" s="1059" t="s">
        <v>1000</v>
      </c>
      <c r="E1991" s="1060"/>
      <c r="F1991" s="1061"/>
      <c r="G1991" s="1059" t="s">
        <v>1001</v>
      </c>
      <c r="H1991" s="1060"/>
      <c r="I1991" s="1061"/>
      <c r="J1991" s="349" t="s">
        <v>1380</v>
      </c>
      <c r="K1991" s="884" t="s">
        <v>994</v>
      </c>
      <c r="L1991" s="876" t="s">
        <v>1009</v>
      </c>
      <c r="M1991" s="885" t="s">
        <v>1382</v>
      </c>
      <c r="N1991" s="876" t="str">
        <f>CONCATENATE("Total (",IF(MID(B1991,1,2)="LG",VLOOKUP(B1991,'Compos lug'!J:M,4,FALSE),IF(MID(B1991,1,1)="6","t",VLOOKUP(B1991,'DER 10-18'!$A$1:$I$1981,3,FALSE))),")")</f>
        <v>Total (M)</v>
      </c>
      <c r="O1991" s="351"/>
      <c r="P1991" s="880"/>
      <c r="Q1991" s="880"/>
      <c r="R1991" s="902"/>
      <c r="S1991" s="738">
        <f t="shared" si="164"/>
        <v>96</v>
      </c>
      <c r="T1991" s="738" t="str">
        <f t="shared" si="165"/>
        <v>M</v>
      </c>
      <c r="U1991" s="738"/>
    </row>
    <row r="1992" spans="1:27" x14ac:dyDescent="0.2">
      <c r="A1992" s="294"/>
      <c r="B1992" s="293"/>
      <c r="C1992" s="744" t="s">
        <v>1552</v>
      </c>
      <c r="N1992" s="876"/>
      <c r="R1992" s="912"/>
      <c r="S1992" s="738">
        <f t="shared" si="164"/>
        <v>96</v>
      </c>
      <c r="T1992" s="738" t="str">
        <f t="shared" si="165"/>
        <v>M</v>
      </c>
    </row>
    <row r="1993" spans="1:27" x14ac:dyDescent="0.2">
      <c r="A1993" s="923"/>
      <c r="B1993" s="345"/>
      <c r="C1993" s="580" t="s">
        <v>1419</v>
      </c>
      <c r="D1993" s="405">
        <v>341</v>
      </c>
      <c r="E1993" s="871" t="s">
        <v>8</v>
      </c>
      <c r="F1993" s="406">
        <v>8</v>
      </c>
      <c r="G1993" s="405">
        <v>342</v>
      </c>
      <c r="H1993" s="871" t="s">
        <v>8</v>
      </c>
      <c r="I1993" s="406">
        <v>3</v>
      </c>
      <c r="J1993" s="349"/>
      <c r="K1993" s="884"/>
      <c r="L1993" s="876"/>
      <c r="M1993" s="885"/>
      <c r="N1993" s="876">
        <v>48</v>
      </c>
      <c r="O1993" s="351"/>
      <c r="P1993" s="880"/>
      <c r="Q1993" s="880"/>
      <c r="R1993" s="902"/>
      <c r="S1993" s="738">
        <f t="shared" si="164"/>
        <v>96</v>
      </c>
      <c r="T1993" s="738" t="str">
        <f t="shared" si="165"/>
        <v>M</v>
      </c>
      <c r="U1993" s="738"/>
    </row>
    <row r="1994" spans="1:27" s="289" customFormat="1" x14ac:dyDescent="0.2">
      <c r="A1994" s="924"/>
      <c r="B1994" s="318"/>
      <c r="C1994" s="580" t="s">
        <v>1378</v>
      </c>
      <c r="D1994" s="405">
        <v>536</v>
      </c>
      <c r="E1994" s="871" t="s">
        <v>8</v>
      </c>
      <c r="F1994" s="406">
        <v>6</v>
      </c>
      <c r="G1994" s="405">
        <v>536</v>
      </c>
      <c r="H1994" s="871" t="s">
        <v>8</v>
      </c>
      <c r="I1994" s="780">
        <v>16</v>
      </c>
      <c r="J1994" s="349"/>
      <c r="K1994" s="350"/>
      <c r="L1994" s="298"/>
      <c r="M1994" s="299"/>
      <c r="N1994" s="876">
        <v>48</v>
      </c>
      <c r="O1994" s="351"/>
      <c r="P1994" s="880"/>
      <c r="Q1994" s="880"/>
      <c r="R1994" s="898"/>
      <c r="S1994" s="738">
        <f t="shared" si="164"/>
        <v>96</v>
      </c>
      <c r="T1994" s="738" t="str">
        <f t="shared" si="165"/>
        <v>M</v>
      </c>
      <c r="U1994" s="738"/>
      <c r="W1994" s="712"/>
      <c r="X1994" s="712"/>
      <c r="Y1994" s="712"/>
      <c r="Z1994" s="712"/>
      <c r="AA1994" s="712"/>
    </row>
    <row r="1995" spans="1:27" x14ac:dyDescent="0.2">
      <c r="A1995" s="899"/>
      <c r="B1995" s="353"/>
      <c r="C1995" s="354" t="s">
        <v>2</v>
      </c>
      <c r="D1995" s="355"/>
      <c r="E1995" s="352"/>
      <c r="F1995" s="356"/>
      <c r="G1995" s="355"/>
      <c r="H1995" s="356"/>
      <c r="I1995" s="356"/>
      <c r="J1995" s="353"/>
      <c r="K1995" s="357"/>
      <c r="L1995" s="358"/>
      <c r="M1995" s="359"/>
      <c r="N1995" s="360">
        <f>SUM(N1993:N1994)</f>
        <v>96</v>
      </c>
      <c r="O1995" s="361" t="str">
        <f>IF(MID(B1991,1,2)="LG",VLOOKUP(B1991,'Compos lug'!J:M,4,FALSE),IF(MID(B1991,1,1)="6",VLOOKUP(B1991,tranp.!$A$6:$K$51,3,FALSE),VLOOKUP(B1991,'DER 10-18'!$A$1:$I$1981,3,FALSE)))</f>
        <v>M</v>
      </c>
      <c r="P1995" s="362"/>
      <c r="Q1995" s="362"/>
      <c r="R1995" s="900"/>
      <c r="S1995" s="738">
        <f t="shared" si="164"/>
        <v>1032</v>
      </c>
      <c r="T1995" s="738" t="str">
        <f t="shared" si="165"/>
        <v>m</v>
      </c>
      <c r="U1995" s="738"/>
    </row>
    <row r="1996" spans="1:27" x14ac:dyDescent="0.2">
      <c r="A1996" s="294"/>
      <c r="B1996" s="293"/>
      <c r="C1996" s="343"/>
      <c r="H1996" s="292"/>
      <c r="N1996" s="314"/>
      <c r="O1996" s="344"/>
      <c r="P1996" s="315"/>
      <c r="Q1996" s="315"/>
      <c r="R1996" s="903"/>
      <c r="S1996" s="738">
        <f t="shared" si="164"/>
        <v>1032</v>
      </c>
      <c r="T1996" s="738" t="str">
        <f t="shared" si="165"/>
        <v>m</v>
      </c>
      <c r="U1996" s="738"/>
    </row>
    <row r="1997" spans="1:27" ht="39.75" customHeight="1" x14ac:dyDescent="0.2">
      <c r="A1997" s="895" t="s">
        <v>1885</v>
      </c>
      <c r="B1997" s="346" t="s">
        <v>1097</v>
      </c>
      <c r="C1997" s="347" t="str">
        <f>IF(MID(B1997,1,2)="LG",VLOOKUP(B1997,'Compos lug'!J:M,3,FALSE),IF(MID(B1997,1,1)="6",VLOOKUP(B1997,tranp.!$A$4:$K$19,11,FALSE)&amp;" -  XP="&amp;TEXT(T2408,"0.000")&amp;" / XR="&amp;TEXT(V2408,"0.000"),VLOOKUP(B1997,'DER 10-18'!$A$1:$I$1981,2,FALSE)))</f>
        <v>Estaca metálica, fornecimento, transporte, perdas, solda, emenda, corte e cravação de perfil metálico H 200 x 35,9 laminado</v>
      </c>
      <c r="D1997" s="1059" t="s">
        <v>1000</v>
      </c>
      <c r="E1997" s="1060"/>
      <c r="F1997" s="1061"/>
      <c r="G1997" s="1059" t="s">
        <v>1001</v>
      </c>
      <c r="H1997" s="1060"/>
      <c r="I1997" s="1061"/>
      <c r="J1997" s="349" t="s">
        <v>1380</v>
      </c>
      <c r="K1997" s="884" t="s">
        <v>994</v>
      </c>
      <c r="L1997" s="876" t="s">
        <v>1009</v>
      </c>
      <c r="M1997" s="885" t="s">
        <v>1382</v>
      </c>
      <c r="N1997" s="876" t="str">
        <f>CONCATENATE("Total (",IF(MID(B1997,1,2)="LG",VLOOKUP(B1997,'Compos lug'!J:M,4,FALSE),IF(MID(B1997,1,1)="6","t",VLOOKUP(B1997,'DER 10-18'!$A$1:$I$1981,3,FALSE))),")")</f>
        <v>Total (m)</v>
      </c>
      <c r="O1997" s="351"/>
      <c r="P1997" s="880"/>
      <c r="Q1997" s="880"/>
      <c r="R1997" s="902"/>
      <c r="S1997" s="738">
        <f t="shared" si="164"/>
        <v>1032</v>
      </c>
      <c r="T1997" s="738" t="str">
        <f t="shared" si="165"/>
        <v>m</v>
      </c>
      <c r="U1997" s="738"/>
    </row>
    <row r="1998" spans="1:27" x14ac:dyDescent="0.2">
      <c r="A1998" s="294"/>
      <c r="B1998" s="293"/>
      <c r="C1998" s="744" t="s">
        <v>1552</v>
      </c>
      <c r="N1998" s="876"/>
      <c r="R1998" s="912"/>
      <c r="S1998" s="738">
        <f t="shared" si="164"/>
        <v>1032</v>
      </c>
      <c r="T1998" s="738" t="str">
        <f t="shared" si="165"/>
        <v>m</v>
      </c>
    </row>
    <row r="1999" spans="1:27" s="289" customFormat="1" x14ac:dyDescent="0.2">
      <c r="A1999" s="294"/>
      <c r="B1999" s="293"/>
      <c r="C1999" s="580" t="s">
        <v>1419</v>
      </c>
      <c r="D1999" s="405">
        <v>341</v>
      </c>
      <c r="E1999" s="871" t="s">
        <v>8</v>
      </c>
      <c r="F1999" s="406">
        <v>8</v>
      </c>
      <c r="G1999" s="405">
        <v>342</v>
      </c>
      <c r="H1999" s="871" t="s">
        <v>8</v>
      </c>
      <c r="I1999" s="406">
        <v>3</v>
      </c>
      <c r="J1999" s="349"/>
      <c r="K1999" s="350"/>
      <c r="L1999" s="298"/>
      <c r="M1999" s="299"/>
      <c r="N1999" s="876">
        <v>408</v>
      </c>
      <c r="O1999" s="351"/>
      <c r="P1999" s="880"/>
      <c r="Q1999" s="880"/>
      <c r="R1999" s="898"/>
      <c r="S1999" s="738">
        <f t="shared" si="164"/>
        <v>1032</v>
      </c>
      <c r="T1999" s="738" t="str">
        <f t="shared" si="165"/>
        <v>m</v>
      </c>
      <c r="U1999" s="738"/>
      <c r="W1999" s="712"/>
      <c r="X1999" s="712"/>
      <c r="Y1999" s="712"/>
      <c r="Z1999" s="712"/>
      <c r="AA1999" s="712"/>
    </row>
    <row r="2000" spans="1:27" s="289" customFormat="1" x14ac:dyDescent="0.2">
      <c r="A2000" s="294"/>
      <c r="B2000" s="293"/>
      <c r="C2000" s="580" t="s">
        <v>1378</v>
      </c>
      <c r="D2000" s="405">
        <v>536</v>
      </c>
      <c r="E2000" s="871" t="s">
        <v>8</v>
      </c>
      <c r="F2000" s="406">
        <v>6</v>
      </c>
      <c r="G2000" s="405">
        <v>536</v>
      </c>
      <c r="H2000" s="871" t="s">
        <v>8</v>
      </c>
      <c r="I2000" s="780">
        <v>16</v>
      </c>
      <c r="J2000" s="349"/>
      <c r="K2000" s="350"/>
      <c r="L2000" s="298"/>
      <c r="M2000" s="299"/>
      <c r="N2000" s="876">
        <v>624</v>
      </c>
      <c r="O2000" s="351"/>
      <c r="P2000" s="880"/>
      <c r="Q2000" s="880"/>
      <c r="R2000" s="898"/>
      <c r="S2000" s="738">
        <f t="shared" si="164"/>
        <v>1032</v>
      </c>
      <c r="T2000" s="738" t="str">
        <f t="shared" si="165"/>
        <v>m</v>
      </c>
      <c r="U2000" s="738"/>
      <c r="W2000" s="712"/>
      <c r="X2000" s="712"/>
      <c r="Y2000" s="712"/>
      <c r="Z2000" s="712"/>
      <c r="AA2000" s="712"/>
    </row>
    <row r="2001" spans="1:21" x14ac:dyDescent="0.2">
      <c r="A2001" s="899"/>
      <c r="B2001" s="353"/>
      <c r="C2001" s="354" t="s">
        <v>2</v>
      </c>
      <c r="D2001" s="355"/>
      <c r="E2001" s="352"/>
      <c r="F2001" s="356"/>
      <c r="G2001" s="355"/>
      <c r="H2001" s="356"/>
      <c r="I2001" s="356"/>
      <c r="J2001" s="353"/>
      <c r="K2001" s="357"/>
      <c r="L2001" s="358"/>
      <c r="M2001" s="359"/>
      <c r="N2001" s="360">
        <f>SUM(N1999:N2000)</f>
        <v>1032</v>
      </c>
      <c r="O2001" s="361" t="str">
        <f>IF(MID(B1997,1,2)="LG",VLOOKUP(B1997,'Compos lug'!J:M,4,FALSE),IF(MID(B1997,1,1)="6",VLOOKUP(B1997,tranp.!$A$6:$K$51,3,FALSE),VLOOKUP(B1997,'DER 10-18'!$A$1:$I$1981,3,FALSE)))</f>
        <v>m</v>
      </c>
      <c r="P2001" s="362"/>
      <c r="Q2001" s="362"/>
      <c r="R2001" s="900"/>
      <c r="S2001" s="738">
        <f t="shared" si="164"/>
        <v>905.38</v>
      </c>
      <c r="T2001" s="738" t="str">
        <f t="shared" si="165"/>
        <v>M2</v>
      </c>
      <c r="U2001" s="738"/>
    </row>
    <row r="2002" spans="1:21" x14ac:dyDescent="0.2">
      <c r="A2002" s="294"/>
      <c r="B2002" s="293"/>
      <c r="C2002" s="343"/>
      <c r="H2002" s="292"/>
      <c r="N2002" s="314"/>
      <c r="O2002" s="344"/>
      <c r="P2002" s="315"/>
      <c r="Q2002" s="315"/>
      <c r="R2002" s="903"/>
      <c r="S2002" s="738">
        <f t="shared" ref="S2002:S2065" si="167">VLOOKUP("Total",C2003:O3739,12,FALSE)</f>
        <v>905.38</v>
      </c>
      <c r="T2002" s="738" t="str">
        <f t="shared" ref="T2002:T2065" si="168">VLOOKUP("Total",C2003:O3739,13,FALSE)</f>
        <v>M2</v>
      </c>
      <c r="U2002" s="738"/>
    </row>
    <row r="2003" spans="1:21" ht="36.75" customHeight="1" x14ac:dyDescent="0.2">
      <c r="A2003" s="895" t="s">
        <v>1886</v>
      </c>
      <c r="B2003" s="346">
        <v>40309</v>
      </c>
      <c r="C2003" s="347" t="str">
        <f>IF(MID(B2003,1,2)="LG",VLOOKUP(B2003,'Compos lug'!J:M,3,FALSE),IF(MID(B2003,1,1)="6",VLOOKUP(B2003,tranp.!$A$4:$K$19,11,FALSE)&amp;" -  XP="&amp;TEXT(T2410,"0.000")&amp;" / XR="&amp;TEXT(V2410,"0.000"),VLOOKUP(B2003,'DER 10-18'!$A$1:$I$1981,2,FALSE)))</f>
        <v>Formas planas de madeira sem reaproveitamento (fundações), inclusive fornecimento e transporte das madeiras</v>
      </c>
      <c r="D2003" s="1059" t="s">
        <v>1000</v>
      </c>
      <c r="E2003" s="1060"/>
      <c r="F2003" s="1061"/>
      <c r="G2003" s="1059" t="s">
        <v>1001</v>
      </c>
      <c r="H2003" s="1060"/>
      <c r="I2003" s="1061"/>
      <c r="J2003" s="349" t="s">
        <v>1380</v>
      </c>
      <c r="K2003" s="884" t="s">
        <v>994</v>
      </c>
      <c r="L2003" s="876" t="s">
        <v>1009</v>
      </c>
      <c r="M2003" s="885" t="s">
        <v>1382</v>
      </c>
      <c r="N2003" s="876" t="str">
        <f>CONCATENATE("Total (",IF(MID(B2003,1,2)="LG",VLOOKUP(B2003,'Compos lug'!J:M,4,FALSE),IF(MID(B2003,1,1)="6","t",VLOOKUP(B2003,'DER 10-18'!$A$1:$I$1981,3,FALSE))),")")</f>
        <v>Total (M2)</v>
      </c>
      <c r="O2003" s="351"/>
      <c r="P2003" s="880"/>
      <c r="Q2003" s="880"/>
      <c r="R2003" s="902"/>
      <c r="S2003" s="738">
        <f t="shared" si="167"/>
        <v>905.38</v>
      </c>
      <c r="T2003" s="738" t="str">
        <f t="shared" si="168"/>
        <v>M2</v>
      </c>
      <c r="U2003" s="738"/>
    </row>
    <row r="2004" spans="1:21" x14ac:dyDescent="0.2">
      <c r="A2004" s="294"/>
      <c r="B2004" s="293"/>
      <c r="C2004" s="744" t="s">
        <v>1552</v>
      </c>
      <c r="N2004" s="876"/>
      <c r="R2004" s="912"/>
      <c r="S2004" s="738">
        <f t="shared" si="167"/>
        <v>905.38</v>
      </c>
      <c r="T2004" s="738" t="str">
        <f t="shared" si="168"/>
        <v>M2</v>
      </c>
    </row>
    <row r="2005" spans="1:21" x14ac:dyDescent="0.2">
      <c r="A2005" s="923"/>
      <c r="B2005" s="345"/>
      <c r="C2005" s="347" t="s">
        <v>1419</v>
      </c>
      <c r="D2005" s="405">
        <v>341</v>
      </c>
      <c r="E2005" s="871" t="s">
        <v>8</v>
      </c>
      <c r="F2005" s="406">
        <v>8</v>
      </c>
      <c r="G2005" s="405">
        <v>342</v>
      </c>
      <c r="H2005" s="871" t="s">
        <v>8</v>
      </c>
      <c r="I2005" s="406">
        <v>3</v>
      </c>
      <c r="J2005" s="349"/>
      <c r="K2005" s="884"/>
      <c r="L2005" s="876"/>
      <c r="M2005" s="885"/>
      <c r="N2005" s="876"/>
      <c r="O2005" s="351"/>
      <c r="P2005" s="880"/>
      <c r="Q2005" s="880"/>
      <c r="R2005" s="902"/>
      <c r="S2005" s="738">
        <f t="shared" si="167"/>
        <v>905.38</v>
      </c>
      <c r="T2005" s="738" t="str">
        <f t="shared" si="168"/>
        <v>M2</v>
      </c>
      <c r="U2005" s="738"/>
    </row>
    <row r="2006" spans="1:21" x14ac:dyDescent="0.2">
      <c r="A2006" s="923"/>
      <c r="B2006" s="345"/>
      <c r="C2006" s="580" t="s">
        <v>1386</v>
      </c>
      <c r="D2006" s="870"/>
      <c r="E2006" s="871"/>
      <c r="F2006" s="871"/>
      <c r="G2006" s="870"/>
      <c r="H2006" s="871"/>
      <c r="I2006" s="406"/>
      <c r="J2006" s="349">
        <v>15.4</v>
      </c>
      <c r="K2006" s="884">
        <v>2.2999999999999998</v>
      </c>
      <c r="L2006" s="876">
        <v>0.8</v>
      </c>
      <c r="M2006" s="885">
        <v>2</v>
      </c>
      <c r="N2006" s="876">
        <f>(J2006+K2006)*2*L2006*M2006</f>
        <v>56.64</v>
      </c>
      <c r="O2006" s="351"/>
      <c r="P2006" s="880"/>
      <c r="Q2006" s="880"/>
      <c r="R2006" s="902"/>
      <c r="S2006" s="738">
        <f t="shared" si="167"/>
        <v>905.38</v>
      </c>
      <c r="T2006" s="738" t="str">
        <f t="shared" si="168"/>
        <v>M2</v>
      </c>
      <c r="U2006" s="738"/>
    </row>
    <row r="2007" spans="1:21" x14ac:dyDescent="0.2">
      <c r="A2007" s="923"/>
      <c r="B2007" s="345"/>
      <c r="C2007" s="580" t="s">
        <v>1387</v>
      </c>
      <c r="D2007" s="870"/>
      <c r="E2007" s="871"/>
      <c r="F2007" s="871"/>
      <c r="G2007" s="870"/>
      <c r="H2007" s="871"/>
      <c r="I2007" s="406"/>
      <c r="J2007" s="1059" t="s">
        <v>1390</v>
      </c>
      <c r="K2007" s="1060"/>
      <c r="L2007" s="1060"/>
      <c r="M2007" s="1061"/>
      <c r="N2007" s="876">
        <v>252</v>
      </c>
      <c r="O2007" s="351"/>
      <c r="P2007" s="880"/>
      <c r="Q2007" s="880"/>
      <c r="R2007" s="902"/>
      <c r="S2007" s="738">
        <f t="shared" si="167"/>
        <v>905.38</v>
      </c>
      <c r="T2007" s="738" t="str">
        <f t="shared" si="168"/>
        <v>M2</v>
      </c>
      <c r="U2007" s="738"/>
    </row>
    <row r="2008" spans="1:21" x14ac:dyDescent="0.2">
      <c r="A2008" s="923"/>
      <c r="B2008" s="345"/>
      <c r="C2008" s="580" t="s">
        <v>1388</v>
      </c>
      <c r="D2008" s="870"/>
      <c r="E2008" s="871"/>
      <c r="F2008" s="871"/>
      <c r="G2008" s="870"/>
      <c r="H2008" s="871"/>
      <c r="I2008" s="406"/>
      <c r="J2008" s="1059" t="s">
        <v>1390</v>
      </c>
      <c r="K2008" s="1060"/>
      <c r="L2008" s="1060"/>
      <c r="M2008" s="1061"/>
      <c r="N2008" s="876">
        <v>119</v>
      </c>
      <c r="O2008" s="351"/>
      <c r="P2008" s="880"/>
      <c r="Q2008" s="880"/>
      <c r="R2008" s="902"/>
      <c r="S2008" s="738">
        <f t="shared" si="167"/>
        <v>905.38</v>
      </c>
      <c r="T2008" s="738" t="str">
        <f t="shared" si="168"/>
        <v>M2</v>
      </c>
      <c r="U2008" s="738"/>
    </row>
    <row r="2009" spans="1:21" x14ac:dyDescent="0.2">
      <c r="A2009" s="923"/>
      <c r="B2009" s="345"/>
      <c r="C2009" s="580" t="s">
        <v>1389</v>
      </c>
      <c r="D2009" s="870"/>
      <c r="E2009" s="871"/>
      <c r="F2009" s="871"/>
      <c r="G2009" s="870"/>
      <c r="H2009" s="871"/>
      <c r="I2009" s="406"/>
      <c r="J2009" s="349">
        <v>0.4</v>
      </c>
      <c r="K2009" s="884">
        <v>0.4</v>
      </c>
      <c r="L2009" s="876">
        <v>0.38</v>
      </c>
      <c r="M2009" s="885">
        <v>12</v>
      </c>
      <c r="N2009" s="876">
        <f>(J2009+K2009)*2*L2009*M2009</f>
        <v>7.3</v>
      </c>
      <c r="O2009" s="351"/>
      <c r="P2009" s="880"/>
      <c r="Q2009" s="880"/>
      <c r="R2009" s="902"/>
      <c r="S2009" s="738">
        <f t="shared" si="167"/>
        <v>905.38</v>
      </c>
      <c r="T2009" s="738" t="str">
        <f t="shared" si="168"/>
        <v>M2</v>
      </c>
      <c r="U2009" s="738"/>
    </row>
    <row r="2010" spans="1:21" x14ac:dyDescent="0.2">
      <c r="A2010" s="923"/>
      <c r="B2010" s="345"/>
      <c r="C2010" s="347" t="s">
        <v>1378</v>
      </c>
      <c r="D2010" s="405">
        <v>536</v>
      </c>
      <c r="E2010" s="871" t="s">
        <v>8</v>
      </c>
      <c r="F2010" s="406">
        <v>6</v>
      </c>
      <c r="G2010" s="405">
        <v>536</v>
      </c>
      <c r="H2010" s="871" t="s">
        <v>8</v>
      </c>
      <c r="I2010" s="780">
        <v>16</v>
      </c>
      <c r="J2010" s="349"/>
      <c r="K2010" s="884"/>
      <c r="L2010" s="876"/>
      <c r="M2010" s="885"/>
      <c r="N2010" s="876"/>
      <c r="O2010" s="351"/>
      <c r="P2010" s="880"/>
      <c r="Q2010" s="880"/>
      <c r="R2010" s="902"/>
      <c r="S2010" s="738">
        <f t="shared" si="167"/>
        <v>905.38</v>
      </c>
      <c r="T2010" s="738" t="str">
        <f t="shared" si="168"/>
        <v>M2</v>
      </c>
      <c r="U2010" s="738"/>
    </row>
    <row r="2011" spans="1:21" x14ac:dyDescent="0.2">
      <c r="A2011" s="923"/>
      <c r="B2011" s="345"/>
      <c r="C2011" s="580" t="s">
        <v>1386</v>
      </c>
      <c r="D2011" s="870"/>
      <c r="E2011" s="871"/>
      <c r="F2011" s="871"/>
      <c r="G2011" s="870"/>
      <c r="H2011" s="871"/>
      <c r="I2011" s="406"/>
      <c r="J2011" s="349">
        <v>15.4</v>
      </c>
      <c r="K2011" s="884">
        <v>2.2999999999999998</v>
      </c>
      <c r="L2011" s="876">
        <v>0.8</v>
      </c>
      <c r="M2011" s="885">
        <v>2</v>
      </c>
      <c r="N2011" s="876">
        <f>(J2011+K2011)*2*L2011*M2011</f>
        <v>56.64</v>
      </c>
      <c r="O2011" s="351"/>
      <c r="P2011" s="880"/>
      <c r="Q2011" s="880"/>
      <c r="R2011" s="902"/>
      <c r="S2011" s="738">
        <f t="shared" si="167"/>
        <v>905.38</v>
      </c>
      <c r="T2011" s="738" t="str">
        <f t="shared" si="168"/>
        <v>M2</v>
      </c>
      <c r="U2011" s="738"/>
    </row>
    <row r="2012" spans="1:21" x14ac:dyDescent="0.2">
      <c r="A2012" s="923"/>
      <c r="B2012" s="345"/>
      <c r="C2012" s="580" t="s">
        <v>1387</v>
      </c>
      <c r="D2012" s="870"/>
      <c r="E2012" s="871"/>
      <c r="F2012" s="871"/>
      <c r="G2012" s="870"/>
      <c r="H2012" s="871"/>
      <c r="I2012" s="406"/>
      <c r="J2012" s="1059" t="s">
        <v>1390</v>
      </c>
      <c r="K2012" s="1060"/>
      <c r="L2012" s="1060"/>
      <c r="M2012" s="1061"/>
      <c r="N2012" s="876">
        <v>239.1</v>
      </c>
      <c r="O2012" s="351"/>
      <c r="P2012" s="880"/>
      <c r="Q2012" s="880"/>
      <c r="R2012" s="902"/>
      <c r="S2012" s="738">
        <f t="shared" si="167"/>
        <v>905.38</v>
      </c>
      <c r="T2012" s="738" t="str">
        <f t="shared" si="168"/>
        <v>M2</v>
      </c>
      <c r="U2012" s="738"/>
    </row>
    <row r="2013" spans="1:21" x14ac:dyDescent="0.2">
      <c r="A2013" s="923"/>
      <c r="B2013" s="345"/>
      <c r="C2013" s="580" t="s">
        <v>1388</v>
      </c>
      <c r="D2013" s="870"/>
      <c r="E2013" s="871"/>
      <c r="F2013" s="871"/>
      <c r="G2013" s="870"/>
      <c r="H2013" s="871"/>
      <c r="I2013" s="406"/>
      <c r="J2013" s="1059" t="s">
        <v>1390</v>
      </c>
      <c r="K2013" s="1060"/>
      <c r="L2013" s="1060"/>
      <c r="M2013" s="1061"/>
      <c r="N2013" s="876">
        <v>167.4</v>
      </c>
      <c r="O2013" s="351"/>
      <c r="P2013" s="880"/>
      <c r="Q2013" s="880"/>
      <c r="R2013" s="902"/>
      <c r="S2013" s="738">
        <f t="shared" si="167"/>
        <v>905.38</v>
      </c>
      <c r="T2013" s="738" t="str">
        <f t="shared" si="168"/>
        <v>M2</v>
      </c>
      <c r="U2013" s="738"/>
    </row>
    <row r="2014" spans="1:21" x14ac:dyDescent="0.2">
      <c r="A2014" s="923"/>
      <c r="B2014" s="345"/>
      <c r="C2014" s="580" t="s">
        <v>1389</v>
      </c>
      <c r="D2014" s="870"/>
      <c r="E2014" s="871"/>
      <c r="F2014" s="871"/>
      <c r="G2014" s="870"/>
      <c r="H2014" s="871"/>
      <c r="I2014" s="406"/>
      <c r="J2014" s="349">
        <v>0.4</v>
      </c>
      <c r="K2014" s="884">
        <v>0.4</v>
      </c>
      <c r="L2014" s="876">
        <v>0.38</v>
      </c>
      <c r="M2014" s="885">
        <v>12</v>
      </c>
      <c r="N2014" s="876">
        <f>(J2014+K2014)*2*L2014*M2014</f>
        <v>7.3</v>
      </c>
      <c r="O2014" s="351"/>
      <c r="P2014" s="880"/>
      <c r="Q2014" s="880"/>
      <c r="R2014" s="902"/>
      <c r="S2014" s="738">
        <f t="shared" si="167"/>
        <v>905.38</v>
      </c>
      <c r="T2014" s="738" t="str">
        <f t="shared" si="168"/>
        <v>M2</v>
      </c>
      <c r="U2014" s="738"/>
    </row>
    <row r="2015" spans="1:21" x14ac:dyDescent="0.2">
      <c r="A2015" s="899"/>
      <c r="B2015" s="353"/>
      <c r="C2015" s="354" t="s">
        <v>2</v>
      </c>
      <c r="D2015" s="355"/>
      <c r="E2015" s="352"/>
      <c r="F2015" s="356"/>
      <c r="G2015" s="355"/>
      <c r="H2015" s="356"/>
      <c r="I2015" s="356"/>
      <c r="J2015" s="353"/>
      <c r="K2015" s="357"/>
      <c r="L2015" s="358"/>
      <c r="M2015" s="359"/>
      <c r="N2015" s="360">
        <f>SUM(N2005:N2014)</f>
        <v>905.38</v>
      </c>
      <c r="O2015" s="361" t="str">
        <f>IF(MID(B2003,1,2)="LG",VLOOKUP(B2003,'Compos lug'!J:M,4,FALSE),IF(MID(B2003,1,1)="6",VLOOKUP(B2003,tranp.!$A$6:$K$51,3,FALSE),VLOOKUP(B2003,'DER 10-18'!$A$1:$I$1981,3,FALSE)))</f>
        <v>M2</v>
      </c>
      <c r="P2015" s="362"/>
      <c r="Q2015" s="362"/>
      <c r="R2015" s="900"/>
      <c r="S2015" s="738">
        <f t="shared" si="167"/>
        <v>24085</v>
      </c>
      <c r="T2015" s="738" t="str">
        <f t="shared" si="168"/>
        <v>kg</v>
      </c>
      <c r="U2015" s="738"/>
    </row>
    <row r="2016" spans="1:21" x14ac:dyDescent="0.2">
      <c r="A2016" s="294"/>
      <c r="B2016" s="293"/>
      <c r="C2016" s="343"/>
      <c r="H2016" s="292"/>
      <c r="N2016" s="314"/>
      <c r="O2016" s="344"/>
      <c r="P2016" s="315"/>
      <c r="Q2016" s="315"/>
      <c r="R2016" s="903"/>
      <c r="S2016" s="738">
        <f t="shared" si="167"/>
        <v>24085</v>
      </c>
      <c r="T2016" s="738" t="str">
        <f t="shared" si="168"/>
        <v>kg</v>
      </c>
      <c r="U2016" s="738"/>
    </row>
    <row r="2017" spans="1:21" ht="25.5" x14ac:dyDescent="0.2">
      <c r="A2017" s="895" t="s">
        <v>1887</v>
      </c>
      <c r="B2017" s="346">
        <v>40376</v>
      </c>
      <c r="C2017" s="347" t="str">
        <f>IF(MID(B2017,1,2)="LG",VLOOKUP(B2017,'Compos lug'!J:M,3,FALSE),IF(MID(B2017,1,1)="6",VLOOKUP(B2017,tranp.!$A$4:$K$19,11,FALSE)&amp;" -  XP="&amp;TEXT(T2414,"0.000")&amp;" / XR="&amp;TEXT(V2414,"0.000"),VLOOKUP(B2017,'DER 10-18'!$A$1:$I$1981,2,FALSE)))</f>
        <v>Aço CA-50, fornecimento, dobragem e colocação nas formas (preço médio das bitolas)</v>
      </c>
      <c r="D2017" s="1059" t="s">
        <v>1000</v>
      </c>
      <c r="E2017" s="1060"/>
      <c r="F2017" s="1061"/>
      <c r="G2017" s="1059" t="s">
        <v>1001</v>
      </c>
      <c r="H2017" s="1060"/>
      <c r="I2017" s="1061"/>
      <c r="J2017" s="349" t="s">
        <v>1380</v>
      </c>
      <c r="K2017" s="884" t="s">
        <v>994</v>
      </c>
      <c r="L2017" s="876" t="s">
        <v>1009</v>
      </c>
      <c r="M2017" s="885" t="s">
        <v>1382</v>
      </c>
      <c r="N2017" s="876" t="str">
        <f>CONCATENATE("Total (",IF(MID(B2017,1,2)="LG",VLOOKUP(B2017,'Compos lug'!J:M,4,FALSE),IF(MID(B2017,1,1)="6","t",VLOOKUP(B2017,'DER 10-18'!$A$1:$I$1981,3,FALSE))),")")</f>
        <v>Total (kg)</v>
      </c>
      <c r="O2017" s="351"/>
      <c r="P2017" s="880"/>
      <c r="Q2017" s="880"/>
      <c r="R2017" s="902"/>
      <c r="S2017" s="738">
        <f t="shared" si="167"/>
        <v>24085</v>
      </c>
      <c r="T2017" s="738" t="str">
        <f t="shared" si="168"/>
        <v>kg</v>
      </c>
      <c r="U2017" s="738"/>
    </row>
    <row r="2018" spans="1:21" x14ac:dyDescent="0.2">
      <c r="A2018" s="294"/>
      <c r="B2018" s="293"/>
      <c r="C2018" s="744" t="s">
        <v>1552</v>
      </c>
      <c r="N2018" s="876"/>
      <c r="R2018" s="912"/>
      <c r="S2018" s="738">
        <f t="shared" si="167"/>
        <v>24085</v>
      </c>
      <c r="T2018" s="738" t="str">
        <f t="shared" si="168"/>
        <v>kg</v>
      </c>
    </row>
    <row r="2019" spans="1:21" x14ac:dyDescent="0.2">
      <c r="A2019" s="895"/>
      <c r="B2019" s="346"/>
      <c r="C2019" s="347" t="s">
        <v>1419</v>
      </c>
      <c r="D2019" s="405">
        <v>341</v>
      </c>
      <c r="E2019" s="871" t="s">
        <v>8</v>
      </c>
      <c r="F2019" s="406">
        <v>8</v>
      </c>
      <c r="G2019" s="405">
        <v>342</v>
      </c>
      <c r="H2019" s="871" t="s">
        <v>8</v>
      </c>
      <c r="I2019" s="406">
        <v>3</v>
      </c>
      <c r="J2019" s="349"/>
      <c r="K2019" s="884"/>
      <c r="L2019" s="876"/>
      <c r="M2019" s="885"/>
      <c r="N2019" s="876"/>
      <c r="O2019" s="351"/>
      <c r="P2019" s="880"/>
      <c r="Q2019" s="880"/>
      <c r="R2019" s="902"/>
      <c r="S2019" s="738">
        <f t="shared" si="167"/>
        <v>24085</v>
      </c>
      <c r="T2019" s="738" t="str">
        <f t="shared" si="168"/>
        <v>kg</v>
      </c>
      <c r="U2019" s="738"/>
    </row>
    <row r="2020" spans="1:21" x14ac:dyDescent="0.2">
      <c r="A2020" s="895"/>
      <c r="B2020" s="346"/>
      <c r="C2020" s="580" t="s">
        <v>1420</v>
      </c>
      <c r="D2020" s="870"/>
      <c r="E2020" s="871"/>
      <c r="F2020" s="871"/>
      <c r="G2020" s="870"/>
      <c r="H2020" s="871"/>
      <c r="I2020" s="406"/>
      <c r="J2020" s="349"/>
      <c r="K2020" s="884"/>
      <c r="L2020" s="876"/>
      <c r="M2020" s="885"/>
      <c r="N2020" s="876">
        <f>1697+5979</f>
        <v>7676</v>
      </c>
      <c r="O2020" s="351"/>
      <c r="P2020" s="880"/>
      <c r="Q2020" s="880"/>
      <c r="R2020" s="902"/>
      <c r="S2020" s="738">
        <f t="shared" si="167"/>
        <v>24085</v>
      </c>
      <c r="T2020" s="738" t="str">
        <f t="shared" si="168"/>
        <v>kg</v>
      </c>
      <c r="U2020" s="738"/>
    </row>
    <row r="2021" spans="1:21" x14ac:dyDescent="0.2">
      <c r="A2021" s="895"/>
      <c r="B2021" s="346"/>
      <c r="C2021" s="580" t="s">
        <v>1393</v>
      </c>
      <c r="D2021" s="870"/>
      <c r="E2021" s="871"/>
      <c r="F2021" s="871"/>
      <c r="G2021" s="870"/>
      <c r="H2021" s="871"/>
      <c r="I2021" s="406"/>
      <c r="J2021" s="349"/>
      <c r="K2021" s="884"/>
      <c r="L2021" s="876"/>
      <c r="M2021" s="885"/>
      <c r="N2021" s="876">
        <v>4045</v>
      </c>
      <c r="O2021" s="351"/>
      <c r="P2021" s="880"/>
      <c r="Q2021" s="880"/>
      <c r="R2021" s="902"/>
      <c r="S2021" s="738">
        <f t="shared" si="167"/>
        <v>24085</v>
      </c>
      <c r="T2021" s="738" t="str">
        <f t="shared" si="168"/>
        <v>kg</v>
      </c>
      <c r="U2021" s="738"/>
    </row>
    <row r="2022" spans="1:21" x14ac:dyDescent="0.2">
      <c r="A2022" s="895"/>
      <c r="B2022" s="346"/>
      <c r="C2022" s="580" t="s">
        <v>1391</v>
      </c>
      <c r="D2022" s="870"/>
      <c r="E2022" s="871"/>
      <c r="F2022" s="871"/>
      <c r="G2022" s="870"/>
      <c r="H2022" s="871"/>
      <c r="I2022" s="406"/>
      <c r="J2022" s="349"/>
      <c r="K2022" s="884"/>
      <c r="L2022" s="876"/>
      <c r="M2022" s="885"/>
      <c r="N2022" s="876">
        <v>204</v>
      </c>
      <c r="O2022" s="351"/>
      <c r="P2022" s="880"/>
      <c r="Q2022" s="880"/>
      <c r="R2022" s="902"/>
      <c r="S2022" s="738">
        <f t="shared" si="167"/>
        <v>24085</v>
      </c>
      <c r="T2022" s="738" t="str">
        <f t="shared" si="168"/>
        <v>kg</v>
      </c>
      <c r="U2022" s="738"/>
    </row>
    <row r="2023" spans="1:21" x14ac:dyDescent="0.2">
      <c r="A2023" s="895"/>
      <c r="B2023" s="346"/>
      <c r="C2023" s="347" t="s">
        <v>1378</v>
      </c>
      <c r="D2023" s="405">
        <v>536</v>
      </c>
      <c r="E2023" s="871" t="s">
        <v>8</v>
      </c>
      <c r="F2023" s="406">
        <v>6</v>
      </c>
      <c r="G2023" s="405">
        <v>536</v>
      </c>
      <c r="H2023" s="871" t="s">
        <v>8</v>
      </c>
      <c r="I2023" s="780">
        <v>16</v>
      </c>
      <c r="J2023" s="349"/>
      <c r="K2023" s="884"/>
      <c r="L2023" s="876"/>
      <c r="M2023" s="885"/>
      <c r="N2023" s="876"/>
      <c r="O2023" s="351"/>
      <c r="P2023" s="880"/>
      <c r="Q2023" s="880"/>
      <c r="R2023" s="902"/>
      <c r="S2023" s="738">
        <f t="shared" si="167"/>
        <v>24085</v>
      </c>
      <c r="T2023" s="738" t="str">
        <f t="shared" si="168"/>
        <v>kg</v>
      </c>
      <c r="U2023" s="738"/>
    </row>
    <row r="2024" spans="1:21" x14ac:dyDescent="0.2">
      <c r="A2024" s="895"/>
      <c r="B2024" s="346"/>
      <c r="C2024" s="580" t="s">
        <v>1392</v>
      </c>
      <c r="D2024" s="870"/>
      <c r="E2024" s="871"/>
      <c r="F2024" s="871"/>
      <c r="G2024" s="870"/>
      <c r="H2024" s="871"/>
      <c r="I2024" s="406"/>
      <c r="J2024" s="349"/>
      <c r="K2024" s="884"/>
      <c r="L2024" s="876"/>
      <c r="M2024" s="885"/>
      <c r="N2024" s="876">
        <v>6130</v>
      </c>
      <c r="O2024" s="351"/>
      <c r="P2024" s="880"/>
      <c r="Q2024" s="880"/>
      <c r="R2024" s="902"/>
      <c r="S2024" s="738">
        <f t="shared" si="167"/>
        <v>24085</v>
      </c>
      <c r="T2024" s="738" t="str">
        <f t="shared" si="168"/>
        <v>kg</v>
      </c>
      <c r="U2024" s="738"/>
    </row>
    <row r="2025" spans="1:21" x14ac:dyDescent="0.2">
      <c r="A2025" s="895"/>
      <c r="B2025" s="346"/>
      <c r="C2025" s="580" t="s">
        <v>1388</v>
      </c>
      <c r="D2025" s="870"/>
      <c r="E2025" s="871"/>
      <c r="F2025" s="871"/>
      <c r="G2025" s="870"/>
      <c r="H2025" s="871"/>
      <c r="I2025" s="406"/>
      <c r="J2025" s="349"/>
      <c r="K2025" s="884"/>
      <c r="L2025" s="876"/>
      <c r="M2025" s="885"/>
      <c r="N2025" s="876">
        <v>1781</v>
      </c>
      <c r="O2025" s="351"/>
      <c r="P2025" s="880"/>
      <c r="Q2025" s="880"/>
      <c r="R2025" s="902"/>
      <c r="S2025" s="738">
        <f t="shared" si="167"/>
        <v>24085</v>
      </c>
      <c r="T2025" s="738" t="str">
        <f t="shared" si="168"/>
        <v>kg</v>
      </c>
      <c r="U2025" s="738"/>
    </row>
    <row r="2026" spans="1:21" x14ac:dyDescent="0.2">
      <c r="A2026" s="895"/>
      <c r="B2026" s="346"/>
      <c r="C2026" s="580" t="s">
        <v>1393</v>
      </c>
      <c r="D2026" s="870"/>
      <c r="E2026" s="871"/>
      <c r="F2026" s="871"/>
      <c r="G2026" s="870"/>
      <c r="H2026" s="871"/>
      <c r="I2026" s="406"/>
      <c r="J2026" s="349"/>
      <c r="K2026" s="884"/>
      <c r="L2026" s="876"/>
      <c r="M2026" s="885"/>
      <c r="N2026" s="876">
        <v>4045</v>
      </c>
      <c r="O2026" s="351"/>
      <c r="P2026" s="880"/>
      <c r="Q2026" s="880"/>
      <c r="R2026" s="902"/>
      <c r="S2026" s="738">
        <f t="shared" si="167"/>
        <v>24085</v>
      </c>
      <c r="T2026" s="738" t="str">
        <f t="shared" si="168"/>
        <v>kg</v>
      </c>
      <c r="U2026" s="738"/>
    </row>
    <row r="2027" spans="1:21" x14ac:dyDescent="0.2">
      <c r="A2027" s="895"/>
      <c r="B2027" s="346"/>
      <c r="C2027" s="580" t="s">
        <v>1391</v>
      </c>
      <c r="D2027" s="870"/>
      <c r="E2027" s="871"/>
      <c r="F2027" s="871"/>
      <c r="G2027" s="870"/>
      <c r="H2027" s="871"/>
      <c r="I2027" s="406"/>
      <c r="J2027" s="349"/>
      <c r="K2027" s="884"/>
      <c r="L2027" s="876"/>
      <c r="M2027" s="885"/>
      <c r="N2027" s="876">
        <v>204</v>
      </c>
      <c r="O2027" s="351"/>
      <c r="P2027" s="880"/>
      <c r="Q2027" s="880"/>
      <c r="R2027" s="902"/>
      <c r="S2027" s="738">
        <f t="shared" si="167"/>
        <v>24085</v>
      </c>
      <c r="T2027" s="738" t="str">
        <f t="shared" si="168"/>
        <v>kg</v>
      </c>
      <c r="U2027" s="738"/>
    </row>
    <row r="2028" spans="1:21" x14ac:dyDescent="0.2">
      <c r="A2028" s="899"/>
      <c r="B2028" s="353"/>
      <c r="C2028" s="354" t="s">
        <v>2</v>
      </c>
      <c r="D2028" s="355"/>
      <c r="E2028" s="352"/>
      <c r="F2028" s="356"/>
      <c r="G2028" s="355"/>
      <c r="H2028" s="356"/>
      <c r="I2028" s="356"/>
      <c r="J2028" s="353"/>
      <c r="K2028" s="357"/>
      <c r="L2028" s="358"/>
      <c r="M2028" s="359"/>
      <c r="N2028" s="360">
        <f>SUM(N2019:N2027)</f>
        <v>24085</v>
      </c>
      <c r="O2028" s="361" t="str">
        <f>IF(MID(B2017,1,2)="LG",VLOOKUP(B2017,'Compos lug'!J:M,4,FALSE),IF(MID(B2017,1,1)="6",VLOOKUP(B2017,tranp.!$A$6:$K$51,3,FALSE),VLOOKUP(B2017,'DER 10-18'!$A$1:$I$1981,3,FALSE)))</f>
        <v>kg</v>
      </c>
      <c r="P2028" s="362"/>
      <c r="Q2028" s="362"/>
      <c r="R2028" s="900"/>
      <c r="S2028" s="738">
        <f t="shared" si="167"/>
        <v>335.2</v>
      </c>
      <c r="T2028" s="738" t="str">
        <f t="shared" si="168"/>
        <v>M3</v>
      </c>
      <c r="U2028" s="738"/>
    </row>
    <row r="2029" spans="1:21" x14ac:dyDescent="0.2">
      <c r="A2029" s="925"/>
      <c r="B2029" s="293"/>
      <c r="C2029" s="343"/>
      <c r="H2029" s="292"/>
      <c r="N2029" s="314"/>
      <c r="O2029" s="344"/>
      <c r="P2029" s="315"/>
      <c r="Q2029" s="315"/>
      <c r="R2029" s="903"/>
      <c r="S2029" s="738">
        <f t="shared" si="167"/>
        <v>335.2</v>
      </c>
      <c r="T2029" s="738" t="str">
        <f t="shared" si="168"/>
        <v>M3</v>
      </c>
      <c r="U2029" s="738"/>
    </row>
    <row r="2030" spans="1:21" ht="25.5" x14ac:dyDescent="0.2">
      <c r="A2030" s="923" t="s">
        <v>1888</v>
      </c>
      <c r="B2030" s="687">
        <v>40369</v>
      </c>
      <c r="C2030" s="347" t="str">
        <f>IF(MID(B2030,1,2)="LG",VLOOKUP(B2030,'Compos lug'!J:M,3,FALSE),IF(MID(B2030,1,1)="6",VLOOKUP(B2030,tranp.!$A$4:$K$19,11,FALSE)&amp;" -  XP="&amp;TEXT(T2417,"0.000")&amp;" / XR="&amp;TEXT(V2417,"0.000"),VLOOKUP(B2030,'DER 10-18'!$A$1:$I$1981,2,FALSE)))</f>
        <v>Concreto estrutural fck = 35,0 MPa com micro-silica e Sikacrete BR ou equivalente</v>
      </c>
      <c r="D2030" s="1059" t="s">
        <v>1000</v>
      </c>
      <c r="E2030" s="1060"/>
      <c r="F2030" s="1061"/>
      <c r="G2030" s="1059" t="s">
        <v>1001</v>
      </c>
      <c r="H2030" s="1060"/>
      <c r="I2030" s="1061"/>
      <c r="J2030" s="349" t="s">
        <v>1380</v>
      </c>
      <c r="K2030" s="884" t="s">
        <v>994</v>
      </c>
      <c r="L2030" s="876" t="s">
        <v>1009</v>
      </c>
      <c r="M2030" s="885" t="s">
        <v>1382</v>
      </c>
      <c r="N2030" s="876" t="str">
        <f>CONCATENATE("Total (",IF(MID(B2030,1,2)="LG",VLOOKUP(B2030,'Compos lug'!J:M,4,FALSE),IF(MID(B2030,1,1)="6","t",VLOOKUP(B2030,'DER 10-18'!$A$1:$I$1981,3,FALSE))),")")</f>
        <v>Total (M3)</v>
      </c>
      <c r="O2030" s="351"/>
      <c r="P2030" s="880"/>
      <c r="Q2030" s="880"/>
      <c r="R2030" s="902"/>
      <c r="S2030" s="738">
        <f t="shared" si="167"/>
        <v>335.2</v>
      </c>
      <c r="T2030" s="738" t="str">
        <f t="shared" si="168"/>
        <v>M3</v>
      </c>
      <c r="U2030" s="738"/>
    </row>
    <row r="2031" spans="1:21" x14ac:dyDescent="0.2">
      <c r="A2031" s="294"/>
      <c r="B2031" s="293"/>
      <c r="C2031" s="744" t="s">
        <v>1552</v>
      </c>
      <c r="N2031" s="876"/>
      <c r="R2031" s="912"/>
      <c r="S2031" s="738">
        <f t="shared" si="167"/>
        <v>335.2</v>
      </c>
      <c r="T2031" s="738" t="str">
        <f t="shared" si="168"/>
        <v>M3</v>
      </c>
    </row>
    <row r="2032" spans="1:21" x14ac:dyDescent="0.2">
      <c r="A2032" s="923"/>
      <c r="B2032" s="345"/>
      <c r="C2032" s="347" t="s">
        <v>1419</v>
      </c>
      <c r="D2032" s="405">
        <v>341</v>
      </c>
      <c r="E2032" s="871" t="s">
        <v>8</v>
      </c>
      <c r="F2032" s="406">
        <v>8</v>
      </c>
      <c r="G2032" s="405">
        <v>342</v>
      </c>
      <c r="H2032" s="871" t="s">
        <v>8</v>
      </c>
      <c r="I2032" s="406">
        <v>3</v>
      </c>
      <c r="J2032" s="349"/>
      <c r="K2032" s="884"/>
      <c r="L2032" s="876"/>
      <c r="M2032" s="885"/>
      <c r="N2032" s="876"/>
      <c r="O2032" s="351"/>
      <c r="P2032" s="880"/>
      <c r="Q2032" s="880"/>
      <c r="R2032" s="902"/>
      <c r="S2032" s="738">
        <f t="shared" si="167"/>
        <v>335.2</v>
      </c>
      <c r="T2032" s="738" t="str">
        <f t="shared" si="168"/>
        <v>M3</v>
      </c>
      <c r="U2032" s="738"/>
    </row>
    <row r="2033" spans="1:27" s="289" customFormat="1" ht="25.5" x14ac:dyDescent="0.2">
      <c r="A2033" s="926"/>
      <c r="B2033" s="318"/>
      <c r="C2033" s="427" t="s">
        <v>1421</v>
      </c>
      <c r="D2033" s="405"/>
      <c r="E2033" s="871"/>
      <c r="F2033" s="406"/>
      <c r="G2033" s="405"/>
      <c r="H2033" s="871"/>
      <c r="I2033" s="406"/>
      <c r="J2033" s="349"/>
      <c r="K2033" s="350"/>
      <c r="L2033" s="298"/>
      <c r="M2033" s="299"/>
      <c r="N2033" s="876">
        <f>56.7+62.1+14.3+28.8</f>
        <v>161.9</v>
      </c>
      <c r="O2033" s="351"/>
      <c r="P2033" s="880"/>
      <c r="Q2033" s="880"/>
      <c r="R2033" s="898"/>
      <c r="S2033" s="738">
        <f t="shared" si="167"/>
        <v>335.2</v>
      </c>
      <c r="T2033" s="738" t="str">
        <f t="shared" si="168"/>
        <v>M3</v>
      </c>
      <c r="U2033" s="738"/>
      <c r="W2033" s="712"/>
      <c r="X2033" s="712"/>
      <c r="Y2033" s="712"/>
      <c r="Z2033" s="712"/>
      <c r="AA2033" s="712"/>
    </row>
    <row r="2034" spans="1:27" x14ac:dyDescent="0.2">
      <c r="A2034" s="923"/>
      <c r="B2034" s="345"/>
      <c r="C2034" s="347" t="s">
        <v>1378</v>
      </c>
      <c r="D2034" s="405">
        <v>536</v>
      </c>
      <c r="E2034" s="871" t="s">
        <v>8</v>
      </c>
      <c r="F2034" s="406">
        <v>6</v>
      </c>
      <c r="G2034" s="405">
        <v>536</v>
      </c>
      <c r="H2034" s="871" t="s">
        <v>8</v>
      </c>
      <c r="I2034" s="780">
        <v>16</v>
      </c>
      <c r="J2034" s="349"/>
      <c r="K2034" s="884"/>
      <c r="L2034" s="876"/>
      <c r="M2034" s="885"/>
      <c r="N2034" s="876"/>
      <c r="O2034" s="351"/>
      <c r="P2034" s="880"/>
      <c r="Q2034" s="880"/>
      <c r="R2034" s="902"/>
      <c r="S2034" s="738">
        <f t="shared" si="167"/>
        <v>335.2</v>
      </c>
      <c r="T2034" s="738" t="str">
        <f t="shared" si="168"/>
        <v>M3</v>
      </c>
      <c r="U2034" s="738"/>
    </row>
    <row r="2035" spans="1:27" x14ac:dyDescent="0.2">
      <c r="A2035" s="923"/>
      <c r="B2035" s="345"/>
      <c r="C2035" s="580" t="s">
        <v>1394</v>
      </c>
      <c r="D2035" s="870"/>
      <c r="E2035" s="871"/>
      <c r="F2035" s="871"/>
      <c r="G2035" s="870"/>
      <c r="H2035" s="871"/>
      <c r="I2035" s="406"/>
      <c r="J2035" s="349"/>
      <c r="K2035" s="884"/>
      <c r="L2035" s="876"/>
      <c r="M2035" s="885"/>
      <c r="N2035" s="876">
        <f>56.7+68.3+28.8+19.5</f>
        <v>173.3</v>
      </c>
      <c r="O2035" s="351"/>
      <c r="P2035" s="880"/>
      <c r="Q2035" s="880"/>
      <c r="R2035" s="902"/>
      <c r="S2035" s="738">
        <f t="shared" si="167"/>
        <v>335.2</v>
      </c>
      <c r="T2035" s="738" t="str">
        <f t="shared" si="168"/>
        <v>M3</v>
      </c>
      <c r="U2035" s="738"/>
    </row>
    <row r="2036" spans="1:27" x14ac:dyDescent="0.2">
      <c r="A2036" s="927"/>
      <c r="B2036" s="688"/>
      <c r="C2036" s="354" t="s">
        <v>2</v>
      </c>
      <c r="D2036" s="355"/>
      <c r="E2036" s="352"/>
      <c r="F2036" s="356"/>
      <c r="G2036" s="355"/>
      <c r="H2036" s="356"/>
      <c r="I2036" s="356"/>
      <c r="J2036" s="353"/>
      <c r="K2036" s="357"/>
      <c r="L2036" s="358"/>
      <c r="M2036" s="359"/>
      <c r="N2036" s="360">
        <f>SUM(N2032:N2035)</f>
        <v>335.2</v>
      </c>
      <c r="O2036" s="361" t="str">
        <f>IF(MID(B2030,1,2)="LG",VLOOKUP(B2030,'Compos lug'!J:M,4,FALSE),IF(MID(B2030,1,1)="6",VLOOKUP(B2030,tranp.!$A$6:$K$51,3,FALSE),VLOOKUP(B2030,'DER 10-18'!$A$1:$I$1981,3,FALSE)))</f>
        <v>M3</v>
      </c>
      <c r="P2036" s="362"/>
      <c r="Q2036" s="362"/>
      <c r="R2036" s="900"/>
      <c r="S2036" s="738">
        <f t="shared" si="167"/>
        <v>14.16</v>
      </c>
      <c r="T2036" s="738" t="str">
        <f t="shared" si="168"/>
        <v>M3</v>
      </c>
      <c r="U2036" s="738"/>
    </row>
    <row r="2037" spans="1:27" x14ac:dyDescent="0.2">
      <c r="A2037" s="926"/>
      <c r="B2037" s="689"/>
      <c r="C2037" s="343"/>
      <c r="H2037" s="292"/>
      <c r="N2037" s="314"/>
      <c r="O2037" s="344"/>
      <c r="P2037" s="315"/>
      <c r="Q2037" s="315"/>
      <c r="R2037" s="903"/>
      <c r="S2037" s="738">
        <f t="shared" si="167"/>
        <v>14.16</v>
      </c>
      <c r="T2037" s="738" t="str">
        <f t="shared" si="168"/>
        <v>M3</v>
      </c>
      <c r="U2037" s="738"/>
    </row>
    <row r="2038" spans="1:27" x14ac:dyDescent="0.2">
      <c r="A2038" s="923" t="s">
        <v>1889</v>
      </c>
      <c r="B2038" s="687">
        <v>40349</v>
      </c>
      <c r="C2038" s="347" t="str">
        <f>IF(MID(B2038,1,2)="LG",VLOOKUP(B2038,'Compos lug'!J:M,3,FALSE),IF(MID(B2038,1,1)="6",VLOOKUP(B2038,tranp.!$A$4:$K$19,11,FALSE)&amp;" -  XP="&amp;TEXT(T2421,"0.000")&amp;" / XR="&amp;TEXT(V2421,"0.000"),VLOOKUP(B2038,'DER 10-18'!$A$1:$I$1981,2,FALSE)))</f>
        <v>Concreto de regularização, tudo incluído</v>
      </c>
      <c r="D2038" s="1059" t="s">
        <v>1000</v>
      </c>
      <c r="E2038" s="1060"/>
      <c r="F2038" s="1061"/>
      <c r="G2038" s="1059" t="s">
        <v>1001</v>
      </c>
      <c r="H2038" s="1060"/>
      <c r="I2038" s="1061"/>
      <c r="J2038" s="349" t="s">
        <v>1380</v>
      </c>
      <c r="K2038" s="884" t="s">
        <v>994</v>
      </c>
      <c r="L2038" s="876" t="s">
        <v>1009</v>
      </c>
      <c r="M2038" s="885" t="s">
        <v>1382</v>
      </c>
      <c r="N2038" s="876" t="str">
        <f>CONCATENATE("Total (",IF(MID(B2038,1,2)="LG",VLOOKUP(B2038,'Compos lug'!J:M,4,FALSE),IF(MID(B2038,1,1)="6","t",VLOOKUP(B2038,'DER 10-18'!$A$1:$I$1981,3,FALSE))),")")</f>
        <v>Total (M3)</v>
      </c>
      <c r="O2038" s="351"/>
      <c r="P2038" s="880"/>
      <c r="Q2038" s="880"/>
      <c r="R2038" s="902"/>
      <c r="S2038" s="738">
        <f t="shared" si="167"/>
        <v>14.16</v>
      </c>
      <c r="T2038" s="738" t="str">
        <f t="shared" si="168"/>
        <v>M3</v>
      </c>
      <c r="U2038" s="738"/>
    </row>
    <row r="2039" spans="1:27" x14ac:dyDescent="0.2">
      <c r="A2039" s="294"/>
      <c r="B2039" s="293"/>
      <c r="C2039" s="744" t="s">
        <v>1552</v>
      </c>
      <c r="N2039" s="876"/>
      <c r="R2039" s="912"/>
      <c r="S2039" s="738">
        <f t="shared" si="167"/>
        <v>14.16</v>
      </c>
      <c r="T2039" s="738" t="str">
        <f t="shared" si="168"/>
        <v>M3</v>
      </c>
    </row>
    <row r="2040" spans="1:27" x14ac:dyDescent="0.2">
      <c r="A2040" s="923"/>
      <c r="B2040" s="687"/>
      <c r="C2040" s="347" t="s">
        <v>1419</v>
      </c>
      <c r="D2040" s="405"/>
      <c r="E2040" s="871"/>
      <c r="F2040" s="406"/>
      <c r="G2040" s="405"/>
      <c r="H2040" s="871"/>
      <c r="I2040" s="406"/>
      <c r="J2040" s="349"/>
      <c r="K2040" s="884"/>
      <c r="L2040" s="876"/>
      <c r="M2040" s="885"/>
      <c r="N2040" s="876"/>
      <c r="O2040" s="351"/>
      <c r="P2040" s="880"/>
      <c r="Q2040" s="880"/>
      <c r="R2040" s="902"/>
      <c r="S2040" s="738">
        <f t="shared" si="167"/>
        <v>14.16</v>
      </c>
      <c r="T2040" s="738" t="str">
        <f t="shared" si="168"/>
        <v>M3</v>
      </c>
      <c r="U2040" s="738"/>
    </row>
    <row r="2041" spans="1:27" s="289" customFormat="1" x14ac:dyDescent="0.2">
      <c r="A2041" s="926"/>
      <c r="B2041" s="689"/>
      <c r="C2041" s="427" t="s">
        <v>1395</v>
      </c>
      <c r="D2041" s="405">
        <v>341</v>
      </c>
      <c r="E2041" s="871" t="s">
        <v>8</v>
      </c>
      <c r="F2041" s="406">
        <v>8</v>
      </c>
      <c r="G2041" s="405">
        <v>342</v>
      </c>
      <c r="H2041" s="871" t="s">
        <v>8</v>
      </c>
      <c r="I2041" s="406">
        <v>3</v>
      </c>
      <c r="J2041" s="876">
        <v>2.2999999999999998</v>
      </c>
      <c r="K2041" s="876">
        <v>15.4</v>
      </c>
      <c r="L2041" s="876">
        <v>2</v>
      </c>
      <c r="M2041" s="876"/>
      <c r="N2041" s="876">
        <f>K2041*J2041*L2041*0.1</f>
        <v>7.08</v>
      </c>
      <c r="O2041" s="351"/>
      <c r="P2041" s="880"/>
      <c r="Q2041" s="880"/>
      <c r="R2041" s="898"/>
      <c r="S2041" s="738">
        <f t="shared" si="167"/>
        <v>14.16</v>
      </c>
      <c r="T2041" s="738" t="str">
        <f t="shared" si="168"/>
        <v>M3</v>
      </c>
      <c r="U2041" s="738"/>
      <c r="W2041" s="712"/>
      <c r="X2041" s="712"/>
      <c r="Y2041" s="712"/>
      <c r="Z2041" s="712"/>
      <c r="AA2041" s="712"/>
    </row>
    <row r="2042" spans="1:27" x14ac:dyDescent="0.2">
      <c r="A2042" s="923"/>
      <c r="B2042" s="687"/>
      <c r="C2042" s="347" t="s">
        <v>1378</v>
      </c>
      <c r="D2042" s="870"/>
      <c r="E2042" s="871"/>
      <c r="F2042" s="871"/>
      <c r="G2042" s="870"/>
      <c r="H2042" s="871"/>
      <c r="I2042" s="406"/>
      <c r="J2042" s="349"/>
      <c r="K2042" s="884"/>
      <c r="L2042" s="876"/>
      <c r="M2042" s="885"/>
      <c r="N2042" s="876"/>
      <c r="O2042" s="351"/>
      <c r="P2042" s="880"/>
      <c r="Q2042" s="880"/>
      <c r="R2042" s="902"/>
      <c r="S2042" s="738">
        <f t="shared" si="167"/>
        <v>14.16</v>
      </c>
      <c r="T2042" s="738" t="str">
        <f t="shared" si="168"/>
        <v>M3</v>
      </c>
      <c r="U2042" s="738"/>
    </row>
    <row r="2043" spans="1:27" x14ac:dyDescent="0.2">
      <c r="A2043" s="923"/>
      <c r="B2043" s="687"/>
      <c r="C2043" s="580" t="s">
        <v>1395</v>
      </c>
      <c r="D2043" s="405">
        <v>536</v>
      </c>
      <c r="E2043" s="871" t="s">
        <v>8</v>
      </c>
      <c r="F2043" s="406">
        <v>6</v>
      </c>
      <c r="G2043" s="405">
        <v>536</v>
      </c>
      <c r="H2043" s="871" t="s">
        <v>8</v>
      </c>
      <c r="I2043" s="780">
        <v>16</v>
      </c>
      <c r="J2043" s="876">
        <v>2.2999999999999998</v>
      </c>
      <c r="K2043" s="876">
        <v>15.4</v>
      </c>
      <c r="L2043" s="876">
        <v>2</v>
      </c>
      <c r="M2043" s="876"/>
      <c r="N2043" s="876">
        <f>K2043*J2043*L2043*0.1</f>
        <v>7.08</v>
      </c>
      <c r="O2043" s="351"/>
      <c r="P2043" s="880"/>
      <c r="Q2043" s="880"/>
      <c r="R2043" s="902"/>
      <c r="S2043" s="738">
        <f t="shared" si="167"/>
        <v>14.16</v>
      </c>
      <c r="T2043" s="738" t="str">
        <f t="shared" si="168"/>
        <v>M3</v>
      </c>
      <c r="U2043" s="738"/>
    </row>
    <row r="2044" spans="1:27" x14ac:dyDescent="0.2">
      <c r="A2044" s="927"/>
      <c r="B2044" s="688"/>
      <c r="C2044" s="354" t="s">
        <v>2</v>
      </c>
      <c r="D2044" s="355"/>
      <c r="E2044" s="352"/>
      <c r="F2044" s="356"/>
      <c r="G2044" s="355"/>
      <c r="H2044" s="356"/>
      <c r="I2044" s="356"/>
      <c r="J2044" s="353"/>
      <c r="K2044" s="357"/>
      <c r="L2044" s="358"/>
      <c r="M2044" s="359"/>
      <c r="N2044" s="360">
        <f>SUM(N2040:N2043)</f>
        <v>14.16</v>
      </c>
      <c r="O2044" s="361" t="str">
        <f>IF(MID(B2038,1,2)="LG",VLOOKUP(B2038,'Compos lug'!J:M,4,FALSE),IF(MID(B2038,1,1)="6",VLOOKUP(B2038,tranp.!$A$6:$K$51,3,FALSE),VLOOKUP(B2038,'DER 10-18'!$A$1:$I$1981,3,FALSE)))</f>
        <v>M3</v>
      </c>
      <c r="P2044" s="362"/>
      <c r="Q2044" s="362"/>
      <c r="R2044" s="900"/>
      <c r="S2044" s="738">
        <f t="shared" si="167"/>
        <v>398.4</v>
      </c>
      <c r="T2044" s="738" t="str">
        <f t="shared" si="168"/>
        <v>M2</v>
      </c>
      <c r="U2044" s="738"/>
    </row>
    <row r="2045" spans="1:27" x14ac:dyDescent="0.2">
      <c r="A2045" s="926"/>
      <c r="B2045" s="689"/>
      <c r="C2045" s="343"/>
      <c r="H2045" s="292"/>
      <c r="N2045" s="314"/>
      <c r="O2045" s="344"/>
      <c r="P2045" s="315"/>
      <c r="Q2045" s="315"/>
      <c r="R2045" s="903"/>
      <c r="S2045" s="738">
        <f t="shared" si="167"/>
        <v>398.4</v>
      </c>
      <c r="T2045" s="738" t="str">
        <f t="shared" si="168"/>
        <v>M2</v>
      </c>
      <c r="U2045" s="738"/>
    </row>
    <row r="2046" spans="1:27" ht="25.5" x14ac:dyDescent="0.2">
      <c r="A2046" s="923" t="s">
        <v>1890</v>
      </c>
      <c r="B2046" s="687">
        <v>40332</v>
      </c>
      <c r="C2046" s="347" t="str">
        <f>IF(MID(B2046,1,2)="LG",VLOOKUP(B2046,'Compos lug'!J:M,3,FALSE),IF(MID(B2046,1,1)="6",VLOOKUP(B2046,tranp.!$A$4:$K$19,11,FALSE)&amp;" -  XP="&amp;TEXT(T2424,"0.000")&amp;" / XR="&amp;TEXT(V2424,"0.000"),VLOOKUP(B2046,'DER 10-18'!$A$1:$I$1981,2,FALSE)))</f>
        <v>Ensecadeira simples de madeira esp.= 5 cm sem reaproveitamento, inclusive transporte das madeiras</v>
      </c>
      <c r="D2046" s="1059" t="s">
        <v>1000</v>
      </c>
      <c r="E2046" s="1060"/>
      <c r="F2046" s="1061"/>
      <c r="G2046" s="1059" t="s">
        <v>1001</v>
      </c>
      <c r="H2046" s="1060"/>
      <c r="I2046" s="1061"/>
      <c r="J2046" s="349" t="s">
        <v>1380</v>
      </c>
      <c r="K2046" s="884" t="s">
        <v>994</v>
      </c>
      <c r="L2046" s="876" t="s">
        <v>1009</v>
      </c>
      <c r="M2046" s="885" t="s">
        <v>1382</v>
      </c>
      <c r="N2046" s="876" t="str">
        <f>CONCATENATE("Total (",IF(MID(B2046,1,2)="LG",VLOOKUP(B2046,'Compos lug'!J:M,4,FALSE),IF(MID(B2046,1,1)="6","t",VLOOKUP(B2046,'DER 10-18'!$A$1:$I$1981,3,FALSE))),")")</f>
        <v>Total (M2)</v>
      </c>
      <c r="O2046" s="351"/>
      <c r="P2046" s="880"/>
      <c r="Q2046" s="880"/>
      <c r="R2046" s="902"/>
      <c r="S2046" s="738">
        <f t="shared" si="167"/>
        <v>398.4</v>
      </c>
      <c r="T2046" s="738" t="str">
        <f t="shared" si="168"/>
        <v>M2</v>
      </c>
      <c r="U2046" s="738"/>
    </row>
    <row r="2047" spans="1:27" x14ac:dyDescent="0.2">
      <c r="A2047" s="294"/>
      <c r="B2047" s="293"/>
      <c r="C2047" s="744" t="s">
        <v>1552</v>
      </c>
      <c r="N2047" s="876"/>
      <c r="R2047" s="912"/>
      <c r="S2047" s="738">
        <f t="shared" si="167"/>
        <v>398.4</v>
      </c>
      <c r="T2047" s="738" t="str">
        <f t="shared" si="168"/>
        <v>M2</v>
      </c>
    </row>
    <row r="2048" spans="1:27" s="289" customFormat="1" x14ac:dyDescent="0.2">
      <c r="A2048" s="926"/>
      <c r="B2048" s="318"/>
      <c r="C2048" s="347" t="s">
        <v>1419</v>
      </c>
      <c r="D2048" s="405"/>
      <c r="E2048" s="871"/>
      <c r="F2048" s="406"/>
      <c r="G2048" s="405"/>
      <c r="H2048" s="871"/>
      <c r="I2048" s="406"/>
      <c r="J2048" s="349"/>
      <c r="K2048" s="350"/>
      <c r="L2048" s="298"/>
      <c r="M2048" s="299"/>
      <c r="N2048" s="876"/>
      <c r="O2048" s="351"/>
      <c r="P2048" s="880"/>
      <c r="Q2048" s="880"/>
      <c r="R2048" s="898"/>
      <c r="S2048" s="738">
        <f t="shared" si="167"/>
        <v>398.4</v>
      </c>
      <c r="T2048" s="738" t="str">
        <f t="shared" si="168"/>
        <v>M2</v>
      </c>
      <c r="U2048" s="738"/>
      <c r="W2048" s="712"/>
      <c r="X2048" s="712"/>
      <c r="Y2048" s="712"/>
      <c r="Z2048" s="712"/>
      <c r="AA2048" s="712"/>
    </row>
    <row r="2049" spans="1:27" s="289" customFormat="1" x14ac:dyDescent="0.2">
      <c r="A2049" s="926"/>
      <c r="B2049" s="318"/>
      <c r="C2049" s="580" t="s">
        <v>1396</v>
      </c>
      <c r="D2049" s="405">
        <v>341</v>
      </c>
      <c r="E2049" s="871" t="s">
        <v>8</v>
      </c>
      <c r="F2049" s="406">
        <v>8</v>
      </c>
      <c r="G2049" s="405">
        <v>342</v>
      </c>
      <c r="H2049" s="871" t="s">
        <v>8</v>
      </c>
      <c r="I2049" s="406">
        <v>3</v>
      </c>
      <c r="J2049" s="876">
        <v>7.5</v>
      </c>
      <c r="K2049" s="876">
        <v>17.399999999999999</v>
      </c>
      <c r="L2049" s="876">
        <v>2</v>
      </c>
      <c r="M2049" s="876">
        <v>2</v>
      </c>
      <c r="N2049" s="876">
        <f>(J2049+K2049)*2*L2049*M2049</f>
        <v>199.2</v>
      </c>
      <c r="O2049" s="351"/>
      <c r="P2049" s="880"/>
      <c r="Q2049" s="880"/>
      <c r="R2049" s="898"/>
      <c r="S2049" s="738">
        <f t="shared" si="167"/>
        <v>398.4</v>
      </c>
      <c r="T2049" s="738" t="str">
        <f t="shared" si="168"/>
        <v>M2</v>
      </c>
      <c r="U2049" s="738"/>
      <c r="W2049" s="712"/>
      <c r="X2049" s="712"/>
      <c r="Y2049" s="712"/>
      <c r="Z2049" s="712"/>
      <c r="AA2049" s="712"/>
    </row>
    <row r="2050" spans="1:27" s="289" customFormat="1" x14ac:dyDescent="0.2">
      <c r="A2050" s="926"/>
      <c r="B2050" s="318"/>
      <c r="C2050" s="347" t="s">
        <v>1378</v>
      </c>
      <c r="D2050" s="870"/>
      <c r="E2050" s="871"/>
      <c r="F2050" s="871"/>
      <c r="G2050" s="870"/>
      <c r="H2050" s="871"/>
      <c r="I2050" s="406"/>
      <c r="J2050" s="349"/>
      <c r="K2050" s="350"/>
      <c r="L2050" s="298"/>
      <c r="M2050" s="299"/>
      <c r="N2050" s="876"/>
      <c r="O2050" s="351"/>
      <c r="P2050" s="880"/>
      <c r="Q2050" s="880"/>
      <c r="R2050" s="898"/>
      <c r="S2050" s="738">
        <f t="shared" si="167"/>
        <v>398.4</v>
      </c>
      <c r="T2050" s="738" t="str">
        <f t="shared" si="168"/>
        <v>M2</v>
      </c>
      <c r="U2050" s="738"/>
      <c r="W2050" s="712"/>
      <c r="X2050" s="712"/>
      <c r="Y2050" s="712"/>
      <c r="Z2050" s="712"/>
      <c r="AA2050" s="712"/>
    </row>
    <row r="2051" spans="1:27" s="289" customFormat="1" x14ac:dyDescent="0.2">
      <c r="A2051" s="926"/>
      <c r="B2051" s="318"/>
      <c r="C2051" s="580" t="s">
        <v>1396</v>
      </c>
      <c r="D2051" s="405">
        <v>536</v>
      </c>
      <c r="E2051" s="871" t="s">
        <v>8</v>
      </c>
      <c r="F2051" s="406">
        <v>6</v>
      </c>
      <c r="G2051" s="405">
        <v>536</v>
      </c>
      <c r="H2051" s="871" t="s">
        <v>8</v>
      </c>
      <c r="I2051" s="780">
        <v>16</v>
      </c>
      <c r="J2051" s="876">
        <v>7.5</v>
      </c>
      <c r="K2051" s="876">
        <v>17.399999999999999</v>
      </c>
      <c r="L2051" s="876">
        <v>2</v>
      </c>
      <c r="M2051" s="876">
        <v>2</v>
      </c>
      <c r="N2051" s="876">
        <f>(J2051+K2051)*2*L2051*M2051</f>
        <v>199.2</v>
      </c>
      <c r="O2051" s="351"/>
      <c r="P2051" s="880"/>
      <c r="Q2051" s="880"/>
      <c r="R2051" s="898"/>
      <c r="S2051" s="738">
        <f t="shared" si="167"/>
        <v>398.4</v>
      </c>
      <c r="T2051" s="738" t="str">
        <f t="shared" si="168"/>
        <v>M2</v>
      </c>
      <c r="U2051" s="738"/>
      <c r="W2051" s="712"/>
      <c r="X2051" s="712"/>
      <c r="Y2051" s="712"/>
      <c r="Z2051" s="712"/>
      <c r="AA2051" s="712"/>
    </row>
    <row r="2052" spans="1:27" x14ac:dyDescent="0.2">
      <c r="A2052" s="927"/>
      <c r="B2052" s="688"/>
      <c r="C2052" s="354" t="s">
        <v>2</v>
      </c>
      <c r="D2052" s="355"/>
      <c r="E2052" s="352"/>
      <c r="F2052" s="356"/>
      <c r="G2052" s="355"/>
      <c r="H2052" s="356"/>
      <c r="I2052" s="356"/>
      <c r="J2052" s="353"/>
      <c r="K2052" s="357"/>
      <c r="L2052" s="358"/>
      <c r="M2052" s="359"/>
      <c r="N2052" s="360">
        <f>SUM(N2048:N2051)</f>
        <v>398.4</v>
      </c>
      <c r="O2052" s="361" t="str">
        <f>IF(MID(B2046,1,2)="LG",VLOOKUP(B2046,'Compos lug'!J:M,4,FALSE),IF(MID(B2046,1,1)="6",VLOOKUP(B2046,tranp.!$A$6:$K$51,3,FALSE),VLOOKUP(B2046,'DER 10-18'!$A$1:$I$1981,3,FALSE)))</f>
        <v>M2</v>
      </c>
      <c r="P2052" s="362"/>
      <c r="Q2052" s="362"/>
      <c r="R2052" s="900"/>
      <c r="S2052" s="738">
        <f t="shared" si="167"/>
        <v>165.02</v>
      </c>
      <c r="T2052" s="738" t="str">
        <f t="shared" si="168"/>
        <v>M3</v>
      </c>
      <c r="U2052" s="738"/>
    </row>
    <row r="2053" spans="1:27" x14ac:dyDescent="0.2">
      <c r="A2053" s="928" t="s">
        <v>1891</v>
      </c>
      <c r="B2053" s="689"/>
      <c r="C2053" s="739" t="s">
        <v>1377</v>
      </c>
      <c r="H2053" s="292"/>
      <c r="N2053" s="314"/>
      <c r="O2053" s="344"/>
      <c r="P2053" s="315"/>
      <c r="Q2053" s="315"/>
      <c r="R2053" s="903"/>
      <c r="S2053" s="738">
        <f t="shared" si="167"/>
        <v>165.02</v>
      </c>
      <c r="T2053" s="738" t="str">
        <f t="shared" si="168"/>
        <v>M3</v>
      </c>
      <c r="U2053" s="738"/>
    </row>
    <row r="2054" spans="1:27" ht="25.5" x14ac:dyDescent="0.2">
      <c r="A2054" s="923" t="s">
        <v>1892</v>
      </c>
      <c r="B2054" s="687">
        <v>40369</v>
      </c>
      <c r="C2054" s="347" t="str">
        <f>IF(MID(B2054,1,2)="LG",VLOOKUP(B2054,'Compos lug'!J:M,3,FALSE),IF(MID(B2054,1,1)="6",VLOOKUP(B2054,tranp.!$A$4:$K$19,11,FALSE)&amp;" -  XP="&amp;TEXT(T2416,"0.000")&amp;" / XR="&amp;TEXT(V2416,"0.000"),VLOOKUP(B2054,'DER 10-18'!$A$1:$I$1981,2,FALSE)))</f>
        <v>Concreto estrutural fck = 35,0 MPa com micro-silica e Sikacrete BR ou equivalente</v>
      </c>
      <c r="D2054" s="1059" t="s">
        <v>1000</v>
      </c>
      <c r="E2054" s="1060"/>
      <c r="F2054" s="1061"/>
      <c r="G2054" s="1059" t="s">
        <v>1001</v>
      </c>
      <c r="H2054" s="1060"/>
      <c r="I2054" s="1061"/>
      <c r="J2054" s="349"/>
      <c r="K2054" s="884"/>
      <c r="L2054" s="876"/>
      <c r="M2054" s="885"/>
      <c r="N2054" s="876" t="str">
        <f>CONCATENATE("Total (",IF(MID(B2054,1,2)="LG",VLOOKUP(B2054,'Compos lug'!J:M,4,FALSE),IF(MID(B2054,1,1)="6","t",VLOOKUP(B2054,'DER 10-18'!$A$1:$I$1981,3,FALSE))),")")</f>
        <v>Total (M3)</v>
      </c>
      <c r="O2054" s="351"/>
      <c r="P2054" s="880"/>
      <c r="Q2054" s="880"/>
      <c r="R2054" s="902"/>
      <c r="S2054" s="738">
        <f t="shared" si="167"/>
        <v>165.02</v>
      </c>
      <c r="T2054" s="738" t="str">
        <f t="shared" si="168"/>
        <v>M3</v>
      </c>
      <c r="U2054" s="738"/>
    </row>
    <row r="2055" spans="1:27" x14ac:dyDescent="0.2">
      <c r="A2055" s="294"/>
      <c r="B2055" s="293"/>
      <c r="C2055" s="744" t="s">
        <v>1552</v>
      </c>
      <c r="N2055" s="876"/>
      <c r="R2055" s="912"/>
      <c r="S2055" s="738">
        <f t="shared" si="167"/>
        <v>165.02</v>
      </c>
      <c r="T2055" s="738" t="str">
        <f t="shared" si="168"/>
        <v>M3</v>
      </c>
    </row>
    <row r="2056" spans="1:27" x14ac:dyDescent="0.2">
      <c r="A2056" s="929"/>
      <c r="B2056" s="872"/>
      <c r="C2056" s="347" t="s">
        <v>1419</v>
      </c>
      <c r="D2056" s="405">
        <v>341</v>
      </c>
      <c r="E2056" s="871" t="s">
        <v>8</v>
      </c>
      <c r="F2056" s="406">
        <v>8</v>
      </c>
      <c r="G2056" s="405">
        <v>342</v>
      </c>
      <c r="H2056" s="871" t="s">
        <v>8</v>
      </c>
      <c r="I2056" s="406">
        <v>3</v>
      </c>
      <c r="J2056" s="349"/>
      <c r="K2056" s="884"/>
      <c r="L2056" s="876"/>
      <c r="M2056" s="885"/>
      <c r="N2056" s="876"/>
      <c r="O2056" s="351"/>
      <c r="P2056" s="880"/>
      <c r="Q2056" s="880"/>
      <c r="R2056" s="898"/>
      <c r="S2056" s="738">
        <f t="shared" si="167"/>
        <v>165.02</v>
      </c>
      <c r="T2056" s="738" t="str">
        <f t="shared" si="168"/>
        <v>M3</v>
      </c>
      <c r="U2056" s="748"/>
    </row>
    <row r="2057" spans="1:27" x14ac:dyDescent="0.2">
      <c r="A2057" s="929"/>
      <c r="B2057" s="872"/>
      <c r="C2057" s="580" t="s">
        <v>1397</v>
      </c>
      <c r="D2057" s="870"/>
      <c r="E2057" s="871"/>
      <c r="F2057" s="871"/>
      <c r="G2057" s="870"/>
      <c r="H2057" s="871"/>
      <c r="I2057" s="406"/>
      <c r="J2057" s="349"/>
      <c r="K2057" s="884"/>
      <c r="L2057" s="876"/>
      <c r="M2057" s="885"/>
      <c r="N2057" s="876">
        <v>39.6</v>
      </c>
      <c r="O2057" s="351"/>
      <c r="P2057" s="880"/>
      <c r="Q2057" s="880"/>
      <c r="R2057" s="898"/>
      <c r="S2057" s="738">
        <f t="shared" si="167"/>
        <v>165.02</v>
      </c>
      <c r="T2057" s="738" t="str">
        <f t="shared" si="168"/>
        <v>M3</v>
      </c>
      <c r="U2057" s="748"/>
    </row>
    <row r="2058" spans="1:27" x14ac:dyDescent="0.2">
      <c r="A2058" s="929"/>
      <c r="B2058" s="872"/>
      <c r="C2058" s="580" t="s">
        <v>1398</v>
      </c>
      <c r="D2058" s="870"/>
      <c r="E2058" s="871"/>
      <c r="F2058" s="871"/>
      <c r="G2058" s="870"/>
      <c r="H2058" s="871"/>
      <c r="I2058" s="406"/>
      <c r="J2058" s="349"/>
      <c r="K2058" s="884"/>
      <c r="L2058" s="876"/>
      <c r="M2058" s="885"/>
      <c r="N2058" s="876">
        <f>(12*4*0.3)*2</f>
        <v>28.8</v>
      </c>
      <c r="O2058" s="351"/>
      <c r="P2058" s="880"/>
      <c r="Q2058" s="880"/>
      <c r="R2058" s="898"/>
      <c r="S2058" s="738">
        <f t="shared" si="167"/>
        <v>165.02</v>
      </c>
      <c r="T2058" s="738" t="str">
        <f t="shared" si="168"/>
        <v>M3</v>
      </c>
      <c r="U2058" s="748"/>
    </row>
    <row r="2059" spans="1:27" x14ac:dyDescent="0.2">
      <c r="A2059" s="929"/>
      <c r="B2059" s="872"/>
      <c r="C2059" s="580" t="s">
        <v>1399</v>
      </c>
      <c r="D2059" s="870"/>
      <c r="E2059" s="871"/>
      <c r="F2059" s="871"/>
      <c r="G2059" s="870"/>
      <c r="H2059" s="871"/>
      <c r="I2059" s="406"/>
      <c r="J2059" s="349"/>
      <c r="K2059" s="884"/>
      <c r="L2059" s="876"/>
      <c r="M2059" s="885"/>
      <c r="N2059" s="876">
        <f>(0.242*77)</f>
        <v>18.63</v>
      </c>
      <c r="O2059" s="351"/>
      <c r="P2059" s="880"/>
      <c r="Q2059" s="880"/>
      <c r="R2059" s="898"/>
      <c r="S2059" s="738">
        <f t="shared" si="167"/>
        <v>165.02</v>
      </c>
      <c r="T2059" s="738" t="str">
        <f t="shared" si="168"/>
        <v>M3</v>
      </c>
      <c r="U2059" s="748"/>
    </row>
    <row r="2060" spans="1:27" x14ac:dyDescent="0.2">
      <c r="A2060" s="929"/>
      <c r="B2060" s="872"/>
      <c r="C2060" s="580" t="s">
        <v>1400</v>
      </c>
      <c r="D2060" s="870"/>
      <c r="E2060" s="871"/>
      <c r="F2060" s="871"/>
      <c r="G2060" s="870"/>
      <c r="H2060" s="871"/>
      <c r="I2060" s="406"/>
      <c r="J2060" s="349"/>
      <c r="K2060" s="884"/>
      <c r="L2060" s="876"/>
      <c r="M2060" s="885"/>
      <c r="N2060" s="876">
        <v>8</v>
      </c>
      <c r="O2060" s="351"/>
      <c r="P2060" s="880"/>
      <c r="Q2060" s="880"/>
      <c r="R2060" s="898"/>
      <c r="S2060" s="738">
        <f t="shared" si="167"/>
        <v>165.02</v>
      </c>
      <c r="T2060" s="738" t="str">
        <f t="shared" si="168"/>
        <v>M3</v>
      </c>
      <c r="U2060" s="748"/>
    </row>
    <row r="2061" spans="1:27" x14ac:dyDescent="0.2">
      <c r="A2061" s="929"/>
      <c r="B2061" s="872"/>
      <c r="C2061" s="347" t="s">
        <v>1378</v>
      </c>
      <c r="D2061" s="405">
        <v>536</v>
      </c>
      <c r="E2061" s="871" t="s">
        <v>8</v>
      </c>
      <c r="F2061" s="406">
        <v>6</v>
      </c>
      <c r="G2061" s="405">
        <v>536</v>
      </c>
      <c r="H2061" s="871" t="s">
        <v>8</v>
      </c>
      <c r="I2061" s="780">
        <v>16</v>
      </c>
      <c r="J2061" s="349"/>
      <c r="K2061" s="884"/>
      <c r="L2061" s="876"/>
      <c r="M2061" s="885"/>
      <c r="N2061" s="876"/>
      <c r="O2061" s="351"/>
      <c r="P2061" s="880"/>
      <c r="Q2061" s="880"/>
      <c r="R2061" s="898"/>
      <c r="S2061" s="738">
        <f t="shared" si="167"/>
        <v>165.02</v>
      </c>
      <c r="T2061" s="738" t="str">
        <f t="shared" si="168"/>
        <v>M3</v>
      </c>
      <c r="U2061" s="748"/>
    </row>
    <row r="2062" spans="1:27" x14ac:dyDescent="0.2">
      <c r="A2062" s="929"/>
      <c r="B2062" s="872"/>
      <c r="C2062" s="580" t="s">
        <v>1397</v>
      </c>
      <c r="D2062" s="870"/>
      <c r="E2062" s="871"/>
      <c r="F2062" s="871"/>
      <c r="G2062" s="870"/>
      <c r="H2062" s="871"/>
      <c r="I2062" s="406"/>
      <c r="J2062" s="349"/>
      <c r="K2062" s="884"/>
      <c r="L2062" s="876"/>
      <c r="M2062" s="885"/>
      <c r="N2062" s="876">
        <v>24.8</v>
      </c>
      <c r="O2062" s="351"/>
      <c r="P2062" s="880"/>
      <c r="Q2062" s="880"/>
      <c r="R2062" s="898"/>
      <c r="S2062" s="738">
        <f t="shared" si="167"/>
        <v>165.02</v>
      </c>
      <c r="T2062" s="738" t="str">
        <f t="shared" si="168"/>
        <v>M3</v>
      </c>
      <c r="U2062" s="748"/>
    </row>
    <row r="2063" spans="1:27" x14ac:dyDescent="0.2">
      <c r="A2063" s="929"/>
      <c r="B2063" s="872"/>
      <c r="C2063" s="580" t="s">
        <v>1398</v>
      </c>
      <c r="D2063" s="870"/>
      <c r="E2063" s="871"/>
      <c r="F2063" s="871"/>
      <c r="G2063" s="870"/>
      <c r="H2063" s="871"/>
      <c r="I2063" s="406"/>
      <c r="J2063" s="349"/>
      <c r="K2063" s="884"/>
      <c r="L2063" s="876"/>
      <c r="M2063" s="885"/>
      <c r="N2063" s="876">
        <v>28.8</v>
      </c>
      <c r="O2063" s="351"/>
      <c r="P2063" s="880"/>
      <c r="Q2063" s="880"/>
      <c r="R2063" s="898"/>
      <c r="S2063" s="738">
        <f t="shared" si="167"/>
        <v>165.02</v>
      </c>
      <c r="T2063" s="738" t="str">
        <f t="shared" si="168"/>
        <v>M3</v>
      </c>
      <c r="U2063" s="748"/>
    </row>
    <row r="2064" spans="1:27" x14ac:dyDescent="0.2">
      <c r="A2064" s="929"/>
      <c r="B2064" s="872"/>
      <c r="C2064" s="580" t="s">
        <v>1399</v>
      </c>
      <c r="D2064" s="870"/>
      <c r="E2064" s="871"/>
      <c r="F2064" s="871"/>
      <c r="G2064" s="870"/>
      <c r="H2064" s="871"/>
      <c r="I2064" s="406"/>
      <c r="J2064" s="349"/>
      <c r="K2064" s="884"/>
      <c r="L2064" s="876"/>
      <c r="M2064" s="885"/>
      <c r="N2064" s="876">
        <v>10.89</v>
      </c>
      <c r="O2064" s="351"/>
      <c r="P2064" s="880"/>
      <c r="Q2064" s="880"/>
      <c r="R2064" s="898"/>
      <c r="S2064" s="738">
        <f t="shared" si="167"/>
        <v>165.02</v>
      </c>
      <c r="T2064" s="738" t="str">
        <f t="shared" si="168"/>
        <v>M3</v>
      </c>
      <c r="U2064" s="748"/>
    </row>
    <row r="2065" spans="1:21" x14ac:dyDescent="0.2">
      <c r="A2065" s="929"/>
      <c r="B2065" s="872"/>
      <c r="C2065" s="580" t="s">
        <v>1400</v>
      </c>
      <c r="D2065" s="870"/>
      <c r="E2065" s="871"/>
      <c r="F2065" s="871"/>
      <c r="G2065" s="870"/>
      <c r="H2065" s="871"/>
      <c r="I2065" s="406"/>
      <c r="J2065" s="349"/>
      <c r="K2065" s="884"/>
      <c r="L2065" s="876"/>
      <c r="M2065" s="885"/>
      <c r="N2065" s="876">
        <v>5.5</v>
      </c>
      <c r="O2065" s="351"/>
      <c r="P2065" s="880"/>
      <c r="Q2065" s="880"/>
      <c r="R2065" s="898"/>
      <c r="S2065" s="738">
        <f t="shared" si="167"/>
        <v>165.02</v>
      </c>
      <c r="T2065" s="738" t="str">
        <f t="shared" si="168"/>
        <v>M3</v>
      </c>
      <c r="U2065" s="748"/>
    </row>
    <row r="2066" spans="1:21" x14ac:dyDescent="0.2">
      <c r="A2066" s="899"/>
      <c r="B2066" s="353"/>
      <c r="C2066" s="354" t="s">
        <v>2</v>
      </c>
      <c r="D2066" s="355"/>
      <c r="E2066" s="352"/>
      <c r="F2066" s="356"/>
      <c r="G2066" s="355"/>
      <c r="H2066" s="356"/>
      <c r="I2066" s="356"/>
      <c r="J2066" s="353"/>
      <c r="K2066" s="357"/>
      <c r="L2066" s="358"/>
      <c r="M2066" s="359"/>
      <c r="N2066" s="360">
        <f>SUM(N2056:N2065)</f>
        <v>165.02</v>
      </c>
      <c r="O2066" s="361" t="str">
        <f>IF(MID(B2054,1,2)="LG",VLOOKUP(B2054,'Compos lug'!J:M,4,FALSE),IF(MID(B2054,1,1)="6",VLOOKUP(B2054,tranp.!$A$6:$K$51,3,FALSE),VLOOKUP(B2054,'DER 10-18'!$A$1:$I$1981,3,FALSE)))</f>
        <v>M3</v>
      </c>
      <c r="P2066" s="362"/>
      <c r="Q2066" s="362"/>
      <c r="R2066" s="900"/>
      <c r="S2066" s="738">
        <f t="shared" ref="S2066:S2129" si="169">VLOOKUP("Total",C2067:O3803,12,FALSE)</f>
        <v>17.7</v>
      </c>
      <c r="T2066" s="738" t="str">
        <f t="shared" ref="T2066:T2129" si="170">VLOOKUP("Total",C2067:O3803,13,FALSE)</f>
        <v>M3</v>
      </c>
      <c r="U2066" s="738"/>
    </row>
    <row r="2067" spans="1:21" x14ac:dyDescent="0.2">
      <c r="A2067" s="294"/>
      <c r="B2067" s="293"/>
      <c r="C2067" s="343"/>
      <c r="H2067" s="292"/>
      <c r="N2067" s="314"/>
      <c r="O2067" s="344"/>
      <c r="P2067" s="315"/>
      <c r="Q2067" s="315"/>
      <c r="R2067" s="903"/>
      <c r="S2067" s="738">
        <f t="shared" si="169"/>
        <v>17.7</v>
      </c>
      <c r="T2067" s="738" t="str">
        <f t="shared" si="170"/>
        <v>M3</v>
      </c>
      <c r="U2067" s="738"/>
    </row>
    <row r="2068" spans="1:21" x14ac:dyDescent="0.2">
      <c r="A2068" s="895" t="s">
        <v>1893</v>
      </c>
      <c r="B2068" s="346">
        <v>40360</v>
      </c>
      <c r="C2068" s="347" t="str">
        <f>IF(MID(B2068,1,2)="LG",VLOOKUP(B2068,'Compos lug'!J:M,3,FALSE),IF(MID(B2068,1,1)="6",VLOOKUP(B2068,tranp.!$A$4:$K$19,11,FALSE)&amp;" -  XP="&amp;TEXT(T2416,"0.000")&amp;" / XR="&amp;TEXT(V2416,"0.000"),VLOOKUP(B2068,'DER 10-18'!$A$1:$I$1981,2,FALSE)))</f>
        <v>Concreto estrutural fck = 20,0 MPa, tudo incluído</v>
      </c>
      <c r="D2068" s="1059" t="s">
        <v>1000</v>
      </c>
      <c r="E2068" s="1060"/>
      <c r="F2068" s="1061"/>
      <c r="G2068" s="1059" t="s">
        <v>1001</v>
      </c>
      <c r="H2068" s="1060"/>
      <c r="I2068" s="1061"/>
      <c r="J2068" s="349"/>
      <c r="K2068" s="884"/>
      <c r="L2068" s="876"/>
      <c r="M2068" s="885"/>
      <c r="N2068" s="876" t="str">
        <f>CONCATENATE("Total (",IF(MID(B2068,1,2)="LG",VLOOKUP(B2068,'Compos lug'!J:M,4,FALSE),IF(MID(B2068,1,1)="6","t",VLOOKUP(B2068,'DER 10-18'!$A$1:$I$1981,3,FALSE))),")")</f>
        <v>Total (M3)</v>
      </c>
      <c r="O2068" s="351"/>
      <c r="P2068" s="880"/>
      <c r="Q2068" s="880"/>
      <c r="R2068" s="902"/>
      <c r="S2068" s="738">
        <f t="shared" si="169"/>
        <v>17.7</v>
      </c>
      <c r="T2068" s="738" t="str">
        <f t="shared" si="170"/>
        <v>M3</v>
      </c>
      <c r="U2068" s="738"/>
    </row>
    <row r="2069" spans="1:21" x14ac:dyDescent="0.2">
      <c r="A2069" s="294"/>
      <c r="B2069" s="293"/>
      <c r="C2069" s="744" t="s">
        <v>1552</v>
      </c>
      <c r="N2069" s="876"/>
      <c r="R2069" s="912"/>
      <c r="S2069" s="738">
        <f t="shared" si="169"/>
        <v>17.7</v>
      </c>
      <c r="T2069" s="738" t="str">
        <f t="shared" si="170"/>
        <v>M3</v>
      </c>
    </row>
    <row r="2070" spans="1:21" x14ac:dyDescent="0.2">
      <c r="A2070" s="895"/>
      <c r="B2070" s="346"/>
      <c r="C2070" s="347" t="s">
        <v>1419</v>
      </c>
      <c r="D2070" s="405"/>
      <c r="E2070" s="871"/>
      <c r="F2070" s="406"/>
      <c r="G2070" s="405"/>
      <c r="H2070" s="871"/>
      <c r="I2070" s="406"/>
      <c r="J2070" s="349"/>
      <c r="K2070" s="884"/>
      <c r="L2070" s="876"/>
      <c r="M2070" s="885"/>
      <c r="N2070" s="876"/>
      <c r="O2070" s="351"/>
      <c r="P2070" s="880"/>
      <c r="Q2070" s="880"/>
      <c r="R2070" s="902"/>
      <c r="S2070" s="738">
        <f t="shared" si="169"/>
        <v>17.7</v>
      </c>
      <c r="T2070" s="738" t="str">
        <f t="shared" si="170"/>
        <v>M3</v>
      </c>
      <c r="U2070" s="738"/>
    </row>
    <row r="2071" spans="1:21" x14ac:dyDescent="0.2">
      <c r="A2071" s="895"/>
      <c r="B2071" s="346"/>
      <c r="C2071" s="580" t="s">
        <v>1401</v>
      </c>
      <c r="D2071" s="405">
        <v>341</v>
      </c>
      <c r="E2071" s="871" t="s">
        <v>8</v>
      </c>
      <c r="F2071" s="406">
        <v>8</v>
      </c>
      <c r="G2071" s="405">
        <v>342</v>
      </c>
      <c r="H2071" s="871" t="s">
        <v>8</v>
      </c>
      <c r="I2071" s="406">
        <v>3</v>
      </c>
      <c r="J2071" s="349"/>
      <c r="K2071" s="884"/>
      <c r="L2071" s="876"/>
      <c r="M2071" s="885"/>
      <c r="N2071" s="876">
        <v>10.9</v>
      </c>
      <c r="O2071" s="351"/>
      <c r="P2071" s="880"/>
      <c r="Q2071" s="880"/>
      <c r="R2071" s="902"/>
      <c r="S2071" s="738">
        <f t="shared" si="169"/>
        <v>17.7</v>
      </c>
      <c r="T2071" s="738" t="str">
        <f t="shared" si="170"/>
        <v>M3</v>
      </c>
      <c r="U2071" s="738"/>
    </row>
    <row r="2072" spans="1:21" x14ac:dyDescent="0.2">
      <c r="A2072" s="895"/>
      <c r="B2072" s="346"/>
      <c r="C2072" s="347" t="s">
        <v>1378</v>
      </c>
      <c r="D2072" s="870"/>
      <c r="E2072" s="871"/>
      <c r="F2072" s="871"/>
      <c r="G2072" s="870"/>
      <c r="H2072" s="871"/>
      <c r="I2072" s="406"/>
      <c r="J2072" s="349"/>
      <c r="K2072" s="884"/>
      <c r="L2072" s="876"/>
      <c r="M2072" s="885"/>
      <c r="N2072" s="876"/>
      <c r="O2072" s="351"/>
      <c r="P2072" s="880"/>
      <c r="Q2072" s="880"/>
      <c r="R2072" s="902"/>
      <c r="S2072" s="738">
        <f t="shared" si="169"/>
        <v>17.7</v>
      </c>
      <c r="T2072" s="738" t="str">
        <f t="shared" si="170"/>
        <v>M3</v>
      </c>
      <c r="U2072" s="738"/>
    </row>
    <row r="2073" spans="1:21" x14ac:dyDescent="0.2">
      <c r="A2073" s="895"/>
      <c r="B2073" s="346"/>
      <c r="C2073" s="580" t="s">
        <v>1401</v>
      </c>
      <c r="D2073" s="405">
        <v>536</v>
      </c>
      <c r="E2073" s="871" t="s">
        <v>8</v>
      </c>
      <c r="F2073" s="406">
        <v>6</v>
      </c>
      <c r="G2073" s="405">
        <v>536</v>
      </c>
      <c r="H2073" s="871" t="s">
        <v>8</v>
      </c>
      <c r="I2073" s="780">
        <v>16</v>
      </c>
      <c r="J2073" s="349"/>
      <c r="K2073" s="884"/>
      <c r="L2073" s="876"/>
      <c r="M2073" s="885"/>
      <c r="N2073" s="876">
        <v>6.8</v>
      </c>
      <c r="O2073" s="351"/>
      <c r="P2073" s="880"/>
      <c r="Q2073" s="880"/>
      <c r="R2073" s="902"/>
      <c r="S2073" s="738">
        <f t="shared" si="169"/>
        <v>17.7</v>
      </c>
      <c r="T2073" s="738" t="str">
        <f t="shared" si="170"/>
        <v>M3</v>
      </c>
      <c r="U2073" s="738"/>
    </row>
    <row r="2074" spans="1:21" x14ac:dyDescent="0.2">
      <c r="A2074" s="899"/>
      <c r="B2074" s="353"/>
      <c r="C2074" s="354" t="s">
        <v>2</v>
      </c>
      <c r="D2074" s="355"/>
      <c r="E2074" s="352"/>
      <c r="F2074" s="356"/>
      <c r="G2074" s="355"/>
      <c r="H2074" s="356"/>
      <c r="I2074" s="356"/>
      <c r="J2074" s="353"/>
      <c r="K2074" s="357"/>
      <c r="L2074" s="358"/>
      <c r="M2074" s="359"/>
      <c r="N2074" s="360">
        <f>SUM(N2070:N2073)</f>
        <v>17.7</v>
      </c>
      <c r="O2074" s="361" t="str">
        <f>IF(MID(B2068,1,2)="LG",VLOOKUP(B2068,'Compos lug'!J:M,4,FALSE),IF(MID(B2068,1,1)="6",VLOOKUP(B2068,tranp.!$A$6:$K$51,3,FALSE),VLOOKUP(B2068,'DER 10-18'!$A$1:$I$1981,3,FALSE)))</f>
        <v>M3</v>
      </c>
      <c r="P2074" s="362"/>
      <c r="Q2074" s="362"/>
      <c r="R2074" s="900"/>
      <c r="S2074" s="738">
        <f t="shared" si="169"/>
        <v>16354</v>
      </c>
      <c r="T2074" s="738" t="str">
        <f t="shared" si="170"/>
        <v>kg</v>
      </c>
      <c r="U2074" s="738"/>
    </row>
    <row r="2075" spans="1:21" x14ac:dyDescent="0.2">
      <c r="A2075" s="294"/>
      <c r="B2075" s="293"/>
      <c r="C2075" s="343"/>
      <c r="H2075" s="292"/>
      <c r="N2075" s="314"/>
      <c r="O2075" s="344"/>
      <c r="P2075" s="315"/>
      <c r="Q2075" s="315"/>
      <c r="R2075" s="903"/>
      <c r="S2075" s="738">
        <f t="shared" si="169"/>
        <v>16354</v>
      </c>
      <c r="T2075" s="738" t="str">
        <f t="shared" si="170"/>
        <v>kg</v>
      </c>
      <c r="U2075" s="738"/>
    </row>
    <row r="2076" spans="1:21" ht="25.5" x14ac:dyDescent="0.2">
      <c r="A2076" s="895" t="s">
        <v>1894</v>
      </c>
      <c r="B2076" s="346">
        <v>40376</v>
      </c>
      <c r="C2076" s="347" t="str">
        <f>IF(MID(B2076,1,2)="LG",VLOOKUP(B2076,'Compos lug'!J:M,3,FALSE),IF(MID(B2076,1,1)="6",VLOOKUP(B2076,tranp.!$A$4:$K$19,11,FALSE)&amp;" -  XP="&amp;TEXT(T2420,"0.000")&amp;" / XR="&amp;TEXT(V2420,"0.000"),VLOOKUP(B2076,'DER 10-18'!$A$1:$I$1981,2,FALSE)))</f>
        <v>Aço CA-50, fornecimento, dobragem e colocação nas formas (preço médio das bitolas)</v>
      </c>
      <c r="D2076" s="1059" t="s">
        <v>1000</v>
      </c>
      <c r="E2076" s="1060"/>
      <c r="F2076" s="1061"/>
      <c r="G2076" s="1059" t="s">
        <v>1001</v>
      </c>
      <c r="H2076" s="1060"/>
      <c r="I2076" s="1061"/>
      <c r="J2076" s="349" t="s">
        <v>1380</v>
      </c>
      <c r="K2076" s="884" t="s">
        <v>994</v>
      </c>
      <c r="L2076" s="876" t="s">
        <v>1009</v>
      </c>
      <c r="M2076" s="885" t="s">
        <v>1382</v>
      </c>
      <c r="N2076" s="876" t="str">
        <f>CONCATENATE("Total (",IF(MID(B2076,1,2)="LG",VLOOKUP(B2076,'Compos lug'!J:M,4,FALSE),IF(MID(B2076,1,1)="6","t",VLOOKUP(B2076,'DER 10-18'!$A$1:$I$1981,3,FALSE))),")")</f>
        <v>Total (kg)</v>
      </c>
      <c r="O2076" s="351"/>
      <c r="P2076" s="880"/>
      <c r="Q2076" s="880"/>
      <c r="R2076" s="902"/>
      <c r="S2076" s="738">
        <f t="shared" si="169"/>
        <v>16354</v>
      </c>
      <c r="T2076" s="738" t="str">
        <f t="shared" si="170"/>
        <v>kg</v>
      </c>
      <c r="U2076" s="738"/>
    </row>
    <row r="2077" spans="1:21" x14ac:dyDescent="0.2">
      <c r="A2077" s="294"/>
      <c r="B2077" s="293"/>
      <c r="C2077" s="744" t="s">
        <v>1552</v>
      </c>
      <c r="N2077" s="876"/>
      <c r="R2077" s="912"/>
      <c r="S2077" s="738">
        <f t="shared" si="169"/>
        <v>16354</v>
      </c>
      <c r="T2077" s="738" t="str">
        <f t="shared" si="170"/>
        <v>kg</v>
      </c>
    </row>
    <row r="2078" spans="1:21" x14ac:dyDescent="0.2">
      <c r="A2078" s="895"/>
      <c r="B2078" s="346"/>
      <c r="C2078" s="347" t="s">
        <v>1419</v>
      </c>
      <c r="D2078" s="405"/>
      <c r="E2078" s="871"/>
      <c r="F2078" s="406"/>
      <c r="G2078" s="405"/>
      <c r="H2078" s="871"/>
      <c r="I2078" s="406"/>
      <c r="J2078" s="349"/>
      <c r="K2078" s="884"/>
      <c r="L2078" s="876"/>
      <c r="M2078" s="885"/>
      <c r="N2078" s="876"/>
      <c r="O2078" s="351"/>
      <c r="P2078" s="880"/>
      <c r="Q2078" s="880"/>
      <c r="R2078" s="902"/>
      <c r="S2078" s="738">
        <f t="shared" si="169"/>
        <v>16354</v>
      </c>
      <c r="T2078" s="738" t="str">
        <f t="shared" si="170"/>
        <v>kg</v>
      </c>
      <c r="U2078" s="738"/>
    </row>
    <row r="2079" spans="1:21" x14ac:dyDescent="0.2">
      <c r="A2079" s="895"/>
      <c r="B2079" s="346"/>
      <c r="C2079" s="580" t="s">
        <v>1402</v>
      </c>
      <c r="D2079" s="405">
        <v>341</v>
      </c>
      <c r="E2079" s="871" t="s">
        <v>8</v>
      </c>
      <c r="F2079" s="406">
        <v>8</v>
      </c>
      <c r="G2079" s="405">
        <v>342</v>
      </c>
      <c r="H2079" s="871" t="s">
        <v>8</v>
      </c>
      <c r="I2079" s="406">
        <v>3</v>
      </c>
      <c r="J2079" s="351">
        <v>5572</v>
      </c>
      <c r="K2079" s="884">
        <v>3596</v>
      </c>
      <c r="L2079" s="876">
        <v>944</v>
      </c>
      <c r="M2079" s="885"/>
      <c r="N2079" s="876">
        <f>J2079+K2079+L2079</f>
        <v>10112</v>
      </c>
      <c r="O2079" s="351"/>
      <c r="P2079" s="880"/>
      <c r="Q2079" s="880"/>
      <c r="R2079" s="902"/>
      <c r="S2079" s="738">
        <f t="shared" si="169"/>
        <v>16354</v>
      </c>
      <c r="T2079" s="738" t="str">
        <f t="shared" si="170"/>
        <v>kg</v>
      </c>
      <c r="U2079" s="738"/>
    </row>
    <row r="2080" spans="1:21" x14ac:dyDescent="0.2">
      <c r="A2080" s="895"/>
      <c r="B2080" s="346"/>
      <c r="C2080" s="347" t="s">
        <v>1378</v>
      </c>
      <c r="D2080" s="870"/>
      <c r="E2080" s="871"/>
      <c r="F2080" s="871"/>
      <c r="G2080" s="870"/>
      <c r="H2080" s="871"/>
      <c r="I2080" s="406"/>
      <c r="J2080" s="349"/>
      <c r="K2080" s="884"/>
      <c r="L2080" s="876"/>
      <c r="M2080" s="885"/>
      <c r="N2080" s="876"/>
      <c r="O2080" s="351"/>
      <c r="P2080" s="880"/>
      <c r="Q2080" s="880"/>
      <c r="R2080" s="902"/>
      <c r="S2080" s="738">
        <f t="shared" si="169"/>
        <v>16354</v>
      </c>
      <c r="T2080" s="738" t="str">
        <f t="shared" si="170"/>
        <v>kg</v>
      </c>
      <c r="U2080" s="738"/>
    </row>
    <row r="2081" spans="1:21" x14ac:dyDescent="0.2">
      <c r="A2081" s="895"/>
      <c r="B2081" s="346"/>
      <c r="C2081" s="580" t="s">
        <v>1402</v>
      </c>
      <c r="D2081" s="405">
        <v>536</v>
      </c>
      <c r="E2081" s="871" t="s">
        <v>8</v>
      </c>
      <c r="F2081" s="406">
        <v>6</v>
      </c>
      <c r="G2081" s="405">
        <v>536</v>
      </c>
      <c r="H2081" s="871" t="s">
        <v>8</v>
      </c>
      <c r="I2081" s="780">
        <v>16</v>
      </c>
      <c r="J2081" s="351">
        <v>1469</v>
      </c>
      <c r="K2081" s="884">
        <v>4172</v>
      </c>
      <c r="L2081" s="876">
        <v>601</v>
      </c>
      <c r="M2081" s="885"/>
      <c r="N2081" s="876">
        <f>J2081+K2081+L2081</f>
        <v>6242</v>
      </c>
      <c r="O2081" s="351"/>
      <c r="P2081" s="880"/>
      <c r="Q2081" s="880"/>
      <c r="R2081" s="902"/>
      <c r="S2081" s="738">
        <f t="shared" si="169"/>
        <v>16354</v>
      </c>
      <c r="T2081" s="738" t="str">
        <f t="shared" si="170"/>
        <v>kg</v>
      </c>
      <c r="U2081" s="738"/>
    </row>
    <row r="2082" spans="1:21" x14ac:dyDescent="0.2">
      <c r="A2082" s="899"/>
      <c r="B2082" s="353"/>
      <c r="C2082" s="354" t="s">
        <v>2</v>
      </c>
      <c r="D2082" s="355"/>
      <c r="E2082" s="352"/>
      <c r="F2082" s="356"/>
      <c r="G2082" s="355"/>
      <c r="H2082" s="356"/>
      <c r="I2082" s="356"/>
      <c r="J2082" s="353"/>
      <c r="K2082" s="357"/>
      <c r="L2082" s="358"/>
      <c r="M2082" s="359"/>
      <c r="N2082" s="360">
        <f>SUM(N2078:N2081)</f>
        <v>16354</v>
      </c>
      <c r="O2082" s="361" t="str">
        <f>IF(MID(B2076,1,2)="LG",VLOOKUP(B2076,'Compos lug'!J:M,4,FALSE),IF(MID(B2076,1,1)="6",VLOOKUP(B2076,tranp.!$A$6:$K$51,3,FALSE),VLOOKUP(B2076,'DER 10-18'!$A$1:$I$1981,3,FALSE)))</f>
        <v>kg</v>
      </c>
      <c r="P2082" s="362"/>
      <c r="Q2082" s="362"/>
      <c r="R2082" s="900"/>
      <c r="S2082" s="738">
        <f t="shared" si="169"/>
        <v>74.88</v>
      </c>
      <c r="T2082" s="738" t="str">
        <f t="shared" si="170"/>
        <v>dm3</v>
      </c>
      <c r="U2082" s="738"/>
    </row>
    <row r="2083" spans="1:21" x14ac:dyDescent="0.2">
      <c r="A2083" s="294"/>
      <c r="B2083" s="293"/>
      <c r="C2083" s="343"/>
      <c r="H2083" s="292"/>
      <c r="N2083" s="314"/>
      <c r="O2083" s="344"/>
      <c r="P2083" s="315"/>
      <c r="Q2083" s="315"/>
      <c r="R2083" s="903"/>
      <c r="S2083" s="738">
        <f t="shared" si="169"/>
        <v>74.88</v>
      </c>
      <c r="T2083" s="738" t="str">
        <f t="shared" si="170"/>
        <v>dm3</v>
      </c>
      <c r="U2083" s="738"/>
    </row>
    <row r="2084" spans="1:21" ht="35.25" customHeight="1" x14ac:dyDescent="0.2">
      <c r="A2084" s="895" t="s">
        <v>1895</v>
      </c>
      <c r="B2084" s="346">
        <v>40387</v>
      </c>
      <c r="C2084" s="347" t="str">
        <f>IF(MID(B2084,1,2)="LG",VLOOKUP(B2084,'Compos lug'!J:M,3,FALSE),IF(MID(B2084,1,1)="6",VLOOKUP(B2084,tranp.!$A$4:$K$19,11,FALSE)&amp;" -  XP="&amp;TEXT(T2428,"0.000")&amp;" / XR="&amp;TEXT(V2428,"0.000"),VLOOKUP(B2084,'DER 10-18'!$A$1:$I$1981,2,FALSE)))</f>
        <v>Aparelho de apoio de neoprene fretado, fornecimento e assentamento, inclusive grauteamento e transporte do neoprene</v>
      </c>
      <c r="D2084" s="1059" t="s">
        <v>1000</v>
      </c>
      <c r="E2084" s="1060"/>
      <c r="F2084" s="1061"/>
      <c r="G2084" s="1059" t="s">
        <v>1001</v>
      </c>
      <c r="H2084" s="1060"/>
      <c r="I2084" s="1061"/>
      <c r="J2084" s="349" t="s">
        <v>1380</v>
      </c>
      <c r="K2084" s="884" t="s">
        <v>994</v>
      </c>
      <c r="L2084" s="876" t="s">
        <v>1009</v>
      </c>
      <c r="M2084" s="885" t="s">
        <v>1382</v>
      </c>
      <c r="N2084" s="876" t="str">
        <f>CONCATENATE("Total (",IF(MID(B2084,1,2)="LG",VLOOKUP(B2084,'Compos lug'!J:M,4,FALSE),IF(MID(B2084,1,1)="6","t",VLOOKUP(B2084,'DER 10-18'!$A$1:$I$1981,3,FALSE))),")")</f>
        <v>Total (dm3)</v>
      </c>
      <c r="O2084" s="351"/>
      <c r="P2084" s="880"/>
      <c r="Q2084" s="880"/>
      <c r="R2084" s="902"/>
      <c r="S2084" s="738">
        <f t="shared" si="169"/>
        <v>74.88</v>
      </c>
      <c r="T2084" s="738" t="str">
        <f t="shared" si="170"/>
        <v>dm3</v>
      </c>
      <c r="U2084" s="738"/>
    </row>
    <row r="2085" spans="1:21" x14ac:dyDescent="0.2">
      <c r="A2085" s="294"/>
      <c r="B2085" s="293"/>
      <c r="C2085" s="744" t="s">
        <v>1552</v>
      </c>
      <c r="N2085" s="876"/>
      <c r="R2085" s="912"/>
      <c r="S2085" s="738">
        <f t="shared" si="169"/>
        <v>74.88</v>
      </c>
      <c r="T2085" s="738" t="str">
        <f t="shared" si="170"/>
        <v>dm3</v>
      </c>
    </row>
    <row r="2086" spans="1:21" x14ac:dyDescent="0.2">
      <c r="A2086" s="895"/>
      <c r="B2086" s="346"/>
      <c r="C2086" s="347" t="s">
        <v>1419</v>
      </c>
      <c r="D2086" s="405"/>
      <c r="E2086" s="871"/>
      <c r="F2086" s="406"/>
      <c r="G2086" s="405"/>
      <c r="H2086" s="871"/>
      <c r="I2086" s="406"/>
      <c r="J2086" s="349"/>
      <c r="K2086" s="884"/>
      <c r="L2086" s="876"/>
      <c r="M2086" s="885"/>
      <c r="N2086" s="876"/>
      <c r="O2086" s="351"/>
      <c r="P2086" s="880"/>
      <c r="Q2086" s="880"/>
      <c r="R2086" s="902"/>
      <c r="S2086" s="738">
        <f t="shared" si="169"/>
        <v>74.88</v>
      </c>
      <c r="T2086" s="738" t="str">
        <f t="shared" si="170"/>
        <v>dm3</v>
      </c>
      <c r="U2086" s="738"/>
    </row>
    <row r="2087" spans="1:21" x14ac:dyDescent="0.2">
      <c r="A2087" s="895"/>
      <c r="B2087" s="346"/>
      <c r="C2087" s="580" t="s">
        <v>1403</v>
      </c>
      <c r="D2087" s="405">
        <v>341</v>
      </c>
      <c r="E2087" s="871" t="s">
        <v>8</v>
      </c>
      <c r="F2087" s="406">
        <v>8</v>
      </c>
      <c r="G2087" s="405">
        <v>342</v>
      </c>
      <c r="H2087" s="871" t="s">
        <v>8</v>
      </c>
      <c r="I2087" s="406">
        <v>3</v>
      </c>
      <c r="J2087" s="351">
        <v>2</v>
      </c>
      <c r="K2087" s="884">
        <v>3</v>
      </c>
      <c r="L2087" s="876">
        <v>0.52</v>
      </c>
      <c r="M2087" s="885">
        <v>12</v>
      </c>
      <c r="N2087" s="876">
        <f>M2087*L2087*K2087*J2087</f>
        <v>37.44</v>
      </c>
      <c r="O2087" s="351"/>
      <c r="P2087" s="880"/>
      <c r="Q2087" s="880"/>
      <c r="R2087" s="902"/>
      <c r="S2087" s="738">
        <f t="shared" si="169"/>
        <v>74.88</v>
      </c>
      <c r="T2087" s="738" t="str">
        <f t="shared" si="170"/>
        <v>dm3</v>
      </c>
      <c r="U2087" s="738"/>
    </row>
    <row r="2088" spans="1:21" x14ac:dyDescent="0.2">
      <c r="A2088" s="895"/>
      <c r="B2088" s="346"/>
      <c r="C2088" s="347" t="s">
        <v>1378</v>
      </c>
      <c r="D2088" s="870"/>
      <c r="E2088" s="871"/>
      <c r="F2088" s="871"/>
      <c r="G2088" s="870"/>
      <c r="H2088" s="871"/>
      <c r="I2088" s="406"/>
      <c r="J2088" s="349"/>
      <c r="K2088" s="884"/>
      <c r="L2088" s="876"/>
      <c r="M2088" s="885"/>
      <c r="N2088" s="876"/>
      <c r="O2088" s="351"/>
      <c r="P2088" s="880"/>
      <c r="Q2088" s="880"/>
      <c r="R2088" s="902"/>
      <c r="S2088" s="738">
        <f t="shared" si="169"/>
        <v>74.88</v>
      </c>
      <c r="T2088" s="738" t="str">
        <f t="shared" si="170"/>
        <v>dm3</v>
      </c>
      <c r="U2088" s="738"/>
    </row>
    <row r="2089" spans="1:21" x14ac:dyDescent="0.2">
      <c r="A2089" s="895"/>
      <c r="B2089" s="346"/>
      <c r="C2089" s="580" t="s">
        <v>1403</v>
      </c>
      <c r="D2089" s="405">
        <v>536</v>
      </c>
      <c r="E2089" s="871" t="s">
        <v>8</v>
      </c>
      <c r="F2089" s="406">
        <v>6</v>
      </c>
      <c r="G2089" s="405">
        <v>536</v>
      </c>
      <c r="H2089" s="871" t="s">
        <v>8</v>
      </c>
      <c r="I2089" s="780">
        <v>16</v>
      </c>
      <c r="J2089" s="351">
        <v>2</v>
      </c>
      <c r="K2089" s="884">
        <v>3</v>
      </c>
      <c r="L2089" s="876">
        <v>0.52</v>
      </c>
      <c r="M2089" s="885">
        <v>12</v>
      </c>
      <c r="N2089" s="876">
        <f>M2089*L2089*K2089*J2089</f>
        <v>37.44</v>
      </c>
      <c r="O2089" s="351"/>
      <c r="P2089" s="880"/>
      <c r="Q2089" s="880"/>
      <c r="R2089" s="902"/>
      <c r="S2089" s="738">
        <f t="shared" si="169"/>
        <v>74.88</v>
      </c>
      <c r="T2089" s="738" t="str">
        <f t="shared" si="170"/>
        <v>dm3</v>
      </c>
      <c r="U2089" s="738"/>
    </row>
    <row r="2090" spans="1:21" x14ac:dyDescent="0.2">
      <c r="A2090" s="899"/>
      <c r="B2090" s="353"/>
      <c r="C2090" s="354" t="s">
        <v>2</v>
      </c>
      <c r="D2090" s="355"/>
      <c r="E2090" s="352"/>
      <c r="F2090" s="356"/>
      <c r="G2090" s="355"/>
      <c r="H2090" s="356"/>
      <c r="I2090" s="356"/>
      <c r="J2090" s="353"/>
      <c r="K2090" s="357"/>
      <c r="L2090" s="358"/>
      <c r="M2090" s="359"/>
      <c r="N2090" s="360">
        <f>SUM(N2086:N2089)</f>
        <v>74.88</v>
      </c>
      <c r="O2090" s="361" t="str">
        <f>IF(MID(B2084,1,2)="LG",VLOOKUP(B2084,'Compos lug'!J:M,4,FALSE),IF(MID(B2084,1,1)="6",VLOOKUP(B2084,tranp.!$A$6:$K$51,3,FALSE),VLOOKUP(B2084,'DER 10-18'!$A$1:$I$1981,3,FALSE)))</f>
        <v>dm3</v>
      </c>
      <c r="P2090" s="362"/>
      <c r="Q2090" s="362"/>
      <c r="R2090" s="900"/>
      <c r="S2090" s="738">
        <f t="shared" si="169"/>
        <v>50</v>
      </c>
      <c r="T2090" s="738" t="str">
        <f t="shared" si="170"/>
        <v>M</v>
      </c>
      <c r="U2090" s="738"/>
    </row>
    <row r="2091" spans="1:21" x14ac:dyDescent="0.2">
      <c r="A2091" s="294"/>
      <c r="B2091" s="293"/>
      <c r="C2091" s="343"/>
      <c r="H2091" s="292"/>
      <c r="N2091" s="314"/>
      <c r="O2091" s="344"/>
      <c r="P2091" s="315"/>
      <c r="Q2091" s="315"/>
      <c r="R2091" s="903"/>
      <c r="S2091" s="738">
        <f t="shared" si="169"/>
        <v>50</v>
      </c>
      <c r="T2091" s="738" t="str">
        <f t="shared" si="170"/>
        <v>M</v>
      </c>
      <c r="U2091" s="738"/>
    </row>
    <row r="2092" spans="1:21" ht="18.75" customHeight="1" x14ac:dyDescent="0.2">
      <c r="A2092" s="895" t="s">
        <v>1896</v>
      </c>
      <c r="B2092" s="346">
        <v>40389</v>
      </c>
      <c r="C2092" s="347" t="str">
        <f>IF(MID(B2092,1,2)="LG",VLOOKUP(B2092,'Compos lug'!J:M,3,FALSE),IF(MID(B2092,1,1)="6",VLOOKUP(B2092,tranp.!$A$4:$K$19,11,FALSE)&amp;" -  XP="&amp;TEXT(T2432,"0.000")&amp;" / XR="&amp;TEXT(V2432,"0.000"),VLOOKUP(B2092,'DER 10-18'!$A$1:$I$1981,2,FALSE)))</f>
        <v>Guarda corpo metálico</v>
      </c>
      <c r="D2092" s="1059" t="s">
        <v>1000</v>
      </c>
      <c r="E2092" s="1060"/>
      <c r="F2092" s="1061"/>
      <c r="G2092" s="1059" t="s">
        <v>1001</v>
      </c>
      <c r="H2092" s="1060"/>
      <c r="I2092" s="1061"/>
      <c r="J2092" s="349" t="s">
        <v>1380</v>
      </c>
      <c r="K2092" s="884" t="s">
        <v>994</v>
      </c>
      <c r="L2092" s="876" t="s">
        <v>1009</v>
      </c>
      <c r="M2092" s="885" t="s">
        <v>1382</v>
      </c>
      <c r="N2092" s="876" t="str">
        <f>CONCATENATE("Total (",IF(MID(B2092,1,2)="LG",VLOOKUP(B2092,'Compos lug'!J:M,4,FALSE),IF(MID(B2092,1,1)="6","t",VLOOKUP(B2092,'DER 10-18'!$A$1:$I$1981,3,FALSE))),")")</f>
        <v>Total (M)</v>
      </c>
      <c r="O2092" s="351"/>
      <c r="P2092" s="880"/>
      <c r="Q2092" s="880"/>
      <c r="R2092" s="902"/>
      <c r="S2092" s="738">
        <f t="shared" si="169"/>
        <v>50</v>
      </c>
      <c r="T2092" s="738" t="str">
        <f t="shared" si="170"/>
        <v>M</v>
      </c>
      <c r="U2092" s="738"/>
    </row>
    <row r="2093" spans="1:21" x14ac:dyDescent="0.2">
      <c r="A2093" s="294"/>
      <c r="B2093" s="293"/>
      <c r="C2093" s="744" t="s">
        <v>1552</v>
      </c>
      <c r="N2093" s="876"/>
      <c r="R2093" s="912"/>
      <c r="S2093" s="738">
        <f t="shared" si="169"/>
        <v>50</v>
      </c>
      <c r="T2093" s="738" t="str">
        <f t="shared" si="170"/>
        <v>M</v>
      </c>
    </row>
    <row r="2094" spans="1:21" x14ac:dyDescent="0.2">
      <c r="A2094" s="895"/>
      <c r="B2094" s="346"/>
      <c r="C2094" s="347" t="s">
        <v>1419</v>
      </c>
      <c r="D2094" s="405"/>
      <c r="E2094" s="871"/>
      <c r="F2094" s="406"/>
      <c r="G2094" s="405"/>
      <c r="H2094" s="871"/>
      <c r="I2094" s="406"/>
      <c r="J2094" s="349"/>
      <c r="K2094" s="884"/>
      <c r="L2094" s="876"/>
      <c r="M2094" s="885"/>
      <c r="N2094" s="876"/>
      <c r="O2094" s="351"/>
      <c r="P2094" s="880"/>
      <c r="Q2094" s="880"/>
      <c r="R2094" s="902"/>
      <c r="S2094" s="738">
        <f t="shared" si="169"/>
        <v>50</v>
      </c>
      <c r="T2094" s="738" t="str">
        <f t="shared" si="170"/>
        <v>M</v>
      </c>
      <c r="U2094" s="738"/>
    </row>
    <row r="2095" spans="1:21" x14ac:dyDescent="0.2">
      <c r="A2095" s="895"/>
      <c r="B2095" s="346"/>
      <c r="C2095" s="580" t="s">
        <v>1404</v>
      </c>
      <c r="D2095" s="405">
        <v>341</v>
      </c>
      <c r="E2095" s="871" t="s">
        <v>8</v>
      </c>
      <c r="F2095" s="406">
        <v>8</v>
      </c>
      <c r="G2095" s="405">
        <v>342</v>
      </c>
      <c r="H2095" s="871" t="s">
        <v>8</v>
      </c>
      <c r="I2095" s="406">
        <v>3</v>
      </c>
      <c r="J2095" s="351">
        <v>15</v>
      </c>
      <c r="K2095" s="884">
        <v>2</v>
      </c>
      <c r="L2095" s="876"/>
      <c r="M2095" s="885"/>
      <c r="N2095" s="876">
        <f>J2095*K2095</f>
        <v>30</v>
      </c>
      <c r="O2095" s="351"/>
      <c r="P2095" s="880"/>
      <c r="Q2095" s="880"/>
      <c r="R2095" s="902"/>
      <c r="S2095" s="738">
        <f t="shared" si="169"/>
        <v>50</v>
      </c>
      <c r="T2095" s="738" t="str">
        <f t="shared" si="170"/>
        <v>M</v>
      </c>
      <c r="U2095" s="738"/>
    </row>
    <row r="2096" spans="1:21" x14ac:dyDescent="0.2">
      <c r="A2096" s="895"/>
      <c r="B2096" s="346"/>
      <c r="C2096" s="347" t="s">
        <v>1378</v>
      </c>
      <c r="D2096" s="870"/>
      <c r="E2096" s="871"/>
      <c r="F2096" s="871"/>
      <c r="G2096" s="870"/>
      <c r="H2096" s="871"/>
      <c r="I2096" s="406"/>
      <c r="J2096" s="349"/>
      <c r="K2096" s="884"/>
      <c r="L2096" s="876"/>
      <c r="M2096" s="885"/>
      <c r="N2096" s="876"/>
      <c r="O2096" s="351"/>
      <c r="P2096" s="880"/>
      <c r="Q2096" s="880"/>
      <c r="R2096" s="902"/>
      <c r="S2096" s="738">
        <f t="shared" si="169"/>
        <v>50</v>
      </c>
      <c r="T2096" s="738" t="str">
        <f t="shared" si="170"/>
        <v>M</v>
      </c>
      <c r="U2096" s="738"/>
    </row>
    <row r="2097" spans="1:21" x14ac:dyDescent="0.2">
      <c r="A2097" s="895"/>
      <c r="B2097" s="346"/>
      <c r="C2097" s="580" t="s">
        <v>1404</v>
      </c>
      <c r="D2097" s="405">
        <v>536</v>
      </c>
      <c r="E2097" s="871" t="s">
        <v>8</v>
      </c>
      <c r="F2097" s="406">
        <v>6</v>
      </c>
      <c r="G2097" s="405">
        <v>536</v>
      </c>
      <c r="H2097" s="871" t="s">
        <v>8</v>
      </c>
      <c r="I2097" s="780">
        <v>16</v>
      </c>
      <c r="J2097" s="351">
        <v>10</v>
      </c>
      <c r="K2097" s="884">
        <v>2</v>
      </c>
      <c r="L2097" s="876"/>
      <c r="M2097" s="885"/>
      <c r="N2097" s="876">
        <f>J2097*K2097</f>
        <v>20</v>
      </c>
      <c r="O2097" s="351"/>
      <c r="P2097" s="880"/>
      <c r="Q2097" s="880"/>
      <c r="R2097" s="902"/>
      <c r="S2097" s="738">
        <f t="shared" si="169"/>
        <v>50</v>
      </c>
      <c r="T2097" s="738" t="str">
        <f t="shared" si="170"/>
        <v>M</v>
      </c>
      <c r="U2097" s="738"/>
    </row>
    <row r="2098" spans="1:21" x14ac:dyDescent="0.2">
      <c r="A2098" s="899"/>
      <c r="B2098" s="353"/>
      <c r="C2098" s="354" t="s">
        <v>2</v>
      </c>
      <c r="D2098" s="355"/>
      <c r="E2098" s="352"/>
      <c r="F2098" s="356"/>
      <c r="G2098" s="355"/>
      <c r="H2098" s="356"/>
      <c r="I2098" s="356"/>
      <c r="J2098" s="353"/>
      <c r="K2098" s="357"/>
      <c r="L2098" s="358"/>
      <c r="M2098" s="359"/>
      <c r="N2098" s="360">
        <f>SUM(N2094:N2097)</f>
        <v>50</v>
      </c>
      <c r="O2098" s="361" t="str">
        <f>IF(MID(B2092,1,2)="LG",VLOOKUP(B2092,'Compos lug'!J:M,4,FALSE),IF(MID(B2092,1,1)="6",VLOOKUP(B2092,tranp.!$A$6:$K$51,3,FALSE),VLOOKUP(B2092,'DER 10-18'!$A$1:$I$1981,3,FALSE)))</f>
        <v>M</v>
      </c>
      <c r="P2098" s="362"/>
      <c r="Q2098" s="362"/>
      <c r="R2098" s="900"/>
      <c r="S2098" s="738">
        <f t="shared" si="169"/>
        <v>61.6</v>
      </c>
      <c r="T2098" s="738" t="str">
        <f t="shared" si="170"/>
        <v>m</v>
      </c>
      <c r="U2098" s="738"/>
    </row>
    <row r="2099" spans="1:21" x14ac:dyDescent="0.2">
      <c r="A2099" s="294"/>
      <c r="B2099" s="293"/>
      <c r="C2099" s="343"/>
      <c r="H2099" s="292"/>
      <c r="N2099" s="314"/>
      <c r="O2099" s="344"/>
      <c r="P2099" s="315"/>
      <c r="Q2099" s="315"/>
      <c r="R2099" s="903"/>
      <c r="S2099" s="738">
        <f t="shared" si="169"/>
        <v>61.6</v>
      </c>
      <c r="T2099" s="738" t="str">
        <f t="shared" si="170"/>
        <v>m</v>
      </c>
      <c r="U2099" s="738"/>
    </row>
    <row r="2100" spans="1:21" ht="25.5" x14ac:dyDescent="0.2">
      <c r="A2100" s="895" t="s">
        <v>1897</v>
      </c>
      <c r="B2100" s="346" t="s">
        <v>1098</v>
      </c>
      <c r="C2100" s="347" t="str">
        <f>IF(MID(B2100,1,2)="LG",VLOOKUP(B2100,'Compos lug'!J:M,3,FALSE),IF(MID(B2100,1,1)="6",VLOOKUP(B2100,tranp.!$A$4:$K$19,11,FALSE)&amp;" -  XP="&amp;TEXT(T2436,"0.000")&amp;" / XR="&amp;TEXT(V2436,"0.000"),VLOOKUP(B2100,'DER 10-18'!$A$1:$I$1981,2,FALSE)))</f>
        <v>Sistema termo-elástico para movimentação de juntas rodoviárias tipo Nafutekt</v>
      </c>
      <c r="D2100" s="1059" t="s">
        <v>1000</v>
      </c>
      <c r="E2100" s="1060"/>
      <c r="F2100" s="1061"/>
      <c r="G2100" s="1059" t="s">
        <v>1001</v>
      </c>
      <c r="H2100" s="1060"/>
      <c r="I2100" s="1061"/>
      <c r="J2100" s="349"/>
      <c r="K2100" s="884"/>
      <c r="L2100" s="876"/>
      <c r="M2100" s="885"/>
      <c r="N2100" s="876" t="str">
        <f>CONCATENATE("Total (",IF(MID(B2100,1,2)="LG",VLOOKUP(B2100,'Compos lug'!J:M,4,FALSE),IF(MID(B2100,1,1)="6","t",VLOOKUP(B2100,'DER 10-18'!$A$1:$I$1981,3,FALSE))),")")</f>
        <v>Total (m)</v>
      </c>
      <c r="O2100" s="351"/>
      <c r="P2100" s="880"/>
      <c r="Q2100" s="880"/>
      <c r="R2100" s="902"/>
      <c r="S2100" s="738">
        <f t="shared" si="169"/>
        <v>61.6</v>
      </c>
      <c r="T2100" s="738" t="str">
        <f t="shared" si="170"/>
        <v>m</v>
      </c>
      <c r="U2100" s="738"/>
    </row>
    <row r="2101" spans="1:21" x14ac:dyDescent="0.2">
      <c r="A2101" s="294"/>
      <c r="B2101" s="293"/>
      <c r="C2101" s="744" t="s">
        <v>1552</v>
      </c>
      <c r="N2101" s="876"/>
      <c r="R2101" s="912"/>
      <c r="S2101" s="738">
        <f t="shared" si="169"/>
        <v>61.6</v>
      </c>
      <c r="T2101" s="738" t="str">
        <f t="shared" si="170"/>
        <v>m</v>
      </c>
    </row>
    <row r="2102" spans="1:21" x14ac:dyDescent="0.2">
      <c r="A2102" s="895"/>
      <c r="B2102" s="346"/>
      <c r="C2102" s="580" t="s">
        <v>1419</v>
      </c>
      <c r="D2102" s="405">
        <v>341</v>
      </c>
      <c r="E2102" s="871" t="s">
        <v>8</v>
      </c>
      <c r="F2102" s="406">
        <v>8</v>
      </c>
      <c r="G2102" s="405">
        <v>342</v>
      </c>
      <c r="H2102" s="871" t="s">
        <v>8</v>
      </c>
      <c r="I2102" s="406">
        <v>3</v>
      </c>
      <c r="J2102" s="349"/>
      <c r="K2102" s="884"/>
      <c r="L2102" s="876"/>
      <c r="M2102" s="885"/>
      <c r="N2102" s="876">
        <v>30.8</v>
      </c>
      <c r="O2102" s="351"/>
      <c r="P2102" s="880"/>
      <c r="Q2102" s="880"/>
      <c r="R2102" s="902"/>
      <c r="S2102" s="738">
        <f t="shared" si="169"/>
        <v>61.6</v>
      </c>
      <c r="T2102" s="738" t="str">
        <f t="shared" si="170"/>
        <v>m</v>
      </c>
      <c r="U2102" s="738"/>
    </row>
    <row r="2103" spans="1:21" x14ac:dyDescent="0.2">
      <c r="A2103" s="895"/>
      <c r="B2103" s="346"/>
      <c r="C2103" s="580" t="s">
        <v>1378</v>
      </c>
      <c r="D2103" s="405">
        <v>536</v>
      </c>
      <c r="E2103" s="871" t="s">
        <v>8</v>
      </c>
      <c r="F2103" s="406">
        <v>6</v>
      </c>
      <c r="G2103" s="405">
        <v>536</v>
      </c>
      <c r="H2103" s="871" t="s">
        <v>8</v>
      </c>
      <c r="I2103" s="780">
        <v>16</v>
      </c>
      <c r="J2103" s="349"/>
      <c r="K2103" s="884"/>
      <c r="L2103" s="876"/>
      <c r="M2103" s="885"/>
      <c r="N2103" s="876">
        <v>30.8</v>
      </c>
      <c r="O2103" s="351"/>
      <c r="P2103" s="880"/>
      <c r="Q2103" s="880"/>
      <c r="R2103" s="902"/>
      <c r="S2103" s="738">
        <f t="shared" si="169"/>
        <v>61.6</v>
      </c>
      <c r="T2103" s="738" t="str">
        <f t="shared" si="170"/>
        <v>m</v>
      </c>
      <c r="U2103" s="738"/>
    </row>
    <row r="2104" spans="1:21" x14ac:dyDescent="0.2">
      <c r="A2104" s="899"/>
      <c r="B2104" s="353"/>
      <c r="C2104" s="354" t="s">
        <v>2</v>
      </c>
      <c r="D2104" s="355"/>
      <c r="E2104" s="352"/>
      <c r="F2104" s="356"/>
      <c r="G2104" s="355"/>
      <c r="H2104" s="356"/>
      <c r="I2104" s="356"/>
      <c r="J2104" s="353"/>
      <c r="K2104" s="357"/>
      <c r="L2104" s="358"/>
      <c r="M2104" s="359"/>
      <c r="N2104" s="360">
        <f>SUM(N2102:N2103)</f>
        <v>61.6</v>
      </c>
      <c r="O2104" s="361" t="str">
        <f>IF(MID(B2100,1,2)="LG",VLOOKUP(B2100,'Compos lug'!J:M,4,FALSE),IF(MID(B2100,1,1)="6",VLOOKUP(B2100,tranp.!$A$6:$K$51,3,FALSE),VLOOKUP(B2100,'DER 10-18'!$A$1:$I$1981,3,FALSE)))</f>
        <v>m</v>
      </c>
      <c r="P2104" s="362"/>
      <c r="Q2104" s="362"/>
      <c r="R2104" s="900"/>
      <c r="S2104" s="738">
        <f t="shared" si="169"/>
        <v>270</v>
      </c>
      <c r="T2104" s="738" t="str">
        <f t="shared" si="170"/>
        <v>m</v>
      </c>
      <c r="U2104" s="738"/>
    </row>
    <row r="2105" spans="1:21" x14ac:dyDescent="0.2">
      <c r="A2105" s="294"/>
      <c r="B2105" s="293"/>
      <c r="C2105" s="343"/>
      <c r="H2105" s="292"/>
      <c r="N2105" s="314"/>
      <c r="O2105" s="344"/>
      <c r="P2105" s="315"/>
      <c r="Q2105" s="315"/>
      <c r="R2105" s="903"/>
      <c r="S2105" s="738">
        <f t="shared" si="169"/>
        <v>270</v>
      </c>
      <c r="T2105" s="738" t="str">
        <f t="shared" si="170"/>
        <v>m</v>
      </c>
      <c r="U2105" s="738"/>
    </row>
    <row r="2106" spans="1:21" x14ac:dyDescent="0.2">
      <c r="A2106" s="895" t="s">
        <v>1898</v>
      </c>
      <c r="B2106" s="346" t="s">
        <v>1383</v>
      </c>
      <c r="C2106" s="347" t="str">
        <f>IF(MID(B2106,1,2)="LG",VLOOKUP(B2106,'Compos lug'!J:M,3,FALSE),IF(MID(B2106,1,1)="6",VLOOKUP(B2106,tranp.!$A$4:$K$19,11,FALSE)&amp;" -  XP="&amp;TEXT(T2440,"0.000")&amp;" / XR="&amp;TEXT(V2440,"0.000"),VLOOKUP(B2106,'DER 10-18'!$A$1:$I$1981,2,FALSE)))</f>
        <v>Tubo condutor de instalações sob passeio</v>
      </c>
      <c r="D2106" s="1059" t="s">
        <v>1000</v>
      </c>
      <c r="E2106" s="1060"/>
      <c r="F2106" s="1061"/>
      <c r="G2106" s="1059" t="s">
        <v>1001</v>
      </c>
      <c r="H2106" s="1060"/>
      <c r="I2106" s="1061"/>
      <c r="J2106" s="349"/>
      <c r="K2106" s="884"/>
      <c r="L2106" s="876"/>
      <c r="M2106" s="885"/>
      <c r="N2106" s="876" t="str">
        <f>CONCATENATE("Total (",IF(MID(B2106,1,2)="LG",VLOOKUP(B2106,'Compos lug'!J:M,4,FALSE),IF(MID(B2106,1,1)="6","t",VLOOKUP(B2106,'DER 10-18'!$A$1:$I$1981,3,FALSE))),")")</f>
        <v>Total (m)</v>
      </c>
      <c r="O2106" s="351"/>
      <c r="P2106" s="880"/>
      <c r="Q2106" s="880"/>
      <c r="R2106" s="902"/>
      <c r="S2106" s="738">
        <f t="shared" si="169"/>
        <v>270</v>
      </c>
      <c r="T2106" s="738" t="str">
        <f t="shared" si="170"/>
        <v>m</v>
      </c>
      <c r="U2106" s="738"/>
    </row>
    <row r="2107" spans="1:21" x14ac:dyDescent="0.2">
      <c r="A2107" s="294"/>
      <c r="B2107" s="293"/>
      <c r="C2107" s="744" t="s">
        <v>1552</v>
      </c>
      <c r="N2107" s="876"/>
      <c r="R2107" s="912"/>
      <c r="S2107" s="738">
        <f t="shared" si="169"/>
        <v>270</v>
      </c>
      <c r="T2107" s="738" t="str">
        <f t="shared" si="170"/>
        <v>m</v>
      </c>
    </row>
    <row r="2108" spans="1:21" x14ac:dyDescent="0.2">
      <c r="A2108" s="895"/>
      <c r="B2108" s="346"/>
      <c r="C2108" s="347" t="s">
        <v>1419</v>
      </c>
      <c r="D2108" s="405"/>
      <c r="E2108" s="871"/>
      <c r="F2108" s="406"/>
      <c r="G2108" s="405"/>
      <c r="H2108" s="871"/>
      <c r="I2108" s="406"/>
      <c r="J2108" s="349"/>
      <c r="K2108" s="884"/>
      <c r="L2108" s="876"/>
      <c r="M2108" s="885"/>
      <c r="N2108" s="876"/>
      <c r="O2108" s="351"/>
      <c r="P2108" s="880"/>
      <c r="Q2108" s="880"/>
      <c r="R2108" s="902"/>
      <c r="S2108" s="738">
        <f t="shared" si="169"/>
        <v>270</v>
      </c>
      <c r="T2108" s="738" t="str">
        <f t="shared" si="170"/>
        <v>m</v>
      </c>
      <c r="U2108" s="738"/>
    </row>
    <row r="2109" spans="1:21" x14ac:dyDescent="0.2">
      <c r="A2109" s="895"/>
      <c r="B2109" s="346"/>
      <c r="C2109" s="580" t="s">
        <v>1422</v>
      </c>
      <c r="D2109" s="405">
        <v>341</v>
      </c>
      <c r="E2109" s="871" t="s">
        <v>8</v>
      </c>
      <c r="F2109" s="406">
        <v>8</v>
      </c>
      <c r="G2109" s="405">
        <v>342</v>
      </c>
      <c r="H2109" s="871" t="s">
        <v>8</v>
      </c>
      <c r="I2109" s="406">
        <v>3</v>
      </c>
      <c r="J2109" s="349"/>
      <c r="K2109" s="884"/>
      <c r="L2109" s="876"/>
      <c r="M2109" s="885"/>
      <c r="N2109" s="876">
        <v>150</v>
      </c>
      <c r="O2109" s="351"/>
      <c r="P2109" s="880"/>
      <c r="Q2109" s="880"/>
      <c r="R2109" s="902"/>
      <c r="S2109" s="738">
        <f t="shared" si="169"/>
        <v>270</v>
      </c>
      <c r="T2109" s="738" t="str">
        <f t="shared" si="170"/>
        <v>m</v>
      </c>
      <c r="U2109" s="738"/>
    </row>
    <row r="2110" spans="1:21" x14ac:dyDescent="0.2">
      <c r="A2110" s="895"/>
      <c r="B2110" s="346"/>
      <c r="C2110" s="347" t="s">
        <v>1378</v>
      </c>
      <c r="D2110" s="870"/>
      <c r="E2110" s="871"/>
      <c r="F2110" s="871"/>
      <c r="G2110" s="870"/>
      <c r="H2110" s="871"/>
      <c r="I2110" s="406"/>
      <c r="J2110" s="349"/>
      <c r="K2110" s="884"/>
      <c r="L2110" s="876"/>
      <c r="M2110" s="885"/>
      <c r="N2110" s="876"/>
      <c r="O2110" s="351"/>
      <c r="P2110" s="880"/>
      <c r="Q2110" s="880"/>
      <c r="R2110" s="902"/>
      <c r="S2110" s="738">
        <f t="shared" si="169"/>
        <v>270</v>
      </c>
      <c r="T2110" s="738" t="str">
        <f t="shared" si="170"/>
        <v>m</v>
      </c>
      <c r="U2110" s="738"/>
    </row>
    <row r="2111" spans="1:21" x14ac:dyDescent="0.2">
      <c r="A2111" s="895"/>
      <c r="B2111" s="346"/>
      <c r="C2111" s="580" t="s">
        <v>1422</v>
      </c>
      <c r="D2111" s="405">
        <v>536</v>
      </c>
      <c r="E2111" s="871" t="s">
        <v>8</v>
      </c>
      <c r="F2111" s="406">
        <v>6</v>
      </c>
      <c r="G2111" s="405">
        <v>536</v>
      </c>
      <c r="H2111" s="871" t="s">
        <v>8</v>
      </c>
      <c r="I2111" s="780">
        <v>16</v>
      </c>
      <c r="J2111" s="349"/>
      <c r="K2111" s="884"/>
      <c r="L2111" s="876"/>
      <c r="M2111" s="885"/>
      <c r="N2111" s="876">
        <v>120</v>
      </c>
      <c r="O2111" s="351"/>
      <c r="P2111" s="880"/>
      <c r="Q2111" s="880"/>
      <c r="R2111" s="902"/>
      <c r="S2111" s="738">
        <f t="shared" si="169"/>
        <v>270</v>
      </c>
      <c r="T2111" s="738" t="str">
        <f t="shared" si="170"/>
        <v>m</v>
      </c>
      <c r="U2111" s="738"/>
    </row>
    <row r="2112" spans="1:21" x14ac:dyDescent="0.2">
      <c r="A2112" s="899"/>
      <c r="B2112" s="353"/>
      <c r="C2112" s="354" t="s">
        <v>2</v>
      </c>
      <c r="D2112" s="355"/>
      <c r="E2112" s="352"/>
      <c r="F2112" s="356"/>
      <c r="G2112" s="355"/>
      <c r="H2112" s="356"/>
      <c r="I2112" s="356"/>
      <c r="J2112" s="353"/>
      <c r="K2112" s="357"/>
      <c r="L2112" s="358"/>
      <c r="M2112" s="359"/>
      <c r="N2112" s="360">
        <f>SUM(N2108:N2111)</f>
        <v>270</v>
      </c>
      <c r="O2112" s="361" t="str">
        <f>IF(MID(B2106,1,2)="LG",VLOOKUP(B2106,'Compos lug'!J:M,4,FALSE),IF(MID(B2106,1,1)="6",VLOOKUP(B2106,tranp.!$A$6:$K$51,3,FALSE),VLOOKUP(B2106,'DER 10-18'!$A$1:$I$1981,3,FALSE)))</f>
        <v>m</v>
      </c>
      <c r="P2112" s="362"/>
      <c r="Q2112" s="362"/>
      <c r="R2112" s="900"/>
      <c r="S2112" s="738">
        <f t="shared" si="169"/>
        <v>265.2</v>
      </c>
      <c r="T2112" s="738" t="str">
        <f t="shared" si="170"/>
        <v>M2</v>
      </c>
      <c r="U2112" s="738"/>
    </row>
    <row r="2113" spans="1:27" x14ac:dyDescent="0.2">
      <c r="A2113" s="294"/>
      <c r="B2113" s="293"/>
      <c r="C2113" s="343"/>
      <c r="H2113" s="292"/>
      <c r="N2113" s="314"/>
      <c r="O2113" s="344"/>
      <c r="P2113" s="315"/>
      <c r="Q2113" s="315"/>
      <c r="R2113" s="903"/>
      <c r="S2113" s="738">
        <f t="shared" si="169"/>
        <v>265.2</v>
      </c>
      <c r="T2113" s="738" t="str">
        <f t="shared" si="170"/>
        <v>M2</v>
      </c>
      <c r="U2113" s="738"/>
    </row>
    <row r="2114" spans="1:27" ht="45.75" customHeight="1" x14ac:dyDescent="0.2">
      <c r="A2114" s="895" t="s">
        <v>1899</v>
      </c>
      <c r="B2114" s="346">
        <v>40310</v>
      </c>
      <c r="C2114" s="347" t="str">
        <f>IF(MID(B2114,1,2)="LG",VLOOKUP(B2114,'Compos lug'!J:M,3,FALSE),IF(MID(B2114,1,1)="6",VLOOKUP(B2114,tranp.!$A$4:$K$19,11,FALSE)&amp;" -  XP="&amp;TEXT(T2444,"0.000")&amp;" / XR="&amp;TEXT(V2444,"0.000"),VLOOKUP(B2114,'DER 10-18'!$A$1:$I$1981,2,FALSE)))</f>
        <v>Formas planas de madeira sem reaproveitamento (forma perdida), inclusive fornecimento e transporte das madeiras</v>
      </c>
      <c r="D2114" s="1059" t="s">
        <v>1000</v>
      </c>
      <c r="E2114" s="1060"/>
      <c r="F2114" s="1061"/>
      <c r="G2114" s="1059" t="s">
        <v>1001</v>
      </c>
      <c r="H2114" s="1060"/>
      <c r="I2114" s="1061"/>
      <c r="J2114" s="349"/>
      <c r="K2114" s="884"/>
      <c r="L2114" s="876"/>
      <c r="M2114" s="885"/>
      <c r="N2114" s="876" t="str">
        <f>CONCATENATE("Total (",IF(MID(B2114,1,2)="LG",VLOOKUP(B2114,'Compos lug'!J:M,4,FALSE),IF(MID(B2114,1,1)="6","t",VLOOKUP(B2114,'DER 10-18'!$A$1:$I$1981,3,FALSE))),")")</f>
        <v>Total (M2)</v>
      </c>
      <c r="O2114" s="351"/>
      <c r="P2114" s="880"/>
      <c r="Q2114" s="880"/>
      <c r="R2114" s="902"/>
      <c r="S2114" s="738">
        <f t="shared" si="169"/>
        <v>265.2</v>
      </c>
      <c r="T2114" s="738" t="str">
        <f t="shared" si="170"/>
        <v>M2</v>
      </c>
      <c r="U2114" s="738"/>
    </row>
    <row r="2115" spans="1:27" x14ac:dyDescent="0.2">
      <c r="A2115" s="294"/>
      <c r="B2115" s="293"/>
      <c r="C2115" s="744" t="s">
        <v>1552</v>
      </c>
      <c r="N2115" s="876"/>
      <c r="R2115" s="912"/>
      <c r="S2115" s="738">
        <f t="shared" si="169"/>
        <v>265.2</v>
      </c>
      <c r="T2115" s="738" t="str">
        <f t="shared" si="170"/>
        <v>M2</v>
      </c>
    </row>
    <row r="2116" spans="1:27" x14ac:dyDescent="0.2">
      <c r="A2116" s="895"/>
      <c r="B2116" s="346"/>
      <c r="C2116" s="347" t="s">
        <v>1419</v>
      </c>
      <c r="D2116" s="405">
        <v>341</v>
      </c>
      <c r="E2116" s="871" t="s">
        <v>8</v>
      </c>
      <c r="F2116" s="406">
        <v>8</v>
      </c>
      <c r="G2116" s="405">
        <v>342</v>
      </c>
      <c r="H2116" s="871" t="s">
        <v>8</v>
      </c>
      <c r="I2116" s="406">
        <v>3</v>
      </c>
      <c r="J2116" s="876"/>
      <c r="K2116" s="876"/>
      <c r="L2116" s="876"/>
      <c r="M2116" s="876"/>
      <c r="N2116" s="876"/>
      <c r="O2116" s="351"/>
      <c r="P2116" s="880"/>
      <c r="Q2116" s="880"/>
      <c r="R2116" s="902"/>
      <c r="S2116" s="738">
        <f t="shared" si="169"/>
        <v>265.2</v>
      </c>
      <c r="T2116" s="738" t="str">
        <f t="shared" si="170"/>
        <v>M2</v>
      </c>
      <c r="U2116" s="738"/>
    </row>
    <row r="2117" spans="1:27" x14ac:dyDescent="0.2">
      <c r="A2117" s="895"/>
      <c r="B2117" s="346"/>
      <c r="C2117" s="580" t="s">
        <v>1405</v>
      </c>
      <c r="D2117" s="870"/>
      <c r="E2117" s="871"/>
      <c r="F2117" s="871"/>
      <c r="G2117" s="870"/>
      <c r="H2117" s="871"/>
      <c r="I2117" s="406"/>
      <c r="J2117" s="876"/>
      <c r="K2117" s="876"/>
      <c r="L2117" s="876"/>
      <c r="M2117" s="876"/>
      <c r="N2117" s="876">
        <v>39.6</v>
      </c>
      <c r="O2117" s="351"/>
      <c r="P2117" s="880"/>
      <c r="Q2117" s="880"/>
      <c r="R2117" s="902"/>
      <c r="S2117" s="738">
        <f t="shared" si="169"/>
        <v>265.2</v>
      </c>
      <c r="T2117" s="738" t="str">
        <f t="shared" si="170"/>
        <v>M2</v>
      </c>
      <c r="U2117" s="738"/>
    </row>
    <row r="2118" spans="1:27" x14ac:dyDescent="0.2">
      <c r="A2118" s="895"/>
      <c r="B2118" s="346"/>
      <c r="C2118" s="580" t="s">
        <v>1407</v>
      </c>
      <c r="D2118" s="870"/>
      <c r="E2118" s="871"/>
      <c r="F2118" s="871"/>
      <c r="G2118" s="870"/>
      <c r="H2118" s="871"/>
      <c r="I2118" s="406"/>
      <c r="J2118" s="876">
        <v>2.75</v>
      </c>
      <c r="K2118" s="876">
        <v>1</v>
      </c>
      <c r="L2118" s="876">
        <v>0.1</v>
      </c>
      <c r="M2118" s="876">
        <v>77</v>
      </c>
      <c r="N2118" s="876">
        <f>((J2118+K2118)*2)*L2118*M2118</f>
        <v>57.75</v>
      </c>
      <c r="O2118" s="351"/>
      <c r="P2118" s="880"/>
      <c r="Q2118" s="880"/>
      <c r="R2118" s="902"/>
      <c r="S2118" s="738">
        <f t="shared" si="169"/>
        <v>265.2</v>
      </c>
      <c r="T2118" s="738" t="str">
        <f t="shared" si="170"/>
        <v>M2</v>
      </c>
      <c r="U2118" s="738"/>
    </row>
    <row r="2119" spans="1:27" s="289" customFormat="1" x14ac:dyDescent="0.2">
      <c r="A2119" s="294"/>
      <c r="B2119" s="293"/>
      <c r="C2119" s="580" t="s">
        <v>1406</v>
      </c>
      <c r="D2119" s="870"/>
      <c r="E2119" s="871"/>
      <c r="F2119" s="871"/>
      <c r="G2119" s="870"/>
      <c r="H2119" s="871"/>
      <c r="I2119" s="406"/>
      <c r="J2119" s="876"/>
      <c r="K2119" s="876"/>
      <c r="L2119" s="876"/>
      <c r="M2119" s="876"/>
      <c r="N2119" s="876">
        <v>63.5</v>
      </c>
      <c r="O2119" s="351"/>
      <c r="P2119" s="880"/>
      <c r="Q2119" s="880"/>
      <c r="R2119" s="898"/>
      <c r="S2119" s="738">
        <f t="shared" si="169"/>
        <v>265.2</v>
      </c>
      <c r="T2119" s="738" t="str">
        <f t="shared" si="170"/>
        <v>M2</v>
      </c>
      <c r="U2119" s="738"/>
      <c r="W2119" s="712"/>
      <c r="X2119" s="712"/>
      <c r="Y2119" s="712"/>
      <c r="Z2119" s="712"/>
      <c r="AA2119" s="712"/>
    </row>
    <row r="2120" spans="1:27" x14ac:dyDescent="0.2">
      <c r="A2120" s="895"/>
      <c r="B2120" s="346"/>
      <c r="C2120" s="347" t="s">
        <v>1378</v>
      </c>
      <c r="D2120" s="405">
        <v>536</v>
      </c>
      <c r="E2120" s="871" t="s">
        <v>8</v>
      </c>
      <c r="F2120" s="406">
        <v>6</v>
      </c>
      <c r="G2120" s="405">
        <v>536</v>
      </c>
      <c r="H2120" s="871" t="s">
        <v>8</v>
      </c>
      <c r="I2120" s="780">
        <v>16</v>
      </c>
      <c r="J2120" s="876"/>
      <c r="K2120" s="876"/>
      <c r="L2120" s="876"/>
      <c r="M2120" s="876"/>
      <c r="N2120" s="876"/>
      <c r="O2120" s="351"/>
      <c r="P2120" s="880"/>
      <c r="Q2120" s="880"/>
      <c r="R2120" s="902"/>
      <c r="S2120" s="738">
        <f t="shared" si="169"/>
        <v>265.2</v>
      </c>
      <c r="T2120" s="738" t="str">
        <f t="shared" si="170"/>
        <v>M2</v>
      </c>
      <c r="U2120" s="738"/>
    </row>
    <row r="2121" spans="1:27" x14ac:dyDescent="0.2">
      <c r="A2121" s="895"/>
      <c r="B2121" s="346"/>
      <c r="C2121" s="580" t="s">
        <v>1405</v>
      </c>
      <c r="D2121" s="870"/>
      <c r="E2121" s="871"/>
      <c r="F2121" s="871"/>
      <c r="G2121" s="870"/>
      <c r="H2121" s="871"/>
      <c r="I2121" s="406"/>
      <c r="J2121" s="876"/>
      <c r="K2121" s="876"/>
      <c r="L2121" s="876"/>
      <c r="M2121" s="876"/>
      <c r="N2121" s="876">
        <v>27.3</v>
      </c>
      <c r="O2121" s="351"/>
      <c r="P2121" s="880"/>
      <c r="Q2121" s="880"/>
      <c r="R2121" s="902"/>
      <c r="S2121" s="738">
        <f t="shared" si="169"/>
        <v>265.2</v>
      </c>
      <c r="T2121" s="738" t="str">
        <f t="shared" si="170"/>
        <v>M2</v>
      </c>
      <c r="U2121" s="738"/>
    </row>
    <row r="2122" spans="1:27" x14ac:dyDescent="0.2">
      <c r="A2122" s="895"/>
      <c r="B2122" s="346"/>
      <c r="C2122" s="580" t="s">
        <v>1407</v>
      </c>
      <c r="D2122" s="870"/>
      <c r="E2122" s="871"/>
      <c r="F2122" s="871"/>
      <c r="G2122" s="870"/>
      <c r="H2122" s="871"/>
      <c r="I2122" s="406"/>
      <c r="J2122" s="876">
        <v>2.75</v>
      </c>
      <c r="K2122" s="876">
        <v>1</v>
      </c>
      <c r="L2122" s="876">
        <v>0.1</v>
      </c>
      <c r="M2122" s="876">
        <v>45</v>
      </c>
      <c r="N2122" s="876">
        <f>((J2122+K2122)*2)*L2122*M2122</f>
        <v>33.75</v>
      </c>
      <c r="O2122" s="351"/>
      <c r="P2122" s="880"/>
      <c r="Q2122" s="880"/>
      <c r="R2122" s="902"/>
      <c r="S2122" s="738">
        <f t="shared" si="169"/>
        <v>265.2</v>
      </c>
      <c r="T2122" s="738" t="str">
        <f t="shared" si="170"/>
        <v>M2</v>
      </c>
      <c r="U2122" s="738"/>
    </row>
    <row r="2123" spans="1:27" x14ac:dyDescent="0.2">
      <c r="A2123" s="895"/>
      <c r="B2123" s="346"/>
      <c r="C2123" s="580" t="s">
        <v>1406</v>
      </c>
      <c r="D2123" s="870"/>
      <c r="E2123" s="871"/>
      <c r="F2123" s="871"/>
      <c r="G2123" s="870"/>
      <c r="H2123" s="871"/>
      <c r="I2123" s="406"/>
      <c r="J2123" s="876"/>
      <c r="K2123" s="876"/>
      <c r="L2123" s="876"/>
      <c r="M2123" s="876"/>
      <c r="N2123" s="876">
        <v>43.3</v>
      </c>
      <c r="O2123" s="351"/>
      <c r="P2123" s="880"/>
      <c r="Q2123" s="880"/>
      <c r="R2123" s="902"/>
      <c r="S2123" s="738">
        <f t="shared" si="169"/>
        <v>265.2</v>
      </c>
      <c r="T2123" s="738" t="str">
        <f t="shared" si="170"/>
        <v>M2</v>
      </c>
      <c r="U2123" s="738"/>
    </row>
    <row r="2124" spans="1:27" x14ac:dyDescent="0.2">
      <c r="A2124" s="899"/>
      <c r="B2124" s="353"/>
      <c r="C2124" s="354" t="s">
        <v>2</v>
      </c>
      <c r="D2124" s="355"/>
      <c r="E2124" s="352"/>
      <c r="F2124" s="356"/>
      <c r="G2124" s="355"/>
      <c r="H2124" s="356"/>
      <c r="I2124" s="356"/>
      <c r="J2124" s="353"/>
      <c r="K2124" s="357"/>
      <c r="L2124" s="358"/>
      <c r="M2124" s="359"/>
      <c r="N2124" s="360">
        <f>SUM(N2116:N2123)</f>
        <v>265.2</v>
      </c>
      <c r="O2124" s="361" t="str">
        <f>IF(MID(B2114,1,2)="LG",VLOOKUP(B2114,'Compos lug'!J:M,4,FALSE),IF(MID(B2114,1,1)="6",VLOOKUP(B2114,tranp.!$A$6:$K$51,3,FALSE),VLOOKUP(B2114,'DER 10-18'!$A$1:$I$1981,3,FALSE)))</f>
        <v>M2</v>
      </c>
      <c r="P2124" s="362"/>
      <c r="Q2124" s="362"/>
      <c r="R2124" s="900"/>
      <c r="S2124" s="738">
        <f t="shared" si="169"/>
        <v>2514.6999999999998</v>
      </c>
      <c r="T2124" s="738" t="str">
        <f t="shared" si="170"/>
        <v>kg</v>
      </c>
      <c r="U2124" s="738"/>
    </row>
    <row r="2125" spans="1:27" x14ac:dyDescent="0.2">
      <c r="A2125" s="294"/>
      <c r="B2125" s="293"/>
      <c r="C2125" s="343"/>
      <c r="H2125" s="292"/>
      <c r="N2125" s="314"/>
      <c r="O2125" s="344"/>
      <c r="P2125" s="315"/>
      <c r="Q2125" s="315"/>
      <c r="R2125" s="903"/>
      <c r="S2125" s="738">
        <f t="shared" si="169"/>
        <v>2514.6999999999998</v>
      </c>
      <c r="T2125" s="738" t="str">
        <f t="shared" si="170"/>
        <v>kg</v>
      </c>
      <c r="U2125" s="738"/>
    </row>
    <row r="2126" spans="1:27" ht="43.5" customHeight="1" x14ac:dyDescent="0.2">
      <c r="A2126" s="895" t="s">
        <v>1900</v>
      </c>
      <c r="B2126" s="346" t="s">
        <v>1384</v>
      </c>
      <c r="C2126" s="347" t="str">
        <f>IF(MID(B2126,1,2)="LG",VLOOKUP(B2126,'Compos lug'!J:M,3,FALSE),IF(MID(B2126,1,1)="6",VLOOKUP(B2126,tranp.!$A$4:$K$19,11,FALSE)&amp;" -  XP="&amp;TEXT(T2448,"0.000")&amp;" / XR="&amp;TEXT(V2448,"0.000"),VLOOKUP(B2126,'DER 10-18'!$A$1:$I$1981,2,FALSE)))</f>
        <v>Estrutura metálica em perfis laminados ASTM A36 (fornecimento, tratamento anti-corrosivo e montagem)</v>
      </c>
      <c r="D2126" s="1059" t="s">
        <v>1000</v>
      </c>
      <c r="E2126" s="1060"/>
      <c r="F2126" s="1061"/>
      <c r="G2126" s="1059" t="s">
        <v>1001</v>
      </c>
      <c r="H2126" s="1060"/>
      <c r="I2126" s="1061"/>
      <c r="J2126" s="349"/>
      <c r="K2126" s="884"/>
      <c r="L2126" s="876"/>
      <c r="M2126" s="885"/>
      <c r="N2126" s="876" t="str">
        <f>CONCATENATE("Total (",IF(MID(B2126,1,2)="LG",VLOOKUP(B2126,'Compos lug'!J:M,4,FALSE),IF(MID(B2126,1,1)="6","t",VLOOKUP(B2126,'DER 10-18'!$A$1:$I$1981,3,FALSE))),")")</f>
        <v>Total (kg)</v>
      </c>
      <c r="O2126" s="351"/>
      <c r="P2126" s="880"/>
      <c r="Q2126" s="880"/>
      <c r="R2126" s="902"/>
      <c r="S2126" s="738">
        <f t="shared" si="169"/>
        <v>2514.6999999999998</v>
      </c>
      <c r="T2126" s="738" t="str">
        <f t="shared" si="170"/>
        <v>kg</v>
      </c>
      <c r="U2126" s="738"/>
    </row>
    <row r="2127" spans="1:27" x14ac:dyDescent="0.2">
      <c r="A2127" s="294"/>
      <c r="B2127" s="293"/>
      <c r="C2127" s="744" t="s">
        <v>1552</v>
      </c>
      <c r="N2127" s="876"/>
      <c r="R2127" s="912"/>
      <c r="S2127" s="738">
        <f t="shared" si="169"/>
        <v>2514.6999999999998</v>
      </c>
      <c r="T2127" s="738" t="str">
        <f t="shared" si="170"/>
        <v>kg</v>
      </c>
    </row>
    <row r="2128" spans="1:27" s="289" customFormat="1" x14ac:dyDescent="0.2">
      <c r="A2128" s="294"/>
      <c r="B2128" s="293"/>
      <c r="C2128" s="580" t="s">
        <v>1419</v>
      </c>
      <c r="D2128" s="405">
        <v>341</v>
      </c>
      <c r="E2128" s="871" t="s">
        <v>8</v>
      </c>
      <c r="F2128" s="406">
        <v>8</v>
      </c>
      <c r="G2128" s="405">
        <v>342</v>
      </c>
      <c r="H2128" s="871" t="s">
        <v>8</v>
      </c>
      <c r="I2128" s="406">
        <v>3</v>
      </c>
      <c r="J2128" s="349"/>
      <c r="K2128" s="350"/>
      <c r="L2128" s="298"/>
      <c r="M2128" s="299"/>
      <c r="N2128" s="876">
        <f>835.4+390.7+361.6+145.2+484+35.8</f>
        <v>2252.6999999999998</v>
      </c>
      <c r="O2128" s="351"/>
      <c r="P2128" s="880"/>
      <c r="Q2128" s="880"/>
      <c r="R2128" s="898"/>
      <c r="S2128" s="738">
        <f t="shared" si="169"/>
        <v>2514.6999999999998</v>
      </c>
      <c r="T2128" s="738" t="str">
        <f t="shared" si="170"/>
        <v>kg</v>
      </c>
      <c r="U2128" s="738"/>
      <c r="W2128" s="712"/>
      <c r="X2128" s="712"/>
      <c r="Y2128" s="712"/>
      <c r="Z2128" s="712"/>
      <c r="AA2128" s="712"/>
    </row>
    <row r="2129" spans="1:27" s="289" customFormat="1" x14ac:dyDescent="0.2">
      <c r="A2129" s="294"/>
      <c r="B2129" s="293"/>
      <c r="C2129" s="580" t="s">
        <v>1378</v>
      </c>
      <c r="D2129" s="405">
        <v>536</v>
      </c>
      <c r="E2129" s="871" t="s">
        <v>8</v>
      </c>
      <c r="F2129" s="406">
        <v>6</v>
      </c>
      <c r="G2129" s="405">
        <v>536</v>
      </c>
      <c r="H2129" s="871" t="s">
        <v>8</v>
      </c>
      <c r="I2129" s="780">
        <v>16</v>
      </c>
      <c r="J2129" s="349"/>
      <c r="K2129" s="350"/>
      <c r="L2129" s="298"/>
      <c r="M2129" s="299"/>
      <c r="N2129" s="876">
        <v>262</v>
      </c>
      <c r="O2129" s="351"/>
      <c r="P2129" s="880"/>
      <c r="Q2129" s="880"/>
      <c r="R2129" s="898"/>
      <c r="S2129" s="738">
        <f t="shared" si="169"/>
        <v>2514.6999999999998</v>
      </c>
      <c r="T2129" s="738" t="str">
        <f t="shared" si="170"/>
        <v>kg</v>
      </c>
      <c r="U2129" s="738"/>
      <c r="W2129" s="712"/>
      <c r="X2129" s="712"/>
      <c r="Y2129" s="712"/>
      <c r="Z2129" s="712"/>
      <c r="AA2129" s="712"/>
    </row>
    <row r="2130" spans="1:27" x14ac:dyDescent="0.2">
      <c r="A2130" s="899"/>
      <c r="B2130" s="353"/>
      <c r="C2130" s="354" t="s">
        <v>2</v>
      </c>
      <c r="D2130" s="355"/>
      <c r="E2130" s="352"/>
      <c r="F2130" s="356"/>
      <c r="G2130" s="355"/>
      <c r="H2130" s="356"/>
      <c r="I2130" s="356"/>
      <c r="J2130" s="353"/>
      <c r="K2130" s="357"/>
      <c r="L2130" s="358"/>
      <c r="M2130" s="359"/>
      <c r="N2130" s="360">
        <f>SUM(N2128:N2129)</f>
        <v>2514.6999999999998</v>
      </c>
      <c r="O2130" s="361" t="str">
        <f>IF(MID(B2126,1,2)="LG",VLOOKUP(B2126,'Compos lug'!J:M,4,FALSE),IF(MID(B2126,1,1)="6",VLOOKUP(B2126,tranp.!$A$6:$K$51,3,FALSE),VLOOKUP(B2126,'DER 10-18'!$A$1:$I$1981,3,FALSE)))</f>
        <v>kg</v>
      </c>
      <c r="P2130" s="362"/>
      <c r="Q2130" s="362"/>
      <c r="R2130" s="900"/>
      <c r="S2130" s="738">
        <f t="shared" ref="S2130:S2193" si="171">VLOOKUP("Total",C2131:O3867,12,FALSE)</f>
        <v>32097.3</v>
      </c>
      <c r="T2130" s="738" t="str">
        <f t="shared" ref="T2130:T2193" si="172">VLOOKUP("Total",C2131:O3867,13,FALSE)</f>
        <v>kg</v>
      </c>
      <c r="U2130" s="738"/>
    </row>
    <row r="2131" spans="1:27" x14ac:dyDescent="0.2">
      <c r="A2131" s="294"/>
      <c r="B2131" s="293"/>
      <c r="C2131" s="343"/>
      <c r="H2131" s="292"/>
      <c r="N2131" s="314"/>
      <c r="O2131" s="344"/>
      <c r="P2131" s="315"/>
      <c r="Q2131" s="315"/>
      <c r="R2131" s="903"/>
      <c r="S2131" s="738">
        <f t="shared" si="171"/>
        <v>32097.3</v>
      </c>
      <c r="T2131" s="738" t="str">
        <f t="shared" si="172"/>
        <v>kg</v>
      </c>
      <c r="U2131" s="738"/>
    </row>
    <row r="2132" spans="1:27" ht="38.25" customHeight="1" x14ac:dyDescent="0.2">
      <c r="A2132" s="895" t="s">
        <v>1901</v>
      </c>
      <c r="B2132" s="346" t="s">
        <v>1385</v>
      </c>
      <c r="C2132" s="347" t="str">
        <f>IF(MID(B2132,1,2)="LG",VLOOKUP(B2132,'Compos lug'!J:M,3,FALSE),IF(MID(B2132,1,1)="6",VLOOKUP(B2132,tranp.!$A$4:$K$19,11,FALSE)&amp;" -  XP="&amp;TEXT(T2452,"0.000")&amp;" / XR="&amp;TEXT(V2452,"0.000"),VLOOKUP(B2132,'DER 10-18'!$A$1:$I$1981,2,FALSE)))</f>
        <v>Estrutura metálica em perfis laminados tipo Histar (fornecimento, tratamento anti-corrosivo e montagem)</v>
      </c>
      <c r="D2132" s="1059" t="s">
        <v>1000</v>
      </c>
      <c r="E2132" s="1060"/>
      <c r="F2132" s="1061"/>
      <c r="G2132" s="1059" t="s">
        <v>1001</v>
      </c>
      <c r="H2132" s="1060"/>
      <c r="I2132" s="1061"/>
      <c r="J2132" s="349"/>
      <c r="K2132" s="884"/>
      <c r="L2132" s="876"/>
      <c r="M2132" s="885"/>
      <c r="N2132" s="876" t="str">
        <f>CONCATENATE("Total (",IF(MID(B2132,1,2)="LG",VLOOKUP(B2132,'Compos lug'!J:M,4,FALSE),IF(MID(B2132,1,1)="6","t",VLOOKUP(B2132,'DER 10-18'!$A$1:$I$1981,3,FALSE))),")")</f>
        <v>Total (kg)</v>
      </c>
      <c r="O2132" s="351"/>
      <c r="P2132" s="880"/>
      <c r="Q2132" s="880"/>
      <c r="R2132" s="902"/>
      <c r="S2132" s="738">
        <f t="shared" si="171"/>
        <v>32097.3</v>
      </c>
      <c r="T2132" s="738" t="str">
        <f t="shared" si="172"/>
        <v>kg</v>
      </c>
      <c r="U2132" s="738"/>
    </row>
    <row r="2133" spans="1:27" x14ac:dyDescent="0.2">
      <c r="A2133" s="294"/>
      <c r="B2133" s="293"/>
      <c r="C2133" s="744" t="s">
        <v>1552</v>
      </c>
      <c r="N2133" s="876"/>
      <c r="R2133" s="912"/>
      <c r="S2133" s="738">
        <f t="shared" si="171"/>
        <v>32097.3</v>
      </c>
      <c r="T2133" s="738" t="str">
        <f t="shared" si="172"/>
        <v>kg</v>
      </c>
    </row>
    <row r="2134" spans="1:27" x14ac:dyDescent="0.2">
      <c r="A2134" s="895"/>
      <c r="B2134" s="346"/>
      <c r="C2134" s="580" t="s">
        <v>1419</v>
      </c>
      <c r="D2134" s="405">
        <v>341</v>
      </c>
      <c r="E2134" s="871" t="s">
        <v>8</v>
      </c>
      <c r="F2134" s="406">
        <v>8</v>
      </c>
      <c r="G2134" s="405">
        <v>342</v>
      </c>
      <c r="H2134" s="871" t="s">
        <v>8</v>
      </c>
      <c r="I2134" s="406">
        <v>3</v>
      </c>
      <c r="J2134" s="349"/>
      <c r="K2134" s="884"/>
      <c r="L2134" s="876"/>
      <c r="M2134" s="885"/>
      <c r="N2134" s="876">
        <f>2634.4+2709+2780.8+2856.8+2929.9+3007.2+1666</f>
        <v>18584.099999999999</v>
      </c>
      <c r="O2134" s="351"/>
      <c r="P2134" s="880"/>
      <c r="Q2134" s="880"/>
      <c r="R2134" s="902"/>
      <c r="S2134" s="738">
        <f t="shared" si="171"/>
        <v>32097.3</v>
      </c>
      <c r="T2134" s="738" t="str">
        <f t="shared" si="172"/>
        <v>kg</v>
      </c>
      <c r="U2134" s="738"/>
    </row>
    <row r="2135" spans="1:27" x14ac:dyDescent="0.2">
      <c r="A2135" s="895"/>
      <c r="B2135" s="346"/>
      <c r="C2135" s="580" t="s">
        <v>1378</v>
      </c>
      <c r="D2135" s="405">
        <v>536</v>
      </c>
      <c r="E2135" s="871" t="s">
        <v>8</v>
      </c>
      <c r="F2135" s="406">
        <v>6</v>
      </c>
      <c r="G2135" s="405">
        <v>536</v>
      </c>
      <c r="H2135" s="871" t="s">
        <v>8</v>
      </c>
      <c r="I2135" s="780">
        <v>16</v>
      </c>
      <c r="J2135" s="349"/>
      <c r="K2135" s="884"/>
      <c r="L2135" s="876"/>
      <c r="M2135" s="885"/>
      <c r="N2135" s="876">
        <f>1550+1705+1860+2015+2170+2325+1888.2</f>
        <v>13513.2</v>
      </c>
      <c r="O2135" s="351"/>
      <c r="P2135" s="880"/>
      <c r="Q2135" s="880"/>
      <c r="R2135" s="902"/>
      <c r="S2135" s="738">
        <f t="shared" si="171"/>
        <v>32097.3</v>
      </c>
      <c r="T2135" s="738" t="str">
        <f t="shared" si="172"/>
        <v>kg</v>
      </c>
      <c r="U2135" s="738"/>
    </row>
    <row r="2136" spans="1:27" x14ac:dyDescent="0.2">
      <c r="A2136" s="899"/>
      <c r="B2136" s="353"/>
      <c r="C2136" s="354" t="s">
        <v>2</v>
      </c>
      <c r="D2136" s="355"/>
      <c r="E2136" s="352"/>
      <c r="F2136" s="356"/>
      <c r="G2136" s="355"/>
      <c r="H2136" s="356"/>
      <c r="I2136" s="356"/>
      <c r="J2136" s="353"/>
      <c r="K2136" s="357"/>
      <c r="L2136" s="358"/>
      <c r="M2136" s="359"/>
      <c r="N2136" s="360">
        <f>SUM(N2134:N2135)</f>
        <v>32097.3</v>
      </c>
      <c r="O2136" s="361" t="str">
        <f>IF(MID(B2132,1,2)="LG",VLOOKUP(B2132,'Compos lug'!J:M,4,FALSE),IF(MID(B2132,1,1)="6",VLOOKUP(B2132,tranp.!$A$6:$K$51,3,FALSE),VLOOKUP(B2132,'DER 10-18'!$A$1:$I$1981,3,FALSE)))</f>
        <v>kg</v>
      </c>
      <c r="P2136" s="362"/>
      <c r="Q2136" s="362"/>
      <c r="R2136" s="900"/>
      <c r="S2136" s="738">
        <f t="shared" si="171"/>
        <v>969</v>
      </c>
      <c r="T2136" s="738" t="str">
        <f t="shared" si="172"/>
        <v>kg</v>
      </c>
      <c r="U2136" s="738"/>
    </row>
    <row r="2137" spans="1:27" x14ac:dyDescent="0.2">
      <c r="A2137" s="294"/>
      <c r="B2137" s="293"/>
      <c r="C2137" s="343"/>
      <c r="H2137" s="292"/>
      <c r="N2137" s="314"/>
      <c r="O2137" s="344"/>
      <c r="P2137" s="315"/>
      <c r="Q2137" s="315"/>
      <c r="R2137" s="903"/>
      <c r="S2137" s="738">
        <f t="shared" si="171"/>
        <v>969</v>
      </c>
      <c r="T2137" s="738" t="str">
        <f t="shared" si="172"/>
        <v>kg</v>
      </c>
      <c r="U2137" s="738"/>
    </row>
    <row r="2138" spans="1:27" ht="39" customHeight="1" x14ac:dyDescent="0.2">
      <c r="A2138" s="895" t="s">
        <v>1902</v>
      </c>
      <c r="B2138" s="346" t="s">
        <v>1212</v>
      </c>
      <c r="C2138" s="347" t="str">
        <f>IF(MID(B2138,1,2)="LG",VLOOKUP(B2138,'Compos lug'!J:M,3,FALSE),IF(MID(B2138,1,1)="6",VLOOKUP(B2138,tranp.!$A$4:$K$19,11,FALSE)&amp;" -  XP="&amp;TEXT(T2462,"0.000")&amp;" / XR="&amp;TEXT(V2462,"0.000"),VLOOKUP(B2138,'DER 10-18'!$A$1:$I$1981,2,FALSE)))</f>
        <v>Estrutura metálica em perfis soldados em chapa USI SAC 50 (fornecimento, tratamento anti-corrosivo e montagem)</v>
      </c>
      <c r="D2138" s="1059" t="s">
        <v>1000</v>
      </c>
      <c r="E2138" s="1060"/>
      <c r="F2138" s="1061"/>
      <c r="G2138" s="1059" t="s">
        <v>1001</v>
      </c>
      <c r="H2138" s="1060"/>
      <c r="I2138" s="1061"/>
      <c r="J2138" s="349"/>
      <c r="K2138" s="884"/>
      <c r="L2138" s="876"/>
      <c r="M2138" s="885"/>
      <c r="N2138" s="876" t="str">
        <f>CONCATENATE("Total (",IF(MID(B2138,1,2)="LG",VLOOKUP(B2138,'Compos lug'!J:M,4,FALSE),IF(MID(B2138,1,1)="6","t",VLOOKUP(B2138,'DER 10-18'!$A$1:$I$1981,3,FALSE))),")")</f>
        <v>Total (kg)</v>
      </c>
      <c r="O2138" s="351"/>
      <c r="P2138" s="880"/>
      <c r="Q2138" s="880"/>
      <c r="R2138" s="902"/>
      <c r="S2138" s="738">
        <f t="shared" si="171"/>
        <v>969</v>
      </c>
      <c r="T2138" s="738" t="str">
        <f t="shared" si="172"/>
        <v>kg</v>
      </c>
      <c r="U2138" s="738"/>
    </row>
    <row r="2139" spans="1:27" x14ac:dyDescent="0.2">
      <c r="A2139" s="294"/>
      <c r="B2139" s="293"/>
      <c r="C2139" s="744" t="s">
        <v>1552</v>
      </c>
      <c r="N2139" s="876"/>
      <c r="R2139" s="912"/>
      <c r="S2139" s="738">
        <f t="shared" si="171"/>
        <v>969</v>
      </c>
      <c r="T2139" s="738" t="str">
        <f t="shared" si="172"/>
        <v>kg</v>
      </c>
    </row>
    <row r="2140" spans="1:27" x14ac:dyDescent="0.2">
      <c r="A2140" s="895"/>
      <c r="B2140" s="346"/>
      <c r="C2140" s="580" t="s">
        <v>1419</v>
      </c>
      <c r="D2140" s="405">
        <v>341</v>
      </c>
      <c r="E2140" s="871" t="s">
        <v>8</v>
      </c>
      <c r="F2140" s="406">
        <v>8</v>
      </c>
      <c r="G2140" s="405">
        <v>342</v>
      </c>
      <c r="H2140" s="871" t="s">
        <v>8</v>
      </c>
      <c r="I2140" s="406">
        <v>3</v>
      </c>
      <c r="J2140" s="349"/>
      <c r="K2140" s="884"/>
      <c r="L2140" s="876"/>
      <c r="M2140" s="885"/>
      <c r="N2140" s="876">
        <f>297+81+120</f>
        <v>498</v>
      </c>
      <c r="O2140" s="351"/>
      <c r="P2140" s="880"/>
      <c r="Q2140" s="880"/>
      <c r="R2140" s="902"/>
      <c r="S2140" s="738">
        <f t="shared" si="171"/>
        <v>969</v>
      </c>
      <c r="T2140" s="738" t="str">
        <f t="shared" si="172"/>
        <v>kg</v>
      </c>
      <c r="U2140" s="738"/>
    </row>
    <row r="2141" spans="1:27" x14ac:dyDescent="0.2">
      <c r="A2141" s="895"/>
      <c r="B2141" s="346"/>
      <c r="C2141" s="580" t="s">
        <v>1378</v>
      </c>
      <c r="D2141" s="405">
        <v>536</v>
      </c>
      <c r="E2141" s="871" t="s">
        <v>8</v>
      </c>
      <c r="F2141" s="406">
        <v>6</v>
      </c>
      <c r="G2141" s="405">
        <v>536</v>
      </c>
      <c r="H2141" s="871" t="s">
        <v>8</v>
      </c>
      <c r="I2141" s="780">
        <v>16</v>
      </c>
      <c r="J2141" s="349"/>
      <c r="K2141" s="884"/>
      <c r="L2141" s="876"/>
      <c r="M2141" s="885"/>
      <c r="N2141" s="876">
        <f>297+78+96</f>
        <v>471</v>
      </c>
      <c r="O2141" s="351"/>
      <c r="P2141" s="880"/>
      <c r="Q2141" s="880"/>
      <c r="R2141" s="902"/>
      <c r="S2141" s="738">
        <f t="shared" si="171"/>
        <v>969</v>
      </c>
      <c r="T2141" s="738" t="str">
        <f t="shared" si="172"/>
        <v>kg</v>
      </c>
      <c r="U2141" s="738"/>
    </row>
    <row r="2142" spans="1:27" x14ac:dyDescent="0.2">
      <c r="A2142" s="899"/>
      <c r="B2142" s="353"/>
      <c r="C2142" s="354" t="s">
        <v>2</v>
      </c>
      <c r="D2142" s="355"/>
      <c r="E2142" s="352"/>
      <c r="F2142" s="356"/>
      <c r="G2142" s="355"/>
      <c r="H2142" s="356"/>
      <c r="I2142" s="356"/>
      <c r="J2142" s="353"/>
      <c r="K2142" s="357"/>
      <c r="L2142" s="358"/>
      <c r="M2142" s="359"/>
      <c r="N2142" s="360">
        <f>SUM(N2138:N2141)</f>
        <v>969</v>
      </c>
      <c r="O2142" s="361" t="str">
        <f>IF(MID(B2138,1,2)="LG",VLOOKUP(B2138,'Compos lug'!J:M,4,FALSE),IF(MID(B2138,1,1)="6",VLOOKUP(B2138,tranp.!$A$6:$K$51,3,FALSE),VLOOKUP(B2138,'DER 10-18'!$A$1:$I$1981,3,FALSE)))</f>
        <v>kg</v>
      </c>
      <c r="P2142" s="362"/>
      <c r="Q2142" s="362"/>
      <c r="R2142" s="900"/>
      <c r="S2142" s="738">
        <f t="shared" si="171"/>
        <v>2800</v>
      </c>
      <c r="T2142" s="738" t="str">
        <f t="shared" si="172"/>
        <v>M2</v>
      </c>
      <c r="U2142" s="738"/>
    </row>
    <row r="2143" spans="1:27" x14ac:dyDescent="0.2">
      <c r="A2143" s="294"/>
      <c r="B2143" s="293"/>
      <c r="N2143" s="876"/>
      <c r="R2143" s="912"/>
      <c r="S2143" s="738">
        <f t="shared" si="171"/>
        <v>2800</v>
      </c>
      <c r="T2143" s="738" t="str">
        <f t="shared" si="172"/>
        <v>M2</v>
      </c>
      <c r="U2143" s="743"/>
      <c r="V2143" s="710"/>
    </row>
    <row r="2144" spans="1:27" x14ac:dyDescent="0.2">
      <c r="A2144" s="906">
        <v>9</v>
      </c>
      <c r="B2144" s="394"/>
      <c r="C2144" s="395" t="s">
        <v>1213</v>
      </c>
      <c r="D2144" s="396"/>
      <c r="E2144" s="397"/>
      <c r="F2144" s="398"/>
      <c r="G2144" s="396"/>
      <c r="H2144" s="397"/>
      <c r="I2144" s="398"/>
      <c r="J2144" s="399"/>
      <c r="K2144" s="400"/>
      <c r="L2144" s="401"/>
      <c r="M2144" s="402"/>
      <c r="N2144" s="401"/>
      <c r="O2144" s="399"/>
      <c r="P2144" s="403"/>
      <c r="Q2144" s="403"/>
      <c r="R2144" s="907"/>
      <c r="S2144" s="738">
        <f t="shared" si="171"/>
        <v>2800</v>
      </c>
      <c r="T2144" s="738" t="str">
        <f t="shared" si="172"/>
        <v>M2</v>
      </c>
      <c r="U2144" s="738"/>
    </row>
    <row r="2145" spans="1:21" x14ac:dyDescent="0.2">
      <c r="A2145" s="893" t="s">
        <v>1027</v>
      </c>
      <c r="B2145" s="394"/>
      <c r="C2145" s="739" t="s">
        <v>287</v>
      </c>
      <c r="D2145" s="396"/>
      <c r="E2145" s="397"/>
      <c r="F2145" s="398"/>
      <c r="G2145" s="396"/>
      <c r="H2145" s="397"/>
      <c r="I2145" s="398"/>
      <c r="J2145" s="399"/>
      <c r="K2145" s="400"/>
      <c r="L2145" s="401"/>
      <c r="M2145" s="402"/>
      <c r="N2145" s="401"/>
      <c r="O2145" s="399"/>
      <c r="P2145" s="403"/>
      <c r="Q2145" s="403"/>
      <c r="R2145" s="907"/>
      <c r="S2145" s="738">
        <f t="shared" si="171"/>
        <v>2800</v>
      </c>
      <c r="T2145" s="738" t="str">
        <f t="shared" si="172"/>
        <v>M2</v>
      </c>
      <c r="U2145" s="738"/>
    </row>
    <row r="2146" spans="1:21" x14ac:dyDescent="0.2">
      <c r="A2146" s="294"/>
      <c r="B2146" s="293"/>
      <c r="C2146" s="343"/>
      <c r="H2146" s="292"/>
      <c r="N2146" s="314"/>
      <c r="O2146" s="344"/>
      <c r="P2146" s="315"/>
      <c r="Q2146" s="315"/>
      <c r="R2146" s="903"/>
      <c r="S2146" s="738">
        <f t="shared" si="171"/>
        <v>2800</v>
      </c>
      <c r="T2146" s="738" t="str">
        <f t="shared" si="172"/>
        <v>M2</v>
      </c>
      <c r="U2146" s="738"/>
    </row>
    <row r="2147" spans="1:21" ht="25.5" x14ac:dyDescent="0.2">
      <c r="A2147" s="895" t="s">
        <v>1039</v>
      </c>
      <c r="B2147" s="346">
        <v>40167</v>
      </c>
      <c r="C2147" s="347" t="str">
        <f>IF(MID(B2147,1,2)="LG",VLOOKUP(B2147,'Compos lug'!J:M,3,FALSE),IF(MID(B2147,1,1)="6",VLOOKUP(B2147,tranp.!$A$4:$K$19,11,FALSE)&amp;" -  XP="&amp;TEXT(#REF!,"0.000")&amp;" / XR="&amp;TEXT(#REF!,"0.000"),VLOOKUP(B2147,'DER 10-18'!$A$1:$I$1981,2,FALSE)))</f>
        <v>Limpeza, desmatamento e destocamento de árvores com diâmetro até 15 cm, com trator de esteira</v>
      </c>
      <c r="D2147" s="1059" t="s">
        <v>7</v>
      </c>
      <c r="E2147" s="1060"/>
      <c r="F2147" s="1061"/>
      <c r="G2147" s="870"/>
      <c r="H2147" s="871"/>
      <c r="I2147" s="406"/>
      <c r="J2147" s="349" t="s">
        <v>989</v>
      </c>
      <c r="K2147" s="884"/>
      <c r="L2147" s="876"/>
      <c r="M2147" s="885"/>
      <c r="N2147" s="876" t="str">
        <f>CONCATENATE("Total (",IF(MID(B2147,1,2)="LG",VLOOKUP(B2147,'Compos lug'!J:M,4,FALSE),IF(MID(B2147,1,1)="6","t",VLOOKUP(B2147,'DER 10-18'!$A$1:$I$1981,3,FALSE))),")")</f>
        <v>Total (M2)</v>
      </c>
      <c r="O2147" s="351"/>
      <c r="P2147" s="880"/>
      <c r="Q2147" s="880"/>
      <c r="R2147" s="902"/>
      <c r="S2147" s="738">
        <f t="shared" si="171"/>
        <v>2800</v>
      </c>
      <c r="T2147" s="738" t="str">
        <f t="shared" si="172"/>
        <v>M2</v>
      </c>
      <c r="U2147" s="738"/>
    </row>
    <row r="2148" spans="1:21" x14ac:dyDescent="0.2">
      <c r="A2148" s="294"/>
      <c r="B2148" s="293"/>
      <c r="C2148" s="348" t="s">
        <v>1226</v>
      </c>
      <c r="D2148" s="405">
        <v>107</v>
      </c>
      <c r="E2148" s="871" t="s">
        <v>8</v>
      </c>
      <c r="F2148" s="424">
        <v>0</v>
      </c>
      <c r="G2148" s="425"/>
      <c r="H2148" s="871"/>
      <c r="I2148" s="406"/>
      <c r="J2148" s="349" t="s">
        <v>1102</v>
      </c>
      <c r="K2148" s="350"/>
      <c r="L2148" s="875"/>
      <c r="M2148" s="426"/>
      <c r="N2148" s="876">
        <v>2800</v>
      </c>
      <c r="O2148" s="351"/>
      <c r="P2148" s="880"/>
      <c r="Q2148" s="880"/>
      <c r="R2148" s="898"/>
      <c r="S2148" s="738">
        <f t="shared" si="171"/>
        <v>2800</v>
      </c>
      <c r="T2148" s="738" t="str">
        <f t="shared" si="172"/>
        <v>M2</v>
      </c>
      <c r="U2148" s="738"/>
    </row>
    <row r="2149" spans="1:21" x14ac:dyDescent="0.2">
      <c r="A2149" s="899"/>
      <c r="B2149" s="353"/>
      <c r="C2149" s="354" t="s">
        <v>2</v>
      </c>
      <c r="D2149" s="355"/>
      <c r="E2149" s="352"/>
      <c r="F2149" s="356"/>
      <c r="G2149" s="355"/>
      <c r="H2149" s="356"/>
      <c r="I2149" s="356"/>
      <c r="J2149" s="353"/>
      <c r="K2149" s="357"/>
      <c r="L2149" s="358"/>
      <c r="M2149" s="359"/>
      <c r="N2149" s="360">
        <f>+N2148</f>
        <v>2800</v>
      </c>
      <c r="O2149" s="361" t="str">
        <f>IF(MID(B2147,1,2)="LG",VLOOKUP(B2147,'Compos lug'!J:M,4,FALSE),IF(MID(B2147,1,1)="6",VLOOKUP(B2147,tranp.!$A$6:$K$51,3,FALSE),VLOOKUP(B2147,'DER 10-18'!$A$1:$I$1981,3,FALSE)))</f>
        <v>M2</v>
      </c>
      <c r="P2149" s="362"/>
      <c r="Q2149" s="362"/>
      <c r="R2149" s="900"/>
      <c r="S2149" s="738">
        <f t="shared" si="171"/>
        <v>720</v>
      </c>
      <c r="T2149" s="738" t="str">
        <f t="shared" si="172"/>
        <v>M3</v>
      </c>
      <c r="U2149" s="738"/>
    </row>
    <row r="2150" spans="1:21" x14ac:dyDescent="0.2">
      <c r="A2150" s="294"/>
      <c r="B2150" s="293"/>
      <c r="C2150" s="343"/>
      <c r="H2150" s="292"/>
      <c r="N2150" s="314"/>
      <c r="O2150" s="344"/>
      <c r="P2150" s="315"/>
      <c r="Q2150" s="315"/>
      <c r="R2150" s="903"/>
      <c r="S2150" s="738">
        <f t="shared" si="171"/>
        <v>720</v>
      </c>
      <c r="T2150" s="738" t="str">
        <f t="shared" si="172"/>
        <v>M3</v>
      </c>
      <c r="U2150" s="738"/>
    </row>
    <row r="2151" spans="1:21" ht="25.5" x14ac:dyDescent="0.2">
      <c r="A2151" s="895" t="s">
        <v>1040</v>
      </c>
      <c r="B2151" s="346">
        <v>40221</v>
      </c>
      <c r="C2151" s="347" t="str">
        <f>IF(MID(B2151,1,2)="LG",VLOOKUP(B2151,'Compos lug'!J:M,3,FALSE),IF(MID(B2151,1,1)="6",VLOOKUP(B2151,tranp.!$A$4:$K$19,11,FALSE)&amp;" -  XP="&amp;TEXT(#REF!,"0.000")&amp;" / XR="&amp;TEXT(#REF!,"0.000"),VLOOKUP(B2151,'DER 10-18'!$A$1:$I$1981,2,FALSE)))</f>
        <v>Escavação e carga de material de 1ª categoria, com trator de esteira e pá carregadeira</v>
      </c>
      <c r="D2151" s="1059" t="s">
        <v>7</v>
      </c>
      <c r="E2151" s="1060"/>
      <c r="F2151" s="1061"/>
      <c r="G2151" s="870"/>
      <c r="H2151" s="871"/>
      <c r="I2151" s="406"/>
      <c r="J2151" s="349" t="s">
        <v>989</v>
      </c>
      <c r="K2151" s="884"/>
      <c r="L2151" s="876"/>
      <c r="M2151" s="885"/>
      <c r="N2151" s="876" t="str">
        <f>CONCATENATE("Total (",IF(MID(B2151,1,2)="LG",VLOOKUP(B2151,'Compos lug'!J:M,4,FALSE),IF(MID(B2151,1,1)="6","t",VLOOKUP(B2151,'DER 10-18'!$A$1:$I$1981,3,FALSE))),")")</f>
        <v>Total (M3)</v>
      </c>
      <c r="O2151" s="351"/>
      <c r="P2151" s="880"/>
      <c r="Q2151" s="880"/>
      <c r="R2151" s="902"/>
      <c r="S2151" s="738">
        <f t="shared" si="171"/>
        <v>720</v>
      </c>
      <c r="T2151" s="738" t="str">
        <f t="shared" si="172"/>
        <v>M3</v>
      </c>
      <c r="U2151" s="738"/>
    </row>
    <row r="2152" spans="1:21" x14ac:dyDescent="0.2">
      <c r="A2152" s="294"/>
      <c r="B2152" s="293"/>
      <c r="C2152" s="348" t="s">
        <v>1226</v>
      </c>
      <c r="D2152" s="405">
        <v>107</v>
      </c>
      <c r="E2152" s="871" t="s">
        <v>8</v>
      </c>
      <c r="F2152" s="424">
        <v>0</v>
      </c>
      <c r="G2152" s="425"/>
      <c r="H2152" s="871"/>
      <c r="I2152" s="406"/>
      <c r="J2152" s="349" t="s">
        <v>1102</v>
      </c>
      <c r="K2152" s="350"/>
      <c r="L2152" s="875"/>
      <c r="M2152" s="426"/>
      <c r="N2152" s="876">
        <v>720</v>
      </c>
      <c r="O2152" s="351"/>
      <c r="P2152" s="880"/>
      <c r="Q2152" s="880"/>
      <c r="R2152" s="898"/>
      <c r="S2152" s="738">
        <f t="shared" si="171"/>
        <v>720</v>
      </c>
      <c r="T2152" s="738" t="str">
        <f t="shared" si="172"/>
        <v>M3</v>
      </c>
      <c r="U2152" s="738"/>
    </row>
    <row r="2153" spans="1:21" x14ac:dyDescent="0.2">
      <c r="A2153" s="899"/>
      <c r="B2153" s="353"/>
      <c r="C2153" s="354" t="s">
        <v>2</v>
      </c>
      <c r="D2153" s="355"/>
      <c r="E2153" s="352"/>
      <c r="F2153" s="356"/>
      <c r="G2153" s="355"/>
      <c r="H2153" s="356"/>
      <c r="I2153" s="356"/>
      <c r="J2153" s="353"/>
      <c r="K2153" s="357"/>
      <c r="L2153" s="358"/>
      <c r="M2153" s="359"/>
      <c r="N2153" s="360">
        <f>+N2152</f>
        <v>720</v>
      </c>
      <c r="O2153" s="361" t="str">
        <f>IF(MID(B2151,1,2)="LG",VLOOKUP(B2151,'Compos lug'!J:M,4,FALSE),IF(MID(B2151,1,1)="6",VLOOKUP(B2151,tranp.!$A$6:$K$51,3,FALSE),VLOOKUP(B2151,'DER 10-18'!$A$1:$I$1981,3,FALSE)))</f>
        <v>M3</v>
      </c>
      <c r="P2153" s="362"/>
      <c r="Q2153" s="362"/>
      <c r="R2153" s="900"/>
      <c r="S2153" s="738">
        <f t="shared" si="171"/>
        <v>720</v>
      </c>
      <c r="T2153" s="738" t="str">
        <f t="shared" si="172"/>
        <v>M3</v>
      </c>
      <c r="U2153" s="738"/>
    </row>
    <row r="2154" spans="1:21" x14ac:dyDescent="0.2">
      <c r="A2154" s="294"/>
      <c r="B2154" s="293"/>
      <c r="C2154" s="343"/>
      <c r="H2154" s="292"/>
      <c r="N2154" s="314"/>
      <c r="O2154" s="344"/>
      <c r="P2154" s="315"/>
      <c r="Q2154" s="315"/>
      <c r="R2154" s="903"/>
      <c r="S2154" s="738">
        <f t="shared" si="171"/>
        <v>720</v>
      </c>
      <c r="T2154" s="738" t="str">
        <f t="shared" si="172"/>
        <v>M3</v>
      </c>
      <c r="U2154" s="738"/>
    </row>
    <row r="2155" spans="1:21" x14ac:dyDescent="0.2">
      <c r="A2155" s="895" t="s">
        <v>1041</v>
      </c>
      <c r="B2155" s="346">
        <v>40177</v>
      </c>
      <c r="C2155" s="347" t="str">
        <f>IF(MID(B2155,1,2)="LG",VLOOKUP(B2155,'Compos lug'!J:M,3,FALSE),IF(MID(B2155,1,1)="6",VLOOKUP(B2155,tranp.!$A$4:$K$19,11,FALSE)&amp;" -  XP="&amp;TEXT(#REF!,"0.000")&amp;" / XR="&amp;TEXT(#REF!,"0.000"),VLOOKUP(B2155,'DER 10-18'!$A$1:$I$1981,2,FALSE)))</f>
        <v>Espalhamento de material de 1ª categoria com trator de esteiras</v>
      </c>
      <c r="D2155" s="1059" t="s">
        <v>7</v>
      </c>
      <c r="E2155" s="1060"/>
      <c r="F2155" s="1061"/>
      <c r="G2155" s="870"/>
      <c r="H2155" s="871"/>
      <c r="I2155" s="406"/>
      <c r="J2155" s="349" t="s">
        <v>989</v>
      </c>
      <c r="K2155" s="884"/>
      <c r="L2155" s="876"/>
      <c r="M2155" s="885"/>
      <c r="N2155" s="876" t="str">
        <f>CONCATENATE("Total (",IF(MID(B2155,1,2)="LG",VLOOKUP(B2155,'Compos lug'!J:M,4,FALSE),IF(MID(B2155,1,1)="6","t",VLOOKUP(B2155,'DER 10-18'!$A$1:$I$1981,3,FALSE))),")")</f>
        <v>Total (M3)</v>
      </c>
      <c r="O2155" s="351"/>
      <c r="P2155" s="880"/>
      <c r="Q2155" s="880"/>
      <c r="R2155" s="902"/>
      <c r="S2155" s="738">
        <f t="shared" si="171"/>
        <v>720</v>
      </c>
      <c r="T2155" s="738" t="str">
        <f t="shared" si="172"/>
        <v>M3</v>
      </c>
      <c r="U2155" s="738"/>
    </row>
    <row r="2156" spans="1:21" x14ac:dyDescent="0.2">
      <c r="A2156" s="294"/>
      <c r="B2156" s="293"/>
      <c r="C2156" s="348" t="s">
        <v>1226</v>
      </c>
      <c r="D2156" s="405">
        <v>107</v>
      </c>
      <c r="E2156" s="871" t="s">
        <v>8</v>
      </c>
      <c r="F2156" s="424">
        <v>0</v>
      </c>
      <c r="G2156" s="425"/>
      <c r="H2156" s="871"/>
      <c r="I2156" s="406"/>
      <c r="J2156" s="349" t="s">
        <v>1102</v>
      </c>
      <c r="K2156" s="350"/>
      <c r="L2156" s="875"/>
      <c r="M2156" s="426"/>
      <c r="N2156" s="876">
        <v>720</v>
      </c>
      <c r="O2156" s="351"/>
      <c r="P2156" s="880"/>
      <c r="Q2156" s="880"/>
      <c r="R2156" s="898"/>
      <c r="S2156" s="738">
        <f t="shared" si="171"/>
        <v>720</v>
      </c>
      <c r="T2156" s="738" t="str">
        <f t="shared" si="172"/>
        <v>M3</v>
      </c>
      <c r="U2156" s="738"/>
    </row>
    <row r="2157" spans="1:21" x14ac:dyDescent="0.2">
      <c r="A2157" s="899"/>
      <c r="B2157" s="353"/>
      <c r="C2157" s="354" t="s">
        <v>2</v>
      </c>
      <c r="D2157" s="355"/>
      <c r="E2157" s="352"/>
      <c r="F2157" s="356"/>
      <c r="G2157" s="355"/>
      <c r="H2157" s="356"/>
      <c r="I2157" s="356"/>
      <c r="J2157" s="353"/>
      <c r="K2157" s="357"/>
      <c r="L2157" s="358"/>
      <c r="M2157" s="359"/>
      <c r="N2157" s="360">
        <f>+N2156</f>
        <v>720</v>
      </c>
      <c r="O2157" s="361" t="str">
        <f>IF(MID(B2155,1,2)="LG",VLOOKUP(B2155,'Compos lug'!J:M,4,FALSE),IF(MID(B2155,1,1)="6",VLOOKUP(B2155,tranp.!$A$6:$K$51,3,FALSE),VLOOKUP(B2155,'DER 10-18'!$A$1:$I$1981,3,FALSE)))</f>
        <v>M3</v>
      </c>
      <c r="P2157" s="362"/>
      <c r="Q2157" s="362"/>
      <c r="R2157" s="900"/>
      <c r="S2157" s="738">
        <f t="shared" si="171"/>
        <v>2800</v>
      </c>
      <c r="T2157" s="738" t="str">
        <f t="shared" si="172"/>
        <v>M2</v>
      </c>
      <c r="U2157" s="738"/>
    </row>
    <row r="2158" spans="1:21" x14ac:dyDescent="0.2">
      <c r="A2158" s="294"/>
      <c r="B2158" s="293"/>
      <c r="C2158" s="343"/>
      <c r="H2158" s="292"/>
      <c r="N2158" s="314"/>
      <c r="O2158" s="344"/>
      <c r="P2158" s="315"/>
      <c r="Q2158" s="315"/>
      <c r="R2158" s="903"/>
      <c r="S2158" s="738">
        <f t="shared" si="171"/>
        <v>2800</v>
      </c>
      <c r="T2158" s="738" t="str">
        <f t="shared" si="172"/>
        <v>M2</v>
      </c>
      <c r="U2158" s="738"/>
    </row>
    <row r="2159" spans="1:21" x14ac:dyDescent="0.2">
      <c r="A2159" s="895" t="s">
        <v>1482</v>
      </c>
      <c r="B2159" s="346">
        <v>42201</v>
      </c>
      <c r="C2159" s="347" t="str">
        <f>IF(MID(B2159,1,2)="LG",VLOOKUP(B2159,'Compos lug'!J:M,3,FALSE),IF(MID(B2159,1,1)="6",VLOOKUP(B2159,tranp.!$A$4:$K$19,11,FALSE)&amp;" -  XP="&amp;TEXT(#REF!,"0.000")&amp;" / XR="&amp;TEXT(#REF!,"0.000"),VLOOKUP(B2159,'DER 10-18'!$A$1:$I$1981,2,FALSE)))</f>
        <v>Hidrossemeadura simples em terrenos planos</v>
      </c>
      <c r="D2159" s="1059" t="s">
        <v>7</v>
      </c>
      <c r="E2159" s="1060"/>
      <c r="F2159" s="1061"/>
      <c r="G2159" s="870"/>
      <c r="H2159" s="871"/>
      <c r="I2159" s="406"/>
      <c r="J2159" s="349" t="s">
        <v>989</v>
      </c>
      <c r="K2159" s="884"/>
      <c r="L2159" s="876"/>
      <c r="M2159" s="885"/>
      <c r="N2159" s="876" t="str">
        <f>CONCATENATE("Total (",IF(MID(B2159,1,2)="LG",VLOOKUP(B2159,'Compos lug'!J:M,4,FALSE),IF(MID(B2159,1,1)="6","t",VLOOKUP(B2159,'DER 10-18'!$A$1:$I$1981,3,FALSE))),")")</f>
        <v>Total (M2)</v>
      </c>
      <c r="O2159" s="351"/>
      <c r="P2159" s="880"/>
      <c r="Q2159" s="880"/>
      <c r="R2159" s="902"/>
      <c r="S2159" s="738">
        <f t="shared" si="171"/>
        <v>2800</v>
      </c>
      <c r="T2159" s="738" t="str">
        <f t="shared" si="172"/>
        <v>M2</v>
      </c>
      <c r="U2159" s="738"/>
    </row>
    <row r="2160" spans="1:21" x14ac:dyDescent="0.2">
      <c r="A2160" s="294"/>
      <c r="B2160" s="293"/>
      <c r="C2160" s="348" t="s">
        <v>1226</v>
      </c>
      <c r="D2160" s="405">
        <v>107</v>
      </c>
      <c r="E2160" s="871" t="s">
        <v>8</v>
      </c>
      <c r="F2160" s="424">
        <v>0</v>
      </c>
      <c r="G2160" s="425"/>
      <c r="H2160" s="871"/>
      <c r="I2160" s="406"/>
      <c r="J2160" s="349" t="s">
        <v>1102</v>
      </c>
      <c r="K2160" s="350"/>
      <c r="L2160" s="875"/>
      <c r="M2160" s="426"/>
      <c r="N2160" s="876">
        <v>2800</v>
      </c>
      <c r="O2160" s="351"/>
      <c r="P2160" s="521"/>
      <c r="Q2160" s="880"/>
      <c r="R2160" s="898"/>
      <c r="S2160" s="738">
        <f t="shared" si="171"/>
        <v>2800</v>
      </c>
      <c r="T2160" s="738" t="str">
        <f t="shared" si="172"/>
        <v>M2</v>
      </c>
      <c r="U2160" s="738"/>
    </row>
    <row r="2161" spans="1:27" x14ac:dyDescent="0.2">
      <c r="A2161" s="899"/>
      <c r="B2161" s="353"/>
      <c r="C2161" s="354" t="s">
        <v>2</v>
      </c>
      <c r="D2161" s="355"/>
      <c r="E2161" s="352"/>
      <c r="F2161" s="356"/>
      <c r="G2161" s="355"/>
      <c r="H2161" s="356"/>
      <c r="I2161" s="356"/>
      <c r="J2161" s="353"/>
      <c r="K2161" s="357"/>
      <c r="L2161" s="358"/>
      <c r="M2161" s="359"/>
      <c r="N2161" s="360">
        <f>+N2160</f>
        <v>2800</v>
      </c>
      <c r="O2161" s="361" t="str">
        <f>IF(MID(B2159,1,2)="LG",VLOOKUP(B2159,'Compos lug'!J:M,4,FALSE),IF(MID(B2159,1,1)="6",VLOOKUP(B2159,tranp.!$A$6:$K$51,3,FALSE),VLOOKUP(B2159,'DER 10-18'!$A$1:$I$1981,3,FALSE)))</f>
        <v>M2</v>
      </c>
      <c r="P2161" s="362"/>
      <c r="Q2161" s="362"/>
      <c r="R2161" s="900"/>
      <c r="S2161" s="738">
        <f t="shared" si="171"/>
        <v>36</v>
      </c>
      <c r="T2161" s="738" t="str">
        <f t="shared" si="172"/>
        <v>M2</v>
      </c>
      <c r="U2161" s="738"/>
    </row>
    <row r="2162" spans="1:27" x14ac:dyDescent="0.2">
      <c r="A2162" s="294"/>
      <c r="B2162" s="293"/>
      <c r="C2162" s="343"/>
      <c r="H2162" s="292"/>
      <c r="N2162" s="314"/>
      <c r="O2162" s="344"/>
      <c r="P2162" s="315"/>
      <c r="Q2162" s="315"/>
      <c r="R2162" s="903"/>
      <c r="S2162" s="738">
        <f t="shared" si="171"/>
        <v>36</v>
      </c>
      <c r="T2162" s="738" t="str">
        <f t="shared" si="172"/>
        <v>M2</v>
      </c>
      <c r="U2162" s="738"/>
    </row>
    <row r="2163" spans="1:27" s="289" customFormat="1" x14ac:dyDescent="0.2">
      <c r="A2163" s="895" t="s">
        <v>1483</v>
      </c>
      <c r="B2163" s="346">
        <v>41500</v>
      </c>
      <c r="C2163" s="347" t="str">
        <f>IF(MID(B2163,1,2)="LG",VLOOKUP(B2163,'Compos lug'!J:M,3,FALSE),IF(MID(B2163,1,1)="6",VLOOKUP(B2163,tranp.!$A$4:$K$19,11,FALSE)&amp;" -  XP="&amp;TEXT(T2293,"0.000")&amp;" / XR="&amp;TEXT(V2293,"0.000"),VLOOKUP(B2163,'DER 10-18'!$A$1:$I$1981,2,FALSE)))</f>
        <v>Placa de obra nas dimensões de 3,0 x 6,0 m, padrão DER-ES</v>
      </c>
      <c r="D2163" s="1059"/>
      <c r="E2163" s="1060"/>
      <c r="F2163" s="1061"/>
      <c r="G2163" s="870"/>
      <c r="H2163" s="871"/>
      <c r="I2163" s="406"/>
      <c r="J2163" s="349" t="s">
        <v>989</v>
      </c>
      <c r="K2163" s="884" t="s">
        <v>994</v>
      </c>
      <c r="L2163" s="298" t="s">
        <v>995</v>
      </c>
      <c r="M2163" s="299" t="s">
        <v>996</v>
      </c>
      <c r="N2163" s="876" t="str">
        <f>CONCATENATE("Total (",IF(MID(B2163,1,2)="LG",VLOOKUP(B2163,'Compos lug'!J:M,4,FALSE),IF(MID(B2163,1,1)="6","t",VLOOKUP(B2163,'DER 10-18'!$A$1:$I$1981,3,FALSE))),")")</f>
        <v>Total (M2)</v>
      </c>
      <c r="O2163" s="351"/>
      <c r="P2163" s="880"/>
      <c r="Q2163" s="880"/>
      <c r="R2163" s="902"/>
      <c r="S2163" s="738">
        <f t="shared" si="171"/>
        <v>36</v>
      </c>
      <c r="T2163" s="738" t="str">
        <f t="shared" si="172"/>
        <v>M2</v>
      </c>
      <c r="U2163" s="738"/>
      <c r="W2163" s="712"/>
      <c r="X2163" s="712"/>
      <c r="Y2163" s="712"/>
      <c r="Z2163" s="712"/>
      <c r="AA2163" s="712"/>
    </row>
    <row r="2164" spans="1:27" s="289" customFormat="1" x14ac:dyDescent="0.2">
      <c r="A2164" s="895"/>
      <c r="B2164" s="346"/>
      <c r="C2164" s="347" t="s">
        <v>1552</v>
      </c>
      <c r="D2164" s="870"/>
      <c r="E2164" s="871"/>
      <c r="F2164" s="872"/>
      <c r="G2164" s="871"/>
      <c r="H2164" s="871"/>
      <c r="I2164" s="406"/>
      <c r="J2164" s="349"/>
      <c r="K2164" s="884"/>
      <c r="L2164" s="298"/>
      <c r="M2164" s="299"/>
      <c r="N2164" s="876"/>
      <c r="O2164" s="351"/>
      <c r="P2164" s="880"/>
      <c r="Q2164" s="880"/>
      <c r="R2164" s="902"/>
      <c r="S2164" s="738">
        <f t="shared" si="171"/>
        <v>36</v>
      </c>
      <c r="T2164" s="738" t="str">
        <f t="shared" si="172"/>
        <v>M2</v>
      </c>
      <c r="U2164" s="738"/>
      <c r="W2164" s="712"/>
      <c r="X2164" s="712"/>
      <c r="Y2164" s="712"/>
      <c r="Z2164" s="712"/>
      <c r="AA2164" s="712"/>
    </row>
    <row r="2165" spans="1:27" s="289" customFormat="1" x14ac:dyDescent="0.2">
      <c r="A2165" s="294"/>
      <c r="B2165" s="293"/>
      <c r="C2165" s="348" t="s">
        <v>1226</v>
      </c>
      <c r="D2165" s="405">
        <v>107</v>
      </c>
      <c r="E2165" s="871" t="s">
        <v>8</v>
      </c>
      <c r="F2165" s="424">
        <v>0</v>
      </c>
      <c r="G2165" s="425"/>
      <c r="H2165" s="871"/>
      <c r="I2165" s="406"/>
      <c r="J2165" s="349" t="s">
        <v>1102</v>
      </c>
      <c r="K2165" s="350">
        <v>3</v>
      </c>
      <c r="L2165" s="298">
        <v>6</v>
      </c>
      <c r="M2165" s="299">
        <v>1</v>
      </c>
      <c r="N2165" s="876">
        <f>K2165*L2165*M2165</f>
        <v>18</v>
      </c>
      <c r="O2165" s="351"/>
      <c r="P2165" s="880"/>
      <c r="Q2165" s="880"/>
      <c r="R2165" s="898"/>
      <c r="S2165" s="738">
        <f t="shared" si="171"/>
        <v>36</v>
      </c>
      <c r="T2165" s="738" t="str">
        <f t="shared" si="172"/>
        <v>M2</v>
      </c>
      <c r="U2165" s="738"/>
      <c r="W2165" s="712"/>
      <c r="X2165" s="712"/>
      <c r="Y2165" s="712"/>
      <c r="Z2165" s="712"/>
      <c r="AA2165" s="712"/>
    </row>
    <row r="2166" spans="1:27" s="289" customFormat="1" x14ac:dyDescent="0.2">
      <c r="A2166" s="294"/>
      <c r="B2166" s="293"/>
      <c r="C2166" s="347" t="s">
        <v>1553</v>
      </c>
      <c r="D2166" s="870"/>
      <c r="E2166" s="871"/>
      <c r="F2166" s="872"/>
      <c r="G2166" s="871"/>
      <c r="H2166" s="871"/>
      <c r="I2166" s="406"/>
      <c r="J2166" s="349"/>
      <c r="K2166" s="884"/>
      <c r="L2166" s="298"/>
      <c r="M2166" s="299"/>
      <c r="N2166" s="876"/>
      <c r="O2166" s="351"/>
      <c r="P2166" s="880"/>
      <c r="Q2166" s="880"/>
      <c r="R2166" s="898"/>
      <c r="S2166" s="738">
        <f t="shared" si="171"/>
        <v>36</v>
      </c>
      <c r="T2166" s="738" t="str">
        <f t="shared" si="172"/>
        <v>M2</v>
      </c>
      <c r="U2166" s="738"/>
      <c r="W2166" s="712"/>
      <c r="X2166" s="712"/>
      <c r="Y2166" s="712"/>
      <c r="Z2166" s="712"/>
      <c r="AA2166" s="712"/>
    </row>
    <row r="2167" spans="1:27" s="289" customFormat="1" x14ac:dyDescent="0.2">
      <c r="A2167" s="294"/>
      <c r="B2167" s="293"/>
      <c r="C2167" s="348" t="s">
        <v>1226</v>
      </c>
      <c r="D2167" s="405"/>
      <c r="E2167" s="871"/>
      <c r="F2167" s="424"/>
      <c r="G2167" s="425"/>
      <c r="H2167" s="871"/>
      <c r="I2167" s="406"/>
      <c r="J2167" s="349"/>
      <c r="K2167" s="350">
        <v>3</v>
      </c>
      <c r="L2167" s="298">
        <v>6</v>
      </c>
      <c r="M2167" s="299">
        <v>1</v>
      </c>
      <c r="N2167" s="876">
        <f>K2167*L2167*M2167</f>
        <v>18</v>
      </c>
      <c r="O2167" s="351"/>
      <c r="P2167" s="880"/>
      <c r="Q2167" s="880"/>
      <c r="R2167" s="898"/>
      <c r="S2167" s="738">
        <f t="shared" si="171"/>
        <v>36</v>
      </c>
      <c r="T2167" s="738" t="str">
        <f t="shared" si="172"/>
        <v>M2</v>
      </c>
      <c r="U2167" s="738"/>
      <c r="W2167" s="712"/>
      <c r="X2167" s="712"/>
      <c r="Y2167" s="712"/>
      <c r="Z2167" s="712"/>
      <c r="AA2167" s="712"/>
    </row>
    <row r="2168" spans="1:27" x14ac:dyDescent="0.2">
      <c r="A2168" s="899"/>
      <c r="B2168" s="353"/>
      <c r="C2168" s="354" t="s">
        <v>2</v>
      </c>
      <c r="D2168" s="355"/>
      <c r="E2168" s="352"/>
      <c r="F2168" s="356"/>
      <c r="G2168" s="355"/>
      <c r="H2168" s="356"/>
      <c r="I2168" s="356"/>
      <c r="J2168" s="353"/>
      <c r="K2168" s="357"/>
      <c r="L2168" s="358"/>
      <c r="M2168" s="359"/>
      <c r="N2168" s="360">
        <f>+N2165+N2167</f>
        <v>36</v>
      </c>
      <c r="O2168" s="361" t="str">
        <f>IF(MID(B2163,1,2)="LG",VLOOKUP(B2163,'Compos lug'!J:M,4,FALSE),IF(MID(B2163,1,1)="6",VLOOKUP(B2163,tranp.!$A$6:$K$51,3,FALSE),VLOOKUP(B2163,'DER 10-18'!$A$1:$I$1981,3,FALSE)))</f>
        <v>M2</v>
      </c>
      <c r="P2168" s="362"/>
      <c r="Q2168" s="362"/>
      <c r="R2168" s="900"/>
      <c r="S2168" s="738">
        <f t="shared" si="171"/>
        <v>60</v>
      </c>
      <c r="T2168" s="738" t="str">
        <f t="shared" si="172"/>
        <v>M</v>
      </c>
      <c r="U2168" s="738"/>
    </row>
    <row r="2169" spans="1:27" x14ac:dyDescent="0.2">
      <c r="A2169" s="294"/>
      <c r="B2169" s="293"/>
      <c r="C2169" s="343"/>
      <c r="H2169" s="292"/>
      <c r="N2169" s="314"/>
      <c r="O2169" s="344"/>
      <c r="P2169" s="315"/>
      <c r="Q2169" s="315"/>
      <c r="R2169" s="903"/>
      <c r="S2169" s="738">
        <f t="shared" si="171"/>
        <v>60</v>
      </c>
      <c r="T2169" s="738" t="str">
        <f t="shared" si="172"/>
        <v>M</v>
      </c>
      <c r="U2169" s="738"/>
    </row>
    <row r="2170" spans="1:27" ht="51.75" customHeight="1" x14ac:dyDescent="0.2">
      <c r="A2170" s="895" t="s">
        <v>1484</v>
      </c>
      <c r="B2170" s="346">
        <v>41501</v>
      </c>
      <c r="C2170" s="347" t="str">
        <f>IF(MID(B2170,1,2)="LG",VLOOKUP(B2170,'Compos lug'!J:M,3,FALSE),IF(MID(B2170,1,1)="6",VLOOKUP(B2170,tranp.!$A$4:$K$19,11,FALSE)&amp;" -  XP="&amp;TEXT(T2297,"0.000")&amp;" / XR="&amp;TEXT(V2297,"0.000"),VLOOKUP(B2170,'DER 10-18'!$A$1:$I$1981,2,FALSE)))</f>
        <v>Rede de água c/ padrão de entrada d'água diâm. 3/4" conf. CESAN, incl. tubos e conexões p/ aliment., distrib., extravas. e limp., cons. o padrão a 25m</v>
      </c>
      <c r="D2170" s="1059" t="s">
        <v>7</v>
      </c>
      <c r="E2170" s="1060"/>
      <c r="F2170" s="1061"/>
      <c r="G2170" s="870"/>
      <c r="H2170" s="871"/>
      <c r="I2170" s="406"/>
      <c r="J2170" s="349" t="s">
        <v>989</v>
      </c>
      <c r="K2170" s="884"/>
      <c r="N2170" s="876" t="str">
        <f>CONCATENATE("Total (",IF(MID(B2170,1,2)="LG",VLOOKUP(B2170,'Compos lug'!J:M,4,FALSE),IF(MID(B2170,1,1)="6","t",VLOOKUP(B2170,'DER 10-18'!$A$1:$I$1981,3,FALSE))),")")</f>
        <v>Total (M)</v>
      </c>
      <c r="O2170" s="351"/>
      <c r="P2170" s="880"/>
      <c r="Q2170" s="880"/>
      <c r="R2170" s="902"/>
      <c r="S2170" s="738">
        <f t="shared" si="171"/>
        <v>60</v>
      </c>
      <c r="T2170" s="738" t="str">
        <f t="shared" si="172"/>
        <v>M</v>
      </c>
      <c r="U2170" s="738"/>
    </row>
    <row r="2171" spans="1:27" x14ac:dyDescent="0.2">
      <c r="A2171" s="294"/>
      <c r="B2171" s="293"/>
      <c r="C2171" s="348" t="s">
        <v>1226</v>
      </c>
      <c r="D2171" s="405">
        <v>107</v>
      </c>
      <c r="E2171" s="871" t="s">
        <v>8</v>
      </c>
      <c r="F2171" s="424">
        <v>0</v>
      </c>
      <c r="G2171" s="425"/>
      <c r="H2171" s="871"/>
      <c r="I2171" s="406"/>
      <c r="J2171" s="349" t="s">
        <v>1102</v>
      </c>
      <c r="K2171" s="350"/>
      <c r="N2171" s="876">
        <v>60</v>
      </c>
      <c r="O2171" s="351"/>
      <c r="P2171" s="880"/>
      <c r="Q2171" s="880"/>
      <c r="R2171" s="898"/>
      <c r="S2171" s="738">
        <f t="shared" si="171"/>
        <v>60</v>
      </c>
      <c r="T2171" s="738" t="str">
        <f t="shared" si="172"/>
        <v>M</v>
      </c>
      <c r="U2171" s="738"/>
    </row>
    <row r="2172" spans="1:27" x14ac:dyDescent="0.2">
      <c r="A2172" s="899"/>
      <c r="B2172" s="353"/>
      <c r="C2172" s="354" t="s">
        <v>2</v>
      </c>
      <c r="D2172" s="355"/>
      <c r="E2172" s="352"/>
      <c r="F2172" s="356"/>
      <c r="G2172" s="355"/>
      <c r="H2172" s="356"/>
      <c r="I2172" s="356"/>
      <c r="J2172" s="353"/>
      <c r="K2172" s="357"/>
      <c r="L2172" s="358"/>
      <c r="M2172" s="359"/>
      <c r="N2172" s="360">
        <f>SUM(N2171:N2171)</f>
        <v>60</v>
      </c>
      <c r="O2172" s="361" t="str">
        <f>IF(MID(B2170,1,2)="LG",VLOOKUP(B2170,'Compos lug'!J:M,4,FALSE),IF(MID(B2170,1,1)="6",VLOOKUP(B2170,tranp.!$A$6:$K$51,3,FALSE),VLOOKUP(B2170,'DER 10-18'!$A$1:$I$1981,3,FALSE)))</f>
        <v>M</v>
      </c>
      <c r="P2172" s="362"/>
      <c r="Q2172" s="362"/>
      <c r="R2172" s="900"/>
      <c r="S2172" s="738">
        <f t="shared" si="171"/>
        <v>60</v>
      </c>
      <c r="T2172" s="738" t="str">
        <f t="shared" si="172"/>
        <v>M</v>
      </c>
      <c r="U2172" s="738"/>
    </row>
    <row r="2173" spans="1:27" x14ac:dyDescent="0.2">
      <c r="A2173" s="294"/>
      <c r="B2173" s="293"/>
      <c r="C2173" s="343"/>
      <c r="H2173" s="292"/>
      <c r="N2173" s="314"/>
      <c r="O2173" s="344"/>
      <c r="P2173" s="315"/>
      <c r="Q2173" s="315"/>
      <c r="R2173" s="903"/>
      <c r="S2173" s="738">
        <f t="shared" si="171"/>
        <v>60</v>
      </c>
      <c r="T2173" s="738" t="str">
        <f t="shared" si="172"/>
        <v>M</v>
      </c>
      <c r="U2173" s="738"/>
    </row>
    <row r="2174" spans="1:27" ht="42.75" customHeight="1" x14ac:dyDescent="0.2">
      <c r="A2174" s="895" t="s">
        <v>1485</v>
      </c>
      <c r="B2174" s="346">
        <v>41499</v>
      </c>
      <c r="C2174" s="347" t="str">
        <f>IF(MID(B2174,1,2)="LG",VLOOKUP(B2174,'Compos lug'!J:M,3,FALSE),IF(MID(B2174,1,1)="6",VLOOKUP(B2174,tranp.!$A$4:$K$19,11,FALSE)&amp;" -  XP="&amp;TEXT(T2301,"0.000")&amp;" / XR="&amp;TEXT(V2301,"0.000"),VLOOKUP(B2174,'DER 10-18'!$A$1:$I$1981,2,FALSE)))</f>
        <v>Rede de esgoto, contendo fossa e filtro, incl. tubos e conexões de ligação entre caixas, considerando distância de 25m</v>
      </c>
      <c r="D2174" s="1059" t="s">
        <v>7</v>
      </c>
      <c r="E2174" s="1060"/>
      <c r="F2174" s="1061"/>
      <c r="G2174" s="870"/>
      <c r="H2174" s="871"/>
      <c r="I2174" s="406"/>
      <c r="J2174" s="349" t="s">
        <v>989</v>
      </c>
      <c r="K2174" s="884"/>
      <c r="N2174" s="876" t="str">
        <f>CONCATENATE("Total (",IF(MID(B2174,1,2)="LG",VLOOKUP(B2174,'Compos lug'!J:M,4,FALSE),IF(MID(B2174,1,1)="6","t",VLOOKUP(B2174,'DER 10-18'!$A$1:$I$1981,3,FALSE))),")")</f>
        <v>Total (M)</v>
      </c>
      <c r="O2174" s="351"/>
      <c r="P2174" s="880"/>
      <c r="Q2174" s="880"/>
      <c r="R2174" s="902"/>
      <c r="S2174" s="738">
        <f t="shared" si="171"/>
        <v>60</v>
      </c>
      <c r="T2174" s="738" t="str">
        <f t="shared" si="172"/>
        <v>M</v>
      </c>
      <c r="U2174" s="738"/>
    </row>
    <row r="2175" spans="1:27" x14ac:dyDescent="0.2">
      <c r="A2175" s="294"/>
      <c r="B2175" s="293"/>
      <c r="C2175" s="348" t="s">
        <v>1226</v>
      </c>
      <c r="D2175" s="405">
        <v>107</v>
      </c>
      <c r="E2175" s="871" t="s">
        <v>8</v>
      </c>
      <c r="F2175" s="424">
        <v>0</v>
      </c>
      <c r="G2175" s="425"/>
      <c r="H2175" s="871"/>
      <c r="I2175" s="406"/>
      <c r="J2175" s="349" t="s">
        <v>1102</v>
      </c>
      <c r="K2175" s="350"/>
      <c r="N2175" s="876">
        <v>60</v>
      </c>
      <c r="O2175" s="351"/>
      <c r="P2175" s="880"/>
      <c r="Q2175" s="880"/>
      <c r="R2175" s="898"/>
      <c r="S2175" s="738">
        <f t="shared" si="171"/>
        <v>60</v>
      </c>
      <c r="T2175" s="738" t="str">
        <f t="shared" si="172"/>
        <v>M</v>
      </c>
      <c r="U2175" s="738"/>
    </row>
    <row r="2176" spans="1:27" x14ac:dyDescent="0.2">
      <c r="A2176" s="899"/>
      <c r="B2176" s="353"/>
      <c r="C2176" s="354" t="s">
        <v>2</v>
      </c>
      <c r="D2176" s="355"/>
      <c r="E2176" s="352"/>
      <c r="F2176" s="356"/>
      <c r="G2176" s="355"/>
      <c r="H2176" s="356"/>
      <c r="I2176" s="356"/>
      <c r="J2176" s="353"/>
      <c r="K2176" s="357"/>
      <c r="L2176" s="358"/>
      <c r="M2176" s="359"/>
      <c r="N2176" s="360">
        <f>SUM(N2175:N2175)</f>
        <v>60</v>
      </c>
      <c r="O2176" s="361" t="str">
        <f>IF(MID(B2174,1,2)="LG",VLOOKUP(B2174,'Compos lug'!J:M,4,FALSE),IF(MID(B2174,1,1)="6",VLOOKUP(B2174,tranp.!$A$6:$K$51,3,FALSE),VLOOKUP(B2174,'DER 10-18'!$A$1:$I$1981,3,FALSE)))</f>
        <v>M</v>
      </c>
      <c r="P2176" s="362"/>
      <c r="Q2176" s="362"/>
      <c r="R2176" s="900"/>
      <c r="S2176" s="738">
        <f t="shared" si="171"/>
        <v>60</v>
      </c>
      <c r="T2176" s="738" t="str">
        <f t="shared" si="172"/>
        <v>M</v>
      </c>
      <c r="U2176" s="738"/>
    </row>
    <row r="2177" spans="1:27" x14ac:dyDescent="0.2">
      <c r="A2177" s="294"/>
      <c r="B2177" s="293"/>
      <c r="C2177" s="343"/>
      <c r="H2177" s="292"/>
      <c r="N2177" s="314"/>
      <c r="O2177" s="344"/>
      <c r="P2177" s="315"/>
      <c r="Q2177" s="315"/>
      <c r="R2177" s="903"/>
      <c r="S2177" s="738">
        <f t="shared" si="171"/>
        <v>60</v>
      </c>
      <c r="T2177" s="738" t="str">
        <f t="shared" si="172"/>
        <v>M</v>
      </c>
      <c r="U2177" s="738"/>
    </row>
    <row r="2178" spans="1:27" ht="38.25" x14ac:dyDescent="0.2">
      <c r="A2178" s="895" t="s">
        <v>1486</v>
      </c>
      <c r="B2178" s="346">
        <v>41503</v>
      </c>
      <c r="C2178" s="347" t="str">
        <f>IF(MID(B2178,1,2)="LG",VLOOKUP(B2178,'Compos lug'!J:M,3,FALSE),IF(MID(B2178,1,1)="6",VLOOKUP(B2178,tranp.!$A$4:$K$19,11,FALSE)&amp;" -  XP="&amp;TEXT(T2305,"0.000")&amp;" / XR="&amp;TEXT(V2305,"0.000"),VLOOKUP(B2178,'DER 10-18'!$A$1:$I$1981,2,FALSE)))</f>
        <v>Rede de luz, incl. padrão entr. energia trifás. cabo ligação até barracões, quadro distrib., disj. e chave de força, cons. 20m entre padrão entr.e QDG</v>
      </c>
      <c r="D2178" s="1059" t="s">
        <v>7</v>
      </c>
      <c r="E2178" s="1060"/>
      <c r="F2178" s="1061"/>
      <c r="G2178" s="870"/>
      <c r="H2178" s="871"/>
      <c r="I2178" s="406"/>
      <c r="J2178" s="349" t="s">
        <v>989</v>
      </c>
      <c r="K2178" s="884"/>
      <c r="N2178" s="876" t="str">
        <f>CONCATENATE("Total (",IF(MID(B2178,1,2)="LG",VLOOKUP(B2178,'Compos lug'!J:M,4,FALSE),IF(MID(B2178,1,1)="6","t",VLOOKUP(B2178,'DER 10-18'!$A$1:$I$1981,3,FALSE))),")")</f>
        <v>Total (M)</v>
      </c>
      <c r="O2178" s="351"/>
      <c r="P2178" s="880"/>
      <c r="Q2178" s="880"/>
      <c r="R2178" s="902"/>
      <c r="S2178" s="738">
        <f t="shared" si="171"/>
        <v>60</v>
      </c>
      <c r="T2178" s="738" t="str">
        <f t="shared" si="172"/>
        <v>M</v>
      </c>
      <c r="U2178" s="738"/>
    </row>
    <row r="2179" spans="1:27" s="289" customFormat="1" x14ac:dyDescent="0.2">
      <c r="A2179" s="294"/>
      <c r="B2179" s="293"/>
      <c r="C2179" s="348" t="s">
        <v>1226</v>
      </c>
      <c r="D2179" s="405">
        <v>107</v>
      </c>
      <c r="E2179" s="871" t="s">
        <v>8</v>
      </c>
      <c r="F2179" s="424">
        <v>0</v>
      </c>
      <c r="G2179" s="425"/>
      <c r="H2179" s="871"/>
      <c r="I2179" s="406"/>
      <c r="J2179" s="349" t="s">
        <v>1102</v>
      </c>
      <c r="K2179" s="350"/>
      <c r="L2179" s="298"/>
      <c r="M2179" s="299"/>
      <c r="N2179" s="876">
        <v>60</v>
      </c>
      <c r="O2179" s="351"/>
      <c r="P2179" s="880"/>
      <c r="Q2179" s="880"/>
      <c r="R2179" s="898"/>
      <c r="S2179" s="738">
        <f t="shared" si="171"/>
        <v>60</v>
      </c>
      <c r="T2179" s="738" t="str">
        <f t="shared" si="172"/>
        <v>M</v>
      </c>
      <c r="U2179" s="738"/>
      <c r="W2179" s="712"/>
      <c r="X2179" s="712"/>
      <c r="Y2179" s="712"/>
      <c r="Z2179" s="712"/>
      <c r="AA2179" s="712"/>
    </row>
    <row r="2180" spans="1:27" s="289" customFormat="1" x14ac:dyDescent="0.2">
      <c r="A2180" s="899"/>
      <c r="B2180" s="353"/>
      <c r="C2180" s="354" t="s">
        <v>2</v>
      </c>
      <c r="D2180" s="355"/>
      <c r="E2180" s="352"/>
      <c r="F2180" s="356"/>
      <c r="G2180" s="355"/>
      <c r="H2180" s="356"/>
      <c r="I2180" s="356"/>
      <c r="J2180" s="353"/>
      <c r="K2180" s="357"/>
      <c r="L2180" s="358"/>
      <c r="M2180" s="359"/>
      <c r="N2180" s="360">
        <f>SUM(N2179:N2179)</f>
        <v>60</v>
      </c>
      <c r="O2180" s="361" t="str">
        <f>IF(MID(B2178,1,2)="LG",VLOOKUP(B2178,'Compos lug'!J:M,4,FALSE),IF(MID(B2178,1,1)="6",VLOOKUP(B2178,tranp.!$A$6:$K$51,3,FALSE),VLOOKUP(B2178,'DER 10-18'!$A$1:$I$1981,3,FALSE)))</f>
        <v>M</v>
      </c>
      <c r="P2180" s="362"/>
      <c r="Q2180" s="362"/>
      <c r="R2180" s="900"/>
      <c r="S2180" s="738">
        <f t="shared" si="171"/>
        <v>1</v>
      </c>
      <c r="T2180" s="738" t="str">
        <f t="shared" si="172"/>
        <v>Ud</v>
      </c>
      <c r="U2180" s="738"/>
      <c r="W2180" s="712"/>
      <c r="X2180" s="712"/>
      <c r="Y2180" s="712"/>
      <c r="Z2180" s="712"/>
      <c r="AA2180" s="712"/>
    </row>
    <row r="2181" spans="1:27" x14ac:dyDescent="0.2">
      <c r="A2181" s="294"/>
      <c r="B2181" s="293"/>
      <c r="C2181" s="343"/>
      <c r="H2181" s="292"/>
      <c r="N2181" s="314"/>
      <c r="O2181" s="344"/>
      <c r="P2181" s="315"/>
      <c r="Q2181" s="315"/>
      <c r="R2181" s="903"/>
      <c r="S2181" s="738">
        <f t="shared" si="171"/>
        <v>1</v>
      </c>
      <c r="T2181" s="738" t="str">
        <f t="shared" si="172"/>
        <v>Ud</v>
      </c>
      <c r="U2181" s="738"/>
    </row>
    <row r="2182" spans="1:27" ht="25.5" x14ac:dyDescent="0.2">
      <c r="A2182" s="895" t="s">
        <v>1487</v>
      </c>
      <c r="B2182" s="346">
        <v>41527</v>
      </c>
      <c r="C2182" s="347" t="str">
        <f>IF(MID(B2182,1,2)="LG",VLOOKUP(B2182,'Compos lug'!J:M,3,FALSE),IF(MID(B2182,1,1)="6",VLOOKUP(B2182,tranp.!$A$4:$K$19,11,FALSE)&amp;" -  XP="&amp;TEXT(T2309,"0.000")&amp;" / XR="&amp;TEXT(V2309,"0.000"),VLOOKUP(B2182,'DER 10-18'!$A$1:$I$1981,2,FALSE)))</f>
        <v>Reservatório de fibra de vidro de 1000 L, incl. suporte em madeira de 7x12cm, elevado de 4m</v>
      </c>
      <c r="D2182" s="1059" t="s">
        <v>7</v>
      </c>
      <c r="E2182" s="1060"/>
      <c r="F2182" s="1061"/>
      <c r="G2182" s="870"/>
      <c r="H2182" s="871"/>
      <c r="I2182" s="406"/>
      <c r="J2182" s="349" t="s">
        <v>989</v>
      </c>
      <c r="K2182" s="884"/>
      <c r="N2182" s="876" t="str">
        <f>CONCATENATE("Total (",IF(MID(B2182,1,2)="LG",VLOOKUP(B2182,'Compos lug'!J:M,4,FALSE),IF(MID(B2182,1,1)="6","t",VLOOKUP(B2182,'DER 10-18'!$A$1:$I$1981,3,FALSE))),")")</f>
        <v>Total (Ud)</v>
      </c>
      <c r="O2182" s="351"/>
      <c r="P2182" s="880"/>
      <c r="Q2182" s="880"/>
      <c r="R2182" s="902"/>
      <c r="S2182" s="738">
        <f t="shared" si="171"/>
        <v>1</v>
      </c>
      <c r="T2182" s="738" t="str">
        <f t="shared" si="172"/>
        <v>Ud</v>
      </c>
      <c r="U2182" s="738"/>
    </row>
    <row r="2183" spans="1:27" x14ac:dyDescent="0.2">
      <c r="A2183" s="294"/>
      <c r="B2183" s="293"/>
      <c r="C2183" s="348" t="s">
        <v>1226</v>
      </c>
      <c r="D2183" s="405">
        <v>107</v>
      </c>
      <c r="E2183" s="871" t="s">
        <v>8</v>
      </c>
      <c r="F2183" s="424">
        <v>0</v>
      </c>
      <c r="G2183" s="425"/>
      <c r="H2183" s="871"/>
      <c r="I2183" s="406"/>
      <c r="J2183" s="349" t="s">
        <v>1102</v>
      </c>
      <c r="K2183" s="350"/>
      <c r="N2183" s="876">
        <v>1</v>
      </c>
      <c r="O2183" s="351"/>
      <c r="P2183" s="880"/>
      <c r="Q2183" s="880"/>
      <c r="R2183" s="898"/>
      <c r="S2183" s="738">
        <f t="shared" si="171"/>
        <v>1</v>
      </c>
      <c r="T2183" s="738" t="str">
        <f t="shared" si="172"/>
        <v>Ud</v>
      </c>
      <c r="U2183" s="738"/>
    </row>
    <row r="2184" spans="1:27" s="289" customFormat="1" x14ac:dyDescent="0.2">
      <c r="A2184" s="899"/>
      <c r="B2184" s="353"/>
      <c r="C2184" s="354" t="s">
        <v>2</v>
      </c>
      <c r="D2184" s="355"/>
      <c r="E2184" s="352"/>
      <c r="F2184" s="356"/>
      <c r="G2184" s="355"/>
      <c r="H2184" s="356"/>
      <c r="I2184" s="356"/>
      <c r="J2184" s="353"/>
      <c r="K2184" s="357"/>
      <c r="L2184" s="358"/>
      <c r="M2184" s="359"/>
      <c r="N2184" s="360">
        <f>SUM(N2183:N2183)</f>
        <v>1</v>
      </c>
      <c r="O2184" s="361" t="str">
        <f>IF(MID(B2182,1,2)="LG",VLOOKUP(B2182,'Compos lug'!J:M,4,FALSE),IF(MID(B2182,1,1)="6",VLOOKUP(B2182,tranp.!$A$6:$K$51,3,FALSE),VLOOKUP(B2182,'DER 10-18'!$A$1:$I$1981,3,FALSE)))</f>
        <v>Ud</v>
      </c>
      <c r="P2184" s="362"/>
      <c r="Q2184" s="362"/>
      <c r="R2184" s="900"/>
      <c r="S2184" s="738">
        <f t="shared" si="171"/>
        <v>120</v>
      </c>
      <c r="T2184" s="738" t="str">
        <f t="shared" si="172"/>
        <v>M3</v>
      </c>
      <c r="U2184" s="738"/>
      <c r="W2184" s="712"/>
      <c r="X2184" s="712"/>
      <c r="Y2184" s="712"/>
      <c r="Z2184" s="712"/>
      <c r="AA2184" s="712"/>
    </row>
    <row r="2185" spans="1:27" x14ac:dyDescent="0.2">
      <c r="A2185" s="294"/>
      <c r="B2185" s="293"/>
      <c r="C2185" s="343"/>
      <c r="H2185" s="292"/>
      <c r="N2185" s="314"/>
      <c r="O2185" s="344"/>
      <c r="P2185" s="315"/>
      <c r="Q2185" s="315"/>
      <c r="R2185" s="903"/>
      <c r="S2185" s="738">
        <f t="shared" si="171"/>
        <v>120</v>
      </c>
      <c r="T2185" s="738" t="str">
        <f t="shared" si="172"/>
        <v>M3</v>
      </c>
      <c r="U2185" s="738"/>
    </row>
    <row r="2186" spans="1:27" x14ac:dyDescent="0.2">
      <c r="A2186" s="895" t="s">
        <v>1490</v>
      </c>
      <c r="B2186" s="346">
        <v>41556</v>
      </c>
      <c r="C2186" s="347" t="str">
        <f>IF(MID(B2186,1,2)="LG",VLOOKUP(B2186,'Compos lug'!J:M,3,FALSE),IF(MID(B2186,1,1)="6",VLOOKUP(B2186,tranp.!$A$4:$K$19,11,FALSE)&amp;" -  XP="&amp;TEXT(T2313,"0.000")&amp;" / XR="&amp;TEXT(V2313,"0.000"),VLOOKUP(B2186,'DER 10-18'!$A$1:$I$1981,2,FALSE)))</f>
        <v>Pó de pedra inclusive fornecimento, espalhamento e transporte</v>
      </c>
      <c r="D2186" s="1059" t="s">
        <v>7</v>
      </c>
      <c r="E2186" s="1060"/>
      <c r="F2186" s="1061"/>
      <c r="G2186" s="870"/>
      <c r="H2186" s="871"/>
      <c r="I2186" s="406"/>
      <c r="J2186" s="349" t="s">
        <v>989</v>
      </c>
      <c r="K2186" s="884"/>
      <c r="L2186" s="876" t="s">
        <v>990</v>
      </c>
      <c r="M2186" s="885" t="s">
        <v>991</v>
      </c>
      <c r="N2186" s="876" t="str">
        <f>CONCATENATE("Total (",IF(MID(B2186,1,2)="LG",VLOOKUP(B2186,'Compos lug'!J:M,4,FALSE),IF(MID(B2186,1,1)="6","t",VLOOKUP(B2186,'DER 10-18'!$A$1:$I$1981,3,FALSE))),")")</f>
        <v>Total (M3)</v>
      </c>
      <c r="O2186" s="351"/>
      <c r="P2186" s="880"/>
      <c r="Q2186" s="880"/>
      <c r="R2186" s="902"/>
      <c r="S2186" s="738">
        <f t="shared" si="171"/>
        <v>120</v>
      </c>
      <c r="T2186" s="738" t="str">
        <f t="shared" si="172"/>
        <v>M3</v>
      </c>
      <c r="U2186" s="738"/>
    </row>
    <row r="2187" spans="1:27" x14ac:dyDescent="0.2">
      <c r="A2187" s="294"/>
      <c r="B2187" s="293"/>
      <c r="C2187" s="348" t="s">
        <v>1226</v>
      </c>
      <c r="D2187" s="405">
        <v>107</v>
      </c>
      <c r="E2187" s="871" t="s">
        <v>8</v>
      </c>
      <c r="F2187" s="424">
        <v>0</v>
      </c>
      <c r="G2187" s="425"/>
      <c r="H2187" s="871"/>
      <c r="I2187" s="406"/>
      <c r="J2187" s="349" t="s">
        <v>1102</v>
      </c>
      <c r="K2187" s="350"/>
      <c r="L2187" s="298">
        <v>2400</v>
      </c>
      <c r="M2187" s="299">
        <v>0.05</v>
      </c>
      <c r="N2187" s="876">
        <f>L2187*M2187</f>
        <v>120</v>
      </c>
      <c r="O2187" s="351"/>
      <c r="P2187" s="880"/>
      <c r="Q2187" s="880"/>
      <c r="R2187" s="898"/>
      <c r="S2187" s="738">
        <f t="shared" si="171"/>
        <v>120</v>
      </c>
      <c r="T2187" s="738" t="str">
        <f t="shared" si="172"/>
        <v>M3</v>
      </c>
      <c r="U2187" s="738"/>
    </row>
    <row r="2188" spans="1:27" s="289" customFormat="1" x14ac:dyDescent="0.2">
      <c r="A2188" s="899"/>
      <c r="B2188" s="353"/>
      <c r="C2188" s="354" t="s">
        <v>2</v>
      </c>
      <c r="D2188" s="355"/>
      <c r="E2188" s="352"/>
      <c r="F2188" s="356"/>
      <c r="G2188" s="355"/>
      <c r="H2188" s="356"/>
      <c r="I2188" s="356"/>
      <c r="J2188" s="353"/>
      <c r="K2188" s="357"/>
      <c r="L2188" s="358"/>
      <c r="M2188" s="359"/>
      <c r="N2188" s="360">
        <f>SUM(N2187:N2187)</f>
        <v>120</v>
      </c>
      <c r="O2188" s="361" t="str">
        <f>IF(MID(B2186,1,2)="LG",VLOOKUP(B2186,'Compos lug'!J:M,4,FALSE),IF(MID(B2186,1,1)="6",VLOOKUP(B2186,tranp.!$A$6:$K$51,3,FALSE),VLOOKUP(B2186,'DER 10-18'!$A$1:$I$1981,3,FALSE)))</f>
        <v>M3</v>
      </c>
      <c r="P2188" s="362"/>
      <c r="Q2188" s="362"/>
      <c r="R2188" s="900"/>
      <c r="S2188" s="738">
        <f t="shared" si="171"/>
        <v>90</v>
      </c>
      <c r="T2188" s="738" t="str">
        <f t="shared" si="172"/>
        <v>M2</v>
      </c>
      <c r="U2188" s="738"/>
      <c r="W2188" s="712"/>
      <c r="X2188" s="712"/>
      <c r="Y2188" s="712"/>
      <c r="Z2188" s="712"/>
      <c r="AA2188" s="712"/>
    </row>
    <row r="2189" spans="1:27" x14ac:dyDescent="0.2">
      <c r="A2189" s="294"/>
      <c r="B2189" s="293"/>
      <c r="C2189" s="343"/>
      <c r="H2189" s="292"/>
      <c r="N2189" s="314"/>
      <c r="O2189" s="344"/>
      <c r="P2189" s="315"/>
      <c r="Q2189" s="315"/>
      <c r="R2189" s="903"/>
      <c r="S2189" s="738">
        <f t="shared" si="171"/>
        <v>90</v>
      </c>
      <c r="T2189" s="738" t="str">
        <f t="shared" si="172"/>
        <v>M2</v>
      </c>
      <c r="U2189" s="738"/>
    </row>
    <row r="2190" spans="1:27" ht="38.25" x14ac:dyDescent="0.2">
      <c r="A2190" s="895" t="s">
        <v>1493</v>
      </c>
      <c r="B2190" s="346">
        <v>40915</v>
      </c>
      <c r="C2190" s="347" t="str">
        <f>IF(MID(B2190,1,2)="LG",VLOOKUP(B2190,'Compos lug'!J:M,3,FALSE),IF(MID(B2190,1,1)="6",VLOOKUP(B2190,tranp.!$A$4:$K$19,11,FALSE)&amp;" -  XP="&amp;TEXT(T2317,"0.000")&amp;" / XR="&amp;TEXT(V2317,"0.000"),VLOOKUP(B2190,'DER 10-18'!$A$1:$I$1981,2,FALSE)))</f>
        <v>Calçada de concreto fck=15 MP, camurçado c/ argam. cimento e areia 1:4, lastro de brita e 8 cm de concreto, incl. preparo da caixa e transp. da brita</v>
      </c>
      <c r="D2190" s="1059" t="s">
        <v>7</v>
      </c>
      <c r="E2190" s="1060"/>
      <c r="F2190" s="1061"/>
      <c r="G2190" s="870"/>
      <c r="H2190" s="871"/>
      <c r="I2190" s="406"/>
      <c r="J2190" s="349" t="s">
        <v>989</v>
      </c>
      <c r="K2190" s="884"/>
      <c r="L2190" s="876" t="s">
        <v>990</v>
      </c>
      <c r="M2190" s="885"/>
      <c r="N2190" s="876" t="str">
        <f>CONCATENATE("Total (",IF(MID(B2190,1,2)="LG",VLOOKUP(B2190,'Compos lug'!J:M,4,FALSE),IF(MID(B2190,1,1)="6","t",VLOOKUP(B2190,'DER 10-18'!$A$1:$I$1981,3,FALSE))),")")</f>
        <v>Total (M2)</v>
      </c>
      <c r="O2190" s="351"/>
      <c r="P2190" s="880"/>
      <c r="Q2190" s="880"/>
      <c r="R2190" s="902"/>
      <c r="S2190" s="738">
        <f t="shared" si="171"/>
        <v>90</v>
      </c>
      <c r="T2190" s="738" t="str">
        <f t="shared" si="172"/>
        <v>M2</v>
      </c>
      <c r="U2190" s="738"/>
    </row>
    <row r="2191" spans="1:27" x14ac:dyDescent="0.2">
      <c r="A2191" s="294"/>
      <c r="B2191" s="293"/>
      <c r="C2191" s="348" t="s">
        <v>1226</v>
      </c>
      <c r="D2191" s="405">
        <v>107</v>
      </c>
      <c r="E2191" s="871" t="s">
        <v>8</v>
      </c>
      <c r="F2191" s="424">
        <v>0</v>
      </c>
      <c r="G2191" s="425"/>
      <c r="H2191" s="871"/>
      <c r="I2191" s="406"/>
      <c r="J2191" s="349" t="s">
        <v>1102</v>
      </c>
      <c r="K2191" s="350"/>
      <c r="L2191" s="298">
        <v>90</v>
      </c>
      <c r="N2191" s="876">
        <f>L2191</f>
        <v>90</v>
      </c>
      <c r="O2191" s="351"/>
      <c r="P2191" s="880"/>
      <c r="Q2191" s="880"/>
      <c r="R2191" s="898"/>
      <c r="S2191" s="738">
        <f t="shared" si="171"/>
        <v>90</v>
      </c>
      <c r="T2191" s="738" t="str">
        <f t="shared" si="172"/>
        <v>M2</v>
      </c>
      <c r="U2191" s="738"/>
    </row>
    <row r="2192" spans="1:27" s="289" customFormat="1" x14ac:dyDescent="0.2">
      <c r="A2192" s="899"/>
      <c r="B2192" s="353"/>
      <c r="C2192" s="354" t="s">
        <v>2</v>
      </c>
      <c r="D2192" s="355"/>
      <c r="E2192" s="352"/>
      <c r="F2192" s="356"/>
      <c r="G2192" s="355"/>
      <c r="H2192" s="356"/>
      <c r="I2192" s="356"/>
      <c r="J2192" s="353"/>
      <c r="K2192" s="357"/>
      <c r="L2192" s="358"/>
      <c r="M2192" s="359"/>
      <c r="N2192" s="360">
        <f>SUM(N2191:N2191)</f>
        <v>90</v>
      </c>
      <c r="O2192" s="361" t="str">
        <f>IF(MID(B2190,1,2)="LG",VLOOKUP(B2190,'Compos lug'!J:M,4,FALSE),IF(MID(B2190,1,1)="6",VLOOKUP(B2190,tranp.!$A$6:$K$51,3,FALSE),VLOOKUP(B2190,'DER 10-18'!$A$1:$I$1981,3,FALSE)))</f>
        <v>M2</v>
      </c>
      <c r="P2192" s="362"/>
      <c r="Q2192" s="362"/>
      <c r="R2192" s="900"/>
      <c r="S2192" s="738">
        <f t="shared" si="171"/>
        <v>220</v>
      </c>
      <c r="T2192" s="738" t="str">
        <f t="shared" si="172"/>
        <v>M</v>
      </c>
      <c r="U2192" s="738"/>
      <c r="W2192" s="712"/>
      <c r="X2192" s="712"/>
      <c r="Y2192" s="712"/>
      <c r="Z2192" s="712"/>
      <c r="AA2192" s="712"/>
    </row>
    <row r="2193" spans="1:27" x14ac:dyDescent="0.2">
      <c r="A2193" s="906"/>
      <c r="B2193" s="394"/>
      <c r="C2193" s="395"/>
      <c r="D2193" s="396"/>
      <c r="E2193" s="397"/>
      <c r="F2193" s="398"/>
      <c r="G2193" s="396"/>
      <c r="H2193" s="397"/>
      <c r="I2193" s="398"/>
      <c r="J2193" s="399"/>
      <c r="K2193" s="400"/>
      <c r="L2193" s="401"/>
      <c r="M2193" s="402"/>
      <c r="N2193" s="401"/>
      <c r="O2193" s="399"/>
      <c r="P2193" s="403"/>
      <c r="Q2193" s="403"/>
      <c r="R2193" s="907"/>
      <c r="S2193" s="738">
        <f t="shared" si="171"/>
        <v>220</v>
      </c>
      <c r="T2193" s="738" t="str">
        <f t="shared" si="172"/>
        <v>M</v>
      </c>
      <c r="U2193" s="738"/>
    </row>
    <row r="2194" spans="1:27" x14ac:dyDescent="0.2">
      <c r="A2194" s="294"/>
      <c r="B2194" s="293"/>
      <c r="C2194" s="343"/>
      <c r="H2194" s="292"/>
      <c r="N2194" s="314"/>
      <c r="O2194" s="344"/>
      <c r="P2194" s="315"/>
      <c r="Q2194" s="315"/>
      <c r="R2194" s="903"/>
      <c r="S2194" s="738">
        <f t="shared" ref="S2194:S2257" si="173">VLOOKUP("Total",C2195:O3931,12,FALSE)</f>
        <v>220</v>
      </c>
      <c r="T2194" s="738" t="str">
        <f t="shared" ref="T2194:T2257" si="174">VLOOKUP("Total",C2195:O3931,13,FALSE)</f>
        <v>M</v>
      </c>
      <c r="U2194" s="738"/>
    </row>
    <row r="2195" spans="1:27" ht="38.25" x14ac:dyDescent="0.2">
      <c r="A2195" s="895" t="s">
        <v>1504</v>
      </c>
      <c r="B2195" s="346">
        <v>40901</v>
      </c>
      <c r="C2195" s="347" t="str">
        <f>IF(MID(B2195,1,2)="LG",VLOOKUP(B2195,'Compos lug'!J:M,3,FALSE),IF(MID(B2195,1,1)="6",VLOOKUP(B2195,tranp.!$A$4:$K$19,11,FALSE)&amp;" -  XP="&amp;TEXT(T2322,"0.000")&amp;" / XR="&amp;TEXT(V2322,"0.000"),VLOOKUP(B2195,'DER 10-18'!$A$1:$I$1981,2,FALSE)))</f>
        <v>Cerca de arame liso 4 fios com mourões cada 2,0 m, esticadores de madeira, a cada 20,0 m, inclusive transporte de mourão e arame liso</v>
      </c>
      <c r="D2195" s="1059" t="s">
        <v>7</v>
      </c>
      <c r="E2195" s="1060"/>
      <c r="F2195" s="1061"/>
      <c r="G2195" s="870"/>
      <c r="H2195" s="871"/>
      <c r="I2195" s="406"/>
      <c r="J2195" s="349" t="s">
        <v>989</v>
      </c>
      <c r="K2195" s="884"/>
      <c r="L2195" s="876" t="s">
        <v>1076</v>
      </c>
      <c r="M2195" s="885"/>
      <c r="N2195" s="876" t="str">
        <f>CONCATENATE("Total (",IF(MID(B2195,1,2)="LG",VLOOKUP(B2195,'Compos lug'!J:M,4,FALSE),IF(MID(B2195,1,1)="6","t",VLOOKUP(B2195,'DER 10-18'!$A$1:$I$1981,3,FALSE))),")")</f>
        <v>Total (M)</v>
      </c>
      <c r="O2195" s="351"/>
      <c r="P2195" s="880"/>
      <c r="Q2195" s="880"/>
      <c r="R2195" s="902"/>
      <c r="S2195" s="738">
        <f t="shared" si="173"/>
        <v>220</v>
      </c>
      <c r="T2195" s="738" t="str">
        <f t="shared" si="174"/>
        <v>M</v>
      </c>
      <c r="U2195" s="738"/>
    </row>
    <row r="2196" spans="1:27" x14ac:dyDescent="0.2">
      <c r="A2196" s="294"/>
      <c r="B2196" s="293"/>
      <c r="C2196" s="348" t="s">
        <v>1226</v>
      </c>
      <c r="D2196" s="405">
        <v>107</v>
      </c>
      <c r="E2196" s="871" t="s">
        <v>8</v>
      </c>
      <c r="F2196" s="424">
        <v>0</v>
      </c>
      <c r="G2196" s="425"/>
      <c r="H2196" s="871"/>
      <c r="I2196" s="406"/>
      <c r="J2196" s="349" t="s">
        <v>1102</v>
      </c>
      <c r="K2196" s="350"/>
      <c r="L2196" s="298">
        <v>220</v>
      </c>
      <c r="N2196" s="876">
        <f>L2196</f>
        <v>220</v>
      </c>
      <c r="O2196" s="351"/>
      <c r="P2196" s="880"/>
      <c r="Q2196" s="880"/>
      <c r="R2196" s="898"/>
      <c r="S2196" s="738">
        <f t="shared" si="173"/>
        <v>220</v>
      </c>
      <c r="T2196" s="738" t="str">
        <f t="shared" si="174"/>
        <v>M</v>
      </c>
      <c r="U2196" s="738"/>
    </row>
    <row r="2197" spans="1:27" s="289" customFormat="1" x14ac:dyDescent="0.2">
      <c r="A2197" s="899"/>
      <c r="B2197" s="353"/>
      <c r="C2197" s="354" t="s">
        <v>2</v>
      </c>
      <c r="D2197" s="355"/>
      <c r="E2197" s="352"/>
      <c r="F2197" s="356"/>
      <c r="G2197" s="355"/>
      <c r="H2197" s="356"/>
      <c r="I2197" s="356"/>
      <c r="J2197" s="353"/>
      <c r="K2197" s="357"/>
      <c r="L2197" s="358"/>
      <c r="M2197" s="359"/>
      <c r="N2197" s="360">
        <f>SUM(N2196:N2196)</f>
        <v>220</v>
      </c>
      <c r="O2197" s="361" t="str">
        <f>IF(MID(B2195,1,2)="LG",VLOOKUP(B2195,'Compos lug'!J:M,4,FALSE),IF(MID(B2195,1,1)="6",VLOOKUP(B2195,tranp.!$A$6:$K$51,3,FALSE),VLOOKUP(B2195,'DER 10-18'!$A$1:$I$1981,3,FALSE)))</f>
        <v>M</v>
      </c>
      <c r="P2197" s="362"/>
      <c r="Q2197" s="362"/>
      <c r="R2197" s="900"/>
      <c r="S2197" s="738">
        <f t="shared" si="173"/>
        <v>1</v>
      </c>
      <c r="T2197" s="738" t="str">
        <f t="shared" si="174"/>
        <v>Ud</v>
      </c>
      <c r="U2197" s="738"/>
      <c r="W2197" s="712"/>
      <c r="X2197" s="712"/>
      <c r="Y2197" s="712"/>
      <c r="Z2197" s="712"/>
      <c r="AA2197" s="712"/>
    </row>
    <row r="2198" spans="1:27" x14ac:dyDescent="0.2">
      <c r="A2198" s="906"/>
      <c r="B2198" s="394"/>
      <c r="C2198" s="395"/>
      <c r="D2198" s="396"/>
      <c r="E2198" s="397"/>
      <c r="F2198" s="398"/>
      <c r="G2198" s="396"/>
      <c r="H2198" s="397"/>
      <c r="I2198" s="398"/>
      <c r="J2198" s="399"/>
      <c r="K2198" s="400"/>
      <c r="L2198" s="401"/>
      <c r="M2198" s="402"/>
      <c r="N2198" s="401"/>
      <c r="O2198" s="399"/>
      <c r="P2198" s="403"/>
      <c r="Q2198" s="403"/>
      <c r="R2198" s="907"/>
      <c r="S2198" s="738">
        <f t="shared" si="173"/>
        <v>1</v>
      </c>
      <c r="T2198" s="738" t="str">
        <f t="shared" si="174"/>
        <v>Ud</v>
      </c>
      <c r="U2198" s="738"/>
    </row>
    <row r="2199" spans="1:27" x14ac:dyDescent="0.2">
      <c r="A2199" s="294"/>
      <c r="B2199" s="293"/>
      <c r="C2199" s="343"/>
      <c r="H2199" s="292"/>
      <c r="N2199" s="314"/>
      <c r="O2199" s="344"/>
      <c r="P2199" s="315"/>
      <c r="Q2199" s="315"/>
      <c r="R2199" s="903"/>
      <c r="S2199" s="738">
        <f t="shared" si="173"/>
        <v>1</v>
      </c>
      <c r="T2199" s="738" t="str">
        <f t="shared" si="174"/>
        <v>Ud</v>
      </c>
      <c r="U2199" s="738"/>
    </row>
    <row r="2200" spans="1:27" x14ac:dyDescent="0.2">
      <c r="A2200" s="895" t="s">
        <v>1505</v>
      </c>
      <c r="B2200" s="346">
        <v>41555</v>
      </c>
      <c r="C2200" s="347" t="str">
        <f>IF(MID(B2200,1,2)="LG",VLOOKUP(B2200,'Compos lug'!J:M,3,FALSE),IF(MID(B2200,1,1)="6",VLOOKUP(B2200,tranp.!$A$4:$K$19,11,FALSE)&amp;" -  XP="&amp;TEXT(T2327,"0.000")&amp;" / XR="&amp;TEXT(V2327,"0.000"),VLOOKUP(B2200,'DER 10-18'!$A$1:$I$1981,2,FALSE)))</f>
        <v>Sistema separador de água e óleo</v>
      </c>
      <c r="D2200" s="1059" t="s">
        <v>7</v>
      </c>
      <c r="E2200" s="1060"/>
      <c r="F2200" s="1061"/>
      <c r="G2200" s="870"/>
      <c r="H2200" s="871"/>
      <c r="I2200" s="406"/>
      <c r="J2200" s="349" t="s">
        <v>989</v>
      </c>
      <c r="K2200" s="884"/>
      <c r="L2200" s="876" t="s">
        <v>1077</v>
      </c>
      <c r="M2200" s="885"/>
      <c r="N2200" s="876" t="str">
        <f>CONCATENATE("Total (",IF(MID(B2200,1,2)="LG",VLOOKUP(B2200,'Compos lug'!J:M,4,FALSE),IF(MID(B2200,1,1)="6","t",VLOOKUP(B2200,'DER 10-18'!$A$1:$I$1981,3,FALSE))),")")</f>
        <v>Total (Ud)</v>
      </c>
      <c r="O2200" s="351"/>
      <c r="P2200" s="880"/>
      <c r="Q2200" s="880"/>
      <c r="R2200" s="902"/>
      <c r="S2200" s="738">
        <f t="shared" si="173"/>
        <v>1</v>
      </c>
      <c r="T2200" s="738" t="str">
        <f t="shared" si="174"/>
        <v>Ud</v>
      </c>
      <c r="U2200" s="738"/>
    </row>
    <row r="2201" spans="1:27" x14ac:dyDescent="0.2">
      <c r="A2201" s="294"/>
      <c r="B2201" s="293"/>
      <c r="C2201" s="348" t="s">
        <v>1226</v>
      </c>
      <c r="D2201" s="405">
        <v>107</v>
      </c>
      <c r="E2201" s="871" t="s">
        <v>8</v>
      </c>
      <c r="F2201" s="424">
        <v>0</v>
      </c>
      <c r="G2201" s="425"/>
      <c r="H2201" s="871"/>
      <c r="I2201" s="406"/>
      <c r="J2201" s="349" t="s">
        <v>1102</v>
      </c>
      <c r="K2201" s="350"/>
      <c r="L2201" s="298">
        <v>1</v>
      </c>
      <c r="N2201" s="876">
        <f>L2201</f>
        <v>1</v>
      </c>
      <c r="O2201" s="351"/>
      <c r="P2201" s="880"/>
      <c r="Q2201" s="880"/>
      <c r="R2201" s="898"/>
      <c r="S2201" s="738">
        <f t="shared" si="173"/>
        <v>1</v>
      </c>
      <c r="T2201" s="738" t="str">
        <f t="shared" si="174"/>
        <v>Ud</v>
      </c>
      <c r="U2201" s="738"/>
    </row>
    <row r="2202" spans="1:27" s="289" customFormat="1" x14ac:dyDescent="0.2">
      <c r="A2202" s="899"/>
      <c r="B2202" s="353"/>
      <c r="C2202" s="354" t="s">
        <v>2</v>
      </c>
      <c r="D2202" s="355"/>
      <c r="E2202" s="352"/>
      <c r="F2202" s="356"/>
      <c r="G2202" s="355"/>
      <c r="H2202" s="356"/>
      <c r="I2202" s="356"/>
      <c r="J2202" s="353"/>
      <c r="K2202" s="357"/>
      <c r="L2202" s="358"/>
      <c r="M2202" s="359"/>
      <c r="N2202" s="360">
        <f>SUM(N2201:N2201)</f>
        <v>1</v>
      </c>
      <c r="O2202" s="361" t="str">
        <f>IF(MID(B2200,1,2)="LG",VLOOKUP(B2200,'Compos lug'!J:M,4,FALSE),IF(MID(B2200,1,1)="6",VLOOKUP(B2200,tranp.!$A$6:$K$51,3,FALSE),VLOOKUP(B2200,'DER 10-18'!$A$1:$I$1981,3,FALSE)))</f>
        <v>Ud</v>
      </c>
      <c r="P2202" s="362"/>
      <c r="Q2202" s="362"/>
      <c r="R2202" s="900"/>
      <c r="S2202" s="738">
        <f t="shared" si="173"/>
        <v>223</v>
      </c>
      <c r="T2202" s="738" t="str">
        <f t="shared" si="174"/>
        <v>M2</v>
      </c>
      <c r="U2202" s="738"/>
      <c r="W2202" s="712"/>
      <c r="X2202" s="712"/>
      <c r="Y2202" s="712"/>
      <c r="Z2202" s="712"/>
      <c r="AA2202" s="712"/>
    </row>
    <row r="2203" spans="1:27" x14ac:dyDescent="0.2">
      <c r="A2203" s="906"/>
      <c r="B2203" s="394"/>
      <c r="C2203" s="395"/>
      <c r="D2203" s="396"/>
      <c r="E2203" s="397"/>
      <c r="F2203" s="398"/>
      <c r="G2203" s="396"/>
      <c r="H2203" s="397"/>
      <c r="I2203" s="398"/>
      <c r="J2203" s="399"/>
      <c r="K2203" s="400"/>
      <c r="L2203" s="401"/>
      <c r="M2203" s="402"/>
      <c r="N2203" s="401"/>
      <c r="O2203" s="399"/>
      <c r="P2203" s="403"/>
      <c r="Q2203" s="403"/>
      <c r="R2203" s="907"/>
      <c r="S2203" s="738">
        <f t="shared" si="173"/>
        <v>223</v>
      </c>
      <c r="T2203" s="738" t="str">
        <f t="shared" si="174"/>
        <v>M2</v>
      </c>
      <c r="U2203" s="738"/>
    </row>
    <row r="2204" spans="1:27" x14ac:dyDescent="0.2">
      <c r="A2204" s="930" t="s">
        <v>1042</v>
      </c>
      <c r="B2204" s="394"/>
      <c r="C2204" s="739" t="s">
        <v>997</v>
      </c>
      <c r="D2204" s="396"/>
      <c r="E2204" s="397"/>
      <c r="F2204" s="398"/>
      <c r="G2204" s="396"/>
      <c r="H2204" s="397"/>
      <c r="I2204" s="398"/>
      <c r="J2204" s="399"/>
      <c r="K2204" s="400"/>
      <c r="L2204" s="401"/>
      <c r="M2204" s="402"/>
      <c r="N2204" s="401"/>
      <c r="O2204" s="399"/>
      <c r="P2204" s="403"/>
      <c r="Q2204" s="403"/>
      <c r="R2204" s="907"/>
      <c r="S2204" s="738">
        <f t="shared" si="173"/>
        <v>223</v>
      </c>
      <c r="T2204" s="738" t="str">
        <f t="shared" si="174"/>
        <v>M2</v>
      </c>
      <c r="U2204" s="738"/>
    </row>
    <row r="2205" spans="1:27" ht="38.25" x14ac:dyDescent="0.2">
      <c r="A2205" s="895" t="s">
        <v>1043</v>
      </c>
      <c r="B2205" s="346">
        <v>41528</v>
      </c>
      <c r="C2205" s="347" t="str">
        <f>IF(MID(B2205,1,2)="LG",VLOOKUP(B2205,'Compos lug'!J:M,3,FALSE),IF(MID(B2205,1,1)="6",VLOOKUP(B2205,tranp.!$A$4:$K$19,11,FALSE)&amp;" -  XP="&amp;TEXT(T2338,"0.000")&amp;" / XR="&amp;TEXT(V2338,"0.000"),VLOOKUP(B2205,'DER 10-18'!$A$1:$I$1981,2,FALSE)))</f>
        <v>Galpão em peças de madeira 8x8cm e contravent. de 5x7cm, cobertura de telhas de fibroc. de 6mm, incl. ponto e cabo de alimentação da máquina</v>
      </c>
      <c r="D2205" s="1059" t="s">
        <v>7</v>
      </c>
      <c r="E2205" s="1060"/>
      <c r="F2205" s="1061"/>
      <c r="G2205" s="870"/>
      <c r="H2205" s="871"/>
      <c r="I2205" s="406"/>
      <c r="J2205" s="349" t="s">
        <v>989</v>
      </c>
      <c r="K2205" s="884"/>
      <c r="L2205" s="876" t="s">
        <v>990</v>
      </c>
      <c r="M2205" s="885"/>
      <c r="N2205" s="876" t="str">
        <f>CONCATENATE("Total (",IF(MID(B2205,1,2)="LG",VLOOKUP(B2205,'Compos lug'!J:M,4,FALSE),IF(MID(B2205,1,1)="6","t",VLOOKUP(B2205,'DER 10-18'!$A$1:$I$1981,3,FALSE))),")")</f>
        <v>Total (M2)</v>
      </c>
      <c r="O2205" s="351"/>
      <c r="P2205" s="880"/>
      <c r="Q2205" s="880"/>
      <c r="R2205" s="902"/>
      <c r="S2205" s="738">
        <f t="shared" si="173"/>
        <v>223</v>
      </c>
      <c r="T2205" s="738" t="str">
        <f t="shared" si="174"/>
        <v>M2</v>
      </c>
      <c r="U2205" s="738"/>
    </row>
    <row r="2206" spans="1:27" x14ac:dyDescent="0.2">
      <c r="A2206" s="895"/>
      <c r="B2206" s="346"/>
      <c r="C2206" s="427" t="s">
        <v>1072</v>
      </c>
      <c r="D2206" s="405">
        <v>107</v>
      </c>
      <c r="E2206" s="871" t="s">
        <v>8</v>
      </c>
      <c r="F2206" s="424">
        <v>0</v>
      </c>
      <c r="G2206" s="425"/>
      <c r="H2206" s="871"/>
      <c r="I2206" s="406"/>
      <c r="J2206" s="349" t="s">
        <v>1102</v>
      </c>
      <c r="K2206" s="350"/>
      <c r="L2206" s="298">
        <v>25</v>
      </c>
      <c r="N2206" s="876">
        <v>30</v>
      </c>
      <c r="O2206" s="351"/>
      <c r="P2206" s="880"/>
      <c r="Q2206" s="880"/>
      <c r="R2206" s="902"/>
      <c r="S2206" s="738">
        <f t="shared" si="173"/>
        <v>223</v>
      </c>
      <c r="T2206" s="738" t="str">
        <f t="shared" si="174"/>
        <v>M2</v>
      </c>
      <c r="U2206" s="738"/>
    </row>
    <row r="2207" spans="1:27" x14ac:dyDescent="0.2">
      <c r="A2207" s="895"/>
      <c r="B2207" s="346"/>
      <c r="C2207" s="427" t="s">
        <v>1073</v>
      </c>
      <c r="D2207" s="405">
        <v>107</v>
      </c>
      <c r="E2207" s="871" t="s">
        <v>8</v>
      </c>
      <c r="F2207" s="424">
        <v>0</v>
      </c>
      <c r="G2207" s="425"/>
      <c r="H2207" s="871"/>
      <c r="I2207" s="406"/>
      <c r="J2207" s="349" t="s">
        <v>1102</v>
      </c>
      <c r="K2207" s="350"/>
      <c r="L2207" s="298">
        <v>40</v>
      </c>
      <c r="N2207" s="876">
        <v>50</v>
      </c>
      <c r="O2207" s="351"/>
      <c r="P2207" s="880"/>
      <c r="Q2207" s="880"/>
      <c r="R2207" s="902"/>
      <c r="S2207" s="738">
        <f t="shared" si="173"/>
        <v>223</v>
      </c>
      <c r="T2207" s="738" t="str">
        <f t="shared" si="174"/>
        <v>M2</v>
      </c>
      <c r="U2207" s="738"/>
    </row>
    <row r="2208" spans="1:27" x14ac:dyDescent="0.2">
      <c r="A2208" s="895"/>
      <c r="B2208" s="346"/>
      <c r="C2208" s="427" t="s">
        <v>1074</v>
      </c>
      <c r="D2208" s="405">
        <v>107</v>
      </c>
      <c r="E2208" s="871" t="s">
        <v>8</v>
      </c>
      <c r="F2208" s="424">
        <v>0</v>
      </c>
      <c r="G2208" s="425"/>
      <c r="H2208" s="871"/>
      <c r="I2208" s="406"/>
      <c r="J2208" s="349" t="s">
        <v>1102</v>
      </c>
      <c r="K2208" s="350"/>
      <c r="L2208" s="298">
        <v>4</v>
      </c>
      <c r="N2208" s="876">
        <f t="shared" ref="N2208" si="175">+L2208</f>
        <v>4</v>
      </c>
      <c r="O2208" s="351"/>
      <c r="P2208" s="880"/>
      <c r="Q2208" s="880"/>
      <c r="R2208" s="902"/>
      <c r="S2208" s="738">
        <f t="shared" si="173"/>
        <v>223</v>
      </c>
      <c r="T2208" s="738" t="str">
        <f t="shared" si="174"/>
        <v>M2</v>
      </c>
      <c r="U2208" s="738"/>
    </row>
    <row r="2209" spans="1:27" x14ac:dyDescent="0.2">
      <c r="A2209" s="895"/>
      <c r="B2209" s="346"/>
      <c r="C2209" s="427" t="s">
        <v>1075</v>
      </c>
      <c r="D2209" s="405">
        <v>107</v>
      </c>
      <c r="E2209" s="871" t="s">
        <v>8</v>
      </c>
      <c r="F2209" s="424">
        <v>0</v>
      </c>
      <c r="G2209" s="425"/>
      <c r="H2209" s="871"/>
      <c r="I2209" s="406"/>
      <c r="J2209" s="349" t="s">
        <v>1102</v>
      </c>
      <c r="K2209" s="350"/>
      <c r="L2209" s="298">
        <v>36</v>
      </c>
      <c r="N2209" s="876">
        <v>40</v>
      </c>
      <c r="O2209" s="351"/>
      <c r="P2209" s="880"/>
      <c r="Q2209" s="880"/>
      <c r="R2209" s="902"/>
      <c r="S2209" s="738">
        <f t="shared" si="173"/>
        <v>223</v>
      </c>
      <c r="T2209" s="738" t="str">
        <f t="shared" si="174"/>
        <v>M2</v>
      </c>
      <c r="U2209" s="738"/>
    </row>
    <row r="2210" spans="1:27" x14ac:dyDescent="0.2">
      <c r="A2210" s="895"/>
      <c r="B2210" s="346"/>
      <c r="C2210" s="427" t="s">
        <v>1103</v>
      </c>
      <c r="D2210" s="405">
        <v>107</v>
      </c>
      <c r="E2210" s="871" t="s">
        <v>8</v>
      </c>
      <c r="F2210" s="424">
        <v>0</v>
      </c>
      <c r="G2210" s="425"/>
      <c r="H2210" s="871"/>
      <c r="I2210" s="406"/>
      <c r="J2210" s="349" t="s">
        <v>1102</v>
      </c>
      <c r="K2210" s="350"/>
      <c r="L2210" s="298">
        <v>20</v>
      </c>
      <c r="N2210" s="876">
        <v>25</v>
      </c>
      <c r="O2210" s="351"/>
      <c r="P2210" s="880"/>
      <c r="Q2210" s="880"/>
      <c r="R2210" s="902"/>
      <c r="S2210" s="738">
        <f t="shared" si="173"/>
        <v>223</v>
      </c>
      <c r="T2210" s="738" t="str">
        <f t="shared" si="174"/>
        <v>M2</v>
      </c>
      <c r="U2210" s="738"/>
    </row>
    <row r="2211" spans="1:27" x14ac:dyDescent="0.2">
      <c r="A2211" s="895"/>
      <c r="B2211" s="346"/>
      <c r="C2211" s="427" t="s">
        <v>1243</v>
      </c>
      <c r="D2211" s="405">
        <v>107</v>
      </c>
      <c r="E2211" s="871" t="s">
        <v>8</v>
      </c>
      <c r="F2211" s="424">
        <v>0</v>
      </c>
      <c r="G2211" s="425"/>
      <c r="H2211" s="871"/>
      <c r="I2211" s="406"/>
      <c r="J2211" s="349" t="s">
        <v>1102</v>
      </c>
      <c r="K2211" s="350"/>
      <c r="L2211" s="298">
        <v>9</v>
      </c>
      <c r="N2211" s="876">
        <f t="shared" ref="N2211" si="176">+L2211</f>
        <v>9</v>
      </c>
      <c r="O2211" s="351"/>
      <c r="P2211" s="880"/>
      <c r="Q2211" s="880"/>
      <c r="R2211" s="902"/>
      <c r="S2211" s="738">
        <f t="shared" si="173"/>
        <v>223</v>
      </c>
      <c r="T2211" s="738" t="str">
        <f t="shared" si="174"/>
        <v>M2</v>
      </c>
      <c r="U2211" s="738"/>
    </row>
    <row r="2212" spans="1:27" x14ac:dyDescent="0.2">
      <c r="A2212" s="895"/>
      <c r="B2212" s="346"/>
      <c r="C2212" s="427" t="s">
        <v>1070</v>
      </c>
      <c r="D2212" s="405">
        <v>107</v>
      </c>
      <c r="E2212" s="871" t="s">
        <v>8</v>
      </c>
      <c r="F2212" s="424">
        <v>0</v>
      </c>
      <c r="G2212" s="425"/>
      <c r="H2212" s="871"/>
      <c r="I2212" s="406"/>
      <c r="J2212" s="349" t="s">
        <v>1102</v>
      </c>
      <c r="K2212" s="350"/>
      <c r="L2212" s="298">
        <v>15</v>
      </c>
      <c r="N2212" s="876">
        <f>+L2212</f>
        <v>15</v>
      </c>
      <c r="O2212" s="351"/>
      <c r="P2212" s="880"/>
      <c r="Q2212" s="880"/>
      <c r="R2212" s="902"/>
      <c r="S2212" s="738">
        <f t="shared" si="173"/>
        <v>223</v>
      </c>
      <c r="T2212" s="738" t="str">
        <f t="shared" si="174"/>
        <v>M2</v>
      </c>
      <c r="U2212" s="738"/>
    </row>
    <row r="2213" spans="1:27" x14ac:dyDescent="0.2">
      <c r="A2213" s="895"/>
      <c r="B2213" s="346"/>
      <c r="C2213" s="427" t="s">
        <v>1071</v>
      </c>
      <c r="D2213" s="405">
        <v>107</v>
      </c>
      <c r="E2213" s="871" t="s">
        <v>8</v>
      </c>
      <c r="F2213" s="424">
        <v>0</v>
      </c>
      <c r="G2213" s="425"/>
      <c r="H2213" s="871"/>
      <c r="I2213" s="406"/>
      <c r="J2213" s="349" t="s">
        <v>1102</v>
      </c>
      <c r="K2213" s="350"/>
      <c r="L2213" s="298">
        <v>40</v>
      </c>
      <c r="N2213" s="876">
        <v>50</v>
      </c>
      <c r="O2213" s="351"/>
      <c r="P2213" s="880"/>
      <c r="Q2213" s="880"/>
      <c r="R2213" s="902"/>
      <c r="S2213" s="738">
        <f t="shared" si="173"/>
        <v>223</v>
      </c>
      <c r="T2213" s="738" t="str">
        <f t="shared" si="174"/>
        <v>M2</v>
      </c>
      <c r="U2213" s="738"/>
    </row>
    <row r="2214" spans="1:27" s="317" customFormat="1" x14ac:dyDescent="0.2">
      <c r="A2214" s="899"/>
      <c r="B2214" s="353"/>
      <c r="C2214" s="354" t="s">
        <v>2</v>
      </c>
      <c r="D2214" s="355"/>
      <c r="E2214" s="352"/>
      <c r="F2214" s="356"/>
      <c r="G2214" s="355"/>
      <c r="H2214" s="356"/>
      <c r="I2214" s="356"/>
      <c r="J2214" s="353"/>
      <c r="K2214" s="357"/>
      <c r="L2214" s="358"/>
      <c r="M2214" s="359"/>
      <c r="N2214" s="360">
        <f>SUM(N2206:N2213)</f>
        <v>223</v>
      </c>
      <c r="O2214" s="361" t="str">
        <f>IF(MID(B2205,1,2)="LG",VLOOKUP(B2205,'Compos lug'!J:M,4,FALSE),IF(MID(B2205,1,1)="6",VLOOKUP(B2205,tranp.!$A$6:$K$51,3,FALSE),VLOOKUP(B2205,'DER 10-18'!$A$1:$I$1981,3,FALSE)))</f>
        <v>M2</v>
      </c>
      <c r="P2214" s="362"/>
      <c r="Q2214" s="362"/>
      <c r="R2214" s="900"/>
      <c r="S2214" s="738">
        <f t="shared" si="173"/>
        <v>1</v>
      </c>
      <c r="T2214" s="738" t="str">
        <f t="shared" si="174"/>
        <v>Ud</v>
      </c>
      <c r="U2214" s="738"/>
      <c r="W2214" s="713"/>
      <c r="X2214" s="713"/>
      <c r="Y2214" s="713"/>
      <c r="Z2214" s="713"/>
      <c r="AA2214" s="713"/>
    </row>
    <row r="2215" spans="1:27" s="289" customFormat="1" x14ac:dyDescent="0.2">
      <c r="A2215" s="906"/>
      <c r="B2215" s="394"/>
      <c r="C2215" s="395"/>
      <c r="D2215" s="396"/>
      <c r="E2215" s="397"/>
      <c r="F2215" s="642"/>
      <c r="G2215" s="425"/>
      <c r="H2215" s="871"/>
      <c r="I2215" s="406"/>
      <c r="J2215" s="399"/>
      <c r="K2215" s="400"/>
      <c r="L2215" s="401"/>
      <c r="M2215" s="402"/>
      <c r="N2215" s="401"/>
      <c r="O2215" s="399"/>
      <c r="P2215" s="403"/>
      <c r="Q2215" s="403"/>
      <c r="R2215" s="907"/>
      <c r="S2215" s="738">
        <f t="shared" si="173"/>
        <v>1</v>
      </c>
      <c r="T2215" s="738" t="str">
        <f t="shared" si="174"/>
        <v>Ud</v>
      </c>
      <c r="U2215" s="738"/>
      <c r="W2215" s="712"/>
      <c r="X2215" s="712"/>
      <c r="Y2215" s="712"/>
      <c r="Z2215" s="712"/>
      <c r="AA2215" s="712"/>
    </row>
    <row r="2216" spans="1:27" ht="38.25" x14ac:dyDescent="0.2">
      <c r="A2216" s="895" t="s">
        <v>1044</v>
      </c>
      <c r="B2216" s="346">
        <v>41529</v>
      </c>
      <c r="C2216" s="347" t="str">
        <f>IF(MID(B2216,1,2)="LG",VLOOKUP(B2216,'Compos lug'!J:M,3,FALSE),IF(MID(B2216,1,1)="6",VLOOKUP(B2216,tranp.!$A$4:$K$19,11,FALSE)&amp;" -  XP="&amp;TEXT(T2337,"0.000")&amp;" / XR="&amp;TEXT(V2337,"0.000"),VLOOKUP(B2216,'DER 10-18'!$A$1:$I$1981,2,FALSE)))</f>
        <v>Sanitário e vestiário de 40/60 func., c/ 33,90m², paredes chapa compens. 12mm e pont. 8x8cm
, piso ciment., cobert. telha fibroc., incl. luz e cx. insp</v>
      </c>
      <c r="D2216" s="1059" t="s">
        <v>7</v>
      </c>
      <c r="E2216" s="1060"/>
      <c r="F2216" s="1061"/>
      <c r="G2216" s="425"/>
      <c r="H2216" s="871"/>
      <c r="I2216" s="406"/>
      <c r="J2216" s="349" t="s">
        <v>989</v>
      </c>
      <c r="K2216" s="884"/>
      <c r="L2216" s="876" t="s">
        <v>996</v>
      </c>
      <c r="M2216" s="885"/>
      <c r="N2216" s="876" t="str">
        <f>CONCATENATE("Total (",IF(MID(B2216,1,2)="LG",VLOOKUP(B2216,'Compos lug'!J:M,4,FALSE),IF(MID(B2216,1,1)="6","t",VLOOKUP(B2216,'DER 10-18'!$A$1:$I$1981,3,FALSE))),")")</f>
        <v>Total (Ud)</v>
      </c>
      <c r="O2216" s="351"/>
      <c r="P2216" s="880"/>
      <c r="Q2216" s="880"/>
      <c r="R2216" s="902"/>
      <c r="S2216" s="738">
        <f t="shared" si="173"/>
        <v>1</v>
      </c>
      <c r="T2216" s="738" t="str">
        <f t="shared" si="174"/>
        <v>Ud</v>
      </c>
      <c r="U2216" s="738"/>
    </row>
    <row r="2217" spans="1:27" x14ac:dyDescent="0.2">
      <c r="A2217" s="895"/>
      <c r="B2217" s="346"/>
      <c r="C2217" s="427" t="s">
        <v>1226</v>
      </c>
      <c r="D2217" s="405">
        <v>107</v>
      </c>
      <c r="E2217" s="871" t="s">
        <v>8</v>
      </c>
      <c r="F2217" s="424">
        <v>0</v>
      </c>
      <c r="G2217" s="425"/>
      <c r="H2217" s="871"/>
      <c r="I2217" s="406"/>
      <c r="J2217" s="349" t="s">
        <v>1102</v>
      </c>
      <c r="K2217" s="350"/>
      <c r="L2217" s="298">
        <v>1</v>
      </c>
      <c r="N2217" s="876">
        <f>L2217</f>
        <v>1</v>
      </c>
      <c r="O2217" s="351"/>
      <c r="P2217" s="880"/>
      <c r="Q2217" s="880"/>
      <c r="R2217" s="902"/>
      <c r="S2217" s="738">
        <f t="shared" si="173"/>
        <v>1</v>
      </c>
      <c r="T2217" s="738" t="str">
        <f t="shared" si="174"/>
        <v>Ud</v>
      </c>
      <c r="U2217" s="738"/>
    </row>
    <row r="2218" spans="1:27" x14ac:dyDescent="0.2">
      <c r="A2218" s="899"/>
      <c r="B2218" s="353"/>
      <c r="C2218" s="354" t="s">
        <v>2</v>
      </c>
      <c r="D2218" s="355"/>
      <c r="E2218" s="352"/>
      <c r="F2218" s="356"/>
      <c r="G2218" s="355"/>
      <c r="H2218" s="356"/>
      <c r="I2218" s="356"/>
      <c r="J2218" s="353"/>
      <c r="K2218" s="357"/>
      <c r="L2218" s="358"/>
      <c r="M2218" s="359"/>
      <c r="N2218" s="360">
        <f>SUM(N2217:N2217)</f>
        <v>1</v>
      </c>
      <c r="O2218" s="361" t="str">
        <f>IF(MID(B2216,1,2)="LG",VLOOKUP(B2216,'Compos lug'!J:M,4,FALSE),IF(MID(B2216,1,1)="6",VLOOKUP(B2216,tranp.!$A$6:$K$51,3,FALSE),VLOOKUP(B2216,'DER 10-18'!$A$1:$I$1981,3,FALSE)))</f>
        <v>Ud</v>
      </c>
      <c r="P2218" s="362"/>
      <c r="Q2218" s="362"/>
      <c r="R2218" s="900"/>
      <c r="S2218" s="738">
        <f t="shared" si="173"/>
        <v>20</v>
      </c>
      <c r="T2218" s="738" t="str">
        <f t="shared" si="174"/>
        <v>M2</v>
      </c>
      <c r="U2218" s="738"/>
    </row>
    <row r="2219" spans="1:27" s="289" customFormat="1" x14ac:dyDescent="0.2">
      <c r="A2219" s="906"/>
      <c r="B2219" s="394"/>
      <c r="C2219" s="395"/>
      <c r="D2219" s="396"/>
      <c r="E2219" s="397"/>
      <c r="F2219" s="641"/>
      <c r="G2219" s="425"/>
      <c r="H2219" s="871"/>
      <c r="I2219" s="406"/>
      <c r="J2219" s="399"/>
      <c r="K2219" s="400"/>
      <c r="L2219" s="401"/>
      <c r="M2219" s="402"/>
      <c r="N2219" s="401"/>
      <c r="O2219" s="399"/>
      <c r="P2219" s="403"/>
      <c r="Q2219" s="403"/>
      <c r="R2219" s="907"/>
      <c r="S2219" s="738">
        <f t="shared" si="173"/>
        <v>20</v>
      </c>
      <c r="T2219" s="738" t="str">
        <f t="shared" si="174"/>
        <v>M2</v>
      </c>
      <c r="U2219" s="738"/>
      <c r="W2219" s="712"/>
      <c r="X2219" s="712"/>
      <c r="Y2219" s="712"/>
      <c r="Z2219" s="712"/>
      <c r="AA2219" s="712"/>
    </row>
    <row r="2220" spans="1:27" ht="38.25" x14ac:dyDescent="0.2">
      <c r="A2220" s="895" t="s">
        <v>1045</v>
      </c>
      <c r="B2220" s="346">
        <v>41530</v>
      </c>
      <c r="C2220" s="347" t="str">
        <f>IF(MID(B2220,1,2)="LG",VLOOKUP(B2220,'Compos lug'!J:M,3,FALSE),IF(MID(B2220,1,1)="6",VLOOKUP(B2220,tranp.!$A$4:$K$19,11,FALSE)&amp;" -  XP="&amp;TEXT(T2344,"0.000")&amp;" / XR="&amp;TEXT(V2344,"0.000"),VLOOKUP(B2220,'DER 10-18'!$A$1:$I$1981,2,FALSE)))</f>
        <v>Refeitório c/ paredes chapa de comp. 12mm e pont. 8x8cm, piso ciment. e cob. telhas fibroc. 6mm, incl. ponto de luz e cx. de insp. (1,21m²/func/turno)</v>
      </c>
      <c r="D2220" s="1059" t="s">
        <v>7</v>
      </c>
      <c r="E2220" s="1060"/>
      <c r="F2220" s="1061"/>
      <c r="G2220" s="425"/>
      <c r="H2220" s="782"/>
      <c r="I2220" s="406"/>
      <c r="J2220" s="349" t="s">
        <v>989</v>
      </c>
      <c r="K2220" s="884"/>
      <c r="L2220" s="876" t="s">
        <v>990</v>
      </c>
      <c r="M2220" s="885"/>
      <c r="N2220" s="876" t="str">
        <f>CONCATENATE("Total (",IF(MID(B2220,1,2)="LG",VLOOKUP(B2220,'Compos lug'!J:M,4,FALSE),IF(MID(B2220,1,1)="6","t",VLOOKUP(B2220,'DER 10-18'!$A$1:$I$1981,3,FALSE))),")")</f>
        <v>Total (M2)</v>
      </c>
      <c r="O2220" s="351"/>
      <c r="P2220" s="880"/>
      <c r="Q2220" s="880"/>
      <c r="R2220" s="902"/>
      <c r="S2220" s="738">
        <f t="shared" si="173"/>
        <v>20</v>
      </c>
      <c r="T2220" s="738" t="str">
        <f t="shared" si="174"/>
        <v>M2</v>
      </c>
      <c r="U2220" s="738"/>
    </row>
    <row r="2221" spans="1:27" x14ac:dyDescent="0.2">
      <c r="A2221" s="895"/>
      <c r="B2221" s="346"/>
      <c r="C2221" s="427" t="s">
        <v>1226</v>
      </c>
      <c r="D2221" s="405">
        <v>107</v>
      </c>
      <c r="E2221" s="871" t="s">
        <v>8</v>
      </c>
      <c r="F2221" s="424">
        <v>0</v>
      </c>
      <c r="G2221" s="425"/>
      <c r="H2221" s="871"/>
      <c r="I2221" s="406"/>
      <c r="J2221" s="349" t="s">
        <v>1102</v>
      </c>
      <c r="K2221" s="350"/>
      <c r="L2221" s="298">
        <v>20</v>
      </c>
      <c r="N2221" s="876">
        <f>L2221</f>
        <v>20</v>
      </c>
      <c r="O2221" s="351"/>
      <c r="P2221" s="880"/>
      <c r="Q2221" s="880"/>
      <c r="R2221" s="902"/>
      <c r="S2221" s="738">
        <f t="shared" si="173"/>
        <v>20</v>
      </c>
      <c r="T2221" s="738" t="str">
        <f t="shared" si="174"/>
        <v>M2</v>
      </c>
      <c r="U2221" s="738"/>
    </row>
    <row r="2222" spans="1:27" x14ac:dyDescent="0.2">
      <c r="A2222" s="899"/>
      <c r="B2222" s="353"/>
      <c r="C2222" s="354" t="s">
        <v>2</v>
      </c>
      <c r="D2222" s="355"/>
      <c r="E2222" s="352"/>
      <c r="F2222" s="356"/>
      <c r="G2222" s="355"/>
      <c r="H2222" s="356"/>
      <c r="I2222" s="356"/>
      <c r="J2222" s="353"/>
      <c r="K2222" s="357"/>
      <c r="L2222" s="358"/>
      <c r="M2222" s="359"/>
      <c r="N2222" s="360">
        <f>SUM(N2221:N2221)</f>
        <v>20</v>
      </c>
      <c r="O2222" s="361" t="str">
        <f>IF(MID(B2220,1,2)="LG",VLOOKUP(B2220,'Compos lug'!J:M,4,FALSE),IF(MID(B2220,1,1)="6",VLOOKUP(B2220,tranp.!$A$6:$K$51,3,FALSE),VLOOKUP(B2220,'DER 10-18'!$A$1:$I$1981,3,FALSE)))</f>
        <v>M2</v>
      </c>
      <c r="P2222" s="362"/>
      <c r="Q2222" s="362"/>
      <c r="R2222" s="900"/>
      <c r="S2222" s="738">
        <f t="shared" si="173"/>
        <v>658</v>
      </c>
      <c r="T2222" s="738" t="str">
        <f t="shared" si="174"/>
        <v>kg</v>
      </c>
      <c r="U2222" s="738"/>
    </row>
    <row r="2223" spans="1:27" ht="38.25" x14ac:dyDescent="0.2">
      <c r="A2223" s="895" t="s">
        <v>1046</v>
      </c>
      <c r="B2223" s="346">
        <v>40376</v>
      </c>
      <c r="C2223" s="347" t="str">
        <f>IF(MID(B2223,1,2)="LG",VLOOKUP(B2223,'Compos lug'!J:M,3,FALSE),IF(MID(B2223,1,1)="6",VLOOKUP(B2223,tranp.!$A$4:$K$19,11,FALSE)&amp;" -  XP="&amp;TEXT(T2385,"0.000")&amp;" / XR="&amp;TEXT(V2385,"0.000"),VLOOKUP(B2223,'DER 10-18'!$A$1:$I$1981,2,FALSE)))</f>
        <v>Aço CA-50, fornecimento, dobragem e colocação nas formas (preço médio das bitolas)</v>
      </c>
      <c r="D2223" s="1059" t="s">
        <v>7</v>
      </c>
      <c r="E2223" s="1060"/>
      <c r="F2223" s="1061"/>
      <c r="G2223" s="1099"/>
      <c r="H2223" s="1100"/>
      <c r="I2223" s="1101"/>
      <c r="J2223" s="349" t="s">
        <v>989</v>
      </c>
      <c r="K2223" s="783"/>
      <c r="L2223" s="876" t="s">
        <v>1032</v>
      </c>
      <c r="M2223" s="885" t="s">
        <v>1033</v>
      </c>
      <c r="N2223" s="876" t="str">
        <f>CONCATENATE("Total (",IF(MID(B2223,1,2)="LG",VLOOKUP(B2223,'Compos lug'!J:M,4,FALSE),IF(MID(B2223,1,1)="6","t",VLOOKUP(B2223,'DER 10-18'!$A$1:$I$1981,3,FALSE))),")")</f>
        <v>Total (kg)</v>
      </c>
      <c r="O2223" s="351"/>
      <c r="P2223" s="880"/>
      <c r="Q2223" s="880"/>
      <c r="R2223" s="902"/>
      <c r="S2223" s="738">
        <f t="shared" si="173"/>
        <v>658</v>
      </c>
      <c r="T2223" s="738" t="str">
        <f t="shared" si="174"/>
        <v>kg</v>
      </c>
      <c r="U2223" s="738"/>
    </row>
    <row r="2224" spans="1:27" x14ac:dyDescent="0.2">
      <c r="A2224" s="895"/>
      <c r="B2224" s="346"/>
      <c r="C2224" s="427" t="s">
        <v>1030</v>
      </c>
      <c r="D2224" s="405">
        <v>107</v>
      </c>
      <c r="E2224" s="871" t="s">
        <v>8</v>
      </c>
      <c r="F2224" s="424">
        <v>0</v>
      </c>
      <c r="G2224" s="1099"/>
      <c r="H2224" s="1100"/>
      <c r="I2224" s="1101"/>
      <c r="J2224" s="349" t="s">
        <v>1102</v>
      </c>
      <c r="K2224" s="783"/>
      <c r="L2224" s="876">
        <f>+N2234</f>
        <v>9.8000000000000007</v>
      </c>
      <c r="M2224" s="885">
        <v>50</v>
      </c>
      <c r="N2224" s="876">
        <f>+L2224*M2224</f>
        <v>490</v>
      </c>
      <c r="O2224" s="351"/>
      <c r="P2224" s="880"/>
      <c r="Q2224" s="880"/>
      <c r="R2224" s="902"/>
      <c r="S2224" s="738">
        <f t="shared" si="173"/>
        <v>658</v>
      </c>
      <c r="T2224" s="738" t="str">
        <f t="shared" si="174"/>
        <v>kg</v>
      </c>
      <c r="U2224" s="738"/>
    </row>
    <row r="2225" spans="1:27" x14ac:dyDescent="0.2">
      <c r="A2225" s="895"/>
      <c r="B2225" s="346"/>
      <c r="C2225" s="427" t="s">
        <v>1031</v>
      </c>
      <c r="D2225" s="405">
        <v>107</v>
      </c>
      <c r="E2225" s="871" t="s">
        <v>8</v>
      </c>
      <c r="F2225" s="424">
        <v>0</v>
      </c>
      <c r="G2225" s="1099"/>
      <c r="H2225" s="1100"/>
      <c r="I2225" s="1101"/>
      <c r="J2225" s="349" t="s">
        <v>1102</v>
      </c>
      <c r="K2225" s="783"/>
      <c r="L2225" s="876">
        <f>+N2235</f>
        <v>3.36</v>
      </c>
      <c r="M2225" s="885">
        <v>50</v>
      </c>
      <c r="N2225" s="876">
        <f>+L2225*M2225</f>
        <v>168</v>
      </c>
      <c r="O2225" s="351"/>
      <c r="P2225" s="880"/>
      <c r="Q2225" s="880"/>
      <c r="R2225" s="902"/>
      <c r="S2225" s="738">
        <f t="shared" si="173"/>
        <v>658</v>
      </c>
      <c r="T2225" s="738" t="str">
        <f t="shared" si="174"/>
        <v>kg</v>
      </c>
      <c r="U2225" s="738"/>
    </row>
    <row r="2226" spans="1:27" s="318" customFormat="1" x14ac:dyDescent="0.2">
      <c r="A2226" s="899"/>
      <c r="B2226" s="353"/>
      <c r="C2226" s="354" t="s">
        <v>2</v>
      </c>
      <c r="D2226" s="355"/>
      <c r="E2226" s="352"/>
      <c r="F2226" s="356"/>
      <c r="G2226" s="355"/>
      <c r="H2226" s="356"/>
      <c r="I2226" s="356"/>
      <c r="J2226" s="353"/>
      <c r="K2226" s="357"/>
      <c r="L2226" s="358"/>
      <c r="M2226" s="358"/>
      <c r="N2226" s="360">
        <f>SUM(N2224:N2225)</f>
        <v>658</v>
      </c>
      <c r="O2226" s="361" t="str">
        <f>IF(MID(B2223,1,2)="LG",VLOOKUP(B2223,'Compos lug'!J:M,4,FALSE),IF(MID(B2223,1,1)="6",VLOOKUP(B2223,tranp.!$A$6:$K$51,3,FALSE),VLOOKUP(B2223,'DER 10-18'!$A$1:$I$1981,3,FALSE)))</f>
        <v>kg</v>
      </c>
      <c r="P2226" s="362"/>
      <c r="Q2226" s="362"/>
      <c r="R2226" s="900"/>
      <c r="S2226" s="738">
        <f t="shared" si="173"/>
        <v>44.8</v>
      </c>
      <c r="T2226" s="738" t="str">
        <f t="shared" si="174"/>
        <v>M2</v>
      </c>
      <c r="U2226" s="738"/>
      <c r="W2226" s="316"/>
      <c r="X2226" s="316"/>
      <c r="Y2226" s="316"/>
      <c r="Z2226" s="316"/>
      <c r="AA2226" s="316"/>
    </row>
    <row r="2227" spans="1:27" x14ac:dyDescent="0.2">
      <c r="A2227" s="895"/>
      <c r="B2227" s="346"/>
      <c r="C2227" s="427"/>
      <c r="D2227" s="1059"/>
      <c r="E2227" s="1060"/>
      <c r="F2227" s="1061"/>
      <c r="G2227" s="1099"/>
      <c r="H2227" s="1100"/>
      <c r="I2227" s="1101"/>
      <c r="J2227" s="349"/>
      <c r="K2227" s="783"/>
      <c r="L2227" s="876"/>
      <c r="M2227" s="885"/>
      <c r="N2227" s="876"/>
      <c r="O2227" s="351"/>
      <c r="P2227" s="880"/>
      <c r="Q2227" s="880"/>
      <c r="R2227" s="902"/>
      <c r="S2227" s="738">
        <f t="shared" si="173"/>
        <v>44.8</v>
      </c>
      <c r="T2227" s="738" t="str">
        <f t="shared" si="174"/>
        <v>M2</v>
      </c>
      <c r="U2227" s="738"/>
    </row>
    <row r="2228" spans="1:27" ht="42" customHeight="1" x14ac:dyDescent="0.2">
      <c r="A2228" s="895" t="s">
        <v>1047</v>
      </c>
      <c r="B2228" s="346">
        <v>40313</v>
      </c>
      <c r="C2228" s="347" t="str">
        <f>IF(MID(B2228,1,2)="LG",VLOOKUP(B2228,'Compos lug'!J:M,3,FALSE),IF(MID(B2228,1,1)="6",VLOOKUP(B2228,tranp.!$A$4:$K$19,11,FALSE)&amp;" -  XP="&amp;TEXT(T2390,"0.000")&amp;" / XR="&amp;TEXT(V2390,"0.000"),VLOOKUP(B2228,'DER 10-18'!$A$1:$I$1981,2,FALSE)))</f>
        <v>Formas planas de madeira com 04 (quatro) reaproveitamentos, inclusive fornecimento e transporte das madeiras</v>
      </c>
      <c r="D2228" s="1059" t="s">
        <v>7</v>
      </c>
      <c r="E2228" s="1060"/>
      <c r="F2228" s="1061"/>
      <c r="G2228" s="1099"/>
      <c r="H2228" s="1100"/>
      <c r="I2228" s="1101"/>
      <c r="J2228" s="349" t="s">
        <v>989</v>
      </c>
      <c r="K2228" s="783" t="s">
        <v>1007</v>
      </c>
      <c r="L2228" s="876" t="s">
        <v>1008</v>
      </c>
      <c r="M2228" s="885" t="s">
        <v>995</v>
      </c>
      <c r="N2228" s="876" t="str">
        <f>CONCATENATE("Total (",IF(MID(B2228,1,2)="LG",VLOOKUP(B2228,'Compos lug'!J:M,4,FALSE),IF(MID(B2228,1,1)="6","t",VLOOKUP(B2228,'DER 10-18'!$A$1:$I$1981,3,FALSE))),")")</f>
        <v>Total (M2)</v>
      </c>
      <c r="O2228" s="351"/>
      <c r="P2228" s="880"/>
      <c r="Q2228" s="880"/>
      <c r="R2228" s="902"/>
      <c r="S2228" s="738">
        <f t="shared" si="173"/>
        <v>44.8</v>
      </c>
      <c r="T2228" s="738" t="str">
        <f t="shared" si="174"/>
        <v>M2</v>
      </c>
      <c r="U2228" s="738"/>
    </row>
    <row r="2229" spans="1:27" x14ac:dyDescent="0.2">
      <c r="A2229" s="895"/>
      <c r="B2229" s="346"/>
      <c r="C2229" s="427" t="s">
        <v>1030</v>
      </c>
      <c r="D2229" s="405">
        <v>107</v>
      </c>
      <c r="E2229" s="871" t="s">
        <v>8</v>
      </c>
      <c r="F2229" s="424">
        <v>0</v>
      </c>
      <c r="G2229" s="1099"/>
      <c r="H2229" s="1100"/>
      <c r="I2229" s="1101"/>
      <c r="J2229" s="349" t="s">
        <v>1102</v>
      </c>
      <c r="K2229" s="783">
        <v>28</v>
      </c>
      <c r="L2229" s="876">
        <v>2</v>
      </c>
      <c r="M2229" s="885">
        <v>0.2</v>
      </c>
      <c r="N2229" s="876">
        <f>K2229*L2229*M2229</f>
        <v>11.2</v>
      </c>
      <c r="O2229" s="351"/>
      <c r="P2229" s="880"/>
      <c r="Q2229" s="880"/>
      <c r="R2229" s="902"/>
      <c r="S2229" s="738">
        <f t="shared" si="173"/>
        <v>44.8</v>
      </c>
      <c r="T2229" s="738" t="str">
        <f t="shared" si="174"/>
        <v>M2</v>
      </c>
      <c r="U2229" s="738"/>
    </row>
    <row r="2230" spans="1:27" x14ac:dyDescent="0.2">
      <c r="A2230" s="895"/>
      <c r="B2230" s="346"/>
      <c r="C2230" s="427" t="s">
        <v>1031</v>
      </c>
      <c r="D2230" s="405">
        <v>107</v>
      </c>
      <c r="E2230" s="871" t="s">
        <v>8</v>
      </c>
      <c r="F2230" s="424">
        <v>0</v>
      </c>
      <c r="G2230" s="1099"/>
      <c r="H2230" s="1100"/>
      <c r="I2230" s="1101"/>
      <c r="J2230" s="349" t="s">
        <v>1102</v>
      </c>
      <c r="K2230" s="783">
        <v>28</v>
      </c>
      <c r="L2230" s="876">
        <v>2</v>
      </c>
      <c r="M2230" s="885">
        <v>0.6</v>
      </c>
      <c r="N2230" s="876">
        <f>K2230*L2230*M2230</f>
        <v>33.6</v>
      </c>
      <c r="O2230" s="351"/>
      <c r="P2230" s="880"/>
      <c r="Q2230" s="880"/>
      <c r="R2230" s="902"/>
      <c r="S2230" s="738">
        <f t="shared" si="173"/>
        <v>44.8</v>
      </c>
      <c r="T2230" s="738" t="str">
        <f t="shared" si="174"/>
        <v>M2</v>
      </c>
      <c r="U2230" s="738"/>
    </row>
    <row r="2231" spans="1:27" s="318" customFormat="1" x14ac:dyDescent="0.2">
      <c r="A2231" s="899"/>
      <c r="B2231" s="353"/>
      <c r="C2231" s="354" t="s">
        <v>2</v>
      </c>
      <c r="D2231" s="355"/>
      <c r="E2231" s="352"/>
      <c r="F2231" s="356"/>
      <c r="G2231" s="355"/>
      <c r="H2231" s="356"/>
      <c r="I2231" s="356"/>
      <c r="J2231" s="353"/>
      <c r="K2231" s="357"/>
      <c r="L2231" s="358"/>
      <c r="M2231" s="358"/>
      <c r="N2231" s="360">
        <f>SUM(N2229:N2230)</f>
        <v>44.8</v>
      </c>
      <c r="O2231" s="361" t="str">
        <f>IF(MID(B2228,1,2)="LG",VLOOKUP(B2228,'Compos lug'!J:M,4,FALSE),IF(MID(B2228,1,1)="6",VLOOKUP(B2228,tranp.!$A$6:$K$51,3,FALSE),VLOOKUP(B2228,'DER 10-18'!$A$1:$I$1981,3,FALSE)))</f>
        <v>M2</v>
      </c>
      <c r="P2231" s="362"/>
      <c r="Q2231" s="362"/>
      <c r="R2231" s="900"/>
      <c r="S2231" s="738">
        <f t="shared" si="173"/>
        <v>13.16</v>
      </c>
      <c r="T2231" s="738" t="str">
        <f t="shared" si="174"/>
        <v>M3</v>
      </c>
      <c r="U2231" s="738"/>
      <c r="W2231" s="316"/>
      <c r="X2231" s="316"/>
      <c r="Y2231" s="316"/>
      <c r="Z2231" s="316"/>
      <c r="AA2231" s="316"/>
    </row>
    <row r="2232" spans="1:27" x14ac:dyDescent="0.2">
      <c r="A2232" s="895"/>
      <c r="B2232" s="346"/>
      <c r="C2232" s="427"/>
      <c r="D2232" s="1059"/>
      <c r="E2232" s="1060"/>
      <c r="F2232" s="1061"/>
      <c r="G2232" s="1099"/>
      <c r="H2232" s="1100"/>
      <c r="I2232" s="1101"/>
      <c r="J2232" s="349"/>
      <c r="K2232" s="783"/>
      <c r="L2232" s="876"/>
      <c r="M2232" s="885"/>
      <c r="N2232" s="876"/>
      <c r="O2232" s="351"/>
      <c r="P2232" s="880"/>
      <c r="Q2232" s="880"/>
      <c r="R2232" s="902"/>
      <c r="S2232" s="738">
        <f t="shared" si="173"/>
        <v>13.16</v>
      </c>
      <c r="T2232" s="738" t="str">
        <f t="shared" si="174"/>
        <v>M3</v>
      </c>
      <c r="U2232" s="738"/>
    </row>
    <row r="2233" spans="1:27" x14ac:dyDescent="0.2">
      <c r="A2233" s="895" t="s">
        <v>1048</v>
      </c>
      <c r="B2233" s="346">
        <v>40360</v>
      </c>
      <c r="C2233" s="347" t="str">
        <f>IF(MID(B2233,1,2)="LG",VLOOKUP(B2233,'Compos lug'!J:M,3,FALSE),IF(MID(B2233,1,1)="6",VLOOKUP(B2233,tranp.!$A$4:$K$19,11,FALSE)&amp;" -  XP="&amp;TEXT(T2406,"0.000")&amp;" / XR="&amp;TEXT(V2406,"0.000"),VLOOKUP(B2233,'DER 10-18'!$A$1:$I$1981,2,FALSE)))</f>
        <v>Concreto estrutural fck = 20,0 MPa, tudo incluído</v>
      </c>
      <c r="D2233" s="1059" t="s">
        <v>7</v>
      </c>
      <c r="E2233" s="1060"/>
      <c r="F2233" s="1061"/>
      <c r="G2233" s="1099"/>
      <c r="H2233" s="1100"/>
      <c r="I2233" s="1101"/>
      <c r="J2233" s="349" t="s">
        <v>989</v>
      </c>
      <c r="K2233" s="783" t="s">
        <v>1007</v>
      </c>
      <c r="L2233" s="876" t="s">
        <v>994</v>
      </c>
      <c r="M2233" s="885" t="s">
        <v>995</v>
      </c>
      <c r="N2233" s="876" t="str">
        <f>CONCATENATE("Total (",IF(MID(B2233,1,2)="LG",VLOOKUP(B2233,'Compos lug'!J:M,4,FALSE),IF(MID(B2233,1,1)="6","t",VLOOKUP(B2233,'DER 10-18'!$A$1:$I$1981,3,FALSE))),")")</f>
        <v>Total (M3)</v>
      </c>
      <c r="O2233" s="351"/>
      <c r="P2233" s="880"/>
      <c r="Q2233" s="880"/>
      <c r="R2233" s="902"/>
      <c r="S2233" s="738">
        <f t="shared" si="173"/>
        <v>13.16</v>
      </c>
      <c r="T2233" s="738" t="str">
        <f t="shared" si="174"/>
        <v>M3</v>
      </c>
      <c r="U2233" s="738"/>
    </row>
    <row r="2234" spans="1:27" x14ac:dyDescent="0.2">
      <c r="A2234" s="895"/>
      <c r="B2234" s="346"/>
      <c r="C2234" s="427" t="s">
        <v>1030</v>
      </c>
      <c r="D2234" s="405">
        <v>107</v>
      </c>
      <c r="E2234" s="871" t="s">
        <v>8</v>
      </c>
      <c r="F2234" s="424">
        <v>0</v>
      </c>
      <c r="G2234" s="1099"/>
      <c r="H2234" s="1100"/>
      <c r="I2234" s="1101"/>
      <c r="J2234" s="349" t="s">
        <v>1102</v>
      </c>
      <c r="K2234" s="783">
        <v>7</v>
      </c>
      <c r="L2234" s="876">
        <v>7</v>
      </c>
      <c r="M2234" s="885">
        <v>0.2</v>
      </c>
      <c r="N2234" s="876">
        <f>K2234*L2234*M2234</f>
        <v>9.8000000000000007</v>
      </c>
      <c r="O2234" s="351"/>
      <c r="P2234" s="880"/>
      <c r="Q2234" s="880"/>
      <c r="R2234" s="902"/>
      <c r="S2234" s="738">
        <f t="shared" si="173"/>
        <v>13.16</v>
      </c>
      <c r="T2234" s="738" t="str">
        <f t="shared" si="174"/>
        <v>M3</v>
      </c>
      <c r="U2234" s="738"/>
    </row>
    <row r="2235" spans="1:27" x14ac:dyDescent="0.2">
      <c r="A2235" s="895"/>
      <c r="B2235" s="346"/>
      <c r="C2235" s="427" t="s">
        <v>1031</v>
      </c>
      <c r="D2235" s="405">
        <v>107</v>
      </c>
      <c r="E2235" s="871" t="s">
        <v>8</v>
      </c>
      <c r="F2235" s="424">
        <v>0</v>
      </c>
      <c r="G2235" s="1099"/>
      <c r="H2235" s="1100"/>
      <c r="I2235" s="1101"/>
      <c r="J2235" s="349" t="s">
        <v>1102</v>
      </c>
      <c r="K2235" s="783">
        <v>28</v>
      </c>
      <c r="L2235" s="876">
        <v>0.6</v>
      </c>
      <c r="M2235" s="885">
        <v>0.2</v>
      </c>
      <c r="N2235" s="876">
        <f>K2235*L2235*M2235</f>
        <v>3.36</v>
      </c>
      <c r="O2235" s="351"/>
      <c r="P2235" s="880"/>
      <c r="Q2235" s="880"/>
      <c r="R2235" s="902"/>
      <c r="S2235" s="738">
        <f t="shared" si="173"/>
        <v>13.16</v>
      </c>
      <c r="T2235" s="738" t="str">
        <f t="shared" si="174"/>
        <v>M3</v>
      </c>
      <c r="U2235" s="738"/>
    </row>
    <row r="2236" spans="1:27" s="318" customFormat="1" x14ac:dyDescent="0.2">
      <c r="A2236" s="899"/>
      <c r="B2236" s="353"/>
      <c r="C2236" s="354" t="s">
        <v>2</v>
      </c>
      <c r="D2236" s="355"/>
      <c r="E2236" s="352"/>
      <c r="F2236" s="356"/>
      <c r="G2236" s="355"/>
      <c r="H2236" s="356"/>
      <c r="I2236" s="356"/>
      <c r="J2236" s="353"/>
      <c r="K2236" s="357"/>
      <c r="L2236" s="358"/>
      <c r="M2236" s="358"/>
      <c r="N2236" s="360">
        <f>SUM(N2234:N2235)</f>
        <v>13.16</v>
      </c>
      <c r="O2236" s="361" t="str">
        <f>IF(MID(B2233,1,2)="LG",VLOOKUP(B2233,'Compos lug'!J:M,4,FALSE),IF(MID(B2233,1,1)="6",VLOOKUP(B2233,tranp.!$A$6:$K$51,3,FALSE),VLOOKUP(B2233,'DER 10-18'!$A$1:$I$1981,3,FALSE)))</f>
        <v>M3</v>
      </c>
      <c r="P2236" s="362"/>
      <c r="Q2236" s="362"/>
      <c r="R2236" s="900"/>
      <c r="S2236" s="738">
        <f t="shared" si="173"/>
        <v>96.9</v>
      </c>
      <c r="T2236" s="738" t="str">
        <f t="shared" si="174"/>
        <v>h</v>
      </c>
      <c r="U2236" s="738"/>
      <c r="W2236" s="316"/>
      <c r="X2236" s="316"/>
      <c r="Y2236" s="316"/>
      <c r="Z2236" s="316"/>
      <c r="AA2236" s="316"/>
    </row>
    <row r="2237" spans="1:27" x14ac:dyDescent="0.2">
      <c r="A2237" s="930" t="s">
        <v>1049</v>
      </c>
      <c r="B2237" s="394"/>
      <c r="C2237" s="739" t="s">
        <v>1082</v>
      </c>
      <c r="D2237" s="396"/>
      <c r="E2237" s="397"/>
      <c r="F2237" s="398"/>
      <c r="G2237" s="396"/>
      <c r="H2237" s="397"/>
      <c r="I2237" s="398"/>
      <c r="J2237" s="399"/>
      <c r="K2237" s="400"/>
      <c r="L2237" s="401"/>
      <c r="M2237" s="402"/>
      <c r="N2237" s="401"/>
      <c r="O2237" s="399"/>
      <c r="P2237" s="403"/>
      <c r="Q2237" s="403"/>
      <c r="R2237" s="907"/>
      <c r="S2237" s="738">
        <f t="shared" si="173"/>
        <v>96.9</v>
      </c>
      <c r="T2237" s="738" t="str">
        <f t="shared" si="174"/>
        <v>h</v>
      </c>
      <c r="U2237" s="738"/>
    </row>
    <row r="2238" spans="1:27" ht="25.5" customHeight="1" x14ac:dyDescent="0.2">
      <c r="A2238" s="895" t="s">
        <v>1050</v>
      </c>
      <c r="B2238" s="346">
        <v>41544</v>
      </c>
      <c r="C2238" s="347" t="str">
        <f>IF(MID(B2238,1,2)="LG",VLOOKUP(B2238,'Compos lug'!J:M,3,FALSE),IF(MID(B2238,1,1)="6",VLOOKUP(B2238,tranp.!$A$4:$K$19,11,FALSE)&amp;" -  XP="&amp;TEXT(T2367,"0.000")&amp;" / XR="&amp;TEXT(V2367,"0.000"),VLOOKUP(B2238,'DER 10-18'!$A$1:$I$1981,2,FALSE)))</f>
        <v>Mobilização e desmobilização de equipamentos com carreta prancha (máximo)</v>
      </c>
      <c r="D2238" s="1099" t="s">
        <v>1244</v>
      </c>
      <c r="E2238" s="1100"/>
      <c r="F2238" s="1101"/>
      <c r="G2238" s="1099" t="s">
        <v>1245</v>
      </c>
      <c r="H2238" s="1100"/>
      <c r="I2238" s="1101"/>
      <c r="J2238" s="870" t="s">
        <v>1246</v>
      </c>
      <c r="K2238" s="784" t="s">
        <v>1247</v>
      </c>
      <c r="L2238" s="876"/>
      <c r="M2238" s="885"/>
      <c r="N2238" s="876" t="str">
        <f>CONCATENATE("Total (",IF(MID(B2238,1,2)="LG",VLOOKUP(B2238,'[2]Compos lug'!J:M,4,FALSE),IF(MID(B2238,1,1)="6","t",VLOOKUP(B2238,'[2]DER 06-16'!$A$1:$I$1981,3,FALSE))),")")</f>
        <v>Total (h)</v>
      </c>
      <c r="O2238" s="351"/>
      <c r="P2238" s="880"/>
      <c r="Q2238" s="880"/>
      <c r="R2238" s="902"/>
      <c r="S2238" s="738">
        <f t="shared" si="173"/>
        <v>96.9</v>
      </c>
      <c r="T2238" s="738" t="str">
        <f t="shared" si="174"/>
        <v>h</v>
      </c>
      <c r="U2238" s="738"/>
    </row>
    <row r="2239" spans="1:27" x14ac:dyDescent="0.2">
      <c r="A2239" s="895"/>
      <c r="B2239" s="346"/>
      <c r="C2239" s="427" t="s">
        <v>1249</v>
      </c>
      <c r="D2239" s="1059">
        <v>3</v>
      </c>
      <c r="E2239" s="1060"/>
      <c r="F2239" s="1061"/>
      <c r="G2239" s="1099">
        <f>D2239</f>
        <v>3</v>
      </c>
      <c r="H2239" s="1100"/>
      <c r="I2239" s="1101"/>
      <c r="J2239" s="349">
        <v>171</v>
      </c>
      <c r="K2239" s="783">
        <v>60</v>
      </c>
      <c r="L2239" s="876"/>
      <c r="M2239" s="885"/>
      <c r="N2239" s="876">
        <f>ROUNDUP((2*G2239*J2239/K2239),1)</f>
        <v>17.100000000000001</v>
      </c>
      <c r="O2239" s="351"/>
      <c r="P2239" s="880"/>
      <c r="Q2239" s="880"/>
      <c r="R2239" s="902"/>
      <c r="S2239" s="738">
        <f t="shared" si="173"/>
        <v>96.9</v>
      </c>
      <c r="T2239" s="738" t="str">
        <f t="shared" si="174"/>
        <v>h</v>
      </c>
      <c r="U2239" s="738"/>
    </row>
    <row r="2240" spans="1:27" x14ac:dyDescent="0.2">
      <c r="A2240" s="895"/>
      <c r="B2240" s="346"/>
      <c r="C2240" s="427" t="s">
        <v>1250</v>
      </c>
      <c r="D2240" s="1059">
        <v>3</v>
      </c>
      <c r="E2240" s="1060"/>
      <c r="F2240" s="1061"/>
      <c r="G2240" s="1099">
        <f>D2240</f>
        <v>3</v>
      </c>
      <c r="H2240" s="1100"/>
      <c r="I2240" s="1101"/>
      <c r="J2240" s="349">
        <v>171</v>
      </c>
      <c r="K2240" s="783">
        <v>60</v>
      </c>
      <c r="L2240" s="876"/>
      <c r="M2240" s="885"/>
      <c r="N2240" s="876">
        <f>ROUNDUP((2*G2240*J2240/K2240),1)</f>
        <v>17.100000000000001</v>
      </c>
      <c r="O2240" s="351"/>
      <c r="P2240" s="880"/>
      <c r="Q2240" s="880"/>
      <c r="R2240" s="902"/>
      <c r="S2240" s="738">
        <f t="shared" si="173"/>
        <v>96.9</v>
      </c>
      <c r="T2240" s="738" t="str">
        <f t="shared" si="174"/>
        <v>h</v>
      </c>
      <c r="U2240" s="738"/>
    </row>
    <row r="2241" spans="1:27" x14ac:dyDescent="0.2">
      <c r="A2241" s="895"/>
      <c r="B2241" s="346"/>
      <c r="C2241" s="427" t="s">
        <v>1252</v>
      </c>
      <c r="D2241" s="1059">
        <v>2</v>
      </c>
      <c r="E2241" s="1060"/>
      <c r="F2241" s="1061"/>
      <c r="G2241" s="1099">
        <f t="shared" ref="G2241:G2245" si="177">D2241</f>
        <v>2</v>
      </c>
      <c r="H2241" s="1100"/>
      <c r="I2241" s="1101"/>
      <c r="J2241" s="349">
        <v>171</v>
      </c>
      <c r="K2241" s="783">
        <v>60</v>
      </c>
      <c r="L2241" s="876"/>
      <c r="M2241" s="885"/>
      <c r="N2241" s="876">
        <f t="shared" ref="N2241:N2247" si="178">ROUNDUP((2*G2241*J2241/K2241),1)</f>
        <v>11.4</v>
      </c>
      <c r="O2241" s="351"/>
      <c r="P2241" s="880"/>
      <c r="Q2241" s="880"/>
      <c r="R2241" s="902"/>
      <c r="S2241" s="738">
        <f t="shared" si="173"/>
        <v>96.9</v>
      </c>
      <c r="T2241" s="738" t="str">
        <f t="shared" si="174"/>
        <v>h</v>
      </c>
      <c r="U2241" s="738"/>
    </row>
    <row r="2242" spans="1:27" x14ac:dyDescent="0.2">
      <c r="A2242" s="895"/>
      <c r="B2242" s="346"/>
      <c r="C2242" s="427" t="s">
        <v>1253</v>
      </c>
      <c r="D2242" s="1059">
        <v>2</v>
      </c>
      <c r="E2242" s="1060"/>
      <c r="F2242" s="1061"/>
      <c r="G2242" s="1099">
        <f t="shared" si="177"/>
        <v>2</v>
      </c>
      <c r="H2242" s="1100"/>
      <c r="I2242" s="1101"/>
      <c r="J2242" s="349">
        <v>171</v>
      </c>
      <c r="K2242" s="783">
        <v>60</v>
      </c>
      <c r="L2242" s="876"/>
      <c r="M2242" s="885"/>
      <c r="N2242" s="876">
        <f t="shared" si="178"/>
        <v>11.4</v>
      </c>
      <c r="O2242" s="351"/>
      <c r="P2242" s="880"/>
      <c r="Q2242" s="880"/>
      <c r="R2242" s="902"/>
      <c r="S2242" s="738">
        <f t="shared" si="173"/>
        <v>96.9</v>
      </c>
      <c r="T2242" s="738" t="str">
        <f t="shared" si="174"/>
        <v>h</v>
      </c>
      <c r="U2242" s="738"/>
    </row>
    <row r="2243" spans="1:27" x14ac:dyDescent="0.2">
      <c r="A2243" s="895"/>
      <c r="B2243" s="346"/>
      <c r="C2243" s="427" t="s">
        <v>1257</v>
      </c>
      <c r="D2243" s="1059">
        <v>2</v>
      </c>
      <c r="E2243" s="1060"/>
      <c r="F2243" s="1061"/>
      <c r="G2243" s="1099">
        <f t="shared" si="177"/>
        <v>2</v>
      </c>
      <c r="H2243" s="1100"/>
      <c r="I2243" s="1101"/>
      <c r="J2243" s="349">
        <v>171</v>
      </c>
      <c r="K2243" s="783">
        <v>60</v>
      </c>
      <c r="L2243" s="876"/>
      <c r="M2243" s="885"/>
      <c r="N2243" s="876">
        <f t="shared" si="178"/>
        <v>11.4</v>
      </c>
      <c r="O2243" s="351"/>
      <c r="P2243" s="880"/>
      <c r="Q2243" s="880"/>
      <c r="R2243" s="902"/>
      <c r="S2243" s="738">
        <f t="shared" si="173"/>
        <v>96.9</v>
      </c>
      <c r="T2243" s="738" t="str">
        <f t="shared" si="174"/>
        <v>h</v>
      </c>
      <c r="U2243" s="738"/>
    </row>
    <row r="2244" spans="1:27" x14ac:dyDescent="0.2">
      <c r="A2244" s="895"/>
      <c r="B2244" s="346"/>
      <c r="C2244" s="427" t="s">
        <v>1267</v>
      </c>
      <c r="D2244" s="1059">
        <v>2</v>
      </c>
      <c r="E2244" s="1060"/>
      <c r="F2244" s="1061"/>
      <c r="G2244" s="1099">
        <f t="shared" si="177"/>
        <v>2</v>
      </c>
      <c r="H2244" s="1100"/>
      <c r="I2244" s="1101"/>
      <c r="J2244" s="349">
        <v>171</v>
      </c>
      <c r="K2244" s="783">
        <v>60</v>
      </c>
      <c r="L2244" s="876"/>
      <c r="M2244" s="885"/>
      <c r="N2244" s="876">
        <f t="shared" si="178"/>
        <v>11.4</v>
      </c>
      <c r="O2244" s="351"/>
      <c r="P2244" s="880"/>
      <c r="Q2244" s="880"/>
      <c r="R2244" s="902"/>
      <c r="S2244" s="738">
        <f t="shared" si="173"/>
        <v>96.9</v>
      </c>
      <c r="T2244" s="738" t="str">
        <f t="shared" si="174"/>
        <v>h</v>
      </c>
      <c r="U2244" s="738"/>
    </row>
    <row r="2245" spans="1:27" x14ac:dyDescent="0.2">
      <c r="A2245" s="895"/>
      <c r="B2245" s="346"/>
      <c r="C2245" s="427" t="s">
        <v>1268</v>
      </c>
      <c r="D2245" s="1059">
        <v>1</v>
      </c>
      <c r="E2245" s="1060"/>
      <c r="F2245" s="1061"/>
      <c r="G2245" s="1099">
        <f t="shared" si="177"/>
        <v>1</v>
      </c>
      <c r="H2245" s="1100"/>
      <c r="I2245" s="1101"/>
      <c r="J2245" s="349">
        <v>171</v>
      </c>
      <c r="K2245" s="783">
        <v>60</v>
      </c>
      <c r="L2245" s="876"/>
      <c r="M2245" s="885"/>
      <c r="N2245" s="876">
        <f t="shared" si="178"/>
        <v>5.7</v>
      </c>
      <c r="O2245" s="351"/>
      <c r="P2245" s="880"/>
      <c r="Q2245" s="880"/>
      <c r="R2245" s="902"/>
      <c r="S2245" s="738">
        <f t="shared" si="173"/>
        <v>96.9</v>
      </c>
      <c r="T2245" s="738" t="str">
        <f t="shared" si="174"/>
        <v>h</v>
      </c>
      <c r="U2245" s="738"/>
    </row>
    <row r="2246" spans="1:27" ht="30.75" customHeight="1" x14ac:dyDescent="0.2">
      <c r="A2246" s="895"/>
      <c r="B2246" s="346"/>
      <c r="C2246" s="427" t="s">
        <v>1287</v>
      </c>
      <c r="D2246" s="1059">
        <v>3</v>
      </c>
      <c r="E2246" s="1060"/>
      <c r="F2246" s="1061"/>
      <c r="G2246" s="1099">
        <v>1</v>
      </c>
      <c r="H2246" s="1100"/>
      <c r="I2246" s="1101"/>
      <c r="J2246" s="349">
        <v>171</v>
      </c>
      <c r="K2246" s="783">
        <v>60</v>
      </c>
      <c r="L2246" s="876"/>
      <c r="M2246" s="885"/>
      <c r="N2246" s="876">
        <f t="shared" si="178"/>
        <v>5.7</v>
      </c>
      <c r="O2246" s="351"/>
      <c r="P2246" s="1056" t="s">
        <v>1270</v>
      </c>
      <c r="Q2246" s="1057"/>
      <c r="R2246" s="1058"/>
      <c r="S2246" s="738">
        <f t="shared" si="173"/>
        <v>96.9</v>
      </c>
      <c r="T2246" s="738" t="str">
        <f t="shared" si="174"/>
        <v>h</v>
      </c>
      <c r="U2246" s="738"/>
    </row>
    <row r="2247" spans="1:27" ht="24.75" customHeight="1" x14ac:dyDescent="0.2">
      <c r="A2247" s="895"/>
      <c r="B2247" s="346"/>
      <c r="C2247" s="290" t="s">
        <v>1288</v>
      </c>
      <c r="D2247" s="1059">
        <v>2</v>
      </c>
      <c r="E2247" s="1060"/>
      <c r="F2247" s="1061"/>
      <c r="G2247" s="1099">
        <v>1</v>
      </c>
      <c r="H2247" s="1100"/>
      <c r="I2247" s="1101"/>
      <c r="J2247" s="349">
        <v>171</v>
      </c>
      <c r="K2247" s="783">
        <v>60</v>
      </c>
      <c r="L2247" s="876"/>
      <c r="M2247" s="885"/>
      <c r="N2247" s="876">
        <f t="shared" si="178"/>
        <v>5.7</v>
      </c>
      <c r="P2247" s="1056" t="s">
        <v>1271</v>
      </c>
      <c r="Q2247" s="1057"/>
      <c r="R2247" s="1058"/>
      <c r="S2247" s="738">
        <f t="shared" si="173"/>
        <v>96.9</v>
      </c>
      <c r="T2247" s="738" t="str">
        <f t="shared" si="174"/>
        <v>h</v>
      </c>
      <c r="U2247" s="738"/>
    </row>
    <row r="2248" spans="1:27" s="317" customFormat="1" x14ac:dyDescent="0.2">
      <c r="A2248" s="899"/>
      <c r="B2248" s="353"/>
      <c r="C2248" s="354" t="s">
        <v>2</v>
      </c>
      <c r="D2248" s="355"/>
      <c r="E2248" s="352"/>
      <c r="F2248" s="356"/>
      <c r="G2248" s="355"/>
      <c r="H2248" s="356"/>
      <c r="I2248" s="356"/>
      <c r="J2248" s="353"/>
      <c r="K2248" s="357"/>
      <c r="L2248" s="358"/>
      <c r="M2248" s="359"/>
      <c r="N2248" s="360">
        <f>SUM(N2239:N2247)</f>
        <v>96.9</v>
      </c>
      <c r="O2248" s="361" t="str">
        <f>IF(MID(B2238,1,2)="LG",VLOOKUP(B2238,'Compos lug'!J:M,4,FALSE),IF(MID(B2238,1,1)="6",VLOOKUP(B2238,tranp.!$A$6:$K$51,3,FALSE),VLOOKUP(B2238,'DER 10-18'!$A$1:$I$1981,3,FALSE)))</f>
        <v>h</v>
      </c>
      <c r="P2248" s="362"/>
      <c r="Q2248" s="362"/>
      <c r="R2248" s="900"/>
      <c r="S2248" s="738">
        <f t="shared" si="173"/>
        <v>57</v>
      </c>
      <c r="T2248" s="738" t="str">
        <f t="shared" si="174"/>
        <v>h</v>
      </c>
      <c r="U2248" s="738"/>
      <c r="W2248" s="713"/>
      <c r="X2248" s="713"/>
      <c r="Y2248" s="713"/>
      <c r="Z2248" s="713"/>
      <c r="AA2248" s="713"/>
    </row>
    <row r="2249" spans="1:27" ht="25.5" customHeight="1" x14ac:dyDescent="0.2">
      <c r="A2249" s="895" t="s">
        <v>1051</v>
      </c>
      <c r="B2249" s="346">
        <v>41545</v>
      </c>
      <c r="C2249" s="347" t="str">
        <f>IF(MID(B2249,1,2)="LG",VLOOKUP(B2249,'Compos lug'!J:M,3,FALSE),IF(MID(B2249,1,1)="6",VLOOKUP(B2249,tranp.!$A$4:$K$19,11,FALSE)&amp;" -  XP="&amp;TEXT(T2371,"0.000")&amp;" / XR="&amp;TEXT(V2371,"0.000"),VLOOKUP(B2249,'DER 10-18'!$A$1:$I$1981,2,FALSE)))</f>
        <v>Mobilização e desmobilização de caminhão carroceria (máximo)</v>
      </c>
      <c r="D2249" s="1099" t="s">
        <v>1244</v>
      </c>
      <c r="E2249" s="1100"/>
      <c r="F2249" s="1101"/>
      <c r="G2249" s="1099" t="s">
        <v>1266</v>
      </c>
      <c r="H2249" s="1100"/>
      <c r="I2249" s="1101"/>
      <c r="J2249" s="870" t="s">
        <v>1246</v>
      </c>
      <c r="K2249" s="784" t="s">
        <v>1247</v>
      </c>
      <c r="L2249" s="876"/>
      <c r="M2249" s="885"/>
      <c r="N2249" s="876" t="str">
        <f>CONCATENATE("Total (",IF(MID(B2249,1,2)="LG",VLOOKUP(B2249,'[2]Compos lug'!J:M,4,FALSE),IF(MID(B2249,1,1)="6","t",VLOOKUP(B2249,'[2]DER 06-16'!$A$1:$I$1981,3,FALSE))),")")</f>
        <v>Total (h)</v>
      </c>
      <c r="O2249" s="351"/>
      <c r="P2249" s="880"/>
      <c r="Q2249" s="880"/>
      <c r="R2249" s="902"/>
      <c r="S2249" s="738">
        <f t="shared" si="173"/>
        <v>57</v>
      </c>
      <c r="T2249" s="738" t="str">
        <f t="shared" si="174"/>
        <v>h</v>
      </c>
      <c r="U2249" s="738"/>
    </row>
    <row r="2250" spans="1:27" x14ac:dyDescent="0.2">
      <c r="A2250" s="895"/>
      <c r="B2250" s="346"/>
      <c r="C2250" s="427" t="s">
        <v>1282</v>
      </c>
      <c r="D2250" s="1059">
        <v>2</v>
      </c>
      <c r="E2250" s="1060"/>
      <c r="F2250" s="1061"/>
      <c r="G2250" s="1099"/>
      <c r="H2250" s="1100"/>
      <c r="I2250" s="1101"/>
      <c r="J2250" s="349">
        <v>171</v>
      </c>
      <c r="K2250" s="783">
        <v>60</v>
      </c>
      <c r="L2250" s="876"/>
      <c r="M2250" s="885"/>
      <c r="N2250" s="876">
        <f>D2250*2*J2250/K2250</f>
        <v>11.4</v>
      </c>
      <c r="O2250" s="351"/>
      <c r="P2250" s="880"/>
      <c r="Q2250" s="880"/>
      <c r="R2250" s="902"/>
      <c r="S2250" s="738">
        <f t="shared" si="173"/>
        <v>57</v>
      </c>
      <c r="T2250" s="738" t="str">
        <f t="shared" si="174"/>
        <v>h</v>
      </c>
      <c r="U2250" s="738"/>
    </row>
    <row r="2251" spans="1:27" ht="12.75" customHeight="1" x14ac:dyDescent="0.2">
      <c r="A2251" s="895"/>
      <c r="B2251" s="346"/>
      <c r="C2251" s="427" t="s">
        <v>1260</v>
      </c>
      <c r="D2251" s="1059">
        <v>2</v>
      </c>
      <c r="E2251" s="1060"/>
      <c r="F2251" s="1061"/>
      <c r="G2251" s="1099" t="s">
        <v>1261</v>
      </c>
      <c r="H2251" s="1100"/>
      <c r="I2251" s="1101"/>
      <c r="J2251" s="349">
        <v>171</v>
      </c>
      <c r="K2251" s="783">
        <v>60</v>
      </c>
      <c r="L2251" s="876"/>
      <c r="M2251" s="885"/>
      <c r="N2251" s="1102">
        <f>ROUNDUP((J2253/K2253)*2,1)</f>
        <v>5.7</v>
      </c>
      <c r="O2251" s="351"/>
      <c r="P2251" s="880"/>
      <c r="Q2251" s="880"/>
      <c r="R2251" s="902"/>
      <c r="S2251" s="738">
        <f t="shared" si="173"/>
        <v>57</v>
      </c>
      <c r="T2251" s="738" t="str">
        <f t="shared" si="174"/>
        <v>h</v>
      </c>
      <c r="U2251" s="738"/>
    </row>
    <row r="2252" spans="1:27" ht="12.75" customHeight="1" x14ac:dyDescent="0.2">
      <c r="A2252" s="895"/>
      <c r="B2252" s="346"/>
      <c r="C2252" s="427" t="s">
        <v>1283</v>
      </c>
      <c r="D2252" s="1059">
        <v>1</v>
      </c>
      <c r="E2252" s="1060"/>
      <c r="F2252" s="1061"/>
      <c r="G2252" s="1099" t="s">
        <v>1261</v>
      </c>
      <c r="H2252" s="1100"/>
      <c r="I2252" s="1101"/>
      <c r="J2252" s="349">
        <v>171</v>
      </c>
      <c r="K2252" s="783">
        <v>60</v>
      </c>
      <c r="L2252" s="876"/>
      <c r="M2252" s="885"/>
      <c r="N2252" s="1102"/>
      <c r="O2252" s="351"/>
      <c r="P2252" s="880"/>
      <c r="Q2252" s="880"/>
      <c r="R2252" s="902"/>
      <c r="S2252" s="738">
        <f t="shared" si="173"/>
        <v>57</v>
      </c>
      <c r="T2252" s="738" t="str">
        <f t="shared" si="174"/>
        <v>h</v>
      </c>
      <c r="U2252" s="738"/>
    </row>
    <row r="2253" spans="1:27" ht="12.75" customHeight="1" x14ac:dyDescent="0.2">
      <c r="A2253" s="895"/>
      <c r="B2253" s="346"/>
      <c r="C2253" s="427" t="s">
        <v>1262</v>
      </c>
      <c r="D2253" s="1059">
        <v>2</v>
      </c>
      <c r="E2253" s="1060"/>
      <c r="F2253" s="1061"/>
      <c r="G2253" s="1099" t="s">
        <v>1261</v>
      </c>
      <c r="H2253" s="1100"/>
      <c r="I2253" s="1101"/>
      <c r="J2253" s="349">
        <v>171</v>
      </c>
      <c r="K2253" s="783">
        <v>60</v>
      </c>
      <c r="L2253" s="876"/>
      <c r="M2253" s="885"/>
      <c r="N2253" s="1102"/>
      <c r="O2253" s="351"/>
      <c r="P2253" s="880"/>
      <c r="Q2253" s="880"/>
      <c r="R2253" s="902"/>
      <c r="S2253" s="738">
        <f t="shared" si="173"/>
        <v>57</v>
      </c>
      <c r="T2253" s="738" t="str">
        <f t="shared" si="174"/>
        <v>h</v>
      </c>
      <c r="U2253" s="738"/>
    </row>
    <row r="2254" spans="1:27" ht="12.75" customHeight="1" x14ac:dyDescent="0.2">
      <c r="A2254" s="895"/>
      <c r="B2254" s="346"/>
      <c r="C2254" s="427" t="s">
        <v>1263</v>
      </c>
      <c r="D2254" s="1059">
        <v>2</v>
      </c>
      <c r="E2254" s="1060"/>
      <c r="F2254" s="1061"/>
      <c r="G2254" s="1099" t="s">
        <v>1261</v>
      </c>
      <c r="H2254" s="1100"/>
      <c r="I2254" s="1101"/>
      <c r="J2254" s="349">
        <v>171</v>
      </c>
      <c r="K2254" s="783">
        <v>60</v>
      </c>
      <c r="L2254" s="876"/>
      <c r="M2254" s="885"/>
      <c r="N2254" s="1102"/>
      <c r="O2254" s="351"/>
      <c r="P2254" s="880"/>
      <c r="Q2254" s="880"/>
      <c r="R2254" s="902"/>
      <c r="S2254" s="738">
        <f t="shared" si="173"/>
        <v>57</v>
      </c>
      <c r="T2254" s="738" t="str">
        <f t="shared" si="174"/>
        <v>h</v>
      </c>
      <c r="U2254" s="738"/>
    </row>
    <row r="2255" spans="1:27" ht="12.75" customHeight="1" x14ac:dyDescent="0.2">
      <c r="A2255" s="895"/>
      <c r="B2255" s="346"/>
      <c r="C2255" s="427" t="s">
        <v>1284</v>
      </c>
      <c r="D2255" s="1059">
        <v>1</v>
      </c>
      <c r="E2255" s="1060"/>
      <c r="F2255" s="1061"/>
      <c r="G2255" s="1099" t="s">
        <v>1264</v>
      </c>
      <c r="H2255" s="1100"/>
      <c r="I2255" s="1101"/>
      <c r="J2255" s="349">
        <v>171</v>
      </c>
      <c r="K2255" s="783">
        <v>60</v>
      </c>
      <c r="L2255" s="876"/>
      <c r="M2255" s="885"/>
      <c r="N2255" s="1102">
        <f>ROUNDUP((J2256/K2256)*2,1)</f>
        <v>5.7</v>
      </c>
      <c r="O2255" s="351"/>
      <c r="P2255" s="880"/>
      <c r="Q2255" s="880"/>
      <c r="R2255" s="902"/>
      <c r="S2255" s="738">
        <f t="shared" si="173"/>
        <v>57</v>
      </c>
      <c r="T2255" s="738" t="str">
        <f t="shared" si="174"/>
        <v>h</v>
      </c>
      <c r="U2255" s="738"/>
    </row>
    <row r="2256" spans="1:27" ht="12.75" customHeight="1" x14ac:dyDescent="0.2">
      <c r="A2256" s="895"/>
      <c r="B2256" s="346"/>
      <c r="C2256" s="427" t="s">
        <v>1255</v>
      </c>
      <c r="D2256" s="1059">
        <v>2</v>
      </c>
      <c r="E2256" s="1060"/>
      <c r="F2256" s="1061"/>
      <c r="G2256" s="1099" t="s">
        <v>1264</v>
      </c>
      <c r="H2256" s="1100"/>
      <c r="I2256" s="1101"/>
      <c r="J2256" s="349">
        <v>171</v>
      </c>
      <c r="K2256" s="783">
        <v>60</v>
      </c>
      <c r="L2256" s="876"/>
      <c r="M2256" s="885"/>
      <c r="N2256" s="1102"/>
      <c r="O2256" s="351"/>
      <c r="P2256" s="880"/>
      <c r="Q2256" s="880"/>
      <c r="R2256" s="902"/>
      <c r="S2256" s="738">
        <f t="shared" si="173"/>
        <v>57</v>
      </c>
      <c r="T2256" s="738" t="str">
        <f t="shared" si="174"/>
        <v>h</v>
      </c>
      <c r="U2256" s="738"/>
    </row>
    <row r="2257" spans="1:31" ht="12.75" customHeight="1" x14ac:dyDescent="0.2">
      <c r="A2257" s="895"/>
      <c r="B2257" s="346"/>
      <c r="C2257" s="427" t="s">
        <v>1256</v>
      </c>
      <c r="D2257" s="1059">
        <v>2</v>
      </c>
      <c r="E2257" s="1060"/>
      <c r="F2257" s="1061"/>
      <c r="G2257" s="1099" t="s">
        <v>1264</v>
      </c>
      <c r="H2257" s="1100"/>
      <c r="I2257" s="1101"/>
      <c r="J2257" s="349">
        <v>171</v>
      </c>
      <c r="K2257" s="783">
        <v>60</v>
      </c>
      <c r="L2257" s="876"/>
      <c r="M2257" s="885"/>
      <c r="N2257" s="1102"/>
      <c r="O2257" s="351"/>
      <c r="P2257" s="880"/>
      <c r="Q2257" s="880"/>
      <c r="R2257" s="902"/>
      <c r="S2257" s="738">
        <f t="shared" si="173"/>
        <v>57</v>
      </c>
      <c r="T2257" s="738" t="str">
        <f t="shared" si="174"/>
        <v>h</v>
      </c>
      <c r="U2257" s="738"/>
    </row>
    <row r="2258" spans="1:31" ht="12.75" customHeight="1" x14ac:dyDescent="0.2">
      <c r="A2258" s="895"/>
      <c r="B2258" s="346"/>
      <c r="C2258" s="427" t="s">
        <v>1285</v>
      </c>
      <c r="D2258" s="1059">
        <v>1</v>
      </c>
      <c r="E2258" s="1060"/>
      <c r="F2258" s="1061"/>
      <c r="G2258" s="1099" t="s">
        <v>1265</v>
      </c>
      <c r="H2258" s="1100"/>
      <c r="I2258" s="1101"/>
      <c r="J2258" s="349">
        <v>171</v>
      </c>
      <c r="K2258" s="783">
        <v>60</v>
      </c>
      <c r="L2258" s="876"/>
      <c r="M2258" s="885"/>
      <c r="N2258" s="1103">
        <f>ROUNDUP((J2259/K2259)*2,1)</f>
        <v>5.7</v>
      </c>
      <c r="O2258" s="351"/>
      <c r="P2258" s="880"/>
      <c r="Q2258" s="880"/>
      <c r="R2258" s="902"/>
      <c r="S2258" s="738">
        <f t="shared" ref="S2258:S2288" si="179">VLOOKUP("Total",C2259:O3995,12,FALSE)</f>
        <v>57</v>
      </c>
      <c r="T2258" s="738" t="str">
        <f t="shared" ref="T2258:T2288" si="180">VLOOKUP("Total",C2259:O3995,13,FALSE)</f>
        <v>h</v>
      </c>
      <c r="U2258" s="738"/>
    </row>
    <row r="2259" spans="1:31" ht="12.75" customHeight="1" x14ac:dyDescent="0.2">
      <c r="A2259" s="895"/>
      <c r="B2259" s="346"/>
      <c r="C2259" s="427" t="s">
        <v>1286</v>
      </c>
      <c r="D2259" s="1059">
        <v>1</v>
      </c>
      <c r="E2259" s="1060"/>
      <c r="F2259" s="1061"/>
      <c r="G2259" s="1099" t="s">
        <v>1265</v>
      </c>
      <c r="H2259" s="1100"/>
      <c r="I2259" s="1101"/>
      <c r="J2259" s="349">
        <v>171</v>
      </c>
      <c r="K2259" s="783">
        <v>60</v>
      </c>
      <c r="L2259" s="876"/>
      <c r="M2259" s="885"/>
      <c r="N2259" s="1103"/>
      <c r="O2259" s="351"/>
      <c r="P2259" s="880"/>
      <c r="Q2259" s="880"/>
      <c r="R2259" s="902"/>
      <c r="S2259" s="738">
        <f t="shared" si="179"/>
        <v>57</v>
      </c>
      <c r="T2259" s="738" t="str">
        <f t="shared" si="180"/>
        <v>h</v>
      </c>
      <c r="U2259" s="738"/>
    </row>
    <row r="2260" spans="1:31" ht="12.75" customHeight="1" x14ac:dyDescent="0.2">
      <c r="A2260" s="895"/>
      <c r="B2260" s="346"/>
      <c r="C2260" s="427" t="s">
        <v>1527</v>
      </c>
      <c r="D2260" s="1059">
        <v>1</v>
      </c>
      <c r="E2260" s="1060"/>
      <c r="F2260" s="1061"/>
      <c r="G2260" s="1099" t="s">
        <v>1265</v>
      </c>
      <c r="H2260" s="1100"/>
      <c r="I2260" s="1101"/>
      <c r="J2260" s="349">
        <v>171</v>
      </c>
      <c r="K2260" s="783">
        <v>60</v>
      </c>
      <c r="L2260" s="876"/>
      <c r="M2260" s="885"/>
      <c r="N2260" s="876"/>
      <c r="O2260" s="351"/>
      <c r="P2260" s="880"/>
      <c r="Q2260" s="880"/>
      <c r="R2260" s="902"/>
      <c r="S2260" s="738">
        <f t="shared" si="179"/>
        <v>57</v>
      </c>
      <c r="T2260" s="738" t="str">
        <f t="shared" si="180"/>
        <v>h</v>
      </c>
      <c r="U2260" s="738"/>
    </row>
    <row r="2261" spans="1:31" x14ac:dyDescent="0.2">
      <c r="A2261" s="895"/>
      <c r="B2261" s="346"/>
      <c r="C2261" s="427" t="s">
        <v>1258</v>
      </c>
      <c r="D2261" s="1059">
        <v>1</v>
      </c>
      <c r="E2261" s="1060"/>
      <c r="F2261" s="1061"/>
      <c r="G2261" s="1059"/>
      <c r="H2261" s="1060"/>
      <c r="I2261" s="1061"/>
      <c r="J2261" s="349">
        <v>171</v>
      </c>
      <c r="K2261" s="783">
        <v>60</v>
      </c>
      <c r="L2261" s="876"/>
      <c r="M2261" s="885"/>
      <c r="N2261" s="875">
        <f>ROUNDUP((2*J2261/K2261),1)</f>
        <v>5.7</v>
      </c>
      <c r="O2261" s="351"/>
      <c r="P2261" s="880"/>
      <c r="Q2261" s="880"/>
      <c r="R2261" s="902"/>
      <c r="S2261" s="738">
        <f t="shared" si="179"/>
        <v>57</v>
      </c>
      <c r="T2261" s="738" t="str">
        <f t="shared" si="180"/>
        <v>h</v>
      </c>
      <c r="U2261" s="738"/>
    </row>
    <row r="2262" spans="1:31" x14ac:dyDescent="0.2">
      <c r="A2262" s="895"/>
      <c r="B2262" s="346"/>
      <c r="C2262" s="427" t="s">
        <v>1259</v>
      </c>
      <c r="D2262" s="1059">
        <v>1</v>
      </c>
      <c r="E2262" s="1060"/>
      <c r="F2262" s="1061"/>
      <c r="G2262" s="1099"/>
      <c r="H2262" s="1100"/>
      <c r="I2262" s="1101"/>
      <c r="J2262" s="349">
        <v>171</v>
      </c>
      <c r="K2262" s="783">
        <v>60</v>
      </c>
      <c r="L2262" s="346"/>
      <c r="M2262" s="346"/>
      <c r="N2262" s="785">
        <f t="shared" ref="N2262:N2265" si="181">ROUNDUP((2*J2262/K2262),1)</f>
        <v>5.7</v>
      </c>
      <c r="O2262" s="351"/>
      <c r="P2262" s="880"/>
      <c r="Q2262" s="880"/>
      <c r="R2262" s="902"/>
      <c r="S2262" s="738">
        <f t="shared" si="179"/>
        <v>57</v>
      </c>
      <c r="T2262" s="738" t="str">
        <f t="shared" si="180"/>
        <v>h</v>
      </c>
      <c r="U2262" s="738"/>
    </row>
    <row r="2263" spans="1:31" x14ac:dyDescent="0.2">
      <c r="A2263" s="895"/>
      <c r="B2263" s="346"/>
      <c r="C2263" s="427" t="s">
        <v>1269</v>
      </c>
      <c r="D2263" s="1059">
        <v>1</v>
      </c>
      <c r="E2263" s="1060"/>
      <c r="F2263" s="1061"/>
      <c r="G2263" s="1099"/>
      <c r="H2263" s="1100"/>
      <c r="I2263" s="1101"/>
      <c r="J2263" s="349">
        <v>171</v>
      </c>
      <c r="K2263" s="786">
        <v>60</v>
      </c>
      <c r="L2263" s="345"/>
      <c r="M2263" s="346"/>
      <c r="N2263" s="785">
        <f t="shared" si="181"/>
        <v>5.7</v>
      </c>
      <c r="O2263" s="351"/>
      <c r="P2263" s="880"/>
      <c r="Q2263" s="880"/>
      <c r="R2263" s="902"/>
      <c r="S2263" s="738">
        <f t="shared" si="179"/>
        <v>57</v>
      </c>
      <c r="T2263" s="738" t="str">
        <f t="shared" si="180"/>
        <v>h</v>
      </c>
      <c r="U2263" s="738"/>
    </row>
    <row r="2264" spans="1:31" x14ac:dyDescent="0.2">
      <c r="A2264" s="895"/>
      <c r="B2264" s="346"/>
      <c r="C2264" s="427" t="s">
        <v>1254</v>
      </c>
      <c r="D2264" s="1059">
        <v>1</v>
      </c>
      <c r="E2264" s="1060"/>
      <c r="F2264" s="1061"/>
      <c r="G2264" s="1099"/>
      <c r="H2264" s="1100"/>
      <c r="I2264" s="1101"/>
      <c r="J2264" s="349">
        <v>171</v>
      </c>
      <c r="K2264" s="783">
        <v>60</v>
      </c>
      <c r="L2264" s="876"/>
      <c r="M2264" s="885"/>
      <c r="N2264" s="875">
        <f t="shared" si="181"/>
        <v>5.7</v>
      </c>
      <c r="O2264" s="351"/>
      <c r="P2264" s="880"/>
      <c r="Q2264" s="880"/>
      <c r="R2264" s="902"/>
      <c r="S2264" s="738">
        <f t="shared" si="179"/>
        <v>57</v>
      </c>
      <c r="T2264" s="738" t="str">
        <f t="shared" si="180"/>
        <v>h</v>
      </c>
      <c r="U2264" s="738"/>
    </row>
    <row r="2265" spans="1:31" ht="12.75" customHeight="1" x14ac:dyDescent="0.2">
      <c r="A2265" s="895"/>
      <c r="B2265" s="346"/>
      <c r="C2265" s="427" t="s">
        <v>1598</v>
      </c>
      <c r="D2265" s="1059">
        <v>1</v>
      </c>
      <c r="E2265" s="1060"/>
      <c r="F2265" s="1061"/>
      <c r="G2265" s="1099"/>
      <c r="H2265" s="1100"/>
      <c r="I2265" s="1101"/>
      <c r="J2265" s="349">
        <v>171</v>
      </c>
      <c r="K2265" s="786">
        <v>60</v>
      </c>
      <c r="L2265" s="345"/>
      <c r="M2265" s="346"/>
      <c r="N2265" s="785">
        <f t="shared" si="181"/>
        <v>5.7</v>
      </c>
      <c r="O2265" s="787"/>
      <c r="P2265" s="788"/>
      <c r="Q2265" s="789"/>
      <c r="R2265" s="931"/>
      <c r="S2265" s="738">
        <f t="shared" si="179"/>
        <v>57</v>
      </c>
      <c r="T2265" s="738" t="str">
        <f t="shared" si="180"/>
        <v>h</v>
      </c>
      <c r="U2265" s="771"/>
      <c r="V2265" s="772"/>
      <c r="W2265" s="772"/>
      <c r="X2265" s="772"/>
      <c r="Y2265" s="772"/>
      <c r="Z2265" s="772"/>
      <c r="AA2265" s="772"/>
      <c r="AB2265" s="772"/>
      <c r="AC2265" s="772"/>
      <c r="AD2265" s="772"/>
      <c r="AE2265" s="772"/>
    </row>
    <row r="2266" spans="1:31" s="317" customFormat="1" x14ac:dyDescent="0.2">
      <c r="A2266" s="899"/>
      <c r="B2266" s="353"/>
      <c r="C2266" s="354" t="s">
        <v>2</v>
      </c>
      <c r="D2266" s="355"/>
      <c r="E2266" s="352"/>
      <c r="F2266" s="356"/>
      <c r="G2266" s="355"/>
      <c r="H2266" s="356"/>
      <c r="I2266" s="356"/>
      <c r="J2266" s="353"/>
      <c r="K2266" s="357"/>
      <c r="L2266" s="358"/>
      <c r="M2266" s="359"/>
      <c r="N2266" s="360">
        <f>SUM(N2250:N2265)</f>
        <v>57</v>
      </c>
      <c r="O2266" s="361" t="str">
        <f>IF(MID(B2249,1,2)="LG",VLOOKUP(B2249,'Compos lug'!J:M,4,FALSE),IF(MID(B2249,1,1)="6",VLOOKUP(B2249,tranp.!$A$6:$K$51,3,FALSE),VLOOKUP(B2249,'DER 10-18'!$A$1:$I$1981,3,FALSE)))</f>
        <v>h</v>
      </c>
      <c r="P2266" s="362"/>
      <c r="Q2266" s="362"/>
      <c r="R2266" s="900"/>
      <c r="S2266" s="738">
        <f t="shared" si="179"/>
        <v>81.5</v>
      </c>
      <c r="T2266" s="738" t="str">
        <f t="shared" si="180"/>
        <v>h</v>
      </c>
      <c r="U2266" s="738"/>
      <c r="W2266" s="713"/>
      <c r="X2266" s="713"/>
      <c r="Y2266" s="713"/>
      <c r="Z2266" s="713"/>
      <c r="AA2266" s="713"/>
    </row>
    <row r="2267" spans="1:31" s="317" customFormat="1" x14ac:dyDescent="0.2">
      <c r="A2267" s="294"/>
      <c r="B2267" s="293"/>
      <c r="C2267" s="343"/>
      <c r="D2267" s="290"/>
      <c r="E2267" s="291"/>
      <c r="F2267" s="292"/>
      <c r="G2267" s="290"/>
      <c r="H2267" s="292"/>
      <c r="I2267" s="292"/>
      <c r="J2267" s="769"/>
      <c r="K2267" s="297"/>
      <c r="L2267" s="298"/>
      <c r="M2267" s="299"/>
      <c r="N2267" s="314"/>
      <c r="O2267" s="344"/>
      <c r="P2267" s="315"/>
      <c r="Q2267" s="315"/>
      <c r="R2267" s="903"/>
      <c r="S2267" s="738">
        <f t="shared" si="179"/>
        <v>81.5</v>
      </c>
      <c r="T2267" s="738" t="str">
        <f t="shared" si="180"/>
        <v>h</v>
      </c>
      <c r="U2267" s="738"/>
      <c r="W2267" s="713"/>
      <c r="X2267" s="713"/>
      <c r="Y2267" s="713"/>
      <c r="Z2267" s="713"/>
      <c r="AA2267" s="713"/>
    </row>
    <row r="2268" spans="1:31" ht="25.5" customHeight="1" x14ac:dyDescent="0.2">
      <c r="A2268" s="895" t="s">
        <v>1052</v>
      </c>
      <c r="B2268" s="346">
        <v>41546</v>
      </c>
      <c r="C2268" s="347" t="str">
        <f>IF(MID(B2268,1,2)="LG",VLOOKUP(B2268,'Compos lug'!J:M,3,FALSE),IF(MID(B2268,1,1)="6",VLOOKUP(B2268,tranp.!$A$4:$K$19,11,FALSE)&amp;" -  XP="&amp;TEXT(T2374,"0.000")&amp;" / XR="&amp;TEXT(V2374,"0.000"),VLOOKUP(B2268,'DER 10-18'!$A$1:$I$1981,2,FALSE)))</f>
        <v>Mobilização e desmobilização de caminhão basculante (máximo)</v>
      </c>
      <c r="D2268" s="1099" t="s">
        <v>1244</v>
      </c>
      <c r="E2268" s="1100"/>
      <c r="F2268" s="1101"/>
      <c r="G2268" s="1099"/>
      <c r="H2268" s="1100"/>
      <c r="I2268" s="1101"/>
      <c r="J2268" s="870" t="s">
        <v>1246</v>
      </c>
      <c r="K2268" s="784" t="s">
        <v>1247</v>
      </c>
      <c r="L2268" s="876"/>
      <c r="M2268" s="885"/>
      <c r="N2268" s="876" t="str">
        <f>CONCATENATE("Total (",IF(MID(B2268,1,2)="LG",VLOOKUP(B2268,'[2]Compos lug'!J:M,4,FALSE),IF(MID(B2268,1,1)="6","t",VLOOKUP(B2268,'[2]DER 06-16'!$A$1:$I$1981,3,FALSE))),")")</f>
        <v>Total (h)</v>
      </c>
      <c r="O2268" s="351"/>
      <c r="P2268" s="880"/>
      <c r="Q2268" s="880"/>
      <c r="R2268" s="902"/>
      <c r="S2268" s="738">
        <f t="shared" si="179"/>
        <v>81.5</v>
      </c>
      <c r="T2268" s="738" t="str">
        <f t="shared" si="180"/>
        <v>h</v>
      </c>
      <c r="U2268" s="738"/>
    </row>
    <row r="2269" spans="1:31" x14ac:dyDescent="0.2">
      <c r="A2269" s="895"/>
      <c r="B2269" s="346"/>
      <c r="C2269" s="348" t="s">
        <v>1251</v>
      </c>
      <c r="D2269" s="1059">
        <v>15</v>
      </c>
      <c r="E2269" s="1060"/>
      <c r="F2269" s="1061"/>
      <c r="G2269" s="873"/>
      <c r="H2269" s="873"/>
      <c r="I2269" s="873"/>
      <c r="J2269" s="349">
        <v>163</v>
      </c>
      <c r="K2269" s="350">
        <v>60</v>
      </c>
      <c r="L2269" s="876"/>
      <c r="M2269" s="885"/>
      <c r="N2269" s="876">
        <f>D2269*J2269/K2269*2</f>
        <v>81.5</v>
      </c>
      <c r="O2269" s="351"/>
      <c r="P2269" s="880"/>
      <c r="Q2269" s="880"/>
      <c r="R2269" s="902"/>
      <c r="S2269" s="738">
        <f t="shared" si="179"/>
        <v>81.5</v>
      </c>
      <c r="T2269" s="738" t="str">
        <f t="shared" si="180"/>
        <v>h</v>
      </c>
      <c r="U2269" s="738"/>
    </row>
    <row r="2270" spans="1:31" s="317" customFormat="1" x14ac:dyDescent="0.2">
      <c r="A2270" s="899"/>
      <c r="B2270" s="353"/>
      <c r="C2270" s="354" t="s">
        <v>2</v>
      </c>
      <c r="D2270" s="355"/>
      <c r="E2270" s="352"/>
      <c r="F2270" s="356"/>
      <c r="G2270" s="355"/>
      <c r="H2270" s="356"/>
      <c r="I2270" s="356"/>
      <c r="J2270" s="353"/>
      <c r="K2270" s="357"/>
      <c r="L2270" s="358"/>
      <c r="M2270" s="359"/>
      <c r="N2270" s="360">
        <f>SUM(N2269:N2269)</f>
        <v>81.5</v>
      </c>
      <c r="O2270" s="361" t="str">
        <f>IF(MID(B2268,1,2)="LG",VLOOKUP(B2268,'Compos lug'!J:M,4,FALSE),IF(MID(B2268,1,1)="6",VLOOKUP(B2268,tranp.!$A$6:$K$51,3,FALSE),VLOOKUP(B2268,'DER 10-18'!$A$1:$I$1981,3,FALSE)))</f>
        <v>h</v>
      </c>
      <c r="P2270" s="362"/>
      <c r="Q2270" s="362"/>
      <c r="R2270" s="900"/>
      <c r="S2270" s="738">
        <f t="shared" si="179"/>
        <v>5.43</v>
      </c>
      <c r="T2270" s="738" t="str">
        <f t="shared" si="180"/>
        <v>h</v>
      </c>
      <c r="U2270" s="738"/>
      <c r="W2270" s="713"/>
      <c r="X2270" s="713"/>
      <c r="Y2270" s="713"/>
      <c r="Z2270" s="713"/>
      <c r="AA2270" s="713"/>
    </row>
    <row r="2271" spans="1:31" s="317" customFormat="1" x14ac:dyDescent="0.2">
      <c r="A2271" s="294"/>
      <c r="B2271" s="293"/>
      <c r="C2271" s="343"/>
      <c r="D2271" s="290"/>
      <c r="E2271" s="291"/>
      <c r="F2271" s="292"/>
      <c r="G2271" s="290"/>
      <c r="H2271" s="292"/>
      <c r="I2271" s="292"/>
      <c r="J2271" s="769"/>
      <c r="K2271" s="297"/>
      <c r="L2271" s="298"/>
      <c r="M2271" s="299"/>
      <c r="N2271" s="314"/>
      <c r="O2271" s="344"/>
      <c r="P2271" s="315"/>
      <c r="Q2271" s="315"/>
      <c r="R2271" s="903"/>
      <c r="S2271" s="738">
        <f t="shared" si="179"/>
        <v>5.43</v>
      </c>
      <c r="T2271" s="738" t="str">
        <f t="shared" si="180"/>
        <v>h</v>
      </c>
      <c r="U2271" s="738"/>
      <c r="W2271" s="713"/>
      <c r="X2271" s="713"/>
      <c r="Y2271" s="713"/>
      <c r="Z2271" s="713"/>
      <c r="AA2271" s="713"/>
    </row>
    <row r="2272" spans="1:31" ht="25.5" customHeight="1" x14ac:dyDescent="0.2">
      <c r="A2272" s="895" t="s">
        <v>1053</v>
      </c>
      <c r="B2272" s="346">
        <v>41547</v>
      </c>
      <c r="C2272" s="347" t="str">
        <f>IF(MID(B2272,1,2)="LG",VLOOKUP(B2272,'Compos lug'!J:M,3,FALSE),IF(MID(B2272,1,1)="6",VLOOKUP(B2272,tranp.!$A$4:$K$19,11,FALSE)&amp;" -  XP="&amp;TEXT(T2377,"0.000")&amp;" / XR="&amp;TEXT(V2377,"0.000"),VLOOKUP(B2272,'DER 10-18'!$A$1:$I$1981,2,FALSE)))</f>
        <v>Mobilização e desmobilização de caminhão tanque (6.000 L) (máximo)</v>
      </c>
      <c r="D2272" s="1099" t="s">
        <v>1244</v>
      </c>
      <c r="E2272" s="1100"/>
      <c r="F2272" s="1101"/>
      <c r="G2272" s="1099"/>
      <c r="H2272" s="1100"/>
      <c r="I2272" s="1101"/>
      <c r="J2272" s="870" t="s">
        <v>1246</v>
      </c>
      <c r="K2272" s="784" t="s">
        <v>1247</v>
      </c>
      <c r="L2272" s="876"/>
      <c r="M2272" s="885"/>
      <c r="N2272" s="876" t="str">
        <f>CONCATENATE("Total (",IF(MID(B2272,1,2)="LG",VLOOKUP(B2272,'[2]Compos lug'!J:M,4,FALSE),IF(MID(B2272,1,1)="6","t",VLOOKUP(B2272,'[2]DER 06-16'!$A$1:$I$1981,3,FALSE))),")")</f>
        <v>Total (h)</v>
      </c>
      <c r="O2272" s="351"/>
      <c r="P2272" s="880"/>
      <c r="Q2272" s="880"/>
      <c r="R2272" s="902"/>
      <c r="S2272" s="738">
        <f t="shared" si="179"/>
        <v>5.43</v>
      </c>
      <c r="T2272" s="738" t="str">
        <f t="shared" si="180"/>
        <v>h</v>
      </c>
      <c r="U2272" s="738"/>
    </row>
    <row r="2273" spans="1:27" x14ac:dyDescent="0.2">
      <c r="A2273" s="895"/>
      <c r="B2273" s="346"/>
      <c r="C2273" s="427" t="s">
        <v>1248</v>
      </c>
      <c r="D2273" s="1104">
        <v>1</v>
      </c>
      <c r="E2273" s="1105"/>
      <c r="F2273" s="1106"/>
      <c r="G2273" s="425"/>
      <c r="H2273" s="871"/>
      <c r="I2273" s="406"/>
      <c r="J2273" s="349">
        <v>163</v>
      </c>
      <c r="K2273" s="350">
        <v>60</v>
      </c>
      <c r="N2273" s="876">
        <f>J2273/K2273*2</f>
        <v>5.43</v>
      </c>
      <c r="O2273" s="351"/>
      <c r="P2273" s="880"/>
      <c r="Q2273" s="880"/>
      <c r="R2273" s="902"/>
      <c r="S2273" s="738">
        <f t="shared" si="179"/>
        <v>5.43</v>
      </c>
      <c r="T2273" s="738" t="str">
        <f t="shared" si="180"/>
        <v>h</v>
      </c>
      <c r="U2273" s="738"/>
    </row>
    <row r="2274" spans="1:27" s="317" customFormat="1" x14ac:dyDescent="0.2">
      <c r="A2274" s="899"/>
      <c r="B2274" s="353"/>
      <c r="C2274" s="354" t="s">
        <v>2</v>
      </c>
      <c r="D2274" s="355"/>
      <c r="E2274" s="352"/>
      <c r="F2274" s="356"/>
      <c r="G2274" s="355"/>
      <c r="H2274" s="356"/>
      <c r="I2274" s="356"/>
      <c r="J2274" s="353"/>
      <c r="K2274" s="357"/>
      <c r="L2274" s="358"/>
      <c r="M2274" s="359"/>
      <c r="N2274" s="360">
        <f>SUM(N2273:N2273)</f>
        <v>5.43</v>
      </c>
      <c r="O2274" s="361" t="str">
        <f>IF(MID(B2272,1,2)="LG",VLOOKUP(B2272,'Compos lug'!J:M,4,FALSE),IF(MID(B2272,1,1)="6",VLOOKUP(B2272,tranp.!$A$6:$K$51,3,FALSE),VLOOKUP(B2272,'DER 10-18'!$A$1:$I$1981,3,FALSE)))</f>
        <v>h</v>
      </c>
      <c r="P2274" s="362"/>
      <c r="Q2274" s="362"/>
      <c r="R2274" s="900"/>
      <c r="S2274" s="738">
        <f t="shared" si="179"/>
        <v>1</v>
      </c>
      <c r="T2274" s="738" t="str">
        <f t="shared" si="180"/>
        <v>vb</v>
      </c>
      <c r="U2274" s="738"/>
      <c r="W2274" s="713"/>
      <c r="X2274" s="713"/>
      <c r="Y2274" s="713"/>
      <c r="Z2274" s="713"/>
      <c r="AA2274" s="713"/>
    </row>
    <row r="2275" spans="1:27" x14ac:dyDescent="0.2">
      <c r="A2275" s="294"/>
      <c r="B2275" s="293"/>
      <c r="C2275" s="343"/>
      <c r="H2275" s="292"/>
      <c r="N2275" s="314"/>
      <c r="O2275" s="344"/>
      <c r="P2275" s="315"/>
      <c r="Q2275" s="315"/>
      <c r="R2275" s="903"/>
      <c r="S2275" s="738">
        <f t="shared" si="179"/>
        <v>1</v>
      </c>
      <c r="T2275" s="738" t="str">
        <f t="shared" si="180"/>
        <v>vb</v>
      </c>
      <c r="U2275" s="738"/>
    </row>
    <row r="2276" spans="1:27" x14ac:dyDescent="0.2">
      <c r="A2276" s="906">
        <v>10</v>
      </c>
      <c r="B2276" s="394"/>
      <c r="C2276" s="395" t="s">
        <v>1234</v>
      </c>
      <c r="D2276" s="396"/>
      <c r="E2276" s="397"/>
      <c r="F2276" s="398"/>
      <c r="G2276" s="396"/>
      <c r="H2276" s="397"/>
      <c r="I2276" s="398"/>
      <c r="J2276" s="399"/>
      <c r="K2276" s="400"/>
      <c r="L2276" s="401"/>
      <c r="M2276" s="402"/>
      <c r="N2276" s="401"/>
      <c r="O2276" s="399"/>
      <c r="P2276" s="403"/>
      <c r="Q2276" s="403"/>
      <c r="R2276" s="907"/>
      <c r="S2276" s="738">
        <f t="shared" si="179"/>
        <v>1</v>
      </c>
      <c r="T2276" s="738" t="str">
        <f t="shared" si="180"/>
        <v>vb</v>
      </c>
      <c r="U2276" s="738"/>
    </row>
    <row r="2277" spans="1:27" x14ac:dyDescent="0.2">
      <c r="A2277" s="906" t="s">
        <v>1038</v>
      </c>
      <c r="B2277" s="394"/>
      <c r="C2277" s="739" t="s">
        <v>1238</v>
      </c>
      <c r="D2277" s="396"/>
      <c r="E2277" s="397"/>
      <c r="F2277" s="398"/>
      <c r="G2277" s="396"/>
      <c r="H2277" s="397"/>
      <c r="I2277" s="398"/>
      <c r="J2277" s="399"/>
      <c r="K2277" s="400"/>
      <c r="L2277" s="401"/>
      <c r="M2277" s="402"/>
      <c r="N2277" s="401"/>
      <c r="O2277" s="399"/>
      <c r="P2277" s="403"/>
      <c r="Q2277" s="403"/>
      <c r="R2277" s="907"/>
      <c r="S2277" s="738">
        <f t="shared" si="179"/>
        <v>1</v>
      </c>
      <c r="T2277" s="738" t="str">
        <f t="shared" si="180"/>
        <v>vb</v>
      </c>
      <c r="U2277" s="738"/>
    </row>
    <row r="2278" spans="1:27" s="289" customFormat="1" x14ac:dyDescent="0.2">
      <c r="A2278" s="922" t="s">
        <v>1219</v>
      </c>
      <c r="B2278" s="346" t="s">
        <v>1069</v>
      </c>
      <c r="C2278" s="347" t="str">
        <f>IF(MID(B2278,1,2)="LG",VLOOKUP(B2278,'Compos lug'!J:M,3,FALSE),IF(MID(B2278,1,1)="6",VLOOKUP(B2278,tranp.!$A$4:$K$19,11,FALSE)&amp;" -  XP="&amp;TEXT(T2413,"0.000")&amp;" / XR="&amp;TEXT(V2413,"0.000"),VLOOKUP(B2278,'DER 10-18'!$A$1:$I$1981,2,FALSE)))</f>
        <v>Administração local</v>
      </c>
      <c r="D2278" s="1059"/>
      <c r="E2278" s="1060"/>
      <c r="F2278" s="1061"/>
      <c r="G2278" s="870"/>
      <c r="H2278" s="871"/>
      <c r="I2278" s="406"/>
      <c r="J2278" s="349"/>
      <c r="K2278" s="884"/>
      <c r="L2278" s="298"/>
      <c r="M2278" s="299"/>
      <c r="N2278" s="876" t="str">
        <f>CONCATENATE("Total (",IF(MID(B2278,1,2)="LG",VLOOKUP(B2278,'Compos lug'!J:M,4,FALSE),IF(MID(B2278,1,1)="6","t",VLOOKUP(B2278,'DER 10-18'!$A$1:$I$1981,3,FALSE))),")")</f>
        <v>Total (vb)</v>
      </c>
      <c r="O2278" s="351"/>
      <c r="P2278" s="880"/>
      <c r="Q2278" s="880"/>
      <c r="R2278" s="902"/>
      <c r="S2278" s="738">
        <f t="shared" si="179"/>
        <v>1</v>
      </c>
      <c r="T2278" s="738" t="str">
        <f t="shared" si="180"/>
        <v>vb</v>
      </c>
      <c r="U2278" s="738"/>
      <c r="W2278" s="712"/>
      <c r="X2278" s="712"/>
      <c r="Y2278" s="712"/>
      <c r="Z2278" s="712"/>
      <c r="AA2278" s="712"/>
    </row>
    <row r="2279" spans="1:27" x14ac:dyDescent="0.2">
      <c r="A2279" s="294"/>
      <c r="B2279" s="293"/>
      <c r="C2279" s="348"/>
      <c r="D2279" s="405"/>
      <c r="E2279" s="871"/>
      <c r="F2279" s="406"/>
      <c r="G2279" s="405"/>
      <c r="H2279" s="871"/>
      <c r="I2279" s="406"/>
      <c r="J2279" s="349"/>
      <c r="K2279" s="350"/>
      <c r="N2279" s="876">
        <v>1</v>
      </c>
      <c r="O2279" s="351"/>
      <c r="P2279" s="880"/>
      <c r="Q2279" s="880"/>
      <c r="R2279" s="898"/>
      <c r="S2279" s="738">
        <f t="shared" si="179"/>
        <v>1</v>
      </c>
      <c r="T2279" s="738" t="str">
        <f t="shared" si="180"/>
        <v>vb</v>
      </c>
      <c r="U2279" s="738"/>
    </row>
    <row r="2280" spans="1:27" x14ac:dyDescent="0.2">
      <c r="A2280" s="899"/>
      <c r="B2280" s="353"/>
      <c r="C2280" s="354" t="s">
        <v>2</v>
      </c>
      <c r="D2280" s="355"/>
      <c r="E2280" s="352"/>
      <c r="F2280" s="356"/>
      <c r="G2280" s="355"/>
      <c r="H2280" s="356"/>
      <c r="I2280" s="356"/>
      <c r="J2280" s="353"/>
      <c r="K2280" s="357"/>
      <c r="L2280" s="358"/>
      <c r="M2280" s="359"/>
      <c r="N2280" s="360">
        <f>+N2279</f>
        <v>1</v>
      </c>
      <c r="O2280" s="361" t="str">
        <f>IF(MID(B2278,1,2)="LG",VLOOKUP(B2278,'Compos lug'!J:M,4,FALSE),IF(MID(B2278,1,1)="6",VLOOKUP(B2278,tranp.!$A$6:$K$51,3,FALSE),VLOOKUP(B2278,'DER 10-18'!$A$1:$I$1981,3,FALSE)))</f>
        <v>vb</v>
      </c>
      <c r="P2280" s="362"/>
      <c r="Q2280" s="362"/>
      <c r="R2280" s="900"/>
      <c r="S2280" s="738">
        <f t="shared" si="179"/>
        <v>12</v>
      </c>
      <c r="T2280" s="738" t="str">
        <f t="shared" si="180"/>
        <v>mês</v>
      </c>
      <c r="U2280" s="738"/>
    </row>
    <row r="2281" spans="1:27" x14ac:dyDescent="0.2">
      <c r="A2281" s="294"/>
      <c r="B2281" s="293"/>
      <c r="C2281" s="343"/>
      <c r="H2281" s="292"/>
      <c r="N2281" s="314"/>
      <c r="O2281" s="344"/>
      <c r="P2281" s="315"/>
      <c r="Q2281" s="315"/>
      <c r="R2281" s="903"/>
      <c r="S2281" s="738">
        <f t="shared" si="179"/>
        <v>12</v>
      </c>
      <c r="T2281" s="738" t="str">
        <f t="shared" si="180"/>
        <v>mês</v>
      </c>
      <c r="U2281" s="738"/>
    </row>
    <row r="2282" spans="1:27" x14ac:dyDescent="0.2">
      <c r="A2282" s="893" t="s">
        <v>1081</v>
      </c>
      <c r="B2282" s="293"/>
      <c r="C2282" s="739" t="s">
        <v>1239</v>
      </c>
      <c r="H2282" s="292"/>
      <c r="N2282" s="314"/>
      <c r="O2282" s="344"/>
      <c r="P2282" s="315"/>
      <c r="Q2282" s="315"/>
      <c r="R2282" s="903"/>
      <c r="S2282" s="738">
        <f t="shared" si="179"/>
        <v>12</v>
      </c>
      <c r="T2282" s="738" t="str">
        <f t="shared" si="180"/>
        <v>mês</v>
      </c>
      <c r="U2282" s="738"/>
    </row>
    <row r="2283" spans="1:27" x14ac:dyDescent="0.2">
      <c r="A2283" s="895" t="s">
        <v>1220</v>
      </c>
      <c r="B2283" s="346" t="s">
        <v>1904</v>
      </c>
      <c r="C2283" s="347" t="str">
        <f>IF(MID(B2283,1,2)="LG",VLOOKUP(B2283,'Compos lug'!J:M,3,FALSE),IF(MID(B2283,1,1)="6",VLOOKUP(B2283,tranp.!$A$4:$K$19,11,FALSE)&amp;" -  XP="&amp;TEXT(T2417,"0.000")&amp;" / XR="&amp;TEXT(V2417,"0.000"),VLOOKUP(B2283,'DER 10-18'!$A$1:$I$1981,2,FALSE)))</f>
        <v>Equipe de Topografia</v>
      </c>
      <c r="D2283" s="1059"/>
      <c r="E2283" s="1060"/>
      <c r="F2283" s="1061"/>
      <c r="G2283" s="870"/>
      <c r="H2283" s="871"/>
      <c r="I2283" s="406"/>
      <c r="J2283" s="349"/>
      <c r="K2283" s="884"/>
      <c r="L2283" s="876" t="s">
        <v>996</v>
      </c>
      <c r="M2283" s="885" t="s">
        <v>155</v>
      </c>
      <c r="N2283" s="876" t="str">
        <f>CONCATENATE("Total (",IF(MID(B2283,1,2)="LG",VLOOKUP(B2283,'Compos lug'!J:M,4,FALSE),IF(MID(B2283,1,1)="6","t",VLOOKUP(B2283,'DER 10-18'!$A$1:$I$1981,3,FALSE))),")")</f>
        <v>Total (mês)</v>
      </c>
      <c r="O2283" s="351"/>
      <c r="P2283" s="880"/>
      <c r="Q2283" s="880"/>
      <c r="R2283" s="902"/>
      <c r="S2283" s="738">
        <f t="shared" si="179"/>
        <v>12</v>
      </c>
      <c r="T2283" s="738" t="str">
        <f t="shared" si="180"/>
        <v>mês</v>
      </c>
      <c r="U2283" s="738"/>
    </row>
    <row r="2284" spans="1:27" s="289" customFormat="1" x14ac:dyDescent="0.2">
      <c r="A2284" s="294"/>
      <c r="B2284" s="318"/>
      <c r="C2284" s="348"/>
      <c r="D2284" s="405"/>
      <c r="E2284" s="871"/>
      <c r="F2284" s="406"/>
      <c r="G2284" s="405"/>
      <c r="H2284" s="871"/>
      <c r="I2284" s="406"/>
      <c r="J2284" s="349"/>
      <c r="K2284" s="350"/>
      <c r="L2284" s="298">
        <v>1</v>
      </c>
      <c r="M2284" s="299">
        <v>12</v>
      </c>
      <c r="N2284" s="876">
        <f>M2284*L2284</f>
        <v>12</v>
      </c>
      <c r="O2284" s="351"/>
      <c r="P2284" s="880"/>
      <c r="Q2284" s="880"/>
      <c r="R2284" s="898"/>
      <c r="S2284" s="738">
        <f t="shared" si="179"/>
        <v>12</v>
      </c>
      <c r="T2284" s="738" t="str">
        <f t="shared" si="180"/>
        <v>mês</v>
      </c>
      <c r="U2284" s="738"/>
      <c r="W2284" s="712"/>
      <c r="X2284" s="712"/>
      <c r="Y2284" s="712"/>
      <c r="Z2284" s="712"/>
      <c r="AA2284" s="712"/>
    </row>
    <row r="2285" spans="1:27" x14ac:dyDescent="0.2">
      <c r="A2285" s="899"/>
      <c r="B2285" s="353"/>
      <c r="C2285" s="354" t="s">
        <v>2</v>
      </c>
      <c r="D2285" s="355"/>
      <c r="E2285" s="352"/>
      <c r="F2285" s="356"/>
      <c r="G2285" s="355"/>
      <c r="H2285" s="356"/>
      <c r="I2285" s="356"/>
      <c r="J2285" s="353"/>
      <c r="K2285" s="357"/>
      <c r="L2285" s="358"/>
      <c r="M2285" s="359"/>
      <c r="N2285" s="360">
        <f>+N2284</f>
        <v>12</v>
      </c>
      <c r="O2285" s="361" t="str">
        <f>IF(MID(B2283,1,2)="LG",VLOOKUP(B2283,'Compos lug'!J:M,4,FALSE),IF(MID(B2283,1,1)="6",VLOOKUP(B2283,tranp.!$A$6:$K$51,3,FALSE),VLOOKUP(B2283,'DER 10-18'!$A$1:$I$1981,3,FALSE)))</f>
        <v>mês</v>
      </c>
      <c r="P2285" s="362"/>
      <c r="Q2285" s="362"/>
      <c r="R2285" s="900"/>
      <c r="S2285" s="738">
        <f t="shared" si="179"/>
        <v>12</v>
      </c>
      <c r="T2285" s="738" t="str">
        <f t="shared" si="180"/>
        <v>mês</v>
      </c>
      <c r="U2285" s="738"/>
    </row>
    <row r="2286" spans="1:27" x14ac:dyDescent="0.2">
      <c r="A2286" s="294"/>
      <c r="B2286" s="293"/>
      <c r="C2286" s="343"/>
      <c r="H2286" s="292"/>
      <c r="N2286" s="314"/>
      <c r="O2286" s="344"/>
      <c r="P2286" s="315"/>
      <c r="Q2286" s="315"/>
      <c r="R2286" s="903"/>
      <c r="S2286" s="738">
        <f t="shared" si="179"/>
        <v>12</v>
      </c>
      <c r="T2286" s="738" t="str">
        <f t="shared" si="180"/>
        <v>mês</v>
      </c>
      <c r="U2286" s="738"/>
    </row>
    <row r="2287" spans="1:27" x14ac:dyDescent="0.2">
      <c r="A2287" s="895" t="s">
        <v>1221</v>
      </c>
      <c r="B2287" s="346" t="s">
        <v>1083</v>
      </c>
      <c r="C2287" s="347" t="str">
        <f>IF(MID(B2287,1,2)="LG",VLOOKUP(B2287,'Compos lug'!J:M,3,FALSE),IF(MID(B2287,1,1)="6",VLOOKUP(B2287,tranp.!$A$4:$K$19,11,FALSE)&amp;" -  XP="&amp;TEXT(T2421,"0.000")&amp;" / XR="&amp;TEXT(V2421,"0.000"),VLOOKUP(B2287,'DER 10-18'!$A$1:$I$1981,2,FALSE)))</f>
        <v>Equipe de Laboratório</v>
      </c>
      <c r="D2287" s="1059"/>
      <c r="E2287" s="1060"/>
      <c r="F2287" s="1061"/>
      <c r="G2287" s="870"/>
      <c r="H2287" s="871"/>
      <c r="I2287" s="406"/>
      <c r="J2287" s="349"/>
      <c r="K2287" s="884"/>
      <c r="L2287" s="876" t="s">
        <v>996</v>
      </c>
      <c r="M2287" s="885" t="s">
        <v>155</v>
      </c>
      <c r="N2287" s="876" t="str">
        <f>CONCATENATE("Total (",IF(MID(B2287,1,2)="LG",VLOOKUP(B2287,'Compos lug'!J:M,4,FALSE),IF(MID(B2287,1,1)="6","t",VLOOKUP(B2287,'DER 10-18'!$A$1:$I$1981,3,FALSE))),")")</f>
        <v>Total (mês)</v>
      </c>
      <c r="O2287" s="351"/>
      <c r="P2287" s="880"/>
      <c r="Q2287" s="880"/>
      <c r="R2287" s="902"/>
      <c r="S2287" s="738">
        <f t="shared" si="179"/>
        <v>12</v>
      </c>
      <c r="T2287" s="738" t="str">
        <f t="shared" si="180"/>
        <v>mês</v>
      </c>
      <c r="U2287" s="738"/>
    </row>
    <row r="2288" spans="1:27" s="289" customFormat="1" x14ac:dyDescent="0.2">
      <c r="A2288" s="294"/>
      <c r="B2288" s="293"/>
      <c r="C2288" s="348"/>
      <c r="D2288" s="405"/>
      <c r="E2288" s="871"/>
      <c r="F2288" s="406"/>
      <c r="G2288" s="405"/>
      <c r="H2288" s="871"/>
      <c r="I2288" s="406"/>
      <c r="J2288" s="349"/>
      <c r="K2288" s="350"/>
      <c r="L2288" s="298">
        <v>1</v>
      </c>
      <c r="M2288" s="299">
        <v>12</v>
      </c>
      <c r="N2288" s="876">
        <f>M2288*L2288</f>
        <v>12</v>
      </c>
      <c r="O2288" s="351"/>
      <c r="P2288" s="880"/>
      <c r="Q2288" s="880"/>
      <c r="R2288" s="898"/>
      <c r="S2288" s="738">
        <f t="shared" si="179"/>
        <v>12</v>
      </c>
      <c r="T2288" s="738" t="str">
        <f t="shared" si="180"/>
        <v>mês</v>
      </c>
      <c r="U2288" s="738"/>
      <c r="W2288" s="712"/>
      <c r="X2288" s="712"/>
      <c r="Y2288" s="712"/>
      <c r="Z2288" s="712"/>
      <c r="AA2288" s="712"/>
    </row>
    <row r="2289" spans="1:27" x14ac:dyDescent="0.2">
      <c r="A2289" s="899"/>
      <c r="B2289" s="353"/>
      <c r="C2289" s="354" t="s">
        <v>2</v>
      </c>
      <c r="D2289" s="355"/>
      <c r="E2289" s="352"/>
      <c r="F2289" s="356"/>
      <c r="G2289" s="355"/>
      <c r="H2289" s="356"/>
      <c r="I2289" s="356"/>
      <c r="J2289" s="353"/>
      <c r="K2289" s="357"/>
      <c r="L2289" s="358"/>
      <c r="M2289" s="359"/>
      <c r="N2289" s="360">
        <f>+N2288</f>
        <v>12</v>
      </c>
      <c r="O2289" s="361" t="str">
        <f>IF(MID(B2287,1,2)="LG",VLOOKUP(B2287,'Compos lug'!J:M,4,FALSE),IF(MID(B2287,1,1)="6",VLOOKUP(B2287,tranp.!$A$6:$K$51,3,FALSE),VLOOKUP(B2287,'DER 10-18'!$A$1:$I$1981,3,FALSE)))</f>
        <v>mês</v>
      </c>
      <c r="P2289" s="362"/>
      <c r="Q2289" s="362"/>
      <c r="R2289" s="900"/>
      <c r="S2289" s="738"/>
      <c r="T2289" s="738"/>
      <c r="U2289" s="738"/>
    </row>
    <row r="2290" spans="1:27" x14ac:dyDescent="0.2">
      <c r="B2290" s="293"/>
      <c r="S2290" s="738"/>
      <c r="T2290" s="738"/>
    </row>
    <row r="2291" spans="1:27" s="289" customFormat="1" x14ac:dyDescent="0.2">
      <c r="A2291" s="291"/>
      <c r="B2291" s="293"/>
      <c r="C2291" s="290"/>
      <c r="D2291" s="290"/>
      <c r="E2291" s="291"/>
      <c r="F2291" s="292"/>
      <c r="G2291" s="290"/>
      <c r="H2291" s="291"/>
      <c r="I2291" s="292"/>
      <c r="J2291" s="293"/>
      <c r="K2291" s="297"/>
      <c r="L2291" s="298"/>
      <c r="M2291" s="299"/>
      <c r="N2291" s="640"/>
      <c r="O2291" s="295"/>
      <c r="P2291" s="301"/>
      <c r="Q2291" s="301"/>
      <c r="R2291" s="296"/>
      <c r="S2291" s="738"/>
      <c r="T2291" s="738"/>
      <c r="W2291" s="712"/>
      <c r="X2291" s="712"/>
      <c r="Y2291" s="712"/>
      <c r="Z2291" s="712"/>
      <c r="AA2291" s="712"/>
    </row>
    <row r="2292" spans="1:27" x14ac:dyDescent="0.2">
      <c r="B2292" s="293"/>
      <c r="S2292" s="738"/>
      <c r="T2292" s="738"/>
    </row>
    <row r="2293" spans="1:27" x14ac:dyDescent="0.2">
      <c r="B2293" s="293"/>
      <c r="S2293" s="738"/>
      <c r="T2293" s="738"/>
    </row>
    <row r="2294" spans="1:27" x14ac:dyDescent="0.2">
      <c r="B2294" s="293"/>
      <c r="S2294" s="738"/>
      <c r="T2294" s="738"/>
    </row>
    <row r="2295" spans="1:27" s="289" customFormat="1" x14ac:dyDescent="0.2">
      <c r="A2295" s="291"/>
      <c r="B2295" s="293"/>
      <c r="C2295" s="290"/>
      <c r="D2295" s="290"/>
      <c r="E2295" s="291"/>
      <c r="F2295" s="292"/>
      <c r="G2295" s="290"/>
      <c r="H2295" s="291"/>
      <c r="I2295" s="292"/>
      <c r="J2295" s="293"/>
      <c r="K2295" s="297"/>
      <c r="L2295" s="298"/>
      <c r="M2295" s="299"/>
      <c r="N2295" s="640"/>
      <c r="O2295" s="295"/>
      <c r="P2295" s="301"/>
      <c r="Q2295" s="301"/>
      <c r="R2295" s="296"/>
      <c r="S2295" s="738"/>
      <c r="T2295" s="738"/>
      <c r="W2295" s="712"/>
      <c r="X2295" s="712"/>
      <c r="Y2295" s="712"/>
      <c r="Z2295" s="712"/>
      <c r="AA2295" s="712"/>
    </row>
    <row r="2296" spans="1:27" x14ac:dyDescent="0.2">
      <c r="B2296" s="293"/>
      <c r="S2296" s="738"/>
      <c r="T2296" s="738"/>
    </row>
    <row r="2297" spans="1:27" x14ac:dyDescent="0.2">
      <c r="B2297" s="293"/>
      <c r="S2297" s="738"/>
      <c r="T2297" s="738"/>
    </row>
    <row r="2298" spans="1:27" x14ac:dyDescent="0.2">
      <c r="B2298" s="293"/>
      <c r="S2298" s="738"/>
      <c r="T2298" s="738"/>
    </row>
    <row r="2299" spans="1:27" s="289" customFormat="1" x14ac:dyDescent="0.2">
      <c r="A2299" s="291"/>
      <c r="B2299" s="293"/>
      <c r="C2299" s="290"/>
      <c r="D2299" s="290"/>
      <c r="E2299" s="291"/>
      <c r="F2299" s="292"/>
      <c r="G2299" s="290"/>
      <c r="H2299" s="291"/>
      <c r="I2299" s="292"/>
      <c r="J2299" s="293"/>
      <c r="K2299" s="297"/>
      <c r="L2299" s="298"/>
      <c r="M2299" s="299"/>
      <c r="N2299" s="640"/>
      <c r="O2299" s="295"/>
      <c r="P2299" s="301"/>
      <c r="Q2299" s="301"/>
      <c r="R2299" s="296"/>
      <c r="S2299" s="738"/>
      <c r="T2299" s="738"/>
      <c r="W2299" s="712"/>
      <c r="X2299" s="712"/>
      <c r="Y2299" s="712"/>
      <c r="Z2299" s="712"/>
      <c r="AA2299" s="712"/>
    </row>
    <row r="2300" spans="1:27" x14ac:dyDescent="0.2">
      <c r="B2300" s="293"/>
      <c r="S2300" s="738"/>
      <c r="T2300" s="738"/>
    </row>
    <row r="2301" spans="1:27" x14ac:dyDescent="0.2">
      <c r="B2301" s="293"/>
      <c r="S2301" s="738"/>
      <c r="T2301" s="738"/>
    </row>
    <row r="2302" spans="1:27" x14ac:dyDescent="0.2">
      <c r="B2302" s="293"/>
      <c r="S2302" s="738"/>
      <c r="T2302" s="738"/>
    </row>
    <row r="2303" spans="1:27" x14ac:dyDescent="0.2">
      <c r="B2303" s="293"/>
      <c r="S2303" s="738"/>
      <c r="T2303" s="738"/>
    </row>
    <row r="2304" spans="1:27" x14ac:dyDescent="0.2">
      <c r="B2304" s="293"/>
      <c r="S2304" s="738"/>
      <c r="T2304" s="738"/>
    </row>
    <row r="2305" spans="1:27" x14ac:dyDescent="0.2">
      <c r="B2305" s="293"/>
      <c r="S2305" s="738"/>
      <c r="T2305" s="738"/>
    </row>
    <row r="2306" spans="1:27" x14ac:dyDescent="0.2">
      <c r="B2306" s="293"/>
      <c r="S2306" s="738"/>
      <c r="T2306" s="738"/>
    </row>
    <row r="2307" spans="1:27" x14ac:dyDescent="0.2">
      <c r="B2307" s="293"/>
      <c r="S2307" s="738"/>
      <c r="T2307" s="738"/>
    </row>
    <row r="2308" spans="1:27" x14ac:dyDescent="0.2">
      <c r="B2308" s="293"/>
      <c r="S2308" s="738"/>
      <c r="T2308" s="738"/>
    </row>
    <row r="2309" spans="1:27" x14ac:dyDescent="0.2">
      <c r="B2309" s="293"/>
      <c r="S2309" s="738"/>
      <c r="T2309" s="738"/>
    </row>
    <row r="2310" spans="1:27" s="289" customFormat="1" x14ac:dyDescent="0.2">
      <c r="A2310" s="291"/>
      <c r="B2310" s="293"/>
      <c r="C2310" s="290"/>
      <c r="D2310" s="290"/>
      <c r="E2310" s="291"/>
      <c r="F2310" s="292"/>
      <c r="G2310" s="290"/>
      <c r="H2310" s="291"/>
      <c r="I2310" s="292"/>
      <c r="J2310" s="293"/>
      <c r="K2310" s="297"/>
      <c r="L2310" s="298"/>
      <c r="M2310" s="299"/>
      <c r="N2310" s="640"/>
      <c r="O2310" s="295"/>
      <c r="P2310" s="301"/>
      <c r="Q2310" s="301"/>
      <c r="R2310" s="296"/>
      <c r="S2310" s="738"/>
      <c r="T2310" s="738"/>
      <c r="W2310" s="712"/>
      <c r="X2310" s="712"/>
      <c r="Y2310" s="712"/>
      <c r="Z2310" s="712"/>
      <c r="AA2310" s="712"/>
    </row>
    <row r="2311" spans="1:27" x14ac:dyDescent="0.2">
      <c r="B2311" s="293"/>
      <c r="S2311" s="738"/>
      <c r="T2311" s="738"/>
    </row>
    <row r="2312" spans="1:27" x14ac:dyDescent="0.2">
      <c r="B2312" s="293"/>
      <c r="S2312" s="738"/>
      <c r="T2312" s="738"/>
    </row>
    <row r="2313" spans="1:27" x14ac:dyDescent="0.2">
      <c r="B2313" s="293"/>
      <c r="S2313" s="738"/>
      <c r="T2313" s="738"/>
    </row>
    <row r="2314" spans="1:27" x14ac:dyDescent="0.2">
      <c r="B2314" s="293"/>
      <c r="S2314" s="738"/>
      <c r="T2314" s="738"/>
    </row>
    <row r="2315" spans="1:27" x14ac:dyDescent="0.2">
      <c r="B2315" s="293"/>
      <c r="S2315" s="738"/>
      <c r="T2315" s="738"/>
    </row>
    <row r="2316" spans="1:27" s="289" customFormat="1" x14ac:dyDescent="0.2">
      <c r="A2316" s="291"/>
      <c r="B2316" s="293"/>
      <c r="C2316" s="290"/>
      <c r="D2316" s="290"/>
      <c r="E2316" s="291"/>
      <c r="F2316" s="292"/>
      <c r="G2316" s="290"/>
      <c r="H2316" s="291"/>
      <c r="I2316" s="292"/>
      <c r="J2316" s="293"/>
      <c r="K2316" s="297"/>
      <c r="L2316" s="298"/>
      <c r="M2316" s="299"/>
      <c r="N2316" s="640"/>
      <c r="O2316" s="295"/>
      <c r="P2316" s="301"/>
      <c r="Q2316" s="301"/>
      <c r="R2316" s="296"/>
      <c r="S2316" s="738"/>
      <c r="T2316" s="738"/>
      <c r="W2316" s="712"/>
      <c r="X2316" s="712"/>
      <c r="Y2316" s="712"/>
      <c r="Z2316" s="712"/>
      <c r="AA2316" s="712"/>
    </row>
    <row r="2317" spans="1:27" x14ac:dyDescent="0.2">
      <c r="S2317" s="738"/>
      <c r="T2317" s="738"/>
    </row>
    <row r="2318" spans="1:27" x14ac:dyDescent="0.2">
      <c r="S2318" s="738"/>
      <c r="T2318" s="738"/>
    </row>
    <row r="2319" spans="1:27" x14ac:dyDescent="0.2">
      <c r="S2319" s="738"/>
      <c r="T2319" s="738"/>
    </row>
    <row r="2320" spans="1:27" s="289" customFormat="1" x14ac:dyDescent="0.2">
      <c r="A2320" s="291"/>
      <c r="B2320" s="294"/>
      <c r="C2320" s="290"/>
      <c r="D2320" s="290"/>
      <c r="E2320" s="291"/>
      <c r="F2320" s="292"/>
      <c r="G2320" s="290"/>
      <c r="H2320" s="291"/>
      <c r="I2320" s="292"/>
      <c r="J2320" s="293"/>
      <c r="K2320" s="297"/>
      <c r="L2320" s="298"/>
      <c r="M2320" s="299"/>
      <c r="N2320" s="640"/>
      <c r="O2320" s="295"/>
      <c r="P2320" s="301"/>
      <c r="Q2320" s="301"/>
      <c r="R2320" s="296"/>
      <c r="S2320" s="738"/>
      <c r="T2320" s="738"/>
      <c r="W2320" s="712"/>
      <c r="X2320" s="712"/>
      <c r="Y2320" s="712"/>
      <c r="Z2320" s="712"/>
      <c r="AA2320" s="712"/>
    </row>
    <row r="2321" spans="1:27" x14ac:dyDescent="0.2">
      <c r="S2321" s="738"/>
      <c r="T2321" s="738"/>
    </row>
    <row r="2322" spans="1:27" x14ac:dyDescent="0.2">
      <c r="S2322" s="738"/>
      <c r="T2322" s="738"/>
    </row>
    <row r="2323" spans="1:27" x14ac:dyDescent="0.2">
      <c r="S2323" s="738"/>
      <c r="T2323" s="738"/>
    </row>
    <row r="2324" spans="1:27" s="289" customFormat="1" x14ac:dyDescent="0.2">
      <c r="A2324" s="291"/>
      <c r="B2324" s="294"/>
      <c r="C2324" s="290"/>
      <c r="D2324" s="290"/>
      <c r="E2324" s="291"/>
      <c r="F2324" s="292"/>
      <c r="G2324" s="290"/>
      <c r="H2324" s="291"/>
      <c r="I2324" s="292"/>
      <c r="J2324" s="293"/>
      <c r="K2324" s="297"/>
      <c r="L2324" s="298"/>
      <c r="M2324" s="299"/>
      <c r="N2324" s="640"/>
      <c r="O2324" s="295"/>
      <c r="P2324" s="301"/>
      <c r="Q2324" s="301"/>
      <c r="R2324" s="296"/>
      <c r="S2324" s="738"/>
      <c r="T2324" s="738"/>
      <c r="W2324" s="712"/>
      <c r="X2324" s="712"/>
      <c r="Y2324" s="712"/>
      <c r="Z2324" s="712"/>
      <c r="AA2324" s="712"/>
    </row>
    <row r="2325" spans="1:27" x14ac:dyDescent="0.2">
      <c r="S2325" s="738"/>
      <c r="T2325" s="738"/>
    </row>
    <row r="2326" spans="1:27" x14ac:dyDescent="0.2">
      <c r="S2326" s="738"/>
      <c r="T2326" s="738"/>
    </row>
    <row r="2327" spans="1:27" x14ac:dyDescent="0.2">
      <c r="S2327" s="738"/>
      <c r="T2327" s="738"/>
    </row>
    <row r="2328" spans="1:27" s="289" customFormat="1" x14ac:dyDescent="0.2">
      <c r="A2328" s="291"/>
      <c r="B2328" s="294"/>
      <c r="C2328" s="290"/>
      <c r="D2328" s="290"/>
      <c r="E2328" s="291"/>
      <c r="F2328" s="292"/>
      <c r="G2328" s="290"/>
      <c r="H2328" s="291"/>
      <c r="I2328" s="292"/>
      <c r="J2328" s="293"/>
      <c r="K2328" s="297"/>
      <c r="L2328" s="298"/>
      <c r="M2328" s="299"/>
      <c r="N2328" s="640"/>
      <c r="O2328" s="295"/>
      <c r="P2328" s="301"/>
      <c r="Q2328" s="301"/>
      <c r="R2328" s="296"/>
      <c r="S2328" s="738"/>
      <c r="T2328" s="738"/>
      <c r="W2328" s="712"/>
      <c r="X2328" s="712"/>
      <c r="Y2328" s="712"/>
      <c r="Z2328" s="712"/>
      <c r="AA2328" s="712"/>
    </row>
    <row r="2329" spans="1:27" x14ac:dyDescent="0.2">
      <c r="S2329" s="738"/>
      <c r="T2329" s="738"/>
    </row>
    <row r="2330" spans="1:27" x14ac:dyDescent="0.2">
      <c r="S2330" s="738"/>
      <c r="T2330" s="738"/>
    </row>
    <row r="2331" spans="1:27" x14ac:dyDescent="0.2">
      <c r="S2331" s="738"/>
      <c r="T2331" s="738"/>
    </row>
    <row r="2332" spans="1:27" s="289" customFormat="1" x14ac:dyDescent="0.2">
      <c r="A2332" s="291"/>
      <c r="B2332" s="294"/>
      <c r="C2332" s="290"/>
      <c r="D2332" s="290"/>
      <c r="E2332" s="291"/>
      <c r="F2332" s="292"/>
      <c r="G2332" s="290"/>
      <c r="H2332" s="291"/>
      <c r="I2332" s="292"/>
      <c r="J2332" s="293"/>
      <c r="K2332" s="297"/>
      <c r="L2332" s="298"/>
      <c r="M2332" s="299"/>
      <c r="N2332" s="640"/>
      <c r="O2332" s="295"/>
      <c r="P2332" s="301"/>
      <c r="Q2332" s="301"/>
      <c r="R2332" s="296"/>
      <c r="S2332" s="738"/>
      <c r="T2332" s="738"/>
      <c r="W2332" s="712"/>
      <c r="X2332" s="712"/>
      <c r="Y2332" s="712"/>
      <c r="Z2332" s="712"/>
      <c r="AA2332" s="712"/>
    </row>
    <row r="2333" spans="1:27" x14ac:dyDescent="0.2">
      <c r="S2333" s="738"/>
      <c r="T2333" s="738"/>
    </row>
    <row r="2334" spans="1:27" x14ac:dyDescent="0.2">
      <c r="S2334" s="738"/>
      <c r="T2334" s="738"/>
    </row>
    <row r="2335" spans="1:27" x14ac:dyDescent="0.2">
      <c r="S2335" s="738"/>
      <c r="T2335" s="738"/>
    </row>
    <row r="2336" spans="1:27" x14ac:dyDescent="0.2">
      <c r="S2336" s="738"/>
      <c r="T2336" s="738"/>
    </row>
    <row r="2337" spans="1:27" s="289" customFormat="1" x14ac:dyDescent="0.2">
      <c r="A2337" s="291"/>
      <c r="B2337" s="294"/>
      <c r="C2337" s="290"/>
      <c r="D2337" s="290"/>
      <c r="E2337" s="291"/>
      <c r="F2337" s="292"/>
      <c r="G2337" s="290"/>
      <c r="H2337" s="291"/>
      <c r="I2337" s="292"/>
      <c r="J2337" s="293"/>
      <c r="K2337" s="297"/>
      <c r="L2337" s="298"/>
      <c r="M2337" s="299"/>
      <c r="N2337" s="640"/>
      <c r="O2337" s="295"/>
      <c r="P2337" s="301"/>
      <c r="Q2337" s="301"/>
      <c r="R2337" s="296"/>
      <c r="S2337" s="738"/>
      <c r="T2337" s="738"/>
      <c r="W2337" s="712"/>
      <c r="X2337" s="712"/>
      <c r="Y2337" s="712"/>
      <c r="Z2337" s="712"/>
      <c r="AA2337" s="712"/>
    </row>
    <row r="2338" spans="1:27" x14ac:dyDescent="0.2">
      <c r="S2338" s="738"/>
      <c r="T2338" s="738"/>
    </row>
    <row r="2339" spans="1:27" x14ac:dyDescent="0.2">
      <c r="S2339" s="738"/>
      <c r="T2339" s="738"/>
    </row>
    <row r="2340" spans="1:27" x14ac:dyDescent="0.2">
      <c r="S2340" s="738"/>
      <c r="T2340" s="738"/>
    </row>
    <row r="2341" spans="1:27" s="289" customFormat="1" x14ac:dyDescent="0.2">
      <c r="A2341" s="291"/>
      <c r="B2341" s="294"/>
      <c r="C2341" s="290"/>
      <c r="D2341" s="290"/>
      <c r="E2341" s="291"/>
      <c r="F2341" s="292"/>
      <c r="G2341" s="290"/>
      <c r="H2341" s="291"/>
      <c r="I2341" s="292"/>
      <c r="J2341" s="293"/>
      <c r="K2341" s="297"/>
      <c r="L2341" s="298"/>
      <c r="M2341" s="299"/>
      <c r="N2341" s="640"/>
      <c r="O2341" s="295"/>
      <c r="P2341" s="301"/>
      <c r="Q2341" s="301"/>
      <c r="R2341" s="296"/>
      <c r="S2341" s="738"/>
      <c r="T2341" s="738"/>
      <c r="W2341" s="712"/>
      <c r="X2341" s="712"/>
      <c r="Y2341" s="712"/>
      <c r="Z2341" s="712"/>
      <c r="AA2341" s="712"/>
    </row>
    <row r="2342" spans="1:27" x14ac:dyDescent="0.2">
      <c r="S2342" s="738"/>
      <c r="T2342" s="738"/>
    </row>
    <row r="2343" spans="1:27" x14ac:dyDescent="0.2">
      <c r="S2343" s="738"/>
      <c r="T2343" s="738"/>
    </row>
    <row r="2344" spans="1:27" x14ac:dyDescent="0.2">
      <c r="S2344" s="738"/>
      <c r="T2344" s="738"/>
    </row>
    <row r="2345" spans="1:27" x14ac:dyDescent="0.2">
      <c r="S2345" s="738"/>
      <c r="T2345" s="738"/>
    </row>
    <row r="2346" spans="1:27" x14ac:dyDescent="0.2">
      <c r="S2346" s="738"/>
      <c r="T2346" s="738"/>
    </row>
    <row r="2347" spans="1:27" x14ac:dyDescent="0.2">
      <c r="S2347" s="738"/>
      <c r="T2347" s="738"/>
    </row>
    <row r="2348" spans="1:27" x14ac:dyDescent="0.2">
      <c r="S2348" s="738"/>
      <c r="T2348" s="738"/>
    </row>
    <row r="2349" spans="1:27" x14ac:dyDescent="0.2">
      <c r="S2349" s="738"/>
      <c r="T2349" s="738"/>
    </row>
    <row r="2350" spans="1:27" x14ac:dyDescent="0.2">
      <c r="S2350" s="738"/>
      <c r="T2350" s="738"/>
    </row>
    <row r="2351" spans="1:27" x14ac:dyDescent="0.2">
      <c r="A2351" s="291">
        <v>1</v>
      </c>
      <c r="B2351" s="294">
        <f>+A2351+1</f>
        <v>2</v>
      </c>
      <c r="C2351" s="294">
        <f t="shared" ref="C2351:V2351" si="182">+B2351+1</f>
        <v>3</v>
      </c>
      <c r="D2351" s="294">
        <f t="shared" si="182"/>
        <v>4</v>
      </c>
      <c r="E2351" s="294">
        <f t="shared" si="182"/>
        <v>5</v>
      </c>
      <c r="F2351" s="294">
        <f t="shared" si="182"/>
        <v>6</v>
      </c>
      <c r="G2351" s="294">
        <f t="shared" si="182"/>
        <v>7</v>
      </c>
      <c r="H2351" s="294">
        <f t="shared" si="182"/>
        <v>8</v>
      </c>
      <c r="I2351" s="294">
        <f t="shared" si="182"/>
        <v>9</v>
      </c>
      <c r="J2351" s="294">
        <f t="shared" si="182"/>
        <v>10</v>
      </c>
      <c r="K2351" s="294">
        <f t="shared" si="182"/>
        <v>11</v>
      </c>
      <c r="L2351" s="294">
        <f t="shared" si="182"/>
        <v>12</v>
      </c>
      <c r="M2351" s="294">
        <f t="shared" si="182"/>
        <v>13</v>
      </c>
      <c r="N2351" s="294">
        <f t="shared" si="182"/>
        <v>14</v>
      </c>
      <c r="O2351" s="294">
        <f t="shared" si="182"/>
        <v>15</v>
      </c>
      <c r="P2351" s="294">
        <f t="shared" si="182"/>
        <v>16</v>
      </c>
      <c r="Q2351" s="294">
        <f t="shared" si="182"/>
        <v>17</v>
      </c>
      <c r="R2351" s="294">
        <f t="shared" si="182"/>
        <v>18</v>
      </c>
      <c r="S2351" s="294">
        <f t="shared" si="182"/>
        <v>19</v>
      </c>
      <c r="T2351" s="294">
        <f t="shared" si="182"/>
        <v>20</v>
      </c>
      <c r="U2351" s="294">
        <f t="shared" si="182"/>
        <v>21</v>
      </c>
      <c r="V2351" s="294">
        <f t="shared" si="182"/>
        <v>22</v>
      </c>
    </row>
  </sheetData>
  <sortState ref="D1008:I1025">
    <sortCondition ref="D504"/>
  </sortState>
  <mergeCells count="538">
    <mergeCell ref="D2283:F2283"/>
    <mergeCell ref="D2287:F2287"/>
    <mergeCell ref="D2265:F2265"/>
    <mergeCell ref="G2265:I2265"/>
    <mergeCell ref="D2268:F2268"/>
    <mergeCell ref="G2268:I2268"/>
    <mergeCell ref="D2269:F2269"/>
    <mergeCell ref="D2272:F2272"/>
    <mergeCell ref="G2272:I2272"/>
    <mergeCell ref="D2273:F2273"/>
    <mergeCell ref="D2278:F2278"/>
    <mergeCell ref="D2260:F2260"/>
    <mergeCell ref="G2260:I2260"/>
    <mergeCell ref="D2261:F2261"/>
    <mergeCell ref="G2261:I2261"/>
    <mergeCell ref="D2262:F2262"/>
    <mergeCell ref="G2262:I2262"/>
    <mergeCell ref="D2263:F2263"/>
    <mergeCell ref="G2263:I2263"/>
    <mergeCell ref="D2264:F2264"/>
    <mergeCell ref="G2264:I2264"/>
    <mergeCell ref="D2255:F2255"/>
    <mergeCell ref="G2255:I2255"/>
    <mergeCell ref="N2255:N2257"/>
    <mergeCell ref="D2256:F2256"/>
    <mergeCell ref="G2256:I2256"/>
    <mergeCell ref="D2257:F2257"/>
    <mergeCell ref="G2257:I2257"/>
    <mergeCell ref="D2258:F2258"/>
    <mergeCell ref="G2258:I2258"/>
    <mergeCell ref="N2258:N2259"/>
    <mergeCell ref="D2259:F2259"/>
    <mergeCell ref="G2259:I2259"/>
    <mergeCell ref="D2251:F2251"/>
    <mergeCell ref="G2251:I2251"/>
    <mergeCell ref="N2251:N2254"/>
    <mergeCell ref="D2252:F2252"/>
    <mergeCell ref="G2252:I2252"/>
    <mergeCell ref="D2253:F2253"/>
    <mergeCell ref="G2253:I2253"/>
    <mergeCell ref="D2254:F2254"/>
    <mergeCell ref="G2254:I2254"/>
    <mergeCell ref="D2246:F2246"/>
    <mergeCell ref="G2246:I2246"/>
    <mergeCell ref="P2246:R2246"/>
    <mergeCell ref="D2247:F2247"/>
    <mergeCell ref="G2247:I2247"/>
    <mergeCell ref="P2247:R2247"/>
    <mergeCell ref="D2249:F2249"/>
    <mergeCell ref="G2249:I2249"/>
    <mergeCell ref="D2250:F2250"/>
    <mergeCell ref="G2250:I2250"/>
    <mergeCell ref="D2241:F2241"/>
    <mergeCell ref="G2241:I2241"/>
    <mergeCell ref="D2242:F2242"/>
    <mergeCell ref="G2242:I2242"/>
    <mergeCell ref="D2243:F2243"/>
    <mergeCell ref="G2243:I2243"/>
    <mergeCell ref="D2244:F2244"/>
    <mergeCell ref="G2244:I2244"/>
    <mergeCell ref="D2245:F2245"/>
    <mergeCell ref="G2245:I2245"/>
    <mergeCell ref="D2233:F2233"/>
    <mergeCell ref="G2233:I2233"/>
    <mergeCell ref="G2234:I2234"/>
    <mergeCell ref="G2235:I2235"/>
    <mergeCell ref="D2238:F2238"/>
    <mergeCell ref="G2238:I2238"/>
    <mergeCell ref="D2239:F2239"/>
    <mergeCell ref="G2239:I2239"/>
    <mergeCell ref="D2240:F2240"/>
    <mergeCell ref="G2240:I2240"/>
    <mergeCell ref="G2225:I2225"/>
    <mergeCell ref="D2227:F2227"/>
    <mergeCell ref="G2227:I2227"/>
    <mergeCell ref="D2228:F2228"/>
    <mergeCell ref="G2228:I2228"/>
    <mergeCell ref="G2229:I2229"/>
    <mergeCell ref="G2230:I2230"/>
    <mergeCell ref="D2232:F2232"/>
    <mergeCell ref="G2232:I2232"/>
    <mergeCell ref="D2190:F2190"/>
    <mergeCell ref="D2195:F2195"/>
    <mergeCell ref="D2200:F2200"/>
    <mergeCell ref="D2205:F2205"/>
    <mergeCell ref="D2216:F2216"/>
    <mergeCell ref="D2220:F2220"/>
    <mergeCell ref="D2223:F2223"/>
    <mergeCell ref="G2223:I2223"/>
    <mergeCell ref="G2224:I2224"/>
    <mergeCell ref="D2151:F2151"/>
    <mergeCell ref="D2155:F2155"/>
    <mergeCell ref="D2159:F2159"/>
    <mergeCell ref="D2163:F2163"/>
    <mergeCell ref="D2170:F2170"/>
    <mergeCell ref="D2174:F2174"/>
    <mergeCell ref="D2178:F2178"/>
    <mergeCell ref="D2182:F2182"/>
    <mergeCell ref="D2186:F2186"/>
    <mergeCell ref="D2114:F2114"/>
    <mergeCell ref="G2114:I2114"/>
    <mergeCell ref="D2126:F2126"/>
    <mergeCell ref="G2126:I2126"/>
    <mergeCell ref="D2132:F2132"/>
    <mergeCell ref="G2132:I2132"/>
    <mergeCell ref="D2138:F2138"/>
    <mergeCell ref="G2138:I2138"/>
    <mergeCell ref="D2147:F2147"/>
    <mergeCell ref="D2076:F2076"/>
    <mergeCell ref="G2076:I2076"/>
    <mergeCell ref="D2084:F2084"/>
    <mergeCell ref="G2084:I2084"/>
    <mergeCell ref="D2092:F2092"/>
    <mergeCell ref="G2092:I2092"/>
    <mergeCell ref="D2100:F2100"/>
    <mergeCell ref="G2100:I2100"/>
    <mergeCell ref="D2106:F2106"/>
    <mergeCell ref="G2106:I2106"/>
    <mergeCell ref="D2030:F2030"/>
    <mergeCell ref="G2030:I2030"/>
    <mergeCell ref="D2038:F2038"/>
    <mergeCell ref="G2038:I2038"/>
    <mergeCell ref="D2046:F2046"/>
    <mergeCell ref="G2046:I2046"/>
    <mergeCell ref="D2054:F2054"/>
    <mergeCell ref="G2054:I2054"/>
    <mergeCell ref="D2068:F2068"/>
    <mergeCell ref="G2068:I2068"/>
    <mergeCell ref="D1997:F1997"/>
    <mergeCell ref="G1997:I1997"/>
    <mergeCell ref="D2003:F2003"/>
    <mergeCell ref="G2003:I2003"/>
    <mergeCell ref="J2007:M2007"/>
    <mergeCell ref="J2008:M2008"/>
    <mergeCell ref="J2012:M2012"/>
    <mergeCell ref="J2013:M2013"/>
    <mergeCell ref="D2017:F2017"/>
    <mergeCell ref="G2017:I2017"/>
    <mergeCell ref="D1968:F1968"/>
    <mergeCell ref="G1968:I1968"/>
    <mergeCell ref="D1974:F1974"/>
    <mergeCell ref="G1974:I1974"/>
    <mergeCell ref="D1979:F1979"/>
    <mergeCell ref="G1979:I1979"/>
    <mergeCell ref="D1984:F1984"/>
    <mergeCell ref="G1984:I1984"/>
    <mergeCell ref="D1991:F1991"/>
    <mergeCell ref="G1991:I1991"/>
    <mergeCell ref="D1942:F1942"/>
    <mergeCell ref="G1942:I1942"/>
    <mergeCell ref="D1947:F1947"/>
    <mergeCell ref="G1947:I1947"/>
    <mergeCell ref="D1953:F1953"/>
    <mergeCell ref="G1953:I1953"/>
    <mergeCell ref="D1958:F1958"/>
    <mergeCell ref="G1958:I1958"/>
    <mergeCell ref="D1963:F1963"/>
    <mergeCell ref="G1963:I1963"/>
    <mergeCell ref="D1909:F1909"/>
    <mergeCell ref="G1909:I1909"/>
    <mergeCell ref="D1917:F1917"/>
    <mergeCell ref="D1926:F1926"/>
    <mergeCell ref="G1926:I1926"/>
    <mergeCell ref="D1932:F1932"/>
    <mergeCell ref="G1932:I1932"/>
    <mergeCell ref="D1937:F1937"/>
    <mergeCell ref="G1937:I1937"/>
    <mergeCell ref="D1888:F1888"/>
    <mergeCell ref="G1888:I1888"/>
    <mergeCell ref="P1888:Q1888"/>
    <mergeCell ref="D1896:F1896"/>
    <mergeCell ref="G1896:I1896"/>
    <mergeCell ref="P1896:Q1896"/>
    <mergeCell ref="D1902:F1902"/>
    <mergeCell ref="G1902:I1902"/>
    <mergeCell ref="P1902:Q1902"/>
    <mergeCell ref="D1847:F1847"/>
    <mergeCell ref="G1847:I1847"/>
    <mergeCell ref="P1847:Q1847"/>
    <mergeCell ref="D1853:F1853"/>
    <mergeCell ref="D1860:F1860"/>
    <mergeCell ref="D1867:F1867"/>
    <mergeCell ref="D1874:F1874"/>
    <mergeCell ref="G1874:I1874"/>
    <mergeCell ref="P1874:Q1874"/>
    <mergeCell ref="D1587:F1587"/>
    <mergeCell ref="G1587:I1587"/>
    <mergeCell ref="P1587:Q1587"/>
    <mergeCell ref="D1619:F1619"/>
    <mergeCell ref="G1619:I1619"/>
    <mergeCell ref="P1619:Q1619"/>
    <mergeCell ref="D1625:F1625"/>
    <mergeCell ref="G1625:I1625"/>
    <mergeCell ref="P1625:Q1625"/>
    <mergeCell ref="P1567:R1567"/>
    <mergeCell ref="P1568:R1568"/>
    <mergeCell ref="P1569:R1569"/>
    <mergeCell ref="P1570:R1570"/>
    <mergeCell ref="P1571:R1571"/>
    <mergeCell ref="P1572:R1572"/>
    <mergeCell ref="P1573:R1573"/>
    <mergeCell ref="P1574:R1574"/>
    <mergeCell ref="P1575:R1575"/>
    <mergeCell ref="P1505:R1505"/>
    <mergeCell ref="P1506:R1506"/>
    <mergeCell ref="P1507:R1507"/>
    <mergeCell ref="D1543:F1543"/>
    <mergeCell ref="G1543:I1543"/>
    <mergeCell ref="P1543:Q1543"/>
    <mergeCell ref="D1565:F1565"/>
    <mergeCell ref="G1565:I1565"/>
    <mergeCell ref="P1565:Q1565"/>
    <mergeCell ref="P1495:R1495"/>
    <mergeCell ref="P1496:R1496"/>
    <mergeCell ref="P1497:R1497"/>
    <mergeCell ref="P1498:R1498"/>
    <mergeCell ref="P1499:R1499"/>
    <mergeCell ref="P1500:R1500"/>
    <mergeCell ref="P1501:R1501"/>
    <mergeCell ref="P1503:R1503"/>
    <mergeCell ref="P1504:R1504"/>
    <mergeCell ref="P1486:R1486"/>
    <mergeCell ref="P1487:R1487"/>
    <mergeCell ref="P1488:R1488"/>
    <mergeCell ref="P1489:R1489"/>
    <mergeCell ref="P1490:R1490"/>
    <mergeCell ref="P1491:R1491"/>
    <mergeCell ref="P1492:R1492"/>
    <mergeCell ref="P1493:R1493"/>
    <mergeCell ref="P1494:R1494"/>
    <mergeCell ref="P1477:R1477"/>
    <mergeCell ref="P1478:R1478"/>
    <mergeCell ref="P1479:R1479"/>
    <mergeCell ref="P1480:R1480"/>
    <mergeCell ref="P1481:R1481"/>
    <mergeCell ref="P1482:R1482"/>
    <mergeCell ref="P1483:R1483"/>
    <mergeCell ref="P1484:R1484"/>
    <mergeCell ref="P1485:R1485"/>
    <mergeCell ref="P1468:R1468"/>
    <mergeCell ref="P1469:R1469"/>
    <mergeCell ref="P1470:R1470"/>
    <mergeCell ref="P1471:R1471"/>
    <mergeCell ref="P1472:R1472"/>
    <mergeCell ref="P1473:R1473"/>
    <mergeCell ref="P1474:R1474"/>
    <mergeCell ref="P1475:R1475"/>
    <mergeCell ref="P1476:R1476"/>
    <mergeCell ref="P1458:R1458"/>
    <mergeCell ref="P1459:R1459"/>
    <mergeCell ref="P1460:R1460"/>
    <mergeCell ref="P1461:R1461"/>
    <mergeCell ref="P1462:R1462"/>
    <mergeCell ref="P1463:R1463"/>
    <mergeCell ref="P1465:R1465"/>
    <mergeCell ref="P1466:R1466"/>
    <mergeCell ref="P1467:R1467"/>
    <mergeCell ref="P1449:R1449"/>
    <mergeCell ref="P1450:R1450"/>
    <mergeCell ref="P1451:R1451"/>
    <mergeCell ref="P1452:R1452"/>
    <mergeCell ref="P1453:R1453"/>
    <mergeCell ref="P1454:R1454"/>
    <mergeCell ref="P1455:R1455"/>
    <mergeCell ref="P1456:R1456"/>
    <mergeCell ref="P1457:R1457"/>
    <mergeCell ref="P1440:R1440"/>
    <mergeCell ref="P1441:R1441"/>
    <mergeCell ref="P1442:R1442"/>
    <mergeCell ref="P1443:R1443"/>
    <mergeCell ref="P1444:R1444"/>
    <mergeCell ref="P1445:R1445"/>
    <mergeCell ref="P1446:R1446"/>
    <mergeCell ref="P1447:R1447"/>
    <mergeCell ref="P1448:R1448"/>
    <mergeCell ref="P1433:R1433"/>
    <mergeCell ref="P1434:R1434"/>
    <mergeCell ref="P1435:R1435"/>
    <mergeCell ref="P1436:R1436"/>
    <mergeCell ref="P1437:R1437"/>
    <mergeCell ref="P1438:R1438"/>
    <mergeCell ref="P1432:R1432"/>
    <mergeCell ref="P1431:R1431"/>
    <mergeCell ref="P1439:R1439"/>
    <mergeCell ref="D1405:F1405"/>
    <mergeCell ref="G1405:I1405"/>
    <mergeCell ref="P1405:Q1405"/>
    <mergeCell ref="P1407:R1407"/>
    <mergeCell ref="P1408:R1408"/>
    <mergeCell ref="P1409:R1409"/>
    <mergeCell ref="P1410:R1410"/>
    <mergeCell ref="P1411:R1411"/>
    <mergeCell ref="P1412:R1412"/>
    <mergeCell ref="P1254:Q1254"/>
    <mergeCell ref="D1290:F1290"/>
    <mergeCell ref="G1290:I1290"/>
    <mergeCell ref="P1290:Q1290"/>
    <mergeCell ref="D1321:F1321"/>
    <mergeCell ref="G1321:I1321"/>
    <mergeCell ref="P1321:Q1321"/>
    <mergeCell ref="D1362:F1362"/>
    <mergeCell ref="G1362:I1362"/>
    <mergeCell ref="P1362:Q1362"/>
    <mergeCell ref="D1233:F1233"/>
    <mergeCell ref="G1233:I1233"/>
    <mergeCell ref="D1238:F1238"/>
    <mergeCell ref="G1238:I1238"/>
    <mergeCell ref="D1243:F1243"/>
    <mergeCell ref="G1243:I1243"/>
    <mergeCell ref="D1248:F1248"/>
    <mergeCell ref="G1248:I1248"/>
    <mergeCell ref="D1254:F1254"/>
    <mergeCell ref="G1254:I1254"/>
    <mergeCell ref="D1208:F1208"/>
    <mergeCell ref="G1208:I1208"/>
    <mergeCell ref="D1213:F1213"/>
    <mergeCell ref="G1213:I1213"/>
    <mergeCell ref="D1218:F1218"/>
    <mergeCell ref="G1218:I1218"/>
    <mergeCell ref="D1223:F1223"/>
    <mergeCell ref="G1223:I1223"/>
    <mergeCell ref="D1227:F1227"/>
    <mergeCell ref="G1227:I1227"/>
    <mergeCell ref="D1011:F1011"/>
    <mergeCell ref="G1011:I1011"/>
    <mergeCell ref="D1025:F1025"/>
    <mergeCell ref="G1025:I1025"/>
    <mergeCell ref="D1088:F1088"/>
    <mergeCell ref="G1088:I1088"/>
    <mergeCell ref="P1088:Q1088"/>
    <mergeCell ref="D1201:F1201"/>
    <mergeCell ref="G1201:I1201"/>
    <mergeCell ref="D1092:F1092"/>
    <mergeCell ref="D1131:F1131"/>
    <mergeCell ref="G1131:I1131"/>
    <mergeCell ref="D1170:F1170"/>
    <mergeCell ref="G1170:I1170"/>
    <mergeCell ref="D1185:F1185"/>
    <mergeCell ref="G1185:I1185"/>
    <mergeCell ref="D832:F832"/>
    <mergeCell ref="G832:I832"/>
    <mergeCell ref="D847:F847"/>
    <mergeCell ref="G847:I847"/>
    <mergeCell ref="D887:F887"/>
    <mergeCell ref="G887:I887"/>
    <mergeCell ref="D973:F973"/>
    <mergeCell ref="G973:I973"/>
    <mergeCell ref="D737:F737"/>
    <mergeCell ref="G737:I737"/>
    <mergeCell ref="D750:F750"/>
    <mergeCell ref="G750:I750"/>
    <mergeCell ref="D757:F757"/>
    <mergeCell ref="G757:I757"/>
    <mergeCell ref="D766:F766"/>
    <mergeCell ref="G766:I766"/>
    <mergeCell ref="D817:F817"/>
    <mergeCell ref="G817:I817"/>
    <mergeCell ref="D926:F926"/>
    <mergeCell ref="G926:I926"/>
    <mergeCell ref="D598:F598"/>
    <mergeCell ref="G598:I598"/>
    <mergeCell ref="D610:F610"/>
    <mergeCell ref="G610:I610"/>
    <mergeCell ref="D640:F640"/>
    <mergeCell ref="G640:I640"/>
    <mergeCell ref="D687:F687"/>
    <mergeCell ref="G687:I687"/>
    <mergeCell ref="D693:F693"/>
    <mergeCell ref="G693:I693"/>
    <mergeCell ref="D551:F551"/>
    <mergeCell ref="G551:I551"/>
    <mergeCell ref="D571:F571"/>
    <mergeCell ref="G571:I571"/>
    <mergeCell ref="D576:F576"/>
    <mergeCell ref="G576:I576"/>
    <mergeCell ref="D584:F584"/>
    <mergeCell ref="G584:I584"/>
    <mergeCell ref="D592:F592"/>
    <mergeCell ref="G592:I592"/>
    <mergeCell ref="D454:F454"/>
    <mergeCell ref="G454:I454"/>
    <mergeCell ref="D475:F475"/>
    <mergeCell ref="G475:I475"/>
    <mergeCell ref="D495:F495"/>
    <mergeCell ref="G495:I495"/>
    <mergeCell ref="D515:F515"/>
    <mergeCell ref="G515:I515"/>
    <mergeCell ref="D533:F533"/>
    <mergeCell ref="G533:I533"/>
    <mergeCell ref="D358:F358"/>
    <mergeCell ref="G358:I358"/>
    <mergeCell ref="G360:I360"/>
    <mergeCell ref="D363:F363"/>
    <mergeCell ref="G363:I363"/>
    <mergeCell ref="G365:I365"/>
    <mergeCell ref="D368:F368"/>
    <mergeCell ref="G368:I368"/>
    <mergeCell ref="D447:F447"/>
    <mergeCell ref="G447:I447"/>
    <mergeCell ref="D338:F338"/>
    <mergeCell ref="G338:I338"/>
    <mergeCell ref="D343:F343"/>
    <mergeCell ref="G343:I343"/>
    <mergeCell ref="D348:F348"/>
    <mergeCell ref="G348:I348"/>
    <mergeCell ref="D353:F353"/>
    <mergeCell ref="G353:I353"/>
    <mergeCell ref="G355:I355"/>
    <mergeCell ref="G350:I350"/>
    <mergeCell ref="P283:Q283"/>
    <mergeCell ref="D287:F287"/>
    <mergeCell ref="G287:I287"/>
    <mergeCell ref="G289:I289"/>
    <mergeCell ref="G290:I290"/>
    <mergeCell ref="D293:F293"/>
    <mergeCell ref="G293:I293"/>
    <mergeCell ref="D300:F300"/>
    <mergeCell ref="G300:I300"/>
    <mergeCell ref="G236:I236"/>
    <mergeCell ref="G237:I237"/>
    <mergeCell ref="D240:F240"/>
    <mergeCell ref="G240:I240"/>
    <mergeCell ref="L240:M240"/>
    <mergeCell ref="L242:M242"/>
    <mergeCell ref="L243:M243"/>
    <mergeCell ref="D246:F246"/>
    <mergeCell ref="G246:I246"/>
    <mergeCell ref="D191:F191"/>
    <mergeCell ref="G191:I191"/>
    <mergeCell ref="D227:F227"/>
    <mergeCell ref="G227:I227"/>
    <mergeCell ref="G229:I229"/>
    <mergeCell ref="G230:I230"/>
    <mergeCell ref="D233:F233"/>
    <mergeCell ref="G233:I233"/>
    <mergeCell ref="G235:I235"/>
    <mergeCell ref="G176:I176"/>
    <mergeCell ref="G177:I177"/>
    <mergeCell ref="G178:I178"/>
    <mergeCell ref="D181:F181"/>
    <mergeCell ref="G181:I181"/>
    <mergeCell ref="G183:I183"/>
    <mergeCell ref="D186:F186"/>
    <mergeCell ref="G186:I186"/>
    <mergeCell ref="G188:I188"/>
    <mergeCell ref="P158:Q158"/>
    <mergeCell ref="D163:F163"/>
    <mergeCell ref="G163:I163"/>
    <mergeCell ref="P163:Q163"/>
    <mergeCell ref="D168:F168"/>
    <mergeCell ref="G168:I168"/>
    <mergeCell ref="G171:I171"/>
    <mergeCell ref="D174:F174"/>
    <mergeCell ref="G174:I174"/>
    <mergeCell ref="D97:F97"/>
    <mergeCell ref="D133:F133"/>
    <mergeCell ref="G133:I133"/>
    <mergeCell ref="G135:I135"/>
    <mergeCell ref="G136:I136"/>
    <mergeCell ref="G137:I137"/>
    <mergeCell ref="G138:I138"/>
    <mergeCell ref="G139:I139"/>
    <mergeCell ref="G140:I140"/>
    <mergeCell ref="G97:I97"/>
    <mergeCell ref="D115:F115"/>
    <mergeCell ref="G115:I115"/>
    <mergeCell ref="D109:F109"/>
    <mergeCell ref="G109:I109"/>
    <mergeCell ref="D64:F64"/>
    <mergeCell ref="G64:I64"/>
    <mergeCell ref="D75:F75"/>
    <mergeCell ref="G75:I75"/>
    <mergeCell ref="D87:F87"/>
    <mergeCell ref="G87:I87"/>
    <mergeCell ref="D92:F92"/>
    <mergeCell ref="G92:I92"/>
    <mergeCell ref="D82:F82"/>
    <mergeCell ref="G82:I82"/>
    <mergeCell ref="G31:I31"/>
    <mergeCell ref="D39:F39"/>
    <mergeCell ref="G39:I39"/>
    <mergeCell ref="D47:F47"/>
    <mergeCell ref="G47:I47"/>
    <mergeCell ref="D53:F53"/>
    <mergeCell ref="G53:I53"/>
    <mergeCell ref="D59:F59"/>
    <mergeCell ref="G59:I59"/>
    <mergeCell ref="A1:R1"/>
    <mergeCell ref="A2:R2"/>
    <mergeCell ref="C3:R4"/>
    <mergeCell ref="D7:F7"/>
    <mergeCell ref="G7:I7"/>
    <mergeCell ref="G16:I16"/>
    <mergeCell ref="A3:B3"/>
    <mergeCell ref="D16:F16"/>
    <mergeCell ref="P5:R5"/>
    <mergeCell ref="P7:R7"/>
    <mergeCell ref="D21:F21"/>
    <mergeCell ref="G21:I21"/>
    <mergeCell ref="P21:Q21"/>
    <mergeCell ref="G70:I70"/>
    <mergeCell ref="D104:F104"/>
    <mergeCell ref="G104:I104"/>
    <mergeCell ref="D70:F70"/>
    <mergeCell ref="G1092:I1092"/>
    <mergeCell ref="P1413:R1413"/>
    <mergeCell ref="G141:I141"/>
    <mergeCell ref="G142:I142"/>
    <mergeCell ref="D145:F145"/>
    <mergeCell ref="G145:I145"/>
    <mergeCell ref="G159:I159"/>
    <mergeCell ref="G164:I164"/>
    <mergeCell ref="G124:I124"/>
    <mergeCell ref="G170:I170"/>
    <mergeCell ref="G146:I146"/>
    <mergeCell ref="D158:F158"/>
    <mergeCell ref="G158:I158"/>
    <mergeCell ref="D124:F124"/>
    <mergeCell ref="D26:F26"/>
    <mergeCell ref="G26:I26"/>
    <mergeCell ref="D31:F31"/>
    <mergeCell ref="P1423:R1423"/>
    <mergeCell ref="P1424:R1424"/>
    <mergeCell ref="P1425:R1425"/>
    <mergeCell ref="P1426:R1426"/>
    <mergeCell ref="P1427:R1427"/>
    <mergeCell ref="P1428:R1428"/>
    <mergeCell ref="P1429:R1429"/>
    <mergeCell ref="P1430:R1430"/>
    <mergeCell ref="P1414:R1414"/>
    <mergeCell ref="P1415:R1415"/>
    <mergeCell ref="P1416:R1416"/>
    <mergeCell ref="P1417:R1417"/>
    <mergeCell ref="P1418:R1418"/>
    <mergeCell ref="P1419:R1419"/>
    <mergeCell ref="P1420:R1420"/>
    <mergeCell ref="P1421:R1421"/>
    <mergeCell ref="P1422:R1422"/>
  </mergeCells>
  <conditionalFormatting sqref="K1252 N1252 K1846 N1846">
    <cfRule type="expression" dxfId="23" priority="23">
      <formula>$A1252&lt;&gt;0</formula>
    </cfRule>
    <cfRule type="expression" dxfId="22" priority="24">
      <formula>$C1252="Total"</formula>
    </cfRule>
  </conditionalFormatting>
  <conditionalFormatting sqref="K1232 N1232">
    <cfRule type="expression" dxfId="21" priority="21">
      <formula>$A1232&lt;&gt;0</formula>
    </cfRule>
    <cfRule type="expression" dxfId="20" priority="22">
      <formula>$C1232="Total"</formula>
    </cfRule>
  </conditionalFormatting>
  <conditionalFormatting sqref="K1246 N1246">
    <cfRule type="expression" dxfId="19" priority="19">
      <formula>$A1246&lt;&gt;0</formula>
    </cfRule>
    <cfRule type="expression" dxfId="18" priority="20">
      <formula>$C1246="Total"</formula>
    </cfRule>
  </conditionalFormatting>
  <conditionalFormatting sqref="K1236 N1236">
    <cfRule type="expression" dxfId="17" priority="17">
      <formula>$A1236&lt;&gt;0</formula>
    </cfRule>
    <cfRule type="expression" dxfId="16" priority="18">
      <formula>$C1236="Total"</formula>
    </cfRule>
  </conditionalFormatting>
  <conditionalFormatting sqref="K1241 N1241">
    <cfRule type="expression" dxfId="15" priority="15">
      <formula>$A1241&lt;&gt;0</formula>
    </cfRule>
    <cfRule type="expression" dxfId="14" priority="16">
      <formula>$C1241="Total"</formula>
    </cfRule>
  </conditionalFormatting>
  <conditionalFormatting sqref="K1289 N1289">
    <cfRule type="expression" dxfId="13" priority="13">
      <formula>$A1289&lt;&gt;0</formula>
    </cfRule>
    <cfRule type="expression" dxfId="12" priority="14">
      <formula>$C1289="Total"</formula>
    </cfRule>
  </conditionalFormatting>
  <conditionalFormatting sqref="K1320 N1320">
    <cfRule type="expression" dxfId="11" priority="11">
      <formula>$A1320&lt;&gt;0</formula>
    </cfRule>
    <cfRule type="expression" dxfId="10" priority="12">
      <formula>$C1320="Total"</formula>
    </cfRule>
  </conditionalFormatting>
  <conditionalFormatting sqref="L689:L690">
    <cfRule type="expression" dxfId="9" priority="9">
      <formula>$A689&lt;&gt;0</formula>
    </cfRule>
    <cfRule type="expression" dxfId="8" priority="10">
      <formula>$C689="Total"</formula>
    </cfRule>
  </conditionalFormatting>
  <conditionalFormatting sqref="L759 L762">
    <cfRule type="expression" dxfId="7" priority="7">
      <formula>$A759&lt;&gt;0</formula>
    </cfRule>
    <cfRule type="expression" dxfId="6" priority="8">
      <formula>$C759="Total"</formula>
    </cfRule>
  </conditionalFormatting>
  <conditionalFormatting sqref="L760">
    <cfRule type="expression" dxfId="5" priority="5">
      <formula>$A760&lt;&gt;0</formula>
    </cfRule>
    <cfRule type="expression" dxfId="4" priority="6">
      <formula>$C760="Total"</formula>
    </cfRule>
  </conditionalFormatting>
  <conditionalFormatting sqref="L761">
    <cfRule type="expression" dxfId="3" priority="3">
      <formula>$A761&lt;&gt;0</formula>
    </cfRule>
    <cfRule type="expression" dxfId="2" priority="4">
      <formula>$C761="Total"</formula>
    </cfRule>
  </conditionalFormatting>
  <conditionalFormatting sqref="K1251 N1250:N1251">
    <cfRule type="expression" dxfId="1" priority="1">
      <formula>$A1250&lt;&gt;0</formula>
    </cfRule>
    <cfRule type="expression" dxfId="0" priority="2">
      <formula>$C1250="Total"</formula>
    </cfRule>
  </conditionalFormatting>
  <printOptions horizontalCentered="1" verticalCentered="1" gridLines="1"/>
  <pageMargins left="0.39370078740157483" right="0.39370078740157483" top="0.98425196850393704" bottom="0.98425196850393704" header="0.51181102362204722" footer="0.51181102362204722"/>
  <pageSetup paperSize="9" scale="63" firstPageNumber="32" fitToHeight="0" orientation="landscape" useFirstPageNumber="1" horizontalDpi="2400" verticalDpi="24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650"/>
  <sheetViews>
    <sheetView topLeftCell="A194" zoomScale="85" zoomScaleNormal="85" workbookViewId="0">
      <selection activeCell="F215" sqref="F211:F215"/>
    </sheetView>
  </sheetViews>
  <sheetFormatPr defaultRowHeight="14.25" x14ac:dyDescent="0.2"/>
  <cols>
    <col min="1" max="1" width="9" style="856"/>
    <col min="2" max="2" width="91.25" style="857" customWidth="1"/>
    <col min="3" max="3" width="9.75" style="858" customWidth="1"/>
    <col min="4" max="4" width="9.75" style="850" customWidth="1"/>
    <col min="5" max="5" width="9.75" style="858" customWidth="1"/>
    <col min="6" max="6" width="21.625" style="203" customWidth="1"/>
    <col min="7" max="7" width="12.375" style="198" bestFit="1" customWidth="1"/>
    <col min="8" max="16384" width="9" style="198"/>
  </cols>
  <sheetData>
    <row r="1" spans="1:7" ht="15" x14ac:dyDescent="0.25">
      <c r="A1" s="830" t="s">
        <v>1927</v>
      </c>
      <c r="B1" s="831"/>
      <c r="C1" s="832"/>
      <c r="D1" s="833"/>
      <c r="E1" s="834"/>
      <c r="F1" s="204" t="s">
        <v>231</v>
      </c>
    </row>
    <row r="2" spans="1:7" x14ac:dyDescent="0.2">
      <c r="A2" s="830" t="s">
        <v>1822</v>
      </c>
      <c r="B2" s="831"/>
      <c r="C2" s="832"/>
      <c r="D2" s="833"/>
      <c r="E2" s="832"/>
    </row>
    <row r="3" spans="1:7" x14ac:dyDescent="0.2">
      <c r="A3" s="835" t="s">
        <v>0</v>
      </c>
      <c r="B3" s="836" t="s">
        <v>289</v>
      </c>
      <c r="C3" s="836" t="s">
        <v>1</v>
      </c>
      <c r="D3" s="837" t="s">
        <v>290</v>
      </c>
      <c r="E3" s="836" t="s">
        <v>291</v>
      </c>
      <c r="F3" s="547" t="str">
        <f>IF(E3="*",VLOOKUP(A3,'[3]Compos DER'!$J:$K,2,FALSE),D3)</f>
        <v>Preço Unitário</v>
      </c>
    </row>
    <row r="4" spans="1:7" x14ac:dyDescent="0.2">
      <c r="A4" s="838" t="s">
        <v>292</v>
      </c>
      <c r="B4" s="836"/>
      <c r="C4" s="836"/>
      <c r="D4" s="837"/>
      <c r="E4" s="836"/>
    </row>
    <row r="5" spans="1:7" x14ac:dyDescent="0.2">
      <c r="A5" s="806">
        <v>43339</v>
      </c>
      <c r="B5" s="839" t="s">
        <v>293</v>
      </c>
      <c r="C5" s="840" t="s">
        <v>1905</v>
      </c>
      <c r="D5" s="807">
        <v>0.7</v>
      </c>
      <c r="E5" s="841"/>
      <c r="F5" s="203" t="e">
        <f>VLOOKUP(A5,'Compos DER'!J:K,2,FALSE)</f>
        <v>#N/A</v>
      </c>
      <c r="G5" s="198" t="e">
        <f t="shared" ref="G5" si="0">+F5/D5</f>
        <v>#N/A</v>
      </c>
    </row>
    <row r="6" spans="1:7" x14ac:dyDescent="0.2">
      <c r="A6" s="806">
        <v>41099</v>
      </c>
      <c r="B6" s="839" t="s">
        <v>294</v>
      </c>
      <c r="C6" s="840" t="s">
        <v>1906</v>
      </c>
      <c r="D6" s="807">
        <v>6.49</v>
      </c>
      <c r="E6" s="841"/>
      <c r="F6" s="203" t="e">
        <f>VLOOKUP(A6,'Compos DER'!J:K,2,FALSE)</f>
        <v>#N/A</v>
      </c>
      <c r="G6" s="198" t="e">
        <f t="shared" ref="G6:G69" si="1">+F6/D6</f>
        <v>#N/A</v>
      </c>
    </row>
    <row r="7" spans="1:7" x14ac:dyDescent="0.2">
      <c r="A7" s="806">
        <v>40224</v>
      </c>
      <c r="B7" s="839" t="s">
        <v>295</v>
      </c>
      <c r="C7" s="840" t="s">
        <v>1906</v>
      </c>
      <c r="D7" s="807">
        <v>3.37</v>
      </c>
      <c r="E7" s="841"/>
      <c r="F7" s="203" t="e">
        <f>VLOOKUP(A7,'Compos DER'!J:K,2,FALSE)</f>
        <v>#N/A</v>
      </c>
      <c r="G7" s="198" t="e">
        <f t="shared" si="1"/>
        <v>#N/A</v>
      </c>
    </row>
    <row r="8" spans="1:7" x14ac:dyDescent="0.2">
      <c r="A8" s="806">
        <v>40225</v>
      </c>
      <c r="B8" s="839" t="s">
        <v>296</v>
      </c>
      <c r="C8" s="840" t="s">
        <v>1906</v>
      </c>
      <c r="D8" s="807">
        <v>4.3499999999999996</v>
      </c>
      <c r="E8" s="841"/>
      <c r="F8" s="203" t="e">
        <f>VLOOKUP(A8,'Compos DER'!J:K,2,FALSE)</f>
        <v>#N/A</v>
      </c>
      <c r="G8" s="198" t="e">
        <f t="shared" si="1"/>
        <v>#N/A</v>
      </c>
    </row>
    <row r="9" spans="1:7" x14ac:dyDescent="0.2">
      <c r="A9" s="806">
        <v>40226</v>
      </c>
      <c r="B9" s="839" t="s">
        <v>297</v>
      </c>
      <c r="C9" s="840" t="s">
        <v>1906</v>
      </c>
      <c r="D9" s="807">
        <v>6.49</v>
      </c>
      <c r="E9" s="841"/>
      <c r="F9" s="203" t="e">
        <f>VLOOKUP(A9,'Compos DER'!J:K,2,FALSE)</f>
        <v>#N/A</v>
      </c>
      <c r="G9" s="198" t="e">
        <f t="shared" si="1"/>
        <v>#N/A</v>
      </c>
    </row>
    <row r="10" spans="1:7" x14ac:dyDescent="0.2">
      <c r="A10" s="806">
        <v>40229</v>
      </c>
      <c r="B10" s="839" t="s">
        <v>298</v>
      </c>
      <c r="C10" s="840" t="s">
        <v>1906</v>
      </c>
      <c r="D10" s="807">
        <v>6.14</v>
      </c>
      <c r="E10" s="841"/>
      <c r="F10" s="203" t="e">
        <f>VLOOKUP(A10,'Compos DER'!J:K,2,FALSE)</f>
        <v>#N/A</v>
      </c>
      <c r="G10" s="198" t="e">
        <f t="shared" si="1"/>
        <v>#N/A</v>
      </c>
    </row>
    <row r="11" spans="1:7" x14ac:dyDescent="0.2">
      <c r="A11" s="806">
        <v>43340</v>
      </c>
      <c r="B11" s="839" t="s">
        <v>299</v>
      </c>
      <c r="C11" s="840" t="s">
        <v>1906</v>
      </c>
      <c r="D11" s="807">
        <v>6.21</v>
      </c>
      <c r="E11" s="841"/>
      <c r="F11" s="203">
        <f>VLOOKUP(A11,'Compos DER'!J:K,2,FALSE)</f>
        <v>6.22</v>
      </c>
      <c r="G11" s="198">
        <f t="shared" si="1"/>
        <v>1.0016103059581301</v>
      </c>
    </row>
    <row r="12" spans="1:7" x14ac:dyDescent="0.2">
      <c r="A12" s="806">
        <v>40228</v>
      </c>
      <c r="B12" s="839" t="s">
        <v>300</v>
      </c>
      <c r="C12" s="840" t="s">
        <v>1906</v>
      </c>
      <c r="D12" s="807">
        <v>4.82</v>
      </c>
      <c r="E12" s="841"/>
      <c r="F12" s="203">
        <f>VLOOKUP(A12,'Compos DER'!J:K,2,FALSE)</f>
        <v>4.82</v>
      </c>
      <c r="G12" s="198">
        <f t="shared" si="1"/>
        <v>1</v>
      </c>
    </row>
    <row r="13" spans="1:7" x14ac:dyDescent="0.2">
      <c r="A13" s="806">
        <v>42227</v>
      </c>
      <c r="B13" s="839" t="s">
        <v>301</v>
      </c>
      <c r="C13" s="840" t="s">
        <v>1906</v>
      </c>
      <c r="D13" s="807">
        <v>4.2</v>
      </c>
      <c r="E13" s="841"/>
      <c r="F13" s="203" t="e">
        <f>VLOOKUP(A13,'Compos DER'!J:K,2,FALSE)</f>
        <v>#N/A</v>
      </c>
      <c r="G13" s="198" t="e">
        <f t="shared" si="1"/>
        <v>#N/A</v>
      </c>
    </row>
    <row r="14" spans="1:7" x14ac:dyDescent="0.2">
      <c r="A14" s="806">
        <v>40994</v>
      </c>
      <c r="B14" s="839" t="s">
        <v>302</v>
      </c>
      <c r="C14" s="840" t="s">
        <v>1906</v>
      </c>
      <c r="D14" s="807">
        <v>5.36</v>
      </c>
      <c r="E14" s="841"/>
      <c r="F14" s="203" t="e">
        <f>VLOOKUP(A14,'Compos DER'!J:K,2,FALSE)</f>
        <v>#N/A</v>
      </c>
      <c r="G14" s="198" t="e">
        <f t="shared" si="1"/>
        <v>#N/A</v>
      </c>
    </row>
    <row r="15" spans="1:7" x14ac:dyDescent="0.2">
      <c r="A15" s="806">
        <v>42940</v>
      </c>
      <c r="B15" s="839" t="s">
        <v>303</v>
      </c>
      <c r="C15" s="840" t="s">
        <v>1241</v>
      </c>
      <c r="D15" s="807">
        <v>226.55</v>
      </c>
      <c r="E15" s="841"/>
      <c r="F15" s="203" t="e">
        <f>VLOOKUP(A15,'Compos DER'!J:K,2,FALSE)</f>
        <v>#N/A</v>
      </c>
      <c r="G15" s="198" t="e">
        <f t="shared" si="1"/>
        <v>#N/A</v>
      </c>
    </row>
    <row r="16" spans="1:7" x14ac:dyDescent="0.2">
      <c r="A16" s="806">
        <v>41047</v>
      </c>
      <c r="B16" s="842" t="s">
        <v>1907</v>
      </c>
      <c r="C16" s="840" t="s">
        <v>1906</v>
      </c>
      <c r="D16" s="807">
        <v>578.79</v>
      </c>
      <c r="E16" s="843"/>
      <c r="F16" s="203" t="e">
        <f>VLOOKUP(A16,'Compos DER'!J:K,2,FALSE)</f>
        <v>#N/A</v>
      </c>
      <c r="G16" s="198" t="e">
        <f t="shared" si="1"/>
        <v>#N/A</v>
      </c>
    </row>
    <row r="17" spans="1:7" x14ac:dyDescent="0.2">
      <c r="A17" s="806">
        <v>41048</v>
      </c>
      <c r="B17" s="842" t="s">
        <v>1908</v>
      </c>
      <c r="C17" s="840" t="s">
        <v>1906</v>
      </c>
      <c r="D17" s="807">
        <v>530.34</v>
      </c>
      <c r="E17" s="843"/>
      <c r="F17" s="203" t="e">
        <f>VLOOKUP(A17,'Compos DER'!J:K,2,FALSE)</f>
        <v>#N/A</v>
      </c>
      <c r="G17" s="198" t="e">
        <f t="shared" si="1"/>
        <v>#N/A</v>
      </c>
    </row>
    <row r="18" spans="1:7" x14ac:dyDescent="0.2">
      <c r="A18" s="806">
        <v>40217</v>
      </c>
      <c r="B18" s="839" t="s">
        <v>304</v>
      </c>
      <c r="C18" s="840" t="s">
        <v>1906</v>
      </c>
      <c r="D18" s="807">
        <v>39.83</v>
      </c>
      <c r="E18" s="841"/>
      <c r="F18" s="203" t="e">
        <f>VLOOKUP(A18,'Compos DER'!J:K,2,FALSE)</f>
        <v>#N/A</v>
      </c>
      <c r="G18" s="198" t="e">
        <f t="shared" si="1"/>
        <v>#N/A</v>
      </c>
    </row>
    <row r="19" spans="1:7" x14ac:dyDescent="0.2">
      <c r="A19" s="806">
        <v>40172</v>
      </c>
      <c r="B19" s="839" t="s">
        <v>1909</v>
      </c>
      <c r="C19" s="840" t="s">
        <v>1910</v>
      </c>
      <c r="D19" s="807">
        <v>24.84</v>
      </c>
      <c r="E19" s="841"/>
      <c r="F19" s="203" t="e">
        <f>VLOOKUP(A19,'Compos DER'!J:K,2,FALSE)</f>
        <v>#N/A</v>
      </c>
      <c r="G19" s="198" t="e">
        <f t="shared" si="1"/>
        <v>#N/A</v>
      </c>
    </row>
    <row r="20" spans="1:7" x14ac:dyDescent="0.2">
      <c r="A20" s="806">
        <v>40171</v>
      </c>
      <c r="B20" s="839" t="s">
        <v>305</v>
      </c>
      <c r="C20" s="840" t="s">
        <v>1910</v>
      </c>
      <c r="D20" s="807">
        <v>12.41</v>
      </c>
      <c r="E20" s="841"/>
      <c r="F20" s="203" t="e">
        <f>VLOOKUP(A20,'Compos DER'!J:K,2,FALSE)</f>
        <v>#N/A</v>
      </c>
      <c r="G20" s="198" t="e">
        <f t="shared" si="1"/>
        <v>#N/A</v>
      </c>
    </row>
    <row r="21" spans="1:7" x14ac:dyDescent="0.2">
      <c r="A21" s="806">
        <v>42225</v>
      </c>
      <c r="B21" s="839" t="s">
        <v>306</v>
      </c>
      <c r="C21" s="840" t="s">
        <v>1906</v>
      </c>
      <c r="D21" s="807">
        <v>7</v>
      </c>
      <c r="E21" s="841"/>
      <c r="F21" s="203" t="e">
        <f>VLOOKUP(A21,'Compos DER'!J:K,2,FALSE)</f>
        <v>#N/A</v>
      </c>
      <c r="G21" s="198" t="e">
        <f t="shared" si="1"/>
        <v>#N/A</v>
      </c>
    </row>
    <row r="22" spans="1:7" x14ac:dyDescent="0.2">
      <c r="A22" s="806">
        <v>40178</v>
      </c>
      <c r="B22" s="839" t="s">
        <v>307</v>
      </c>
      <c r="C22" s="840" t="s">
        <v>1906</v>
      </c>
      <c r="D22" s="807">
        <v>7.51</v>
      </c>
      <c r="E22" s="841"/>
      <c r="F22" s="203" t="e">
        <f>VLOOKUP(A22,'Compos DER'!J:K,2,FALSE)</f>
        <v>#N/A</v>
      </c>
      <c r="G22" s="198" t="e">
        <f t="shared" si="1"/>
        <v>#N/A</v>
      </c>
    </row>
    <row r="23" spans="1:7" x14ac:dyDescent="0.2">
      <c r="A23" s="806">
        <v>40179</v>
      </c>
      <c r="B23" s="842" t="s">
        <v>1911</v>
      </c>
      <c r="C23" s="840" t="s">
        <v>1906</v>
      </c>
      <c r="D23" s="807">
        <v>12.67</v>
      </c>
      <c r="E23" s="843"/>
      <c r="F23" s="203" t="e">
        <f>VLOOKUP(A23,'Compos DER'!J:K,2,FALSE)</f>
        <v>#N/A</v>
      </c>
      <c r="G23" s="198" t="e">
        <f t="shared" si="1"/>
        <v>#N/A</v>
      </c>
    </row>
    <row r="24" spans="1:7" x14ac:dyDescent="0.2">
      <c r="A24" s="806">
        <v>40184</v>
      </c>
      <c r="B24" s="842" t="s">
        <v>1912</v>
      </c>
      <c r="C24" s="840" t="s">
        <v>1906</v>
      </c>
      <c r="D24" s="807">
        <v>22.24</v>
      </c>
      <c r="E24" s="843"/>
      <c r="F24" s="203" t="e">
        <f>VLOOKUP(A24,'Compos DER'!J:K,2,FALSE)</f>
        <v>#N/A</v>
      </c>
      <c r="G24" s="198" t="e">
        <f t="shared" si="1"/>
        <v>#N/A</v>
      </c>
    </row>
    <row r="25" spans="1:7" x14ac:dyDescent="0.2">
      <c r="A25" s="806">
        <v>40180</v>
      </c>
      <c r="B25" s="842" t="s">
        <v>1913</v>
      </c>
      <c r="C25" s="840" t="s">
        <v>1906</v>
      </c>
      <c r="D25" s="807">
        <v>14.65</v>
      </c>
      <c r="E25" s="843"/>
      <c r="F25" s="203" t="e">
        <f>VLOOKUP(A25,'Compos DER'!J:K,2,FALSE)</f>
        <v>#N/A</v>
      </c>
      <c r="G25" s="198" t="e">
        <f t="shared" si="1"/>
        <v>#N/A</v>
      </c>
    </row>
    <row r="26" spans="1:7" x14ac:dyDescent="0.2">
      <c r="A26" s="806">
        <v>40181</v>
      </c>
      <c r="B26" s="842" t="s">
        <v>1914</v>
      </c>
      <c r="C26" s="840" t="s">
        <v>1906</v>
      </c>
      <c r="D26" s="807">
        <v>16.46</v>
      </c>
      <c r="E26" s="843"/>
      <c r="F26" s="203" t="e">
        <f>VLOOKUP(A26,'Compos DER'!J:K,2,FALSE)</f>
        <v>#N/A</v>
      </c>
      <c r="G26" s="198" t="e">
        <f t="shared" si="1"/>
        <v>#N/A</v>
      </c>
    </row>
    <row r="27" spans="1:7" x14ac:dyDescent="0.2">
      <c r="A27" s="806">
        <v>40182</v>
      </c>
      <c r="B27" s="842" t="s">
        <v>1915</v>
      </c>
      <c r="C27" s="840" t="s">
        <v>1906</v>
      </c>
      <c r="D27" s="807">
        <v>18.940000000000001</v>
      </c>
      <c r="E27" s="843"/>
      <c r="F27" s="203" t="e">
        <f>VLOOKUP(A27,'Compos DER'!J:K,2,FALSE)</f>
        <v>#N/A</v>
      </c>
      <c r="G27" s="198" t="e">
        <f t="shared" si="1"/>
        <v>#N/A</v>
      </c>
    </row>
    <row r="28" spans="1:7" x14ac:dyDescent="0.2">
      <c r="A28" s="806">
        <v>40183</v>
      </c>
      <c r="B28" s="842" t="s">
        <v>1916</v>
      </c>
      <c r="C28" s="840" t="s">
        <v>1906</v>
      </c>
      <c r="D28" s="807">
        <v>19.989999999999998</v>
      </c>
      <c r="E28" s="843"/>
      <c r="F28" s="203" t="e">
        <f>VLOOKUP(A28,'Compos DER'!J:K,2,FALSE)</f>
        <v>#N/A</v>
      </c>
      <c r="G28" s="198" t="e">
        <f t="shared" si="1"/>
        <v>#N/A</v>
      </c>
    </row>
    <row r="29" spans="1:7" x14ac:dyDescent="0.2">
      <c r="A29" s="806">
        <v>40191</v>
      </c>
      <c r="B29" s="842" t="s">
        <v>1917</v>
      </c>
      <c r="C29" s="840" t="s">
        <v>1906</v>
      </c>
      <c r="D29" s="807">
        <v>19.16</v>
      </c>
      <c r="E29" s="843"/>
      <c r="F29" s="203" t="e">
        <f>VLOOKUP(A29,'Compos DER'!J:K,2,FALSE)</f>
        <v>#N/A</v>
      </c>
      <c r="G29" s="198" t="e">
        <f t="shared" si="1"/>
        <v>#N/A</v>
      </c>
    </row>
    <row r="30" spans="1:7" x14ac:dyDescent="0.2">
      <c r="A30" s="806">
        <v>40196</v>
      </c>
      <c r="B30" s="842" t="s">
        <v>1918</v>
      </c>
      <c r="C30" s="840" t="s">
        <v>1906</v>
      </c>
      <c r="D30" s="807">
        <v>30.54</v>
      </c>
      <c r="E30" s="843"/>
      <c r="F30" s="203" t="e">
        <f>VLOOKUP(A30,'Compos DER'!J:K,2,FALSE)</f>
        <v>#N/A</v>
      </c>
      <c r="G30" s="198" t="e">
        <f t="shared" si="1"/>
        <v>#N/A</v>
      </c>
    </row>
    <row r="31" spans="1:7" x14ac:dyDescent="0.2">
      <c r="A31" s="806">
        <v>40192</v>
      </c>
      <c r="B31" s="842" t="s">
        <v>1919</v>
      </c>
      <c r="C31" s="840" t="s">
        <v>1906</v>
      </c>
      <c r="D31" s="807">
        <v>20.82</v>
      </c>
      <c r="E31" s="843"/>
      <c r="F31" s="203" t="e">
        <f>VLOOKUP(A31,'Compos DER'!J:K,2,FALSE)</f>
        <v>#N/A</v>
      </c>
      <c r="G31" s="198" t="e">
        <f t="shared" si="1"/>
        <v>#N/A</v>
      </c>
    </row>
    <row r="32" spans="1:7" x14ac:dyDescent="0.2">
      <c r="A32" s="806">
        <v>40193</v>
      </c>
      <c r="B32" s="842" t="s">
        <v>1920</v>
      </c>
      <c r="C32" s="840" t="s">
        <v>1906</v>
      </c>
      <c r="D32" s="807">
        <v>22.82</v>
      </c>
      <c r="E32" s="843"/>
      <c r="F32" s="203" t="e">
        <f>VLOOKUP(A32,'Compos DER'!J:K,2,FALSE)</f>
        <v>#N/A</v>
      </c>
      <c r="G32" s="198" t="e">
        <f t="shared" si="1"/>
        <v>#N/A</v>
      </c>
    </row>
    <row r="33" spans="1:7" x14ac:dyDescent="0.2">
      <c r="A33" s="806">
        <v>40194</v>
      </c>
      <c r="B33" s="842" t="s">
        <v>1921</v>
      </c>
      <c r="C33" s="840" t="s">
        <v>1906</v>
      </c>
      <c r="D33" s="807">
        <v>26.18</v>
      </c>
      <c r="E33" s="843"/>
      <c r="F33" s="203" t="e">
        <f>VLOOKUP(A33,'Compos DER'!J:K,2,FALSE)</f>
        <v>#N/A</v>
      </c>
      <c r="G33" s="198" t="e">
        <f t="shared" si="1"/>
        <v>#N/A</v>
      </c>
    </row>
    <row r="34" spans="1:7" x14ac:dyDescent="0.2">
      <c r="A34" s="806">
        <v>40195</v>
      </c>
      <c r="B34" s="842" t="s">
        <v>1922</v>
      </c>
      <c r="C34" s="840" t="s">
        <v>1906</v>
      </c>
      <c r="D34" s="807">
        <v>28</v>
      </c>
      <c r="E34" s="843"/>
      <c r="F34" s="203" t="e">
        <f>VLOOKUP(A34,'Compos DER'!J:K,2,FALSE)</f>
        <v>#N/A</v>
      </c>
      <c r="G34" s="198" t="e">
        <f t="shared" si="1"/>
        <v>#N/A</v>
      </c>
    </row>
    <row r="35" spans="1:7" x14ac:dyDescent="0.2">
      <c r="A35" s="806">
        <v>40220</v>
      </c>
      <c r="B35" s="839" t="s">
        <v>308</v>
      </c>
      <c r="C35" s="840" t="s">
        <v>1906</v>
      </c>
      <c r="D35" s="807">
        <v>9.19</v>
      </c>
      <c r="E35" s="841"/>
      <c r="F35" s="203" t="e">
        <f>VLOOKUP(A35,'Compos DER'!J:K,2,FALSE)</f>
        <v>#N/A</v>
      </c>
      <c r="G35" s="198" t="e">
        <f t="shared" si="1"/>
        <v>#N/A</v>
      </c>
    </row>
    <row r="36" spans="1:7" x14ac:dyDescent="0.2">
      <c r="A36" s="806">
        <v>40230</v>
      </c>
      <c r="B36" s="839" t="s">
        <v>309</v>
      </c>
      <c r="C36" s="840" t="s">
        <v>1906</v>
      </c>
      <c r="D36" s="807">
        <v>3.02</v>
      </c>
      <c r="E36" s="841"/>
      <c r="F36" s="203">
        <f>VLOOKUP(A36,'Compos DER'!J:K,2,FALSE)</f>
        <v>3.02</v>
      </c>
      <c r="G36" s="198">
        <f t="shared" si="1"/>
        <v>1</v>
      </c>
    </row>
    <row r="37" spans="1:7" x14ac:dyDescent="0.2">
      <c r="A37" s="806">
        <v>40221</v>
      </c>
      <c r="B37" s="839" t="s">
        <v>310</v>
      </c>
      <c r="C37" s="840" t="s">
        <v>1906</v>
      </c>
      <c r="D37" s="807">
        <v>8.06</v>
      </c>
      <c r="E37" s="841"/>
      <c r="F37" s="203">
        <f>VLOOKUP(A37,'Compos DER'!J:K,2,FALSE)</f>
        <v>8.07</v>
      </c>
      <c r="G37" s="198">
        <f t="shared" si="1"/>
        <v>1.00124069478908</v>
      </c>
    </row>
    <row r="38" spans="1:7" x14ac:dyDescent="0.2">
      <c r="A38" s="806">
        <v>40231</v>
      </c>
      <c r="B38" s="839" t="s">
        <v>311</v>
      </c>
      <c r="C38" s="840" t="s">
        <v>1906</v>
      </c>
      <c r="D38" s="807">
        <v>4.45</v>
      </c>
      <c r="E38" s="841"/>
      <c r="F38" s="203" t="e">
        <f>VLOOKUP(A38,'Compos DER'!J:K,2,FALSE)</f>
        <v>#N/A</v>
      </c>
      <c r="G38" s="198" t="e">
        <f t="shared" si="1"/>
        <v>#N/A</v>
      </c>
    </row>
    <row r="39" spans="1:7" x14ac:dyDescent="0.2">
      <c r="A39" s="806">
        <v>40222</v>
      </c>
      <c r="B39" s="839" t="s">
        <v>312</v>
      </c>
      <c r="C39" s="840" t="s">
        <v>1906</v>
      </c>
      <c r="D39" s="807">
        <v>11.54</v>
      </c>
      <c r="E39" s="841"/>
      <c r="F39" s="203" t="e">
        <f>VLOOKUP(A39,'Compos DER'!J:K,2,FALSE)</f>
        <v>#N/A</v>
      </c>
      <c r="G39" s="198" t="e">
        <f t="shared" si="1"/>
        <v>#N/A</v>
      </c>
    </row>
    <row r="40" spans="1:7" x14ac:dyDescent="0.2">
      <c r="A40" s="806">
        <v>40216</v>
      </c>
      <c r="B40" s="839" t="s">
        <v>313</v>
      </c>
      <c r="C40" s="840" t="s">
        <v>1906</v>
      </c>
      <c r="D40" s="807">
        <v>109.81</v>
      </c>
      <c r="E40" s="841"/>
      <c r="F40" s="203" t="e">
        <f>VLOOKUP(A40,'Compos DER'!J:K,2,FALSE)</f>
        <v>#N/A</v>
      </c>
      <c r="G40" s="198" t="e">
        <f t="shared" si="1"/>
        <v>#N/A</v>
      </c>
    </row>
    <row r="41" spans="1:7" x14ac:dyDescent="0.2">
      <c r="A41" s="806">
        <v>40223</v>
      </c>
      <c r="B41" s="839" t="s">
        <v>314</v>
      </c>
      <c r="C41" s="840" t="s">
        <v>1906</v>
      </c>
      <c r="D41" s="807">
        <v>46.79</v>
      </c>
      <c r="E41" s="841"/>
      <c r="F41" s="203" t="e">
        <f>VLOOKUP(A41,'Compos DER'!J:K,2,FALSE)</f>
        <v>#N/A</v>
      </c>
      <c r="G41" s="198" t="e">
        <f t="shared" si="1"/>
        <v>#N/A</v>
      </c>
    </row>
    <row r="42" spans="1:7" x14ac:dyDescent="0.2">
      <c r="A42" s="806">
        <v>43335</v>
      </c>
      <c r="B42" s="839" t="s">
        <v>315</v>
      </c>
      <c r="C42" s="840" t="s">
        <v>1906</v>
      </c>
      <c r="D42" s="807">
        <v>2.5499999999999998</v>
      </c>
      <c r="E42" s="841"/>
      <c r="F42" s="203">
        <f>VLOOKUP(A42,'Compos DER'!J:K,2,FALSE)</f>
        <v>2.5499999999999998</v>
      </c>
      <c r="G42" s="198">
        <f t="shared" si="1"/>
        <v>1</v>
      </c>
    </row>
    <row r="43" spans="1:7" x14ac:dyDescent="0.2">
      <c r="A43" s="806">
        <v>42547</v>
      </c>
      <c r="B43" s="839" t="s">
        <v>316</v>
      </c>
      <c r="C43" s="840" t="s">
        <v>1906</v>
      </c>
      <c r="D43" s="807">
        <v>1.67</v>
      </c>
      <c r="E43" s="841"/>
      <c r="F43" s="203" t="e">
        <f>VLOOKUP(A43,'Compos DER'!J:K,2,FALSE)</f>
        <v>#N/A</v>
      </c>
      <c r="G43" s="198" t="e">
        <f t="shared" si="1"/>
        <v>#N/A</v>
      </c>
    </row>
    <row r="44" spans="1:7" x14ac:dyDescent="0.2">
      <c r="A44" s="806">
        <v>40177</v>
      </c>
      <c r="B44" s="839" t="s">
        <v>317</v>
      </c>
      <c r="C44" s="840" t="s">
        <v>1906</v>
      </c>
      <c r="D44" s="807">
        <v>4.26</v>
      </c>
      <c r="E44" s="841"/>
      <c r="F44" s="203">
        <f>VLOOKUP(A44,'Compos DER'!J:K,2,FALSE)</f>
        <v>4.2699999999999996</v>
      </c>
      <c r="G44" s="198">
        <f t="shared" si="1"/>
        <v>1.00234741784038</v>
      </c>
    </row>
    <row r="45" spans="1:7" ht="25.5" x14ac:dyDescent="0.2">
      <c r="A45" s="806">
        <v>41056</v>
      </c>
      <c r="B45" s="842" t="s">
        <v>1923</v>
      </c>
      <c r="C45" s="840" t="s">
        <v>1906</v>
      </c>
      <c r="D45" s="807">
        <v>67.02</v>
      </c>
      <c r="E45" s="843"/>
      <c r="F45" s="203" t="e">
        <f>VLOOKUP(A45,'Compos DER'!J:K,2,FALSE)</f>
        <v>#N/A</v>
      </c>
      <c r="G45" s="198" t="e">
        <f t="shared" si="1"/>
        <v>#N/A</v>
      </c>
    </row>
    <row r="46" spans="1:7" x14ac:dyDescent="0.2">
      <c r="A46" s="806">
        <v>40218</v>
      </c>
      <c r="B46" s="839" t="s">
        <v>318</v>
      </c>
      <c r="C46" s="840" t="s">
        <v>1906</v>
      </c>
      <c r="D46" s="807">
        <v>56.86</v>
      </c>
      <c r="E46" s="841"/>
      <c r="F46" s="203" t="e">
        <f>VLOOKUP(A46,'Compos DER'!J:K,2,FALSE)</f>
        <v>#N/A</v>
      </c>
      <c r="G46" s="198" t="e">
        <f t="shared" si="1"/>
        <v>#N/A</v>
      </c>
    </row>
    <row r="47" spans="1:7" x14ac:dyDescent="0.2">
      <c r="A47" s="806">
        <v>40170</v>
      </c>
      <c r="B47" s="839" t="s">
        <v>319</v>
      </c>
      <c r="C47" s="840" t="s">
        <v>1905</v>
      </c>
      <c r="D47" s="807">
        <v>0.75</v>
      </c>
      <c r="E47" s="841"/>
      <c r="F47" s="203" t="e">
        <f>VLOOKUP(A47,'Compos DER'!J:K,2,FALSE)</f>
        <v>#N/A</v>
      </c>
      <c r="G47" s="198" t="e">
        <f t="shared" si="1"/>
        <v>#N/A</v>
      </c>
    </row>
    <row r="48" spans="1:7" x14ac:dyDescent="0.2">
      <c r="A48" s="806">
        <v>40167</v>
      </c>
      <c r="B48" s="839" t="s">
        <v>1828</v>
      </c>
      <c r="C48" s="840" t="s">
        <v>1905</v>
      </c>
      <c r="D48" s="807">
        <v>0.48</v>
      </c>
      <c r="E48" s="843"/>
      <c r="F48" s="203">
        <f>VLOOKUP(A48,'Compos DER'!J:K,2,FALSE)</f>
        <v>0.48</v>
      </c>
      <c r="G48" s="198">
        <f t="shared" si="1"/>
        <v>1</v>
      </c>
    </row>
    <row r="49" spans="1:7" x14ac:dyDescent="0.2">
      <c r="A49" s="806">
        <v>40168</v>
      </c>
      <c r="B49" s="839" t="s">
        <v>320</v>
      </c>
      <c r="C49" s="840" t="s">
        <v>1905</v>
      </c>
      <c r="D49" s="807">
        <v>2.38</v>
      </c>
      <c r="E49" s="841"/>
      <c r="F49" s="203" t="e">
        <f>VLOOKUP(A49,'Compos DER'!J:K,2,FALSE)</f>
        <v>#N/A</v>
      </c>
      <c r="G49" s="198" t="e">
        <f t="shared" si="1"/>
        <v>#N/A</v>
      </c>
    </row>
    <row r="50" spans="1:7" x14ac:dyDescent="0.2">
      <c r="A50" s="806">
        <v>40169</v>
      </c>
      <c r="B50" s="842" t="s">
        <v>1924</v>
      </c>
      <c r="C50" s="840" t="s">
        <v>1905</v>
      </c>
      <c r="D50" s="807">
        <v>8.82</v>
      </c>
      <c r="E50" s="843"/>
      <c r="F50" s="203">
        <f>VLOOKUP(A50,'Compos DER'!J:K,2,FALSE)</f>
        <v>8.83</v>
      </c>
      <c r="G50" s="198">
        <f t="shared" si="1"/>
        <v>1.0011337868480701</v>
      </c>
    </row>
    <row r="51" spans="1:7" x14ac:dyDescent="0.2">
      <c r="A51" s="806">
        <v>102069</v>
      </c>
      <c r="B51" s="839" t="s">
        <v>1925</v>
      </c>
      <c r="C51" s="840" t="s">
        <v>1241</v>
      </c>
      <c r="D51" s="807">
        <v>3.56</v>
      </c>
      <c r="E51" s="841"/>
      <c r="F51" s="203" t="e">
        <f>VLOOKUP(A51,'Compos DER'!J:K,2,FALSE)</f>
        <v>#N/A</v>
      </c>
      <c r="G51" s="198" t="e">
        <f t="shared" si="1"/>
        <v>#N/A</v>
      </c>
    </row>
    <row r="52" spans="1:7" x14ac:dyDescent="0.2">
      <c r="A52" s="806">
        <v>40219</v>
      </c>
      <c r="B52" s="839" t="s">
        <v>321</v>
      </c>
      <c r="C52" s="840" t="s">
        <v>1905</v>
      </c>
      <c r="D52" s="807">
        <v>37.83</v>
      </c>
      <c r="E52" s="841"/>
      <c r="F52" s="203" t="e">
        <f>VLOOKUP(A52,'Compos DER'!J:K,2,FALSE)</f>
        <v>#N/A</v>
      </c>
      <c r="G52" s="198" t="e">
        <f t="shared" si="1"/>
        <v>#N/A</v>
      </c>
    </row>
    <row r="53" spans="1:7" x14ac:dyDescent="0.2">
      <c r="A53" s="806">
        <v>41095</v>
      </c>
      <c r="B53" s="842" t="s">
        <v>322</v>
      </c>
      <c r="C53" s="840" t="s">
        <v>1906</v>
      </c>
      <c r="D53" s="807">
        <v>24.08</v>
      </c>
      <c r="E53" s="843"/>
      <c r="F53" s="203" t="e">
        <f>VLOOKUP(A53,'Compos DER'!J:K,2,FALSE)</f>
        <v>#N/A</v>
      </c>
      <c r="G53" s="198" t="e">
        <f t="shared" si="1"/>
        <v>#N/A</v>
      </c>
    </row>
    <row r="54" spans="1:7" x14ac:dyDescent="0.2">
      <c r="A54" s="806">
        <v>43352</v>
      </c>
      <c r="B54" s="839" t="s">
        <v>1926</v>
      </c>
      <c r="C54" s="840" t="s">
        <v>1905</v>
      </c>
      <c r="D54" s="807">
        <v>0.56999999999999995</v>
      </c>
      <c r="E54" s="841"/>
      <c r="F54" s="203" t="e">
        <f>VLOOKUP(A54,'Compos DER'!J:K,2,FALSE)</f>
        <v>#N/A</v>
      </c>
      <c r="G54" s="198" t="e">
        <f t="shared" si="1"/>
        <v>#N/A</v>
      </c>
    </row>
    <row r="55" spans="1:7" x14ac:dyDescent="0.2">
      <c r="A55" s="997">
        <v>43338</v>
      </c>
      <c r="B55" s="998" t="s">
        <v>323</v>
      </c>
      <c r="C55" s="999" t="s">
        <v>1905</v>
      </c>
      <c r="D55" s="1000">
        <v>0.48</v>
      </c>
      <c r="E55" s="1001"/>
      <c r="F55" s="203" t="e">
        <f>VLOOKUP(A55,'Compos DER'!J:K,2,FALSE)</f>
        <v>#N/A</v>
      </c>
      <c r="G55" s="198" t="e">
        <f t="shared" si="1"/>
        <v>#N/A</v>
      </c>
    </row>
    <row r="56" spans="1:7" x14ac:dyDescent="0.2">
      <c r="A56" s="1002">
        <v>40166</v>
      </c>
      <c r="B56" s="1003" t="s">
        <v>324</v>
      </c>
      <c r="C56" s="1004" t="s">
        <v>1905</v>
      </c>
      <c r="D56" s="1005">
        <v>0.17</v>
      </c>
      <c r="E56" s="1006"/>
      <c r="F56" s="203" t="e">
        <f>VLOOKUP(A56,'Compos DER'!J:K,2,FALSE)</f>
        <v>#N/A</v>
      </c>
      <c r="G56" s="198" t="e">
        <f t="shared" si="1"/>
        <v>#N/A</v>
      </c>
    </row>
    <row r="57" spans="1:7" x14ac:dyDescent="0.2">
      <c r="A57" s="1010">
        <v>41326</v>
      </c>
      <c r="B57" s="1007" t="s">
        <v>325</v>
      </c>
      <c r="C57" s="1008" t="s">
        <v>1906</v>
      </c>
      <c r="D57" s="1009">
        <v>4.83</v>
      </c>
      <c r="E57" s="1008"/>
      <c r="F57" s="203" t="e">
        <f>VLOOKUP(A57,'Compos DER'!J:K,2,FALSE)</f>
        <v>#N/A</v>
      </c>
      <c r="G57" s="198" t="e">
        <f t="shared" si="1"/>
        <v>#N/A</v>
      </c>
    </row>
    <row r="58" spans="1:7" x14ac:dyDescent="0.2">
      <c r="A58" s="847" t="s">
        <v>326</v>
      </c>
      <c r="B58" s="848"/>
      <c r="C58" s="849"/>
      <c r="E58" s="845"/>
    </row>
    <row r="59" spans="1:7" ht="25.5" x14ac:dyDescent="0.2">
      <c r="A59" s="806">
        <v>40801</v>
      </c>
      <c r="B59" s="842" t="s">
        <v>1928</v>
      </c>
      <c r="C59" s="840" t="s">
        <v>1906</v>
      </c>
      <c r="D59" s="807">
        <v>82.88</v>
      </c>
      <c r="E59" s="839" t="s">
        <v>1209</v>
      </c>
      <c r="F59" s="203" t="e">
        <f>VLOOKUP(A59,'Compos DER'!J:K,2,FALSE)</f>
        <v>#N/A</v>
      </c>
      <c r="G59" s="198" t="e">
        <f t="shared" si="1"/>
        <v>#N/A</v>
      </c>
    </row>
    <row r="60" spans="1:7" ht="25.5" x14ac:dyDescent="0.2">
      <c r="A60" s="806">
        <v>40799</v>
      </c>
      <c r="B60" s="842" t="s">
        <v>1929</v>
      </c>
      <c r="C60" s="840" t="s">
        <v>1906</v>
      </c>
      <c r="D60" s="807">
        <v>62.89</v>
      </c>
      <c r="E60" s="839" t="s">
        <v>1209</v>
      </c>
      <c r="F60" s="203" t="e">
        <f>VLOOKUP(A60,'Compos DER'!J:K,2,FALSE)</f>
        <v>#N/A</v>
      </c>
      <c r="G60" s="198" t="e">
        <f t="shared" si="1"/>
        <v>#N/A</v>
      </c>
    </row>
    <row r="61" spans="1:7" x14ac:dyDescent="0.2">
      <c r="A61" s="806">
        <v>40793</v>
      </c>
      <c r="B61" s="842" t="s">
        <v>1930</v>
      </c>
      <c r="C61" s="840" t="s">
        <v>1906</v>
      </c>
      <c r="D61" s="807">
        <v>82.1</v>
      </c>
      <c r="E61" s="839" t="s">
        <v>1209</v>
      </c>
      <c r="F61" s="203" t="e">
        <f>VLOOKUP(A61,'Compos DER'!J:K,2,FALSE)</f>
        <v>#N/A</v>
      </c>
      <c r="G61" s="198" t="e">
        <f t="shared" si="1"/>
        <v>#N/A</v>
      </c>
    </row>
    <row r="62" spans="1:7" ht="25.5" x14ac:dyDescent="0.2">
      <c r="A62" s="806">
        <v>40797</v>
      </c>
      <c r="B62" s="842" t="s">
        <v>1931</v>
      </c>
      <c r="C62" s="840" t="s">
        <v>1906</v>
      </c>
      <c r="D62" s="807">
        <v>36.94</v>
      </c>
      <c r="E62" s="839" t="s">
        <v>1209</v>
      </c>
      <c r="F62" s="203" t="e">
        <f>VLOOKUP(A62,'Compos DER'!J:K,2,FALSE)</f>
        <v>#N/A</v>
      </c>
      <c r="G62" s="198" t="e">
        <f t="shared" si="1"/>
        <v>#N/A</v>
      </c>
    </row>
    <row r="63" spans="1:7" x14ac:dyDescent="0.2">
      <c r="A63" s="806">
        <v>41157</v>
      </c>
      <c r="B63" s="839" t="s">
        <v>327</v>
      </c>
      <c r="C63" s="840" t="s">
        <v>1906</v>
      </c>
      <c r="D63" s="807">
        <v>48.66</v>
      </c>
      <c r="E63" s="841"/>
      <c r="F63" s="203" t="e">
        <f>VLOOKUP(A63,'Compos DER'!J:K,2,FALSE)</f>
        <v>#N/A</v>
      </c>
      <c r="G63" s="198" t="e">
        <f t="shared" si="1"/>
        <v>#N/A</v>
      </c>
    </row>
    <row r="64" spans="1:7" x14ac:dyDescent="0.2">
      <c r="A64" s="806">
        <v>40795</v>
      </c>
      <c r="B64" s="839" t="s">
        <v>328</v>
      </c>
      <c r="C64" s="840" t="s">
        <v>1906</v>
      </c>
      <c r="D64" s="807">
        <v>45.77</v>
      </c>
      <c r="E64" s="839" t="s">
        <v>1209</v>
      </c>
      <c r="F64" s="203" t="e">
        <f>VLOOKUP(A64,'Compos DER'!J:K,2,FALSE)</f>
        <v>#N/A</v>
      </c>
      <c r="G64" s="198" t="e">
        <f t="shared" si="1"/>
        <v>#N/A</v>
      </c>
    </row>
    <row r="65" spans="1:7" x14ac:dyDescent="0.2">
      <c r="A65" s="806">
        <v>40787</v>
      </c>
      <c r="B65" s="839" t="s">
        <v>329</v>
      </c>
      <c r="C65" s="840" t="s">
        <v>1906</v>
      </c>
      <c r="D65" s="807">
        <v>98.55</v>
      </c>
      <c r="E65" s="839" t="s">
        <v>1209</v>
      </c>
      <c r="F65" s="203" t="e">
        <f>VLOOKUP(A65,'Compos DER'!J:K,2,FALSE)</f>
        <v>#N/A</v>
      </c>
      <c r="G65" s="198" t="e">
        <f t="shared" si="1"/>
        <v>#N/A</v>
      </c>
    </row>
    <row r="66" spans="1:7" x14ac:dyDescent="0.2">
      <c r="A66" s="806">
        <v>40812</v>
      </c>
      <c r="B66" s="839" t="s">
        <v>330</v>
      </c>
      <c r="C66" s="840" t="s">
        <v>1906</v>
      </c>
      <c r="D66" s="807">
        <v>98.55</v>
      </c>
      <c r="E66" s="841"/>
      <c r="F66" s="203">
        <f>VLOOKUP(A66,'Compos DER'!J:K,2,FALSE)</f>
        <v>98.56</v>
      </c>
      <c r="G66" s="198">
        <f t="shared" si="1"/>
        <v>1.0001014713343499</v>
      </c>
    </row>
    <row r="67" spans="1:7" x14ac:dyDescent="0.2">
      <c r="A67" s="806">
        <v>42673</v>
      </c>
      <c r="B67" s="839" t="s">
        <v>331</v>
      </c>
      <c r="C67" s="840" t="s">
        <v>1906</v>
      </c>
      <c r="D67" s="807">
        <v>117.59</v>
      </c>
      <c r="E67" s="841"/>
      <c r="F67" s="203" t="e">
        <f>VLOOKUP(A67,'Compos DER'!J:K,2,FALSE)</f>
        <v>#N/A</v>
      </c>
      <c r="G67" s="198" t="e">
        <f t="shared" si="1"/>
        <v>#N/A</v>
      </c>
    </row>
    <row r="68" spans="1:7" x14ac:dyDescent="0.2">
      <c r="A68" s="806">
        <v>40803</v>
      </c>
      <c r="B68" s="839" t="s">
        <v>332</v>
      </c>
      <c r="C68" s="840" t="s">
        <v>1906</v>
      </c>
      <c r="D68" s="807">
        <v>63.18</v>
      </c>
      <c r="E68" s="839" t="s">
        <v>1209</v>
      </c>
      <c r="F68" s="203" t="e">
        <f>VLOOKUP(A68,'Compos DER'!J:K,2,FALSE)</f>
        <v>#N/A</v>
      </c>
      <c r="G68" s="198" t="e">
        <f t="shared" si="1"/>
        <v>#N/A</v>
      </c>
    </row>
    <row r="69" spans="1:7" x14ac:dyDescent="0.2">
      <c r="A69" s="806">
        <v>41406</v>
      </c>
      <c r="B69" s="842" t="s">
        <v>1932</v>
      </c>
      <c r="C69" s="840" t="s">
        <v>1906</v>
      </c>
      <c r="D69" s="807">
        <v>56.22</v>
      </c>
      <c r="E69" s="839" t="s">
        <v>1209</v>
      </c>
      <c r="F69" s="203" t="e">
        <f>VLOOKUP(A69,'Compos DER'!J:K,2,FALSE)</f>
        <v>#N/A</v>
      </c>
      <c r="G69" s="198" t="e">
        <f t="shared" si="1"/>
        <v>#N/A</v>
      </c>
    </row>
    <row r="70" spans="1:7" ht="25.5" x14ac:dyDescent="0.2">
      <c r="A70" s="806">
        <v>41100</v>
      </c>
      <c r="B70" s="842" t="s">
        <v>1933</v>
      </c>
      <c r="C70" s="840" t="s">
        <v>1906</v>
      </c>
      <c r="D70" s="807">
        <v>54.29</v>
      </c>
      <c r="E70" s="843"/>
      <c r="F70" s="203" t="e">
        <f>VLOOKUP(A70,'Compos DER'!J:K,2,FALSE)</f>
        <v>#N/A</v>
      </c>
      <c r="G70" s="198" t="e">
        <f t="shared" ref="G70:G133" si="2">+F70/D70</f>
        <v>#N/A</v>
      </c>
    </row>
    <row r="71" spans="1:7" x14ac:dyDescent="0.2">
      <c r="A71" s="806">
        <v>40979</v>
      </c>
      <c r="B71" s="842" t="s">
        <v>1934</v>
      </c>
      <c r="C71" s="840" t="s">
        <v>1906</v>
      </c>
      <c r="D71" s="807">
        <v>45.81</v>
      </c>
      <c r="E71" s="843"/>
      <c r="F71" s="203" t="e">
        <f>VLOOKUP(A71,'Compos DER'!J:K,2,FALSE)</f>
        <v>#N/A</v>
      </c>
      <c r="G71" s="198" t="e">
        <f t="shared" si="2"/>
        <v>#N/A</v>
      </c>
    </row>
    <row r="72" spans="1:7" x14ac:dyDescent="0.2">
      <c r="A72" s="806">
        <v>40815</v>
      </c>
      <c r="B72" s="839" t="s">
        <v>333</v>
      </c>
      <c r="C72" s="840" t="s">
        <v>1906</v>
      </c>
      <c r="D72" s="807">
        <v>56.7</v>
      </c>
      <c r="E72" s="841"/>
      <c r="F72" s="203" t="e">
        <f>VLOOKUP(A72,'Compos DER'!J:K,2,FALSE)</f>
        <v>#N/A</v>
      </c>
      <c r="G72" s="198" t="e">
        <f t="shared" si="2"/>
        <v>#N/A</v>
      </c>
    </row>
    <row r="73" spans="1:7" x14ac:dyDescent="0.2">
      <c r="A73" s="806">
        <v>40809</v>
      </c>
      <c r="B73" s="839" t="s">
        <v>334</v>
      </c>
      <c r="C73" s="840" t="s">
        <v>1906</v>
      </c>
      <c r="D73" s="807">
        <v>65.19</v>
      </c>
      <c r="E73" s="841"/>
      <c r="F73" s="203" t="e">
        <f>VLOOKUP(A73,'Compos DER'!J:K,2,FALSE)</f>
        <v>#N/A</v>
      </c>
      <c r="G73" s="198" t="e">
        <f t="shared" si="2"/>
        <v>#N/A</v>
      </c>
    </row>
    <row r="74" spans="1:7" x14ac:dyDescent="0.2">
      <c r="A74" s="806">
        <v>40810</v>
      </c>
      <c r="B74" s="839" t="s">
        <v>335</v>
      </c>
      <c r="C74" s="840" t="s">
        <v>1906</v>
      </c>
      <c r="D74" s="807">
        <v>82.27</v>
      </c>
      <c r="E74" s="841"/>
      <c r="F74" s="203" t="e">
        <f>VLOOKUP(A74,'Compos DER'!J:K,2,FALSE)</f>
        <v>#N/A</v>
      </c>
      <c r="G74" s="198" t="e">
        <f t="shared" si="2"/>
        <v>#N/A</v>
      </c>
    </row>
    <row r="75" spans="1:7" x14ac:dyDescent="0.2">
      <c r="A75" s="806">
        <v>41097</v>
      </c>
      <c r="B75" s="839" t="s">
        <v>336</v>
      </c>
      <c r="C75" s="840" t="s">
        <v>1906</v>
      </c>
      <c r="D75" s="807">
        <v>92.58</v>
      </c>
      <c r="E75" s="839" t="s">
        <v>1209</v>
      </c>
      <c r="F75" s="203" t="e">
        <f>VLOOKUP(A75,'Compos DER'!J:K,2,FALSE)</f>
        <v>#N/A</v>
      </c>
      <c r="G75" s="198" t="e">
        <f t="shared" si="2"/>
        <v>#N/A</v>
      </c>
    </row>
    <row r="76" spans="1:7" ht="25.5" x14ac:dyDescent="0.2">
      <c r="A76" s="806">
        <v>41364</v>
      </c>
      <c r="B76" s="842" t="s">
        <v>1935</v>
      </c>
      <c r="C76" s="840" t="s">
        <v>1906</v>
      </c>
      <c r="D76" s="807">
        <v>56.22</v>
      </c>
      <c r="E76" s="843"/>
      <c r="F76" s="203" t="e">
        <f>VLOOKUP(A76,'Compos DER'!J:K,2,FALSE)</f>
        <v>#N/A</v>
      </c>
      <c r="G76" s="198" t="e">
        <f t="shared" si="2"/>
        <v>#N/A</v>
      </c>
    </row>
    <row r="77" spans="1:7" x14ac:dyDescent="0.2">
      <c r="A77" s="806">
        <v>40777</v>
      </c>
      <c r="B77" s="839" t="s">
        <v>337</v>
      </c>
      <c r="C77" s="840" t="s">
        <v>1906</v>
      </c>
      <c r="D77" s="807">
        <v>40.04</v>
      </c>
      <c r="E77" s="839" t="s">
        <v>1209</v>
      </c>
      <c r="F77" s="203" t="e">
        <f>VLOOKUP(A77,'Compos DER'!J:K,2,FALSE)</f>
        <v>#N/A</v>
      </c>
      <c r="G77" s="198" t="e">
        <f t="shared" si="2"/>
        <v>#N/A</v>
      </c>
    </row>
    <row r="78" spans="1:7" x14ac:dyDescent="0.2">
      <c r="A78" s="806">
        <v>40779</v>
      </c>
      <c r="B78" s="839" t="s">
        <v>1936</v>
      </c>
      <c r="C78" s="840" t="s">
        <v>1906</v>
      </c>
      <c r="D78" s="807">
        <v>45.94</v>
      </c>
      <c r="E78" s="839" t="s">
        <v>1209</v>
      </c>
      <c r="F78" s="203" t="e">
        <f>VLOOKUP(A78,'Compos DER'!J:K,2,FALSE)</f>
        <v>#N/A</v>
      </c>
      <c r="G78" s="198" t="e">
        <f t="shared" si="2"/>
        <v>#N/A</v>
      </c>
    </row>
    <row r="79" spans="1:7" x14ac:dyDescent="0.2">
      <c r="A79" s="806">
        <v>40781</v>
      </c>
      <c r="B79" s="839" t="s">
        <v>338</v>
      </c>
      <c r="C79" s="840" t="s">
        <v>1906</v>
      </c>
      <c r="D79" s="807">
        <v>65.19</v>
      </c>
      <c r="E79" s="839" t="s">
        <v>1209</v>
      </c>
      <c r="F79" s="203" t="e">
        <f>VLOOKUP(A79,'Compos DER'!J:K,2,FALSE)</f>
        <v>#N/A</v>
      </c>
      <c r="G79" s="198" t="e">
        <f t="shared" si="2"/>
        <v>#N/A</v>
      </c>
    </row>
    <row r="80" spans="1:7" x14ac:dyDescent="0.2">
      <c r="A80" s="806">
        <v>40783</v>
      </c>
      <c r="B80" s="839" t="s">
        <v>339</v>
      </c>
      <c r="C80" s="840" t="s">
        <v>1906</v>
      </c>
      <c r="D80" s="807">
        <v>82.27</v>
      </c>
      <c r="E80" s="839" t="s">
        <v>1209</v>
      </c>
      <c r="F80" s="203" t="e">
        <f>VLOOKUP(A80,'Compos DER'!J:K,2,FALSE)</f>
        <v>#N/A</v>
      </c>
      <c r="G80" s="198" t="e">
        <f t="shared" si="2"/>
        <v>#N/A</v>
      </c>
    </row>
    <row r="81" spans="1:7" x14ac:dyDescent="0.2">
      <c r="A81" s="806">
        <v>41366</v>
      </c>
      <c r="B81" s="839" t="s">
        <v>340</v>
      </c>
      <c r="C81" s="840" t="s">
        <v>1906</v>
      </c>
      <c r="D81" s="807">
        <v>92.58</v>
      </c>
      <c r="E81" s="841"/>
      <c r="F81" s="203" t="e">
        <f>VLOOKUP(A81,'Compos DER'!J:K,2,FALSE)</f>
        <v>#N/A</v>
      </c>
      <c r="G81" s="198" t="e">
        <f t="shared" si="2"/>
        <v>#N/A</v>
      </c>
    </row>
    <row r="82" spans="1:7" x14ac:dyDescent="0.2">
      <c r="A82" s="806">
        <v>40834</v>
      </c>
      <c r="B82" s="842" t="s">
        <v>1937</v>
      </c>
      <c r="C82" s="840" t="s">
        <v>1905</v>
      </c>
      <c r="D82" s="807">
        <v>1.89</v>
      </c>
      <c r="E82" s="839" t="s">
        <v>1209</v>
      </c>
      <c r="F82" s="203" t="e">
        <f>VLOOKUP(A82,'Compos DER'!J:K,2,FALSE)</f>
        <v>#N/A</v>
      </c>
      <c r="G82" s="198" t="e">
        <f t="shared" si="2"/>
        <v>#N/A</v>
      </c>
    </row>
    <row r="83" spans="1:7" x14ac:dyDescent="0.2">
      <c r="A83" s="806">
        <v>40835</v>
      </c>
      <c r="B83" s="839" t="s">
        <v>341</v>
      </c>
      <c r="C83" s="840" t="s">
        <v>1905</v>
      </c>
      <c r="D83" s="807">
        <v>3.45</v>
      </c>
      <c r="E83" s="839" t="s">
        <v>1209</v>
      </c>
      <c r="F83" s="203" t="e">
        <f>VLOOKUP(A83,'Compos DER'!J:K,2,FALSE)</f>
        <v>#N/A</v>
      </c>
      <c r="G83" s="198" t="e">
        <f t="shared" si="2"/>
        <v>#N/A</v>
      </c>
    </row>
    <row r="84" spans="1:7" ht="25.5" x14ac:dyDescent="0.2">
      <c r="A84" s="806">
        <v>40841</v>
      </c>
      <c r="B84" s="842" t="s">
        <v>1938</v>
      </c>
      <c r="C84" s="840" t="s">
        <v>3</v>
      </c>
      <c r="D84" s="807">
        <v>106.68</v>
      </c>
      <c r="E84" s="839" t="s">
        <v>1209</v>
      </c>
      <c r="F84" s="203" t="e">
        <f>VLOOKUP(A84,'Compos DER'!J:K,2,FALSE)</f>
        <v>#N/A</v>
      </c>
      <c r="G84" s="198" t="e">
        <f t="shared" si="2"/>
        <v>#N/A</v>
      </c>
    </row>
    <row r="85" spans="1:7" x14ac:dyDescent="0.2">
      <c r="A85" s="806">
        <v>40842</v>
      </c>
      <c r="B85" s="842" t="s">
        <v>1939</v>
      </c>
      <c r="C85" s="840" t="s">
        <v>3</v>
      </c>
      <c r="D85" s="807">
        <v>350.61</v>
      </c>
      <c r="E85" s="839" t="s">
        <v>1209</v>
      </c>
      <c r="F85" s="203" t="e">
        <f>VLOOKUP(A85,'Compos DER'!J:K,2,FALSE)</f>
        <v>#N/A</v>
      </c>
      <c r="G85" s="198" t="e">
        <f t="shared" si="2"/>
        <v>#N/A</v>
      </c>
    </row>
    <row r="86" spans="1:7" x14ac:dyDescent="0.2">
      <c r="A86" s="806">
        <v>40843</v>
      </c>
      <c r="B86" s="839" t="s">
        <v>342</v>
      </c>
      <c r="C86" s="840" t="s">
        <v>3</v>
      </c>
      <c r="D86" s="807">
        <v>110.96</v>
      </c>
      <c r="E86" s="839" t="s">
        <v>1209</v>
      </c>
      <c r="F86" s="203">
        <f>VLOOKUP(A86,'Compos DER'!J:K,2,FALSE)</f>
        <v>150.08000000000001</v>
      </c>
      <c r="G86" s="198">
        <f t="shared" si="2"/>
        <v>1.35255948089402</v>
      </c>
    </row>
    <row r="87" spans="1:7" x14ac:dyDescent="0.2">
      <c r="A87" s="806">
        <v>40844</v>
      </c>
      <c r="B87" s="842" t="s">
        <v>1940</v>
      </c>
      <c r="C87" s="840" t="s">
        <v>3</v>
      </c>
      <c r="D87" s="807">
        <v>356.61</v>
      </c>
      <c r="E87" s="839" t="s">
        <v>1209</v>
      </c>
      <c r="F87" s="203" t="e">
        <f>VLOOKUP(A87,'Compos DER'!J:K,2,FALSE)</f>
        <v>#N/A</v>
      </c>
      <c r="G87" s="198" t="e">
        <f t="shared" si="2"/>
        <v>#N/A</v>
      </c>
    </row>
    <row r="88" spans="1:7" x14ac:dyDescent="0.2">
      <c r="A88" s="806">
        <v>41112</v>
      </c>
      <c r="B88" s="842" t="s">
        <v>1941</v>
      </c>
      <c r="C88" s="840" t="s">
        <v>3</v>
      </c>
      <c r="D88" s="807">
        <v>104.96</v>
      </c>
      <c r="E88" s="839" t="s">
        <v>1209</v>
      </c>
      <c r="F88" s="203" t="e">
        <f>VLOOKUP(A88,'Compos DER'!J:K,2,FALSE)</f>
        <v>#N/A</v>
      </c>
      <c r="G88" s="198" t="e">
        <f t="shared" si="2"/>
        <v>#N/A</v>
      </c>
    </row>
    <row r="89" spans="1:7" x14ac:dyDescent="0.2">
      <c r="A89" s="806">
        <v>43342</v>
      </c>
      <c r="B89" s="842" t="s">
        <v>1942</v>
      </c>
      <c r="C89" s="840" t="s">
        <v>3</v>
      </c>
      <c r="D89" s="807">
        <v>117.35</v>
      </c>
      <c r="E89" s="839" t="s">
        <v>1209</v>
      </c>
      <c r="F89" s="203" t="e">
        <f>VLOOKUP(A89,'Compos DER'!J:K,2,FALSE)</f>
        <v>#N/A</v>
      </c>
      <c r="G89" s="198" t="e">
        <f t="shared" si="2"/>
        <v>#N/A</v>
      </c>
    </row>
    <row r="90" spans="1:7" x14ac:dyDescent="0.2">
      <c r="A90" s="806">
        <v>40878</v>
      </c>
      <c r="B90" s="842" t="s">
        <v>1943</v>
      </c>
      <c r="C90" s="840" t="s">
        <v>3</v>
      </c>
      <c r="D90" s="807">
        <v>111.18</v>
      </c>
      <c r="E90" s="839" t="s">
        <v>1209</v>
      </c>
      <c r="F90" s="203" t="e">
        <f>VLOOKUP(A90,'Compos DER'!J:K,2,FALSE)</f>
        <v>#N/A</v>
      </c>
      <c r="G90" s="198" t="e">
        <f t="shared" si="2"/>
        <v>#N/A</v>
      </c>
    </row>
    <row r="91" spans="1:7" x14ac:dyDescent="0.2">
      <c r="A91" s="806">
        <v>40845</v>
      </c>
      <c r="B91" s="839" t="s">
        <v>1605</v>
      </c>
      <c r="C91" s="840" t="s">
        <v>3</v>
      </c>
      <c r="D91" s="807">
        <v>87.32</v>
      </c>
      <c r="E91" s="839" t="s">
        <v>1209</v>
      </c>
      <c r="F91" s="203" t="e">
        <f>VLOOKUP(A91,'Compos DER'!J:K,2,FALSE)</f>
        <v>#N/A</v>
      </c>
      <c r="G91" s="198" t="e">
        <f t="shared" si="2"/>
        <v>#N/A</v>
      </c>
    </row>
    <row r="92" spans="1:7" x14ac:dyDescent="0.2">
      <c r="A92" s="806">
        <v>40846</v>
      </c>
      <c r="B92" s="839" t="s">
        <v>1606</v>
      </c>
      <c r="C92" s="840" t="s">
        <v>3</v>
      </c>
      <c r="D92" s="807">
        <v>332.97</v>
      </c>
      <c r="E92" s="839" t="s">
        <v>1209</v>
      </c>
      <c r="F92" s="203" t="e">
        <f>VLOOKUP(A92,'Compos DER'!J:K,2,FALSE)</f>
        <v>#N/A</v>
      </c>
      <c r="G92" s="198" t="e">
        <f t="shared" si="2"/>
        <v>#N/A</v>
      </c>
    </row>
    <row r="93" spans="1:7" x14ac:dyDescent="0.2">
      <c r="A93" s="806">
        <v>40879</v>
      </c>
      <c r="B93" s="842" t="s">
        <v>1944</v>
      </c>
      <c r="C93" s="840" t="s">
        <v>3</v>
      </c>
      <c r="D93" s="807">
        <v>87.54</v>
      </c>
      <c r="E93" s="843"/>
      <c r="F93" s="203" t="e">
        <f>VLOOKUP(A93,'Compos DER'!J:K,2,FALSE)</f>
        <v>#N/A</v>
      </c>
      <c r="G93" s="198" t="e">
        <f t="shared" si="2"/>
        <v>#N/A</v>
      </c>
    </row>
    <row r="94" spans="1:7" x14ac:dyDescent="0.2">
      <c r="A94" s="806">
        <v>40877</v>
      </c>
      <c r="B94" s="839" t="s">
        <v>343</v>
      </c>
      <c r="C94" s="840" t="s">
        <v>3</v>
      </c>
      <c r="D94" s="807">
        <v>117.27</v>
      </c>
      <c r="E94" s="839" t="s">
        <v>1209</v>
      </c>
      <c r="F94" s="203" t="e">
        <f>VLOOKUP(A94,'Compos DER'!J:K,2,FALSE)</f>
        <v>#N/A</v>
      </c>
      <c r="G94" s="198" t="e">
        <f t="shared" si="2"/>
        <v>#N/A</v>
      </c>
    </row>
    <row r="95" spans="1:7" x14ac:dyDescent="0.2">
      <c r="A95" s="806">
        <v>43341</v>
      </c>
      <c r="B95" s="842" t="s">
        <v>1945</v>
      </c>
      <c r="C95" s="840" t="s">
        <v>3</v>
      </c>
      <c r="D95" s="807">
        <v>120.11</v>
      </c>
      <c r="E95" s="839" t="s">
        <v>1209</v>
      </c>
      <c r="F95" s="203" t="e">
        <f>VLOOKUP(A95,'Compos DER'!J:K,2,FALSE)</f>
        <v>#N/A</v>
      </c>
      <c r="G95" s="198" t="e">
        <f t="shared" si="2"/>
        <v>#N/A</v>
      </c>
    </row>
    <row r="96" spans="1:7" x14ac:dyDescent="0.2">
      <c r="A96" s="806">
        <v>40867</v>
      </c>
      <c r="B96" s="839" t="s">
        <v>344</v>
      </c>
      <c r="C96" s="840" t="s">
        <v>1905</v>
      </c>
      <c r="D96" s="807">
        <v>2.67</v>
      </c>
      <c r="E96" s="841"/>
      <c r="F96" s="203" t="e">
        <f>VLOOKUP(A96,'Compos DER'!J:K,2,FALSE)</f>
        <v>#N/A</v>
      </c>
      <c r="G96" s="198" t="e">
        <f t="shared" si="2"/>
        <v>#N/A</v>
      </c>
    </row>
    <row r="97" spans="1:9" x14ac:dyDescent="0.2">
      <c r="A97" s="806">
        <v>101196</v>
      </c>
      <c r="B97" s="839" t="s">
        <v>1607</v>
      </c>
      <c r="C97" s="840" t="s">
        <v>3</v>
      </c>
      <c r="D97" s="808">
        <v>2222.56</v>
      </c>
      <c r="E97" s="841"/>
      <c r="F97" s="203" t="e">
        <f>VLOOKUP(A97,'Compos DER'!J:K,2,FALSE)</f>
        <v>#N/A</v>
      </c>
      <c r="G97" s="198" t="e">
        <f t="shared" si="2"/>
        <v>#N/A</v>
      </c>
    </row>
    <row r="98" spans="1:9" s="819" customFormat="1" x14ac:dyDescent="0.2">
      <c r="A98" s="806">
        <v>40763</v>
      </c>
      <c r="B98" s="839" t="s">
        <v>1608</v>
      </c>
      <c r="C98" s="840" t="s">
        <v>1905</v>
      </c>
      <c r="D98" s="807">
        <v>0.85</v>
      </c>
      <c r="E98" s="841"/>
      <c r="F98" s="203" t="e">
        <f>VLOOKUP(A98,'Compos DER'!J:K,2,FALSE)</f>
        <v>#N/A</v>
      </c>
      <c r="G98" s="198" t="e">
        <f t="shared" si="2"/>
        <v>#N/A</v>
      </c>
      <c r="I98" s="851">
        <f>A98-H99</f>
        <v>40763</v>
      </c>
    </row>
    <row r="99" spans="1:9" x14ac:dyDescent="0.2">
      <c r="A99" s="806">
        <v>40765</v>
      </c>
      <c r="B99" s="839" t="s">
        <v>1609</v>
      </c>
      <c r="C99" s="840" t="s">
        <v>1905</v>
      </c>
      <c r="D99" s="807">
        <v>5.93</v>
      </c>
      <c r="E99" s="841"/>
      <c r="F99" s="203" t="e">
        <f>VLOOKUP(A99,'Compos DER'!J:K,2,FALSE)</f>
        <v>#N/A</v>
      </c>
      <c r="G99" s="198" t="e">
        <f t="shared" si="2"/>
        <v>#N/A</v>
      </c>
    </row>
    <row r="100" spans="1:9" ht="20.25" customHeight="1" x14ac:dyDescent="0.2">
      <c r="A100" s="806">
        <v>40757</v>
      </c>
      <c r="B100" s="839" t="s">
        <v>345</v>
      </c>
      <c r="C100" s="840" t="s">
        <v>1906</v>
      </c>
      <c r="D100" s="807">
        <v>18.68</v>
      </c>
      <c r="E100" s="841"/>
      <c r="F100" s="203">
        <f>VLOOKUP(A100,'Compos DER'!J:K,2,FALSE)</f>
        <v>18.68</v>
      </c>
      <c r="G100" s="198">
        <f t="shared" si="2"/>
        <v>1</v>
      </c>
    </row>
    <row r="101" spans="1:9" x14ac:dyDescent="0.2">
      <c r="A101" s="806">
        <v>40758</v>
      </c>
      <c r="B101" s="839" t="s">
        <v>346</v>
      </c>
      <c r="C101" s="840" t="s">
        <v>1906</v>
      </c>
      <c r="D101" s="807">
        <v>20.12</v>
      </c>
      <c r="E101" s="841"/>
      <c r="F101" s="203" t="e">
        <f>VLOOKUP(A101,'Compos DER'!J:K,2,FALSE)</f>
        <v>#N/A</v>
      </c>
      <c r="G101" s="198" t="e">
        <f t="shared" si="2"/>
        <v>#N/A</v>
      </c>
    </row>
    <row r="102" spans="1:9" x14ac:dyDescent="0.2">
      <c r="A102" s="806">
        <v>40761</v>
      </c>
      <c r="B102" s="842" t="s">
        <v>1946</v>
      </c>
      <c r="C102" s="840" t="s">
        <v>1906</v>
      </c>
      <c r="D102" s="807">
        <v>46.26</v>
      </c>
      <c r="E102" s="843"/>
      <c r="F102" s="203" t="e">
        <f>VLOOKUP(A102,'Compos DER'!J:K,2,FALSE)</f>
        <v>#N/A</v>
      </c>
      <c r="G102" s="198" t="e">
        <f t="shared" si="2"/>
        <v>#N/A</v>
      </c>
    </row>
    <row r="103" spans="1:9" x14ac:dyDescent="0.2">
      <c r="A103" s="806">
        <v>40759</v>
      </c>
      <c r="B103" s="839" t="s">
        <v>347</v>
      </c>
      <c r="C103" s="840" t="s">
        <v>1906</v>
      </c>
      <c r="D103" s="807">
        <v>20.53</v>
      </c>
      <c r="E103" s="841"/>
      <c r="F103" s="203" t="e">
        <f>VLOOKUP(A103,'Compos DER'!J:K,2,FALSE)</f>
        <v>#N/A</v>
      </c>
      <c r="G103" s="198" t="e">
        <f t="shared" si="2"/>
        <v>#N/A</v>
      </c>
    </row>
    <row r="104" spans="1:9" x14ac:dyDescent="0.2">
      <c r="A104" s="806">
        <v>40760</v>
      </c>
      <c r="B104" s="839" t="s">
        <v>1947</v>
      </c>
      <c r="C104" s="840" t="s">
        <v>1906</v>
      </c>
      <c r="D104" s="807">
        <v>21.13</v>
      </c>
      <c r="E104" s="841"/>
      <c r="F104" s="203" t="e">
        <f>VLOOKUP(A104,'Compos DER'!J:K,2,FALSE)</f>
        <v>#N/A</v>
      </c>
      <c r="G104" s="198" t="e">
        <f t="shared" si="2"/>
        <v>#N/A</v>
      </c>
    </row>
    <row r="105" spans="1:9" x14ac:dyDescent="0.2">
      <c r="A105" s="806">
        <v>41069</v>
      </c>
      <c r="B105" s="839" t="s">
        <v>348</v>
      </c>
      <c r="C105" s="840" t="s">
        <v>1905</v>
      </c>
      <c r="D105" s="807">
        <v>10.4</v>
      </c>
      <c r="E105" s="841"/>
      <c r="F105" s="203" t="e">
        <f>VLOOKUP(A105,'Compos DER'!J:K,2,FALSE)</f>
        <v>#N/A</v>
      </c>
      <c r="G105" s="198" t="e">
        <f t="shared" si="2"/>
        <v>#N/A</v>
      </c>
    </row>
    <row r="106" spans="1:9" x14ac:dyDescent="0.2">
      <c r="A106" s="806">
        <v>40985</v>
      </c>
      <c r="B106" s="839" t="s">
        <v>1610</v>
      </c>
      <c r="C106" s="840" t="s">
        <v>1905</v>
      </c>
      <c r="D106" s="807">
        <v>9.02</v>
      </c>
      <c r="E106" s="841"/>
      <c r="F106" s="203" t="e">
        <f>VLOOKUP(A106,'Compos DER'!J:K,2,FALSE)</f>
        <v>#N/A</v>
      </c>
      <c r="G106" s="198" t="e">
        <f t="shared" si="2"/>
        <v>#N/A</v>
      </c>
    </row>
    <row r="107" spans="1:9" x14ac:dyDescent="0.2">
      <c r="A107" s="806">
        <v>40868</v>
      </c>
      <c r="B107" s="839" t="s">
        <v>1611</v>
      </c>
      <c r="C107" s="840" t="s">
        <v>1905</v>
      </c>
      <c r="D107" s="807">
        <v>13.55</v>
      </c>
      <c r="E107" s="841"/>
      <c r="F107" s="203" t="e">
        <f>VLOOKUP(A107,'Compos DER'!J:K,2,FALSE)</f>
        <v>#N/A</v>
      </c>
      <c r="G107" s="198" t="e">
        <f t="shared" si="2"/>
        <v>#N/A</v>
      </c>
    </row>
    <row r="108" spans="1:9" x14ac:dyDescent="0.2">
      <c r="A108" s="806">
        <v>40816</v>
      </c>
      <c r="B108" s="839" t="s">
        <v>349</v>
      </c>
      <c r="C108" s="840" t="s">
        <v>1905</v>
      </c>
      <c r="D108" s="807">
        <v>0.83</v>
      </c>
      <c r="E108" s="841"/>
      <c r="F108" s="203">
        <f>VLOOKUP(A108,'Compos DER'!J:K,2,FALSE)</f>
        <v>0.84</v>
      </c>
      <c r="G108" s="198">
        <f t="shared" si="2"/>
        <v>1.01204819277108</v>
      </c>
    </row>
    <row r="109" spans="1:9" x14ac:dyDescent="0.2">
      <c r="A109" s="806">
        <v>40817</v>
      </c>
      <c r="B109" s="839" t="s">
        <v>350</v>
      </c>
      <c r="C109" s="840" t="s">
        <v>1905</v>
      </c>
      <c r="D109" s="807">
        <v>7.41</v>
      </c>
      <c r="E109" s="839" t="s">
        <v>1209</v>
      </c>
      <c r="F109" s="203" t="e">
        <f>VLOOKUP(A109,'Compos DER'!J:K,2,FALSE)</f>
        <v>#N/A</v>
      </c>
      <c r="G109" s="198" t="e">
        <f t="shared" si="2"/>
        <v>#N/A</v>
      </c>
    </row>
    <row r="110" spans="1:9" x14ac:dyDescent="0.2">
      <c r="A110" s="806">
        <v>40850</v>
      </c>
      <c r="B110" s="839" t="s">
        <v>351</v>
      </c>
      <c r="C110" s="840" t="s">
        <v>1905</v>
      </c>
      <c r="D110" s="807">
        <v>1.55</v>
      </c>
      <c r="E110" s="839" t="s">
        <v>1209</v>
      </c>
      <c r="F110" s="203" t="e">
        <f>VLOOKUP(A110,'Compos DER'!J:K,2,FALSE)</f>
        <v>#N/A</v>
      </c>
      <c r="G110" s="198" t="e">
        <f t="shared" si="2"/>
        <v>#N/A</v>
      </c>
    </row>
    <row r="111" spans="1:9" x14ac:dyDescent="0.2">
      <c r="A111" s="806">
        <v>40851</v>
      </c>
      <c r="B111" s="839" t="s">
        <v>352</v>
      </c>
      <c r="C111" s="840" t="s">
        <v>1905</v>
      </c>
      <c r="D111" s="807">
        <v>3.68</v>
      </c>
      <c r="E111" s="839" t="s">
        <v>1209</v>
      </c>
      <c r="F111" s="203" t="e">
        <f>VLOOKUP(A111,'Compos DER'!J:K,2,FALSE)</f>
        <v>#N/A</v>
      </c>
      <c r="G111" s="198" t="e">
        <f t="shared" si="2"/>
        <v>#N/A</v>
      </c>
    </row>
    <row r="112" spans="1:9" x14ac:dyDescent="0.2">
      <c r="A112" s="806">
        <v>40852</v>
      </c>
      <c r="B112" s="839" t="s">
        <v>353</v>
      </c>
      <c r="C112" s="840" t="s">
        <v>1905</v>
      </c>
      <c r="D112" s="807">
        <v>1.68</v>
      </c>
      <c r="E112" s="839" t="s">
        <v>1209</v>
      </c>
      <c r="F112" s="203" t="e">
        <f>VLOOKUP(A112,'Compos DER'!J:K,2,FALSE)</f>
        <v>#N/A</v>
      </c>
      <c r="G112" s="198" t="e">
        <f t="shared" si="2"/>
        <v>#N/A</v>
      </c>
    </row>
    <row r="113" spans="1:7" x14ac:dyDescent="0.2">
      <c r="A113" s="806">
        <v>40853</v>
      </c>
      <c r="B113" s="839" t="s">
        <v>354</v>
      </c>
      <c r="C113" s="840" t="s">
        <v>1905</v>
      </c>
      <c r="D113" s="807">
        <v>5.04</v>
      </c>
      <c r="E113" s="839" t="s">
        <v>1209</v>
      </c>
      <c r="F113" s="203" t="e">
        <f>VLOOKUP(A113,'Compos DER'!J:K,2,FALSE)</f>
        <v>#N/A</v>
      </c>
      <c r="G113" s="198" t="e">
        <f t="shared" si="2"/>
        <v>#N/A</v>
      </c>
    </row>
    <row r="114" spans="1:7" x14ac:dyDescent="0.2">
      <c r="A114" s="806">
        <v>40854</v>
      </c>
      <c r="B114" s="839" t="s">
        <v>355</v>
      </c>
      <c r="C114" s="840" t="s">
        <v>1905</v>
      </c>
      <c r="D114" s="807">
        <v>1.77</v>
      </c>
      <c r="E114" s="839" t="s">
        <v>1209</v>
      </c>
      <c r="F114" s="203" t="e">
        <f>VLOOKUP(A114,'Compos DER'!J:K,2,FALSE)</f>
        <v>#N/A</v>
      </c>
      <c r="G114" s="198" t="e">
        <f t="shared" si="2"/>
        <v>#N/A</v>
      </c>
    </row>
    <row r="115" spans="1:7" x14ac:dyDescent="0.2">
      <c r="A115" s="806">
        <v>40855</v>
      </c>
      <c r="B115" s="839" t="s">
        <v>356</v>
      </c>
      <c r="C115" s="840" t="s">
        <v>1905</v>
      </c>
      <c r="D115" s="807">
        <v>6.65</v>
      </c>
      <c r="E115" s="839" t="s">
        <v>1209</v>
      </c>
      <c r="F115" s="203" t="e">
        <f>VLOOKUP(A115,'Compos DER'!J:K,2,FALSE)</f>
        <v>#N/A</v>
      </c>
      <c r="G115" s="198" t="e">
        <f t="shared" si="2"/>
        <v>#N/A</v>
      </c>
    </row>
    <row r="116" spans="1:7" x14ac:dyDescent="0.2">
      <c r="A116" s="806">
        <v>40856</v>
      </c>
      <c r="B116" s="839" t="s">
        <v>357</v>
      </c>
      <c r="C116" s="840" t="s">
        <v>1905</v>
      </c>
      <c r="D116" s="807">
        <v>2.1</v>
      </c>
      <c r="E116" s="839" t="s">
        <v>1209</v>
      </c>
      <c r="F116" s="203" t="e">
        <f>VLOOKUP(A116,'Compos DER'!J:K,2,FALSE)</f>
        <v>#N/A</v>
      </c>
      <c r="G116" s="198" t="e">
        <f t="shared" si="2"/>
        <v>#N/A</v>
      </c>
    </row>
    <row r="117" spans="1:7" x14ac:dyDescent="0.2">
      <c r="A117" s="806">
        <v>40857</v>
      </c>
      <c r="B117" s="839" t="s">
        <v>358</v>
      </c>
      <c r="C117" s="840" t="s">
        <v>1905</v>
      </c>
      <c r="D117" s="807">
        <v>8.82</v>
      </c>
      <c r="E117" s="839" t="s">
        <v>1209</v>
      </c>
      <c r="F117" s="203" t="e">
        <f>VLOOKUP(A117,'Compos DER'!J:K,2,FALSE)</f>
        <v>#N/A</v>
      </c>
      <c r="G117" s="198" t="e">
        <f t="shared" si="2"/>
        <v>#N/A</v>
      </c>
    </row>
    <row r="118" spans="1:7" x14ac:dyDescent="0.2">
      <c r="A118" s="806">
        <v>40894</v>
      </c>
      <c r="B118" s="839" t="s">
        <v>359</v>
      </c>
      <c r="C118" s="840" t="s">
        <v>1948</v>
      </c>
      <c r="D118" s="807">
        <v>31.01</v>
      </c>
      <c r="E118" s="841"/>
      <c r="F118" s="203" t="e">
        <f>VLOOKUP(A118,'Compos DER'!J:K,2,FALSE)</f>
        <v>#N/A</v>
      </c>
      <c r="G118" s="198" t="e">
        <f t="shared" si="2"/>
        <v>#N/A</v>
      </c>
    </row>
    <row r="119" spans="1:7" x14ac:dyDescent="0.2">
      <c r="A119" s="806">
        <v>40895</v>
      </c>
      <c r="B119" s="839" t="s">
        <v>1612</v>
      </c>
      <c r="C119" s="840" t="s">
        <v>1948</v>
      </c>
      <c r="D119" s="807">
        <v>55.43</v>
      </c>
      <c r="E119" s="841"/>
      <c r="F119" s="203" t="e">
        <f>VLOOKUP(A119,'Compos DER'!J:K,2,FALSE)</f>
        <v>#N/A</v>
      </c>
      <c r="G119" s="198" t="e">
        <f t="shared" si="2"/>
        <v>#N/A</v>
      </c>
    </row>
    <row r="120" spans="1:7" x14ac:dyDescent="0.2">
      <c r="A120" s="806">
        <v>40869</v>
      </c>
      <c r="B120" s="842" t="s">
        <v>1949</v>
      </c>
      <c r="C120" s="840" t="s">
        <v>1905</v>
      </c>
      <c r="D120" s="807">
        <v>5.33</v>
      </c>
      <c r="E120" s="839" t="s">
        <v>1209</v>
      </c>
      <c r="F120" s="203" t="e">
        <f>VLOOKUP(A120,'Compos DER'!J:K,2,FALSE)</f>
        <v>#N/A</v>
      </c>
      <c r="G120" s="198" t="e">
        <f t="shared" si="2"/>
        <v>#N/A</v>
      </c>
    </row>
    <row r="121" spans="1:7" x14ac:dyDescent="0.2">
      <c r="A121" s="806">
        <v>40881</v>
      </c>
      <c r="B121" s="842" t="s">
        <v>1950</v>
      </c>
      <c r="C121" s="840" t="s">
        <v>1905</v>
      </c>
      <c r="D121" s="807">
        <v>5.33</v>
      </c>
      <c r="E121" s="843"/>
      <c r="F121" s="203" t="e">
        <f>VLOOKUP(A121,'Compos DER'!J:K,2,FALSE)</f>
        <v>#N/A</v>
      </c>
      <c r="G121" s="198" t="e">
        <f t="shared" si="2"/>
        <v>#N/A</v>
      </c>
    </row>
    <row r="122" spans="1:7" x14ac:dyDescent="0.2">
      <c r="A122" s="806">
        <v>40870</v>
      </c>
      <c r="B122" s="842" t="s">
        <v>1951</v>
      </c>
      <c r="C122" s="840" t="s">
        <v>1905</v>
      </c>
      <c r="D122" s="807">
        <v>14.52</v>
      </c>
      <c r="E122" s="839" t="s">
        <v>1209</v>
      </c>
      <c r="F122" s="203" t="e">
        <f>VLOOKUP(A122,'Compos DER'!J:K,2,FALSE)</f>
        <v>#N/A</v>
      </c>
      <c r="G122" s="198" t="e">
        <f t="shared" si="2"/>
        <v>#N/A</v>
      </c>
    </row>
    <row r="123" spans="1:7" x14ac:dyDescent="0.2">
      <c r="A123" s="806">
        <v>40860</v>
      </c>
      <c r="B123" s="842" t="s">
        <v>1952</v>
      </c>
      <c r="C123" s="840" t="s">
        <v>1905</v>
      </c>
      <c r="D123" s="807">
        <v>44.16</v>
      </c>
      <c r="E123" s="839" t="s">
        <v>1209</v>
      </c>
      <c r="F123" s="203" t="e">
        <f>VLOOKUP(A123,'Compos DER'!J:K,2,FALSE)</f>
        <v>#N/A</v>
      </c>
      <c r="G123" s="198" t="e">
        <f t="shared" si="2"/>
        <v>#N/A</v>
      </c>
    </row>
    <row r="124" spans="1:7" x14ac:dyDescent="0.2">
      <c r="A124" s="806">
        <v>40864</v>
      </c>
      <c r="B124" s="842" t="s">
        <v>1953</v>
      </c>
      <c r="C124" s="840" t="s">
        <v>3</v>
      </c>
      <c r="D124" s="807">
        <v>454.05</v>
      </c>
      <c r="E124" s="839" t="s">
        <v>1209</v>
      </c>
      <c r="F124" s="203" t="e">
        <f>VLOOKUP(A124,'Compos DER'!J:K,2,FALSE)</f>
        <v>#N/A</v>
      </c>
      <c r="G124" s="198" t="e">
        <f t="shared" si="2"/>
        <v>#N/A</v>
      </c>
    </row>
    <row r="125" spans="1:7" x14ac:dyDescent="0.2">
      <c r="A125" s="806">
        <v>40861</v>
      </c>
      <c r="B125" s="842" t="s">
        <v>1954</v>
      </c>
      <c r="C125" s="840" t="s">
        <v>1905</v>
      </c>
      <c r="D125" s="807">
        <v>69.55</v>
      </c>
      <c r="E125" s="839" t="s">
        <v>1209</v>
      </c>
      <c r="F125" s="203" t="e">
        <f>VLOOKUP(A125,'Compos DER'!J:K,2,FALSE)</f>
        <v>#N/A</v>
      </c>
      <c r="G125" s="198" t="e">
        <f t="shared" si="2"/>
        <v>#N/A</v>
      </c>
    </row>
    <row r="126" spans="1:7" x14ac:dyDescent="0.2">
      <c r="A126" s="806">
        <v>40865</v>
      </c>
      <c r="B126" s="839" t="s">
        <v>360</v>
      </c>
      <c r="C126" s="840" t="s">
        <v>3</v>
      </c>
      <c r="D126" s="807">
        <v>732.98</v>
      </c>
      <c r="E126" s="839" t="s">
        <v>1209</v>
      </c>
      <c r="F126" s="203" t="e">
        <f>VLOOKUP(A126,'Compos DER'!J:K,2,FALSE)</f>
        <v>#N/A</v>
      </c>
      <c r="G126" s="198" t="e">
        <f t="shared" si="2"/>
        <v>#N/A</v>
      </c>
    </row>
    <row r="127" spans="1:7" x14ac:dyDescent="0.2">
      <c r="A127" s="806">
        <v>40880</v>
      </c>
      <c r="B127" s="842" t="s">
        <v>1955</v>
      </c>
      <c r="C127" s="840" t="s">
        <v>1905</v>
      </c>
      <c r="D127" s="807">
        <v>47.63</v>
      </c>
      <c r="E127" s="843"/>
      <c r="F127" s="203" t="e">
        <f>VLOOKUP(A127,'Compos DER'!J:K,2,FALSE)</f>
        <v>#N/A</v>
      </c>
      <c r="G127" s="198" t="e">
        <f t="shared" si="2"/>
        <v>#N/A</v>
      </c>
    </row>
    <row r="128" spans="1:7" x14ac:dyDescent="0.2">
      <c r="A128" s="806">
        <v>40858</v>
      </c>
      <c r="B128" s="839" t="s">
        <v>361</v>
      </c>
      <c r="C128" s="840" t="s">
        <v>1905</v>
      </c>
      <c r="D128" s="807">
        <v>39.86</v>
      </c>
      <c r="E128" s="839" t="s">
        <v>1209</v>
      </c>
      <c r="F128" s="203" t="e">
        <f>VLOOKUP(A128,'Compos DER'!J:K,2,FALSE)</f>
        <v>#N/A</v>
      </c>
      <c r="G128" s="198" t="e">
        <f t="shared" si="2"/>
        <v>#N/A</v>
      </c>
    </row>
    <row r="129" spans="1:7" x14ac:dyDescent="0.2">
      <c r="A129" s="806">
        <v>40862</v>
      </c>
      <c r="B129" s="839" t="s">
        <v>362</v>
      </c>
      <c r="C129" s="840" t="s">
        <v>3</v>
      </c>
      <c r="D129" s="807">
        <v>409.31</v>
      </c>
      <c r="E129" s="839" t="s">
        <v>1209</v>
      </c>
      <c r="F129" s="203" t="e">
        <f>VLOOKUP(A129,'Compos DER'!J:K,2,FALSE)</f>
        <v>#N/A</v>
      </c>
      <c r="G129" s="198" t="e">
        <f t="shared" si="2"/>
        <v>#N/A</v>
      </c>
    </row>
    <row r="130" spans="1:7" x14ac:dyDescent="0.2">
      <c r="A130" s="806">
        <v>40859</v>
      </c>
      <c r="B130" s="839" t="s">
        <v>363</v>
      </c>
      <c r="C130" s="840" t="s">
        <v>1905</v>
      </c>
      <c r="D130" s="807">
        <v>67.180000000000007</v>
      </c>
      <c r="E130" s="839" t="s">
        <v>1209</v>
      </c>
      <c r="F130" s="203" t="e">
        <f>VLOOKUP(A130,'Compos DER'!J:K,2,FALSE)</f>
        <v>#N/A</v>
      </c>
      <c r="G130" s="198" t="e">
        <f t="shared" si="2"/>
        <v>#N/A</v>
      </c>
    </row>
    <row r="131" spans="1:7" x14ac:dyDescent="0.2">
      <c r="A131" s="806">
        <v>40863</v>
      </c>
      <c r="B131" s="839" t="s">
        <v>364</v>
      </c>
      <c r="C131" s="840" t="s">
        <v>3</v>
      </c>
      <c r="D131" s="807">
        <v>699.11</v>
      </c>
      <c r="E131" s="839" t="s">
        <v>1209</v>
      </c>
      <c r="F131" s="203" t="e">
        <f>VLOOKUP(A131,'Compos DER'!J:K,2,FALSE)</f>
        <v>#N/A</v>
      </c>
      <c r="G131" s="198" t="e">
        <f t="shared" si="2"/>
        <v>#N/A</v>
      </c>
    </row>
    <row r="132" spans="1:7" ht="25.5" x14ac:dyDescent="0.2">
      <c r="A132" s="806">
        <v>40883</v>
      </c>
      <c r="B132" s="842" t="s">
        <v>1956</v>
      </c>
      <c r="C132" s="840" t="s">
        <v>1905</v>
      </c>
      <c r="D132" s="807">
        <v>75.81</v>
      </c>
      <c r="E132" s="839" t="s">
        <v>1209</v>
      </c>
      <c r="F132" s="203" t="e">
        <f>VLOOKUP(A132,'Compos DER'!J:K,2,FALSE)</f>
        <v>#N/A</v>
      </c>
      <c r="G132" s="198" t="e">
        <f t="shared" si="2"/>
        <v>#N/A</v>
      </c>
    </row>
    <row r="133" spans="1:7" ht="25.5" x14ac:dyDescent="0.2">
      <c r="A133" s="806">
        <v>40885</v>
      </c>
      <c r="B133" s="842" t="s">
        <v>1957</v>
      </c>
      <c r="C133" s="840" t="s">
        <v>1905</v>
      </c>
      <c r="D133" s="807">
        <v>91.1</v>
      </c>
      <c r="E133" s="839" t="s">
        <v>1209</v>
      </c>
      <c r="F133" s="203" t="e">
        <f>VLOOKUP(A133,'Compos DER'!J:K,2,FALSE)</f>
        <v>#N/A</v>
      </c>
      <c r="G133" s="198" t="e">
        <f t="shared" si="2"/>
        <v>#N/A</v>
      </c>
    </row>
    <row r="134" spans="1:7" ht="25.5" x14ac:dyDescent="0.2">
      <c r="A134" s="806">
        <v>40897</v>
      </c>
      <c r="B134" s="842" t="s">
        <v>1958</v>
      </c>
      <c r="C134" s="840" t="s">
        <v>1905</v>
      </c>
      <c r="D134" s="807">
        <v>75.81</v>
      </c>
      <c r="E134" s="843"/>
      <c r="F134" s="203" t="e">
        <f>VLOOKUP(A134,'Compos DER'!J:K,2,FALSE)</f>
        <v>#N/A</v>
      </c>
      <c r="G134" s="198" t="e">
        <f t="shared" ref="G134:G197" si="3">+F134/D134</f>
        <v>#N/A</v>
      </c>
    </row>
    <row r="135" spans="1:7" ht="25.5" x14ac:dyDescent="0.2">
      <c r="A135" s="806">
        <v>40884</v>
      </c>
      <c r="B135" s="839" t="s">
        <v>1823</v>
      </c>
      <c r="C135" s="840" t="s">
        <v>1905</v>
      </c>
      <c r="D135" s="807">
        <v>84.26</v>
      </c>
      <c r="E135" s="839" t="s">
        <v>1209</v>
      </c>
      <c r="F135" s="203" t="e">
        <f>VLOOKUP(A135,'Compos DER'!J:K,2,FALSE)</f>
        <v>#N/A</v>
      </c>
      <c r="G135" s="198" t="e">
        <f t="shared" si="3"/>
        <v>#N/A</v>
      </c>
    </row>
    <row r="136" spans="1:7" ht="25.5" x14ac:dyDescent="0.2">
      <c r="A136" s="806">
        <v>40898</v>
      </c>
      <c r="B136" s="842" t="s">
        <v>1959</v>
      </c>
      <c r="C136" s="840" t="s">
        <v>1905</v>
      </c>
      <c r="D136" s="807">
        <v>84.26</v>
      </c>
      <c r="E136" s="843"/>
      <c r="F136" s="203" t="e">
        <f>VLOOKUP(A136,'Compos DER'!J:K,2,FALSE)</f>
        <v>#N/A</v>
      </c>
      <c r="G136" s="198" t="e">
        <f t="shared" si="3"/>
        <v>#N/A</v>
      </c>
    </row>
    <row r="137" spans="1:7" ht="25.5" x14ac:dyDescent="0.2">
      <c r="A137" s="806">
        <v>40896</v>
      </c>
      <c r="B137" s="842" t="s">
        <v>1960</v>
      </c>
      <c r="C137" s="840" t="s">
        <v>1905</v>
      </c>
      <c r="D137" s="807">
        <v>91.1</v>
      </c>
      <c r="E137" s="843"/>
      <c r="F137" s="203" t="e">
        <f>VLOOKUP(A137,'Compos DER'!J:K,2,FALSE)</f>
        <v>#N/A</v>
      </c>
      <c r="G137" s="198" t="e">
        <f t="shared" si="3"/>
        <v>#N/A</v>
      </c>
    </row>
    <row r="138" spans="1:7" ht="25.5" x14ac:dyDescent="0.2">
      <c r="A138" s="806">
        <v>40886</v>
      </c>
      <c r="B138" s="842" t="s">
        <v>1961</v>
      </c>
      <c r="C138" s="840" t="s">
        <v>1905</v>
      </c>
      <c r="D138" s="807">
        <v>34.54</v>
      </c>
      <c r="E138" s="839" t="s">
        <v>1209</v>
      </c>
      <c r="F138" s="203" t="e">
        <f>VLOOKUP(A138,'Compos DER'!J:K,2,FALSE)</f>
        <v>#N/A</v>
      </c>
      <c r="G138" s="198" t="e">
        <f t="shared" si="3"/>
        <v>#N/A</v>
      </c>
    </row>
    <row r="139" spans="1:7" x14ac:dyDescent="0.2">
      <c r="A139" s="806">
        <v>40887</v>
      </c>
      <c r="B139" s="842" t="s">
        <v>1962</v>
      </c>
      <c r="C139" s="840" t="s">
        <v>1905</v>
      </c>
      <c r="D139" s="807">
        <v>102.55</v>
      </c>
      <c r="E139" s="839" t="s">
        <v>1209</v>
      </c>
      <c r="F139" s="203" t="e">
        <f>VLOOKUP(A139,'Compos DER'!J:K,2,FALSE)</f>
        <v>#N/A</v>
      </c>
      <c r="G139" s="198" t="e">
        <f t="shared" si="3"/>
        <v>#N/A</v>
      </c>
    </row>
    <row r="140" spans="1:7" ht="25.5" x14ac:dyDescent="0.2">
      <c r="A140" s="806">
        <v>40888</v>
      </c>
      <c r="B140" s="842" t="s">
        <v>1963</v>
      </c>
      <c r="C140" s="840" t="s">
        <v>1905</v>
      </c>
      <c r="D140" s="807">
        <v>100.48</v>
      </c>
      <c r="E140" s="839" t="s">
        <v>1209</v>
      </c>
      <c r="F140" s="203" t="e">
        <f>VLOOKUP(A140,'Compos DER'!J:K,2,FALSE)</f>
        <v>#N/A</v>
      </c>
      <c r="G140" s="198" t="e">
        <f t="shared" si="3"/>
        <v>#N/A</v>
      </c>
    </row>
    <row r="141" spans="1:7" x14ac:dyDescent="0.2">
      <c r="A141" s="806">
        <v>40889</v>
      </c>
      <c r="B141" s="842" t="s">
        <v>1964</v>
      </c>
      <c r="C141" s="840" t="s">
        <v>1905</v>
      </c>
      <c r="D141" s="807">
        <v>102.23</v>
      </c>
      <c r="E141" s="839" t="s">
        <v>1209</v>
      </c>
      <c r="F141" s="203" t="e">
        <f>VLOOKUP(A141,'Compos DER'!J:K,2,FALSE)</f>
        <v>#N/A</v>
      </c>
      <c r="G141" s="198" t="e">
        <f t="shared" si="3"/>
        <v>#N/A</v>
      </c>
    </row>
    <row r="142" spans="1:7" x14ac:dyDescent="0.2">
      <c r="A142" s="806">
        <v>40818</v>
      </c>
      <c r="B142" s="839" t="s">
        <v>365</v>
      </c>
      <c r="C142" s="840" t="s">
        <v>1905</v>
      </c>
      <c r="D142" s="807">
        <v>0.7</v>
      </c>
      <c r="E142" s="841"/>
      <c r="F142" s="203" t="e">
        <f>VLOOKUP(A142,'Compos DER'!J:K,2,FALSE)</f>
        <v>#N/A</v>
      </c>
      <c r="G142" s="198" t="e">
        <f t="shared" si="3"/>
        <v>#N/A</v>
      </c>
    </row>
    <row r="143" spans="1:7" x14ac:dyDescent="0.2">
      <c r="A143" s="806">
        <v>40819</v>
      </c>
      <c r="B143" s="839" t="s">
        <v>366</v>
      </c>
      <c r="C143" s="840" t="s">
        <v>1905</v>
      </c>
      <c r="D143" s="807">
        <v>2.13</v>
      </c>
      <c r="E143" s="839" t="s">
        <v>1209</v>
      </c>
      <c r="F143" s="203" t="e">
        <f>VLOOKUP(A143,'Compos DER'!J:K,2,FALSE)</f>
        <v>#N/A</v>
      </c>
      <c r="G143" s="198" t="e">
        <f t="shared" si="3"/>
        <v>#N/A</v>
      </c>
    </row>
    <row r="144" spans="1:7" x14ac:dyDescent="0.2">
      <c r="A144" s="806">
        <v>40872</v>
      </c>
      <c r="B144" s="839" t="s">
        <v>1965</v>
      </c>
      <c r="C144" s="840" t="s">
        <v>3</v>
      </c>
      <c r="D144" s="807">
        <v>68.599999999999994</v>
      </c>
      <c r="E144" s="839" t="s">
        <v>1209</v>
      </c>
      <c r="F144" s="203" t="e">
        <f>VLOOKUP(A144,'Compos DER'!J:K,2,FALSE)</f>
        <v>#N/A</v>
      </c>
      <c r="G144" s="198" t="e">
        <f t="shared" si="3"/>
        <v>#N/A</v>
      </c>
    </row>
    <row r="145" spans="1:7" x14ac:dyDescent="0.2">
      <c r="A145" s="806">
        <v>40836</v>
      </c>
      <c r="B145" s="839" t="s">
        <v>367</v>
      </c>
      <c r="C145" s="840" t="s">
        <v>3</v>
      </c>
      <c r="D145" s="807">
        <v>42.58</v>
      </c>
      <c r="E145" s="839" t="s">
        <v>1209</v>
      </c>
      <c r="F145" s="203" t="e">
        <f>VLOOKUP(A145,'Compos DER'!J:K,2,FALSE)</f>
        <v>#N/A</v>
      </c>
      <c r="G145" s="198" t="e">
        <f t="shared" si="3"/>
        <v>#N/A</v>
      </c>
    </row>
    <row r="146" spans="1:7" x14ac:dyDescent="0.2">
      <c r="A146" s="806">
        <v>40837</v>
      </c>
      <c r="B146" s="839" t="s">
        <v>368</v>
      </c>
      <c r="C146" s="840" t="s">
        <v>3</v>
      </c>
      <c r="D146" s="807">
        <v>299.10000000000002</v>
      </c>
      <c r="E146" s="839" t="s">
        <v>1209</v>
      </c>
      <c r="F146" s="203" t="e">
        <f>VLOOKUP(A146,'Compos DER'!J:K,2,FALSE)</f>
        <v>#N/A</v>
      </c>
      <c r="G146" s="198" t="e">
        <f t="shared" si="3"/>
        <v>#N/A</v>
      </c>
    </row>
    <row r="147" spans="1:7" x14ac:dyDescent="0.2">
      <c r="A147" s="806">
        <v>41076</v>
      </c>
      <c r="B147" s="839" t="s">
        <v>369</v>
      </c>
      <c r="C147" s="840" t="s">
        <v>1906</v>
      </c>
      <c r="D147" s="807">
        <v>37.729999999999997</v>
      </c>
      <c r="E147" s="841"/>
      <c r="F147" s="203" t="e">
        <f>VLOOKUP(A147,'Compos DER'!J:K,2,FALSE)</f>
        <v>#N/A</v>
      </c>
      <c r="G147" s="198" t="e">
        <f t="shared" si="3"/>
        <v>#N/A</v>
      </c>
    </row>
    <row r="148" spans="1:7" x14ac:dyDescent="0.2">
      <c r="A148" s="806">
        <v>41556</v>
      </c>
      <c r="B148" s="839" t="s">
        <v>1613</v>
      </c>
      <c r="C148" s="840" t="s">
        <v>1906</v>
      </c>
      <c r="D148" s="807">
        <v>42</v>
      </c>
      <c r="E148" s="839" t="s">
        <v>1209</v>
      </c>
      <c r="F148" s="203">
        <f>VLOOKUP(A148,'Compos DER'!J:K,2,FALSE)</f>
        <v>101.47</v>
      </c>
      <c r="G148" s="198">
        <f t="shared" si="3"/>
        <v>2.4159523809523802</v>
      </c>
    </row>
    <row r="149" spans="1:7" x14ac:dyDescent="0.2">
      <c r="A149" s="806">
        <v>43345</v>
      </c>
      <c r="B149" s="839" t="s">
        <v>370</v>
      </c>
      <c r="C149" s="840" t="s">
        <v>1906</v>
      </c>
      <c r="D149" s="807">
        <v>35.020000000000003</v>
      </c>
      <c r="E149" s="841"/>
      <c r="F149" s="203" t="e">
        <f>VLOOKUP(A149,'Compos DER'!J:K,2,FALSE)</f>
        <v>#N/A</v>
      </c>
      <c r="G149" s="198" t="e">
        <f t="shared" si="3"/>
        <v>#N/A</v>
      </c>
    </row>
    <row r="150" spans="1:7" x14ac:dyDescent="0.2">
      <c r="A150" s="806">
        <v>40720</v>
      </c>
      <c r="B150" s="839" t="s">
        <v>1966</v>
      </c>
      <c r="C150" s="840" t="s">
        <v>1906</v>
      </c>
      <c r="D150" s="807">
        <v>75.97</v>
      </c>
      <c r="E150" s="841"/>
      <c r="F150" s="203" t="e">
        <f>VLOOKUP(A150,'Compos DER'!J:K,2,FALSE)</f>
        <v>#N/A</v>
      </c>
      <c r="G150" s="198" t="e">
        <f t="shared" si="3"/>
        <v>#N/A</v>
      </c>
    </row>
    <row r="151" spans="1:7" ht="25.5" x14ac:dyDescent="0.2">
      <c r="A151" s="806">
        <v>41070</v>
      </c>
      <c r="B151" s="842" t="s">
        <v>1967</v>
      </c>
      <c r="C151" s="840" t="s">
        <v>1906</v>
      </c>
      <c r="D151" s="807">
        <v>93.22</v>
      </c>
      <c r="E151" s="839" t="s">
        <v>1209</v>
      </c>
      <c r="F151" s="203" t="e">
        <f>VLOOKUP(A151,'Compos DER'!J:K,2,FALSE)</f>
        <v>#N/A</v>
      </c>
      <c r="G151" s="198" t="e">
        <f t="shared" si="3"/>
        <v>#N/A</v>
      </c>
    </row>
    <row r="152" spans="1:7" x14ac:dyDescent="0.2">
      <c r="A152" s="806">
        <v>40984</v>
      </c>
      <c r="B152" s="842" t="s">
        <v>371</v>
      </c>
      <c r="C152" s="840" t="s">
        <v>1906</v>
      </c>
      <c r="D152" s="807">
        <v>46.38</v>
      </c>
      <c r="E152" s="839"/>
      <c r="F152" s="203" t="e">
        <f>VLOOKUP(A152,'Compos DER'!J:K,2,FALSE)</f>
        <v>#N/A</v>
      </c>
      <c r="G152" s="198" t="e">
        <f t="shared" si="3"/>
        <v>#N/A</v>
      </c>
    </row>
    <row r="153" spans="1:7" x14ac:dyDescent="0.2">
      <c r="A153" s="806">
        <v>41356</v>
      </c>
      <c r="B153" s="839" t="s">
        <v>1968</v>
      </c>
      <c r="C153" s="840" t="s">
        <v>1906</v>
      </c>
      <c r="D153" s="807">
        <v>93.35</v>
      </c>
      <c r="E153" s="841" t="s">
        <v>1209</v>
      </c>
      <c r="F153" s="203" t="e">
        <f>VLOOKUP(A153,'Compos DER'!J:K,2,FALSE)</f>
        <v>#N/A</v>
      </c>
      <c r="G153" s="198" t="e">
        <f t="shared" si="3"/>
        <v>#N/A</v>
      </c>
    </row>
    <row r="154" spans="1:7" x14ac:dyDescent="0.2">
      <c r="A154" s="806">
        <v>40774</v>
      </c>
      <c r="B154" s="842" t="s">
        <v>1969</v>
      </c>
      <c r="C154" s="840" t="s">
        <v>1906</v>
      </c>
      <c r="D154" s="807">
        <v>93.35</v>
      </c>
      <c r="E154" s="839"/>
      <c r="F154" s="203" t="e">
        <f>VLOOKUP(A154,'Compos DER'!J:K,2,FALSE)</f>
        <v>#N/A</v>
      </c>
      <c r="G154" s="198" t="e">
        <f t="shared" si="3"/>
        <v>#N/A</v>
      </c>
    </row>
    <row r="155" spans="1:7" x14ac:dyDescent="0.2">
      <c r="A155" s="806">
        <v>40768</v>
      </c>
      <c r="B155" s="842" t="s">
        <v>1970</v>
      </c>
      <c r="C155" s="840" t="s">
        <v>1906</v>
      </c>
      <c r="D155" s="807">
        <v>84.86</v>
      </c>
      <c r="E155" s="843" t="s">
        <v>1209</v>
      </c>
      <c r="F155" s="203" t="e">
        <f>VLOOKUP(A155,'Compos DER'!J:K,2,FALSE)</f>
        <v>#N/A</v>
      </c>
      <c r="G155" s="198" t="e">
        <f t="shared" si="3"/>
        <v>#N/A</v>
      </c>
    </row>
    <row r="156" spans="1:7" x14ac:dyDescent="0.2">
      <c r="A156" s="806">
        <v>40767</v>
      </c>
      <c r="B156" s="842" t="s">
        <v>1971</v>
      </c>
      <c r="C156" s="840" t="s">
        <v>1906</v>
      </c>
      <c r="D156" s="807">
        <v>78.239999999999995</v>
      </c>
      <c r="E156" s="839" t="s">
        <v>1209</v>
      </c>
      <c r="F156" s="203" t="e">
        <f>VLOOKUP(A156,'Compos DER'!J:K,2,FALSE)</f>
        <v>#N/A</v>
      </c>
      <c r="G156" s="198" t="e">
        <f t="shared" si="3"/>
        <v>#N/A</v>
      </c>
    </row>
    <row r="157" spans="1:7" x14ac:dyDescent="0.2">
      <c r="A157" s="806">
        <v>40769</v>
      </c>
      <c r="B157" s="842" t="s">
        <v>1972</v>
      </c>
      <c r="C157" s="840" t="s">
        <v>1906</v>
      </c>
      <c r="D157" s="807">
        <v>101.84</v>
      </c>
      <c r="E157" s="839" t="s">
        <v>1209</v>
      </c>
      <c r="F157" s="203" t="e">
        <f>VLOOKUP(A157,'Compos DER'!J:K,2,FALSE)</f>
        <v>#N/A</v>
      </c>
      <c r="G157" s="198" t="e">
        <f t="shared" si="3"/>
        <v>#N/A</v>
      </c>
    </row>
    <row r="158" spans="1:7" x14ac:dyDescent="0.2">
      <c r="A158" s="806">
        <v>40766</v>
      </c>
      <c r="B158" s="842" t="s">
        <v>372</v>
      </c>
      <c r="C158" s="840" t="s">
        <v>1906</v>
      </c>
      <c r="D158" s="807">
        <v>50.59</v>
      </c>
      <c r="E158" s="839"/>
      <c r="F158" s="203" t="e">
        <f>VLOOKUP(A158,'Compos DER'!J:K,2,FALSE)</f>
        <v>#N/A</v>
      </c>
      <c r="G158" s="198" t="e">
        <f t="shared" si="3"/>
        <v>#N/A</v>
      </c>
    </row>
    <row r="159" spans="1:7" x14ac:dyDescent="0.2">
      <c r="A159" s="806">
        <v>40771</v>
      </c>
      <c r="B159" s="839" t="s">
        <v>1973</v>
      </c>
      <c r="C159" s="840" t="s">
        <v>1906</v>
      </c>
      <c r="D159" s="807">
        <v>261.83999999999997</v>
      </c>
      <c r="E159" s="841" t="s">
        <v>1209</v>
      </c>
      <c r="F159" s="203" t="e">
        <f>VLOOKUP(A159,'Compos DER'!J:K,2,FALSE)</f>
        <v>#N/A</v>
      </c>
      <c r="G159" s="198" t="e">
        <f t="shared" si="3"/>
        <v>#N/A</v>
      </c>
    </row>
    <row r="160" spans="1:7" x14ac:dyDescent="0.2">
      <c r="A160" s="806">
        <v>40773</v>
      </c>
      <c r="B160" s="842" t="s">
        <v>1974</v>
      </c>
      <c r="C160" s="840" t="s">
        <v>1906</v>
      </c>
      <c r="D160" s="807">
        <v>68.87</v>
      </c>
      <c r="E160" s="839" t="s">
        <v>1209</v>
      </c>
      <c r="F160" s="203" t="e">
        <f>VLOOKUP(A160,'Compos DER'!J:K,2,FALSE)</f>
        <v>#N/A</v>
      </c>
      <c r="G160" s="198" t="e">
        <f t="shared" si="3"/>
        <v>#N/A</v>
      </c>
    </row>
    <row r="161" spans="1:7" x14ac:dyDescent="0.2">
      <c r="A161" s="806">
        <v>40775</v>
      </c>
      <c r="B161" s="842" t="s">
        <v>1975</v>
      </c>
      <c r="C161" s="840" t="s">
        <v>1906</v>
      </c>
      <c r="D161" s="807">
        <v>101.84</v>
      </c>
      <c r="E161" s="839"/>
      <c r="F161" s="203" t="e">
        <f>VLOOKUP(A161,'Compos DER'!J:K,2,FALSE)</f>
        <v>#N/A</v>
      </c>
      <c r="G161" s="198" t="e">
        <f t="shared" si="3"/>
        <v>#N/A</v>
      </c>
    </row>
    <row r="162" spans="1:7" x14ac:dyDescent="0.2">
      <c r="A162" s="806">
        <v>40762</v>
      </c>
      <c r="B162" s="842" t="s">
        <v>373</v>
      </c>
      <c r="C162" s="840" t="s">
        <v>1905</v>
      </c>
      <c r="D162" s="807">
        <v>6.28</v>
      </c>
      <c r="E162" s="843"/>
      <c r="F162" s="203" t="e">
        <f>VLOOKUP(A162,'Compos DER'!J:K,2,FALSE)</f>
        <v>#N/A</v>
      </c>
      <c r="G162" s="198" t="e">
        <f t="shared" si="3"/>
        <v>#N/A</v>
      </c>
    </row>
    <row r="163" spans="1:7" x14ac:dyDescent="0.2">
      <c r="A163" s="806">
        <v>40804</v>
      </c>
      <c r="B163" s="839" t="s">
        <v>374</v>
      </c>
      <c r="C163" s="840" t="s">
        <v>1905</v>
      </c>
      <c r="D163" s="807">
        <v>11.02</v>
      </c>
      <c r="E163" s="841" t="s">
        <v>1209</v>
      </c>
      <c r="F163" s="203" t="e">
        <f>VLOOKUP(A163,'Compos DER'!J:K,2,FALSE)</f>
        <v>#N/A</v>
      </c>
      <c r="G163" s="198" t="e">
        <f t="shared" si="3"/>
        <v>#N/A</v>
      </c>
    </row>
    <row r="164" spans="1:7" x14ac:dyDescent="0.2">
      <c r="A164" s="806">
        <v>40811</v>
      </c>
      <c r="B164" s="839" t="s">
        <v>1976</v>
      </c>
      <c r="C164" s="840" t="s">
        <v>1906</v>
      </c>
      <c r="D164" s="807">
        <v>62.17</v>
      </c>
      <c r="E164" s="839"/>
      <c r="F164" s="203" t="e">
        <f>VLOOKUP(A164,'Compos DER'!J:K,2,FALSE)</f>
        <v>#N/A</v>
      </c>
      <c r="G164" s="198" t="e">
        <f t="shared" si="3"/>
        <v>#N/A</v>
      </c>
    </row>
    <row r="165" spans="1:7" x14ac:dyDescent="0.2">
      <c r="A165" s="806">
        <v>42211</v>
      </c>
      <c r="B165" s="842" t="s">
        <v>1977</v>
      </c>
      <c r="C165" s="840" t="s">
        <v>1906</v>
      </c>
      <c r="D165" s="807">
        <v>62.17</v>
      </c>
      <c r="E165" s="843" t="s">
        <v>1209</v>
      </c>
      <c r="F165" s="203" t="e">
        <f>VLOOKUP(A165,'Compos DER'!J:K,2,FALSE)</f>
        <v>#N/A</v>
      </c>
      <c r="G165" s="198" t="e">
        <f t="shared" si="3"/>
        <v>#N/A</v>
      </c>
    </row>
    <row r="166" spans="1:7" x14ac:dyDescent="0.2">
      <c r="A166" s="806">
        <v>40756</v>
      </c>
      <c r="B166" s="842" t="s">
        <v>375</v>
      </c>
      <c r="C166" s="840" t="s">
        <v>1906</v>
      </c>
      <c r="D166" s="807">
        <v>6.88</v>
      </c>
      <c r="E166" s="839"/>
      <c r="F166" s="203" t="e">
        <f>VLOOKUP(A166,'Compos DER'!J:K,2,FALSE)</f>
        <v>#N/A</v>
      </c>
      <c r="G166" s="198" t="e">
        <f t="shared" si="3"/>
        <v>#N/A</v>
      </c>
    </row>
    <row r="167" spans="1:7" x14ac:dyDescent="0.2">
      <c r="A167" s="806">
        <v>40754</v>
      </c>
      <c r="B167" s="839" t="s">
        <v>1614</v>
      </c>
      <c r="C167" s="840" t="s">
        <v>1905</v>
      </c>
      <c r="D167" s="807">
        <v>1.23</v>
      </c>
      <c r="E167" s="841"/>
      <c r="F167" s="203">
        <f>VLOOKUP(A167,'Compos DER'!J:K,2,FALSE)</f>
        <v>1.23</v>
      </c>
      <c r="G167" s="198">
        <f t="shared" si="3"/>
        <v>1</v>
      </c>
    </row>
    <row r="168" spans="1:7" x14ac:dyDescent="0.2">
      <c r="A168" s="806">
        <v>40866</v>
      </c>
      <c r="B168" s="839" t="s">
        <v>376</v>
      </c>
      <c r="C168" s="840" t="s">
        <v>1905</v>
      </c>
      <c r="D168" s="807">
        <v>0.85</v>
      </c>
      <c r="E168" s="841"/>
      <c r="F168" s="203" t="e">
        <f>VLOOKUP(A168,'Compos DER'!J:K,2,FALSE)</f>
        <v>#N/A</v>
      </c>
      <c r="G168" s="198" t="e">
        <f t="shared" si="3"/>
        <v>#N/A</v>
      </c>
    </row>
    <row r="169" spans="1:7" x14ac:dyDescent="0.2">
      <c r="A169" s="806">
        <v>40893</v>
      </c>
      <c r="B169" s="839" t="s">
        <v>377</v>
      </c>
      <c r="C169" s="840" t="s">
        <v>1948</v>
      </c>
      <c r="D169" s="807">
        <v>24.4</v>
      </c>
      <c r="E169" s="841"/>
      <c r="F169" s="203" t="e">
        <f>VLOOKUP(A169,'Compos DER'!J:K,2,FALSE)</f>
        <v>#N/A</v>
      </c>
      <c r="G169" s="198" t="e">
        <f t="shared" si="3"/>
        <v>#N/A</v>
      </c>
    </row>
    <row r="170" spans="1:7" x14ac:dyDescent="0.2">
      <c r="A170" s="806">
        <v>40891</v>
      </c>
      <c r="B170" s="839" t="s">
        <v>378</v>
      </c>
      <c r="C170" s="840" t="s">
        <v>1905</v>
      </c>
      <c r="D170" s="807">
        <v>19.73</v>
      </c>
      <c r="E170" s="841"/>
      <c r="F170" s="203" t="e">
        <f>VLOOKUP(A170,'Compos DER'!J:K,2,FALSE)</f>
        <v>#N/A</v>
      </c>
      <c r="G170" s="198" t="e">
        <f t="shared" si="3"/>
        <v>#N/A</v>
      </c>
    </row>
    <row r="171" spans="1:7" x14ac:dyDescent="0.2">
      <c r="A171" s="806">
        <v>40890</v>
      </c>
      <c r="B171" s="839" t="s">
        <v>379</v>
      </c>
      <c r="C171" s="840" t="s">
        <v>1905</v>
      </c>
      <c r="D171" s="807">
        <v>65.61</v>
      </c>
      <c r="E171" s="841" t="s">
        <v>1209</v>
      </c>
      <c r="F171" s="203" t="e">
        <f>VLOOKUP(A171,'Compos DER'!J:K,2,FALSE)</f>
        <v>#N/A</v>
      </c>
      <c r="G171" s="198" t="e">
        <f t="shared" si="3"/>
        <v>#N/A</v>
      </c>
    </row>
    <row r="172" spans="1:7" x14ac:dyDescent="0.2">
      <c r="A172" s="806">
        <v>40892</v>
      </c>
      <c r="B172" s="839" t="s">
        <v>1978</v>
      </c>
      <c r="C172" s="840" t="s">
        <v>1905</v>
      </c>
      <c r="D172" s="807">
        <v>66.760000000000005</v>
      </c>
      <c r="E172" s="839" t="s">
        <v>1209</v>
      </c>
      <c r="F172" s="203" t="e">
        <f>VLOOKUP(A172,'Compos DER'!J:K,2,FALSE)</f>
        <v>#N/A</v>
      </c>
      <c r="G172" s="198" t="e">
        <f t="shared" si="3"/>
        <v>#N/A</v>
      </c>
    </row>
    <row r="173" spans="1:7" x14ac:dyDescent="0.2">
      <c r="A173" s="806">
        <v>40749</v>
      </c>
      <c r="B173" s="842" t="s">
        <v>380</v>
      </c>
      <c r="C173" s="840" t="s">
        <v>1905</v>
      </c>
      <c r="D173" s="807">
        <v>0.18</v>
      </c>
      <c r="E173" s="839"/>
      <c r="F173" s="203" t="e">
        <f>VLOOKUP(A173,'Compos DER'!J:K,2,FALSE)</f>
        <v>#N/A</v>
      </c>
      <c r="G173" s="198" t="e">
        <f t="shared" si="3"/>
        <v>#N/A</v>
      </c>
    </row>
    <row r="174" spans="1:7" x14ac:dyDescent="0.2">
      <c r="A174" s="806">
        <v>40750</v>
      </c>
      <c r="B174" s="839" t="s">
        <v>381</v>
      </c>
      <c r="C174" s="840" t="s">
        <v>1905</v>
      </c>
      <c r="D174" s="807">
        <v>0.81</v>
      </c>
      <c r="E174" s="841"/>
      <c r="F174" s="203" t="e">
        <f>VLOOKUP(A174,'Compos DER'!J:K,2,FALSE)</f>
        <v>#N/A</v>
      </c>
      <c r="G174" s="198" t="e">
        <f t="shared" si="3"/>
        <v>#N/A</v>
      </c>
    </row>
    <row r="175" spans="1:7" x14ac:dyDescent="0.2">
      <c r="A175" s="806">
        <v>40792</v>
      </c>
      <c r="B175" s="839" t="s">
        <v>1979</v>
      </c>
      <c r="C175" s="840" t="s">
        <v>1906</v>
      </c>
      <c r="D175" s="807">
        <v>82.1</v>
      </c>
      <c r="E175" s="841" t="s">
        <v>1209</v>
      </c>
      <c r="F175" s="203" t="e">
        <f>VLOOKUP(A175,'Compos DER'!J:K,2,FALSE)</f>
        <v>#N/A</v>
      </c>
      <c r="G175" s="198" t="e">
        <f t="shared" si="3"/>
        <v>#N/A</v>
      </c>
    </row>
    <row r="176" spans="1:7" x14ac:dyDescent="0.2">
      <c r="A176" s="806">
        <v>40794</v>
      </c>
      <c r="B176" s="842" t="s">
        <v>382</v>
      </c>
      <c r="C176" s="840" t="s">
        <v>1906</v>
      </c>
      <c r="D176" s="807">
        <v>45.77</v>
      </c>
      <c r="E176" s="839" t="s">
        <v>1209</v>
      </c>
      <c r="F176" s="203" t="e">
        <f>VLOOKUP(A176,'Compos DER'!J:K,2,FALSE)</f>
        <v>#N/A</v>
      </c>
      <c r="G176" s="198" t="e">
        <f t="shared" si="3"/>
        <v>#N/A</v>
      </c>
    </row>
    <row r="177" spans="1:7" ht="25.5" x14ac:dyDescent="0.2">
      <c r="A177" s="806">
        <v>40796</v>
      </c>
      <c r="B177" s="839" t="s">
        <v>1980</v>
      </c>
      <c r="C177" s="840" t="s">
        <v>1906</v>
      </c>
      <c r="D177" s="807">
        <v>36.94</v>
      </c>
      <c r="E177" s="839" t="s">
        <v>1209</v>
      </c>
      <c r="F177" s="203" t="e">
        <f>VLOOKUP(A177,'Compos DER'!J:K,2,FALSE)</f>
        <v>#N/A</v>
      </c>
      <c r="G177" s="198" t="e">
        <f t="shared" si="3"/>
        <v>#N/A</v>
      </c>
    </row>
    <row r="178" spans="1:7" ht="25.5" x14ac:dyDescent="0.2">
      <c r="A178" s="806">
        <v>41098</v>
      </c>
      <c r="B178" s="842" t="s">
        <v>1981</v>
      </c>
      <c r="C178" s="840" t="s">
        <v>1906</v>
      </c>
      <c r="D178" s="807">
        <v>36.94</v>
      </c>
      <c r="E178" s="839"/>
      <c r="F178" s="203" t="e">
        <f>VLOOKUP(A178,'Compos DER'!J:K,2,FALSE)</f>
        <v>#N/A</v>
      </c>
      <c r="G178" s="198" t="e">
        <f t="shared" si="3"/>
        <v>#N/A</v>
      </c>
    </row>
    <row r="179" spans="1:7" x14ac:dyDescent="0.2">
      <c r="A179" s="806">
        <v>40786</v>
      </c>
      <c r="B179" s="842" t="s">
        <v>383</v>
      </c>
      <c r="C179" s="840" t="s">
        <v>1906</v>
      </c>
      <c r="D179" s="807">
        <v>98.55</v>
      </c>
      <c r="E179" s="843" t="s">
        <v>1209</v>
      </c>
      <c r="F179" s="203" t="e">
        <f>VLOOKUP(A179,'Compos DER'!J:K,2,FALSE)</f>
        <v>#N/A</v>
      </c>
      <c r="G179" s="198" t="e">
        <f t="shared" si="3"/>
        <v>#N/A</v>
      </c>
    </row>
    <row r="180" spans="1:7" x14ac:dyDescent="0.2">
      <c r="A180" s="806">
        <v>43327</v>
      </c>
      <c r="B180" s="839" t="s">
        <v>384</v>
      </c>
      <c r="C180" s="840" t="s">
        <v>1906</v>
      </c>
      <c r="D180" s="807">
        <v>98.55</v>
      </c>
      <c r="E180" s="839"/>
      <c r="F180" s="203" t="e">
        <f>VLOOKUP(A180,'Compos DER'!J:K,2,FALSE)</f>
        <v>#N/A</v>
      </c>
      <c r="G180" s="198" t="e">
        <f t="shared" si="3"/>
        <v>#N/A</v>
      </c>
    </row>
    <row r="181" spans="1:7" x14ac:dyDescent="0.2">
      <c r="A181" s="806">
        <v>42675</v>
      </c>
      <c r="B181" s="839" t="s">
        <v>385</v>
      </c>
      <c r="C181" s="840" t="s">
        <v>1906</v>
      </c>
      <c r="D181" s="807">
        <v>117.59</v>
      </c>
      <c r="E181" s="841"/>
      <c r="F181" s="203" t="e">
        <f>VLOOKUP(A181,'Compos DER'!J:K,2,FALSE)</f>
        <v>#N/A</v>
      </c>
      <c r="G181" s="198" t="e">
        <f t="shared" si="3"/>
        <v>#N/A</v>
      </c>
    </row>
    <row r="182" spans="1:7" x14ac:dyDescent="0.2">
      <c r="A182" s="806">
        <v>40802</v>
      </c>
      <c r="B182" s="839" t="s">
        <v>386</v>
      </c>
      <c r="C182" s="840" t="s">
        <v>1906</v>
      </c>
      <c r="D182" s="807">
        <v>63.18</v>
      </c>
      <c r="E182" s="841" t="s">
        <v>1209</v>
      </c>
      <c r="F182" s="203" t="e">
        <f>VLOOKUP(A182,'Compos DER'!J:K,2,FALSE)</f>
        <v>#N/A</v>
      </c>
      <c r="G182" s="198" t="e">
        <f t="shared" si="3"/>
        <v>#N/A</v>
      </c>
    </row>
    <row r="183" spans="1:7" x14ac:dyDescent="0.2">
      <c r="A183" s="806">
        <v>41074</v>
      </c>
      <c r="B183" s="839" t="s">
        <v>387</v>
      </c>
      <c r="C183" s="840" t="s">
        <v>1906</v>
      </c>
      <c r="D183" s="807">
        <v>62.56</v>
      </c>
      <c r="E183" s="839"/>
      <c r="F183" s="203" t="e">
        <f>VLOOKUP(A183,'Compos DER'!J:K,2,FALSE)</f>
        <v>#N/A</v>
      </c>
      <c r="G183" s="198" t="e">
        <f t="shared" si="3"/>
        <v>#N/A</v>
      </c>
    </row>
    <row r="184" spans="1:7" x14ac:dyDescent="0.2">
      <c r="A184" s="806">
        <v>40776</v>
      </c>
      <c r="B184" s="839" t="s">
        <v>388</v>
      </c>
      <c r="C184" s="840" t="s">
        <v>1906</v>
      </c>
      <c r="D184" s="807">
        <v>40.04</v>
      </c>
      <c r="E184" s="841" t="s">
        <v>1209</v>
      </c>
      <c r="F184" s="203" t="e">
        <f>VLOOKUP(A184,'Compos DER'!J:K,2,FALSE)</f>
        <v>#N/A</v>
      </c>
      <c r="G184" s="198" t="e">
        <f t="shared" si="3"/>
        <v>#N/A</v>
      </c>
    </row>
    <row r="185" spans="1:7" x14ac:dyDescent="0.2">
      <c r="A185" s="806">
        <v>40778</v>
      </c>
      <c r="B185" s="839" t="s">
        <v>389</v>
      </c>
      <c r="C185" s="840" t="s">
        <v>1906</v>
      </c>
      <c r="D185" s="807">
        <v>45.94</v>
      </c>
      <c r="E185" s="839" t="s">
        <v>1209</v>
      </c>
      <c r="F185" s="203" t="e">
        <f>VLOOKUP(A185,'Compos DER'!J:K,2,FALSE)</f>
        <v>#N/A</v>
      </c>
      <c r="G185" s="198" t="e">
        <f t="shared" si="3"/>
        <v>#N/A</v>
      </c>
    </row>
    <row r="186" spans="1:7" x14ac:dyDescent="0.2">
      <c r="A186" s="806">
        <v>40780</v>
      </c>
      <c r="B186" s="839" t="s">
        <v>390</v>
      </c>
      <c r="C186" s="840" t="s">
        <v>1906</v>
      </c>
      <c r="D186" s="807">
        <v>65.19</v>
      </c>
      <c r="E186" s="839" t="s">
        <v>1209</v>
      </c>
      <c r="F186" s="203">
        <f>VLOOKUP(A186,'Compos DER'!J:K,2,FALSE)</f>
        <v>106.82</v>
      </c>
      <c r="G186" s="198">
        <f t="shared" si="3"/>
        <v>1.6385948765148</v>
      </c>
    </row>
    <row r="187" spans="1:7" x14ac:dyDescent="0.2">
      <c r="A187" s="806">
        <v>40782</v>
      </c>
      <c r="B187" s="839" t="s">
        <v>391</v>
      </c>
      <c r="C187" s="840" t="s">
        <v>1906</v>
      </c>
      <c r="D187" s="807">
        <v>82.27</v>
      </c>
      <c r="E187" s="839" t="s">
        <v>1209</v>
      </c>
      <c r="F187" s="203" t="e">
        <f>VLOOKUP(A187,'Compos DER'!J:K,2,FALSE)</f>
        <v>#N/A</v>
      </c>
      <c r="G187" s="198" t="e">
        <f t="shared" si="3"/>
        <v>#N/A</v>
      </c>
    </row>
    <row r="188" spans="1:7" ht="25.5" x14ac:dyDescent="0.2">
      <c r="A188" s="806">
        <v>40830</v>
      </c>
      <c r="B188" s="839" t="s">
        <v>1982</v>
      </c>
      <c r="C188" s="840" t="s">
        <v>1905</v>
      </c>
      <c r="D188" s="807">
        <v>8.06</v>
      </c>
      <c r="E188" s="839" t="s">
        <v>1209</v>
      </c>
      <c r="F188" s="203" t="e">
        <f>VLOOKUP(A188,'Compos DER'!J:K,2,FALSE)</f>
        <v>#N/A</v>
      </c>
      <c r="G188" s="198" t="e">
        <f t="shared" si="3"/>
        <v>#N/A</v>
      </c>
    </row>
    <row r="189" spans="1:7" ht="25.5" x14ac:dyDescent="0.2">
      <c r="A189" s="806">
        <v>40873</v>
      </c>
      <c r="B189" s="842" t="s">
        <v>1983</v>
      </c>
      <c r="C189" s="840" t="s">
        <v>1905</v>
      </c>
      <c r="D189" s="807">
        <v>6.58</v>
      </c>
      <c r="E189" s="839" t="s">
        <v>1209</v>
      </c>
      <c r="F189" s="203" t="e">
        <f>VLOOKUP(A189,'Compos DER'!J:K,2,FALSE)</f>
        <v>#N/A</v>
      </c>
      <c r="G189" s="198" t="e">
        <f t="shared" si="3"/>
        <v>#N/A</v>
      </c>
    </row>
    <row r="190" spans="1:7" ht="25.5" x14ac:dyDescent="0.2">
      <c r="A190" s="806">
        <v>40876</v>
      </c>
      <c r="B190" s="842" t="s">
        <v>1984</v>
      </c>
      <c r="C190" s="840" t="s">
        <v>1905</v>
      </c>
      <c r="D190" s="807">
        <v>7.18</v>
      </c>
      <c r="E190" s="839"/>
      <c r="F190" s="203" t="e">
        <f>VLOOKUP(A190,'Compos DER'!J:K,2,FALSE)</f>
        <v>#N/A</v>
      </c>
      <c r="G190" s="198" t="e">
        <f t="shared" si="3"/>
        <v>#N/A</v>
      </c>
    </row>
    <row r="191" spans="1:7" ht="25.5" x14ac:dyDescent="0.2">
      <c r="A191" s="806">
        <v>41363</v>
      </c>
      <c r="B191" s="842" t="s">
        <v>1985</v>
      </c>
      <c r="C191" s="840" t="s">
        <v>1905</v>
      </c>
      <c r="D191" s="807">
        <v>11.49</v>
      </c>
      <c r="E191" s="843" t="s">
        <v>1209</v>
      </c>
      <c r="F191" s="203" t="e">
        <f>VLOOKUP(A191,'Compos DER'!J:K,2,FALSE)</f>
        <v>#N/A</v>
      </c>
      <c r="G191" s="198" t="e">
        <f t="shared" si="3"/>
        <v>#N/A</v>
      </c>
    </row>
    <row r="192" spans="1:7" x14ac:dyDescent="0.2">
      <c r="A192" s="806">
        <v>40831</v>
      </c>
      <c r="B192" s="842" t="s">
        <v>1986</v>
      </c>
      <c r="C192" s="840" t="s">
        <v>1905</v>
      </c>
      <c r="D192" s="807">
        <v>19.940000000000001</v>
      </c>
      <c r="E192" s="839" t="s">
        <v>1209</v>
      </c>
      <c r="F192" s="203" t="e">
        <f>VLOOKUP(A192,'Compos DER'!J:K,2,FALSE)</f>
        <v>#N/A</v>
      </c>
      <c r="G192" s="198" t="e">
        <f t="shared" si="3"/>
        <v>#N/A</v>
      </c>
    </row>
    <row r="193" spans="1:7" x14ac:dyDescent="0.2">
      <c r="A193" s="806">
        <v>40827</v>
      </c>
      <c r="B193" s="842" t="s">
        <v>1987</v>
      </c>
      <c r="C193" s="840" t="s">
        <v>1905</v>
      </c>
      <c r="D193" s="807">
        <v>10.92</v>
      </c>
      <c r="E193" s="839" t="s">
        <v>1209</v>
      </c>
      <c r="F193" s="203" t="e">
        <f>VLOOKUP(A193,'Compos DER'!J:K,2,FALSE)</f>
        <v>#N/A</v>
      </c>
      <c r="G193" s="198" t="e">
        <f t="shared" si="3"/>
        <v>#N/A</v>
      </c>
    </row>
    <row r="194" spans="1:7" ht="25.5" x14ac:dyDescent="0.2">
      <c r="A194" s="806">
        <v>40828</v>
      </c>
      <c r="B194" s="842" t="s">
        <v>1988</v>
      </c>
      <c r="C194" s="840" t="s">
        <v>1905</v>
      </c>
      <c r="D194" s="807">
        <v>7.33</v>
      </c>
      <c r="E194" s="839" t="s">
        <v>1209</v>
      </c>
      <c r="F194" s="203">
        <f>VLOOKUP(A194,'Compos DER'!J:K,2,FALSE)</f>
        <v>9.06</v>
      </c>
      <c r="G194" s="198">
        <f t="shared" si="3"/>
        <v>1.2360163710777601</v>
      </c>
    </row>
    <row r="195" spans="1:7" ht="25.5" x14ac:dyDescent="0.2">
      <c r="A195" s="806">
        <v>40874</v>
      </c>
      <c r="B195" s="842" t="s">
        <v>1989</v>
      </c>
      <c r="C195" s="840" t="s">
        <v>1905</v>
      </c>
      <c r="D195" s="807">
        <v>7.27</v>
      </c>
      <c r="E195" s="839" t="s">
        <v>1209</v>
      </c>
      <c r="F195" s="203" t="e">
        <f>VLOOKUP(A195,'Compos DER'!J:K,2,FALSE)</f>
        <v>#N/A</v>
      </c>
      <c r="G195" s="198" t="e">
        <f t="shared" si="3"/>
        <v>#N/A</v>
      </c>
    </row>
    <row r="196" spans="1:7" ht="25.5" x14ac:dyDescent="0.2">
      <c r="A196" s="806">
        <v>40875</v>
      </c>
      <c r="B196" s="842" t="s">
        <v>1990</v>
      </c>
      <c r="C196" s="840" t="s">
        <v>1905</v>
      </c>
      <c r="D196" s="807">
        <v>7.02</v>
      </c>
      <c r="E196" s="839"/>
      <c r="F196" s="203" t="e">
        <f>VLOOKUP(A196,'Compos DER'!J:K,2,FALSE)</f>
        <v>#N/A</v>
      </c>
      <c r="G196" s="198" t="e">
        <f t="shared" si="3"/>
        <v>#N/A</v>
      </c>
    </row>
    <row r="197" spans="1:7" x14ac:dyDescent="0.2">
      <c r="A197" s="806">
        <v>40829</v>
      </c>
      <c r="B197" s="842" t="s">
        <v>1991</v>
      </c>
      <c r="C197" s="840" t="s">
        <v>1905</v>
      </c>
      <c r="D197" s="807">
        <v>18.27</v>
      </c>
      <c r="E197" s="843" t="s">
        <v>1209</v>
      </c>
      <c r="F197" s="203" t="e">
        <f>VLOOKUP(A197,'Compos DER'!J:K,2,FALSE)</f>
        <v>#N/A</v>
      </c>
      <c r="G197" s="198" t="e">
        <f t="shared" si="3"/>
        <v>#N/A</v>
      </c>
    </row>
    <row r="198" spans="1:7" ht="25.5" x14ac:dyDescent="0.2">
      <c r="A198" s="806">
        <v>40824</v>
      </c>
      <c r="B198" s="842" t="s">
        <v>1992</v>
      </c>
      <c r="C198" s="840" t="s">
        <v>1905</v>
      </c>
      <c r="D198" s="807">
        <v>4.67</v>
      </c>
      <c r="E198" s="839" t="s">
        <v>1209</v>
      </c>
      <c r="F198" s="203" t="e">
        <f>VLOOKUP(A198,'Compos DER'!J:K,2,FALSE)</f>
        <v>#N/A</v>
      </c>
      <c r="G198" s="198" t="e">
        <f t="shared" ref="G198:G260" si="4">+F198/D198</f>
        <v>#N/A</v>
      </c>
    </row>
    <row r="199" spans="1:7" x14ac:dyDescent="0.2">
      <c r="A199" s="806">
        <v>40825</v>
      </c>
      <c r="B199" s="842" t="s">
        <v>1993</v>
      </c>
      <c r="C199" s="840" t="s">
        <v>1905</v>
      </c>
      <c r="D199" s="807">
        <v>8.26</v>
      </c>
      <c r="E199" s="839" t="s">
        <v>1209</v>
      </c>
      <c r="F199" s="203" t="e">
        <f>VLOOKUP(A199,'Compos DER'!J:K,2,FALSE)</f>
        <v>#N/A</v>
      </c>
      <c r="G199" s="198" t="e">
        <f t="shared" si="4"/>
        <v>#N/A</v>
      </c>
    </row>
    <row r="200" spans="1:7" ht="25.5" x14ac:dyDescent="0.2">
      <c r="A200" s="806">
        <v>40820</v>
      </c>
      <c r="B200" s="842" t="s">
        <v>1994</v>
      </c>
      <c r="C200" s="840" t="s">
        <v>1905</v>
      </c>
      <c r="D200" s="807">
        <v>4.2699999999999996</v>
      </c>
      <c r="E200" s="839" t="s">
        <v>1209</v>
      </c>
      <c r="F200" s="203" t="e">
        <f>VLOOKUP(A200,'Compos DER'!J:K,2,FALSE)</f>
        <v>#N/A</v>
      </c>
      <c r="G200" s="198" t="e">
        <f t="shared" si="4"/>
        <v>#N/A</v>
      </c>
    </row>
    <row r="201" spans="1:7" x14ac:dyDescent="0.2">
      <c r="A201" s="806">
        <v>40821</v>
      </c>
      <c r="B201" s="842" t="s">
        <v>392</v>
      </c>
      <c r="C201" s="840" t="s">
        <v>1905</v>
      </c>
      <c r="D201" s="807">
        <v>7.86</v>
      </c>
      <c r="E201" s="839" t="s">
        <v>1209</v>
      </c>
      <c r="F201" s="203" t="e">
        <f>VLOOKUP(A201,'Compos DER'!J:K,2,FALSE)</f>
        <v>#N/A</v>
      </c>
      <c r="G201" s="198" t="e">
        <f t="shared" si="4"/>
        <v>#N/A</v>
      </c>
    </row>
    <row r="202" spans="1:7" x14ac:dyDescent="0.2">
      <c r="A202" s="806">
        <v>40840</v>
      </c>
      <c r="B202" s="839" t="s">
        <v>1995</v>
      </c>
      <c r="C202" s="840" t="s">
        <v>3</v>
      </c>
      <c r="D202" s="807">
        <v>50.04</v>
      </c>
      <c r="E202" s="839" t="s">
        <v>1209</v>
      </c>
      <c r="F202" s="203">
        <f>VLOOKUP(A202,'Compos DER'!J:K,2,FALSE)</f>
        <v>52.02</v>
      </c>
      <c r="G202" s="198">
        <f t="shared" si="4"/>
        <v>1.0395683453237401</v>
      </c>
    </row>
    <row r="203" spans="1:7" x14ac:dyDescent="0.2">
      <c r="A203" s="806">
        <v>43331</v>
      </c>
      <c r="B203" s="842" t="s">
        <v>393</v>
      </c>
      <c r="C203" s="840" t="s">
        <v>1906</v>
      </c>
      <c r="D203" s="807">
        <v>6.93</v>
      </c>
      <c r="E203" s="839"/>
      <c r="F203" s="203" t="e">
        <f>VLOOKUP(A203,'Compos DER'!J:K,2,FALSE)</f>
        <v>#N/A</v>
      </c>
      <c r="G203" s="198" t="e">
        <f t="shared" si="4"/>
        <v>#N/A</v>
      </c>
    </row>
    <row r="204" spans="1:7" x14ac:dyDescent="0.2">
      <c r="A204" s="844"/>
      <c r="B204" s="844"/>
      <c r="C204" s="845"/>
      <c r="D204" s="846"/>
      <c r="E204" s="845" t="e">
        <v>#N/A</v>
      </c>
      <c r="F204" s="203" t="e">
        <f>VLOOKUP(A204,'Compos DER'!J:K,2,FALSE)</f>
        <v>#N/A</v>
      </c>
      <c r="G204" s="198" t="e">
        <f t="shared" si="4"/>
        <v>#N/A</v>
      </c>
    </row>
    <row r="205" spans="1:7" x14ac:dyDescent="0.2">
      <c r="A205" s="852" t="s">
        <v>394</v>
      </c>
      <c r="B205" s="844"/>
      <c r="C205" s="845"/>
      <c r="D205" s="846"/>
      <c r="E205" s="845" t="e">
        <v>#N/A</v>
      </c>
      <c r="F205" s="203" t="e">
        <f>VLOOKUP(A205,'Compos DER'!J:K,2,FALSE)</f>
        <v>#N/A</v>
      </c>
      <c r="G205" s="198" t="e">
        <f t="shared" si="4"/>
        <v>#N/A</v>
      </c>
    </row>
    <row r="206" spans="1:7" x14ac:dyDescent="0.2">
      <c r="A206" s="806">
        <v>100394</v>
      </c>
      <c r="B206" s="839" t="s">
        <v>395</v>
      </c>
      <c r="C206" s="840" t="s">
        <v>58</v>
      </c>
      <c r="D206" s="807">
        <v>10.4</v>
      </c>
      <c r="E206" s="841"/>
      <c r="F206" s="203" t="e">
        <f>VLOOKUP(A206,'Compos DER'!J:K,2,FALSE)</f>
        <v>#N/A</v>
      </c>
      <c r="G206" s="198" t="e">
        <f t="shared" si="4"/>
        <v>#N/A</v>
      </c>
    </row>
    <row r="207" spans="1:7" x14ac:dyDescent="0.2">
      <c r="A207" s="806">
        <v>40376</v>
      </c>
      <c r="B207" s="839" t="s">
        <v>396</v>
      </c>
      <c r="C207" s="840" t="s">
        <v>58</v>
      </c>
      <c r="D207" s="807">
        <v>9.7200000000000006</v>
      </c>
      <c r="E207" s="841"/>
      <c r="F207" s="203">
        <f>VLOOKUP(A207,'Compos DER'!J:K,2,FALSE)</f>
        <v>9.73</v>
      </c>
      <c r="G207" s="198">
        <f t="shared" si="4"/>
        <v>1.00102880658436</v>
      </c>
    </row>
    <row r="208" spans="1:7" s="548" customFormat="1" x14ac:dyDescent="0.2">
      <c r="A208" s="806">
        <v>43351</v>
      </c>
      <c r="B208" s="842" t="s">
        <v>1996</v>
      </c>
      <c r="C208" s="840" t="s">
        <v>58</v>
      </c>
      <c r="D208" s="807">
        <v>9.9</v>
      </c>
      <c r="E208" s="843"/>
      <c r="F208" s="203" t="e">
        <f>VLOOKUP(A208,'Compos DER'!J:K,2,FALSE)</f>
        <v>#N/A</v>
      </c>
      <c r="G208" s="198" t="e">
        <f t="shared" si="4"/>
        <v>#N/A</v>
      </c>
    </row>
    <row r="209" spans="1:7" x14ac:dyDescent="0.2">
      <c r="A209" s="806">
        <v>43350</v>
      </c>
      <c r="B209" s="839" t="s">
        <v>397</v>
      </c>
      <c r="C209" s="840" t="s">
        <v>58</v>
      </c>
      <c r="D209" s="807">
        <v>9.98</v>
      </c>
      <c r="E209" s="841"/>
      <c r="F209" s="203" t="e">
        <f>VLOOKUP(A209,'Compos DER'!J:K,2,FALSE)</f>
        <v>#N/A</v>
      </c>
      <c r="G209" s="198" t="e">
        <f t="shared" si="4"/>
        <v>#N/A</v>
      </c>
    </row>
    <row r="210" spans="1:7" x14ac:dyDescent="0.2">
      <c r="A210" s="806">
        <v>41261</v>
      </c>
      <c r="B210" s="839" t="s">
        <v>398</v>
      </c>
      <c r="C210" s="840" t="s">
        <v>58</v>
      </c>
      <c r="D210" s="807">
        <v>9.58</v>
      </c>
      <c r="E210" s="841"/>
      <c r="F210" s="203" t="e">
        <f>VLOOKUP(A210,'Compos DER'!J:K,2,FALSE)</f>
        <v>#N/A</v>
      </c>
      <c r="G210" s="198" t="e">
        <f t="shared" si="4"/>
        <v>#N/A</v>
      </c>
    </row>
    <row r="211" spans="1:7" x14ac:dyDescent="0.2">
      <c r="A211" s="806">
        <v>41023</v>
      </c>
      <c r="B211" s="839" t="s">
        <v>399</v>
      </c>
      <c r="C211" s="840" t="s">
        <v>1948</v>
      </c>
      <c r="D211" s="807">
        <v>82.13</v>
      </c>
      <c r="E211" s="841"/>
      <c r="F211" s="203" t="e">
        <f>VLOOKUP(A211,'Compos DER'!J:K,2,FALSE)</f>
        <v>#N/A</v>
      </c>
      <c r="G211" s="198" t="e">
        <f t="shared" si="4"/>
        <v>#N/A</v>
      </c>
    </row>
    <row r="212" spans="1:7" x14ac:dyDescent="0.2">
      <c r="A212" s="806">
        <v>41575</v>
      </c>
      <c r="B212" s="842" t="s">
        <v>1997</v>
      </c>
      <c r="C212" s="840" t="s">
        <v>1905</v>
      </c>
      <c r="D212" s="807">
        <v>50.26</v>
      </c>
      <c r="E212" s="839" t="s">
        <v>1209</v>
      </c>
      <c r="F212" s="203" t="e">
        <f>VLOOKUP(A212,'Compos DER'!J:K,2,FALSE)</f>
        <v>#N/A</v>
      </c>
      <c r="G212" s="198" t="e">
        <f t="shared" si="4"/>
        <v>#N/A</v>
      </c>
    </row>
    <row r="213" spans="1:7" x14ac:dyDescent="0.2">
      <c r="A213" s="806">
        <v>40346</v>
      </c>
      <c r="B213" s="842" t="s">
        <v>1998</v>
      </c>
      <c r="C213" s="840" t="s">
        <v>1905</v>
      </c>
      <c r="D213" s="807">
        <v>85.18</v>
      </c>
      <c r="E213" s="839" t="s">
        <v>1209</v>
      </c>
      <c r="F213" s="203" t="e">
        <f>VLOOKUP(A213,'Compos DER'!J:K,2,FALSE)</f>
        <v>#N/A</v>
      </c>
      <c r="G213" s="198" t="e">
        <f t="shared" si="4"/>
        <v>#N/A</v>
      </c>
    </row>
    <row r="214" spans="1:7" x14ac:dyDescent="0.2">
      <c r="A214" s="806">
        <v>40345</v>
      </c>
      <c r="B214" s="842" t="s">
        <v>1999</v>
      </c>
      <c r="C214" s="840" t="s">
        <v>1905</v>
      </c>
      <c r="D214" s="807">
        <v>62.43</v>
      </c>
      <c r="E214" s="839" t="s">
        <v>1209</v>
      </c>
      <c r="F214" s="203" t="e">
        <f>VLOOKUP(A214,'Compos DER'!J:K,2,FALSE)</f>
        <v>#N/A</v>
      </c>
      <c r="G214" s="198" t="e">
        <f t="shared" si="4"/>
        <v>#N/A</v>
      </c>
    </row>
    <row r="215" spans="1:7" x14ac:dyDescent="0.2">
      <c r="A215" s="806">
        <v>40343</v>
      </c>
      <c r="B215" s="842" t="s">
        <v>2000</v>
      </c>
      <c r="C215" s="840" t="s">
        <v>1906</v>
      </c>
      <c r="D215" s="807">
        <v>350.59</v>
      </c>
      <c r="E215" s="839" t="s">
        <v>1209</v>
      </c>
      <c r="F215" s="203">
        <f>VLOOKUP(A215,'Compos DER'!J:K,2,FALSE)</f>
        <v>402.13</v>
      </c>
      <c r="G215" s="198">
        <f t="shared" si="4"/>
        <v>1.1470093271342601</v>
      </c>
    </row>
    <row r="216" spans="1:7" x14ac:dyDescent="0.2">
      <c r="A216" s="806">
        <v>40344</v>
      </c>
      <c r="B216" s="839" t="s">
        <v>400</v>
      </c>
      <c r="C216" s="840" t="s">
        <v>1906</v>
      </c>
      <c r="D216" s="807">
        <v>247.68</v>
      </c>
      <c r="E216" s="839" t="s">
        <v>1209</v>
      </c>
      <c r="F216" s="203" t="e">
        <f>VLOOKUP(A216,'Compos DER'!J:K,2,FALSE)</f>
        <v>#N/A</v>
      </c>
      <c r="G216" s="198" t="e">
        <f t="shared" si="4"/>
        <v>#N/A</v>
      </c>
    </row>
    <row r="217" spans="1:7" x14ac:dyDescent="0.2">
      <c r="A217" s="806">
        <v>41027</v>
      </c>
      <c r="B217" s="839" t="s">
        <v>401</v>
      </c>
      <c r="C217" s="840" t="s">
        <v>1906</v>
      </c>
      <c r="D217" s="807">
        <v>26.95</v>
      </c>
      <c r="E217" s="841"/>
      <c r="F217" s="203" t="e">
        <f>VLOOKUP(A217,'Compos DER'!J:K,2,FALSE)</f>
        <v>#N/A</v>
      </c>
      <c r="G217" s="198" t="e">
        <f t="shared" si="4"/>
        <v>#N/A</v>
      </c>
    </row>
    <row r="218" spans="1:7" x14ac:dyDescent="0.2">
      <c r="A218" s="806">
        <v>40337</v>
      </c>
      <c r="B218" s="839" t="s">
        <v>402</v>
      </c>
      <c r="C218" s="840" t="s">
        <v>1905</v>
      </c>
      <c r="D218" s="807">
        <v>132.22</v>
      </c>
      <c r="E218" s="841"/>
      <c r="F218" s="203" t="e">
        <f>VLOOKUP(A218,'Compos DER'!J:K,2,FALSE)</f>
        <v>#N/A</v>
      </c>
      <c r="G218" s="198" t="e">
        <f t="shared" si="4"/>
        <v>#N/A</v>
      </c>
    </row>
    <row r="219" spans="1:7" x14ac:dyDescent="0.2">
      <c r="A219" s="806">
        <v>40395</v>
      </c>
      <c r="B219" s="839" t="s">
        <v>403</v>
      </c>
      <c r="C219" s="840" t="s">
        <v>1905</v>
      </c>
      <c r="D219" s="807">
        <v>24.76</v>
      </c>
      <c r="E219" s="841"/>
      <c r="F219" s="203" t="e">
        <f>VLOOKUP(A219,'Compos DER'!J:K,2,FALSE)</f>
        <v>#N/A</v>
      </c>
      <c r="G219" s="198" t="e">
        <f t="shared" si="4"/>
        <v>#N/A</v>
      </c>
    </row>
    <row r="220" spans="1:7" x14ac:dyDescent="0.2">
      <c r="A220" s="806">
        <v>40300</v>
      </c>
      <c r="B220" s="839" t="s">
        <v>404</v>
      </c>
      <c r="C220" s="840" t="s">
        <v>1906</v>
      </c>
      <c r="D220" s="807">
        <v>52.91</v>
      </c>
      <c r="E220" s="841"/>
      <c r="F220" s="203">
        <f>VLOOKUP(A220,'Compos DER'!J:K,2,FALSE)</f>
        <v>52.92</v>
      </c>
      <c r="G220" s="198">
        <f t="shared" si="4"/>
        <v>1.0001890001889999</v>
      </c>
    </row>
    <row r="221" spans="1:7" x14ac:dyDescent="0.2">
      <c r="A221" s="806">
        <v>40348</v>
      </c>
      <c r="B221" s="839" t="s">
        <v>405</v>
      </c>
      <c r="C221" s="840" t="s">
        <v>1906</v>
      </c>
      <c r="D221" s="807">
        <v>456</v>
      </c>
      <c r="E221" s="839" t="s">
        <v>1209</v>
      </c>
      <c r="F221" s="203">
        <f>VLOOKUP(A221,'Compos DER'!J:K,2,FALSE)</f>
        <v>499.57</v>
      </c>
      <c r="G221" s="198">
        <f t="shared" si="4"/>
        <v>1.09554824561404</v>
      </c>
    </row>
    <row r="222" spans="1:7" x14ac:dyDescent="0.2">
      <c r="A222" s="806">
        <v>40347</v>
      </c>
      <c r="B222" s="839" t="s">
        <v>406</v>
      </c>
      <c r="C222" s="840" t="s">
        <v>1906</v>
      </c>
      <c r="D222" s="807">
        <v>797.39</v>
      </c>
      <c r="E222" s="839" t="s">
        <v>1209</v>
      </c>
      <c r="F222" s="203" t="e">
        <f>VLOOKUP(A222,'Compos DER'!J:K,2,FALSE)</f>
        <v>#N/A</v>
      </c>
      <c r="G222" s="198" t="e">
        <f t="shared" si="4"/>
        <v>#N/A</v>
      </c>
    </row>
    <row r="223" spans="1:7" x14ac:dyDescent="0.2">
      <c r="A223" s="806">
        <v>41415</v>
      </c>
      <c r="B223" s="839" t="s">
        <v>407</v>
      </c>
      <c r="C223" s="840" t="s">
        <v>1906</v>
      </c>
      <c r="D223" s="807">
        <v>468.24</v>
      </c>
      <c r="E223" s="839" t="s">
        <v>1209</v>
      </c>
      <c r="F223" s="203" t="e">
        <f>VLOOKUP(A223,'Compos DER'!J:K,2,FALSE)</f>
        <v>#N/A</v>
      </c>
      <c r="G223" s="198" t="e">
        <f t="shared" si="4"/>
        <v>#N/A</v>
      </c>
    </row>
    <row r="224" spans="1:7" x14ac:dyDescent="0.2">
      <c r="A224" s="806">
        <v>42257</v>
      </c>
      <c r="B224" s="839" t="s">
        <v>408</v>
      </c>
      <c r="C224" s="840" t="s">
        <v>1906</v>
      </c>
      <c r="D224" s="807">
        <v>7.15</v>
      </c>
      <c r="E224" s="841"/>
      <c r="F224" s="203" t="e">
        <f>VLOOKUP(A224,'Compos DER'!J:K,2,FALSE)</f>
        <v>#N/A</v>
      </c>
      <c r="G224" s="198" t="e">
        <f t="shared" si="4"/>
        <v>#N/A</v>
      </c>
    </row>
    <row r="225" spans="1:7" x14ac:dyDescent="0.2">
      <c r="A225" s="806">
        <v>40519</v>
      </c>
      <c r="B225" s="839" t="s">
        <v>409</v>
      </c>
      <c r="C225" s="840" t="s">
        <v>1948</v>
      </c>
      <c r="D225" s="807">
        <v>258.49</v>
      </c>
      <c r="E225" s="839" t="s">
        <v>1209</v>
      </c>
      <c r="F225" s="203" t="e">
        <f>VLOOKUP(A225,'Compos DER'!J:K,2,FALSE)</f>
        <v>#N/A</v>
      </c>
      <c r="G225" s="198" t="e">
        <f t="shared" si="4"/>
        <v>#N/A</v>
      </c>
    </row>
    <row r="226" spans="1:7" x14ac:dyDescent="0.2">
      <c r="A226" s="806">
        <v>40520</v>
      </c>
      <c r="B226" s="839" t="s">
        <v>410</v>
      </c>
      <c r="C226" s="840" t="s">
        <v>1948</v>
      </c>
      <c r="D226" s="807">
        <v>403.25</v>
      </c>
      <c r="E226" s="839" t="s">
        <v>1209</v>
      </c>
      <c r="F226" s="203" t="e">
        <f>VLOOKUP(A226,'Compos DER'!J:K,2,FALSE)</f>
        <v>#N/A</v>
      </c>
      <c r="G226" s="198" t="e">
        <f t="shared" si="4"/>
        <v>#N/A</v>
      </c>
    </row>
    <row r="227" spans="1:7" x14ac:dyDescent="0.2">
      <c r="A227" s="806">
        <v>40521</v>
      </c>
      <c r="B227" s="839" t="s">
        <v>411</v>
      </c>
      <c r="C227" s="840" t="s">
        <v>1948</v>
      </c>
      <c r="D227" s="807">
        <v>579.45000000000005</v>
      </c>
      <c r="E227" s="839" t="s">
        <v>1209</v>
      </c>
      <c r="F227" s="203">
        <f>VLOOKUP(A227,'Compos DER'!J:K,2,FALSE)</f>
        <v>658.52</v>
      </c>
      <c r="G227" s="198">
        <f t="shared" si="4"/>
        <v>1.1364569850720501</v>
      </c>
    </row>
    <row r="228" spans="1:7" x14ac:dyDescent="0.2">
      <c r="A228" s="806">
        <v>40522</v>
      </c>
      <c r="B228" s="839" t="s">
        <v>412</v>
      </c>
      <c r="C228" s="840" t="s">
        <v>1948</v>
      </c>
      <c r="D228" s="807">
        <v>781.49</v>
      </c>
      <c r="E228" s="839" t="s">
        <v>1209</v>
      </c>
      <c r="F228" s="203">
        <f>VLOOKUP(A228,'Compos DER'!J:K,2,FALSE)</f>
        <v>890.2</v>
      </c>
      <c r="G228" s="198">
        <f t="shared" si="4"/>
        <v>1.13910606661634</v>
      </c>
    </row>
    <row r="229" spans="1:7" x14ac:dyDescent="0.2">
      <c r="A229" s="806">
        <v>40523</v>
      </c>
      <c r="B229" s="839" t="s">
        <v>413</v>
      </c>
      <c r="C229" s="840" t="s">
        <v>1948</v>
      </c>
      <c r="D229" s="808">
        <v>1127.02</v>
      </c>
      <c r="E229" s="839" t="s">
        <v>1209</v>
      </c>
      <c r="F229" s="203" t="e">
        <f>VLOOKUP(A229,'Compos DER'!J:K,2,FALSE)</f>
        <v>#N/A</v>
      </c>
      <c r="G229" s="198" t="e">
        <f t="shared" si="4"/>
        <v>#N/A</v>
      </c>
    </row>
    <row r="230" spans="1:7" x14ac:dyDescent="0.2">
      <c r="A230" s="806">
        <v>40513</v>
      </c>
      <c r="B230" s="839" t="s">
        <v>414</v>
      </c>
      <c r="C230" s="840" t="s">
        <v>1948</v>
      </c>
      <c r="D230" s="807">
        <v>93.71</v>
      </c>
      <c r="E230" s="839" t="s">
        <v>1209</v>
      </c>
      <c r="F230" s="203" t="e">
        <f>VLOOKUP(A230,'Compos DER'!J:K,2,FALSE)</f>
        <v>#N/A</v>
      </c>
      <c r="G230" s="198" t="e">
        <f t="shared" si="4"/>
        <v>#N/A</v>
      </c>
    </row>
    <row r="231" spans="1:7" x14ac:dyDescent="0.2">
      <c r="A231" s="806">
        <v>40514</v>
      </c>
      <c r="B231" s="839" t="s">
        <v>415</v>
      </c>
      <c r="C231" s="840" t="s">
        <v>1948</v>
      </c>
      <c r="D231" s="807">
        <v>156.02000000000001</v>
      </c>
      <c r="E231" s="839" t="s">
        <v>1209</v>
      </c>
      <c r="F231" s="203" t="e">
        <f>VLOOKUP(A231,'Compos DER'!J:K,2,FALSE)</f>
        <v>#N/A</v>
      </c>
      <c r="G231" s="198" t="e">
        <f t="shared" si="4"/>
        <v>#N/A</v>
      </c>
    </row>
    <row r="232" spans="1:7" x14ac:dyDescent="0.2">
      <c r="A232" s="806">
        <v>40515</v>
      </c>
      <c r="B232" s="839" t="s">
        <v>416</v>
      </c>
      <c r="C232" s="840" t="s">
        <v>1948</v>
      </c>
      <c r="D232" s="807">
        <v>237.07</v>
      </c>
      <c r="E232" s="839" t="s">
        <v>1209</v>
      </c>
      <c r="F232" s="203">
        <f>VLOOKUP(A232,'Compos DER'!J:K,2,FALSE)</f>
        <v>264.02</v>
      </c>
      <c r="G232" s="198">
        <f t="shared" si="4"/>
        <v>1.11367950394398</v>
      </c>
    </row>
    <row r="233" spans="1:7" x14ac:dyDescent="0.2">
      <c r="A233" s="806">
        <v>40516</v>
      </c>
      <c r="B233" s="839" t="s">
        <v>417</v>
      </c>
      <c r="C233" s="840" t="s">
        <v>1948</v>
      </c>
      <c r="D233" s="807">
        <v>333.61</v>
      </c>
      <c r="E233" s="839" t="s">
        <v>1209</v>
      </c>
      <c r="F233" s="203">
        <f>VLOOKUP(A233,'Compos DER'!J:K,2,FALSE)</f>
        <v>373.33</v>
      </c>
      <c r="G233" s="198">
        <f t="shared" si="4"/>
        <v>1.1190611792212499</v>
      </c>
    </row>
    <row r="234" spans="1:7" x14ac:dyDescent="0.2">
      <c r="A234" s="806">
        <v>40517</v>
      </c>
      <c r="B234" s="839" t="s">
        <v>418</v>
      </c>
      <c r="C234" s="840" t="s">
        <v>1948</v>
      </c>
      <c r="D234" s="807">
        <v>443.5</v>
      </c>
      <c r="E234" s="839" t="s">
        <v>1209</v>
      </c>
      <c r="F234" s="203" t="e">
        <f>VLOOKUP(A234,'Compos DER'!J:K,2,FALSE)</f>
        <v>#N/A</v>
      </c>
      <c r="G234" s="198" t="e">
        <f t="shared" si="4"/>
        <v>#N/A</v>
      </c>
    </row>
    <row r="235" spans="1:7" x14ac:dyDescent="0.2">
      <c r="A235" s="806">
        <v>40518</v>
      </c>
      <c r="B235" s="839" t="s">
        <v>419</v>
      </c>
      <c r="C235" s="840" t="s">
        <v>1948</v>
      </c>
      <c r="D235" s="807">
        <v>628.88</v>
      </c>
      <c r="E235" s="839" t="s">
        <v>1209</v>
      </c>
      <c r="F235" s="203" t="e">
        <f>VLOOKUP(A235,'Compos DER'!J:K,2,FALSE)</f>
        <v>#N/A</v>
      </c>
      <c r="G235" s="198" t="e">
        <f t="shared" si="4"/>
        <v>#N/A</v>
      </c>
    </row>
    <row r="236" spans="1:7" x14ac:dyDescent="0.2">
      <c r="A236" s="806">
        <v>40524</v>
      </c>
      <c r="B236" s="839" t="s">
        <v>420</v>
      </c>
      <c r="C236" s="840" t="s">
        <v>1948</v>
      </c>
      <c r="D236" s="807">
        <v>359.24</v>
      </c>
      <c r="E236" s="839" t="s">
        <v>1209</v>
      </c>
      <c r="F236" s="203" t="e">
        <f>VLOOKUP(A236,'Compos DER'!J:K,2,FALSE)</f>
        <v>#N/A</v>
      </c>
      <c r="G236" s="198" t="e">
        <f t="shared" si="4"/>
        <v>#N/A</v>
      </c>
    </row>
    <row r="237" spans="1:7" x14ac:dyDescent="0.2">
      <c r="A237" s="806">
        <v>40525</v>
      </c>
      <c r="B237" s="839" t="s">
        <v>421</v>
      </c>
      <c r="C237" s="840" t="s">
        <v>1948</v>
      </c>
      <c r="D237" s="807">
        <v>570.30999999999995</v>
      </c>
      <c r="E237" s="839" t="s">
        <v>1209</v>
      </c>
      <c r="F237" s="203" t="e">
        <f>VLOOKUP(A237,'Compos DER'!J:K,2,FALSE)</f>
        <v>#N/A</v>
      </c>
      <c r="G237" s="198" t="e">
        <f t="shared" si="4"/>
        <v>#N/A</v>
      </c>
    </row>
    <row r="238" spans="1:7" x14ac:dyDescent="0.2">
      <c r="A238" s="806">
        <v>40526</v>
      </c>
      <c r="B238" s="839" t="s">
        <v>422</v>
      </c>
      <c r="C238" s="840" t="s">
        <v>1948</v>
      </c>
      <c r="D238" s="807">
        <v>824.87</v>
      </c>
      <c r="E238" s="839" t="s">
        <v>1209</v>
      </c>
      <c r="F238" s="203" t="e">
        <f>VLOOKUP(A238,'Compos DER'!J:K,2,FALSE)</f>
        <v>#N/A</v>
      </c>
      <c r="G238" s="198" t="e">
        <f t="shared" si="4"/>
        <v>#N/A</v>
      </c>
    </row>
    <row r="239" spans="1:7" x14ac:dyDescent="0.2">
      <c r="A239" s="806">
        <v>40527</v>
      </c>
      <c r="B239" s="839" t="s">
        <v>423</v>
      </c>
      <c r="C239" s="840" t="s">
        <v>1948</v>
      </c>
      <c r="D239" s="808">
        <v>1119.47</v>
      </c>
      <c r="E239" s="839" t="s">
        <v>1209</v>
      </c>
      <c r="F239" s="203" t="e">
        <f>VLOOKUP(A239,'Compos DER'!J:K,2,FALSE)</f>
        <v>#N/A</v>
      </c>
      <c r="G239" s="198" t="e">
        <f t="shared" si="4"/>
        <v>#N/A</v>
      </c>
    </row>
    <row r="240" spans="1:7" x14ac:dyDescent="0.2">
      <c r="A240" s="806">
        <v>40528</v>
      </c>
      <c r="B240" s="839" t="s">
        <v>424</v>
      </c>
      <c r="C240" s="840" t="s">
        <v>1948</v>
      </c>
      <c r="D240" s="808">
        <v>1625.17</v>
      </c>
      <c r="E240" s="839" t="s">
        <v>1209</v>
      </c>
      <c r="F240" s="203" t="e">
        <f>VLOOKUP(A240,'Compos DER'!J:K,2,FALSE)</f>
        <v>#N/A</v>
      </c>
      <c r="G240" s="198" t="e">
        <f t="shared" si="4"/>
        <v>#N/A</v>
      </c>
    </row>
    <row r="241" spans="1:7" x14ac:dyDescent="0.2">
      <c r="A241" s="806">
        <v>41177</v>
      </c>
      <c r="B241" s="839" t="s">
        <v>1615</v>
      </c>
      <c r="C241" s="840" t="s">
        <v>1948</v>
      </c>
      <c r="D241" s="807">
        <v>42.85</v>
      </c>
      <c r="E241" s="839" t="s">
        <v>1209</v>
      </c>
      <c r="F241" s="203" t="e">
        <f>VLOOKUP(A241,'Compos DER'!J:K,2,FALSE)</f>
        <v>#N/A</v>
      </c>
      <c r="G241" s="198" t="e">
        <f t="shared" si="4"/>
        <v>#N/A</v>
      </c>
    </row>
    <row r="242" spans="1:7" x14ac:dyDescent="0.2">
      <c r="A242" s="806">
        <v>100391</v>
      </c>
      <c r="B242" s="839" t="s">
        <v>1616</v>
      </c>
      <c r="C242" s="840" t="s">
        <v>1948</v>
      </c>
      <c r="D242" s="807">
        <v>47.68</v>
      </c>
      <c r="E242" s="839" t="s">
        <v>1209</v>
      </c>
      <c r="F242" s="203" t="e">
        <f>VLOOKUP(A242,'Compos DER'!J:K,2,FALSE)</f>
        <v>#N/A</v>
      </c>
      <c r="G242" s="198" t="e">
        <f t="shared" si="4"/>
        <v>#N/A</v>
      </c>
    </row>
    <row r="243" spans="1:7" x14ac:dyDescent="0.2">
      <c r="A243" s="806">
        <v>41172</v>
      </c>
      <c r="B243" s="839" t="s">
        <v>1617</v>
      </c>
      <c r="C243" s="840" t="s">
        <v>1948</v>
      </c>
      <c r="D243" s="807">
        <v>83.31</v>
      </c>
      <c r="E243" s="839" t="s">
        <v>1209</v>
      </c>
      <c r="F243" s="203" t="e">
        <f>VLOOKUP(A243,'Compos DER'!J:K,2,FALSE)</f>
        <v>#N/A</v>
      </c>
      <c r="G243" s="198" t="e">
        <f t="shared" si="4"/>
        <v>#N/A</v>
      </c>
    </row>
    <row r="244" spans="1:7" s="548" customFormat="1" x14ac:dyDescent="0.2">
      <c r="A244" s="806">
        <v>40620</v>
      </c>
      <c r="B244" s="839" t="s">
        <v>425</v>
      </c>
      <c r="C244" s="840" t="s">
        <v>1910</v>
      </c>
      <c r="D244" s="808">
        <v>14552.93</v>
      </c>
      <c r="E244" s="841"/>
      <c r="F244" s="203" t="e">
        <f>VLOOKUP(A244,'Compos DER'!J:K,2,FALSE)</f>
        <v>#N/A</v>
      </c>
      <c r="G244" s="198" t="e">
        <f t="shared" si="4"/>
        <v>#N/A</v>
      </c>
    </row>
    <row r="245" spans="1:7" x14ac:dyDescent="0.2">
      <c r="A245" s="806">
        <v>40626</v>
      </c>
      <c r="B245" s="839" t="s">
        <v>426</v>
      </c>
      <c r="C245" s="840" t="s">
        <v>1910</v>
      </c>
      <c r="D245" s="808">
        <v>13989.28</v>
      </c>
      <c r="E245" s="841"/>
      <c r="F245" s="203" t="e">
        <f>VLOOKUP(A245,'Compos DER'!J:K,2,FALSE)</f>
        <v>#N/A</v>
      </c>
      <c r="G245" s="198" t="e">
        <f t="shared" si="4"/>
        <v>#N/A</v>
      </c>
    </row>
    <row r="246" spans="1:7" x14ac:dyDescent="0.2">
      <c r="A246" s="806">
        <v>40621</v>
      </c>
      <c r="B246" s="839" t="s">
        <v>427</v>
      </c>
      <c r="C246" s="840" t="s">
        <v>1910</v>
      </c>
      <c r="D246" s="808">
        <v>22134.31</v>
      </c>
      <c r="E246" s="841"/>
      <c r="F246" s="203" t="e">
        <f>VLOOKUP(A246,'Compos DER'!J:K,2,FALSE)</f>
        <v>#N/A</v>
      </c>
      <c r="G246" s="198" t="e">
        <f t="shared" si="4"/>
        <v>#N/A</v>
      </c>
    </row>
    <row r="247" spans="1:7" x14ac:dyDescent="0.2">
      <c r="A247" s="806">
        <v>40622</v>
      </c>
      <c r="B247" s="839" t="s">
        <v>428</v>
      </c>
      <c r="C247" s="840" t="s">
        <v>1910</v>
      </c>
      <c r="D247" s="808">
        <v>34232.81</v>
      </c>
      <c r="E247" s="841"/>
      <c r="F247" s="203" t="e">
        <f>VLOOKUP(A247,'Compos DER'!J:K,2,FALSE)</f>
        <v>#N/A</v>
      </c>
      <c r="G247" s="198" t="e">
        <f t="shared" si="4"/>
        <v>#N/A</v>
      </c>
    </row>
    <row r="248" spans="1:7" x14ac:dyDescent="0.2">
      <c r="A248" s="806">
        <v>40627</v>
      </c>
      <c r="B248" s="839" t="s">
        <v>429</v>
      </c>
      <c r="C248" s="840" t="s">
        <v>1910</v>
      </c>
      <c r="D248" s="808">
        <v>25616</v>
      </c>
      <c r="E248" s="841"/>
      <c r="F248" s="203" t="e">
        <f>VLOOKUP(A248,'Compos DER'!J:K,2,FALSE)</f>
        <v>#N/A</v>
      </c>
      <c r="G248" s="198" t="e">
        <f t="shared" si="4"/>
        <v>#N/A</v>
      </c>
    </row>
    <row r="249" spans="1:7" x14ac:dyDescent="0.2">
      <c r="A249" s="806">
        <v>40623</v>
      </c>
      <c r="B249" s="839" t="s">
        <v>430</v>
      </c>
      <c r="C249" s="840" t="s">
        <v>1910</v>
      </c>
      <c r="D249" s="808">
        <v>30687.62</v>
      </c>
      <c r="E249" s="841"/>
      <c r="F249" s="203" t="e">
        <f>VLOOKUP(A249,'Compos DER'!J:K,2,FALSE)</f>
        <v>#N/A</v>
      </c>
      <c r="G249" s="198" t="e">
        <f t="shared" si="4"/>
        <v>#N/A</v>
      </c>
    </row>
    <row r="250" spans="1:7" x14ac:dyDescent="0.2">
      <c r="A250" s="806">
        <v>40624</v>
      </c>
      <c r="B250" s="839" t="s">
        <v>431</v>
      </c>
      <c r="C250" s="840" t="s">
        <v>1910</v>
      </c>
      <c r="D250" s="808">
        <v>38786.22</v>
      </c>
      <c r="E250" s="841"/>
      <c r="F250" s="203" t="e">
        <f>VLOOKUP(A250,'Compos DER'!J:K,2,FALSE)</f>
        <v>#N/A</v>
      </c>
      <c r="G250" s="198" t="e">
        <f t="shared" si="4"/>
        <v>#N/A</v>
      </c>
    </row>
    <row r="251" spans="1:7" x14ac:dyDescent="0.2">
      <c r="A251" s="806">
        <v>40625</v>
      </c>
      <c r="B251" s="839" t="s">
        <v>432</v>
      </c>
      <c r="C251" s="840" t="s">
        <v>1910</v>
      </c>
      <c r="D251" s="808">
        <v>43534.71</v>
      </c>
      <c r="E251" s="841"/>
      <c r="F251" s="203">
        <f>VLOOKUP(A251,'Compos DER'!J:K,2,FALSE)</f>
        <v>45804.56</v>
      </c>
      <c r="G251" s="198">
        <f t="shared" si="4"/>
        <v>1.05213885655836</v>
      </c>
    </row>
    <row r="252" spans="1:7" x14ac:dyDescent="0.2">
      <c r="A252" s="806">
        <v>40613</v>
      </c>
      <c r="B252" s="839" t="s">
        <v>433</v>
      </c>
      <c r="C252" s="840" t="s">
        <v>1910</v>
      </c>
      <c r="D252" s="808">
        <v>12725.37</v>
      </c>
      <c r="E252" s="841"/>
      <c r="F252" s="203">
        <f>VLOOKUP(A252,'Compos DER'!J:K,2,FALSE)</f>
        <v>13330.28</v>
      </c>
      <c r="G252" s="198">
        <f t="shared" si="4"/>
        <v>1.0475357494516899</v>
      </c>
    </row>
    <row r="253" spans="1:7" x14ac:dyDescent="0.2">
      <c r="A253" s="806">
        <v>40614</v>
      </c>
      <c r="B253" s="839" t="s">
        <v>434</v>
      </c>
      <c r="C253" s="840" t="s">
        <v>1910</v>
      </c>
      <c r="D253" s="808">
        <v>19457.54</v>
      </c>
      <c r="E253" s="841"/>
      <c r="F253" s="203">
        <f>VLOOKUP(A253,'Compos DER'!J:K,2,FALSE)</f>
        <v>20413.439999999999</v>
      </c>
      <c r="G253" s="198">
        <f t="shared" si="4"/>
        <v>1.0491274847694001</v>
      </c>
    </row>
    <row r="254" spans="1:7" x14ac:dyDescent="0.2">
      <c r="A254" s="806">
        <v>40615</v>
      </c>
      <c r="B254" s="839" t="s">
        <v>435</v>
      </c>
      <c r="C254" s="840" t="s">
        <v>1910</v>
      </c>
      <c r="D254" s="808">
        <v>29083.09</v>
      </c>
      <c r="E254" s="841"/>
      <c r="F254" s="203" t="e">
        <f>VLOOKUP(A254,'Compos DER'!J:K,2,FALSE)</f>
        <v>#N/A</v>
      </c>
      <c r="G254" s="198" t="e">
        <f t="shared" si="4"/>
        <v>#N/A</v>
      </c>
    </row>
    <row r="255" spans="1:7" x14ac:dyDescent="0.2">
      <c r="A255" s="806">
        <v>40616</v>
      </c>
      <c r="B255" s="839" t="s">
        <v>436</v>
      </c>
      <c r="C255" s="840" t="s">
        <v>1910</v>
      </c>
      <c r="D255" s="808">
        <v>25547.040000000001</v>
      </c>
      <c r="E255" s="841"/>
      <c r="F255" s="203" t="e">
        <f>VLOOKUP(A255,'Compos DER'!J:K,2,FALSE)</f>
        <v>#N/A</v>
      </c>
      <c r="G255" s="198" t="e">
        <f t="shared" si="4"/>
        <v>#N/A</v>
      </c>
    </row>
    <row r="256" spans="1:7" x14ac:dyDescent="0.2">
      <c r="A256" s="806">
        <v>40617</v>
      </c>
      <c r="B256" s="839" t="s">
        <v>437</v>
      </c>
      <c r="C256" s="840" t="s">
        <v>1910</v>
      </c>
      <c r="D256" s="808">
        <v>32487.43</v>
      </c>
      <c r="E256" s="841"/>
      <c r="F256" s="203" t="e">
        <f>VLOOKUP(A256,'Compos DER'!J:K,2,FALSE)</f>
        <v>#N/A</v>
      </c>
      <c r="G256" s="198" t="e">
        <f t="shared" si="4"/>
        <v>#N/A</v>
      </c>
    </row>
    <row r="257" spans="1:7" x14ac:dyDescent="0.2">
      <c r="A257" s="806">
        <v>40618</v>
      </c>
      <c r="B257" s="839" t="s">
        <v>438</v>
      </c>
      <c r="C257" s="840" t="s">
        <v>1910</v>
      </c>
      <c r="D257" s="808">
        <v>36385.89</v>
      </c>
      <c r="E257" s="841"/>
      <c r="F257" s="203" t="e">
        <f>VLOOKUP(A257,'Compos DER'!J:K,2,FALSE)</f>
        <v>#N/A</v>
      </c>
      <c r="G257" s="198" t="e">
        <f t="shared" si="4"/>
        <v>#N/A</v>
      </c>
    </row>
    <row r="258" spans="1:7" x14ac:dyDescent="0.2">
      <c r="A258" s="806">
        <v>40629</v>
      </c>
      <c r="B258" s="839" t="s">
        <v>439</v>
      </c>
      <c r="C258" s="840" t="s">
        <v>1910</v>
      </c>
      <c r="D258" s="808">
        <v>17947.09</v>
      </c>
      <c r="E258" s="841"/>
      <c r="F258" s="203" t="e">
        <f>VLOOKUP(A258,'Compos DER'!J:K,2,FALSE)</f>
        <v>#N/A</v>
      </c>
      <c r="G258" s="198" t="e">
        <f t="shared" si="4"/>
        <v>#N/A</v>
      </c>
    </row>
    <row r="259" spans="1:7" x14ac:dyDescent="0.2">
      <c r="A259" s="806">
        <v>40630</v>
      </c>
      <c r="B259" s="839" t="s">
        <v>440</v>
      </c>
      <c r="C259" s="840" t="s">
        <v>1910</v>
      </c>
      <c r="D259" s="808">
        <v>26995.25</v>
      </c>
      <c r="E259" s="841"/>
      <c r="F259" s="203" t="e">
        <f>VLOOKUP(A259,'Compos DER'!J:K,2,FALSE)</f>
        <v>#N/A</v>
      </c>
      <c r="G259" s="198" t="e">
        <f t="shared" si="4"/>
        <v>#N/A</v>
      </c>
    </row>
    <row r="260" spans="1:7" x14ac:dyDescent="0.2">
      <c r="A260" s="806">
        <v>40631</v>
      </c>
      <c r="B260" s="839" t="s">
        <v>441</v>
      </c>
      <c r="C260" s="840" t="s">
        <v>1910</v>
      </c>
      <c r="D260" s="808">
        <v>40600.18</v>
      </c>
      <c r="E260" s="841"/>
      <c r="F260" s="203" t="e">
        <f>VLOOKUP(A260,'Compos DER'!J:K,2,FALSE)</f>
        <v>#N/A</v>
      </c>
      <c r="G260" s="198" t="e">
        <f t="shared" si="4"/>
        <v>#N/A</v>
      </c>
    </row>
    <row r="261" spans="1:7" x14ac:dyDescent="0.2">
      <c r="A261" s="806">
        <v>40632</v>
      </c>
      <c r="B261" s="839" t="s">
        <v>442</v>
      </c>
      <c r="C261" s="840" t="s">
        <v>1910</v>
      </c>
      <c r="D261" s="808">
        <v>37497.81</v>
      </c>
      <c r="E261" s="841"/>
      <c r="F261" s="203" t="e">
        <f>VLOOKUP(A261,'Compos DER'!J:K,2,FALSE)</f>
        <v>#N/A</v>
      </c>
      <c r="G261" s="198" t="e">
        <f t="shared" ref="G261:G324" si="5">+F261/D261</f>
        <v>#N/A</v>
      </c>
    </row>
    <row r="262" spans="1:7" x14ac:dyDescent="0.2">
      <c r="A262" s="806">
        <v>40633</v>
      </c>
      <c r="B262" s="839" t="s">
        <v>443</v>
      </c>
      <c r="C262" s="840" t="s">
        <v>1910</v>
      </c>
      <c r="D262" s="808">
        <v>46179.85</v>
      </c>
      <c r="E262" s="841"/>
      <c r="F262" s="203" t="e">
        <f>VLOOKUP(A262,'Compos DER'!J:K,2,FALSE)</f>
        <v>#N/A</v>
      </c>
      <c r="G262" s="198" t="e">
        <f t="shared" si="5"/>
        <v>#N/A</v>
      </c>
    </row>
    <row r="263" spans="1:7" x14ac:dyDescent="0.2">
      <c r="A263" s="806">
        <v>40634</v>
      </c>
      <c r="B263" s="839" t="s">
        <v>444</v>
      </c>
      <c r="C263" s="840" t="s">
        <v>1910</v>
      </c>
      <c r="D263" s="808">
        <v>52276.98</v>
      </c>
      <c r="E263" s="841"/>
      <c r="F263" s="203" t="e">
        <f>VLOOKUP(A263,'Compos DER'!J:K,2,FALSE)</f>
        <v>#N/A</v>
      </c>
      <c r="G263" s="198" t="e">
        <f t="shared" si="5"/>
        <v>#N/A</v>
      </c>
    </row>
    <row r="264" spans="1:7" x14ac:dyDescent="0.2">
      <c r="A264" s="806">
        <v>40535</v>
      </c>
      <c r="B264" s="839" t="s">
        <v>445</v>
      </c>
      <c r="C264" s="840" t="s">
        <v>1910</v>
      </c>
      <c r="D264" s="808">
        <v>1341.67</v>
      </c>
      <c r="E264" s="839" t="s">
        <v>1209</v>
      </c>
      <c r="F264" s="203" t="e">
        <f>VLOOKUP(A264,'Compos DER'!J:K,2,FALSE)</f>
        <v>#N/A</v>
      </c>
      <c r="G264" s="198" t="e">
        <f t="shared" si="5"/>
        <v>#N/A</v>
      </c>
    </row>
    <row r="265" spans="1:7" x14ac:dyDescent="0.2">
      <c r="A265" s="806">
        <v>40536</v>
      </c>
      <c r="B265" s="839" t="s">
        <v>446</v>
      </c>
      <c r="C265" s="840" t="s">
        <v>1910</v>
      </c>
      <c r="D265" s="808">
        <v>2215.67</v>
      </c>
      <c r="E265" s="839" t="s">
        <v>1209</v>
      </c>
      <c r="F265" s="203" t="e">
        <f>VLOOKUP(A265,'Compos DER'!J:K,2,FALSE)</f>
        <v>#N/A</v>
      </c>
      <c r="G265" s="198" t="e">
        <f t="shared" si="5"/>
        <v>#N/A</v>
      </c>
    </row>
    <row r="266" spans="1:7" x14ac:dyDescent="0.2">
      <c r="A266" s="806">
        <v>40537</v>
      </c>
      <c r="B266" s="839" t="s">
        <v>447</v>
      </c>
      <c r="C266" s="840" t="s">
        <v>1910</v>
      </c>
      <c r="D266" s="808">
        <v>4151.6899999999996</v>
      </c>
      <c r="E266" s="839" t="s">
        <v>1209</v>
      </c>
      <c r="F266" s="203">
        <f>VLOOKUP(A266,'Compos DER'!J:K,2,FALSE)</f>
        <v>4514.21</v>
      </c>
      <c r="G266" s="198">
        <f t="shared" si="5"/>
        <v>1.0873186581849801</v>
      </c>
    </row>
    <row r="267" spans="1:7" x14ac:dyDescent="0.2">
      <c r="A267" s="806">
        <v>40538</v>
      </c>
      <c r="B267" s="839" t="s">
        <v>448</v>
      </c>
      <c r="C267" s="840" t="s">
        <v>1910</v>
      </c>
      <c r="D267" s="808">
        <v>5967.96</v>
      </c>
      <c r="E267" s="839" t="s">
        <v>1209</v>
      </c>
      <c r="F267" s="203">
        <f>VLOOKUP(A267,'Compos DER'!J:K,2,FALSE)</f>
        <v>6525.64</v>
      </c>
      <c r="G267" s="198">
        <f t="shared" si="5"/>
        <v>1.09344566652592</v>
      </c>
    </row>
    <row r="268" spans="1:7" x14ac:dyDescent="0.2">
      <c r="A268" s="806">
        <v>40539</v>
      </c>
      <c r="B268" s="839" t="s">
        <v>449</v>
      </c>
      <c r="C268" s="840" t="s">
        <v>1910</v>
      </c>
      <c r="D268" s="808">
        <v>10422.4</v>
      </c>
      <c r="E268" s="839" t="s">
        <v>1209</v>
      </c>
      <c r="F268" s="203" t="e">
        <f>VLOOKUP(A268,'Compos DER'!J:K,2,FALSE)</f>
        <v>#N/A</v>
      </c>
      <c r="G268" s="198" t="e">
        <f t="shared" si="5"/>
        <v>#N/A</v>
      </c>
    </row>
    <row r="269" spans="1:7" x14ac:dyDescent="0.2">
      <c r="A269" s="806">
        <v>40529</v>
      </c>
      <c r="B269" s="839" t="s">
        <v>450</v>
      </c>
      <c r="C269" s="840" t="s">
        <v>1910</v>
      </c>
      <c r="D269" s="807">
        <v>391.46</v>
      </c>
      <c r="E269" s="839" t="s">
        <v>1209</v>
      </c>
      <c r="F269" s="203" t="e">
        <f>VLOOKUP(A269,'Compos DER'!J:K,2,FALSE)</f>
        <v>#N/A</v>
      </c>
      <c r="G269" s="198" t="e">
        <f t="shared" si="5"/>
        <v>#N/A</v>
      </c>
    </row>
    <row r="270" spans="1:7" x14ac:dyDescent="0.2">
      <c r="A270" s="806">
        <v>40530</v>
      </c>
      <c r="B270" s="839" t="s">
        <v>451</v>
      </c>
      <c r="C270" s="840" t="s">
        <v>1910</v>
      </c>
      <c r="D270" s="808">
        <v>1186.74</v>
      </c>
      <c r="E270" s="839" t="s">
        <v>1209</v>
      </c>
      <c r="F270" s="203" t="e">
        <f>VLOOKUP(A270,'Compos DER'!J:K,2,FALSE)</f>
        <v>#N/A</v>
      </c>
      <c r="G270" s="198" t="e">
        <f t="shared" si="5"/>
        <v>#N/A</v>
      </c>
    </row>
    <row r="271" spans="1:7" x14ac:dyDescent="0.2">
      <c r="A271" s="806">
        <v>40531</v>
      </c>
      <c r="B271" s="839" t="s">
        <v>452</v>
      </c>
      <c r="C271" s="840" t="s">
        <v>1910</v>
      </c>
      <c r="D271" s="808">
        <v>1956.39</v>
      </c>
      <c r="E271" s="839" t="s">
        <v>1209</v>
      </c>
      <c r="F271" s="203">
        <f>VLOOKUP(A271,'Compos DER'!J:K,2,FALSE)</f>
        <v>2109.52</v>
      </c>
      <c r="G271" s="198">
        <f t="shared" si="5"/>
        <v>1.0782717147398999</v>
      </c>
    </row>
    <row r="272" spans="1:7" x14ac:dyDescent="0.2">
      <c r="A272" s="806">
        <v>40532</v>
      </c>
      <c r="B272" s="839" t="s">
        <v>453</v>
      </c>
      <c r="C272" s="840" t="s">
        <v>1910</v>
      </c>
      <c r="D272" s="808">
        <v>2988.69</v>
      </c>
      <c r="E272" s="839" t="s">
        <v>1209</v>
      </c>
      <c r="F272" s="203">
        <f>VLOOKUP(A272,'Compos DER'!J:K,2,FALSE)</f>
        <v>3242.44</v>
      </c>
      <c r="G272" s="198">
        <f t="shared" si="5"/>
        <v>1.0849034192238101</v>
      </c>
    </row>
    <row r="273" spans="1:7" x14ac:dyDescent="0.2">
      <c r="A273" s="806">
        <v>40533</v>
      </c>
      <c r="B273" s="839" t="s">
        <v>454</v>
      </c>
      <c r="C273" s="840" t="s">
        <v>1910</v>
      </c>
      <c r="D273" s="808">
        <v>4284.0600000000004</v>
      </c>
      <c r="E273" s="839" t="s">
        <v>1209</v>
      </c>
      <c r="F273" s="203" t="e">
        <f>VLOOKUP(A273,'Compos DER'!J:K,2,FALSE)</f>
        <v>#N/A</v>
      </c>
      <c r="G273" s="198" t="e">
        <f t="shared" si="5"/>
        <v>#N/A</v>
      </c>
    </row>
    <row r="274" spans="1:7" x14ac:dyDescent="0.2">
      <c r="A274" s="806">
        <v>40534</v>
      </c>
      <c r="B274" s="839" t="s">
        <v>455</v>
      </c>
      <c r="C274" s="840" t="s">
        <v>1910</v>
      </c>
      <c r="D274" s="808">
        <v>7669.44</v>
      </c>
      <c r="E274" s="839" t="s">
        <v>1209</v>
      </c>
      <c r="F274" s="203" t="e">
        <f>VLOOKUP(A274,'Compos DER'!J:K,2,FALSE)</f>
        <v>#N/A</v>
      </c>
      <c r="G274" s="198" t="e">
        <f t="shared" si="5"/>
        <v>#N/A</v>
      </c>
    </row>
    <row r="275" spans="1:7" x14ac:dyDescent="0.2">
      <c r="A275" s="806">
        <v>40540</v>
      </c>
      <c r="B275" s="839" t="s">
        <v>456</v>
      </c>
      <c r="C275" s="840" t="s">
        <v>1910</v>
      </c>
      <c r="D275" s="808">
        <v>1668.53</v>
      </c>
      <c r="E275" s="839" t="s">
        <v>1209</v>
      </c>
      <c r="F275" s="203" t="e">
        <f>VLOOKUP(A275,'Compos DER'!J:K,2,FALSE)</f>
        <v>#N/A</v>
      </c>
      <c r="G275" s="198" t="e">
        <f t="shared" si="5"/>
        <v>#N/A</v>
      </c>
    </row>
    <row r="276" spans="1:7" x14ac:dyDescent="0.2">
      <c r="A276" s="806">
        <v>40541</v>
      </c>
      <c r="B276" s="839" t="s">
        <v>457</v>
      </c>
      <c r="C276" s="840" t="s">
        <v>1910</v>
      </c>
      <c r="D276" s="808">
        <v>2711.22</v>
      </c>
      <c r="E276" s="839" t="s">
        <v>1209</v>
      </c>
      <c r="F276" s="203" t="e">
        <f>VLOOKUP(A276,'Compos DER'!J:K,2,FALSE)</f>
        <v>#N/A</v>
      </c>
      <c r="G276" s="198" t="e">
        <f t="shared" si="5"/>
        <v>#N/A</v>
      </c>
    </row>
    <row r="277" spans="1:7" x14ac:dyDescent="0.2">
      <c r="A277" s="806">
        <v>40542</v>
      </c>
      <c r="B277" s="839" t="s">
        <v>458</v>
      </c>
      <c r="C277" s="840" t="s">
        <v>1910</v>
      </c>
      <c r="D277" s="808">
        <v>5314.67</v>
      </c>
      <c r="E277" s="839" t="s">
        <v>1209</v>
      </c>
      <c r="F277" s="203" t="e">
        <f>VLOOKUP(A277,'Compos DER'!J:K,2,FALSE)</f>
        <v>#N/A</v>
      </c>
      <c r="G277" s="198" t="e">
        <f t="shared" si="5"/>
        <v>#N/A</v>
      </c>
    </row>
    <row r="278" spans="1:7" x14ac:dyDescent="0.2">
      <c r="A278" s="806">
        <v>40543</v>
      </c>
      <c r="B278" s="839" t="s">
        <v>459</v>
      </c>
      <c r="C278" s="840" t="s">
        <v>1910</v>
      </c>
      <c r="D278" s="808">
        <v>7650.93</v>
      </c>
      <c r="E278" s="839" t="s">
        <v>1209</v>
      </c>
      <c r="F278" s="203" t="e">
        <f>VLOOKUP(A278,'Compos DER'!J:K,2,FALSE)</f>
        <v>#N/A</v>
      </c>
      <c r="G278" s="198" t="e">
        <f t="shared" si="5"/>
        <v>#N/A</v>
      </c>
    </row>
    <row r="279" spans="1:7" x14ac:dyDescent="0.2">
      <c r="A279" s="806">
        <v>40544</v>
      </c>
      <c r="B279" s="839" t="s">
        <v>460</v>
      </c>
      <c r="C279" s="840" t="s">
        <v>1910</v>
      </c>
      <c r="D279" s="808">
        <v>13227.48</v>
      </c>
      <c r="E279" s="839" t="s">
        <v>1209</v>
      </c>
      <c r="F279" s="203" t="e">
        <f>VLOOKUP(A279,'Compos DER'!J:K,2,FALSE)</f>
        <v>#N/A</v>
      </c>
      <c r="G279" s="198" t="e">
        <f t="shared" si="5"/>
        <v>#N/A</v>
      </c>
    </row>
    <row r="280" spans="1:7" x14ac:dyDescent="0.2">
      <c r="A280" s="806">
        <v>40565</v>
      </c>
      <c r="B280" s="839" t="s">
        <v>461</v>
      </c>
      <c r="C280" s="840" t="s">
        <v>1910</v>
      </c>
      <c r="D280" s="808">
        <v>3258.12</v>
      </c>
      <c r="E280" s="841"/>
      <c r="F280" s="203" t="e">
        <f>VLOOKUP(A280,'Compos DER'!J:K,2,FALSE)</f>
        <v>#N/A</v>
      </c>
      <c r="G280" s="198" t="e">
        <f t="shared" si="5"/>
        <v>#N/A</v>
      </c>
    </row>
    <row r="281" spans="1:7" x14ac:dyDescent="0.2">
      <c r="A281" s="806">
        <v>40656</v>
      </c>
      <c r="B281" s="839" t="s">
        <v>462</v>
      </c>
      <c r="C281" s="840" t="s">
        <v>1910</v>
      </c>
      <c r="D281" s="807">
        <v>251.99</v>
      </c>
      <c r="E281" s="839" t="s">
        <v>1209</v>
      </c>
      <c r="F281" s="203" t="e">
        <f>VLOOKUP(A281,'Compos DER'!J:K,2,FALSE)</f>
        <v>#N/A</v>
      </c>
      <c r="G281" s="198" t="e">
        <f t="shared" si="5"/>
        <v>#N/A</v>
      </c>
    </row>
    <row r="282" spans="1:7" x14ac:dyDescent="0.2">
      <c r="A282" s="806">
        <v>41102</v>
      </c>
      <c r="B282" s="842" t="s">
        <v>2001</v>
      </c>
      <c r="C282" s="840" t="s">
        <v>1948</v>
      </c>
      <c r="D282" s="808">
        <v>1952.47</v>
      </c>
      <c r="E282" s="839" t="s">
        <v>1209</v>
      </c>
      <c r="F282" s="203">
        <f>VLOOKUP(A282,'Compos DER'!J:K,2,FALSE)</f>
        <v>2056.9</v>
      </c>
      <c r="G282" s="198">
        <f t="shared" si="5"/>
        <v>1.0534860970975199</v>
      </c>
    </row>
    <row r="283" spans="1:7" x14ac:dyDescent="0.2">
      <c r="A283" s="806">
        <v>41103</v>
      </c>
      <c r="B283" s="842" t="s">
        <v>2002</v>
      </c>
      <c r="C283" s="840" t="s">
        <v>1948</v>
      </c>
      <c r="D283" s="808">
        <v>2696.94</v>
      </c>
      <c r="E283" s="839" t="s">
        <v>1209</v>
      </c>
      <c r="F283" s="203">
        <f>VLOOKUP(A283,'Compos DER'!J:K,2,FALSE)</f>
        <v>2856.97</v>
      </c>
      <c r="G283" s="198">
        <f t="shared" si="5"/>
        <v>1.05933761967267</v>
      </c>
    </row>
    <row r="284" spans="1:7" x14ac:dyDescent="0.2">
      <c r="A284" s="806">
        <v>41104</v>
      </c>
      <c r="B284" s="842" t="s">
        <v>2003</v>
      </c>
      <c r="C284" s="840" t="s">
        <v>1948</v>
      </c>
      <c r="D284" s="808">
        <v>3849.38</v>
      </c>
      <c r="E284" s="839" t="s">
        <v>1209</v>
      </c>
      <c r="F284" s="203" t="e">
        <f>VLOOKUP(A284,'Compos DER'!J:K,2,FALSE)</f>
        <v>#N/A</v>
      </c>
      <c r="G284" s="198" t="e">
        <f t="shared" si="5"/>
        <v>#N/A</v>
      </c>
    </row>
    <row r="285" spans="1:7" x14ac:dyDescent="0.2">
      <c r="A285" s="806">
        <v>41155</v>
      </c>
      <c r="B285" s="842" t="s">
        <v>2004</v>
      </c>
      <c r="C285" s="840" t="s">
        <v>1948</v>
      </c>
      <c r="D285" s="808">
        <v>4932.13</v>
      </c>
      <c r="E285" s="839" t="s">
        <v>1209</v>
      </c>
      <c r="F285" s="203" t="e">
        <f>VLOOKUP(A285,'Compos DER'!J:K,2,FALSE)</f>
        <v>#N/A</v>
      </c>
      <c r="G285" s="198" t="e">
        <f t="shared" si="5"/>
        <v>#N/A</v>
      </c>
    </row>
    <row r="286" spans="1:7" x14ac:dyDescent="0.2">
      <c r="A286" s="806">
        <v>40635</v>
      </c>
      <c r="B286" s="842" t="s">
        <v>2005</v>
      </c>
      <c r="C286" s="840" t="s">
        <v>1948</v>
      </c>
      <c r="D286" s="808">
        <v>11449.02</v>
      </c>
      <c r="E286" s="839" t="s">
        <v>1209</v>
      </c>
      <c r="F286" s="203" t="e">
        <f>VLOOKUP(A286,'Compos DER'!J:K,2,FALSE)</f>
        <v>#N/A</v>
      </c>
      <c r="G286" s="198" t="e">
        <f t="shared" si="5"/>
        <v>#N/A</v>
      </c>
    </row>
    <row r="287" spans="1:7" x14ac:dyDescent="0.2">
      <c r="A287" s="806">
        <v>42230</v>
      </c>
      <c r="B287" s="842" t="s">
        <v>2006</v>
      </c>
      <c r="C287" s="840" t="s">
        <v>1948</v>
      </c>
      <c r="D287" s="808">
        <v>8224.74</v>
      </c>
      <c r="E287" s="839" t="s">
        <v>1209</v>
      </c>
      <c r="F287" s="203" t="e">
        <f>VLOOKUP(A287,'Compos DER'!J:K,2,FALSE)</f>
        <v>#N/A</v>
      </c>
      <c r="G287" s="198" t="e">
        <f t="shared" si="5"/>
        <v>#N/A</v>
      </c>
    </row>
    <row r="288" spans="1:7" x14ac:dyDescent="0.2">
      <c r="A288" s="806">
        <v>40658</v>
      </c>
      <c r="B288" s="839" t="s">
        <v>463</v>
      </c>
      <c r="C288" s="840" t="s">
        <v>1905</v>
      </c>
      <c r="D288" s="807">
        <v>5.79</v>
      </c>
      <c r="E288" s="841"/>
      <c r="F288" s="203">
        <f>VLOOKUP(A288,'Compos DER'!J:K,2,FALSE)</f>
        <v>5.8</v>
      </c>
      <c r="G288" s="198">
        <f t="shared" si="5"/>
        <v>1.00172711571675</v>
      </c>
    </row>
    <row r="289" spans="1:7" x14ac:dyDescent="0.2">
      <c r="A289" s="806">
        <v>41161</v>
      </c>
      <c r="B289" s="839" t="s">
        <v>464</v>
      </c>
      <c r="C289" s="840" t="s">
        <v>1910</v>
      </c>
      <c r="D289" s="808">
        <v>4363.7700000000004</v>
      </c>
      <c r="E289" s="841"/>
      <c r="F289" s="203" t="e">
        <f>VLOOKUP(A289,'Compos DER'!J:K,2,FALSE)</f>
        <v>#N/A</v>
      </c>
      <c r="G289" s="198" t="e">
        <f t="shared" si="5"/>
        <v>#N/A</v>
      </c>
    </row>
    <row r="290" spans="1:7" x14ac:dyDescent="0.2">
      <c r="A290" s="806">
        <v>40563</v>
      </c>
      <c r="B290" s="839" t="s">
        <v>1618</v>
      </c>
      <c r="C290" s="840" t="s">
        <v>1910</v>
      </c>
      <c r="D290" s="808">
        <v>4665.3999999999996</v>
      </c>
      <c r="E290" s="841"/>
      <c r="F290" s="203" t="e">
        <f>VLOOKUP(A290,'Compos DER'!J:K,2,FALSE)</f>
        <v>#N/A</v>
      </c>
      <c r="G290" s="198" t="e">
        <f t="shared" si="5"/>
        <v>#N/A</v>
      </c>
    </row>
    <row r="291" spans="1:7" x14ac:dyDescent="0.2">
      <c r="A291" s="806">
        <v>40564</v>
      </c>
      <c r="B291" s="839" t="s">
        <v>1619</v>
      </c>
      <c r="C291" s="840" t="s">
        <v>1910</v>
      </c>
      <c r="D291" s="808">
        <v>5730.8</v>
      </c>
      <c r="E291" s="841"/>
      <c r="F291" s="203" t="e">
        <f>VLOOKUP(A291,'Compos DER'!J:K,2,FALSE)</f>
        <v>#N/A</v>
      </c>
      <c r="G291" s="198" t="e">
        <f t="shared" si="5"/>
        <v>#N/A</v>
      </c>
    </row>
    <row r="292" spans="1:7" x14ac:dyDescent="0.2">
      <c r="A292" s="806">
        <v>41333</v>
      </c>
      <c r="B292" s="839" t="s">
        <v>1620</v>
      </c>
      <c r="C292" s="840" t="s">
        <v>1910</v>
      </c>
      <c r="D292" s="808">
        <v>2207.41</v>
      </c>
      <c r="E292" s="839" t="s">
        <v>1209</v>
      </c>
      <c r="F292" s="203" t="e">
        <f>VLOOKUP(A292,'Compos DER'!J:K,2,FALSE)</f>
        <v>#N/A</v>
      </c>
      <c r="G292" s="198" t="e">
        <f t="shared" si="5"/>
        <v>#N/A</v>
      </c>
    </row>
    <row r="293" spans="1:7" x14ac:dyDescent="0.2">
      <c r="A293" s="806">
        <v>40545</v>
      </c>
      <c r="B293" s="839" t="s">
        <v>1621</v>
      </c>
      <c r="C293" s="840" t="s">
        <v>1910</v>
      </c>
      <c r="D293" s="808">
        <v>2163.77</v>
      </c>
      <c r="E293" s="839" t="s">
        <v>1209</v>
      </c>
      <c r="F293" s="203" t="e">
        <f>VLOOKUP(A293,'Compos DER'!J:K,2,FALSE)</f>
        <v>#N/A</v>
      </c>
      <c r="G293" s="198" t="e">
        <f t="shared" si="5"/>
        <v>#N/A</v>
      </c>
    </row>
    <row r="294" spans="1:7" x14ac:dyDescent="0.2">
      <c r="A294" s="806">
        <v>40546</v>
      </c>
      <c r="B294" s="839" t="s">
        <v>1622</v>
      </c>
      <c r="C294" s="840" t="s">
        <v>1910</v>
      </c>
      <c r="D294" s="808">
        <v>3357.7</v>
      </c>
      <c r="E294" s="839" t="s">
        <v>1209</v>
      </c>
      <c r="F294" s="203" t="e">
        <f>VLOOKUP(A294,'Compos DER'!J:K,2,FALSE)</f>
        <v>#N/A</v>
      </c>
      <c r="G294" s="198" t="e">
        <f t="shared" si="5"/>
        <v>#N/A</v>
      </c>
    </row>
    <row r="295" spans="1:7" x14ac:dyDescent="0.2">
      <c r="A295" s="806">
        <v>40547</v>
      </c>
      <c r="B295" s="839" t="s">
        <v>1623</v>
      </c>
      <c r="C295" s="840" t="s">
        <v>1910</v>
      </c>
      <c r="D295" s="808">
        <v>4170.6899999999996</v>
      </c>
      <c r="E295" s="839" t="s">
        <v>1209</v>
      </c>
      <c r="F295" s="203">
        <f>VLOOKUP(A295,'Compos DER'!J:K,2,FALSE)</f>
        <v>4370.3900000000003</v>
      </c>
      <c r="G295" s="198">
        <f t="shared" si="5"/>
        <v>1.04788176536736</v>
      </c>
    </row>
    <row r="296" spans="1:7" x14ac:dyDescent="0.2">
      <c r="A296" s="806">
        <v>40548</v>
      </c>
      <c r="B296" s="839" t="s">
        <v>1624</v>
      </c>
      <c r="C296" s="840" t="s">
        <v>1910</v>
      </c>
      <c r="D296" s="808">
        <v>4954.5200000000004</v>
      </c>
      <c r="E296" s="839" t="s">
        <v>1209</v>
      </c>
      <c r="F296" s="203" t="e">
        <f>VLOOKUP(A296,'Compos DER'!J:K,2,FALSE)</f>
        <v>#N/A</v>
      </c>
      <c r="G296" s="198" t="e">
        <f t="shared" si="5"/>
        <v>#N/A</v>
      </c>
    </row>
    <row r="297" spans="1:7" x14ac:dyDescent="0.2">
      <c r="A297" s="806">
        <v>40549</v>
      </c>
      <c r="B297" s="839" t="s">
        <v>1625</v>
      </c>
      <c r="C297" s="840" t="s">
        <v>1910</v>
      </c>
      <c r="D297" s="808">
        <v>1434.27</v>
      </c>
      <c r="E297" s="841"/>
      <c r="F297" s="203" t="e">
        <f>VLOOKUP(A297,'Compos DER'!J:K,2,FALSE)</f>
        <v>#N/A</v>
      </c>
      <c r="G297" s="198" t="e">
        <f t="shared" si="5"/>
        <v>#N/A</v>
      </c>
    </row>
    <row r="298" spans="1:7" x14ac:dyDescent="0.2">
      <c r="A298" s="806">
        <v>40550</v>
      </c>
      <c r="B298" s="839" t="s">
        <v>1626</v>
      </c>
      <c r="C298" s="840" t="s">
        <v>1910</v>
      </c>
      <c r="D298" s="808">
        <v>1813.91</v>
      </c>
      <c r="E298" s="841"/>
      <c r="F298" s="203" t="e">
        <f>VLOOKUP(A298,'Compos DER'!J:K,2,FALSE)</f>
        <v>#N/A</v>
      </c>
      <c r="G298" s="198" t="e">
        <f t="shared" si="5"/>
        <v>#N/A</v>
      </c>
    </row>
    <row r="299" spans="1:7" x14ac:dyDescent="0.2">
      <c r="A299" s="806">
        <v>40551</v>
      </c>
      <c r="B299" s="839" t="s">
        <v>1627</v>
      </c>
      <c r="C299" s="840" t="s">
        <v>1910</v>
      </c>
      <c r="D299" s="808">
        <v>2284.8200000000002</v>
      </c>
      <c r="E299" s="841"/>
      <c r="F299" s="203" t="e">
        <f>VLOOKUP(A299,'Compos DER'!J:K,2,FALSE)</f>
        <v>#N/A</v>
      </c>
      <c r="G299" s="198" t="e">
        <f t="shared" si="5"/>
        <v>#N/A</v>
      </c>
    </row>
    <row r="300" spans="1:7" x14ac:dyDescent="0.2">
      <c r="A300" s="806">
        <v>40552</v>
      </c>
      <c r="B300" s="839" t="s">
        <v>1628</v>
      </c>
      <c r="C300" s="840" t="s">
        <v>1910</v>
      </c>
      <c r="D300" s="808">
        <v>3648.48</v>
      </c>
      <c r="E300" s="841"/>
      <c r="F300" s="203" t="e">
        <f>VLOOKUP(A300,'Compos DER'!J:K,2,FALSE)</f>
        <v>#N/A</v>
      </c>
      <c r="G300" s="198" t="e">
        <f t="shared" si="5"/>
        <v>#N/A</v>
      </c>
    </row>
    <row r="301" spans="1:7" x14ac:dyDescent="0.2">
      <c r="A301" s="806">
        <v>41320</v>
      </c>
      <c r="B301" s="839" t="s">
        <v>465</v>
      </c>
      <c r="C301" s="840" t="s">
        <v>1910</v>
      </c>
      <c r="D301" s="808">
        <v>8080.28</v>
      </c>
      <c r="E301" s="839" t="s">
        <v>1209</v>
      </c>
      <c r="F301" s="203" t="e">
        <f>VLOOKUP(A301,'Compos DER'!J:K,2,FALSE)</f>
        <v>#N/A</v>
      </c>
      <c r="G301" s="198" t="e">
        <f t="shared" si="5"/>
        <v>#N/A</v>
      </c>
    </row>
    <row r="302" spans="1:7" x14ac:dyDescent="0.2">
      <c r="A302" s="806">
        <v>41184</v>
      </c>
      <c r="B302" s="839" t="s">
        <v>466</v>
      </c>
      <c r="C302" s="840" t="s">
        <v>1948</v>
      </c>
      <c r="D302" s="808">
        <v>1301.6600000000001</v>
      </c>
      <c r="E302" s="841"/>
      <c r="F302" s="203" t="e">
        <f>VLOOKUP(A302,'Compos DER'!J:K,2,FALSE)</f>
        <v>#N/A</v>
      </c>
      <c r="G302" s="198" t="e">
        <f t="shared" si="5"/>
        <v>#N/A</v>
      </c>
    </row>
    <row r="303" spans="1:7" x14ac:dyDescent="0.2">
      <c r="A303" s="806">
        <v>41338</v>
      </c>
      <c r="B303" s="839" t="s">
        <v>467</v>
      </c>
      <c r="C303" s="840" t="s">
        <v>1910</v>
      </c>
      <c r="D303" s="807">
        <v>599.89</v>
      </c>
      <c r="E303" s="841"/>
      <c r="F303" s="203" t="e">
        <f>VLOOKUP(A303,'Compos DER'!J:K,2,FALSE)</f>
        <v>#N/A</v>
      </c>
      <c r="G303" s="198" t="e">
        <f t="shared" si="5"/>
        <v>#N/A</v>
      </c>
    </row>
    <row r="304" spans="1:7" x14ac:dyDescent="0.2">
      <c r="A304" s="806">
        <v>40561</v>
      </c>
      <c r="B304" s="839" t="s">
        <v>468</v>
      </c>
      <c r="C304" s="840" t="s">
        <v>1910</v>
      </c>
      <c r="D304" s="807">
        <v>738.84</v>
      </c>
      <c r="E304" s="839" t="s">
        <v>1209</v>
      </c>
      <c r="F304" s="203" t="e">
        <f>VLOOKUP(A304,'Compos DER'!J:K,2,FALSE)</f>
        <v>#N/A</v>
      </c>
      <c r="G304" s="198" t="e">
        <f t="shared" si="5"/>
        <v>#N/A</v>
      </c>
    </row>
    <row r="305" spans="1:7" x14ac:dyDescent="0.2">
      <c r="A305" s="806">
        <v>40672</v>
      </c>
      <c r="B305" s="839" t="s">
        <v>469</v>
      </c>
      <c r="C305" s="840" t="s">
        <v>1948</v>
      </c>
      <c r="D305" s="807">
        <v>685.8</v>
      </c>
      <c r="E305" s="839" t="s">
        <v>1209</v>
      </c>
      <c r="F305" s="203">
        <f>VLOOKUP(A305,'Compos DER'!J:K,2,FALSE)</f>
        <v>711.29</v>
      </c>
      <c r="G305" s="198">
        <f t="shared" si="5"/>
        <v>1.03716827063284</v>
      </c>
    </row>
    <row r="306" spans="1:7" x14ac:dyDescent="0.2">
      <c r="A306" s="806">
        <v>40703</v>
      </c>
      <c r="B306" s="839" t="s">
        <v>470</v>
      </c>
      <c r="C306" s="840" t="s">
        <v>1948</v>
      </c>
      <c r="D306" s="807">
        <v>208.53</v>
      </c>
      <c r="E306" s="841"/>
      <c r="F306" s="203" t="e">
        <f>VLOOKUP(A306,'Compos DER'!J:K,2,FALSE)</f>
        <v>#N/A</v>
      </c>
      <c r="G306" s="198" t="e">
        <f t="shared" si="5"/>
        <v>#N/A</v>
      </c>
    </row>
    <row r="307" spans="1:7" x14ac:dyDescent="0.2">
      <c r="A307" s="806">
        <v>40671</v>
      </c>
      <c r="B307" s="839" t="s">
        <v>471</v>
      </c>
      <c r="C307" s="840" t="s">
        <v>1948</v>
      </c>
      <c r="D307" s="807">
        <v>265.19</v>
      </c>
      <c r="E307" s="841"/>
      <c r="F307" s="203" t="e">
        <f>VLOOKUP(A307,'Compos DER'!J:K,2,FALSE)</f>
        <v>#N/A</v>
      </c>
      <c r="G307" s="198" t="e">
        <f t="shared" si="5"/>
        <v>#N/A</v>
      </c>
    </row>
    <row r="308" spans="1:7" x14ac:dyDescent="0.2">
      <c r="A308" s="806">
        <v>41016</v>
      </c>
      <c r="B308" s="839" t="s">
        <v>472</v>
      </c>
      <c r="C308" s="840" t="s">
        <v>1948</v>
      </c>
      <c r="D308" s="807">
        <v>195.81</v>
      </c>
      <c r="E308" s="839" t="s">
        <v>1209</v>
      </c>
      <c r="F308" s="203" t="e">
        <f>VLOOKUP(A308,'Compos DER'!J:K,2,FALSE)</f>
        <v>#N/A</v>
      </c>
      <c r="G308" s="198" t="e">
        <f t="shared" si="5"/>
        <v>#N/A</v>
      </c>
    </row>
    <row r="309" spans="1:7" x14ac:dyDescent="0.2">
      <c r="A309" s="806">
        <v>40952</v>
      </c>
      <c r="B309" s="839" t="s">
        <v>1629</v>
      </c>
      <c r="C309" s="840" t="s">
        <v>1905</v>
      </c>
      <c r="D309" s="807">
        <v>36.229999999999997</v>
      </c>
      <c r="E309" s="841"/>
      <c r="F309" s="203" t="e">
        <f>VLOOKUP(A309,'Compos DER'!J:K,2,FALSE)</f>
        <v>#N/A</v>
      </c>
      <c r="G309" s="198" t="e">
        <f t="shared" si="5"/>
        <v>#N/A</v>
      </c>
    </row>
    <row r="310" spans="1:7" x14ac:dyDescent="0.2">
      <c r="A310" s="806">
        <v>40953</v>
      </c>
      <c r="B310" s="839" t="s">
        <v>473</v>
      </c>
      <c r="C310" s="840" t="s">
        <v>1948</v>
      </c>
      <c r="D310" s="807">
        <v>82.98</v>
      </c>
      <c r="E310" s="839" t="s">
        <v>1209</v>
      </c>
      <c r="F310" s="203" t="e">
        <f>VLOOKUP(A310,'Compos DER'!J:K,2,FALSE)</f>
        <v>#N/A</v>
      </c>
      <c r="G310" s="198" t="e">
        <f t="shared" si="5"/>
        <v>#N/A</v>
      </c>
    </row>
    <row r="311" spans="1:7" x14ac:dyDescent="0.2">
      <c r="A311" s="806">
        <v>40708</v>
      </c>
      <c r="B311" s="842" t="s">
        <v>2007</v>
      </c>
      <c r="C311" s="840" t="s">
        <v>1905</v>
      </c>
      <c r="D311" s="807">
        <v>85.36</v>
      </c>
      <c r="E311" s="843"/>
      <c r="F311" s="203" t="e">
        <f>VLOOKUP(A311,'Compos DER'!J:K,2,FALSE)</f>
        <v>#N/A</v>
      </c>
      <c r="G311" s="198" t="e">
        <f t="shared" si="5"/>
        <v>#N/A</v>
      </c>
    </row>
    <row r="312" spans="1:7" x14ac:dyDescent="0.2">
      <c r="A312" s="806">
        <v>40377</v>
      </c>
      <c r="B312" s="839" t="s">
        <v>474</v>
      </c>
      <c r="C312" s="840" t="s">
        <v>1905</v>
      </c>
      <c r="D312" s="807">
        <v>5.72</v>
      </c>
      <c r="E312" s="841"/>
      <c r="F312" s="203" t="e">
        <f>VLOOKUP(A312,'Compos DER'!J:K,2,FALSE)</f>
        <v>#N/A</v>
      </c>
      <c r="G312" s="198" t="e">
        <f t="shared" si="5"/>
        <v>#N/A</v>
      </c>
    </row>
    <row r="313" spans="1:7" x14ac:dyDescent="0.2">
      <c r="A313" s="806">
        <v>40378</v>
      </c>
      <c r="B313" s="839" t="s">
        <v>475</v>
      </c>
      <c r="C313" s="840" t="s">
        <v>1905</v>
      </c>
      <c r="D313" s="807">
        <v>9.35</v>
      </c>
      <c r="E313" s="841"/>
      <c r="F313" s="203" t="e">
        <f>VLOOKUP(A313,'Compos DER'!J:K,2,FALSE)</f>
        <v>#N/A</v>
      </c>
      <c r="G313" s="198" t="e">
        <f t="shared" si="5"/>
        <v>#N/A</v>
      </c>
    </row>
    <row r="314" spans="1:7" x14ac:dyDescent="0.2">
      <c r="A314" s="806">
        <v>41389</v>
      </c>
      <c r="B314" s="839" t="s">
        <v>476</v>
      </c>
      <c r="C314" s="840" t="s">
        <v>1906</v>
      </c>
      <c r="D314" s="807">
        <v>4.58</v>
      </c>
      <c r="E314" s="841"/>
      <c r="F314" s="203" t="e">
        <f>VLOOKUP(A314,'Compos DER'!J:K,2,FALSE)</f>
        <v>#N/A</v>
      </c>
      <c r="G314" s="198" t="e">
        <f t="shared" si="5"/>
        <v>#N/A</v>
      </c>
    </row>
    <row r="315" spans="1:7" x14ac:dyDescent="0.2">
      <c r="A315" s="806">
        <v>40715</v>
      </c>
      <c r="B315" s="842" t="s">
        <v>2008</v>
      </c>
      <c r="C315" s="840" t="s">
        <v>1906</v>
      </c>
      <c r="D315" s="807">
        <v>83.78</v>
      </c>
      <c r="E315" s="839" t="s">
        <v>1209</v>
      </c>
      <c r="F315" s="203" t="e">
        <f>VLOOKUP(A315,'Compos DER'!J:K,2,FALSE)</f>
        <v>#N/A</v>
      </c>
      <c r="G315" s="198" t="e">
        <f t="shared" si="5"/>
        <v>#N/A</v>
      </c>
    </row>
    <row r="316" spans="1:7" x14ac:dyDescent="0.2">
      <c r="A316" s="806">
        <v>40716</v>
      </c>
      <c r="B316" s="842" t="s">
        <v>2009</v>
      </c>
      <c r="C316" s="840" t="s">
        <v>1906</v>
      </c>
      <c r="D316" s="807">
        <v>91.13</v>
      </c>
      <c r="E316" s="839" t="s">
        <v>1209</v>
      </c>
      <c r="F316" s="203" t="e">
        <f>VLOOKUP(A316,'Compos DER'!J:K,2,FALSE)</f>
        <v>#N/A</v>
      </c>
      <c r="G316" s="198" t="e">
        <f t="shared" si="5"/>
        <v>#N/A</v>
      </c>
    </row>
    <row r="317" spans="1:7" x14ac:dyDescent="0.2">
      <c r="A317" s="806">
        <v>40717</v>
      </c>
      <c r="B317" s="842" t="s">
        <v>2010</v>
      </c>
      <c r="C317" s="840" t="s">
        <v>1906</v>
      </c>
      <c r="D317" s="807">
        <v>92.65</v>
      </c>
      <c r="E317" s="839" t="s">
        <v>1209</v>
      </c>
      <c r="F317" s="203" t="e">
        <f>VLOOKUP(A317,'Compos DER'!J:K,2,FALSE)</f>
        <v>#N/A</v>
      </c>
      <c r="G317" s="198" t="e">
        <f t="shared" si="5"/>
        <v>#N/A</v>
      </c>
    </row>
    <row r="318" spans="1:7" x14ac:dyDescent="0.2">
      <c r="A318" s="806">
        <v>40718</v>
      </c>
      <c r="B318" s="842" t="s">
        <v>2011</v>
      </c>
      <c r="C318" s="840" t="s">
        <v>1906</v>
      </c>
      <c r="D318" s="807">
        <v>95.48</v>
      </c>
      <c r="E318" s="839" t="s">
        <v>1209</v>
      </c>
      <c r="F318" s="203" t="e">
        <f>VLOOKUP(A318,'Compos DER'!J:K,2,FALSE)</f>
        <v>#N/A</v>
      </c>
      <c r="G318" s="198" t="e">
        <f t="shared" si="5"/>
        <v>#N/A</v>
      </c>
    </row>
    <row r="319" spans="1:7" x14ac:dyDescent="0.2">
      <c r="A319" s="806">
        <v>40652</v>
      </c>
      <c r="B319" s="839" t="s">
        <v>2012</v>
      </c>
      <c r="C319" s="840" t="s">
        <v>1948</v>
      </c>
      <c r="D319" s="807">
        <v>381.88</v>
      </c>
      <c r="E319" s="839" t="s">
        <v>1209</v>
      </c>
      <c r="F319" s="203" t="e">
        <f>VLOOKUP(A319,'Compos DER'!J:K,2,FALSE)</f>
        <v>#N/A</v>
      </c>
      <c r="G319" s="198" t="e">
        <f t="shared" si="5"/>
        <v>#N/A</v>
      </c>
    </row>
    <row r="320" spans="1:7" ht="25.5" x14ac:dyDescent="0.2">
      <c r="A320" s="806">
        <v>41090</v>
      </c>
      <c r="B320" s="842" t="s">
        <v>2013</v>
      </c>
      <c r="C320" s="840" t="s">
        <v>1906</v>
      </c>
      <c r="D320" s="807">
        <v>892.99</v>
      </c>
      <c r="E320" s="843"/>
      <c r="F320" s="203" t="e">
        <f>VLOOKUP(A320,'Compos DER'!J:K,2,FALSE)</f>
        <v>#N/A</v>
      </c>
      <c r="G320" s="198" t="e">
        <f t="shared" si="5"/>
        <v>#N/A</v>
      </c>
    </row>
    <row r="321" spans="1:7" x14ac:dyDescent="0.2">
      <c r="A321" s="806">
        <v>40350</v>
      </c>
      <c r="B321" s="839" t="s">
        <v>477</v>
      </c>
      <c r="C321" s="840" t="s">
        <v>1906</v>
      </c>
      <c r="D321" s="807">
        <v>402.46</v>
      </c>
      <c r="E321" s="839" t="s">
        <v>1209</v>
      </c>
      <c r="F321" s="203" t="e">
        <f>VLOOKUP(A321,'Compos DER'!J:K,2,FALSE)</f>
        <v>#N/A</v>
      </c>
      <c r="G321" s="198" t="e">
        <f t="shared" si="5"/>
        <v>#N/A</v>
      </c>
    </row>
    <row r="322" spans="1:7" x14ac:dyDescent="0.2">
      <c r="A322" s="806">
        <v>40351</v>
      </c>
      <c r="B322" s="839" t="s">
        <v>180</v>
      </c>
      <c r="C322" s="840" t="s">
        <v>1906</v>
      </c>
      <c r="D322" s="807">
        <v>430.54</v>
      </c>
      <c r="E322" s="839" t="s">
        <v>1209</v>
      </c>
      <c r="F322" s="203">
        <f>VLOOKUP(A322,'Compos DER'!J:K,2,FALSE)</f>
        <v>499.47</v>
      </c>
      <c r="G322" s="198">
        <f t="shared" si="5"/>
        <v>1.1601012681748499</v>
      </c>
    </row>
    <row r="323" spans="1:7" x14ac:dyDescent="0.2">
      <c r="A323" s="806">
        <v>40353</v>
      </c>
      <c r="B323" s="839" t="s">
        <v>478</v>
      </c>
      <c r="C323" s="840" t="s">
        <v>1906</v>
      </c>
      <c r="D323" s="807">
        <v>444.51</v>
      </c>
      <c r="E323" s="839" t="s">
        <v>1209</v>
      </c>
      <c r="F323" s="203" t="e">
        <f>VLOOKUP(A323,'Compos DER'!J:K,2,FALSE)</f>
        <v>#N/A</v>
      </c>
      <c r="G323" s="198" t="e">
        <f t="shared" si="5"/>
        <v>#N/A</v>
      </c>
    </row>
    <row r="324" spans="1:7" x14ac:dyDescent="0.2">
      <c r="A324" s="806">
        <v>40349</v>
      </c>
      <c r="B324" s="839" t="s">
        <v>479</v>
      </c>
      <c r="C324" s="840" t="s">
        <v>1906</v>
      </c>
      <c r="D324" s="807">
        <v>444</v>
      </c>
      <c r="E324" s="839" t="s">
        <v>1209</v>
      </c>
      <c r="F324" s="203">
        <f>VLOOKUP(A324,'Compos DER'!J:K,2,FALSE)</f>
        <v>522.45000000000005</v>
      </c>
      <c r="G324" s="198">
        <f t="shared" si="5"/>
        <v>1.17668918918919</v>
      </c>
    </row>
    <row r="325" spans="1:7" x14ac:dyDescent="0.2">
      <c r="A325" s="806">
        <v>40358</v>
      </c>
      <c r="B325" s="839" t="s">
        <v>181</v>
      </c>
      <c r="C325" s="840" t="s">
        <v>1906</v>
      </c>
      <c r="D325" s="807">
        <v>569.97</v>
      </c>
      <c r="E325" s="839" t="s">
        <v>1209</v>
      </c>
      <c r="F325" s="203">
        <f>VLOOKUP(A325,'Compos DER'!J:K,2,FALSE)</f>
        <v>645.22</v>
      </c>
      <c r="G325" s="198">
        <f t="shared" ref="G325:G388" si="6">+F325/D325</f>
        <v>1.1320244925171501</v>
      </c>
    </row>
    <row r="326" spans="1:7" x14ac:dyDescent="0.2">
      <c r="A326" s="806">
        <v>40361</v>
      </c>
      <c r="B326" s="839" t="s">
        <v>1630</v>
      </c>
      <c r="C326" s="840" t="s">
        <v>1906</v>
      </c>
      <c r="D326" s="807">
        <v>594.4</v>
      </c>
      <c r="E326" s="839" t="s">
        <v>1209</v>
      </c>
      <c r="F326" s="203" t="e">
        <f>VLOOKUP(A326,'Compos DER'!J:K,2,FALSE)</f>
        <v>#N/A</v>
      </c>
      <c r="G326" s="198" t="e">
        <f t="shared" si="6"/>
        <v>#N/A</v>
      </c>
    </row>
    <row r="327" spans="1:7" x14ac:dyDescent="0.2">
      <c r="A327" s="806">
        <v>40360</v>
      </c>
      <c r="B327" s="839" t="s">
        <v>1631</v>
      </c>
      <c r="C327" s="840" t="s">
        <v>1906</v>
      </c>
      <c r="D327" s="807">
        <v>589.92999999999995</v>
      </c>
      <c r="E327" s="839" t="s">
        <v>1209</v>
      </c>
      <c r="F327" s="203">
        <f>VLOOKUP(A327,'Compos DER'!J:K,2,FALSE)</f>
        <v>666.06</v>
      </c>
      <c r="G327" s="198">
        <f t="shared" si="6"/>
        <v>1.1290492092282101</v>
      </c>
    </row>
    <row r="328" spans="1:7" x14ac:dyDescent="0.2">
      <c r="A328" s="806">
        <v>40363</v>
      </c>
      <c r="B328" s="839" t="s">
        <v>1632</v>
      </c>
      <c r="C328" s="840" t="s">
        <v>1906</v>
      </c>
      <c r="D328" s="807">
        <v>616.13</v>
      </c>
      <c r="E328" s="839" t="s">
        <v>1209</v>
      </c>
      <c r="F328" s="203" t="e">
        <f>VLOOKUP(A328,'Compos DER'!J:K,2,FALSE)</f>
        <v>#N/A</v>
      </c>
      <c r="G328" s="198" t="e">
        <f t="shared" si="6"/>
        <v>#N/A</v>
      </c>
    </row>
    <row r="329" spans="1:7" x14ac:dyDescent="0.2">
      <c r="A329" s="806">
        <v>40362</v>
      </c>
      <c r="B329" s="842" t="s">
        <v>2014</v>
      </c>
      <c r="C329" s="840" t="s">
        <v>1906</v>
      </c>
      <c r="D329" s="807">
        <v>611.13</v>
      </c>
      <c r="E329" s="839" t="s">
        <v>1209</v>
      </c>
      <c r="F329" s="203" t="e">
        <f>VLOOKUP(A329,'Compos DER'!J:K,2,FALSE)</f>
        <v>#N/A</v>
      </c>
      <c r="G329" s="198" t="e">
        <f t="shared" si="6"/>
        <v>#N/A</v>
      </c>
    </row>
    <row r="330" spans="1:7" x14ac:dyDescent="0.2">
      <c r="A330" s="806">
        <v>40368</v>
      </c>
      <c r="B330" s="839" t="s">
        <v>1633</v>
      </c>
      <c r="C330" s="840" t="s">
        <v>1906</v>
      </c>
      <c r="D330" s="807">
        <v>814.36</v>
      </c>
      <c r="E330" s="839" t="s">
        <v>1209</v>
      </c>
      <c r="F330" s="203" t="e">
        <f>VLOOKUP(A330,'Compos DER'!J:K,2,FALSE)</f>
        <v>#N/A</v>
      </c>
      <c r="G330" s="198" t="e">
        <f t="shared" si="6"/>
        <v>#N/A</v>
      </c>
    </row>
    <row r="331" spans="1:7" x14ac:dyDescent="0.2">
      <c r="A331" s="806">
        <v>40365</v>
      </c>
      <c r="B331" s="839" t="s">
        <v>1634</v>
      </c>
      <c r="C331" s="840" t="s">
        <v>1906</v>
      </c>
      <c r="D331" s="807">
        <v>636.20000000000005</v>
      </c>
      <c r="E331" s="839" t="s">
        <v>1209</v>
      </c>
      <c r="F331" s="203" t="e">
        <f>VLOOKUP(A331,'Compos DER'!J:K,2,FALSE)</f>
        <v>#N/A</v>
      </c>
      <c r="G331" s="198" t="e">
        <f t="shared" si="6"/>
        <v>#N/A</v>
      </c>
    </row>
    <row r="332" spans="1:7" x14ac:dyDescent="0.2">
      <c r="A332" s="806">
        <v>40364</v>
      </c>
      <c r="B332" s="839" t="s">
        <v>1635</v>
      </c>
      <c r="C332" s="840" t="s">
        <v>1906</v>
      </c>
      <c r="D332" s="807">
        <v>630.70000000000005</v>
      </c>
      <c r="E332" s="839" t="s">
        <v>1209</v>
      </c>
      <c r="F332" s="203">
        <f>VLOOKUP(A332,'Compos DER'!J:K,2,FALSE)</f>
        <v>708.62</v>
      </c>
      <c r="G332" s="198">
        <f t="shared" si="6"/>
        <v>1.12354526716347</v>
      </c>
    </row>
    <row r="333" spans="1:7" x14ac:dyDescent="0.2">
      <c r="A333" s="806">
        <v>40369</v>
      </c>
      <c r="B333" s="839" t="s">
        <v>1636</v>
      </c>
      <c r="C333" s="840" t="s">
        <v>1906</v>
      </c>
      <c r="D333" s="807">
        <v>856.01</v>
      </c>
      <c r="E333" s="839" t="s">
        <v>1209</v>
      </c>
      <c r="F333" s="203">
        <f>VLOOKUP(A333,'Compos DER'!J:K,2,FALSE)</f>
        <v>935.57</v>
      </c>
      <c r="G333" s="198">
        <f t="shared" si="6"/>
        <v>1.09294283945281</v>
      </c>
    </row>
    <row r="334" spans="1:7" x14ac:dyDescent="0.2">
      <c r="A334" s="806">
        <v>40371</v>
      </c>
      <c r="B334" s="839" t="s">
        <v>1637</v>
      </c>
      <c r="C334" s="840" t="s">
        <v>1906</v>
      </c>
      <c r="D334" s="808">
        <v>1098.54</v>
      </c>
      <c r="E334" s="839" t="s">
        <v>1209</v>
      </c>
      <c r="F334" s="203" t="e">
        <f>VLOOKUP(A334,'Compos DER'!J:K,2,FALSE)</f>
        <v>#N/A</v>
      </c>
      <c r="G334" s="198" t="e">
        <f t="shared" si="6"/>
        <v>#N/A</v>
      </c>
    </row>
    <row r="335" spans="1:7" x14ac:dyDescent="0.2">
      <c r="A335" s="806">
        <v>40467</v>
      </c>
      <c r="B335" s="842" t="s">
        <v>2015</v>
      </c>
      <c r="C335" s="840" t="s">
        <v>1948</v>
      </c>
      <c r="D335" s="807">
        <v>298.13</v>
      </c>
      <c r="E335" s="839" t="s">
        <v>1209</v>
      </c>
      <c r="F335" s="203" t="e">
        <f>VLOOKUP(A335,'Compos DER'!J:K,2,FALSE)</f>
        <v>#N/A</v>
      </c>
      <c r="G335" s="198" t="e">
        <f t="shared" si="6"/>
        <v>#N/A</v>
      </c>
    </row>
    <row r="336" spans="1:7" x14ac:dyDescent="0.2">
      <c r="A336" s="806">
        <v>40468</v>
      </c>
      <c r="B336" s="842" t="s">
        <v>2016</v>
      </c>
      <c r="C336" s="840" t="s">
        <v>1948</v>
      </c>
      <c r="D336" s="807">
        <v>321.29000000000002</v>
      </c>
      <c r="E336" s="839" t="s">
        <v>1209</v>
      </c>
      <c r="F336" s="203" t="e">
        <f>VLOOKUP(A336,'Compos DER'!J:K,2,FALSE)</f>
        <v>#N/A</v>
      </c>
      <c r="G336" s="198" t="e">
        <f t="shared" si="6"/>
        <v>#N/A</v>
      </c>
    </row>
    <row r="337" spans="1:7" x14ac:dyDescent="0.2">
      <c r="A337" s="806">
        <v>40469</v>
      </c>
      <c r="B337" s="842" t="s">
        <v>2017</v>
      </c>
      <c r="C337" s="840" t="s">
        <v>1948</v>
      </c>
      <c r="D337" s="807">
        <v>316.38</v>
      </c>
      <c r="E337" s="839" t="s">
        <v>1209</v>
      </c>
      <c r="F337" s="203" t="e">
        <f>VLOOKUP(A337,'Compos DER'!J:K,2,FALSE)</f>
        <v>#N/A</v>
      </c>
      <c r="G337" s="198" t="e">
        <f t="shared" si="6"/>
        <v>#N/A</v>
      </c>
    </row>
    <row r="338" spans="1:7" x14ac:dyDescent="0.2">
      <c r="A338" s="806">
        <v>40470</v>
      </c>
      <c r="B338" s="842" t="s">
        <v>2018</v>
      </c>
      <c r="C338" s="840" t="s">
        <v>1948</v>
      </c>
      <c r="D338" s="807">
        <v>354.42</v>
      </c>
      <c r="E338" s="839" t="s">
        <v>1209</v>
      </c>
      <c r="F338" s="203" t="e">
        <f>VLOOKUP(A338,'Compos DER'!J:K,2,FALSE)</f>
        <v>#N/A</v>
      </c>
      <c r="G338" s="198" t="e">
        <f t="shared" si="6"/>
        <v>#N/A</v>
      </c>
    </row>
    <row r="339" spans="1:7" x14ac:dyDescent="0.2">
      <c r="A339" s="806">
        <v>40471</v>
      </c>
      <c r="B339" s="842" t="s">
        <v>2019</v>
      </c>
      <c r="C339" s="840" t="s">
        <v>1948</v>
      </c>
      <c r="D339" s="807">
        <v>640.11</v>
      </c>
      <c r="E339" s="839" t="s">
        <v>1209</v>
      </c>
      <c r="F339" s="203" t="e">
        <f>VLOOKUP(A339,'Compos DER'!J:K,2,FALSE)</f>
        <v>#N/A</v>
      </c>
      <c r="G339" s="198" t="e">
        <f t="shared" si="6"/>
        <v>#N/A</v>
      </c>
    </row>
    <row r="340" spans="1:7" x14ac:dyDescent="0.2">
      <c r="A340" s="806">
        <v>40472</v>
      </c>
      <c r="B340" s="842" t="s">
        <v>2020</v>
      </c>
      <c r="C340" s="840" t="s">
        <v>1948</v>
      </c>
      <c r="D340" s="807">
        <v>670.5</v>
      </c>
      <c r="E340" s="839" t="s">
        <v>1209</v>
      </c>
      <c r="F340" s="203" t="e">
        <f>VLOOKUP(A340,'Compos DER'!J:K,2,FALSE)</f>
        <v>#N/A</v>
      </c>
      <c r="G340" s="198" t="e">
        <f t="shared" si="6"/>
        <v>#N/A</v>
      </c>
    </row>
    <row r="341" spans="1:7" x14ac:dyDescent="0.2">
      <c r="A341" s="806">
        <v>40473</v>
      </c>
      <c r="B341" s="842" t="s">
        <v>2021</v>
      </c>
      <c r="C341" s="840" t="s">
        <v>1948</v>
      </c>
      <c r="D341" s="807">
        <v>660.34</v>
      </c>
      <c r="E341" s="839" t="s">
        <v>1209</v>
      </c>
      <c r="F341" s="203" t="e">
        <f>VLOOKUP(A341,'Compos DER'!J:K,2,FALSE)</f>
        <v>#N/A</v>
      </c>
      <c r="G341" s="198" t="e">
        <f t="shared" si="6"/>
        <v>#N/A</v>
      </c>
    </row>
    <row r="342" spans="1:7" x14ac:dyDescent="0.2">
      <c r="A342" s="806">
        <v>40474</v>
      </c>
      <c r="B342" s="842" t="s">
        <v>2022</v>
      </c>
      <c r="C342" s="840" t="s">
        <v>1948</v>
      </c>
      <c r="D342" s="807">
        <v>732.75</v>
      </c>
      <c r="E342" s="839" t="s">
        <v>1209</v>
      </c>
      <c r="F342" s="203" t="e">
        <f>VLOOKUP(A342,'Compos DER'!J:K,2,FALSE)</f>
        <v>#N/A</v>
      </c>
      <c r="G342" s="198" t="e">
        <f t="shared" si="6"/>
        <v>#N/A</v>
      </c>
    </row>
    <row r="343" spans="1:7" x14ac:dyDescent="0.2">
      <c r="A343" s="806">
        <v>40475</v>
      </c>
      <c r="B343" s="842" t="s">
        <v>2023</v>
      </c>
      <c r="C343" s="840" t="s">
        <v>1948</v>
      </c>
      <c r="D343" s="807">
        <v>888.45</v>
      </c>
      <c r="E343" s="839" t="s">
        <v>1209</v>
      </c>
      <c r="F343" s="203" t="e">
        <f>VLOOKUP(A343,'Compos DER'!J:K,2,FALSE)</f>
        <v>#N/A</v>
      </c>
      <c r="G343" s="198" t="e">
        <f t="shared" si="6"/>
        <v>#N/A</v>
      </c>
    </row>
    <row r="344" spans="1:7" x14ac:dyDescent="0.2">
      <c r="A344" s="806">
        <v>40476</v>
      </c>
      <c r="B344" s="842" t="s">
        <v>2024</v>
      </c>
      <c r="C344" s="840" t="s">
        <v>1948</v>
      </c>
      <c r="D344" s="807">
        <v>906.26</v>
      </c>
      <c r="E344" s="839" t="s">
        <v>1209</v>
      </c>
      <c r="F344" s="203" t="e">
        <f>VLOOKUP(A344,'Compos DER'!J:K,2,FALSE)</f>
        <v>#N/A</v>
      </c>
      <c r="G344" s="198" t="e">
        <f t="shared" si="6"/>
        <v>#N/A</v>
      </c>
    </row>
    <row r="345" spans="1:7" x14ac:dyDescent="0.2">
      <c r="A345" s="806">
        <v>40477</v>
      </c>
      <c r="B345" s="842" t="s">
        <v>2025</v>
      </c>
      <c r="C345" s="840" t="s">
        <v>1948</v>
      </c>
      <c r="D345" s="807">
        <v>860.9</v>
      </c>
      <c r="E345" s="839" t="s">
        <v>1209</v>
      </c>
      <c r="F345" s="203" t="e">
        <f>VLOOKUP(A345,'Compos DER'!J:K,2,FALSE)</f>
        <v>#N/A</v>
      </c>
      <c r="G345" s="198" t="e">
        <f t="shared" si="6"/>
        <v>#N/A</v>
      </c>
    </row>
    <row r="346" spans="1:7" x14ac:dyDescent="0.2">
      <c r="A346" s="806">
        <v>40478</v>
      </c>
      <c r="B346" s="842" t="s">
        <v>2026</v>
      </c>
      <c r="C346" s="840" t="s">
        <v>1948</v>
      </c>
      <c r="D346" s="807">
        <v>1030.3699999999999</v>
      </c>
      <c r="E346" s="839" t="s">
        <v>1209</v>
      </c>
      <c r="F346" s="203">
        <f>VLOOKUP(A346,'Compos DER'!J:K,2,FALSE)</f>
        <v>1100.58</v>
      </c>
      <c r="G346" s="198">
        <f t="shared" si="6"/>
        <v>1.0681405708628899</v>
      </c>
    </row>
    <row r="347" spans="1:7" x14ac:dyDescent="0.2">
      <c r="A347" s="806">
        <v>40479</v>
      </c>
      <c r="B347" s="842" t="s">
        <v>2027</v>
      </c>
      <c r="C347" s="840" t="s">
        <v>1948</v>
      </c>
      <c r="D347" s="808">
        <v>1103.23</v>
      </c>
      <c r="E347" s="839" t="s">
        <v>1209</v>
      </c>
      <c r="F347" s="203" t="e">
        <f>VLOOKUP(A347,'Compos DER'!J:K,2,FALSE)</f>
        <v>#N/A</v>
      </c>
      <c r="G347" s="198" t="e">
        <f t="shared" si="6"/>
        <v>#N/A</v>
      </c>
    </row>
    <row r="348" spans="1:7" x14ac:dyDescent="0.2">
      <c r="A348" s="806">
        <v>40480</v>
      </c>
      <c r="B348" s="842" t="s">
        <v>2028</v>
      </c>
      <c r="C348" s="840" t="s">
        <v>1948</v>
      </c>
      <c r="D348" s="808">
        <v>1235.27</v>
      </c>
      <c r="E348" s="839" t="s">
        <v>1209</v>
      </c>
      <c r="F348" s="203" t="e">
        <f>VLOOKUP(A348,'Compos DER'!J:K,2,FALSE)</f>
        <v>#N/A</v>
      </c>
      <c r="G348" s="198" t="e">
        <f t="shared" si="6"/>
        <v>#N/A</v>
      </c>
    </row>
    <row r="349" spans="1:7" x14ac:dyDescent="0.2">
      <c r="A349" s="806">
        <v>40481</v>
      </c>
      <c r="B349" s="842" t="s">
        <v>2029</v>
      </c>
      <c r="C349" s="840" t="s">
        <v>1948</v>
      </c>
      <c r="D349" s="808">
        <v>1213.74</v>
      </c>
      <c r="E349" s="839" t="s">
        <v>1209</v>
      </c>
      <c r="F349" s="203" t="e">
        <f>VLOOKUP(A349,'Compos DER'!J:K,2,FALSE)</f>
        <v>#N/A</v>
      </c>
      <c r="G349" s="198" t="e">
        <f t="shared" si="6"/>
        <v>#N/A</v>
      </c>
    </row>
    <row r="350" spans="1:7" x14ac:dyDescent="0.2">
      <c r="A350" s="806">
        <v>40482</v>
      </c>
      <c r="B350" s="842" t="s">
        <v>2030</v>
      </c>
      <c r="C350" s="840" t="s">
        <v>1948</v>
      </c>
      <c r="D350" s="808">
        <v>1204.31</v>
      </c>
      <c r="E350" s="839" t="s">
        <v>1209</v>
      </c>
      <c r="F350" s="203" t="e">
        <f>VLOOKUP(A350,'Compos DER'!J:K,2,FALSE)</f>
        <v>#N/A</v>
      </c>
      <c r="G350" s="198" t="e">
        <f t="shared" si="6"/>
        <v>#N/A</v>
      </c>
    </row>
    <row r="351" spans="1:7" x14ac:dyDescent="0.2">
      <c r="A351" s="806">
        <v>40483</v>
      </c>
      <c r="B351" s="842" t="s">
        <v>2031</v>
      </c>
      <c r="C351" s="840" t="s">
        <v>1948</v>
      </c>
      <c r="D351" s="808">
        <v>1358.59</v>
      </c>
      <c r="E351" s="839" t="s">
        <v>1209</v>
      </c>
      <c r="F351" s="203">
        <f>VLOOKUP(A351,'Compos DER'!J:K,2,FALSE)</f>
        <v>1465.79</v>
      </c>
      <c r="G351" s="198">
        <f t="shared" si="6"/>
        <v>1.0789053356789</v>
      </c>
    </row>
    <row r="352" spans="1:7" x14ac:dyDescent="0.2">
      <c r="A352" s="806">
        <v>40484</v>
      </c>
      <c r="B352" s="842" t="s">
        <v>2032</v>
      </c>
      <c r="C352" s="840" t="s">
        <v>1948</v>
      </c>
      <c r="D352" s="808">
        <v>1504.33</v>
      </c>
      <c r="E352" s="839" t="s">
        <v>1209</v>
      </c>
      <c r="F352" s="203" t="e">
        <f>VLOOKUP(A352,'Compos DER'!J:K,2,FALSE)</f>
        <v>#N/A</v>
      </c>
      <c r="G352" s="198" t="e">
        <f t="shared" si="6"/>
        <v>#N/A</v>
      </c>
    </row>
    <row r="353" spans="1:7" x14ac:dyDescent="0.2">
      <c r="A353" s="806">
        <v>40485</v>
      </c>
      <c r="B353" s="842" t="s">
        <v>2033</v>
      </c>
      <c r="C353" s="840" t="s">
        <v>1948</v>
      </c>
      <c r="D353" s="808">
        <v>1675.52</v>
      </c>
      <c r="E353" s="839" t="s">
        <v>1209</v>
      </c>
      <c r="F353" s="203" t="e">
        <f>VLOOKUP(A353,'Compos DER'!J:K,2,FALSE)</f>
        <v>#N/A</v>
      </c>
      <c r="G353" s="198" t="e">
        <f t="shared" si="6"/>
        <v>#N/A</v>
      </c>
    </row>
    <row r="354" spans="1:7" x14ac:dyDescent="0.2">
      <c r="A354" s="806">
        <v>40486</v>
      </c>
      <c r="B354" s="842" t="s">
        <v>2034</v>
      </c>
      <c r="C354" s="840" t="s">
        <v>1948</v>
      </c>
      <c r="D354" s="808">
        <v>1706.89</v>
      </c>
      <c r="E354" s="839" t="s">
        <v>1209</v>
      </c>
      <c r="F354" s="203" t="e">
        <f>VLOOKUP(A354,'Compos DER'!J:K,2,FALSE)</f>
        <v>#N/A</v>
      </c>
      <c r="G354" s="198" t="e">
        <f t="shared" si="6"/>
        <v>#N/A</v>
      </c>
    </row>
    <row r="355" spans="1:7" x14ac:dyDescent="0.2">
      <c r="A355" s="806">
        <v>40487</v>
      </c>
      <c r="B355" s="842" t="s">
        <v>2035</v>
      </c>
      <c r="C355" s="840" t="s">
        <v>1948</v>
      </c>
      <c r="D355" s="808">
        <v>1662.72</v>
      </c>
      <c r="E355" s="839" t="s">
        <v>1209</v>
      </c>
      <c r="F355" s="203" t="e">
        <f>VLOOKUP(A355,'Compos DER'!J:K,2,FALSE)</f>
        <v>#N/A</v>
      </c>
      <c r="G355" s="198" t="e">
        <f t="shared" si="6"/>
        <v>#N/A</v>
      </c>
    </row>
    <row r="356" spans="1:7" x14ac:dyDescent="0.2">
      <c r="A356" s="806">
        <v>40488</v>
      </c>
      <c r="B356" s="842" t="s">
        <v>2036</v>
      </c>
      <c r="C356" s="840" t="s">
        <v>1948</v>
      </c>
      <c r="D356" s="808">
        <v>1940.95</v>
      </c>
      <c r="E356" s="839" t="s">
        <v>1209</v>
      </c>
      <c r="F356" s="203" t="e">
        <f>VLOOKUP(A356,'Compos DER'!J:K,2,FALSE)</f>
        <v>#N/A</v>
      </c>
      <c r="G356" s="198" t="e">
        <f t="shared" si="6"/>
        <v>#N/A</v>
      </c>
    </row>
    <row r="357" spans="1:7" x14ac:dyDescent="0.2">
      <c r="A357" s="806">
        <v>40489</v>
      </c>
      <c r="B357" s="842" t="s">
        <v>2037</v>
      </c>
      <c r="C357" s="840" t="s">
        <v>1948</v>
      </c>
      <c r="D357" s="808">
        <v>2046.93</v>
      </c>
      <c r="E357" s="839" t="s">
        <v>1209</v>
      </c>
      <c r="F357" s="203" t="e">
        <f>VLOOKUP(A357,'Compos DER'!J:K,2,FALSE)</f>
        <v>#N/A</v>
      </c>
      <c r="G357" s="198" t="e">
        <f t="shared" si="6"/>
        <v>#N/A</v>
      </c>
    </row>
    <row r="358" spans="1:7" x14ac:dyDescent="0.2">
      <c r="A358" s="806">
        <v>40417</v>
      </c>
      <c r="B358" s="839" t="s">
        <v>480</v>
      </c>
      <c r="C358" s="840" t="s">
        <v>1948</v>
      </c>
      <c r="D358" s="807">
        <v>101.75</v>
      </c>
      <c r="E358" s="839" t="s">
        <v>1209</v>
      </c>
      <c r="F358" s="203" t="e">
        <f>VLOOKUP(A358,'Compos DER'!J:K,2,FALSE)</f>
        <v>#N/A</v>
      </c>
      <c r="G358" s="198" t="e">
        <f t="shared" si="6"/>
        <v>#N/A</v>
      </c>
    </row>
    <row r="359" spans="1:7" x14ac:dyDescent="0.2">
      <c r="A359" s="806">
        <v>40418</v>
      </c>
      <c r="B359" s="839" t="s">
        <v>481</v>
      </c>
      <c r="C359" s="840" t="s">
        <v>1948</v>
      </c>
      <c r="D359" s="807">
        <v>100.2</v>
      </c>
      <c r="E359" s="839" t="s">
        <v>1209</v>
      </c>
      <c r="F359" s="203" t="e">
        <f>VLOOKUP(A359,'Compos DER'!J:K,2,FALSE)</f>
        <v>#N/A</v>
      </c>
      <c r="G359" s="198" t="e">
        <f t="shared" si="6"/>
        <v>#N/A</v>
      </c>
    </row>
    <row r="360" spans="1:7" x14ac:dyDescent="0.2">
      <c r="A360" s="806">
        <v>40419</v>
      </c>
      <c r="B360" s="839" t="s">
        <v>482</v>
      </c>
      <c r="C360" s="840" t="s">
        <v>1948</v>
      </c>
      <c r="D360" s="807">
        <v>125.76</v>
      </c>
      <c r="E360" s="839" t="s">
        <v>1209</v>
      </c>
      <c r="F360" s="203" t="e">
        <f>VLOOKUP(A360,'Compos DER'!J:K,2,FALSE)</f>
        <v>#N/A</v>
      </c>
      <c r="G360" s="198" t="e">
        <f t="shared" si="6"/>
        <v>#N/A</v>
      </c>
    </row>
    <row r="361" spans="1:7" x14ac:dyDescent="0.2">
      <c r="A361" s="806">
        <v>40420</v>
      </c>
      <c r="B361" s="839" t="s">
        <v>483</v>
      </c>
      <c r="C361" s="840" t="s">
        <v>1948</v>
      </c>
      <c r="D361" s="807">
        <v>127.04</v>
      </c>
      <c r="E361" s="839" t="s">
        <v>1209</v>
      </c>
      <c r="F361" s="203" t="e">
        <f>VLOOKUP(A361,'Compos DER'!J:K,2,FALSE)</f>
        <v>#N/A</v>
      </c>
      <c r="G361" s="198" t="e">
        <f t="shared" si="6"/>
        <v>#N/A</v>
      </c>
    </row>
    <row r="362" spans="1:7" x14ac:dyDescent="0.2">
      <c r="A362" s="806">
        <v>40422</v>
      </c>
      <c r="B362" s="839" t="s">
        <v>484</v>
      </c>
      <c r="C362" s="840" t="s">
        <v>1948</v>
      </c>
      <c r="D362" s="807">
        <v>167.9</v>
      </c>
      <c r="E362" s="839" t="s">
        <v>1209</v>
      </c>
      <c r="F362" s="203" t="e">
        <f>VLOOKUP(A362,'Compos DER'!J:K,2,FALSE)</f>
        <v>#N/A</v>
      </c>
      <c r="G362" s="198" t="e">
        <f t="shared" si="6"/>
        <v>#N/A</v>
      </c>
    </row>
    <row r="363" spans="1:7" x14ac:dyDescent="0.2">
      <c r="A363" s="806">
        <v>40423</v>
      </c>
      <c r="B363" s="839" t="s">
        <v>485</v>
      </c>
      <c r="C363" s="840" t="s">
        <v>1948</v>
      </c>
      <c r="D363" s="807">
        <v>173.28</v>
      </c>
      <c r="E363" s="839" t="s">
        <v>1209</v>
      </c>
      <c r="F363" s="203" t="e">
        <f>VLOOKUP(A363,'Compos DER'!J:K,2,FALSE)</f>
        <v>#N/A</v>
      </c>
      <c r="G363" s="198" t="e">
        <f t="shared" si="6"/>
        <v>#N/A</v>
      </c>
    </row>
    <row r="364" spans="1:7" x14ac:dyDescent="0.2">
      <c r="A364" s="806">
        <v>40426</v>
      </c>
      <c r="B364" s="839" t="s">
        <v>486</v>
      </c>
      <c r="C364" s="840" t="s">
        <v>1948</v>
      </c>
      <c r="D364" s="807">
        <v>259.36</v>
      </c>
      <c r="E364" s="839" t="s">
        <v>1209</v>
      </c>
      <c r="F364" s="203" t="e">
        <f>VLOOKUP(A364,'Compos DER'!J:K,2,FALSE)</f>
        <v>#N/A</v>
      </c>
      <c r="G364" s="198" t="e">
        <f t="shared" si="6"/>
        <v>#N/A</v>
      </c>
    </row>
    <row r="365" spans="1:7" x14ac:dyDescent="0.2">
      <c r="A365" s="806">
        <v>40427</v>
      </c>
      <c r="B365" s="839" t="s">
        <v>487</v>
      </c>
      <c r="C365" s="840" t="s">
        <v>1948</v>
      </c>
      <c r="D365" s="807">
        <v>260.94</v>
      </c>
      <c r="E365" s="839" t="s">
        <v>1209</v>
      </c>
      <c r="F365" s="203" t="e">
        <f>VLOOKUP(A365,'Compos DER'!J:K,2,FALSE)</f>
        <v>#N/A</v>
      </c>
      <c r="G365" s="198" t="e">
        <f t="shared" si="6"/>
        <v>#N/A</v>
      </c>
    </row>
    <row r="366" spans="1:7" x14ac:dyDescent="0.2">
      <c r="A366" s="806">
        <v>40421</v>
      </c>
      <c r="B366" s="842" t="s">
        <v>2038</v>
      </c>
      <c r="C366" s="840" t="s">
        <v>1948</v>
      </c>
      <c r="D366" s="807">
        <v>139.41</v>
      </c>
      <c r="E366" s="839" t="s">
        <v>1209</v>
      </c>
      <c r="F366" s="203" t="e">
        <f>VLOOKUP(A366,'Compos DER'!J:K,2,FALSE)</f>
        <v>#N/A</v>
      </c>
      <c r="G366" s="198" t="e">
        <f t="shared" si="6"/>
        <v>#N/A</v>
      </c>
    </row>
    <row r="367" spans="1:7" x14ac:dyDescent="0.2">
      <c r="A367" s="806">
        <v>40424</v>
      </c>
      <c r="B367" s="842" t="s">
        <v>2039</v>
      </c>
      <c r="C367" s="840" t="s">
        <v>1948</v>
      </c>
      <c r="D367" s="807">
        <v>184.77</v>
      </c>
      <c r="E367" s="839" t="s">
        <v>1209</v>
      </c>
      <c r="F367" s="203" t="e">
        <f>VLOOKUP(A367,'Compos DER'!J:K,2,FALSE)</f>
        <v>#N/A</v>
      </c>
      <c r="G367" s="198" t="e">
        <f t="shared" si="6"/>
        <v>#N/A</v>
      </c>
    </row>
    <row r="368" spans="1:7" x14ac:dyDescent="0.2">
      <c r="A368" s="806">
        <v>40425</v>
      </c>
      <c r="B368" s="842" t="s">
        <v>2040</v>
      </c>
      <c r="C368" s="840" t="s">
        <v>1948</v>
      </c>
      <c r="D368" s="807">
        <v>192.72</v>
      </c>
      <c r="E368" s="839" t="s">
        <v>1209</v>
      </c>
      <c r="F368" s="203" t="e">
        <f>VLOOKUP(A368,'Compos DER'!J:K,2,FALSE)</f>
        <v>#N/A</v>
      </c>
      <c r="G368" s="198" t="e">
        <f t="shared" si="6"/>
        <v>#N/A</v>
      </c>
    </row>
    <row r="369" spans="1:7" x14ac:dyDescent="0.2">
      <c r="A369" s="806">
        <v>40428</v>
      </c>
      <c r="B369" s="842" t="s">
        <v>2041</v>
      </c>
      <c r="C369" s="840" t="s">
        <v>1948</v>
      </c>
      <c r="D369" s="807">
        <v>260.39999999999998</v>
      </c>
      <c r="E369" s="839" t="s">
        <v>1209</v>
      </c>
      <c r="F369" s="203" t="e">
        <f>VLOOKUP(A369,'Compos DER'!J:K,2,FALSE)</f>
        <v>#N/A</v>
      </c>
      <c r="G369" s="198" t="e">
        <f t="shared" si="6"/>
        <v>#N/A</v>
      </c>
    </row>
    <row r="370" spans="1:7" x14ac:dyDescent="0.2">
      <c r="A370" s="806">
        <v>40429</v>
      </c>
      <c r="B370" s="842" t="s">
        <v>2042</v>
      </c>
      <c r="C370" s="840" t="s">
        <v>1948</v>
      </c>
      <c r="D370" s="807">
        <v>271.98</v>
      </c>
      <c r="E370" s="839" t="s">
        <v>1209</v>
      </c>
      <c r="F370" s="203" t="e">
        <f>VLOOKUP(A370,'Compos DER'!J:K,2,FALSE)</f>
        <v>#N/A</v>
      </c>
      <c r="G370" s="198" t="e">
        <f t="shared" si="6"/>
        <v>#N/A</v>
      </c>
    </row>
    <row r="371" spans="1:7" x14ac:dyDescent="0.2">
      <c r="A371" s="806">
        <v>40430</v>
      </c>
      <c r="B371" s="842" t="s">
        <v>2043</v>
      </c>
      <c r="C371" s="840" t="s">
        <v>1948</v>
      </c>
      <c r="D371" s="807">
        <v>269.52</v>
      </c>
      <c r="E371" s="839" t="s">
        <v>1209</v>
      </c>
      <c r="F371" s="203" t="e">
        <f>VLOOKUP(A371,'Compos DER'!J:K,2,FALSE)</f>
        <v>#N/A</v>
      </c>
      <c r="G371" s="198" t="e">
        <f t="shared" si="6"/>
        <v>#N/A</v>
      </c>
    </row>
    <row r="372" spans="1:7" x14ac:dyDescent="0.2">
      <c r="A372" s="806">
        <v>40431</v>
      </c>
      <c r="B372" s="842" t="s">
        <v>2044</v>
      </c>
      <c r="C372" s="840" t="s">
        <v>1948</v>
      </c>
      <c r="D372" s="807">
        <v>288.54000000000002</v>
      </c>
      <c r="E372" s="839" t="s">
        <v>1209</v>
      </c>
      <c r="F372" s="203" t="e">
        <f>VLOOKUP(A372,'Compos DER'!J:K,2,FALSE)</f>
        <v>#N/A</v>
      </c>
      <c r="G372" s="198" t="e">
        <f t="shared" si="6"/>
        <v>#N/A</v>
      </c>
    </row>
    <row r="373" spans="1:7" x14ac:dyDescent="0.2">
      <c r="A373" s="806">
        <v>40432</v>
      </c>
      <c r="B373" s="842" t="s">
        <v>2045</v>
      </c>
      <c r="C373" s="840" t="s">
        <v>1948</v>
      </c>
      <c r="D373" s="807">
        <v>516.54999999999995</v>
      </c>
      <c r="E373" s="839" t="s">
        <v>1209</v>
      </c>
      <c r="F373" s="203" t="e">
        <f>VLOOKUP(A373,'Compos DER'!J:K,2,FALSE)</f>
        <v>#N/A</v>
      </c>
      <c r="G373" s="198" t="e">
        <f t="shared" si="6"/>
        <v>#N/A</v>
      </c>
    </row>
    <row r="374" spans="1:7" x14ac:dyDescent="0.2">
      <c r="A374" s="806">
        <v>40433</v>
      </c>
      <c r="B374" s="842" t="s">
        <v>2046</v>
      </c>
      <c r="C374" s="840" t="s">
        <v>1948</v>
      </c>
      <c r="D374" s="807">
        <v>531.74</v>
      </c>
      <c r="E374" s="839" t="s">
        <v>1209</v>
      </c>
      <c r="F374" s="203">
        <f>VLOOKUP(A374,'Compos DER'!J:K,2,FALSE)</f>
        <v>556.07000000000005</v>
      </c>
      <c r="G374" s="198">
        <f t="shared" si="6"/>
        <v>1.04575544439012</v>
      </c>
    </row>
    <row r="375" spans="1:7" x14ac:dyDescent="0.2">
      <c r="A375" s="806">
        <v>40434</v>
      </c>
      <c r="B375" s="842" t="s">
        <v>2047</v>
      </c>
      <c r="C375" s="840" t="s">
        <v>1948</v>
      </c>
      <c r="D375" s="807">
        <v>526.66</v>
      </c>
      <c r="E375" s="839" t="s">
        <v>1209</v>
      </c>
      <c r="F375" s="203" t="e">
        <f>VLOOKUP(A375,'Compos DER'!J:K,2,FALSE)</f>
        <v>#N/A</v>
      </c>
      <c r="G375" s="198" t="e">
        <f t="shared" si="6"/>
        <v>#N/A</v>
      </c>
    </row>
    <row r="376" spans="1:7" x14ac:dyDescent="0.2">
      <c r="A376" s="806">
        <v>40435</v>
      </c>
      <c r="B376" s="842" t="s">
        <v>2048</v>
      </c>
      <c r="C376" s="840" t="s">
        <v>1948</v>
      </c>
      <c r="D376" s="807">
        <v>562.86</v>
      </c>
      <c r="E376" s="839" t="s">
        <v>1209</v>
      </c>
      <c r="F376" s="203" t="e">
        <f>VLOOKUP(A376,'Compos DER'!J:K,2,FALSE)</f>
        <v>#N/A</v>
      </c>
      <c r="G376" s="198" t="e">
        <f t="shared" si="6"/>
        <v>#N/A</v>
      </c>
    </row>
    <row r="377" spans="1:7" x14ac:dyDescent="0.2">
      <c r="A377" s="806">
        <v>40436</v>
      </c>
      <c r="B377" s="842" t="s">
        <v>2049</v>
      </c>
      <c r="C377" s="840" t="s">
        <v>1948</v>
      </c>
      <c r="D377" s="807">
        <v>734.04</v>
      </c>
      <c r="E377" s="839" t="s">
        <v>1209</v>
      </c>
      <c r="F377" s="203" t="e">
        <f>VLOOKUP(A377,'Compos DER'!J:K,2,FALSE)</f>
        <v>#N/A</v>
      </c>
      <c r="G377" s="198" t="e">
        <f t="shared" si="6"/>
        <v>#N/A</v>
      </c>
    </row>
    <row r="378" spans="1:7" x14ac:dyDescent="0.2">
      <c r="A378" s="806">
        <v>40437</v>
      </c>
      <c r="B378" s="842" t="s">
        <v>2050</v>
      </c>
      <c r="C378" s="840" t="s">
        <v>1948</v>
      </c>
      <c r="D378" s="807">
        <v>742.95</v>
      </c>
      <c r="E378" s="839" t="s">
        <v>1209</v>
      </c>
      <c r="F378" s="203" t="e">
        <f>VLOOKUP(A378,'Compos DER'!J:K,2,FALSE)</f>
        <v>#N/A</v>
      </c>
      <c r="G378" s="198" t="e">
        <f t="shared" si="6"/>
        <v>#N/A</v>
      </c>
    </row>
    <row r="379" spans="1:7" x14ac:dyDescent="0.2">
      <c r="A379" s="806">
        <v>40438</v>
      </c>
      <c r="B379" s="842" t="s">
        <v>2051</v>
      </c>
      <c r="C379" s="840" t="s">
        <v>1948</v>
      </c>
      <c r="D379" s="807">
        <v>720.27</v>
      </c>
      <c r="E379" s="839" t="s">
        <v>1209</v>
      </c>
      <c r="F379" s="203" t="e">
        <f>VLOOKUP(A379,'Compos DER'!J:K,2,FALSE)</f>
        <v>#N/A</v>
      </c>
      <c r="G379" s="198" t="e">
        <f t="shared" si="6"/>
        <v>#N/A</v>
      </c>
    </row>
    <row r="380" spans="1:7" x14ac:dyDescent="0.2">
      <c r="A380" s="806">
        <v>40439</v>
      </c>
      <c r="B380" s="842" t="s">
        <v>2052</v>
      </c>
      <c r="C380" s="840" t="s">
        <v>1948</v>
      </c>
      <c r="D380" s="807">
        <v>805</v>
      </c>
      <c r="E380" s="839" t="s">
        <v>1209</v>
      </c>
      <c r="F380" s="203" t="e">
        <f>VLOOKUP(A380,'Compos DER'!J:K,2,FALSE)</f>
        <v>#N/A</v>
      </c>
      <c r="G380" s="198" t="e">
        <f t="shared" si="6"/>
        <v>#N/A</v>
      </c>
    </row>
    <row r="381" spans="1:7" x14ac:dyDescent="0.2">
      <c r="A381" s="806">
        <v>40440</v>
      </c>
      <c r="B381" s="842" t="s">
        <v>2053</v>
      </c>
      <c r="C381" s="840" t="s">
        <v>1948</v>
      </c>
      <c r="D381" s="807">
        <v>998.58</v>
      </c>
      <c r="E381" s="839" t="s">
        <v>1209</v>
      </c>
      <c r="F381" s="203" t="e">
        <f>VLOOKUP(A381,'Compos DER'!J:K,2,FALSE)</f>
        <v>#N/A</v>
      </c>
      <c r="G381" s="198" t="e">
        <f t="shared" si="6"/>
        <v>#N/A</v>
      </c>
    </row>
    <row r="382" spans="1:7" x14ac:dyDescent="0.2">
      <c r="A382" s="806">
        <v>40441</v>
      </c>
      <c r="B382" s="842" t="s">
        <v>2054</v>
      </c>
      <c r="C382" s="840" t="s">
        <v>1948</v>
      </c>
      <c r="D382" s="807">
        <v>987.81</v>
      </c>
      <c r="E382" s="839" t="s">
        <v>1209</v>
      </c>
      <c r="F382" s="203" t="e">
        <f>VLOOKUP(A382,'Compos DER'!J:K,2,FALSE)</f>
        <v>#N/A</v>
      </c>
      <c r="G382" s="198" t="e">
        <f t="shared" si="6"/>
        <v>#N/A</v>
      </c>
    </row>
    <row r="383" spans="1:7" x14ac:dyDescent="0.2">
      <c r="A383" s="806">
        <v>40442</v>
      </c>
      <c r="B383" s="842" t="s">
        <v>2055</v>
      </c>
      <c r="C383" s="840" t="s">
        <v>1948</v>
      </c>
      <c r="D383" s="807">
        <v>983.1</v>
      </c>
      <c r="E383" s="839" t="s">
        <v>1209</v>
      </c>
      <c r="F383" s="203" t="e">
        <f>VLOOKUP(A383,'Compos DER'!J:K,2,FALSE)</f>
        <v>#N/A</v>
      </c>
      <c r="G383" s="198" t="e">
        <f t="shared" si="6"/>
        <v>#N/A</v>
      </c>
    </row>
    <row r="384" spans="1:7" x14ac:dyDescent="0.2">
      <c r="A384" s="806">
        <v>40443</v>
      </c>
      <c r="B384" s="842" t="s">
        <v>2056</v>
      </c>
      <c r="C384" s="840" t="s">
        <v>1948</v>
      </c>
      <c r="D384" s="808">
        <v>1060.24</v>
      </c>
      <c r="E384" s="839" t="s">
        <v>1209</v>
      </c>
      <c r="F384" s="203" t="e">
        <f>VLOOKUP(A384,'Compos DER'!J:K,2,FALSE)</f>
        <v>#N/A</v>
      </c>
      <c r="G384" s="198" t="e">
        <f t="shared" si="6"/>
        <v>#N/A</v>
      </c>
    </row>
    <row r="385" spans="1:7" x14ac:dyDescent="0.2">
      <c r="A385" s="806">
        <v>40444</v>
      </c>
      <c r="B385" s="842" t="s">
        <v>2057</v>
      </c>
      <c r="C385" s="840" t="s">
        <v>1948</v>
      </c>
      <c r="D385" s="807">
        <v>150.75</v>
      </c>
      <c r="E385" s="839" t="s">
        <v>1209</v>
      </c>
      <c r="F385" s="203" t="e">
        <f>VLOOKUP(A385,'Compos DER'!J:K,2,FALSE)</f>
        <v>#N/A</v>
      </c>
      <c r="G385" s="198" t="e">
        <f t="shared" si="6"/>
        <v>#N/A</v>
      </c>
    </row>
    <row r="386" spans="1:7" x14ac:dyDescent="0.2">
      <c r="A386" s="806">
        <v>40445</v>
      </c>
      <c r="B386" s="842" t="s">
        <v>2058</v>
      </c>
      <c r="C386" s="840" t="s">
        <v>1948</v>
      </c>
      <c r="D386" s="807">
        <v>162.33000000000001</v>
      </c>
      <c r="E386" s="839" t="s">
        <v>1209</v>
      </c>
      <c r="F386" s="203" t="e">
        <f>VLOOKUP(A386,'Compos DER'!J:K,2,FALSE)</f>
        <v>#N/A</v>
      </c>
      <c r="G386" s="198" t="e">
        <f t="shared" si="6"/>
        <v>#N/A</v>
      </c>
    </row>
    <row r="387" spans="1:7" x14ac:dyDescent="0.2">
      <c r="A387" s="806">
        <v>40446</v>
      </c>
      <c r="B387" s="842" t="s">
        <v>2059</v>
      </c>
      <c r="C387" s="840" t="s">
        <v>1948</v>
      </c>
      <c r="D387" s="807">
        <v>159.88</v>
      </c>
      <c r="E387" s="839" t="s">
        <v>1209</v>
      </c>
      <c r="F387" s="203" t="e">
        <f>VLOOKUP(A387,'Compos DER'!J:K,2,FALSE)</f>
        <v>#N/A</v>
      </c>
      <c r="G387" s="198" t="e">
        <f t="shared" si="6"/>
        <v>#N/A</v>
      </c>
    </row>
    <row r="388" spans="1:7" x14ac:dyDescent="0.2">
      <c r="A388" s="806">
        <v>40447</v>
      </c>
      <c r="B388" s="842" t="s">
        <v>2060</v>
      </c>
      <c r="C388" s="840" t="s">
        <v>1948</v>
      </c>
      <c r="D388" s="807">
        <v>178.9</v>
      </c>
      <c r="E388" s="839" t="s">
        <v>1209</v>
      </c>
      <c r="F388" s="203" t="e">
        <f>VLOOKUP(A388,'Compos DER'!J:K,2,FALSE)</f>
        <v>#N/A</v>
      </c>
      <c r="G388" s="198" t="e">
        <f t="shared" si="6"/>
        <v>#N/A</v>
      </c>
    </row>
    <row r="389" spans="1:7" x14ac:dyDescent="0.2">
      <c r="A389" s="806">
        <v>40448</v>
      </c>
      <c r="B389" s="842" t="s">
        <v>2061</v>
      </c>
      <c r="C389" s="840" t="s">
        <v>1948</v>
      </c>
      <c r="D389" s="807">
        <v>361.98</v>
      </c>
      <c r="E389" s="839" t="s">
        <v>1209</v>
      </c>
      <c r="F389" s="203" t="e">
        <f>VLOOKUP(A389,'Compos DER'!J:K,2,FALSE)</f>
        <v>#N/A</v>
      </c>
      <c r="G389" s="198" t="e">
        <f t="shared" ref="G389:G452" si="7">+F389/D389</f>
        <v>#N/A</v>
      </c>
    </row>
    <row r="390" spans="1:7" x14ac:dyDescent="0.2">
      <c r="A390" s="806">
        <v>40449</v>
      </c>
      <c r="B390" s="842" t="s">
        <v>2062</v>
      </c>
      <c r="C390" s="840" t="s">
        <v>1948</v>
      </c>
      <c r="D390" s="807">
        <v>377.17</v>
      </c>
      <c r="E390" s="839" t="s">
        <v>1209</v>
      </c>
      <c r="F390" s="203" t="e">
        <f>VLOOKUP(A390,'Compos DER'!J:K,2,FALSE)</f>
        <v>#N/A</v>
      </c>
      <c r="G390" s="198" t="e">
        <f t="shared" si="7"/>
        <v>#N/A</v>
      </c>
    </row>
    <row r="391" spans="1:7" x14ac:dyDescent="0.2">
      <c r="A391" s="806">
        <v>40450</v>
      </c>
      <c r="B391" s="842" t="s">
        <v>2063</v>
      </c>
      <c r="C391" s="840" t="s">
        <v>1948</v>
      </c>
      <c r="D391" s="807">
        <v>372.09</v>
      </c>
      <c r="E391" s="839" t="s">
        <v>1209</v>
      </c>
      <c r="F391" s="203" t="e">
        <f>VLOOKUP(A391,'Compos DER'!J:K,2,FALSE)</f>
        <v>#N/A</v>
      </c>
      <c r="G391" s="198" t="e">
        <f t="shared" si="7"/>
        <v>#N/A</v>
      </c>
    </row>
    <row r="392" spans="1:7" x14ac:dyDescent="0.2">
      <c r="A392" s="806">
        <v>40451</v>
      </c>
      <c r="B392" s="842" t="s">
        <v>2064</v>
      </c>
      <c r="C392" s="840" t="s">
        <v>1948</v>
      </c>
      <c r="D392" s="807">
        <v>408.3</v>
      </c>
      <c r="E392" s="839" t="s">
        <v>1209</v>
      </c>
      <c r="F392" s="203" t="e">
        <f>VLOOKUP(A392,'Compos DER'!J:K,2,FALSE)</f>
        <v>#N/A</v>
      </c>
      <c r="G392" s="198" t="e">
        <f t="shared" si="7"/>
        <v>#N/A</v>
      </c>
    </row>
    <row r="393" spans="1:7" x14ac:dyDescent="0.2">
      <c r="A393" s="806">
        <v>40452</v>
      </c>
      <c r="B393" s="842" t="s">
        <v>2065</v>
      </c>
      <c r="C393" s="840" t="s">
        <v>1948</v>
      </c>
      <c r="D393" s="807">
        <v>485.21</v>
      </c>
      <c r="E393" s="839" t="s">
        <v>1209</v>
      </c>
      <c r="F393" s="203" t="e">
        <f>VLOOKUP(A393,'Compos DER'!J:K,2,FALSE)</f>
        <v>#N/A</v>
      </c>
      <c r="G393" s="198" t="e">
        <f t="shared" si="7"/>
        <v>#N/A</v>
      </c>
    </row>
    <row r="394" spans="1:7" x14ac:dyDescent="0.2">
      <c r="A394" s="806">
        <v>40453</v>
      </c>
      <c r="B394" s="842" t="s">
        <v>2066</v>
      </c>
      <c r="C394" s="840" t="s">
        <v>1948</v>
      </c>
      <c r="D394" s="807">
        <v>494.11</v>
      </c>
      <c r="E394" s="839" t="s">
        <v>1209</v>
      </c>
      <c r="F394" s="203">
        <f>VLOOKUP(A394,'Compos DER'!J:K,2,FALSE)</f>
        <v>528.5</v>
      </c>
      <c r="G394" s="198">
        <f t="shared" si="7"/>
        <v>1.0695998866649099</v>
      </c>
    </row>
    <row r="395" spans="1:7" x14ac:dyDescent="0.2">
      <c r="A395" s="806">
        <v>40454</v>
      </c>
      <c r="B395" s="842" t="s">
        <v>2067</v>
      </c>
      <c r="C395" s="840" t="s">
        <v>1948</v>
      </c>
      <c r="D395" s="807">
        <v>471.44</v>
      </c>
      <c r="E395" s="839" t="s">
        <v>1209</v>
      </c>
      <c r="F395" s="203" t="e">
        <f>VLOOKUP(A395,'Compos DER'!J:K,2,FALSE)</f>
        <v>#N/A</v>
      </c>
      <c r="G395" s="198" t="e">
        <f t="shared" si="7"/>
        <v>#N/A</v>
      </c>
    </row>
    <row r="396" spans="1:7" x14ac:dyDescent="0.2">
      <c r="A396" s="806">
        <v>40455</v>
      </c>
      <c r="B396" s="842" t="s">
        <v>2068</v>
      </c>
      <c r="C396" s="840" t="s">
        <v>1948</v>
      </c>
      <c r="D396" s="807">
        <v>556.16999999999996</v>
      </c>
      <c r="E396" s="839" t="s">
        <v>1209</v>
      </c>
      <c r="F396" s="203" t="e">
        <f>VLOOKUP(A396,'Compos DER'!J:K,2,FALSE)</f>
        <v>#N/A</v>
      </c>
      <c r="G396" s="198" t="e">
        <f t="shared" si="7"/>
        <v>#N/A</v>
      </c>
    </row>
    <row r="397" spans="1:7" x14ac:dyDescent="0.2">
      <c r="A397" s="806">
        <v>40456</v>
      </c>
      <c r="B397" s="842" t="s">
        <v>2069</v>
      </c>
      <c r="C397" s="840" t="s">
        <v>1948</v>
      </c>
      <c r="D397" s="807">
        <v>592.6</v>
      </c>
      <c r="E397" s="839" t="s">
        <v>1209</v>
      </c>
      <c r="F397" s="203" t="e">
        <f>VLOOKUP(A397,'Compos DER'!J:K,2,FALSE)</f>
        <v>#N/A</v>
      </c>
      <c r="G397" s="198" t="e">
        <f t="shared" si="7"/>
        <v>#N/A</v>
      </c>
    </row>
    <row r="398" spans="1:7" x14ac:dyDescent="0.2">
      <c r="A398" s="806">
        <v>40457</v>
      </c>
      <c r="B398" s="842" t="s">
        <v>2070</v>
      </c>
      <c r="C398" s="840" t="s">
        <v>1948</v>
      </c>
      <c r="D398" s="807">
        <v>662.01</v>
      </c>
      <c r="E398" s="839" t="s">
        <v>1209</v>
      </c>
      <c r="F398" s="203" t="e">
        <f>VLOOKUP(A398,'Compos DER'!J:K,2,FALSE)</f>
        <v>#N/A</v>
      </c>
      <c r="G398" s="198" t="e">
        <f t="shared" si="7"/>
        <v>#N/A</v>
      </c>
    </row>
    <row r="399" spans="1:7" x14ac:dyDescent="0.2">
      <c r="A399" s="806">
        <v>40458</v>
      </c>
      <c r="B399" s="842" t="s">
        <v>2071</v>
      </c>
      <c r="C399" s="840" t="s">
        <v>1948</v>
      </c>
      <c r="D399" s="807">
        <v>651.25</v>
      </c>
      <c r="E399" s="839" t="s">
        <v>1209</v>
      </c>
      <c r="F399" s="203" t="e">
        <f>VLOOKUP(A399,'Compos DER'!J:K,2,FALSE)</f>
        <v>#N/A</v>
      </c>
      <c r="G399" s="198" t="e">
        <f t="shared" si="7"/>
        <v>#N/A</v>
      </c>
    </row>
    <row r="400" spans="1:7" x14ac:dyDescent="0.2">
      <c r="A400" s="806">
        <v>40459</v>
      </c>
      <c r="B400" s="842" t="s">
        <v>2072</v>
      </c>
      <c r="C400" s="840" t="s">
        <v>1948</v>
      </c>
      <c r="D400" s="807">
        <v>646.54</v>
      </c>
      <c r="E400" s="839" t="s">
        <v>1209</v>
      </c>
      <c r="F400" s="203" t="e">
        <f>VLOOKUP(A400,'Compos DER'!J:K,2,FALSE)</f>
        <v>#N/A</v>
      </c>
      <c r="G400" s="198" t="e">
        <f t="shared" si="7"/>
        <v>#N/A</v>
      </c>
    </row>
    <row r="401" spans="1:7" x14ac:dyDescent="0.2">
      <c r="A401" s="806">
        <v>40460</v>
      </c>
      <c r="B401" s="842" t="s">
        <v>2073</v>
      </c>
      <c r="C401" s="840" t="s">
        <v>1948</v>
      </c>
      <c r="D401" s="807">
        <v>723.67</v>
      </c>
      <c r="E401" s="839" t="s">
        <v>1209</v>
      </c>
      <c r="F401" s="203" t="e">
        <f>VLOOKUP(A401,'Compos DER'!J:K,2,FALSE)</f>
        <v>#N/A</v>
      </c>
      <c r="G401" s="198" t="e">
        <f t="shared" si="7"/>
        <v>#N/A</v>
      </c>
    </row>
    <row r="402" spans="1:7" x14ac:dyDescent="0.2">
      <c r="A402" s="806">
        <v>40461</v>
      </c>
      <c r="B402" s="842" t="s">
        <v>2074</v>
      </c>
      <c r="C402" s="840" t="s">
        <v>1948</v>
      </c>
      <c r="D402" s="807">
        <v>796.54</v>
      </c>
      <c r="E402" s="839" t="s">
        <v>1209</v>
      </c>
      <c r="F402" s="203" t="e">
        <f>VLOOKUP(A402,'Compos DER'!J:K,2,FALSE)</f>
        <v>#N/A</v>
      </c>
      <c r="G402" s="198" t="e">
        <f t="shared" si="7"/>
        <v>#N/A</v>
      </c>
    </row>
    <row r="403" spans="1:7" x14ac:dyDescent="0.2">
      <c r="A403" s="806">
        <v>40462</v>
      </c>
      <c r="B403" s="842" t="s">
        <v>2075</v>
      </c>
      <c r="C403" s="840" t="s">
        <v>1948</v>
      </c>
      <c r="D403" s="807">
        <v>878.75</v>
      </c>
      <c r="E403" s="839" t="s">
        <v>1209</v>
      </c>
      <c r="F403" s="203" t="e">
        <f>VLOOKUP(A403,'Compos DER'!J:K,2,FALSE)</f>
        <v>#N/A</v>
      </c>
      <c r="G403" s="198" t="e">
        <f t="shared" si="7"/>
        <v>#N/A</v>
      </c>
    </row>
    <row r="404" spans="1:7" x14ac:dyDescent="0.2">
      <c r="A404" s="806">
        <v>40463</v>
      </c>
      <c r="B404" s="842" t="s">
        <v>2076</v>
      </c>
      <c r="C404" s="840" t="s">
        <v>1948</v>
      </c>
      <c r="D404" s="807">
        <v>894.43</v>
      </c>
      <c r="E404" s="839" t="s">
        <v>1209</v>
      </c>
      <c r="F404" s="203" t="e">
        <f>VLOOKUP(A404,'Compos DER'!J:K,2,FALSE)</f>
        <v>#N/A</v>
      </c>
      <c r="G404" s="198" t="e">
        <f t="shared" si="7"/>
        <v>#N/A</v>
      </c>
    </row>
    <row r="405" spans="1:7" x14ac:dyDescent="0.2">
      <c r="A405" s="806">
        <v>40464</v>
      </c>
      <c r="B405" s="842" t="s">
        <v>2077</v>
      </c>
      <c r="C405" s="840" t="s">
        <v>1948</v>
      </c>
      <c r="D405" s="807">
        <v>872.35</v>
      </c>
      <c r="E405" s="839" t="s">
        <v>1209</v>
      </c>
      <c r="F405" s="203" t="e">
        <f>VLOOKUP(A405,'Compos DER'!J:K,2,FALSE)</f>
        <v>#N/A</v>
      </c>
      <c r="G405" s="198" t="e">
        <f t="shared" si="7"/>
        <v>#N/A</v>
      </c>
    </row>
    <row r="406" spans="1:7" x14ac:dyDescent="0.2">
      <c r="A406" s="806">
        <v>40465</v>
      </c>
      <c r="B406" s="842" t="s">
        <v>2078</v>
      </c>
      <c r="C406" s="840" t="s">
        <v>1948</v>
      </c>
      <c r="D406" s="807">
        <v>1011.47</v>
      </c>
      <c r="E406" s="839" t="s">
        <v>1209</v>
      </c>
      <c r="F406" s="203" t="e">
        <f>VLOOKUP(A406,'Compos DER'!J:K,2,FALSE)</f>
        <v>#N/A</v>
      </c>
      <c r="G406" s="198" t="e">
        <f t="shared" si="7"/>
        <v>#N/A</v>
      </c>
    </row>
    <row r="407" spans="1:7" x14ac:dyDescent="0.2">
      <c r="A407" s="806">
        <v>40466</v>
      </c>
      <c r="B407" s="842" t="s">
        <v>2079</v>
      </c>
      <c r="C407" s="840" t="s">
        <v>1948</v>
      </c>
      <c r="D407" s="807">
        <v>1064.46</v>
      </c>
      <c r="E407" s="839" t="s">
        <v>1209</v>
      </c>
      <c r="F407" s="203" t="e">
        <f>VLOOKUP(A407,'Compos DER'!J:K,2,FALSE)</f>
        <v>#N/A</v>
      </c>
      <c r="G407" s="198" t="e">
        <f t="shared" si="7"/>
        <v>#N/A</v>
      </c>
    </row>
    <row r="408" spans="1:7" x14ac:dyDescent="0.2">
      <c r="A408" s="806">
        <v>40490</v>
      </c>
      <c r="B408" s="842" t="s">
        <v>2080</v>
      </c>
      <c r="C408" s="840" t="s">
        <v>1948</v>
      </c>
      <c r="D408" s="807">
        <v>448.9</v>
      </c>
      <c r="E408" s="839" t="s">
        <v>1209</v>
      </c>
      <c r="F408" s="203" t="e">
        <f>VLOOKUP(A408,'Compos DER'!J:K,2,FALSE)</f>
        <v>#N/A</v>
      </c>
      <c r="G408" s="198" t="e">
        <f t="shared" si="7"/>
        <v>#N/A</v>
      </c>
    </row>
    <row r="409" spans="1:7" x14ac:dyDescent="0.2">
      <c r="A409" s="806">
        <v>40491</v>
      </c>
      <c r="B409" s="842" t="s">
        <v>2081</v>
      </c>
      <c r="C409" s="840" t="s">
        <v>1948</v>
      </c>
      <c r="D409" s="807">
        <v>483.64</v>
      </c>
      <c r="E409" s="839" t="s">
        <v>1209</v>
      </c>
      <c r="F409" s="203" t="e">
        <f>VLOOKUP(A409,'Compos DER'!J:K,2,FALSE)</f>
        <v>#N/A</v>
      </c>
      <c r="G409" s="198" t="e">
        <f t="shared" si="7"/>
        <v>#N/A</v>
      </c>
    </row>
    <row r="410" spans="1:7" x14ac:dyDescent="0.2">
      <c r="A410" s="806">
        <v>40492</v>
      </c>
      <c r="B410" s="842" t="s">
        <v>2082</v>
      </c>
      <c r="C410" s="840" t="s">
        <v>1948</v>
      </c>
      <c r="D410" s="807">
        <v>476.28</v>
      </c>
      <c r="E410" s="839" t="s">
        <v>1209</v>
      </c>
      <c r="F410" s="203" t="e">
        <f>VLOOKUP(A410,'Compos DER'!J:K,2,FALSE)</f>
        <v>#N/A</v>
      </c>
      <c r="G410" s="198" t="e">
        <f t="shared" si="7"/>
        <v>#N/A</v>
      </c>
    </row>
    <row r="411" spans="1:7" x14ac:dyDescent="0.2">
      <c r="A411" s="806">
        <v>40493</v>
      </c>
      <c r="B411" s="842" t="s">
        <v>2083</v>
      </c>
      <c r="C411" s="840" t="s">
        <v>1948</v>
      </c>
      <c r="D411" s="807">
        <v>533.33000000000004</v>
      </c>
      <c r="E411" s="839" t="s">
        <v>1209</v>
      </c>
      <c r="F411" s="203" t="e">
        <f>VLOOKUP(A411,'Compos DER'!J:K,2,FALSE)</f>
        <v>#N/A</v>
      </c>
      <c r="G411" s="198" t="e">
        <f t="shared" si="7"/>
        <v>#N/A</v>
      </c>
    </row>
    <row r="412" spans="1:7" x14ac:dyDescent="0.2">
      <c r="A412" s="806">
        <v>40494</v>
      </c>
      <c r="B412" s="842" t="s">
        <v>2084</v>
      </c>
      <c r="C412" s="840" t="s">
        <v>1948</v>
      </c>
      <c r="D412" s="807">
        <v>921.98</v>
      </c>
      <c r="E412" s="839" t="s">
        <v>1209</v>
      </c>
      <c r="F412" s="203" t="e">
        <f>VLOOKUP(A412,'Compos DER'!J:K,2,FALSE)</f>
        <v>#N/A</v>
      </c>
      <c r="G412" s="198" t="e">
        <f t="shared" si="7"/>
        <v>#N/A</v>
      </c>
    </row>
    <row r="413" spans="1:7" x14ac:dyDescent="0.2">
      <c r="A413" s="806">
        <v>40495</v>
      </c>
      <c r="B413" s="842" t="s">
        <v>2085</v>
      </c>
      <c r="C413" s="840" t="s">
        <v>1948</v>
      </c>
      <c r="D413" s="807">
        <v>967.56</v>
      </c>
      <c r="E413" s="839" t="s">
        <v>1209</v>
      </c>
      <c r="F413" s="203" t="e">
        <f>VLOOKUP(A413,'Compos DER'!J:K,2,FALSE)</f>
        <v>#N/A</v>
      </c>
      <c r="G413" s="198" t="e">
        <f t="shared" si="7"/>
        <v>#N/A</v>
      </c>
    </row>
    <row r="414" spans="1:7" x14ac:dyDescent="0.2">
      <c r="A414" s="806">
        <v>40496</v>
      </c>
      <c r="B414" s="842" t="s">
        <v>2086</v>
      </c>
      <c r="C414" s="840" t="s">
        <v>1948</v>
      </c>
      <c r="D414" s="807">
        <v>952.32</v>
      </c>
      <c r="E414" s="839" t="s">
        <v>1209</v>
      </c>
      <c r="F414" s="203" t="e">
        <f>VLOOKUP(A414,'Compos DER'!J:K,2,FALSE)</f>
        <v>#N/A</v>
      </c>
      <c r="G414" s="198" t="e">
        <f t="shared" si="7"/>
        <v>#N/A</v>
      </c>
    </row>
    <row r="415" spans="1:7" x14ac:dyDescent="0.2">
      <c r="A415" s="806">
        <v>40497</v>
      </c>
      <c r="B415" s="842" t="s">
        <v>2087</v>
      </c>
      <c r="C415" s="840" t="s">
        <v>1948</v>
      </c>
      <c r="D415" s="808">
        <v>1060.94</v>
      </c>
      <c r="E415" s="839" t="s">
        <v>1209</v>
      </c>
      <c r="F415" s="203" t="e">
        <f>VLOOKUP(A415,'Compos DER'!J:K,2,FALSE)</f>
        <v>#N/A</v>
      </c>
      <c r="G415" s="198" t="e">
        <f t="shared" si="7"/>
        <v>#N/A</v>
      </c>
    </row>
    <row r="416" spans="1:7" x14ac:dyDescent="0.2">
      <c r="A416" s="806">
        <v>40498</v>
      </c>
      <c r="B416" s="842" t="s">
        <v>2088</v>
      </c>
      <c r="C416" s="840" t="s">
        <v>1948</v>
      </c>
      <c r="D416" s="808">
        <v>1291.69</v>
      </c>
      <c r="E416" s="839" t="s">
        <v>1209</v>
      </c>
      <c r="F416" s="203" t="e">
        <f>VLOOKUP(A416,'Compos DER'!J:K,2,FALSE)</f>
        <v>#N/A</v>
      </c>
      <c r="G416" s="198" t="e">
        <f t="shared" si="7"/>
        <v>#N/A</v>
      </c>
    </row>
    <row r="417" spans="1:7" x14ac:dyDescent="0.2">
      <c r="A417" s="806">
        <v>40499</v>
      </c>
      <c r="B417" s="842" t="s">
        <v>2089</v>
      </c>
      <c r="C417" s="840" t="s">
        <v>1948</v>
      </c>
      <c r="D417" s="808">
        <v>1318.4</v>
      </c>
      <c r="E417" s="839" t="s">
        <v>1209</v>
      </c>
      <c r="F417" s="203" t="e">
        <f>VLOOKUP(A417,'Compos DER'!J:K,2,FALSE)</f>
        <v>#N/A</v>
      </c>
      <c r="G417" s="198" t="e">
        <f t="shared" si="7"/>
        <v>#N/A</v>
      </c>
    </row>
    <row r="418" spans="1:7" x14ac:dyDescent="0.2">
      <c r="A418" s="806">
        <v>40500</v>
      </c>
      <c r="B418" s="842" t="s">
        <v>2090</v>
      </c>
      <c r="C418" s="840" t="s">
        <v>1948</v>
      </c>
      <c r="D418" s="808">
        <v>1250.3599999999999</v>
      </c>
      <c r="E418" s="839" t="s">
        <v>1209</v>
      </c>
      <c r="F418" s="203" t="e">
        <f>VLOOKUP(A418,'Compos DER'!J:K,2,FALSE)</f>
        <v>#N/A</v>
      </c>
      <c r="G418" s="198" t="e">
        <f t="shared" si="7"/>
        <v>#N/A</v>
      </c>
    </row>
    <row r="419" spans="1:7" x14ac:dyDescent="0.2">
      <c r="A419" s="806">
        <v>40501</v>
      </c>
      <c r="B419" s="842" t="s">
        <v>2091</v>
      </c>
      <c r="C419" s="840" t="s">
        <v>1948</v>
      </c>
      <c r="D419" s="808">
        <v>1504.56</v>
      </c>
      <c r="E419" s="839" t="s">
        <v>1209</v>
      </c>
      <c r="F419" s="203" t="e">
        <f>VLOOKUP(A419,'Compos DER'!J:K,2,FALSE)</f>
        <v>#N/A</v>
      </c>
      <c r="G419" s="198" t="e">
        <f t="shared" si="7"/>
        <v>#N/A</v>
      </c>
    </row>
    <row r="420" spans="1:7" x14ac:dyDescent="0.2">
      <c r="A420" s="806">
        <v>40502</v>
      </c>
      <c r="B420" s="842" t="s">
        <v>2092</v>
      </c>
      <c r="C420" s="840" t="s">
        <v>1948</v>
      </c>
      <c r="D420" s="808">
        <v>1613.85</v>
      </c>
      <c r="E420" s="839" t="s">
        <v>1209</v>
      </c>
      <c r="F420" s="203" t="e">
        <f>VLOOKUP(A420,'Compos DER'!J:K,2,FALSE)</f>
        <v>#N/A</v>
      </c>
      <c r="G420" s="198" t="e">
        <f t="shared" si="7"/>
        <v>#N/A</v>
      </c>
    </row>
    <row r="421" spans="1:7" x14ac:dyDescent="0.2">
      <c r="A421" s="806">
        <v>40503</v>
      </c>
      <c r="B421" s="842" t="s">
        <v>2093</v>
      </c>
      <c r="C421" s="840" t="s">
        <v>1948</v>
      </c>
      <c r="D421" s="808">
        <v>1822.13</v>
      </c>
      <c r="E421" s="839" t="s">
        <v>1209</v>
      </c>
      <c r="F421" s="203" t="e">
        <f>VLOOKUP(A421,'Compos DER'!J:K,2,FALSE)</f>
        <v>#N/A</v>
      </c>
      <c r="G421" s="198" t="e">
        <f t="shared" si="7"/>
        <v>#N/A</v>
      </c>
    </row>
    <row r="422" spans="1:7" x14ac:dyDescent="0.2">
      <c r="A422" s="806">
        <v>40504</v>
      </c>
      <c r="B422" s="842" t="s">
        <v>2094</v>
      </c>
      <c r="C422" s="840" t="s">
        <v>1948</v>
      </c>
      <c r="D422" s="808">
        <v>1789.84</v>
      </c>
      <c r="E422" s="839" t="s">
        <v>1209</v>
      </c>
      <c r="F422" s="203" t="e">
        <f>VLOOKUP(A422,'Compos DER'!J:K,2,FALSE)</f>
        <v>#N/A</v>
      </c>
      <c r="G422" s="198" t="e">
        <f t="shared" si="7"/>
        <v>#N/A</v>
      </c>
    </row>
    <row r="423" spans="1:7" x14ac:dyDescent="0.2">
      <c r="A423" s="806">
        <v>40505</v>
      </c>
      <c r="B423" s="842" t="s">
        <v>2095</v>
      </c>
      <c r="C423" s="840" t="s">
        <v>1948</v>
      </c>
      <c r="D423" s="808">
        <v>1775.7</v>
      </c>
      <c r="E423" s="839" t="s">
        <v>1209</v>
      </c>
      <c r="F423" s="203" t="e">
        <f>VLOOKUP(A423,'Compos DER'!J:K,2,FALSE)</f>
        <v>#N/A</v>
      </c>
      <c r="G423" s="198" t="e">
        <f t="shared" si="7"/>
        <v>#N/A</v>
      </c>
    </row>
    <row r="424" spans="1:7" x14ac:dyDescent="0.2">
      <c r="A424" s="806">
        <v>40506</v>
      </c>
      <c r="B424" s="842" t="s">
        <v>2096</v>
      </c>
      <c r="C424" s="840" t="s">
        <v>1948</v>
      </c>
      <c r="D424" s="808">
        <v>2007.11</v>
      </c>
      <c r="E424" s="839" t="s">
        <v>1209</v>
      </c>
      <c r="F424" s="203" t="e">
        <f>VLOOKUP(A424,'Compos DER'!J:K,2,FALSE)</f>
        <v>#N/A</v>
      </c>
      <c r="G424" s="198" t="e">
        <f t="shared" si="7"/>
        <v>#N/A</v>
      </c>
    </row>
    <row r="425" spans="1:7" x14ac:dyDescent="0.2">
      <c r="A425" s="806">
        <v>40507</v>
      </c>
      <c r="B425" s="842" t="s">
        <v>2097</v>
      </c>
      <c r="C425" s="840" t="s">
        <v>1948</v>
      </c>
      <c r="D425" s="808">
        <v>2225.7199999999998</v>
      </c>
      <c r="E425" s="839" t="s">
        <v>1209</v>
      </c>
      <c r="F425" s="203" t="e">
        <f>VLOOKUP(A425,'Compos DER'!J:K,2,FALSE)</f>
        <v>#N/A</v>
      </c>
      <c r="G425" s="198" t="e">
        <f t="shared" si="7"/>
        <v>#N/A</v>
      </c>
    </row>
    <row r="426" spans="1:7" x14ac:dyDescent="0.2">
      <c r="A426" s="806">
        <v>40508</v>
      </c>
      <c r="B426" s="842" t="s">
        <v>2098</v>
      </c>
      <c r="C426" s="840" t="s">
        <v>1948</v>
      </c>
      <c r="D426" s="808">
        <v>2472.2800000000002</v>
      </c>
      <c r="E426" s="839" t="s">
        <v>1209</v>
      </c>
      <c r="F426" s="203" t="e">
        <f>VLOOKUP(A426,'Compos DER'!J:K,2,FALSE)</f>
        <v>#N/A</v>
      </c>
      <c r="G426" s="198" t="e">
        <f t="shared" si="7"/>
        <v>#N/A</v>
      </c>
    </row>
    <row r="427" spans="1:7" x14ac:dyDescent="0.2">
      <c r="A427" s="806">
        <v>40509</v>
      </c>
      <c r="B427" s="842" t="s">
        <v>2099</v>
      </c>
      <c r="C427" s="840" t="s">
        <v>1948</v>
      </c>
      <c r="D427" s="808">
        <v>2519.34</v>
      </c>
      <c r="E427" s="839" t="s">
        <v>1209</v>
      </c>
      <c r="F427" s="203" t="e">
        <f>VLOOKUP(A427,'Compos DER'!J:K,2,FALSE)</f>
        <v>#N/A</v>
      </c>
      <c r="G427" s="198" t="e">
        <f t="shared" si="7"/>
        <v>#N/A</v>
      </c>
    </row>
    <row r="428" spans="1:7" x14ac:dyDescent="0.2">
      <c r="A428" s="806">
        <v>40510</v>
      </c>
      <c r="B428" s="842" t="s">
        <v>2100</v>
      </c>
      <c r="C428" s="840" t="s">
        <v>1948</v>
      </c>
      <c r="D428" s="808">
        <v>2453.08</v>
      </c>
      <c r="E428" s="839" t="s">
        <v>1209</v>
      </c>
      <c r="F428" s="203" t="e">
        <f>VLOOKUP(A428,'Compos DER'!J:K,2,FALSE)</f>
        <v>#N/A</v>
      </c>
      <c r="G428" s="198" t="e">
        <f t="shared" si="7"/>
        <v>#N/A</v>
      </c>
    </row>
    <row r="429" spans="1:7" x14ac:dyDescent="0.2">
      <c r="A429" s="806">
        <v>40511</v>
      </c>
      <c r="B429" s="842" t="s">
        <v>2101</v>
      </c>
      <c r="C429" s="840" t="s">
        <v>1948</v>
      </c>
      <c r="D429" s="808">
        <v>2870.43</v>
      </c>
      <c r="E429" s="839" t="s">
        <v>1209</v>
      </c>
      <c r="F429" s="203" t="e">
        <f>VLOOKUP(A429,'Compos DER'!J:K,2,FALSE)</f>
        <v>#N/A</v>
      </c>
      <c r="G429" s="198" t="e">
        <f t="shared" si="7"/>
        <v>#N/A</v>
      </c>
    </row>
    <row r="430" spans="1:7" x14ac:dyDescent="0.2">
      <c r="A430" s="806">
        <v>40512</v>
      </c>
      <c r="B430" s="842" t="s">
        <v>2102</v>
      </c>
      <c r="C430" s="840" t="s">
        <v>1948</v>
      </c>
      <c r="D430" s="808">
        <v>3029.4</v>
      </c>
      <c r="E430" s="839" t="s">
        <v>1209</v>
      </c>
      <c r="F430" s="203" t="e">
        <f>VLOOKUP(A430,'Compos DER'!J:K,2,FALSE)</f>
        <v>#N/A</v>
      </c>
      <c r="G430" s="198" t="e">
        <f t="shared" si="7"/>
        <v>#N/A</v>
      </c>
    </row>
    <row r="431" spans="1:7" x14ac:dyDescent="0.2">
      <c r="A431" s="806">
        <v>40586</v>
      </c>
      <c r="B431" s="839" t="s">
        <v>1638</v>
      </c>
      <c r="C431" s="840" t="s">
        <v>1948</v>
      </c>
      <c r="D431" s="808">
        <v>4207.37</v>
      </c>
      <c r="E431" s="841"/>
      <c r="F431" s="203" t="e">
        <f>VLOOKUP(A431,'Compos DER'!J:K,2,FALSE)</f>
        <v>#N/A</v>
      </c>
      <c r="G431" s="198" t="e">
        <f t="shared" si="7"/>
        <v>#N/A</v>
      </c>
    </row>
    <row r="432" spans="1:7" x14ac:dyDescent="0.2">
      <c r="A432" s="806">
        <v>40592</v>
      </c>
      <c r="B432" s="839" t="s">
        <v>488</v>
      </c>
      <c r="C432" s="840" t="s">
        <v>1948</v>
      </c>
      <c r="D432" s="808">
        <v>4401.96</v>
      </c>
      <c r="E432" s="841"/>
      <c r="F432" s="203" t="e">
        <f>VLOOKUP(A432,'Compos DER'!J:K,2,FALSE)</f>
        <v>#N/A</v>
      </c>
      <c r="G432" s="198" t="e">
        <f t="shared" si="7"/>
        <v>#N/A</v>
      </c>
    </row>
    <row r="433" spans="1:7" x14ac:dyDescent="0.2">
      <c r="A433" s="806">
        <v>40598</v>
      </c>
      <c r="B433" s="839" t="s">
        <v>2103</v>
      </c>
      <c r="C433" s="840" t="s">
        <v>1948</v>
      </c>
      <c r="D433" s="808">
        <v>6091.32</v>
      </c>
      <c r="E433" s="841"/>
      <c r="F433" s="203" t="e">
        <f>VLOOKUP(A433,'Compos DER'!J:K,2,FALSE)</f>
        <v>#N/A</v>
      </c>
      <c r="G433" s="198" t="e">
        <f t="shared" si="7"/>
        <v>#N/A</v>
      </c>
    </row>
    <row r="434" spans="1:7" x14ac:dyDescent="0.2">
      <c r="A434" s="806">
        <v>40587</v>
      </c>
      <c r="B434" s="839" t="s">
        <v>1639</v>
      </c>
      <c r="C434" s="840" t="s">
        <v>1948</v>
      </c>
      <c r="D434" s="808">
        <v>6058.16</v>
      </c>
      <c r="E434" s="841"/>
      <c r="F434" s="203" t="e">
        <f>VLOOKUP(A434,'Compos DER'!J:K,2,FALSE)</f>
        <v>#N/A</v>
      </c>
      <c r="G434" s="198" t="e">
        <f t="shared" si="7"/>
        <v>#N/A</v>
      </c>
    </row>
    <row r="435" spans="1:7" x14ac:dyDescent="0.2">
      <c r="A435" s="806">
        <v>40593</v>
      </c>
      <c r="B435" s="839" t="s">
        <v>489</v>
      </c>
      <c r="C435" s="840" t="s">
        <v>1948</v>
      </c>
      <c r="D435" s="808">
        <v>6737.4</v>
      </c>
      <c r="E435" s="841"/>
      <c r="F435" s="203" t="e">
        <f>VLOOKUP(A435,'Compos DER'!J:K,2,FALSE)</f>
        <v>#N/A</v>
      </c>
      <c r="G435" s="198" t="e">
        <f t="shared" si="7"/>
        <v>#N/A</v>
      </c>
    </row>
    <row r="436" spans="1:7" x14ac:dyDescent="0.2">
      <c r="A436" s="806">
        <v>40588</v>
      </c>
      <c r="B436" s="839" t="s">
        <v>1640</v>
      </c>
      <c r="C436" s="840" t="s">
        <v>1948</v>
      </c>
      <c r="D436" s="808">
        <v>8603.0400000000009</v>
      </c>
      <c r="E436" s="841"/>
      <c r="F436" s="203" t="e">
        <f>VLOOKUP(A436,'Compos DER'!J:K,2,FALSE)</f>
        <v>#N/A</v>
      </c>
      <c r="G436" s="198" t="e">
        <f t="shared" si="7"/>
        <v>#N/A</v>
      </c>
    </row>
    <row r="437" spans="1:7" x14ac:dyDescent="0.2">
      <c r="A437" s="806">
        <v>40594</v>
      </c>
      <c r="B437" s="839" t="s">
        <v>490</v>
      </c>
      <c r="C437" s="840" t="s">
        <v>1948</v>
      </c>
      <c r="D437" s="808">
        <v>10030.24</v>
      </c>
      <c r="E437" s="841"/>
      <c r="F437" s="203" t="e">
        <f>VLOOKUP(A437,'Compos DER'!J:K,2,FALSE)</f>
        <v>#N/A</v>
      </c>
      <c r="G437" s="198" t="e">
        <f t="shared" si="7"/>
        <v>#N/A</v>
      </c>
    </row>
    <row r="438" spans="1:7" x14ac:dyDescent="0.2">
      <c r="A438" s="806">
        <v>40599</v>
      </c>
      <c r="B438" s="839" t="s">
        <v>491</v>
      </c>
      <c r="C438" s="840" t="s">
        <v>1948</v>
      </c>
      <c r="D438" s="808">
        <v>8782.3799999999992</v>
      </c>
      <c r="E438" s="841"/>
      <c r="F438" s="203" t="e">
        <f>VLOOKUP(A438,'Compos DER'!J:K,2,FALSE)</f>
        <v>#N/A</v>
      </c>
      <c r="G438" s="198" t="e">
        <f t="shared" si="7"/>
        <v>#N/A</v>
      </c>
    </row>
    <row r="439" spans="1:7" x14ac:dyDescent="0.2">
      <c r="A439" s="806">
        <v>40589</v>
      </c>
      <c r="B439" s="839" t="s">
        <v>1641</v>
      </c>
      <c r="C439" s="840" t="s">
        <v>1948</v>
      </c>
      <c r="D439" s="808">
        <v>8151.18</v>
      </c>
      <c r="E439" s="841"/>
      <c r="F439" s="203" t="e">
        <f>VLOOKUP(A439,'Compos DER'!J:K,2,FALSE)</f>
        <v>#N/A</v>
      </c>
      <c r="G439" s="198" t="e">
        <f t="shared" si="7"/>
        <v>#N/A</v>
      </c>
    </row>
    <row r="440" spans="1:7" x14ac:dyDescent="0.2">
      <c r="A440" s="806">
        <v>40595</v>
      </c>
      <c r="B440" s="839" t="s">
        <v>492</v>
      </c>
      <c r="C440" s="840" t="s">
        <v>1948</v>
      </c>
      <c r="D440" s="808">
        <v>9076.85</v>
      </c>
      <c r="E440" s="841"/>
      <c r="F440" s="203" t="e">
        <f>VLOOKUP(A440,'Compos DER'!J:K,2,FALSE)</f>
        <v>#N/A</v>
      </c>
      <c r="G440" s="198" t="e">
        <f t="shared" si="7"/>
        <v>#N/A</v>
      </c>
    </row>
    <row r="441" spans="1:7" x14ac:dyDescent="0.2">
      <c r="A441" s="806">
        <v>40590</v>
      </c>
      <c r="B441" s="839" t="s">
        <v>1642</v>
      </c>
      <c r="C441" s="840" t="s">
        <v>1948</v>
      </c>
      <c r="D441" s="808">
        <v>9837.61</v>
      </c>
      <c r="E441" s="841"/>
      <c r="F441" s="203" t="e">
        <f>VLOOKUP(A441,'Compos DER'!J:K,2,FALSE)</f>
        <v>#N/A</v>
      </c>
      <c r="G441" s="198" t="e">
        <f t="shared" si="7"/>
        <v>#N/A</v>
      </c>
    </row>
    <row r="442" spans="1:7" x14ac:dyDescent="0.2">
      <c r="A442" s="806">
        <v>40596</v>
      </c>
      <c r="B442" s="839" t="s">
        <v>493</v>
      </c>
      <c r="C442" s="840" t="s">
        <v>1948</v>
      </c>
      <c r="D442" s="808">
        <v>10862.06</v>
      </c>
      <c r="E442" s="841"/>
      <c r="F442" s="203" t="e">
        <f>VLOOKUP(A442,'Compos DER'!J:K,2,FALSE)</f>
        <v>#N/A</v>
      </c>
      <c r="G442" s="198" t="e">
        <f t="shared" si="7"/>
        <v>#N/A</v>
      </c>
    </row>
    <row r="443" spans="1:7" x14ac:dyDescent="0.2">
      <c r="A443" s="806">
        <v>40591</v>
      </c>
      <c r="B443" s="839" t="s">
        <v>1643</v>
      </c>
      <c r="C443" s="840" t="s">
        <v>1948</v>
      </c>
      <c r="D443" s="808">
        <v>10779.4</v>
      </c>
      <c r="E443" s="841"/>
      <c r="F443" s="203">
        <f>VLOOKUP(A443,'Compos DER'!J:K,2,FALSE)</f>
        <v>11230.68</v>
      </c>
      <c r="G443" s="198">
        <f>+F443/D443</f>
        <v>1.04186503887044</v>
      </c>
    </row>
    <row r="444" spans="1:7" x14ac:dyDescent="0.2">
      <c r="A444" s="806">
        <v>40597</v>
      </c>
      <c r="B444" s="839" t="s">
        <v>494</v>
      </c>
      <c r="C444" s="840" t="s">
        <v>1948</v>
      </c>
      <c r="D444" s="808">
        <v>11585.96</v>
      </c>
      <c r="E444" s="841"/>
      <c r="F444" s="203" t="e">
        <f>VLOOKUP(A444,'Compos DER'!J:K,2,FALSE)</f>
        <v>#N/A</v>
      </c>
      <c r="G444" s="198" t="e">
        <f t="shared" si="7"/>
        <v>#N/A</v>
      </c>
    </row>
    <row r="445" spans="1:7" x14ac:dyDescent="0.2">
      <c r="A445" s="806">
        <v>40573</v>
      </c>
      <c r="B445" s="839" t="s">
        <v>1644</v>
      </c>
      <c r="C445" s="840" t="s">
        <v>1948</v>
      </c>
      <c r="D445" s="808">
        <v>2563.25</v>
      </c>
      <c r="E445" s="841"/>
      <c r="F445" s="203" t="e">
        <f>VLOOKUP(A445,'Compos DER'!J:K,2,FALSE)</f>
        <v>#N/A</v>
      </c>
      <c r="G445" s="198" t="e">
        <f t="shared" si="7"/>
        <v>#N/A</v>
      </c>
    </row>
    <row r="446" spans="1:7" x14ac:dyDescent="0.2">
      <c r="A446" s="806">
        <v>40579</v>
      </c>
      <c r="B446" s="839" t="s">
        <v>495</v>
      </c>
      <c r="C446" s="840" t="s">
        <v>1948</v>
      </c>
      <c r="D446" s="808">
        <v>2709.2</v>
      </c>
      <c r="E446" s="841"/>
      <c r="F446" s="203" t="e">
        <f>VLOOKUP(A446,'Compos DER'!J:K,2,FALSE)</f>
        <v>#N/A</v>
      </c>
      <c r="G446" s="198" t="e">
        <f t="shared" si="7"/>
        <v>#N/A</v>
      </c>
    </row>
    <row r="447" spans="1:7" x14ac:dyDescent="0.2">
      <c r="A447" s="806">
        <v>41113</v>
      </c>
      <c r="B447" s="839" t="s">
        <v>2104</v>
      </c>
      <c r="C447" s="840" t="s">
        <v>1948</v>
      </c>
      <c r="D447" s="808">
        <v>4413.22</v>
      </c>
      <c r="E447" s="841"/>
      <c r="F447" s="203" t="e">
        <f>VLOOKUP(A447,'Compos DER'!J:K,2,FALSE)</f>
        <v>#N/A</v>
      </c>
      <c r="G447" s="198" t="e">
        <f t="shared" si="7"/>
        <v>#N/A</v>
      </c>
    </row>
    <row r="448" spans="1:7" x14ac:dyDescent="0.2">
      <c r="A448" s="806">
        <v>40574</v>
      </c>
      <c r="B448" s="839" t="s">
        <v>1645</v>
      </c>
      <c r="C448" s="840" t="s">
        <v>1948</v>
      </c>
      <c r="D448" s="808">
        <v>3634.64</v>
      </c>
      <c r="E448" s="841"/>
      <c r="F448" s="203" t="e">
        <f>VLOOKUP(A448,'Compos DER'!J:K,2,FALSE)</f>
        <v>#N/A</v>
      </c>
      <c r="G448" s="198" t="e">
        <f t="shared" si="7"/>
        <v>#N/A</v>
      </c>
    </row>
    <row r="449" spans="1:7" x14ac:dyDescent="0.2">
      <c r="A449" s="806">
        <v>40580</v>
      </c>
      <c r="B449" s="839" t="s">
        <v>496</v>
      </c>
      <c r="C449" s="840" t="s">
        <v>1948</v>
      </c>
      <c r="D449" s="808">
        <v>4072.67</v>
      </c>
      <c r="E449" s="841"/>
      <c r="F449" s="203" t="e">
        <f>VLOOKUP(A449,'Compos DER'!J:K,2,FALSE)</f>
        <v>#N/A</v>
      </c>
      <c r="G449" s="198" t="e">
        <f t="shared" si="7"/>
        <v>#N/A</v>
      </c>
    </row>
    <row r="450" spans="1:7" x14ac:dyDescent="0.2">
      <c r="A450" s="806">
        <v>40575</v>
      </c>
      <c r="B450" s="839" t="s">
        <v>1646</v>
      </c>
      <c r="C450" s="840" t="s">
        <v>1948</v>
      </c>
      <c r="D450" s="808">
        <v>5240.68</v>
      </c>
      <c r="E450" s="841"/>
      <c r="F450" s="203" t="e">
        <f>VLOOKUP(A450,'Compos DER'!J:K,2,FALSE)</f>
        <v>#N/A</v>
      </c>
      <c r="G450" s="198" t="e">
        <f t="shared" si="7"/>
        <v>#N/A</v>
      </c>
    </row>
    <row r="451" spans="1:7" x14ac:dyDescent="0.2">
      <c r="A451" s="806">
        <v>40581</v>
      </c>
      <c r="B451" s="839" t="s">
        <v>497</v>
      </c>
      <c r="C451" s="840" t="s">
        <v>1948</v>
      </c>
      <c r="D451" s="808">
        <v>6577.12</v>
      </c>
      <c r="E451" s="841"/>
      <c r="F451" s="203" t="e">
        <f>VLOOKUP(A451,'Compos DER'!J:K,2,FALSE)</f>
        <v>#N/A</v>
      </c>
      <c r="G451" s="198" t="e">
        <f t="shared" si="7"/>
        <v>#N/A</v>
      </c>
    </row>
    <row r="452" spans="1:7" x14ac:dyDescent="0.2">
      <c r="A452" s="806">
        <v>40576</v>
      </c>
      <c r="B452" s="839" t="s">
        <v>1647</v>
      </c>
      <c r="C452" s="840" t="s">
        <v>1948</v>
      </c>
      <c r="D452" s="808">
        <v>5136.8900000000003</v>
      </c>
      <c r="E452" s="841"/>
      <c r="F452" s="203" t="e">
        <f>VLOOKUP(A452,'Compos DER'!J:K,2,FALSE)</f>
        <v>#N/A</v>
      </c>
      <c r="G452" s="198" t="e">
        <f t="shared" si="7"/>
        <v>#N/A</v>
      </c>
    </row>
    <row r="453" spans="1:7" x14ac:dyDescent="0.2">
      <c r="A453" s="806">
        <v>40582</v>
      </c>
      <c r="B453" s="839" t="s">
        <v>498</v>
      </c>
      <c r="C453" s="840" t="s">
        <v>1948</v>
      </c>
      <c r="D453" s="808">
        <v>5652.58</v>
      </c>
      <c r="E453" s="841"/>
      <c r="F453" s="203" t="e">
        <f>VLOOKUP(A453,'Compos DER'!J:K,2,FALSE)</f>
        <v>#N/A</v>
      </c>
      <c r="G453" s="198" t="e">
        <f t="shared" ref="G453:G516" si="8">+F453/D453</f>
        <v>#N/A</v>
      </c>
    </row>
    <row r="454" spans="1:7" x14ac:dyDescent="0.2">
      <c r="A454" s="806">
        <v>40577</v>
      </c>
      <c r="B454" s="839" t="s">
        <v>1648</v>
      </c>
      <c r="C454" s="840" t="s">
        <v>1948</v>
      </c>
      <c r="D454" s="808">
        <v>6452.68</v>
      </c>
      <c r="E454" s="841"/>
      <c r="F454" s="203" t="e">
        <f>VLOOKUP(A454,'Compos DER'!J:K,2,FALSE)</f>
        <v>#N/A</v>
      </c>
      <c r="G454" s="198" t="e">
        <f t="shared" si="8"/>
        <v>#N/A</v>
      </c>
    </row>
    <row r="455" spans="1:7" x14ac:dyDescent="0.2">
      <c r="A455" s="806">
        <v>40583</v>
      </c>
      <c r="B455" s="839" t="s">
        <v>499</v>
      </c>
      <c r="C455" s="840" t="s">
        <v>1948</v>
      </c>
      <c r="D455" s="808">
        <v>7692.24</v>
      </c>
      <c r="E455" s="841"/>
      <c r="F455" s="203" t="e">
        <f>VLOOKUP(A455,'Compos DER'!J:K,2,FALSE)</f>
        <v>#N/A</v>
      </c>
      <c r="G455" s="198" t="e">
        <f t="shared" si="8"/>
        <v>#N/A</v>
      </c>
    </row>
    <row r="456" spans="1:7" x14ac:dyDescent="0.2">
      <c r="A456" s="806">
        <v>40578</v>
      </c>
      <c r="B456" s="839" t="s">
        <v>1649</v>
      </c>
      <c r="C456" s="840" t="s">
        <v>1948</v>
      </c>
      <c r="D456" s="808">
        <v>7017.35</v>
      </c>
      <c r="E456" s="841"/>
      <c r="F456" s="203" t="e">
        <f>VLOOKUP(A456,'Compos DER'!J:K,2,FALSE)</f>
        <v>#N/A</v>
      </c>
      <c r="G456" s="198" t="e">
        <f t="shared" si="8"/>
        <v>#N/A</v>
      </c>
    </row>
    <row r="457" spans="1:7" x14ac:dyDescent="0.2">
      <c r="A457" s="806">
        <v>40584</v>
      </c>
      <c r="B457" s="839" t="s">
        <v>500</v>
      </c>
      <c r="C457" s="840" t="s">
        <v>1948</v>
      </c>
      <c r="D457" s="808">
        <v>8012.71</v>
      </c>
      <c r="E457" s="841"/>
      <c r="F457" s="203" t="e">
        <f>VLOOKUP(A457,'Compos DER'!J:K,2,FALSE)</f>
        <v>#N/A</v>
      </c>
      <c r="G457" s="198" t="e">
        <f t="shared" si="8"/>
        <v>#N/A</v>
      </c>
    </row>
    <row r="458" spans="1:7" x14ac:dyDescent="0.2">
      <c r="A458" s="806">
        <v>40601</v>
      </c>
      <c r="B458" s="839" t="s">
        <v>1650</v>
      </c>
      <c r="C458" s="840" t="s">
        <v>1948</v>
      </c>
      <c r="D458" s="808">
        <v>5893.01</v>
      </c>
      <c r="E458" s="841"/>
      <c r="F458" s="203" t="e">
        <f>VLOOKUP(A458,'Compos DER'!J:K,2,FALSE)</f>
        <v>#N/A</v>
      </c>
      <c r="G458" s="198" t="e">
        <f t="shared" si="8"/>
        <v>#N/A</v>
      </c>
    </row>
    <row r="459" spans="1:7" x14ac:dyDescent="0.2">
      <c r="A459" s="806">
        <v>40607</v>
      </c>
      <c r="B459" s="839" t="s">
        <v>501</v>
      </c>
      <c r="C459" s="840" t="s">
        <v>1948</v>
      </c>
      <c r="D459" s="808">
        <v>6253.02</v>
      </c>
      <c r="E459" s="841"/>
      <c r="F459" s="203" t="e">
        <f>VLOOKUP(A459,'Compos DER'!J:K,2,FALSE)</f>
        <v>#N/A</v>
      </c>
      <c r="G459" s="198" t="e">
        <f t="shared" si="8"/>
        <v>#N/A</v>
      </c>
    </row>
    <row r="460" spans="1:7" x14ac:dyDescent="0.2">
      <c r="A460" s="806">
        <v>40602</v>
      </c>
      <c r="B460" s="839" t="s">
        <v>1651</v>
      </c>
      <c r="C460" s="840" t="s">
        <v>1948</v>
      </c>
      <c r="D460" s="808">
        <v>8607.68</v>
      </c>
      <c r="E460" s="841"/>
      <c r="F460" s="203" t="e">
        <f>VLOOKUP(A460,'Compos DER'!J:K,2,FALSE)</f>
        <v>#N/A</v>
      </c>
      <c r="G460" s="198" t="e">
        <f t="shared" si="8"/>
        <v>#N/A</v>
      </c>
    </row>
    <row r="461" spans="1:7" x14ac:dyDescent="0.2">
      <c r="A461" s="806">
        <v>40608</v>
      </c>
      <c r="B461" s="839" t="s">
        <v>502</v>
      </c>
      <c r="C461" s="840" t="s">
        <v>1948</v>
      </c>
      <c r="D461" s="808">
        <v>9212.7999999999993</v>
      </c>
      <c r="E461" s="841"/>
      <c r="F461" s="203" t="e">
        <f>VLOOKUP(A461,'Compos DER'!J:K,2,FALSE)</f>
        <v>#N/A</v>
      </c>
      <c r="G461" s="198" t="e">
        <f t="shared" si="8"/>
        <v>#N/A</v>
      </c>
    </row>
    <row r="462" spans="1:7" x14ac:dyDescent="0.2">
      <c r="A462" s="806">
        <v>40603</v>
      </c>
      <c r="B462" s="839" t="s">
        <v>1652</v>
      </c>
      <c r="C462" s="840" t="s">
        <v>1948</v>
      </c>
      <c r="D462" s="808">
        <v>12473.37</v>
      </c>
      <c r="E462" s="841"/>
      <c r="F462" s="203" t="e">
        <f>VLOOKUP(A462,'Compos DER'!J:K,2,FALSE)</f>
        <v>#N/A</v>
      </c>
      <c r="G462" s="198" t="e">
        <f t="shared" si="8"/>
        <v>#N/A</v>
      </c>
    </row>
    <row r="463" spans="1:7" x14ac:dyDescent="0.2">
      <c r="A463" s="806">
        <v>40609</v>
      </c>
      <c r="B463" s="839" t="s">
        <v>503</v>
      </c>
      <c r="C463" s="840" t="s">
        <v>1948</v>
      </c>
      <c r="D463" s="808">
        <v>14099.36</v>
      </c>
      <c r="E463" s="841"/>
      <c r="F463" s="203" t="e">
        <f>VLOOKUP(A463,'Compos DER'!J:K,2,FALSE)</f>
        <v>#N/A</v>
      </c>
      <c r="G463" s="198" t="e">
        <f t="shared" si="8"/>
        <v>#N/A</v>
      </c>
    </row>
    <row r="464" spans="1:7" x14ac:dyDescent="0.2">
      <c r="A464" s="806">
        <v>40604</v>
      </c>
      <c r="B464" s="839" t="s">
        <v>1653</v>
      </c>
      <c r="C464" s="840" t="s">
        <v>1948</v>
      </c>
      <c r="D464" s="808">
        <v>11259.95</v>
      </c>
      <c r="E464" s="841"/>
      <c r="F464" s="203" t="e">
        <f>VLOOKUP(A464,'Compos DER'!J:K,2,FALSE)</f>
        <v>#N/A</v>
      </c>
      <c r="G464" s="198" t="e">
        <f t="shared" si="8"/>
        <v>#N/A</v>
      </c>
    </row>
    <row r="465" spans="1:7" x14ac:dyDescent="0.2">
      <c r="A465" s="806">
        <v>40610</v>
      </c>
      <c r="B465" s="839" t="s">
        <v>504</v>
      </c>
      <c r="C465" s="840" t="s">
        <v>1948</v>
      </c>
      <c r="D465" s="808">
        <v>12579.44</v>
      </c>
      <c r="E465" s="841"/>
      <c r="F465" s="203" t="e">
        <f>VLOOKUP(A465,'Compos DER'!J:K,2,FALSE)</f>
        <v>#N/A</v>
      </c>
      <c r="G465" s="198" t="e">
        <f t="shared" si="8"/>
        <v>#N/A</v>
      </c>
    </row>
    <row r="466" spans="1:7" x14ac:dyDescent="0.2">
      <c r="A466" s="806">
        <v>40605</v>
      </c>
      <c r="B466" s="839" t="s">
        <v>1654</v>
      </c>
      <c r="C466" s="840" t="s">
        <v>1948</v>
      </c>
      <c r="D466" s="808">
        <v>13940.86</v>
      </c>
      <c r="E466" s="841"/>
      <c r="F466" s="203" t="e">
        <f>VLOOKUP(A466,'Compos DER'!J:K,2,FALSE)</f>
        <v>#N/A</v>
      </c>
      <c r="G466" s="198" t="e">
        <f t="shared" si="8"/>
        <v>#N/A</v>
      </c>
    </row>
    <row r="467" spans="1:7" x14ac:dyDescent="0.2">
      <c r="A467" s="806">
        <v>40611</v>
      </c>
      <c r="B467" s="839" t="s">
        <v>505</v>
      </c>
      <c r="C467" s="840" t="s">
        <v>1948</v>
      </c>
      <c r="D467" s="808">
        <v>15758.53</v>
      </c>
      <c r="E467" s="841"/>
      <c r="F467" s="203" t="e">
        <f>VLOOKUP(A467,'Compos DER'!J:K,2,FALSE)</f>
        <v>#N/A</v>
      </c>
      <c r="G467" s="198" t="e">
        <f t="shared" si="8"/>
        <v>#N/A</v>
      </c>
    </row>
    <row r="468" spans="1:7" x14ac:dyDescent="0.2">
      <c r="A468" s="806">
        <v>40606</v>
      </c>
      <c r="B468" s="839" t="s">
        <v>1655</v>
      </c>
      <c r="C468" s="840" t="s">
        <v>1948</v>
      </c>
      <c r="D468" s="808">
        <v>14957.06</v>
      </c>
      <c r="E468" s="841"/>
      <c r="F468" s="203" t="e">
        <f>VLOOKUP(A468,'Compos DER'!J:K,2,FALSE)</f>
        <v>#N/A</v>
      </c>
      <c r="G468" s="198" t="e">
        <f t="shared" si="8"/>
        <v>#N/A</v>
      </c>
    </row>
    <row r="469" spans="1:7" x14ac:dyDescent="0.2">
      <c r="A469" s="806">
        <v>40612</v>
      </c>
      <c r="B469" s="839" t="s">
        <v>506</v>
      </c>
      <c r="C469" s="840" t="s">
        <v>1948</v>
      </c>
      <c r="D469" s="808">
        <v>16714.27</v>
      </c>
      <c r="E469" s="841"/>
      <c r="F469" s="203" t="e">
        <f>VLOOKUP(A469,'Compos DER'!J:K,2,FALSE)</f>
        <v>#N/A</v>
      </c>
      <c r="G469" s="198" t="e">
        <f t="shared" si="8"/>
        <v>#N/A</v>
      </c>
    </row>
    <row r="470" spans="1:7" x14ac:dyDescent="0.2">
      <c r="A470" s="806">
        <v>40305</v>
      </c>
      <c r="B470" s="839" t="s">
        <v>1656</v>
      </c>
      <c r="C470" s="840" t="s">
        <v>1906</v>
      </c>
      <c r="D470" s="807">
        <v>13.46</v>
      </c>
      <c r="E470" s="841"/>
      <c r="F470" s="203" t="e">
        <f>VLOOKUP(A470,'Compos DER'!J:K,2,FALSE)</f>
        <v>#N/A</v>
      </c>
      <c r="G470" s="198" t="e">
        <f t="shared" si="8"/>
        <v>#N/A</v>
      </c>
    </row>
    <row r="471" spans="1:7" x14ac:dyDescent="0.2">
      <c r="A471" s="806">
        <v>40306</v>
      </c>
      <c r="B471" s="839" t="s">
        <v>1657</v>
      </c>
      <c r="C471" s="840" t="s">
        <v>1906</v>
      </c>
      <c r="D471" s="807">
        <v>26.93</v>
      </c>
      <c r="E471" s="841"/>
      <c r="F471" s="203" t="e">
        <f>VLOOKUP(A471,'Compos DER'!J:K,2,FALSE)</f>
        <v>#N/A</v>
      </c>
      <c r="G471" s="198" t="e">
        <f t="shared" si="8"/>
        <v>#N/A</v>
      </c>
    </row>
    <row r="472" spans="1:7" x14ac:dyDescent="0.2">
      <c r="A472" s="806">
        <v>41049</v>
      </c>
      <c r="B472" s="839" t="s">
        <v>507</v>
      </c>
      <c r="C472" s="840" t="s">
        <v>1948</v>
      </c>
      <c r="D472" s="807">
        <v>20.28</v>
      </c>
      <c r="E472" s="841"/>
      <c r="F472" s="203" t="e">
        <f>VLOOKUP(A472,'Compos DER'!J:K,2,FALSE)</f>
        <v>#N/A</v>
      </c>
      <c r="G472" s="198" t="e">
        <f t="shared" si="8"/>
        <v>#N/A</v>
      </c>
    </row>
    <row r="473" spans="1:7" x14ac:dyDescent="0.2">
      <c r="A473" s="806">
        <v>41124</v>
      </c>
      <c r="B473" s="839" t="s">
        <v>1658</v>
      </c>
      <c r="C473" s="840" t="s">
        <v>1910</v>
      </c>
      <c r="D473" s="807">
        <v>45.67</v>
      </c>
      <c r="E473" s="841"/>
      <c r="F473" s="203" t="e">
        <f>VLOOKUP(A473,'Compos DER'!J:K,2,FALSE)</f>
        <v>#N/A</v>
      </c>
      <c r="G473" s="198" t="e">
        <f t="shared" si="8"/>
        <v>#N/A</v>
      </c>
    </row>
    <row r="474" spans="1:7" x14ac:dyDescent="0.2">
      <c r="A474" s="806">
        <v>40372</v>
      </c>
      <c r="B474" s="839" t="s">
        <v>508</v>
      </c>
      <c r="C474" s="840" t="s">
        <v>1906</v>
      </c>
      <c r="D474" s="807">
        <v>203.89</v>
      </c>
      <c r="E474" s="841"/>
      <c r="F474" s="203" t="e">
        <f>VLOOKUP(A474,'Compos DER'!J:K,2,FALSE)</f>
        <v>#N/A</v>
      </c>
      <c r="G474" s="198" t="e">
        <f t="shared" si="8"/>
        <v>#N/A</v>
      </c>
    </row>
    <row r="475" spans="1:7" x14ac:dyDescent="0.2">
      <c r="A475" s="806">
        <v>40374</v>
      </c>
      <c r="B475" s="839" t="s">
        <v>509</v>
      </c>
      <c r="C475" s="840" t="s">
        <v>1906</v>
      </c>
      <c r="D475" s="807">
        <v>300.89999999999998</v>
      </c>
      <c r="E475" s="841"/>
      <c r="F475" s="203" t="e">
        <f>VLOOKUP(A475,'Compos DER'!J:K,2,FALSE)</f>
        <v>#N/A</v>
      </c>
      <c r="G475" s="198" t="e">
        <f t="shared" si="8"/>
        <v>#N/A</v>
      </c>
    </row>
    <row r="476" spans="1:7" x14ac:dyDescent="0.2">
      <c r="A476" s="806">
        <v>40373</v>
      </c>
      <c r="B476" s="839" t="s">
        <v>510</v>
      </c>
      <c r="C476" s="840" t="s">
        <v>1906</v>
      </c>
      <c r="D476" s="807">
        <v>265.5</v>
      </c>
      <c r="E476" s="841"/>
      <c r="F476" s="203" t="e">
        <f>VLOOKUP(A476,'Compos DER'!J:K,2,FALSE)</f>
        <v>#N/A</v>
      </c>
      <c r="G476" s="198" t="e">
        <f t="shared" si="8"/>
        <v>#N/A</v>
      </c>
    </row>
    <row r="477" spans="1:7" x14ac:dyDescent="0.2">
      <c r="A477" s="806">
        <v>40375</v>
      </c>
      <c r="B477" s="839" t="s">
        <v>511</v>
      </c>
      <c r="C477" s="840" t="s">
        <v>1906</v>
      </c>
      <c r="D477" s="807">
        <v>163.01</v>
      </c>
      <c r="E477" s="841"/>
      <c r="F477" s="203">
        <f>VLOOKUP(A477,'Compos DER'!J:K,2,FALSE)</f>
        <v>163.02000000000001</v>
      </c>
      <c r="G477" s="198">
        <f t="shared" si="8"/>
        <v>1.0000613459297001</v>
      </c>
    </row>
    <row r="478" spans="1:7" x14ac:dyDescent="0.2">
      <c r="A478" s="806">
        <v>40678</v>
      </c>
      <c r="B478" s="839" t="s">
        <v>512</v>
      </c>
      <c r="C478" s="840" t="s">
        <v>1948</v>
      </c>
      <c r="D478" s="807">
        <v>372.38</v>
      </c>
      <c r="E478" s="841"/>
      <c r="F478" s="203">
        <f>VLOOKUP(A478,'Compos DER'!J:K,2,FALSE)</f>
        <v>390.07</v>
      </c>
      <c r="G478" s="198">
        <f t="shared" si="8"/>
        <v>1.04750523658628</v>
      </c>
    </row>
    <row r="479" spans="1:7" x14ac:dyDescent="0.2">
      <c r="A479" s="806">
        <v>40679</v>
      </c>
      <c r="B479" s="839" t="s">
        <v>513</v>
      </c>
      <c r="C479" s="840" t="s">
        <v>1910</v>
      </c>
      <c r="D479" s="807">
        <v>724.86</v>
      </c>
      <c r="E479" s="841"/>
      <c r="F479" s="203">
        <f>VLOOKUP(A479,'Compos DER'!J:K,2,FALSE)</f>
        <v>775.58</v>
      </c>
      <c r="G479" s="198">
        <f t="shared" si="8"/>
        <v>1.06997213254973</v>
      </c>
    </row>
    <row r="480" spans="1:7" x14ac:dyDescent="0.2">
      <c r="A480" s="806">
        <v>40684</v>
      </c>
      <c r="B480" s="839" t="s">
        <v>514</v>
      </c>
      <c r="C480" s="840" t="s">
        <v>1910</v>
      </c>
      <c r="D480" s="807">
        <v>777.08</v>
      </c>
      <c r="E480" s="841"/>
      <c r="F480" s="203">
        <f>VLOOKUP(A480,'Compos DER'!J:K,2,FALSE)</f>
        <v>849.87</v>
      </c>
      <c r="G480" s="198">
        <f t="shared" si="8"/>
        <v>1.0936711792865601</v>
      </c>
    </row>
    <row r="481" spans="1:7" x14ac:dyDescent="0.2">
      <c r="A481" s="806">
        <v>40683</v>
      </c>
      <c r="B481" s="839" t="s">
        <v>515</v>
      </c>
      <c r="C481" s="840" t="s">
        <v>1948</v>
      </c>
      <c r="D481" s="807">
        <v>388.1</v>
      </c>
      <c r="E481" s="841"/>
      <c r="F481" s="203">
        <f>VLOOKUP(A481,'Compos DER'!J:K,2,FALSE)</f>
        <v>413.42</v>
      </c>
      <c r="G481" s="198">
        <f t="shared" si="8"/>
        <v>1.06524091728936</v>
      </c>
    </row>
    <row r="482" spans="1:7" x14ac:dyDescent="0.2">
      <c r="A482" s="806">
        <v>40685</v>
      </c>
      <c r="B482" s="839" t="s">
        <v>516</v>
      </c>
      <c r="C482" s="840" t="s">
        <v>1910</v>
      </c>
      <c r="D482" s="807">
        <v>692.92</v>
      </c>
      <c r="E482" s="841"/>
      <c r="F482" s="203">
        <f>VLOOKUP(A482,'Compos DER'!J:K,2,FALSE)</f>
        <v>743.47</v>
      </c>
      <c r="G482" s="198">
        <f t="shared" si="8"/>
        <v>1.0729521445477099</v>
      </c>
    </row>
    <row r="483" spans="1:7" x14ac:dyDescent="0.2">
      <c r="A483" s="806">
        <v>40686</v>
      </c>
      <c r="B483" s="839" t="s">
        <v>517</v>
      </c>
      <c r="C483" s="840" t="s">
        <v>1948</v>
      </c>
      <c r="D483" s="807">
        <v>513.28</v>
      </c>
      <c r="E483" s="841"/>
      <c r="F483" s="203" t="e">
        <f>VLOOKUP(A483,'Compos DER'!J:K,2,FALSE)</f>
        <v>#N/A</v>
      </c>
      <c r="G483" s="198" t="e">
        <f t="shared" si="8"/>
        <v>#N/A</v>
      </c>
    </row>
    <row r="484" spans="1:7" x14ac:dyDescent="0.2">
      <c r="A484" s="806">
        <v>40687</v>
      </c>
      <c r="B484" s="839" t="s">
        <v>518</v>
      </c>
      <c r="C484" s="840" t="s">
        <v>1948</v>
      </c>
      <c r="D484" s="807">
        <v>482.42</v>
      </c>
      <c r="E484" s="841"/>
      <c r="F484" s="203" t="e">
        <f>VLOOKUP(A484,'Compos DER'!J:K,2,FALSE)</f>
        <v>#N/A</v>
      </c>
      <c r="G484" s="198" t="e">
        <f t="shared" si="8"/>
        <v>#N/A</v>
      </c>
    </row>
    <row r="485" spans="1:7" x14ac:dyDescent="0.2">
      <c r="A485" s="806">
        <v>40676</v>
      </c>
      <c r="B485" s="839" t="s">
        <v>519</v>
      </c>
      <c r="C485" s="840" t="s">
        <v>1948</v>
      </c>
      <c r="D485" s="807">
        <v>304.27</v>
      </c>
      <c r="E485" s="841"/>
      <c r="F485" s="203" t="e">
        <f>VLOOKUP(A485,'Compos DER'!J:K,2,FALSE)</f>
        <v>#N/A</v>
      </c>
      <c r="G485" s="198" t="e">
        <f t="shared" si="8"/>
        <v>#N/A</v>
      </c>
    </row>
    <row r="486" spans="1:7" x14ac:dyDescent="0.2">
      <c r="A486" s="806">
        <v>40677</v>
      </c>
      <c r="B486" s="839" t="s">
        <v>520</v>
      </c>
      <c r="C486" s="840" t="s">
        <v>1910</v>
      </c>
      <c r="D486" s="807">
        <v>647.02</v>
      </c>
      <c r="E486" s="841"/>
      <c r="F486" s="203" t="e">
        <f>VLOOKUP(A486,'Compos DER'!J:K,2,FALSE)</f>
        <v>#N/A</v>
      </c>
      <c r="G486" s="198" t="e">
        <f t="shared" si="8"/>
        <v>#N/A</v>
      </c>
    </row>
    <row r="487" spans="1:7" x14ac:dyDescent="0.2">
      <c r="A487" s="806">
        <v>40681</v>
      </c>
      <c r="B487" s="839" t="s">
        <v>521</v>
      </c>
      <c r="C487" s="840" t="s">
        <v>1910</v>
      </c>
      <c r="D487" s="807">
        <v>720.17</v>
      </c>
      <c r="E487" s="841"/>
      <c r="F487" s="203" t="e">
        <f>VLOOKUP(A487,'Compos DER'!J:K,2,FALSE)</f>
        <v>#N/A</v>
      </c>
      <c r="G487" s="198" t="e">
        <f t="shared" si="8"/>
        <v>#N/A</v>
      </c>
    </row>
    <row r="488" spans="1:7" x14ac:dyDescent="0.2">
      <c r="A488" s="806">
        <v>40680</v>
      </c>
      <c r="B488" s="839" t="s">
        <v>522</v>
      </c>
      <c r="C488" s="840" t="s">
        <v>1948</v>
      </c>
      <c r="D488" s="807">
        <v>368.64</v>
      </c>
      <c r="E488" s="841"/>
      <c r="F488" s="203" t="e">
        <f>VLOOKUP(A488,'Compos DER'!J:K,2,FALSE)</f>
        <v>#N/A</v>
      </c>
      <c r="G488" s="198" t="e">
        <f t="shared" si="8"/>
        <v>#N/A</v>
      </c>
    </row>
    <row r="489" spans="1:7" x14ac:dyDescent="0.2">
      <c r="A489" s="806">
        <v>40682</v>
      </c>
      <c r="B489" s="839" t="s">
        <v>523</v>
      </c>
      <c r="C489" s="840" t="s">
        <v>1910</v>
      </c>
      <c r="D489" s="807">
        <v>644.27</v>
      </c>
      <c r="E489" s="841"/>
      <c r="F489" s="203" t="e">
        <f>VLOOKUP(A489,'Compos DER'!J:K,2,FALSE)</f>
        <v>#N/A</v>
      </c>
      <c r="G489" s="198" t="e">
        <f t="shared" si="8"/>
        <v>#N/A</v>
      </c>
    </row>
    <row r="490" spans="1:7" x14ac:dyDescent="0.2">
      <c r="A490" s="806">
        <v>41189</v>
      </c>
      <c r="B490" s="839" t="s">
        <v>524</v>
      </c>
      <c r="C490" s="840" t="s">
        <v>1948</v>
      </c>
      <c r="D490" s="807">
        <v>39.08</v>
      </c>
      <c r="E490" s="841" t="s">
        <v>1209</v>
      </c>
      <c r="F490" s="203" t="e">
        <f>VLOOKUP(A490,'Compos DER'!J:K,2,FALSE)</f>
        <v>#N/A</v>
      </c>
      <c r="G490" s="198" t="e">
        <f t="shared" si="8"/>
        <v>#N/A</v>
      </c>
    </row>
    <row r="491" spans="1:7" x14ac:dyDescent="0.2">
      <c r="A491" s="806">
        <v>40728</v>
      </c>
      <c r="B491" s="839" t="s">
        <v>525</v>
      </c>
      <c r="C491" s="840" t="s">
        <v>1910</v>
      </c>
      <c r="D491" s="807">
        <v>354.85</v>
      </c>
      <c r="E491" s="839" t="s">
        <v>1209</v>
      </c>
      <c r="F491" s="203" t="e">
        <f>VLOOKUP(A491,'Compos DER'!J:K,2,FALSE)</f>
        <v>#N/A</v>
      </c>
      <c r="G491" s="198" t="e">
        <f t="shared" si="8"/>
        <v>#N/A</v>
      </c>
    </row>
    <row r="492" spans="1:7" x14ac:dyDescent="0.2">
      <c r="A492" s="806">
        <v>40732</v>
      </c>
      <c r="B492" s="839" t="s">
        <v>526</v>
      </c>
      <c r="C492" s="840" t="s">
        <v>1910</v>
      </c>
      <c r="D492" s="807">
        <v>628.42999999999995</v>
      </c>
      <c r="E492" s="839" t="s">
        <v>1209</v>
      </c>
      <c r="F492" s="203" t="e">
        <f>VLOOKUP(A492,'Compos DER'!J:K,2,FALSE)</f>
        <v>#N/A</v>
      </c>
      <c r="G492" s="198" t="e">
        <f t="shared" si="8"/>
        <v>#N/A</v>
      </c>
    </row>
    <row r="493" spans="1:7" x14ac:dyDescent="0.2">
      <c r="A493" s="806">
        <v>40733</v>
      </c>
      <c r="B493" s="839" t="s">
        <v>527</v>
      </c>
      <c r="C493" s="840" t="s">
        <v>1910</v>
      </c>
      <c r="D493" s="807">
        <v>1541.11</v>
      </c>
      <c r="E493" s="839" t="s">
        <v>1209</v>
      </c>
      <c r="F493" s="203" t="e">
        <f>VLOOKUP(A493,'Compos DER'!J:K,2,FALSE)</f>
        <v>#N/A</v>
      </c>
      <c r="G493" s="198" t="e">
        <f t="shared" si="8"/>
        <v>#N/A</v>
      </c>
    </row>
    <row r="494" spans="1:7" x14ac:dyDescent="0.2">
      <c r="A494" s="806">
        <v>40734</v>
      </c>
      <c r="B494" s="839" t="s">
        <v>528</v>
      </c>
      <c r="C494" s="840" t="s">
        <v>1910</v>
      </c>
      <c r="D494" s="808">
        <v>2410.0700000000002</v>
      </c>
      <c r="E494" s="839" t="s">
        <v>1209</v>
      </c>
      <c r="F494" s="203">
        <f>VLOOKUP(A494,'Compos DER'!J:K,2,FALSE)</f>
        <v>2637.93</v>
      </c>
      <c r="G494" s="198">
        <f t="shared" si="8"/>
        <v>1.09454497172281</v>
      </c>
    </row>
    <row r="495" spans="1:7" x14ac:dyDescent="0.2">
      <c r="A495" s="806">
        <v>40735</v>
      </c>
      <c r="B495" s="839" t="s">
        <v>529</v>
      </c>
      <c r="C495" s="840" t="s">
        <v>1910</v>
      </c>
      <c r="D495" s="808">
        <v>3478.94</v>
      </c>
      <c r="E495" s="839" t="s">
        <v>1209</v>
      </c>
      <c r="F495" s="203">
        <f>VLOOKUP(A495,'Compos DER'!J:K,2,FALSE)</f>
        <v>3815.5</v>
      </c>
      <c r="G495" s="198">
        <f t="shared" si="8"/>
        <v>1.0967421111028099</v>
      </c>
    </row>
    <row r="496" spans="1:7" x14ac:dyDescent="0.2">
      <c r="A496" s="806">
        <v>40736</v>
      </c>
      <c r="B496" s="839" t="s">
        <v>530</v>
      </c>
      <c r="C496" s="840" t="s">
        <v>1910</v>
      </c>
      <c r="D496" s="808">
        <v>4677.09</v>
      </c>
      <c r="E496" s="839" t="s">
        <v>1209</v>
      </c>
      <c r="F496" s="203" t="e">
        <f>VLOOKUP(A496,'Compos DER'!J:K,2,FALSE)</f>
        <v>#N/A</v>
      </c>
      <c r="G496" s="198" t="e">
        <f t="shared" si="8"/>
        <v>#N/A</v>
      </c>
    </row>
    <row r="497" spans="1:7" x14ac:dyDescent="0.2">
      <c r="A497" s="806">
        <v>40737</v>
      </c>
      <c r="B497" s="839" t="s">
        <v>531</v>
      </c>
      <c r="C497" s="840" t="s">
        <v>1910</v>
      </c>
      <c r="D497" s="808">
        <v>7420.33</v>
      </c>
      <c r="E497" s="839" t="s">
        <v>1209</v>
      </c>
      <c r="F497" s="203" t="e">
        <f>VLOOKUP(A497,'Compos DER'!J:K,2,FALSE)</f>
        <v>#N/A</v>
      </c>
      <c r="G497" s="198" t="e">
        <f t="shared" si="8"/>
        <v>#N/A</v>
      </c>
    </row>
    <row r="498" spans="1:7" x14ac:dyDescent="0.2">
      <c r="A498" s="806">
        <v>40738</v>
      </c>
      <c r="B498" s="839" t="s">
        <v>532</v>
      </c>
      <c r="C498" s="840" t="s">
        <v>1910</v>
      </c>
      <c r="D498" s="808">
        <v>4755.09</v>
      </c>
      <c r="E498" s="839" t="s">
        <v>1209</v>
      </c>
      <c r="F498" s="203" t="e">
        <f>VLOOKUP(A498,'Compos DER'!J:K,2,FALSE)</f>
        <v>#N/A</v>
      </c>
      <c r="G498" s="198" t="e">
        <f t="shared" si="8"/>
        <v>#N/A</v>
      </c>
    </row>
    <row r="499" spans="1:7" x14ac:dyDescent="0.2">
      <c r="A499" s="806">
        <v>40739</v>
      </c>
      <c r="B499" s="839" t="s">
        <v>533</v>
      </c>
      <c r="C499" s="840" t="s">
        <v>1910</v>
      </c>
      <c r="D499" s="808">
        <v>6396.69</v>
      </c>
      <c r="E499" s="839" t="s">
        <v>1209</v>
      </c>
      <c r="F499" s="203" t="e">
        <f>VLOOKUP(A499,'Compos DER'!J:K,2,FALSE)</f>
        <v>#N/A</v>
      </c>
      <c r="G499" s="198" t="e">
        <f t="shared" si="8"/>
        <v>#N/A</v>
      </c>
    </row>
    <row r="500" spans="1:7" x14ac:dyDescent="0.2">
      <c r="A500" s="806">
        <v>40740</v>
      </c>
      <c r="B500" s="839" t="s">
        <v>534</v>
      </c>
      <c r="C500" s="840" t="s">
        <v>1910</v>
      </c>
      <c r="D500" s="808">
        <v>9907.34</v>
      </c>
      <c r="E500" s="839" t="s">
        <v>1209</v>
      </c>
      <c r="F500" s="203" t="e">
        <f>VLOOKUP(A500,'Compos DER'!J:K,2,FALSE)</f>
        <v>#N/A</v>
      </c>
      <c r="G500" s="198" t="e">
        <f t="shared" si="8"/>
        <v>#N/A</v>
      </c>
    </row>
    <row r="501" spans="1:7" x14ac:dyDescent="0.2">
      <c r="A501" s="806">
        <v>40741</v>
      </c>
      <c r="B501" s="839" t="s">
        <v>535</v>
      </c>
      <c r="C501" s="840" t="s">
        <v>1910</v>
      </c>
      <c r="D501" s="808">
        <v>6038.9</v>
      </c>
      <c r="E501" s="839" t="s">
        <v>1209</v>
      </c>
      <c r="F501" s="203" t="e">
        <f>VLOOKUP(A501,'Compos DER'!J:K,2,FALSE)</f>
        <v>#N/A</v>
      </c>
      <c r="G501" s="198" t="e">
        <f t="shared" si="8"/>
        <v>#N/A</v>
      </c>
    </row>
    <row r="502" spans="1:7" x14ac:dyDescent="0.2">
      <c r="A502" s="806">
        <v>40742</v>
      </c>
      <c r="B502" s="839" t="s">
        <v>536</v>
      </c>
      <c r="C502" s="840" t="s">
        <v>1910</v>
      </c>
      <c r="D502" s="808">
        <v>12392.34</v>
      </c>
      <c r="E502" s="839" t="s">
        <v>1209</v>
      </c>
      <c r="F502" s="203" t="e">
        <f>VLOOKUP(A502,'Compos DER'!J:K,2,FALSE)</f>
        <v>#N/A</v>
      </c>
      <c r="G502" s="198" t="e">
        <f t="shared" si="8"/>
        <v>#N/A</v>
      </c>
    </row>
    <row r="503" spans="1:7" x14ac:dyDescent="0.2">
      <c r="A503" s="806">
        <v>40729</v>
      </c>
      <c r="B503" s="839" t="s">
        <v>537</v>
      </c>
      <c r="C503" s="840" t="s">
        <v>1910</v>
      </c>
      <c r="D503" s="808">
        <v>298.37</v>
      </c>
      <c r="E503" s="839" t="s">
        <v>1209</v>
      </c>
      <c r="F503" s="203" t="e">
        <f>VLOOKUP(A503,'Compos DER'!J:K,2,FALSE)</f>
        <v>#N/A</v>
      </c>
      <c r="G503" s="198" t="e">
        <f t="shared" si="8"/>
        <v>#N/A</v>
      </c>
    </row>
    <row r="504" spans="1:7" x14ac:dyDescent="0.2">
      <c r="A504" s="806">
        <v>40730</v>
      </c>
      <c r="B504" s="839" t="s">
        <v>538</v>
      </c>
      <c r="C504" s="840" t="s">
        <v>1910</v>
      </c>
      <c r="D504" s="807">
        <v>354.85</v>
      </c>
      <c r="E504" s="839" t="s">
        <v>1209</v>
      </c>
      <c r="F504" s="203" t="e">
        <f>VLOOKUP(A504,'Compos DER'!J:K,2,FALSE)</f>
        <v>#N/A</v>
      </c>
      <c r="G504" s="198" t="e">
        <f t="shared" si="8"/>
        <v>#N/A</v>
      </c>
    </row>
    <row r="505" spans="1:7" x14ac:dyDescent="0.2">
      <c r="A505" s="806">
        <v>40731</v>
      </c>
      <c r="B505" s="839" t="s">
        <v>539</v>
      </c>
      <c r="C505" s="840" t="s">
        <v>1910</v>
      </c>
      <c r="D505" s="807">
        <v>423.14</v>
      </c>
      <c r="E505" s="839" t="s">
        <v>1209</v>
      </c>
      <c r="F505" s="203" t="e">
        <f>VLOOKUP(A505,'Compos DER'!J:K,2,FALSE)</f>
        <v>#N/A</v>
      </c>
      <c r="G505" s="198" t="e">
        <f t="shared" si="8"/>
        <v>#N/A</v>
      </c>
    </row>
    <row r="506" spans="1:7" ht="25.5" x14ac:dyDescent="0.2">
      <c r="A506" s="806">
        <v>40650</v>
      </c>
      <c r="B506" s="839" t="s">
        <v>2105</v>
      </c>
      <c r="C506" s="840" t="s">
        <v>1948</v>
      </c>
      <c r="D506" s="807">
        <v>53.81</v>
      </c>
      <c r="E506" s="839" t="s">
        <v>1209</v>
      </c>
      <c r="F506" s="203" t="e">
        <f>VLOOKUP(A506,'Compos DER'!J:K,2,FALSE)</f>
        <v>#N/A</v>
      </c>
      <c r="G506" s="198" t="e">
        <f t="shared" si="8"/>
        <v>#N/A</v>
      </c>
    </row>
    <row r="507" spans="1:7" x14ac:dyDescent="0.2">
      <c r="A507" s="806">
        <v>40637</v>
      </c>
      <c r="B507" s="842" t="s">
        <v>2106</v>
      </c>
      <c r="C507" s="840" t="s">
        <v>1948</v>
      </c>
      <c r="D507" s="807">
        <v>31.5</v>
      </c>
      <c r="E507" s="839"/>
      <c r="F507" s="203" t="e">
        <f>VLOOKUP(A507,'Compos DER'!J:K,2,FALSE)</f>
        <v>#N/A</v>
      </c>
      <c r="G507" s="198" t="e">
        <f t="shared" si="8"/>
        <v>#N/A</v>
      </c>
    </row>
    <row r="508" spans="1:7" x14ac:dyDescent="0.2">
      <c r="A508" s="806">
        <v>40636</v>
      </c>
      <c r="B508" s="839" t="s">
        <v>2107</v>
      </c>
      <c r="C508" s="840" t="s">
        <v>1948</v>
      </c>
      <c r="D508" s="807">
        <v>21.69</v>
      </c>
      <c r="E508" s="841"/>
      <c r="F508" s="203" t="e">
        <f>VLOOKUP(A508,'Compos DER'!J:K,2,FALSE)</f>
        <v>#N/A</v>
      </c>
      <c r="G508" s="198" t="e">
        <f t="shared" si="8"/>
        <v>#N/A</v>
      </c>
    </row>
    <row r="509" spans="1:7" ht="25.5" x14ac:dyDescent="0.2">
      <c r="A509" s="806">
        <v>40712</v>
      </c>
      <c r="B509" s="839" t="s">
        <v>2108</v>
      </c>
      <c r="C509" s="840" t="s">
        <v>1948</v>
      </c>
      <c r="D509" s="807">
        <v>92.19</v>
      </c>
      <c r="E509" s="841" t="s">
        <v>1209</v>
      </c>
      <c r="F509" s="203" t="e">
        <f>VLOOKUP(A509,'Compos DER'!J:K,2,FALSE)</f>
        <v>#N/A</v>
      </c>
      <c r="G509" s="198" t="e">
        <f t="shared" si="8"/>
        <v>#N/A</v>
      </c>
    </row>
    <row r="510" spans="1:7" ht="25.5" x14ac:dyDescent="0.2">
      <c r="A510" s="806">
        <v>40713</v>
      </c>
      <c r="B510" s="842" t="s">
        <v>2109</v>
      </c>
      <c r="C510" s="840" t="s">
        <v>1948</v>
      </c>
      <c r="D510" s="807">
        <v>119.09</v>
      </c>
      <c r="E510" s="839" t="s">
        <v>1209</v>
      </c>
      <c r="F510" s="203" t="e">
        <f>VLOOKUP(A510,'Compos DER'!J:K,2,FALSE)</f>
        <v>#N/A</v>
      </c>
      <c r="G510" s="198" t="e">
        <f t="shared" si="8"/>
        <v>#N/A</v>
      </c>
    </row>
    <row r="511" spans="1:7" ht="25.5" x14ac:dyDescent="0.2">
      <c r="A511" s="806">
        <v>41262</v>
      </c>
      <c r="B511" s="842" t="s">
        <v>2110</v>
      </c>
      <c r="C511" s="840" t="s">
        <v>1948</v>
      </c>
      <c r="D511" s="807">
        <v>92.73</v>
      </c>
      <c r="E511" s="839"/>
      <c r="F511" s="203" t="e">
        <f>VLOOKUP(A511,'Compos DER'!J:K,2,FALSE)</f>
        <v>#N/A</v>
      </c>
      <c r="G511" s="198" t="e">
        <f t="shared" si="8"/>
        <v>#N/A</v>
      </c>
    </row>
    <row r="512" spans="1:7" x14ac:dyDescent="0.2">
      <c r="A512" s="806">
        <v>41259</v>
      </c>
      <c r="B512" s="842" t="s">
        <v>540</v>
      </c>
      <c r="C512" s="840" t="s">
        <v>1948</v>
      </c>
      <c r="D512" s="807">
        <v>19.36</v>
      </c>
      <c r="E512" s="843"/>
      <c r="F512" s="203" t="e">
        <f>VLOOKUP(A512,'Compos DER'!J:K,2,FALSE)</f>
        <v>#N/A</v>
      </c>
      <c r="G512" s="198" t="e">
        <f t="shared" si="8"/>
        <v>#N/A</v>
      </c>
    </row>
    <row r="513" spans="1:7" x14ac:dyDescent="0.2">
      <c r="A513" s="806">
        <v>40640</v>
      </c>
      <c r="B513" s="839" t="s">
        <v>2111</v>
      </c>
      <c r="C513" s="840" t="s">
        <v>1948</v>
      </c>
      <c r="D513" s="807">
        <v>101.88</v>
      </c>
      <c r="E513" s="841" t="s">
        <v>1209</v>
      </c>
      <c r="F513" s="203" t="e">
        <f>VLOOKUP(A513,'Compos DER'!J:K,2,FALSE)</f>
        <v>#N/A</v>
      </c>
      <c r="G513" s="198" t="e">
        <f t="shared" si="8"/>
        <v>#N/A</v>
      </c>
    </row>
    <row r="514" spans="1:7" x14ac:dyDescent="0.2">
      <c r="A514" s="806">
        <v>40642</v>
      </c>
      <c r="B514" s="842" t="s">
        <v>2112</v>
      </c>
      <c r="C514" s="840" t="s">
        <v>1948</v>
      </c>
      <c r="D514" s="807">
        <v>103.49</v>
      </c>
      <c r="E514" s="839" t="s">
        <v>1209</v>
      </c>
      <c r="F514" s="203" t="e">
        <f>VLOOKUP(A514,'Compos DER'!J:K,2,FALSE)</f>
        <v>#N/A</v>
      </c>
      <c r="G514" s="198" t="e">
        <f t="shared" si="8"/>
        <v>#N/A</v>
      </c>
    </row>
    <row r="515" spans="1:7" x14ac:dyDescent="0.2">
      <c r="A515" s="806">
        <v>40643</v>
      </c>
      <c r="B515" s="842" t="s">
        <v>2113</v>
      </c>
      <c r="C515" s="840" t="s">
        <v>1948</v>
      </c>
      <c r="D515" s="807">
        <v>111.14</v>
      </c>
      <c r="E515" s="839" t="s">
        <v>1209</v>
      </c>
      <c r="F515" s="203" t="e">
        <f>VLOOKUP(A515,'Compos DER'!J:K,2,FALSE)</f>
        <v>#N/A</v>
      </c>
      <c r="G515" s="198" t="e">
        <f t="shared" si="8"/>
        <v>#N/A</v>
      </c>
    </row>
    <row r="516" spans="1:7" x14ac:dyDescent="0.2">
      <c r="A516" s="806">
        <v>40641</v>
      </c>
      <c r="B516" s="842" t="s">
        <v>2114</v>
      </c>
      <c r="C516" s="840" t="s">
        <v>1948</v>
      </c>
      <c r="D516" s="807">
        <v>97.37</v>
      </c>
      <c r="E516" s="839" t="s">
        <v>1209</v>
      </c>
      <c r="F516" s="203" t="e">
        <f>VLOOKUP(A516,'Compos DER'!J:K,2,FALSE)</f>
        <v>#N/A</v>
      </c>
      <c r="G516" s="198" t="e">
        <f t="shared" si="8"/>
        <v>#N/A</v>
      </c>
    </row>
    <row r="517" spans="1:7" ht="25.5" x14ac:dyDescent="0.2">
      <c r="A517" s="806">
        <v>40648</v>
      </c>
      <c r="B517" s="842" t="s">
        <v>2115</v>
      </c>
      <c r="C517" s="840" t="s">
        <v>1948</v>
      </c>
      <c r="D517" s="807">
        <v>124.92</v>
      </c>
      <c r="E517" s="839" t="s">
        <v>1209</v>
      </c>
      <c r="F517" s="203" t="e">
        <f>VLOOKUP(A517,'Compos DER'!J:K,2,FALSE)</f>
        <v>#N/A</v>
      </c>
      <c r="G517" s="198" t="e">
        <f t="shared" ref="G517:G580" si="9">+F517/D517</f>
        <v>#N/A</v>
      </c>
    </row>
    <row r="518" spans="1:7" ht="25.5" x14ac:dyDescent="0.2">
      <c r="A518" s="806">
        <v>40649</v>
      </c>
      <c r="B518" s="842" t="s">
        <v>2116</v>
      </c>
      <c r="C518" s="840" t="s">
        <v>1948</v>
      </c>
      <c r="D518" s="807">
        <v>101.23</v>
      </c>
      <c r="E518" s="839" t="s">
        <v>1209</v>
      </c>
      <c r="F518" s="203" t="e">
        <f>VLOOKUP(A518,'Compos DER'!J:K,2,FALSE)</f>
        <v>#N/A</v>
      </c>
      <c r="G518" s="198" t="e">
        <f t="shared" si="9"/>
        <v>#N/A</v>
      </c>
    </row>
    <row r="519" spans="1:7" ht="25.5" x14ac:dyDescent="0.2">
      <c r="A519" s="806">
        <v>40645</v>
      </c>
      <c r="B519" s="842" t="s">
        <v>2117</v>
      </c>
      <c r="C519" s="840" t="s">
        <v>1948</v>
      </c>
      <c r="D519" s="807">
        <v>224.99</v>
      </c>
      <c r="E519" s="839" t="s">
        <v>1209</v>
      </c>
      <c r="F519" s="203" t="e">
        <f>VLOOKUP(A519,'Compos DER'!J:K,2,FALSE)</f>
        <v>#N/A</v>
      </c>
      <c r="G519" s="198" t="e">
        <f t="shared" si="9"/>
        <v>#N/A</v>
      </c>
    </row>
    <row r="520" spans="1:7" ht="25.5" x14ac:dyDescent="0.2">
      <c r="A520" s="806">
        <v>40644</v>
      </c>
      <c r="B520" s="842" t="s">
        <v>2118</v>
      </c>
      <c r="C520" s="840" t="s">
        <v>1948</v>
      </c>
      <c r="D520" s="807">
        <v>137.24</v>
      </c>
      <c r="E520" s="839" t="s">
        <v>1209</v>
      </c>
      <c r="F520" s="203" t="e">
        <f>VLOOKUP(A520,'Compos DER'!J:K,2,FALSE)</f>
        <v>#N/A</v>
      </c>
      <c r="G520" s="198" t="e">
        <f t="shared" si="9"/>
        <v>#N/A</v>
      </c>
    </row>
    <row r="521" spans="1:7" ht="25.5" x14ac:dyDescent="0.2">
      <c r="A521" s="806">
        <v>40646</v>
      </c>
      <c r="B521" s="842" t="s">
        <v>2119</v>
      </c>
      <c r="C521" s="840" t="s">
        <v>1948</v>
      </c>
      <c r="D521" s="807">
        <v>122.25</v>
      </c>
      <c r="E521" s="839" t="s">
        <v>1209</v>
      </c>
      <c r="F521" s="203" t="e">
        <f>VLOOKUP(A521,'Compos DER'!J:K,2,FALSE)</f>
        <v>#N/A</v>
      </c>
      <c r="G521" s="198" t="e">
        <f t="shared" si="9"/>
        <v>#N/A</v>
      </c>
    </row>
    <row r="522" spans="1:7" ht="25.5" x14ac:dyDescent="0.2">
      <c r="A522" s="806">
        <v>40647</v>
      </c>
      <c r="B522" s="842" t="s">
        <v>2120</v>
      </c>
      <c r="C522" s="840" t="s">
        <v>1948</v>
      </c>
      <c r="D522" s="807">
        <v>117.26</v>
      </c>
      <c r="E522" s="839" t="s">
        <v>1209</v>
      </c>
      <c r="F522" s="203">
        <f>VLOOKUP(A522,'Compos DER'!J:K,2,FALSE)</f>
        <v>142.43</v>
      </c>
      <c r="G522" s="198">
        <f t="shared" si="9"/>
        <v>1.21465120245608</v>
      </c>
    </row>
    <row r="523" spans="1:7" ht="25.5" x14ac:dyDescent="0.2">
      <c r="A523" s="806">
        <v>40704</v>
      </c>
      <c r="B523" s="842" t="s">
        <v>2121</v>
      </c>
      <c r="C523" s="840" t="s">
        <v>1948</v>
      </c>
      <c r="D523" s="807">
        <v>91.02</v>
      </c>
      <c r="E523" s="839" t="s">
        <v>1209</v>
      </c>
      <c r="F523" s="203" t="e">
        <f>VLOOKUP(A523,'Compos DER'!J:K,2,FALSE)</f>
        <v>#N/A</v>
      </c>
      <c r="G523" s="198" t="e">
        <f t="shared" si="9"/>
        <v>#N/A</v>
      </c>
    </row>
    <row r="524" spans="1:7" ht="25.5" x14ac:dyDescent="0.2">
      <c r="A524" s="806">
        <v>41107</v>
      </c>
      <c r="B524" s="842" t="s">
        <v>2122</v>
      </c>
      <c r="C524" s="840" t="s">
        <v>1948</v>
      </c>
      <c r="D524" s="807">
        <v>123.12</v>
      </c>
      <c r="E524" s="839" t="s">
        <v>1209</v>
      </c>
      <c r="F524" s="203" t="e">
        <f>VLOOKUP(A524,'Compos DER'!J:K,2,FALSE)</f>
        <v>#N/A</v>
      </c>
      <c r="G524" s="198" t="e">
        <f t="shared" si="9"/>
        <v>#N/A</v>
      </c>
    </row>
    <row r="525" spans="1:7" x14ac:dyDescent="0.2">
      <c r="A525" s="806">
        <v>40638</v>
      </c>
      <c r="B525" s="842" t="s">
        <v>2123</v>
      </c>
      <c r="C525" s="840" t="s">
        <v>1948</v>
      </c>
      <c r="D525" s="807">
        <v>467.21</v>
      </c>
      <c r="E525" s="839"/>
      <c r="F525" s="203" t="e">
        <f>VLOOKUP(A525,'Compos DER'!J:K,2,FALSE)</f>
        <v>#N/A</v>
      </c>
      <c r="G525" s="198" t="e">
        <f t="shared" si="9"/>
        <v>#N/A</v>
      </c>
    </row>
    <row r="526" spans="1:7" ht="25.5" x14ac:dyDescent="0.2">
      <c r="A526" s="806">
        <v>41188</v>
      </c>
      <c r="B526" s="842" t="s">
        <v>2124</v>
      </c>
      <c r="C526" s="840" t="s">
        <v>1948</v>
      </c>
      <c r="D526" s="807">
        <v>743.57</v>
      </c>
      <c r="E526" s="843"/>
      <c r="F526" s="203" t="e">
        <f>VLOOKUP(A526,'Compos DER'!J:K,2,FALSE)</f>
        <v>#N/A</v>
      </c>
      <c r="G526" s="198" t="e">
        <f t="shared" si="9"/>
        <v>#N/A</v>
      </c>
    </row>
    <row r="527" spans="1:7" x14ac:dyDescent="0.2">
      <c r="A527" s="806">
        <v>41187</v>
      </c>
      <c r="B527" s="842" t="s">
        <v>2125</v>
      </c>
      <c r="C527" s="840" t="s">
        <v>1948</v>
      </c>
      <c r="D527" s="807">
        <v>983.41</v>
      </c>
      <c r="E527" s="843"/>
      <c r="F527" s="203" t="e">
        <f>VLOOKUP(A527,'Compos DER'!J:K,2,FALSE)</f>
        <v>#N/A</v>
      </c>
      <c r="G527" s="198" t="e">
        <f t="shared" si="9"/>
        <v>#N/A</v>
      </c>
    </row>
    <row r="528" spans="1:7" ht="25.5" x14ac:dyDescent="0.2">
      <c r="A528" s="806">
        <v>40705</v>
      </c>
      <c r="B528" s="842" t="s">
        <v>2126</v>
      </c>
      <c r="C528" s="840" t="s">
        <v>1948</v>
      </c>
      <c r="D528" s="807">
        <v>75.27</v>
      </c>
      <c r="E528" s="843" t="s">
        <v>1209</v>
      </c>
      <c r="F528" s="203" t="e">
        <f>VLOOKUP(A528,'Compos DER'!J:K,2,FALSE)</f>
        <v>#N/A</v>
      </c>
      <c r="G528" s="198" t="e">
        <f t="shared" si="9"/>
        <v>#N/A</v>
      </c>
    </row>
    <row r="529" spans="1:7" x14ac:dyDescent="0.2">
      <c r="A529" s="806">
        <v>40639</v>
      </c>
      <c r="B529" s="842" t="s">
        <v>1659</v>
      </c>
      <c r="C529" s="840" t="s">
        <v>1948</v>
      </c>
      <c r="D529" s="807">
        <v>474.51</v>
      </c>
      <c r="E529" s="839"/>
      <c r="F529" s="203" t="e">
        <f>VLOOKUP(A529,'Compos DER'!J:K,2,FALSE)</f>
        <v>#N/A</v>
      </c>
      <c r="G529" s="198" t="e">
        <f t="shared" si="9"/>
        <v>#N/A</v>
      </c>
    </row>
    <row r="530" spans="1:7" x14ac:dyDescent="0.2">
      <c r="A530" s="806">
        <v>41227</v>
      </c>
      <c r="B530" s="839" t="s">
        <v>2127</v>
      </c>
      <c r="C530" s="840" t="s">
        <v>1948</v>
      </c>
      <c r="D530" s="807">
        <v>115.68</v>
      </c>
      <c r="E530" s="841"/>
      <c r="F530" s="203" t="e">
        <f>VLOOKUP(A530,'Compos DER'!J:K,2,FALSE)</f>
        <v>#N/A</v>
      </c>
      <c r="G530" s="198" t="e">
        <f t="shared" si="9"/>
        <v>#N/A</v>
      </c>
    </row>
    <row r="531" spans="1:7" x14ac:dyDescent="0.2">
      <c r="A531" s="806">
        <v>40951</v>
      </c>
      <c r="B531" s="842" t="s">
        <v>541</v>
      </c>
      <c r="C531" s="840" t="s">
        <v>1948</v>
      </c>
      <c r="D531" s="807">
        <v>24.38</v>
      </c>
      <c r="E531" s="843"/>
      <c r="F531" s="203" t="e">
        <f>VLOOKUP(A531,'Compos DER'!J:K,2,FALSE)</f>
        <v>#N/A</v>
      </c>
      <c r="G531" s="198" t="e">
        <f t="shared" si="9"/>
        <v>#N/A</v>
      </c>
    </row>
    <row r="532" spans="1:7" x14ac:dyDescent="0.2">
      <c r="A532" s="806">
        <v>41121</v>
      </c>
      <c r="B532" s="839" t="s">
        <v>542</v>
      </c>
      <c r="C532" s="840" t="s">
        <v>1948</v>
      </c>
      <c r="D532" s="807">
        <v>23.55</v>
      </c>
      <c r="E532" s="841"/>
      <c r="F532" s="203" t="e">
        <f>VLOOKUP(A532,'Compos DER'!J:K,2,FALSE)</f>
        <v>#N/A</v>
      </c>
      <c r="G532" s="198" t="e">
        <f t="shared" si="9"/>
        <v>#N/A</v>
      </c>
    </row>
    <row r="533" spans="1:7" x14ac:dyDescent="0.2">
      <c r="A533" s="806">
        <v>41120</v>
      </c>
      <c r="B533" s="839" t="s">
        <v>543</v>
      </c>
      <c r="C533" s="840" t="s">
        <v>1948</v>
      </c>
      <c r="D533" s="807">
        <v>15.92</v>
      </c>
      <c r="E533" s="841"/>
      <c r="F533" s="203" t="e">
        <f>VLOOKUP(A533,'Compos DER'!J:K,2,FALSE)</f>
        <v>#N/A</v>
      </c>
      <c r="G533" s="198" t="e">
        <f t="shared" si="9"/>
        <v>#N/A</v>
      </c>
    </row>
    <row r="534" spans="1:7" x14ac:dyDescent="0.2">
      <c r="A534" s="806">
        <v>41128</v>
      </c>
      <c r="B534" s="839" t="s">
        <v>2128</v>
      </c>
      <c r="C534" s="840" t="s">
        <v>1948</v>
      </c>
      <c r="D534" s="807">
        <v>7.51</v>
      </c>
      <c r="E534" s="841"/>
      <c r="F534" s="203" t="e">
        <f>VLOOKUP(A534,'Compos DER'!J:K,2,FALSE)</f>
        <v>#N/A</v>
      </c>
      <c r="G534" s="198" t="e">
        <f t="shared" si="9"/>
        <v>#N/A</v>
      </c>
    </row>
    <row r="535" spans="1:7" x14ac:dyDescent="0.2">
      <c r="A535" s="806">
        <v>41129</v>
      </c>
      <c r="B535" s="839" t="s">
        <v>544</v>
      </c>
      <c r="C535" s="840" t="s">
        <v>1948</v>
      </c>
      <c r="D535" s="807">
        <v>8.49</v>
      </c>
      <c r="E535" s="841"/>
      <c r="F535" s="203" t="e">
        <f>VLOOKUP(A535,'Compos DER'!J:K,2,FALSE)</f>
        <v>#N/A</v>
      </c>
      <c r="G535" s="198" t="e">
        <f t="shared" si="9"/>
        <v>#N/A</v>
      </c>
    </row>
    <row r="536" spans="1:7" x14ac:dyDescent="0.2">
      <c r="A536" s="806">
        <v>41131</v>
      </c>
      <c r="B536" s="839" t="s">
        <v>545</v>
      </c>
      <c r="C536" s="840" t="s">
        <v>1948</v>
      </c>
      <c r="D536" s="807">
        <v>10.02</v>
      </c>
      <c r="E536" s="841"/>
      <c r="F536" s="203" t="e">
        <f>VLOOKUP(A536,'Compos DER'!J:K,2,FALSE)</f>
        <v>#N/A</v>
      </c>
      <c r="G536" s="198" t="e">
        <f t="shared" si="9"/>
        <v>#N/A</v>
      </c>
    </row>
    <row r="537" spans="1:7" x14ac:dyDescent="0.2">
      <c r="A537" s="806">
        <v>41130</v>
      </c>
      <c r="B537" s="839" t="s">
        <v>546</v>
      </c>
      <c r="C537" s="840" t="s">
        <v>1948</v>
      </c>
      <c r="D537" s="807">
        <v>17.98</v>
      </c>
      <c r="E537" s="841"/>
      <c r="F537" s="203" t="e">
        <f>VLOOKUP(A537,'Compos DER'!J:K,2,FALSE)</f>
        <v>#N/A</v>
      </c>
      <c r="G537" s="198" t="e">
        <f t="shared" si="9"/>
        <v>#N/A</v>
      </c>
    </row>
    <row r="538" spans="1:7" x14ac:dyDescent="0.2">
      <c r="A538" s="806">
        <v>40997</v>
      </c>
      <c r="B538" s="839" t="s">
        <v>2129</v>
      </c>
      <c r="C538" s="840" t="s">
        <v>1906</v>
      </c>
      <c r="D538" s="807">
        <v>100.11</v>
      </c>
      <c r="E538" s="841"/>
      <c r="F538" s="203" t="e">
        <f>VLOOKUP(A538,'Compos DER'!J:K,2,FALSE)</f>
        <v>#N/A</v>
      </c>
      <c r="G538" s="198" t="e">
        <f t="shared" si="9"/>
        <v>#N/A</v>
      </c>
    </row>
    <row r="539" spans="1:7" x14ac:dyDescent="0.2">
      <c r="A539" s="806">
        <v>40724</v>
      </c>
      <c r="B539" s="842" t="s">
        <v>547</v>
      </c>
      <c r="C539" s="840" t="s">
        <v>1906</v>
      </c>
      <c r="D539" s="807">
        <v>148.57</v>
      </c>
      <c r="E539" s="843"/>
      <c r="F539" s="203" t="e">
        <f>VLOOKUP(A539,'Compos DER'!J:K,2,FALSE)</f>
        <v>#N/A</v>
      </c>
      <c r="G539" s="198" t="e">
        <f t="shared" si="9"/>
        <v>#N/A</v>
      </c>
    </row>
    <row r="540" spans="1:7" x14ac:dyDescent="0.2">
      <c r="A540" s="806">
        <v>40722</v>
      </c>
      <c r="B540" s="839" t="s">
        <v>2130</v>
      </c>
      <c r="C540" s="840" t="s">
        <v>1906</v>
      </c>
      <c r="D540" s="807">
        <v>10.9</v>
      </c>
      <c r="E540" s="841"/>
      <c r="F540" s="203" t="e">
        <f>VLOOKUP(A540,'Compos DER'!J:K,2,FALSE)</f>
        <v>#N/A</v>
      </c>
      <c r="G540" s="198" t="e">
        <f t="shared" si="9"/>
        <v>#N/A</v>
      </c>
    </row>
    <row r="541" spans="1:7" x14ac:dyDescent="0.2">
      <c r="A541" s="806">
        <v>40998</v>
      </c>
      <c r="B541" s="842" t="s">
        <v>548</v>
      </c>
      <c r="C541" s="840" t="s">
        <v>1906</v>
      </c>
      <c r="D541" s="807">
        <v>10.39</v>
      </c>
      <c r="E541" s="843"/>
      <c r="F541" s="203" t="e">
        <f>VLOOKUP(A541,'Compos DER'!J:K,2,FALSE)</f>
        <v>#N/A</v>
      </c>
      <c r="G541" s="198" t="e">
        <f t="shared" si="9"/>
        <v>#N/A</v>
      </c>
    </row>
    <row r="542" spans="1:7" x14ac:dyDescent="0.2">
      <c r="A542" s="806">
        <v>40723</v>
      </c>
      <c r="B542" s="839" t="s">
        <v>549</v>
      </c>
      <c r="C542" s="840" t="s">
        <v>1906</v>
      </c>
      <c r="D542" s="807">
        <v>73</v>
      </c>
      <c r="E542" s="841"/>
      <c r="F542" s="203" t="e">
        <f>VLOOKUP(A542,'Compos DER'!J:K,2,FALSE)</f>
        <v>#N/A</v>
      </c>
      <c r="G542" s="198" t="e">
        <f t="shared" si="9"/>
        <v>#N/A</v>
      </c>
    </row>
    <row r="543" spans="1:7" x14ac:dyDescent="0.2">
      <c r="A543" s="806">
        <v>40335</v>
      </c>
      <c r="B543" s="839" t="s">
        <v>1660</v>
      </c>
      <c r="C543" s="840" t="s">
        <v>1905</v>
      </c>
      <c r="D543" s="807">
        <v>590.48</v>
      </c>
      <c r="E543" s="841" t="s">
        <v>1209</v>
      </c>
      <c r="F543" s="203" t="e">
        <f>VLOOKUP(A543,'Compos DER'!J:K,2,FALSE)</f>
        <v>#N/A</v>
      </c>
      <c r="G543" s="198" t="e">
        <f t="shared" si="9"/>
        <v>#N/A</v>
      </c>
    </row>
    <row r="544" spans="1:7" x14ac:dyDescent="0.2">
      <c r="A544" s="806">
        <v>40334</v>
      </c>
      <c r="B544" s="839" t="s">
        <v>1661</v>
      </c>
      <c r="C544" s="840" t="s">
        <v>1905</v>
      </c>
      <c r="D544" s="807">
        <v>817.04</v>
      </c>
      <c r="E544" s="839" t="s">
        <v>1209</v>
      </c>
      <c r="F544" s="203" t="e">
        <f>VLOOKUP(A544,'Compos DER'!J:K,2,FALSE)</f>
        <v>#N/A</v>
      </c>
      <c r="G544" s="198" t="e">
        <f t="shared" si="9"/>
        <v>#N/A</v>
      </c>
    </row>
    <row r="545" spans="1:7" x14ac:dyDescent="0.2">
      <c r="A545" s="806">
        <v>40333</v>
      </c>
      <c r="B545" s="839" t="s">
        <v>2131</v>
      </c>
      <c r="C545" s="840" t="s">
        <v>1905</v>
      </c>
      <c r="D545" s="807">
        <v>295.24</v>
      </c>
      <c r="E545" s="839" t="s">
        <v>1209</v>
      </c>
      <c r="F545" s="203" t="e">
        <f>VLOOKUP(A545,'Compos DER'!J:K,2,FALSE)</f>
        <v>#N/A</v>
      </c>
      <c r="G545" s="198" t="e">
        <f t="shared" si="9"/>
        <v>#N/A</v>
      </c>
    </row>
    <row r="546" spans="1:7" x14ac:dyDescent="0.2">
      <c r="A546" s="806">
        <v>40332</v>
      </c>
      <c r="B546" s="842" t="s">
        <v>2132</v>
      </c>
      <c r="C546" s="840" t="s">
        <v>1905</v>
      </c>
      <c r="D546" s="807">
        <v>408.52</v>
      </c>
      <c r="E546" s="839" t="s">
        <v>1209</v>
      </c>
      <c r="F546" s="203">
        <f>VLOOKUP(A546,'Compos DER'!J:K,2,FALSE)</f>
        <v>410.57</v>
      </c>
      <c r="G546" s="198">
        <f t="shared" si="9"/>
        <v>1.00501811416822</v>
      </c>
    </row>
    <row r="547" spans="1:7" x14ac:dyDescent="0.2">
      <c r="A547" s="806">
        <v>40675</v>
      </c>
      <c r="B547" s="842" t="s">
        <v>550</v>
      </c>
      <c r="C547" s="840" t="s">
        <v>1910</v>
      </c>
      <c r="D547" s="807">
        <v>214.53</v>
      </c>
      <c r="E547" s="839"/>
      <c r="F547" s="203" t="e">
        <f>VLOOKUP(A547,'Compos DER'!J:K,2,FALSE)</f>
        <v>#N/A</v>
      </c>
      <c r="G547" s="198" t="e">
        <f t="shared" si="9"/>
        <v>#N/A</v>
      </c>
    </row>
    <row r="548" spans="1:7" x14ac:dyDescent="0.2">
      <c r="A548" s="806">
        <v>40673</v>
      </c>
      <c r="B548" s="839" t="s">
        <v>551</v>
      </c>
      <c r="C548" s="840" t="s">
        <v>1910</v>
      </c>
      <c r="D548" s="807">
        <v>73.599999999999994</v>
      </c>
      <c r="E548" s="841"/>
      <c r="F548" s="203">
        <f>VLOOKUP(A548,'Compos DER'!J:K,2,FALSE)</f>
        <v>81.88</v>
      </c>
      <c r="G548" s="198">
        <f t="shared" si="9"/>
        <v>1.1125</v>
      </c>
    </row>
    <row r="549" spans="1:7" x14ac:dyDescent="0.2">
      <c r="A549" s="806">
        <v>40674</v>
      </c>
      <c r="B549" s="839" t="s">
        <v>552</v>
      </c>
      <c r="C549" s="840" t="s">
        <v>1910</v>
      </c>
      <c r="D549" s="807">
        <v>78.94</v>
      </c>
      <c r="E549" s="841"/>
      <c r="F549" s="203">
        <f>VLOOKUP(A549,'Compos DER'!J:K,2,FALSE)</f>
        <v>87.53</v>
      </c>
      <c r="G549" s="198">
        <f t="shared" si="9"/>
        <v>1.1088168229034701</v>
      </c>
    </row>
    <row r="550" spans="1:7" x14ac:dyDescent="0.2">
      <c r="A550" s="806">
        <v>41037</v>
      </c>
      <c r="B550" s="839" t="s">
        <v>553</v>
      </c>
      <c r="C550" s="840" t="s">
        <v>1948</v>
      </c>
      <c r="D550" s="807">
        <v>68.03</v>
      </c>
      <c r="E550" s="841"/>
      <c r="F550" s="203" t="e">
        <f>VLOOKUP(A550,'Compos DER'!J:K,2,FALSE)</f>
        <v>#N/A</v>
      </c>
      <c r="G550" s="198" t="e">
        <f t="shared" si="9"/>
        <v>#N/A</v>
      </c>
    </row>
    <row r="551" spans="1:7" x14ac:dyDescent="0.2">
      <c r="A551" s="806">
        <v>40258</v>
      </c>
      <c r="B551" s="839" t="s">
        <v>1662</v>
      </c>
      <c r="C551" s="840" t="s">
        <v>1906</v>
      </c>
      <c r="D551" s="807">
        <v>64.87</v>
      </c>
      <c r="E551" s="841"/>
      <c r="F551" s="203">
        <f>VLOOKUP(A551,'Compos DER'!J:K,2,FALSE)</f>
        <v>64.88</v>
      </c>
      <c r="G551" s="198">
        <f t="shared" si="9"/>
        <v>1.0001541544627699</v>
      </c>
    </row>
    <row r="552" spans="1:7" x14ac:dyDescent="0.2">
      <c r="A552" s="806">
        <v>40261</v>
      </c>
      <c r="B552" s="839" t="s">
        <v>1663</v>
      </c>
      <c r="C552" s="840" t="s">
        <v>1906</v>
      </c>
      <c r="D552" s="807">
        <v>73.78</v>
      </c>
      <c r="E552" s="841"/>
      <c r="F552" s="203" t="e">
        <f>VLOOKUP(A552,'Compos DER'!J:K,2,FALSE)</f>
        <v>#N/A</v>
      </c>
      <c r="G552" s="198" t="e">
        <f t="shared" si="9"/>
        <v>#N/A</v>
      </c>
    </row>
    <row r="553" spans="1:7" x14ac:dyDescent="0.2">
      <c r="A553" s="806">
        <v>40259</v>
      </c>
      <c r="B553" s="839" t="s">
        <v>1664</v>
      </c>
      <c r="C553" s="840" t="s">
        <v>1906</v>
      </c>
      <c r="D553" s="807">
        <v>95.62</v>
      </c>
      <c r="E553" s="841"/>
      <c r="F553" s="203" t="e">
        <f>VLOOKUP(A553,'Compos DER'!J:K,2,FALSE)</f>
        <v>#N/A</v>
      </c>
      <c r="G553" s="198" t="e">
        <f t="shared" si="9"/>
        <v>#N/A</v>
      </c>
    </row>
    <row r="554" spans="1:7" x14ac:dyDescent="0.2">
      <c r="A554" s="806">
        <v>40262</v>
      </c>
      <c r="B554" s="839" t="s">
        <v>1665</v>
      </c>
      <c r="C554" s="840" t="s">
        <v>1906</v>
      </c>
      <c r="D554" s="807">
        <v>104.52</v>
      </c>
      <c r="E554" s="841"/>
      <c r="F554" s="203" t="e">
        <f>VLOOKUP(A554,'Compos DER'!J:K,2,FALSE)</f>
        <v>#N/A</v>
      </c>
      <c r="G554" s="198" t="e">
        <f t="shared" si="9"/>
        <v>#N/A</v>
      </c>
    </row>
    <row r="555" spans="1:7" x14ac:dyDescent="0.2">
      <c r="A555" s="806">
        <v>40260</v>
      </c>
      <c r="B555" s="839" t="s">
        <v>1666</v>
      </c>
      <c r="C555" s="840" t="s">
        <v>1906</v>
      </c>
      <c r="D555" s="807">
        <v>141.72999999999999</v>
      </c>
      <c r="E555" s="841"/>
      <c r="F555" s="203" t="e">
        <f>VLOOKUP(A555,'Compos DER'!J:K,2,FALSE)</f>
        <v>#N/A</v>
      </c>
      <c r="G555" s="198" t="e">
        <f t="shared" si="9"/>
        <v>#N/A</v>
      </c>
    </row>
    <row r="556" spans="1:7" x14ac:dyDescent="0.2">
      <c r="A556" s="806">
        <v>40263</v>
      </c>
      <c r="B556" s="839" t="s">
        <v>1667</v>
      </c>
      <c r="C556" s="840" t="s">
        <v>1906</v>
      </c>
      <c r="D556" s="807">
        <v>150.63</v>
      </c>
      <c r="E556" s="841"/>
      <c r="F556" s="203" t="e">
        <f>VLOOKUP(A556,'Compos DER'!J:K,2,FALSE)</f>
        <v>#N/A</v>
      </c>
      <c r="G556" s="198" t="e">
        <f t="shared" si="9"/>
        <v>#N/A</v>
      </c>
    </row>
    <row r="557" spans="1:7" x14ac:dyDescent="0.2">
      <c r="A557" s="806">
        <v>40267</v>
      </c>
      <c r="B557" s="839" t="s">
        <v>1668</v>
      </c>
      <c r="C557" s="840" t="s">
        <v>1906</v>
      </c>
      <c r="D557" s="807">
        <v>155.13999999999999</v>
      </c>
      <c r="E557" s="841"/>
      <c r="F557" s="203" t="e">
        <f>VLOOKUP(A557,'Compos DER'!J:K,2,FALSE)</f>
        <v>#N/A</v>
      </c>
      <c r="G557" s="198" t="e">
        <f t="shared" si="9"/>
        <v>#N/A</v>
      </c>
    </row>
    <row r="558" spans="1:7" x14ac:dyDescent="0.2">
      <c r="A558" s="806">
        <v>40264</v>
      </c>
      <c r="B558" s="839" t="s">
        <v>1669</v>
      </c>
      <c r="C558" s="840" t="s">
        <v>1906</v>
      </c>
      <c r="D558" s="807">
        <v>146.24</v>
      </c>
      <c r="E558" s="841"/>
      <c r="F558" s="203" t="e">
        <f>VLOOKUP(A558,'Compos DER'!J:K,2,FALSE)</f>
        <v>#N/A</v>
      </c>
      <c r="G558" s="198" t="e">
        <f t="shared" si="9"/>
        <v>#N/A</v>
      </c>
    </row>
    <row r="559" spans="1:7" x14ac:dyDescent="0.2">
      <c r="A559" s="806">
        <v>40268</v>
      </c>
      <c r="B559" s="839" t="s">
        <v>1670</v>
      </c>
      <c r="C559" s="840" t="s">
        <v>1906</v>
      </c>
      <c r="D559" s="807">
        <v>190.89</v>
      </c>
      <c r="E559" s="841"/>
      <c r="F559" s="203" t="e">
        <f>VLOOKUP(A559,'Compos DER'!J:K,2,FALSE)</f>
        <v>#N/A</v>
      </c>
      <c r="G559" s="198" t="e">
        <f t="shared" si="9"/>
        <v>#N/A</v>
      </c>
    </row>
    <row r="560" spans="1:7" x14ac:dyDescent="0.2">
      <c r="A560" s="806">
        <v>40265</v>
      </c>
      <c r="B560" s="839" t="s">
        <v>1671</v>
      </c>
      <c r="C560" s="840" t="s">
        <v>1906</v>
      </c>
      <c r="D560" s="807">
        <v>181.99</v>
      </c>
      <c r="E560" s="841"/>
      <c r="F560" s="203" t="e">
        <f>VLOOKUP(A560,'Compos DER'!J:K,2,FALSE)</f>
        <v>#N/A</v>
      </c>
      <c r="G560" s="198" t="e">
        <f t="shared" si="9"/>
        <v>#N/A</v>
      </c>
    </row>
    <row r="561" spans="1:7" x14ac:dyDescent="0.2">
      <c r="A561" s="806">
        <v>40269</v>
      </c>
      <c r="B561" s="839" t="s">
        <v>1672</v>
      </c>
      <c r="C561" s="840" t="s">
        <v>1906</v>
      </c>
      <c r="D561" s="807">
        <v>332.15</v>
      </c>
      <c r="E561" s="841"/>
      <c r="F561" s="203" t="e">
        <f>VLOOKUP(A561,'Compos DER'!J:K,2,FALSE)</f>
        <v>#N/A</v>
      </c>
      <c r="G561" s="198" t="e">
        <f t="shared" si="9"/>
        <v>#N/A</v>
      </c>
    </row>
    <row r="562" spans="1:7" x14ac:dyDescent="0.2">
      <c r="A562" s="806">
        <v>40266</v>
      </c>
      <c r="B562" s="839" t="s">
        <v>1673</v>
      </c>
      <c r="C562" s="840" t="s">
        <v>1906</v>
      </c>
      <c r="D562" s="807">
        <v>323.24</v>
      </c>
      <c r="E562" s="841"/>
      <c r="F562" s="203" t="e">
        <f>VLOOKUP(A562,'Compos DER'!J:K,2,FALSE)</f>
        <v>#N/A</v>
      </c>
      <c r="G562" s="198" t="e">
        <f t="shared" si="9"/>
        <v>#N/A</v>
      </c>
    </row>
    <row r="563" spans="1:7" x14ac:dyDescent="0.2">
      <c r="A563" s="806">
        <v>40276</v>
      </c>
      <c r="B563" s="839" t="s">
        <v>1674</v>
      </c>
      <c r="C563" s="840" t="s">
        <v>1906</v>
      </c>
      <c r="D563" s="807">
        <v>270.14</v>
      </c>
      <c r="E563" s="841"/>
      <c r="F563" s="203" t="e">
        <f>VLOOKUP(A563,'Compos DER'!J:K,2,FALSE)</f>
        <v>#N/A</v>
      </c>
      <c r="G563" s="198" t="e">
        <f t="shared" si="9"/>
        <v>#N/A</v>
      </c>
    </row>
    <row r="564" spans="1:7" x14ac:dyDescent="0.2">
      <c r="A564" s="806">
        <v>40256</v>
      </c>
      <c r="B564" s="839" t="s">
        <v>1675</v>
      </c>
      <c r="C564" s="840" t="s">
        <v>1906</v>
      </c>
      <c r="D564" s="807">
        <v>95.62</v>
      </c>
      <c r="E564" s="841"/>
      <c r="F564" s="203">
        <f>VLOOKUP(A564,'Compos DER'!J:K,2,FALSE)</f>
        <v>95.62</v>
      </c>
      <c r="G564" s="198">
        <f t="shared" si="9"/>
        <v>1</v>
      </c>
    </row>
    <row r="565" spans="1:7" x14ac:dyDescent="0.2">
      <c r="A565" s="806">
        <v>40257</v>
      </c>
      <c r="B565" s="839" t="s">
        <v>1676</v>
      </c>
      <c r="C565" s="840" t="s">
        <v>1906</v>
      </c>
      <c r="D565" s="807">
        <v>217.67</v>
      </c>
      <c r="E565" s="841"/>
      <c r="F565" s="203" t="e">
        <f>VLOOKUP(A565,'Compos DER'!J:K,2,FALSE)</f>
        <v>#N/A</v>
      </c>
      <c r="G565" s="198" t="e">
        <f t="shared" si="9"/>
        <v>#N/A</v>
      </c>
    </row>
    <row r="566" spans="1:7" x14ac:dyDescent="0.2">
      <c r="A566" s="806">
        <v>40282</v>
      </c>
      <c r="B566" s="839" t="s">
        <v>1677</v>
      </c>
      <c r="C566" s="840" t="s">
        <v>1906</v>
      </c>
      <c r="D566" s="807">
        <v>12.23</v>
      </c>
      <c r="E566" s="841"/>
      <c r="F566" s="203">
        <f>VLOOKUP(A566,'Compos DER'!J:K,2,FALSE)</f>
        <v>12.23</v>
      </c>
      <c r="G566" s="198">
        <f t="shared" si="9"/>
        <v>1</v>
      </c>
    </row>
    <row r="567" spans="1:7" x14ac:dyDescent="0.2">
      <c r="A567" s="806">
        <v>40285</v>
      </c>
      <c r="B567" s="842" t="s">
        <v>1678</v>
      </c>
      <c r="C567" s="840" t="s">
        <v>1906</v>
      </c>
      <c r="D567" s="807">
        <v>21.13</v>
      </c>
      <c r="E567" s="839"/>
      <c r="F567" s="203" t="e">
        <f>VLOOKUP(A567,'Compos DER'!J:K,2,FALSE)</f>
        <v>#N/A</v>
      </c>
      <c r="G567" s="198" t="e">
        <f t="shared" si="9"/>
        <v>#N/A</v>
      </c>
    </row>
    <row r="568" spans="1:7" x14ac:dyDescent="0.2">
      <c r="A568" s="806">
        <v>40283</v>
      </c>
      <c r="B568" s="842" t="s">
        <v>1679</v>
      </c>
      <c r="C568" s="840" t="s">
        <v>1906</v>
      </c>
      <c r="D568" s="807">
        <v>13.46</v>
      </c>
      <c r="E568" s="839"/>
      <c r="F568" s="203">
        <f>VLOOKUP(A568,'Compos DER'!J:K,2,FALSE)</f>
        <v>13.47</v>
      </c>
      <c r="G568" s="198">
        <f t="shared" si="9"/>
        <v>1.0007429420505201</v>
      </c>
    </row>
    <row r="569" spans="1:7" x14ac:dyDescent="0.2">
      <c r="A569" s="806">
        <v>40286</v>
      </c>
      <c r="B569" s="839" t="s">
        <v>1680</v>
      </c>
      <c r="C569" s="840" t="s">
        <v>1906</v>
      </c>
      <c r="D569" s="807">
        <v>22.37</v>
      </c>
      <c r="E569" s="841"/>
      <c r="F569" s="203" t="e">
        <f>VLOOKUP(A569,'Compos DER'!J:K,2,FALSE)</f>
        <v>#N/A</v>
      </c>
      <c r="G569" s="198" t="e">
        <f t="shared" si="9"/>
        <v>#N/A</v>
      </c>
    </row>
    <row r="570" spans="1:7" x14ac:dyDescent="0.2">
      <c r="A570" s="806">
        <v>40284</v>
      </c>
      <c r="B570" s="839" t="s">
        <v>1681</v>
      </c>
      <c r="C570" s="840" t="s">
        <v>1906</v>
      </c>
      <c r="D570" s="807">
        <v>15.84</v>
      </c>
      <c r="E570" s="841"/>
      <c r="F570" s="203">
        <f>VLOOKUP(A570,'Compos DER'!J:K,2,FALSE)</f>
        <v>15.85</v>
      </c>
      <c r="G570" s="198">
        <f t="shared" si="9"/>
        <v>1.00063131313131</v>
      </c>
    </row>
    <row r="571" spans="1:7" x14ac:dyDescent="0.2">
      <c r="A571" s="806">
        <v>40287</v>
      </c>
      <c r="B571" s="839" t="s">
        <v>1682</v>
      </c>
      <c r="C571" s="840" t="s">
        <v>1906</v>
      </c>
      <c r="D571" s="807">
        <v>24.75</v>
      </c>
      <c r="E571" s="841"/>
      <c r="F571" s="203" t="e">
        <f>VLOOKUP(A571,'Compos DER'!J:K,2,FALSE)</f>
        <v>#N/A</v>
      </c>
      <c r="G571" s="198" t="e">
        <f t="shared" si="9"/>
        <v>#N/A</v>
      </c>
    </row>
    <row r="572" spans="1:7" x14ac:dyDescent="0.2">
      <c r="A572" s="806">
        <v>40288</v>
      </c>
      <c r="B572" s="839" t="s">
        <v>1683</v>
      </c>
      <c r="C572" s="840" t="s">
        <v>1906</v>
      </c>
      <c r="D572" s="807">
        <v>22.44</v>
      </c>
      <c r="E572" s="841"/>
      <c r="F572" s="203" t="e">
        <f>VLOOKUP(A572,'Compos DER'!J:K,2,FALSE)</f>
        <v>#N/A</v>
      </c>
      <c r="G572" s="198" t="e">
        <f t="shared" si="9"/>
        <v>#N/A</v>
      </c>
    </row>
    <row r="573" spans="1:7" x14ac:dyDescent="0.2">
      <c r="A573" s="806">
        <v>40291</v>
      </c>
      <c r="B573" s="839" t="s">
        <v>1684</v>
      </c>
      <c r="C573" s="840" t="s">
        <v>1906</v>
      </c>
      <c r="D573" s="807">
        <v>31.34</v>
      </c>
      <c r="E573" s="841"/>
      <c r="F573" s="203" t="e">
        <f>VLOOKUP(A573,'Compos DER'!J:K,2,FALSE)</f>
        <v>#N/A</v>
      </c>
      <c r="G573" s="198" t="e">
        <f t="shared" si="9"/>
        <v>#N/A</v>
      </c>
    </row>
    <row r="574" spans="1:7" x14ac:dyDescent="0.2">
      <c r="A574" s="806">
        <v>40289</v>
      </c>
      <c r="B574" s="839" t="s">
        <v>1685</v>
      </c>
      <c r="C574" s="840" t="s">
        <v>1906</v>
      </c>
      <c r="D574" s="807">
        <v>26.93</v>
      </c>
      <c r="E574" s="841"/>
      <c r="F574" s="203" t="e">
        <f>VLOOKUP(A574,'Compos DER'!J:K,2,FALSE)</f>
        <v>#N/A</v>
      </c>
      <c r="G574" s="198" t="e">
        <f t="shared" si="9"/>
        <v>#N/A</v>
      </c>
    </row>
    <row r="575" spans="1:7" x14ac:dyDescent="0.2">
      <c r="A575" s="806">
        <v>40292</v>
      </c>
      <c r="B575" s="839" t="s">
        <v>1686</v>
      </c>
      <c r="C575" s="840" t="s">
        <v>1906</v>
      </c>
      <c r="D575" s="807">
        <v>35.83</v>
      </c>
      <c r="E575" s="841"/>
      <c r="F575" s="203" t="e">
        <f>VLOOKUP(A575,'Compos DER'!J:K,2,FALSE)</f>
        <v>#N/A</v>
      </c>
      <c r="G575" s="198" t="e">
        <f t="shared" si="9"/>
        <v>#N/A</v>
      </c>
    </row>
    <row r="576" spans="1:7" x14ac:dyDescent="0.2">
      <c r="A576" s="806">
        <v>40290</v>
      </c>
      <c r="B576" s="839" t="s">
        <v>1687</v>
      </c>
      <c r="C576" s="840" t="s">
        <v>1906</v>
      </c>
      <c r="D576" s="807">
        <v>33.659999999999997</v>
      </c>
      <c r="E576" s="841"/>
      <c r="F576" s="203" t="e">
        <f>VLOOKUP(A576,'Compos DER'!J:K,2,FALSE)</f>
        <v>#N/A</v>
      </c>
      <c r="G576" s="198" t="e">
        <f t="shared" si="9"/>
        <v>#N/A</v>
      </c>
    </row>
    <row r="577" spans="1:7" x14ac:dyDescent="0.2">
      <c r="A577" s="806">
        <v>40293</v>
      </c>
      <c r="B577" s="839" t="s">
        <v>1688</v>
      </c>
      <c r="C577" s="840" t="s">
        <v>1906</v>
      </c>
      <c r="D577" s="807">
        <v>42.57</v>
      </c>
      <c r="E577" s="841"/>
      <c r="F577" s="203" t="e">
        <f>VLOOKUP(A577,'Compos DER'!J:K,2,FALSE)</f>
        <v>#N/A</v>
      </c>
      <c r="G577" s="198" t="e">
        <f t="shared" si="9"/>
        <v>#N/A</v>
      </c>
    </row>
    <row r="578" spans="1:7" x14ac:dyDescent="0.2">
      <c r="A578" s="806">
        <v>40294</v>
      </c>
      <c r="B578" s="839" t="s">
        <v>1689</v>
      </c>
      <c r="C578" s="840" t="s">
        <v>1906</v>
      </c>
      <c r="D578" s="807">
        <v>129.22999999999999</v>
      </c>
      <c r="E578" s="841"/>
      <c r="F578" s="203" t="e">
        <f>VLOOKUP(A578,'Compos DER'!J:K,2,FALSE)</f>
        <v>#N/A</v>
      </c>
      <c r="G578" s="198" t="e">
        <f t="shared" si="9"/>
        <v>#N/A</v>
      </c>
    </row>
    <row r="579" spans="1:7" x14ac:dyDescent="0.2">
      <c r="A579" s="806">
        <v>40297</v>
      </c>
      <c r="B579" s="839" t="s">
        <v>1690</v>
      </c>
      <c r="C579" s="840" t="s">
        <v>1906</v>
      </c>
      <c r="D579" s="807">
        <v>138.13999999999999</v>
      </c>
      <c r="E579" s="841"/>
      <c r="F579" s="203" t="e">
        <f>VLOOKUP(A579,'Compos DER'!J:K,2,FALSE)</f>
        <v>#N/A</v>
      </c>
      <c r="G579" s="198" t="e">
        <f t="shared" si="9"/>
        <v>#N/A</v>
      </c>
    </row>
    <row r="580" spans="1:7" x14ac:dyDescent="0.2">
      <c r="A580" s="806">
        <v>40295</v>
      </c>
      <c r="B580" s="839" t="s">
        <v>1691</v>
      </c>
      <c r="C580" s="840" t="s">
        <v>1906</v>
      </c>
      <c r="D580" s="807">
        <v>144.79</v>
      </c>
      <c r="E580" s="841"/>
      <c r="F580" s="203" t="e">
        <f>VLOOKUP(A580,'Compos DER'!J:K,2,FALSE)</f>
        <v>#N/A</v>
      </c>
      <c r="G580" s="198" t="e">
        <f t="shared" si="9"/>
        <v>#N/A</v>
      </c>
    </row>
    <row r="581" spans="1:7" x14ac:dyDescent="0.2">
      <c r="A581" s="806">
        <v>40298</v>
      </c>
      <c r="B581" s="839" t="s">
        <v>1692</v>
      </c>
      <c r="C581" s="840" t="s">
        <v>1906</v>
      </c>
      <c r="D581" s="807">
        <v>153.69</v>
      </c>
      <c r="E581" s="841"/>
      <c r="F581" s="203" t="e">
        <f>VLOOKUP(A581,'Compos DER'!J:K,2,FALSE)</f>
        <v>#N/A</v>
      </c>
      <c r="G581" s="198" t="e">
        <f t="shared" ref="G581:G644" si="10">+F581/D581</f>
        <v>#N/A</v>
      </c>
    </row>
    <row r="582" spans="1:7" x14ac:dyDescent="0.2">
      <c r="A582" s="806">
        <v>40296</v>
      </c>
      <c r="B582" s="839" t="s">
        <v>1693</v>
      </c>
      <c r="C582" s="840" t="s">
        <v>1906</v>
      </c>
      <c r="D582" s="807">
        <v>173.22</v>
      </c>
      <c r="E582" s="841"/>
      <c r="F582" s="203" t="e">
        <f>VLOOKUP(A582,'Compos DER'!J:K,2,FALSE)</f>
        <v>#N/A</v>
      </c>
      <c r="G582" s="198" t="e">
        <f t="shared" si="10"/>
        <v>#N/A</v>
      </c>
    </row>
    <row r="583" spans="1:7" x14ac:dyDescent="0.2">
      <c r="A583" s="806">
        <v>40299</v>
      </c>
      <c r="B583" s="839" t="s">
        <v>1694</v>
      </c>
      <c r="C583" s="840" t="s">
        <v>1906</v>
      </c>
      <c r="D583" s="807">
        <v>182.13</v>
      </c>
      <c r="E583" s="841"/>
      <c r="F583" s="203" t="e">
        <f>VLOOKUP(A583,'Compos DER'!J:K,2,FALSE)</f>
        <v>#N/A</v>
      </c>
      <c r="G583" s="198" t="e">
        <f t="shared" si="10"/>
        <v>#N/A</v>
      </c>
    </row>
    <row r="584" spans="1:7" x14ac:dyDescent="0.2">
      <c r="A584" s="806">
        <v>40327</v>
      </c>
      <c r="B584" s="839" t="s">
        <v>554</v>
      </c>
      <c r="C584" s="840" t="s">
        <v>1905</v>
      </c>
      <c r="D584" s="807">
        <v>185.81</v>
      </c>
      <c r="E584" s="841" t="s">
        <v>1209</v>
      </c>
      <c r="F584" s="203" t="e">
        <f>VLOOKUP(A584,'Compos DER'!J:K,2,FALSE)</f>
        <v>#N/A</v>
      </c>
      <c r="G584" s="198" t="e">
        <f t="shared" si="10"/>
        <v>#N/A</v>
      </c>
    </row>
    <row r="585" spans="1:7" x14ac:dyDescent="0.2">
      <c r="A585" s="806">
        <v>40328</v>
      </c>
      <c r="B585" s="839" t="s">
        <v>2133</v>
      </c>
      <c r="C585" s="840" t="s">
        <v>1906</v>
      </c>
      <c r="D585" s="807">
        <v>118.46</v>
      </c>
      <c r="E585" s="841" t="s">
        <v>1209</v>
      </c>
      <c r="F585" s="203">
        <f>VLOOKUP(A585,'Compos DER'!J:K,2,FALSE)</f>
        <v>120.34</v>
      </c>
      <c r="G585" s="198">
        <f t="shared" si="10"/>
        <v>1.01587033597839</v>
      </c>
    </row>
    <row r="586" spans="1:7" x14ac:dyDescent="0.2">
      <c r="A586" s="806">
        <v>43332</v>
      </c>
      <c r="B586" s="839" t="s">
        <v>2134</v>
      </c>
      <c r="C586" s="840" t="s">
        <v>2135</v>
      </c>
      <c r="D586" s="807">
        <v>6541.43</v>
      </c>
      <c r="E586" s="841"/>
      <c r="F586" s="203" t="e">
        <f>VLOOKUP(A586,'Compos DER'!J:K,2,FALSE)</f>
        <v>#N/A</v>
      </c>
      <c r="G586" s="198" t="e">
        <f t="shared" si="10"/>
        <v>#N/A</v>
      </c>
    </row>
    <row r="587" spans="1:7" x14ac:dyDescent="0.2">
      <c r="A587" s="806">
        <v>40316</v>
      </c>
      <c r="B587" s="839" t="s">
        <v>555</v>
      </c>
      <c r="C587" s="840" t="s">
        <v>1905</v>
      </c>
      <c r="D587" s="807">
        <v>72.91</v>
      </c>
      <c r="E587" s="839" t="s">
        <v>1209</v>
      </c>
      <c r="F587" s="203">
        <f>VLOOKUP(A587,'Compos DER'!J:K,2,FALSE)</f>
        <v>73.72</v>
      </c>
      <c r="G587" s="198">
        <f t="shared" si="10"/>
        <v>1.01110958716225</v>
      </c>
    </row>
    <row r="588" spans="1:7" x14ac:dyDescent="0.2">
      <c r="A588" s="806">
        <v>40317</v>
      </c>
      <c r="B588" s="842" t="s">
        <v>2136</v>
      </c>
      <c r="C588" s="840" t="s">
        <v>1905</v>
      </c>
      <c r="D588" s="807">
        <v>62.89</v>
      </c>
      <c r="E588" s="839" t="s">
        <v>1209</v>
      </c>
      <c r="F588" s="203">
        <f>VLOOKUP(A588,'Compos DER'!J:K,2,FALSE)</f>
        <v>63.67</v>
      </c>
      <c r="G588" s="198">
        <f t="shared" si="10"/>
        <v>1.0124026077277799</v>
      </c>
    </row>
    <row r="589" spans="1:7" x14ac:dyDescent="0.2">
      <c r="A589" s="806">
        <v>40318</v>
      </c>
      <c r="B589" s="842" t="s">
        <v>556</v>
      </c>
      <c r="C589" s="840" t="s">
        <v>1905</v>
      </c>
      <c r="D589" s="808">
        <v>7.96</v>
      </c>
      <c r="E589" s="843"/>
      <c r="F589" s="203" t="e">
        <f>VLOOKUP(A589,'Compos DER'!J:K,2,FALSE)</f>
        <v>#N/A</v>
      </c>
      <c r="G589" s="198" t="e">
        <f t="shared" si="10"/>
        <v>#N/A</v>
      </c>
    </row>
    <row r="590" spans="1:7" x14ac:dyDescent="0.2">
      <c r="A590" s="806">
        <v>40311</v>
      </c>
      <c r="B590" s="839" t="s">
        <v>2137</v>
      </c>
      <c r="C590" s="840" t="s">
        <v>1905</v>
      </c>
      <c r="D590" s="807">
        <v>110.55</v>
      </c>
      <c r="E590" s="839" t="s">
        <v>1209</v>
      </c>
      <c r="F590" s="203">
        <f>VLOOKUP(A590,'Compos DER'!J:K,2,FALSE)</f>
        <v>111.22</v>
      </c>
      <c r="G590" s="198">
        <f t="shared" si="10"/>
        <v>1.0060606060606101</v>
      </c>
    </row>
    <row r="591" spans="1:7" x14ac:dyDescent="0.2">
      <c r="A591" s="806">
        <v>40312</v>
      </c>
      <c r="B591" s="842" t="s">
        <v>2138</v>
      </c>
      <c r="C591" s="840" t="s">
        <v>1905</v>
      </c>
      <c r="D591" s="807">
        <v>92.66</v>
      </c>
      <c r="E591" s="839" t="s">
        <v>1209</v>
      </c>
      <c r="F591" s="203">
        <f>VLOOKUP(A591,'Compos DER'!J:K,2,FALSE)</f>
        <v>93.17</v>
      </c>
      <c r="G591" s="198">
        <f t="shared" si="10"/>
        <v>1.0055039930930301</v>
      </c>
    </row>
    <row r="592" spans="1:7" x14ac:dyDescent="0.2">
      <c r="A592" s="806">
        <v>40313</v>
      </c>
      <c r="B592" s="839" t="s">
        <v>188</v>
      </c>
      <c r="C592" s="840" t="s">
        <v>1905</v>
      </c>
      <c r="D592" s="807">
        <v>78.760000000000005</v>
      </c>
      <c r="E592" s="841" t="s">
        <v>1209</v>
      </c>
      <c r="F592" s="203">
        <f>VLOOKUP(A592,'Compos DER'!J:K,2,FALSE)</f>
        <v>79.150000000000006</v>
      </c>
      <c r="G592" s="198">
        <f t="shared" si="10"/>
        <v>1.0049517521584601</v>
      </c>
    </row>
    <row r="593" spans="1:7" x14ac:dyDescent="0.2">
      <c r="A593" s="806">
        <v>40310</v>
      </c>
      <c r="B593" s="842" t="s">
        <v>2139</v>
      </c>
      <c r="C593" s="840" t="s">
        <v>1905</v>
      </c>
      <c r="D593" s="807">
        <v>161.66999999999999</v>
      </c>
      <c r="E593" s="839" t="s">
        <v>1209</v>
      </c>
      <c r="F593" s="203">
        <f>VLOOKUP(A593,'Compos DER'!J:K,2,FALSE)</f>
        <v>162.79</v>
      </c>
      <c r="G593" s="198">
        <f t="shared" si="10"/>
        <v>1.0069276922125301</v>
      </c>
    </row>
    <row r="594" spans="1:7" ht="25.5" x14ac:dyDescent="0.2">
      <c r="A594" s="806">
        <v>40748</v>
      </c>
      <c r="B594" s="842" t="s">
        <v>2140</v>
      </c>
      <c r="C594" s="840" t="s">
        <v>1905</v>
      </c>
      <c r="D594" s="807">
        <v>259.83</v>
      </c>
      <c r="E594" s="839"/>
      <c r="F594" s="203" t="e">
        <f>VLOOKUP(A594,'Compos DER'!J:K,2,FALSE)</f>
        <v>#N/A</v>
      </c>
      <c r="G594" s="198" t="e">
        <f t="shared" si="10"/>
        <v>#N/A</v>
      </c>
    </row>
    <row r="595" spans="1:7" x14ac:dyDescent="0.2">
      <c r="A595" s="806">
        <v>40726</v>
      </c>
      <c r="B595" s="842" t="s">
        <v>2141</v>
      </c>
      <c r="C595" s="840" t="s">
        <v>1906</v>
      </c>
      <c r="D595" s="807">
        <v>580.62</v>
      </c>
      <c r="E595" s="839" t="s">
        <v>1209</v>
      </c>
      <c r="F595" s="203" t="e">
        <f>VLOOKUP(A595,'Compos DER'!J:K,2,FALSE)</f>
        <v>#N/A</v>
      </c>
      <c r="G595" s="198" t="e">
        <f t="shared" si="10"/>
        <v>#N/A</v>
      </c>
    </row>
    <row r="596" spans="1:7" x14ac:dyDescent="0.2">
      <c r="A596" s="806">
        <v>40725</v>
      </c>
      <c r="B596" s="842" t="s">
        <v>557</v>
      </c>
      <c r="C596" s="840" t="s">
        <v>1906</v>
      </c>
      <c r="D596" s="807">
        <v>577.08000000000004</v>
      </c>
      <c r="E596" s="839" t="s">
        <v>1209</v>
      </c>
      <c r="F596" s="203" t="e">
        <f>VLOOKUP(A596,'Compos DER'!J:K,2,FALSE)</f>
        <v>#N/A</v>
      </c>
      <c r="G596" s="198" t="e">
        <f t="shared" si="10"/>
        <v>#N/A</v>
      </c>
    </row>
    <row r="597" spans="1:7" x14ac:dyDescent="0.2">
      <c r="A597" s="806">
        <v>41394</v>
      </c>
      <c r="B597" s="842" t="s">
        <v>2142</v>
      </c>
      <c r="C597" s="840" t="s">
        <v>1905</v>
      </c>
      <c r="D597" s="807">
        <v>22.12</v>
      </c>
      <c r="E597" s="843"/>
      <c r="F597" s="203" t="e">
        <f>VLOOKUP(A597,'Compos DER'!J:K,2,FALSE)</f>
        <v>#N/A</v>
      </c>
      <c r="G597" s="198" t="e">
        <f t="shared" si="10"/>
        <v>#N/A</v>
      </c>
    </row>
    <row r="598" spans="1:7" x14ac:dyDescent="0.2">
      <c r="A598" s="806">
        <v>41393</v>
      </c>
      <c r="B598" s="842" t="s">
        <v>2143</v>
      </c>
      <c r="C598" s="840" t="s">
        <v>1905</v>
      </c>
      <c r="D598" s="807">
        <v>27.25</v>
      </c>
      <c r="E598" s="839"/>
      <c r="F598" s="203" t="e">
        <f>VLOOKUP(A598,'Compos DER'!J:K,2,FALSE)</f>
        <v>#N/A</v>
      </c>
      <c r="G598" s="198" t="e">
        <f t="shared" si="10"/>
        <v>#N/A</v>
      </c>
    </row>
    <row r="599" spans="1:7" x14ac:dyDescent="0.2">
      <c r="A599" s="806">
        <v>41391</v>
      </c>
      <c r="B599" s="839" t="s">
        <v>2144</v>
      </c>
      <c r="C599" s="840" t="s">
        <v>1905</v>
      </c>
      <c r="D599" s="807">
        <v>76.98</v>
      </c>
      <c r="E599" s="839"/>
      <c r="F599" s="203" t="e">
        <f>VLOOKUP(A599,'Compos DER'!J:K,2,FALSE)</f>
        <v>#N/A</v>
      </c>
      <c r="G599" s="198" t="e">
        <f t="shared" si="10"/>
        <v>#N/A</v>
      </c>
    </row>
    <row r="600" spans="1:7" x14ac:dyDescent="0.2">
      <c r="A600" s="806">
        <v>41392</v>
      </c>
      <c r="B600" s="842" t="s">
        <v>2145</v>
      </c>
      <c r="C600" s="840" t="s">
        <v>1905</v>
      </c>
      <c r="D600" s="807">
        <v>34.22</v>
      </c>
      <c r="E600" s="843"/>
      <c r="F600" s="203" t="e">
        <f>VLOOKUP(A600,'Compos DER'!J:K,2,FALSE)</f>
        <v>#N/A</v>
      </c>
      <c r="G600" s="198" t="e">
        <f t="shared" si="10"/>
        <v>#N/A</v>
      </c>
    </row>
    <row r="601" spans="1:7" x14ac:dyDescent="0.2">
      <c r="A601" s="806">
        <v>41197</v>
      </c>
      <c r="B601" s="842" t="s">
        <v>558</v>
      </c>
      <c r="C601" s="840" t="s">
        <v>1905</v>
      </c>
      <c r="D601" s="807">
        <v>40.83</v>
      </c>
      <c r="E601" s="843"/>
      <c r="F601" s="203" t="e">
        <f>VLOOKUP(A601,'Compos DER'!J:K,2,FALSE)</f>
        <v>#N/A</v>
      </c>
      <c r="G601" s="198" t="e">
        <f t="shared" si="10"/>
        <v>#N/A</v>
      </c>
    </row>
    <row r="602" spans="1:7" ht="25.5" x14ac:dyDescent="0.2">
      <c r="A602" s="806">
        <v>40709</v>
      </c>
      <c r="B602" s="842" t="s">
        <v>2146</v>
      </c>
      <c r="C602" s="840" t="s">
        <v>1905</v>
      </c>
      <c r="D602" s="807">
        <v>18.54</v>
      </c>
      <c r="E602" s="843"/>
      <c r="F602" s="203" t="e">
        <f>VLOOKUP(A602,'Compos DER'!J:K,2,FALSE)</f>
        <v>#N/A</v>
      </c>
      <c r="G602" s="198" t="e">
        <f t="shared" si="10"/>
        <v>#N/A</v>
      </c>
    </row>
    <row r="603" spans="1:7" x14ac:dyDescent="0.2">
      <c r="A603" s="806">
        <v>40721</v>
      </c>
      <c r="B603" s="842" t="s">
        <v>559</v>
      </c>
      <c r="C603" s="840" t="s">
        <v>1906</v>
      </c>
      <c r="D603" s="807">
        <v>120.79</v>
      </c>
      <c r="E603" s="843" t="s">
        <v>1209</v>
      </c>
      <c r="F603" s="203">
        <f>VLOOKUP(A603,'Compos DER'!J:K,2,FALSE)</f>
        <v>180.26</v>
      </c>
      <c r="G603" s="198">
        <f t="shared" si="10"/>
        <v>1.4923420812981201</v>
      </c>
    </row>
    <row r="604" spans="1:7" x14ac:dyDescent="0.2">
      <c r="A604" s="806">
        <v>40396</v>
      </c>
      <c r="B604" s="839" t="s">
        <v>560</v>
      </c>
      <c r="C604" s="840" t="s">
        <v>1905</v>
      </c>
      <c r="D604" s="807">
        <v>35.51</v>
      </c>
      <c r="E604" s="841"/>
      <c r="F604" s="203" t="e">
        <f>VLOOKUP(A604,'Compos DER'!J:K,2,FALSE)</f>
        <v>#N/A</v>
      </c>
      <c r="G604" s="198" t="e">
        <f t="shared" si="10"/>
        <v>#N/A</v>
      </c>
    </row>
    <row r="605" spans="1:7" x14ac:dyDescent="0.2">
      <c r="A605" s="806">
        <v>40744</v>
      </c>
      <c r="B605" s="842" t="s">
        <v>561</v>
      </c>
      <c r="C605" s="840" t="s">
        <v>1948</v>
      </c>
      <c r="D605" s="807">
        <v>31.82</v>
      </c>
      <c r="E605" s="843"/>
      <c r="F605" s="203" t="e">
        <f>VLOOKUP(A605,'Compos DER'!J:K,2,FALSE)</f>
        <v>#N/A</v>
      </c>
      <c r="G605" s="198" t="e">
        <f t="shared" si="10"/>
        <v>#N/A</v>
      </c>
    </row>
    <row r="606" spans="1:7" x14ac:dyDescent="0.2">
      <c r="A606" s="806">
        <v>40746</v>
      </c>
      <c r="B606" s="839" t="s">
        <v>562</v>
      </c>
      <c r="C606" s="840" t="s">
        <v>1948</v>
      </c>
      <c r="D606" s="807">
        <v>61.98</v>
      </c>
      <c r="E606" s="839"/>
      <c r="F606" s="203" t="e">
        <f>VLOOKUP(A606,'Compos DER'!J:K,2,FALSE)</f>
        <v>#N/A</v>
      </c>
      <c r="G606" s="198" t="e">
        <f t="shared" si="10"/>
        <v>#N/A</v>
      </c>
    </row>
    <row r="607" spans="1:7" x14ac:dyDescent="0.2">
      <c r="A607" s="806">
        <v>40743</v>
      </c>
      <c r="B607" s="839" t="s">
        <v>563</v>
      </c>
      <c r="C607" s="840" t="s">
        <v>1948</v>
      </c>
      <c r="D607" s="807">
        <v>16.75</v>
      </c>
      <c r="E607" s="841"/>
      <c r="F607" s="203" t="e">
        <f>VLOOKUP(A607,'Compos DER'!J:K,2,FALSE)</f>
        <v>#N/A</v>
      </c>
      <c r="G607" s="198" t="e">
        <f t="shared" si="10"/>
        <v>#N/A</v>
      </c>
    </row>
    <row r="608" spans="1:7" x14ac:dyDescent="0.2">
      <c r="A608" s="806">
        <v>40745</v>
      </c>
      <c r="B608" s="839" t="s">
        <v>564</v>
      </c>
      <c r="C608" s="840" t="s">
        <v>1948</v>
      </c>
      <c r="D608" s="807">
        <v>46.91</v>
      </c>
      <c r="E608" s="841"/>
      <c r="F608" s="203" t="e">
        <f>VLOOKUP(A608,'Compos DER'!J:K,2,FALSE)</f>
        <v>#N/A</v>
      </c>
      <c r="G608" s="198" t="e">
        <f t="shared" si="10"/>
        <v>#N/A</v>
      </c>
    </row>
    <row r="609" spans="1:7" x14ac:dyDescent="0.2">
      <c r="A609" s="806">
        <v>40397</v>
      </c>
      <c r="B609" s="839" t="s">
        <v>565</v>
      </c>
      <c r="C609" s="840" t="s">
        <v>1905</v>
      </c>
      <c r="D609" s="807">
        <v>83.66</v>
      </c>
      <c r="E609" s="841"/>
      <c r="F609" s="203" t="e">
        <f>VLOOKUP(A609,'Compos DER'!J:K,2,FALSE)</f>
        <v>#N/A</v>
      </c>
      <c r="G609" s="198" t="e">
        <f t="shared" si="10"/>
        <v>#N/A</v>
      </c>
    </row>
    <row r="610" spans="1:7" x14ac:dyDescent="0.2">
      <c r="A610" s="806">
        <v>41221</v>
      </c>
      <c r="B610" s="839" t="s">
        <v>566</v>
      </c>
      <c r="C610" s="840" t="s">
        <v>1905</v>
      </c>
      <c r="D610" s="807">
        <v>4.2699999999999996</v>
      </c>
      <c r="E610" s="841"/>
      <c r="F610" s="203" t="e">
        <f>VLOOKUP(A610,'Compos DER'!J:K,2,FALSE)</f>
        <v>#N/A</v>
      </c>
      <c r="G610" s="198" t="e">
        <f t="shared" si="10"/>
        <v>#N/A</v>
      </c>
    </row>
    <row r="611" spans="1:7" x14ac:dyDescent="0.2">
      <c r="A611" s="806">
        <v>41401</v>
      </c>
      <c r="B611" s="839" t="s">
        <v>2147</v>
      </c>
      <c r="C611" s="840" t="s">
        <v>1905</v>
      </c>
      <c r="D611" s="807">
        <v>7.41</v>
      </c>
      <c r="E611" s="841"/>
      <c r="F611" s="203" t="e">
        <f>VLOOKUP(A611,'Compos DER'!J:K,2,FALSE)</f>
        <v>#N/A</v>
      </c>
      <c r="G611" s="198" t="e">
        <f t="shared" si="10"/>
        <v>#N/A</v>
      </c>
    </row>
    <row r="612" spans="1:7" x14ac:dyDescent="0.2">
      <c r="A612" s="806">
        <v>40714</v>
      </c>
      <c r="B612" s="839" t="s">
        <v>567</v>
      </c>
      <c r="C612" s="840" t="s">
        <v>1905</v>
      </c>
      <c r="D612" s="807">
        <v>9.81</v>
      </c>
      <c r="E612" s="841"/>
      <c r="F612" s="203" t="e">
        <f>VLOOKUP(A612,'Compos DER'!J:K,2,FALSE)</f>
        <v>#N/A</v>
      </c>
      <c r="G612" s="198" t="e">
        <f t="shared" si="10"/>
        <v>#N/A</v>
      </c>
    </row>
    <row r="613" spans="1:7" x14ac:dyDescent="0.2">
      <c r="A613" s="806">
        <v>40660</v>
      </c>
      <c r="B613" s="839" t="s">
        <v>568</v>
      </c>
      <c r="C613" s="840" t="s">
        <v>1948</v>
      </c>
      <c r="D613" s="807">
        <v>55.38</v>
      </c>
      <c r="E613" s="841"/>
      <c r="F613" s="203" t="e">
        <f>VLOOKUP(A613,'Compos DER'!J:K,2,FALSE)</f>
        <v>#N/A</v>
      </c>
      <c r="G613" s="198" t="e">
        <f t="shared" si="10"/>
        <v>#N/A</v>
      </c>
    </row>
    <row r="614" spans="1:7" x14ac:dyDescent="0.2">
      <c r="A614" s="806">
        <v>40661</v>
      </c>
      <c r="B614" s="842" t="s">
        <v>569</v>
      </c>
      <c r="C614" s="840" t="s">
        <v>1948</v>
      </c>
      <c r="D614" s="807">
        <v>110.29</v>
      </c>
      <c r="E614" s="843"/>
      <c r="F614" s="203" t="e">
        <f>VLOOKUP(A614,'Compos DER'!J:K,2,FALSE)</f>
        <v>#N/A</v>
      </c>
      <c r="G614" s="198" t="e">
        <f t="shared" si="10"/>
        <v>#N/A</v>
      </c>
    </row>
    <row r="615" spans="1:7" x14ac:dyDescent="0.2">
      <c r="A615" s="806">
        <v>40662</v>
      </c>
      <c r="B615" s="839" t="s">
        <v>570</v>
      </c>
      <c r="C615" s="840" t="s">
        <v>1948</v>
      </c>
      <c r="D615" s="807">
        <v>58.74</v>
      </c>
      <c r="E615" s="841"/>
      <c r="F615" s="203">
        <f>VLOOKUP(A615,'Compos DER'!J:K,2,FALSE)</f>
        <v>61.67</v>
      </c>
      <c r="G615" s="198">
        <f t="shared" si="10"/>
        <v>1.0498808307797101</v>
      </c>
    </row>
    <row r="616" spans="1:7" x14ac:dyDescent="0.2">
      <c r="A616" s="806">
        <v>40663</v>
      </c>
      <c r="B616" s="839" t="s">
        <v>571</v>
      </c>
      <c r="C616" s="840" t="s">
        <v>1948</v>
      </c>
      <c r="D616" s="807">
        <v>53.06</v>
      </c>
      <c r="E616" s="841" t="s">
        <v>1209</v>
      </c>
      <c r="F616" s="203" t="e">
        <f>VLOOKUP(A616,'Compos DER'!J:K,2,FALSE)</f>
        <v>#N/A</v>
      </c>
      <c r="G616" s="198" t="e">
        <f t="shared" si="10"/>
        <v>#N/A</v>
      </c>
    </row>
    <row r="617" spans="1:7" x14ac:dyDescent="0.2">
      <c r="A617" s="806">
        <v>40659</v>
      </c>
      <c r="B617" s="839" t="s">
        <v>572</v>
      </c>
      <c r="C617" s="840" t="s">
        <v>1948</v>
      </c>
      <c r="D617" s="807">
        <v>50.73</v>
      </c>
      <c r="E617" s="841"/>
      <c r="F617" s="203" t="e">
        <f>VLOOKUP(A617,'Compos DER'!J:K,2,FALSE)</f>
        <v>#N/A</v>
      </c>
      <c r="G617" s="198" t="e">
        <f t="shared" si="10"/>
        <v>#N/A</v>
      </c>
    </row>
    <row r="618" spans="1:7" x14ac:dyDescent="0.2">
      <c r="A618" s="806">
        <v>41024</v>
      </c>
      <c r="B618" s="839" t="s">
        <v>2148</v>
      </c>
      <c r="C618" s="840" t="s">
        <v>1948</v>
      </c>
      <c r="D618" s="807">
        <v>20.64</v>
      </c>
      <c r="E618" s="841"/>
      <c r="F618" s="203" t="e">
        <f>VLOOKUP(A618,'Compos DER'!J:K,2,FALSE)</f>
        <v>#N/A</v>
      </c>
      <c r="G618" s="198" t="e">
        <f t="shared" si="10"/>
        <v>#N/A</v>
      </c>
    </row>
    <row r="619" spans="1:7" x14ac:dyDescent="0.2">
      <c r="A619" s="806">
        <v>40657</v>
      </c>
      <c r="B619" s="839" t="s">
        <v>573</v>
      </c>
      <c r="C619" s="840" t="s">
        <v>1948</v>
      </c>
      <c r="D619" s="807">
        <v>196.31</v>
      </c>
      <c r="E619" s="839"/>
      <c r="F619" s="203" t="e">
        <f>VLOOKUP(A619,'Compos DER'!J:K,2,FALSE)</f>
        <v>#N/A</v>
      </c>
      <c r="G619" s="198" t="e">
        <f t="shared" si="10"/>
        <v>#N/A</v>
      </c>
    </row>
    <row r="620" spans="1:7" x14ac:dyDescent="0.2">
      <c r="A620" s="806">
        <v>41395</v>
      </c>
      <c r="B620" s="839" t="s">
        <v>1695</v>
      </c>
      <c r="C620" s="840" t="s">
        <v>1905</v>
      </c>
      <c r="D620" s="807">
        <v>677.72</v>
      </c>
      <c r="E620" s="841" t="s">
        <v>1209</v>
      </c>
      <c r="F620" s="203" t="e">
        <f>VLOOKUP(A620,'Compos DER'!J:K,2,FALSE)</f>
        <v>#N/A</v>
      </c>
      <c r="G620" s="198" t="e">
        <f t="shared" si="10"/>
        <v>#N/A</v>
      </c>
    </row>
    <row r="621" spans="1:7" x14ac:dyDescent="0.2">
      <c r="A621" s="806">
        <v>41396</v>
      </c>
      <c r="B621" s="842" t="s">
        <v>2149</v>
      </c>
      <c r="C621" s="840" t="s">
        <v>1905</v>
      </c>
      <c r="D621" s="807">
        <v>817.52</v>
      </c>
      <c r="E621" s="843" t="s">
        <v>1209</v>
      </c>
      <c r="F621" s="203" t="e">
        <f>VLOOKUP(A621,'Compos DER'!J:K,2,FALSE)</f>
        <v>#N/A</v>
      </c>
      <c r="G621" s="198" t="e">
        <f t="shared" si="10"/>
        <v>#N/A</v>
      </c>
    </row>
    <row r="622" spans="1:7" x14ac:dyDescent="0.2">
      <c r="A622" s="806">
        <v>41397</v>
      </c>
      <c r="B622" s="839" t="s">
        <v>2150</v>
      </c>
      <c r="C622" s="840" t="s">
        <v>1905</v>
      </c>
      <c r="D622" s="807">
        <v>796.16</v>
      </c>
      <c r="E622" s="841" t="s">
        <v>1209</v>
      </c>
      <c r="F622" s="203" t="e">
        <f>VLOOKUP(A622,'Compos DER'!J:K,2,FALSE)</f>
        <v>#N/A</v>
      </c>
      <c r="G622" s="198" t="e">
        <f t="shared" si="10"/>
        <v>#N/A</v>
      </c>
    </row>
    <row r="623" spans="1:7" x14ac:dyDescent="0.2">
      <c r="A623" s="806">
        <v>41398</v>
      </c>
      <c r="B623" s="839" t="s">
        <v>2151</v>
      </c>
      <c r="C623" s="840" t="s">
        <v>1905</v>
      </c>
      <c r="D623" s="807">
        <v>854.64</v>
      </c>
      <c r="E623" s="839" t="s">
        <v>1209</v>
      </c>
      <c r="F623" s="203" t="e">
        <f>VLOOKUP(A623,'Compos DER'!J:K,2,FALSE)</f>
        <v>#N/A</v>
      </c>
      <c r="G623" s="198" t="e">
        <f t="shared" si="10"/>
        <v>#N/A</v>
      </c>
    </row>
    <row r="624" spans="1:7" ht="25.5" x14ac:dyDescent="0.2">
      <c r="A624" s="806">
        <v>41399</v>
      </c>
      <c r="B624" s="842" t="s">
        <v>2152</v>
      </c>
      <c r="C624" s="840" t="s">
        <v>1905</v>
      </c>
      <c r="D624" s="807">
        <v>862.77</v>
      </c>
      <c r="E624" s="839" t="s">
        <v>1209</v>
      </c>
      <c r="F624" s="203" t="e">
        <f>VLOOKUP(A624,'Compos DER'!J:K,2,FALSE)</f>
        <v>#N/A</v>
      </c>
      <c r="G624" s="198" t="e">
        <f t="shared" si="10"/>
        <v>#N/A</v>
      </c>
    </row>
    <row r="625" spans="1:7" x14ac:dyDescent="0.2">
      <c r="A625" s="806">
        <v>40654</v>
      </c>
      <c r="B625" s="842" t="s">
        <v>2153</v>
      </c>
      <c r="C625" s="840" t="s">
        <v>1910</v>
      </c>
      <c r="D625" s="807">
        <v>648.29999999999995</v>
      </c>
      <c r="E625" s="839" t="s">
        <v>1209</v>
      </c>
      <c r="F625" s="203" t="e">
        <f>VLOOKUP(A625,'Compos DER'!J:K,2,FALSE)</f>
        <v>#N/A</v>
      </c>
      <c r="G625" s="198" t="e">
        <f t="shared" si="10"/>
        <v>#N/A</v>
      </c>
    </row>
    <row r="626" spans="1:7" x14ac:dyDescent="0.2">
      <c r="A626" s="806">
        <v>40653</v>
      </c>
      <c r="B626" s="842" t="s">
        <v>574</v>
      </c>
      <c r="C626" s="840" t="s">
        <v>1910</v>
      </c>
      <c r="D626" s="807">
        <v>710.58</v>
      </c>
      <c r="E626" s="839" t="s">
        <v>1209</v>
      </c>
      <c r="F626" s="203" t="e">
        <f>VLOOKUP(A626,'Compos DER'!J:K,2,FALSE)</f>
        <v>#N/A</v>
      </c>
      <c r="G626" s="198" t="e">
        <f t="shared" si="10"/>
        <v>#N/A</v>
      </c>
    </row>
    <row r="627" spans="1:7" x14ac:dyDescent="0.2">
      <c r="A627" s="806">
        <v>41337</v>
      </c>
      <c r="B627" s="842" t="s">
        <v>575</v>
      </c>
      <c r="C627" s="840" t="s">
        <v>1910</v>
      </c>
      <c r="D627" s="807">
        <v>290.45</v>
      </c>
      <c r="E627" s="839" t="s">
        <v>1209</v>
      </c>
      <c r="F627" s="203" t="e">
        <f>VLOOKUP(A627,'Compos DER'!J:K,2,FALSE)</f>
        <v>#N/A</v>
      </c>
      <c r="G627" s="198" t="e">
        <f t="shared" si="10"/>
        <v>#N/A</v>
      </c>
    </row>
    <row r="628" spans="1:7" x14ac:dyDescent="0.2">
      <c r="A628" s="806">
        <v>40719</v>
      </c>
      <c r="B628" s="842" t="s">
        <v>576</v>
      </c>
      <c r="C628" s="840" t="s">
        <v>1906</v>
      </c>
      <c r="D628" s="807">
        <v>56.33</v>
      </c>
      <c r="E628" s="839"/>
      <c r="F628" s="203" t="e">
        <f>VLOOKUP(A628,'Compos DER'!J:K,2,FALSE)</f>
        <v>#N/A</v>
      </c>
      <c r="G628" s="198" t="e">
        <f t="shared" si="10"/>
        <v>#N/A</v>
      </c>
    </row>
    <row r="629" spans="1:7" ht="25.5" x14ac:dyDescent="0.2">
      <c r="A629" s="806">
        <v>41019</v>
      </c>
      <c r="B629" s="839" t="s">
        <v>2154</v>
      </c>
      <c r="C629" s="840" t="s">
        <v>1948</v>
      </c>
      <c r="D629" s="807">
        <v>728.3</v>
      </c>
      <c r="E629" s="839"/>
      <c r="F629" s="203" t="e">
        <f>VLOOKUP(A629,'Compos DER'!J:K,2,FALSE)</f>
        <v>#N/A</v>
      </c>
      <c r="G629" s="198" t="e">
        <f t="shared" si="10"/>
        <v>#N/A</v>
      </c>
    </row>
    <row r="630" spans="1:7" x14ac:dyDescent="0.2">
      <c r="A630" s="806">
        <v>40557</v>
      </c>
      <c r="B630" s="839" t="s">
        <v>2155</v>
      </c>
      <c r="C630" s="840" t="s">
        <v>1910</v>
      </c>
      <c r="D630" s="807">
        <v>112.97</v>
      </c>
      <c r="E630" s="839" t="s">
        <v>1209</v>
      </c>
      <c r="F630" s="203" t="e">
        <f>VLOOKUP(A630,'Compos DER'!J:K,2,FALSE)</f>
        <v>#N/A</v>
      </c>
      <c r="G630" s="198" t="e">
        <f t="shared" si="10"/>
        <v>#N/A</v>
      </c>
    </row>
    <row r="631" spans="1:7" x14ac:dyDescent="0.2">
      <c r="A631" s="806">
        <v>40391</v>
      </c>
      <c r="B631" s="839" t="s">
        <v>577</v>
      </c>
      <c r="C631" s="840" t="s">
        <v>1905</v>
      </c>
      <c r="D631" s="807">
        <v>4.66</v>
      </c>
      <c r="E631" s="841"/>
      <c r="F631" s="203" t="e">
        <f>VLOOKUP(A631,'Compos DER'!J:K,2,FALSE)</f>
        <v>#N/A</v>
      </c>
      <c r="G631" s="198" t="e">
        <f t="shared" si="10"/>
        <v>#N/A</v>
      </c>
    </row>
    <row r="632" spans="1:7" x14ac:dyDescent="0.2">
      <c r="A632" s="806">
        <v>40380</v>
      </c>
      <c r="B632" s="842" t="s">
        <v>578</v>
      </c>
      <c r="C632" s="840" t="s">
        <v>1905</v>
      </c>
      <c r="D632" s="807">
        <v>60.53</v>
      </c>
      <c r="E632" s="843"/>
      <c r="F632" s="203" t="e">
        <f>VLOOKUP(A632,'Compos DER'!J:K,2,FALSE)</f>
        <v>#N/A</v>
      </c>
      <c r="G632" s="198" t="e">
        <f t="shared" si="10"/>
        <v>#N/A</v>
      </c>
    </row>
    <row r="633" spans="1:7" x14ac:dyDescent="0.2">
      <c r="A633" s="806">
        <v>40399</v>
      </c>
      <c r="B633" s="842" t="s">
        <v>579</v>
      </c>
      <c r="C633" s="840" t="s">
        <v>1905</v>
      </c>
      <c r="D633" s="807">
        <v>191.7</v>
      </c>
      <c r="E633" s="839"/>
      <c r="F633" s="203" t="e">
        <f>VLOOKUP(A633,'Compos DER'!J:K,2,FALSE)</f>
        <v>#N/A</v>
      </c>
      <c r="G633" s="198" t="e">
        <f t="shared" si="10"/>
        <v>#N/A</v>
      </c>
    </row>
    <row r="634" spans="1:7" x14ac:dyDescent="0.2">
      <c r="A634" s="806">
        <v>41028</v>
      </c>
      <c r="B634" s="839" t="s">
        <v>580</v>
      </c>
      <c r="C634" s="840" t="s">
        <v>1905</v>
      </c>
      <c r="D634" s="807">
        <v>3.5</v>
      </c>
      <c r="E634" s="841"/>
      <c r="F634" s="203" t="e">
        <f>VLOOKUP(A634,'Compos DER'!J:K,2,FALSE)</f>
        <v>#N/A</v>
      </c>
      <c r="G634" s="198" t="e">
        <f t="shared" si="10"/>
        <v>#N/A</v>
      </c>
    </row>
    <row r="635" spans="1:7" x14ac:dyDescent="0.2">
      <c r="A635" s="806">
        <v>41167</v>
      </c>
      <c r="B635" s="839" t="s">
        <v>1696</v>
      </c>
      <c r="C635" s="840" t="s">
        <v>1910</v>
      </c>
      <c r="D635" s="807">
        <v>2602.44</v>
      </c>
      <c r="E635" s="841"/>
      <c r="F635" s="203" t="e">
        <f>VLOOKUP(A635,'Compos DER'!J:K,2,FALSE)</f>
        <v>#N/A</v>
      </c>
      <c r="G635" s="198" t="e">
        <f t="shared" si="10"/>
        <v>#N/A</v>
      </c>
    </row>
    <row r="636" spans="1:7" x14ac:dyDescent="0.2">
      <c r="A636" s="806">
        <v>41168</v>
      </c>
      <c r="B636" s="839" t="s">
        <v>1697</v>
      </c>
      <c r="C636" s="840" t="s">
        <v>1910</v>
      </c>
      <c r="D636" s="807">
        <v>3007.77</v>
      </c>
      <c r="E636" s="841"/>
      <c r="F636" s="203" t="e">
        <f>VLOOKUP(A636,'Compos DER'!J:K,2,FALSE)</f>
        <v>#N/A</v>
      </c>
      <c r="G636" s="198" t="e">
        <f t="shared" si="10"/>
        <v>#N/A</v>
      </c>
    </row>
    <row r="637" spans="1:7" x14ac:dyDescent="0.2">
      <c r="A637" s="806">
        <v>40570</v>
      </c>
      <c r="B637" s="839" t="s">
        <v>581</v>
      </c>
      <c r="C637" s="840" t="s">
        <v>1910</v>
      </c>
      <c r="D637" s="807">
        <v>10681.34</v>
      </c>
      <c r="E637" s="841" t="s">
        <v>1209</v>
      </c>
      <c r="F637" s="203" t="e">
        <f>VLOOKUP(A637,'Compos DER'!J:K,2,FALSE)</f>
        <v>#N/A</v>
      </c>
      <c r="G637" s="198" t="e">
        <f t="shared" si="10"/>
        <v>#N/A</v>
      </c>
    </row>
    <row r="638" spans="1:7" x14ac:dyDescent="0.2">
      <c r="A638" s="806">
        <v>41115</v>
      </c>
      <c r="B638" s="839" t="s">
        <v>582</v>
      </c>
      <c r="C638" s="840" t="s">
        <v>1910</v>
      </c>
      <c r="D638" s="808">
        <v>1477.37</v>
      </c>
      <c r="E638" s="841"/>
      <c r="F638" s="203" t="e">
        <f>VLOOKUP(A638,'Compos DER'!J:K,2,FALSE)</f>
        <v>#N/A</v>
      </c>
      <c r="G638" s="198" t="e">
        <f t="shared" si="10"/>
        <v>#N/A</v>
      </c>
    </row>
    <row r="639" spans="1:7" x14ac:dyDescent="0.2">
      <c r="A639" s="806">
        <v>41116</v>
      </c>
      <c r="B639" s="839" t="s">
        <v>583</v>
      </c>
      <c r="C639" s="840" t="s">
        <v>1910</v>
      </c>
      <c r="D639" s="808">
        <v>1888.53</v>
      </c>
      <c r="E639" s="841"/>
      <c r="F639" s="203" t="e">
        <f>VLOOKUP(A639,'Compos DER'!J:K,2,FALSE)</f>
        <v>#N/A</v>
      </c>
      <c r="G639" s="198" t="e">
        <f t="shared" si="10"/>
        <v>#N/A</v>
      </c>
    </row>
    <row r="640" spans="1:7" x14ac:dyDescent="0.2">
      <c r="A640" s="806">
        <v>41117</v>
      </c>
      <c r="B640" s="839" t="s">
        <v>584</v>
      </c>
      <c r="C640" s="840" t="s">
        <v>1910</v>
      </c>
      <c r="D640" s="808">
        <v>2293.67</v>
      </c>
      <c r="E640" s="839"/>
      <c r="F640" s="203" t="e">
        <f>VLOOKUP(A640,'Compos DER'!J:K,2,FALSE)</f>
        <v>#N/A</v>
      </c>
      <c r="G640" s="198" t="e">
        <f t="shared" si="10"/>
        <v>#N/A</v>
      </c>
    </row>
    <row r="641" spans="1:7" x14ac:dyDescent="0.2">
      <c r="A641" s="806">
        <v>40572</v>
      </c>
      <c r="B641" s="839" t="s">
        <v>585</v>
      </c>
      <c r="C641" s="840" t="s">
        <v>1910</v>
      </c>
      <c r="D641" s="808">
        <v>17559.28</v>
      </c>
      <c r="E641" s="841" t="s">
        <v>1209</v>
      </c>
      <c r="F641" s="203" t="e">
        <f>VLOOKUP(A641,'Compos DER'!J:K,2,FALSE)</f>
        <v>#N/A</v>
      </c>
      <c r="G641" s="198" t="e">
        <f t="shared" si="10"/>
        <v>#N/A</v>
      </c>
    </row>
    <row r="642" spans="1:7" x14ac:dyDescent="0.2">
      <c r="A642" s="806">
        <v>40553</v>
      </c>
      <c r="B642" s="839" t="s">
        <v>2156</v>
      </c>
      <c r="C642" s="840" t="s">
        <v>1910</v>
      </c>
      <c r="D642" s="808">
        <v>4004.69</v>
      </c>
      <c r="E642" s="841" t="s">
        <v>1209</v>
      </c>
      <c r="F642" s="203" t="e">
        <f>VLOOKUP(A642,'Compos DER'!J:K,2,FALSE)</f>
        <v>#N/A</v>
      </c>
      <c r="G642" s="198" t="e">
        <f t="shared" si="10"/>
        <v>#N/A</v>
      </c>
    </row>
    <row r="643" spans="1:7" x14ac:dyDescent="0.2">
      <c r="A643" s="806">
        <v>40554</v>
      </c>
      <c r="B643" s="839" t="s">
        <v>2157</v>
      </c>
      <c r="C643" s="840" t="s">
        <v>1910</v>
      </c>
      <c r="D643" s="808">
        <v>4435.12</v>
      </c>
      <c r="E643" s="841" t="s">
        <v>1209</v>
      </c>
      <c r="F643" s="203" t="e">
        <f>VLOOKUP(A643,'Compos DER'!J:K,2,FALSE)</f>
        <v>#N/A</v>
      </c>
      <c r="G643" s="198" t="e">
        <f t="shared" si="10"/>
        <v>#N/A</v>
      </c>
    </row>
    <row r="644" spans="1:7" x14ac:dyDescent="0.2">
      <c r="A644" s="806">
        <v>40555</v>
      </c>
      <c r="B644" s="839" t="s">
        <v>2158</v>
      </c>
      <c r="C644" s="840" t="s">
        <v>1910</v>
      </c>
      <c r="D644" s="808">
        <v>4865.5600000000004</v>
      </c>
      <c r="E644" s="839" t="s">
        <v>1209</v>
      </c>
      <c r="F644" s="203" t="e">
        <f>VLOOKUP(A644,'Compos DER'!J:K,2,FALSE)</f>
        <v>#N/A</v>
      </c>
      <c r="G644" s="198" t="e">
        <f t="shared" si="10"/>
        <v>#N/A</v>
      </c>
    </row>
    <row r="645" spans="1:7" x14ac:dyDescent="0.2">
      <c r="A645" s="806">
        <v>40556</v>
      </c>
      <c r="B645" s="842" t="s">
        <v>2159</v>
      </c>
      <c r="C645" s="840" t="s">
        <v>1910</v>
      </c>
      <c r="D645" s="808">
        <v>5296</v>
      </c>
      <c r="E645" s="839" t="s">
        <v>1209</v>
      </c>
      <c r="F645" s="203" t="e">
        <f>VLOOKUP(A645,'Compos DER'!J:K,2,FALSE)</f>
        <v>#N/A</v>
      </c>
      <c r="G645" s="198" t="e">
        <f t="shared" ref="G645:G705" si="11">+F645/D645</f>
        <v>#N/A</v>
      </c>
    </row>
    <row r="646" spans="1:7" x14ac:dyDescent="0.2">
      <c r="A646" s="806">
        <v>41086</v>
      </c>
      <c r="B646" s="842" t="s">
        <v>2160</v>
      </c>
      <c r="C646" s="840" t="s">
        <v>1905</v>
      </c>
      <c r="D646" s="808">
        <v>10.72</v>
      </c>
      <c r="E646" s="839"/>
      <c r="F646" s="203" t="e">
        <f>VLOOKUP(A646,'Compos DER'!J:K,2,FALSE)</f>
        <v>#N/A</v>
      </c>
      <c r="G646" s="198" t="e">
        <f t="shared" si="11"/>
        <v>#N/A</v>
      </c>
    </row>
    <row r="647" spans="1:7" x14ac:dyDescent="0.2">
      <c r="A647" s="806">
        <v>41021</v>
      </c>
      <c r="B647" s="842" t="s">
        <v>2161</v>
      </c>
      <c r="C647" s="840" t="s">
        <v>1905</v>
      </c>
      <c r="D647" s="808">
        <v>8.6</v>
      </c>
      <c r="E647" s="839"/>
      <c r="F647" s="203" t="e">
        <f>VLOOKUP(A647,'Compos DER'!J:K,2,FALSE)</f>
        <v>#N/A</v>
      </c>
      <c r="G647" s="198" t="e">
        <f t="shared" si="11"/>
        <v>#N/A</v>
      </c>
    </row>
    <row r="648" spans="1:7" x14ac:dyDescent="0.2">
      <c r="A648" s="806">
        <v>40304</v>
      </c>
      <c r="B648" s="842" t="s">
        <v>586</v>
      </c>
      <c r="C648" s="840" t="s">
        <v>1906</v>
      </c>
      <c r="D648" s="808">
        <v>57.38</v>
      </c>
      <c r="E648" s="839" t="s">
        <v>1209</v>
      </c>
      <c r="F648" s="203">
        <f>VLOOKUP(A648,'Compos DER'!J:K,2,FALSE)</f>
        <v>82.58</v>
      </c>
      <c r="G648" s="198">
        <f t="shared" si="11"/>
        <v>1.43917741373301</v>
      </c>
    </row>
    <row r="649" spans="1:7" x14ac:dyDescent="0.2">
      <c r="A649" s="806">
        <v>40302</v>
      </c>
      <c r="B649" s="842" t="s">
        <v>587</v>
      </c>
      <c r="C649" s="840" t="s">
        <v>1906</v>
      </c>
      <c r="D649" s="807">
        <v>68.28</v>
      </c>
      <c r="E649" s="843"/>
      <c r="F649" s="203">
        <f>VLOOKUP(A649,'Compos DER'!J:K,2,FALSE)</f>
        <v>68.28</v>
      </c>
      <c r="G649" s="198">
        <f t="shared" si="11"/>
        <v>1</v>
      </c>
    </row>
    <row r="650" spans="1:7" x14ac:dyDescent="0.2">
      <c r="A650" s="806">
        <v>40301</v>
      </c>
      <c r="B650" s="842" t="s">
        <v>588</v>
      </c>
      <c r="C650" s="840" t="s">
        <v>1906</v>
      </c>
      <c r="D650" s="807">
        <v>99.02</v>
      </c>
      <c r="E650" s="843"/>
      <c r="F650" s="203" t="e">
        <f>VLOOKUP(A650,'Compos DER'!J:K,2,FALSE)</f>
        <v>#N/A</v>
      </c>
      <c r="G650" s="198" t="e">
        <f t="shared" si="11"/>
        <v>#N/A</v>
      </c>
    </row>
    <row r="651" spans="1:7" x14ac:dyDescent="0.2">
      <c r="A651" s="806">
        <v>40303</v>
      </c>
      <c r="B651" s="839" t="s">
        <v>589</v>
      </c>
      <c r="C651" s="840" t="s">
        <v>1906</v>
      </c>
      <c r="D651" s="807">
        <v>43</v>
      </c>
      <c r="E651" s="839"/>
      <c r="F651" s="203">
        <f>VLOOKUP(A651,'Compos DER'!J:K,2,FALSE)</f>
        <v>43</v>
      </c>
      <c r="G651" s="198">
        <f t="shared" si="11"/>
        <v>1</v>
      </c>
    </row>
    <row r="652" spans="1:7" x14ac:dyDescent="0.2">
      <c r="A652" s="806">
        <v>40559</v>
      </c>
      <c r="B652" s="839" t="s">
        <v>590</v>
      </c>
      <c r="C652" s="840" t="s">
        <v>1910</v>
      </c>
      <c r="D652" s="807">
        <v>807.25</v>
      </c>
      <c r="E652" s="841" t="s">
        <v>1209</v>
      </c>
      <c r="F652" s="203" t="e">
        <f>VLOOKUP(A652,'Compos DER'!J:K,2,FALSE)</f>
        <v>#N/A</v>
      </c>
      <c r="G652" s="198" t="e">
        <f t="shared" si="11"/>
        <v>#N/A</v>
      </c>
    </row>
    <row r="653" spans="1:7" x14ac:dyDescent="0.2">
      <c r="A653" s="806">
        <v>41224</v>
      </c>
      <c r="B653" s="839" t="s">
        <v>591</v>
      </c>
      <c r="C653" s="840" t="s">
        <v>1948</v>
      </c>
      <c r="D653" s="807">
        <v>17.690000000000001</v>
      </c>
      <c r="E653" s="841"/>
      <c r="F653" s="203" t="e">
        <f>VLOOKUP(A653,'Compos DER'!J:K,2,FALSE)</f>
        <v>#N/A</v>
      </c>
      <c r="G653" s="198" t="e">
        <f t="shared" si="11"/>
        <v>#N/A</v>
      </c>
    </row>
    <row r="654" spans="1:7" x14ac:dyDescent="0.2">
      <c r="A654" s="806">
        <v>41225</v>
      </c>
      <c r="B654" s="839" t="s">
        <v>592</v>
      </c>
      <c r="C654" s="840" t="s">
        <v>1948</v>
      </c>
      <c r="D654" s="807">
        <v>20.399999999999999</v>
      </c>
      <c r="E654" s="841"/>
      <c r="F654" s="203" t="e">
        <f>VLOOKUP(A654,'Compos DER'!J:K,2,FALSE)</f>
        <v>#N/A</v>
      </c>
      <c r="G654" s="198" t="e">
        <f t="shared" si="11"/>
        <v>#N/A</v>
      </c>
    </row>
    <row r="655" spans="1:7" x14ac:dyDescent="0.2">
      <c r="A655" s="806">
        <v>41226</v>
      </c>
      <c r="B655" s="839" t="s">
        <v>593</v>
      </c>
      <c r="C655" s="840" t="s">
        <v>1948</v>
      </c>
      <c r="D655" s="807">
        <v>25.63</v>
      </c>
      <c r="E655" s="839"/>
      <c r="F655" s="203" t="e">
        <f>VLOOKUP(A655,'Compos DER'!J:K,2,FALSE)</f>
        <v>#N/A</v>
      </c>
      <c r="G655" s="198" t="e">
        <f t="shared" si="11"/>
        <v>#N/A</v>
      </c>
    </row>
    <row r="656" spans="1:7" x14ac:dyDescent="0.2">
      <c r="A656" s="806">
        <v>41060</v>
      </c>
      <c r="B656" s="839" t="s">
        <v>594</v>
      </c>
      <c r="C656" s="840" t="s">
        <v>1948</v>
      </c>
      <c r="D656" s="807">
        <v>75.319999999999993</v>
      </c>
      <c r="E656" s="841"/>
      <c r="F656" s="203" t="e">
        <f>VLOOKUP(A656,'Compos DER'!J:K,2,FALSE)</f>
        <v>#N/A</v>
      </c>
      <c r="G656" s="198" t="e">
        <f t="shared" si="11"/>
        <v>#N/A</v>
      </c>
    </row>
    <row r="657" spans="1:7" x14ac:dyDescent="0.2">
      <c r="A657" s="806">
        <v>41059</v>
      </c>
      <c r="B657" s="839" t="s">
        <v>595</v>
      </c>
      <c r="C657" s="840" t="s">
        <v>1948</v>
      </c>
      <c r="D657" s="807">
        <v>104.03</v>
      </c>
      <c r="E657" s="841"/>
      <c r="F657" s="203" t="e">
        <f>VLOOKUP(A657,'Compos DER'!J:K,2,FALSE)</f>
        <v>#N/A</v>
      </c>
      <c r="G657" s="198" t="e">
        <f t="shared" si="11"/>
        <v>#N/A</v>
      </c>
    </row>
    <row r="658" spans="1:7" x14ac:dyDescent="0.2">
      <c r="A658" s="806">
        <v>40567</v>
      </c>
      <c r="B658" s="839" t="s">
        <v>596</v>
      </c>
      <c r="C658" s="840" t="s">
        <v>1948</v>
      </c>
      <c r="D658" s="807">
        <v>77.290000000000006</v>
      </c>
      <c r="E658" s="841"/>
      <c r="F658" s="203" t="e">
        <f>VLOOKUP(A658,'Compos DER'!J:K,2,FALSE)</f>
        <v>#N/A</v>
      </c>
      <c r="G658" s="198" t="e">
        <f t="shared" si="11"/>
        <v>#N/A</v>
      </c>
    </row>
    <row r="659" spans="1:7" x14ac:dyDescent="0.2">
      <c r="A659" s="806">
        <v>40747</v>
      </c>
      <c r="B659" s="839" t="s">
        <v>597</v>
      </c>
      <c r="C659" s="840" t="s">
        <v>1948</v>
      </c>
      <c r="D659" s="807">
        <v>127.78</v>
      </c>
      <c r="E659" s="841"/>
      <c r="F659" s="203" t="e">
        <f>VLOOKUP(A659,'Compos DER'!J:K,2,FALSE)</f>
        <v>#N/A</v>
      </c>
      <c r="G659" s="198" t="e">
        <f t="shared" si="11"/>
        <v>#N/A</v>
      </c>
    </row>
    <row r="660" spans="1:7" x14ac:dyDescent="0.2">
      <c r="A660" s="806">
        <v>40727</v>
      </c>
      <c r="B660" s="839" t="s">
        <v>598</v>
      </c>
      <c r="C660" s="840" t="s">
        <v>1906</v>
      </c>
      <c r="D660" s="807">
        <v>327.5</v>
      </c>
      <c r="E660" s="841" t="s">
        <v>1209</v>
      </c>
      <c r="F660" s="203" t="e">
        <f>VLOOKUP(A660,'Compos DER'!J:K,2,FALSE)</f>
        <v>#N/A</v>
      </c>
      <c r="G660" s="198" t="e">
        <f t="shared" si="11"/>
        <v>#N/A</v>
      </c>
    </row>
    <row r="661" spans="1:7" x14ac:dyDescent="0.2">
      <c r="A661" s="806">
        <v>41264</v>
      </c>
      <c r="B661" s="839" t="s">
        <v>599</v>
      </c>
      <c r="C661" s="840" t="s">
        <v>1906</v>
      </c>
      <c r="D661" s="807">
        <v>403.74</v>
      </c>
      <c r="E661" s="841" t="s">
        <v>1209</v>
      </c>
      <c r="F661" s="203" t="e">
        <f>VLOOKUP(A661,'Compos DER'!J:K,2,FALSE)</f>
        <v>#N/A</v>
      </c>
      <c r="G661" s="198" t="e">
        <f t="shared" si="11"/>
        <v>#N/A</v>
      </c>
    </row>
    <row r="662" spans="1:7" x14ac:dyDescent="0.2">
      <c r="A662" s="806">
        <v>41239</v>
      </c>
      <c r="B662" s="839" t="s">
        <v>600</v>
      </c>
      <c r="C662" s="840" t="s">
        <v>1906</v>
      </c>
      <c r="D662" s="807">
        <v>95.58</v>
      </c>
      <c r="E662" s="841"/>
      <c r="F662" s="203" t="e">
        <f>VLOOKUP(A662,'Compos DER'!J:K,2,FALSE)</f>
        <v>#N/A</v>
      </c>
      <c r="G662" s="198" t="e">
        <f t="shared" si="11"/>
        <v>#N/A</v>
      </c>
    </row>
    <row r="663" spans="1:7" x14ac:dyDescent="0.2">
      <c r="A663" s="806">
        <v>40688</v>
      </c>
      <c r="B663" s="839" t="s">
        <v>601</v>
      </c>
      <c r="C663" s="840" t="s">
        <v>1910</v>
      </c>
      <c r="D663" s="807">
        <v>302.63</v>
      </c>
      <c r="E663" s="839"/>
      <c r="F663" s="203" t="e">
        <f>VLOOKUP(A663,'Compos DER'!J:K,2,FALSE)</f>
        <v>#N/A</v>
      </c>
      <c r="G663" s="198" t="e">
        <f t="shared" si="11"/>
        <v>#N/A</v>
      </c>
    </row>
    <row r="664" spans="1:7" x14ac:dyDescent="0.2">
      <c r="A664" s="806">
        <v>40690</v>
      </c>
      <c r="B664" s="839" t="s">
        <v>602</v>
      </c>
      <c r="C664" s="840" t="s">
        <v>1910</v>
      </c>
      <c r="D664" s="807">
        <v>1447.87</v>
      </c>
      <c r="E664" s="839"/>
      <c r="F664" s="203">
        <f>VLOOKUP(A664,'Compos DER'!J:K,2,FALSE)</f>
        <v>1551.28</v>
      </c>
      <c r="G664" s="198">
        <f t="shared" si="11"/>
        <v>1.0714221580666801</v>
      </c>
    </row>
    <row r="665" spans="1:7" x14ac:dyDescent="0.2">
      <c r="A665" s="806">
        <v>40691</v>
      </c>
      <c r="B665" s="839" t="s">
        <v>603</v>
      </c>
      <c r="C665" s="840" t="s">
        <v>1910</v>
      </c>
      <c r="D665" s="807">
        <v>1731.48</v>
      </c>
      <c r="E665" s="841"/>
      <c r="F665" s="203" t="e">
        <f>VLOOKUP(A665,'Compos DER'!J:K,2,FALSE)</f>
        <v>#N/A</v>
      </c>
      <c r="G665" s="198" t="e">
        <f t="shared" si="11"/>
        <v>#N/A</v>
      </c>
    </row>
    <row r="666" spans="1:7" x14ac:dyDescent="0.2">
      <c r="A666" s="806">
        <v>40689</v>
      </c>
      <c r="B666" s="839" t="s">
        <v>604</v>
      </c>
      <c r="C666" s="840" t="s">
        <v>1910</v>
      </c>
      <c r="D666" s="807">
        <v>758.8</v>
      </c>
      <c r="E666" s="841"/>
      <c r="F666" s="203" t="e">
        <f>VLOOKUP(A666,'Compos DER'!J:K,2,FALSE)</f>
        <v>#N/A</v>
      </c>
      <c r="G666" s="198" t="e">
        <f t="shared" si="11"/>
        <v>#N/A</v>
      </c>
    </row>
    <row r="667" spans="1:7" x14ac:dyDescent="0.2">
      <c r="A667" s="806">
        <v>40666</v>
      </c>
      <c r="B667" s="839" t="s">
        <v>605</v>
      </c>
      <c r="C667" s="840" t="s">
        <v>1948</v>
      </c>
      <c r="D667" s="808">
        <v>85.39</v>
      </c>
      <c r="E667" s="841"/>
      <c r="F667" s="203" t="e">
        <f>VLOOKUP(A667,'Compos DER'!J:K,2,FALSE)</f>
        <v>#N/A</v>
      </c>
      <c r="G667" s="198" t="e">
        <f t="shared" si="11"/>
        <v>#N/A</v>
      </c>
    </row>
    <row r="668" spans="1:7" x14ac:dyDescent="0.2">
      <c r="A668" s="806">
        <v>40667</v>
      </c>
      <c r="B668" s="839" t="s">
        <v>606</v>
      </c>
      <c r="C668" s="840" t="s">
        <v>1948</v>
      </c>
      <c r="D668" s="808">
        <v>89.34</v>
      </c>
      <c r="E668" s="841"/>
      <c r="F668" s="203">
        <f>VLOOKUP(A668,'Compos DER'!J:K,2,FALSE)</f>
        <v>95.75</v>
      </c>
      <c r="G668" s="198">
        <f t="shared" si="11"/>
        <v>1.0717483769867899</v>
      </c>
    </row>
    <row r="669" spans="1:7" x14ac:dyDescent="0.2">
      <c r="A669" s="806">
        <v>41180</v>
      </c>
      <c r="B669" s="839" t="s">
        <v>607</v>
      </c>
      <c r="C669" s="840" t="s">
        <v>1948</v>
      </c>
      <c r="D669" s="807">
        <v>76.69</v>
      </c>
      <c r="E669" s="841" t="s">
        <v>1209</v>
      </c>
      <c r="F669" s="203" t="e">
        <f>VLOOKUP(A669,'Compos DER'!J:K,2,FALSE)</f>
        <v>#N/A</v>
      </c>
      <c r="G669" s="198" t="e">
        <f t="shared" si="11"/>
        <v>#N/A</v>
      </c>
    </row>
    <row r="670" spans="1:7" x14ac:dyDescent="0.2">
      <c r="A670" s="806">
        <v>40668</v>
      </c>
      <c r="B670" s="839" t="s">
        <v>608</v>
      </c>
      <c r="C670" s="840" t="s">
        <v>1948</v>
      </c>
      <c r="D670" s="807">
        <v>98.9</v>
      </c>
      <c r="E670" s="841"/>
      <c r="F670" s="203">
        <f>VLOOKUP(A670,'Compos DER'!J:K,2,FALSE)</f>
        <v>105.4</v>
      </c>
      <c r="G670" s="198">
        <f t="shared" si="11"/>
        <v>1.06572295247725</v>
      </c>
    </row>
    <row r="671" spans="1:7" x14ac:dyDescent="0.2">
      <c r="A671" s="806">
        <v>40982</v>
      </c>
      <c r="B671" s="839" t="s">
        <v>609</v>
      </c>
      <c r="C671" s="840" t="s">
        <v>1948</v>
      </c>
      <c r="D671" s="807">
        <v>176.56</v>
      </c>
      <c r="E671" s="841"/>
      <c r="F671" s="203" t="e">
        <f>VLOOKUP(A671,'Compos DER'!J:K,2,FALSE)</f>
        <v>#N/A</v>
      </c>
      <c r="G671" s="198" t="e">
        <f t="shared" si="11"/>
        <v>#N/A</v>
      </c>
    </row>
    <row r="672" spans="1:7" x14ac:dyDescent="0.2">
      <c r="A672" s="806">
        <v>41336</v>
      </c>
      <c r="B672" s="839" t="s">
        <v>610</v>
      </c>
      <c r="C672" s="840" t="s">
        <v>1948</v>
      </c>
      <c r="D672" s="807">
        <v>92.94</v>
      </c>
      <c r="E672" s="839" t="s">
        <v>1209</v>
      </c>
      <c r="F672" s="203" t="e">
        <f>VLOOKUP(A672,'Compos DER'!J:K,2,FALSE)</f>
        <v>#N/A</v>
      </c>
      <c r="G672" s="198" t="e">
        <f t="shared" si="11"/>
        <v>#N/A</v>
      </c>
    </row>
    <row r="673" spans="1:7" x14ac:dyDescent="0.2">
      <c r="A673" s="806">
        <v>40669</v>
      </c>
      <c r="B673" s="839" t="s">
        <v>611</v>
      </c>
      <c r="C673" s="840" t="s">
        <v>1948</v>
      </c>
      <c r="D673" s="807">
        <v>84.43</v>
      </c>
      <c r="E673" s="841"/>
      <c r="F673" s="203" t="e">
        <f>VLOOKUP(A673,'Compos DER'!J:K,2,FALSE)</f>
        <v>#N/A</v>
      </c>
      <c r="G673" s="198" t="e">
        <f t="shared" si="11"/>
        <v>#N/A</v>
      </c>
    </row>
    <row r="674" spans="1:7" x14ac:dyDescent="0.2">
      <c r="A674" s="806">
        <v>40670</v>
      </c>
      <c r="B674" s="839" t="s">
        <v>612</v>
      </c>
      <c r="C674" s="840" t="s">
        <v>1948</v>
      </c>
      <c r="D674" s="807">
        <v>63.02</v>
      </c>
      <c r="E674" s="841"/>
      <c r="F674" s="203" t="e">
        <f>VLOOKUP(A674,'Compos DER'!J:K,2,FALSE)</f>
        <v>#N/A</v>
      </c>
      <c r="G674" s="198" t="e">
        <f t="shared" si="11"/>
        <v>#N/A</v>
      </c>
    </row>
    <row r="675" spans="1:7" x14ac:dyDescent="0.2">
      <c r="A675" s="806">
        <v>40560</v>
      </c>
      <c r="B675" s="839" t="s">
        <v>613</v>
      </c>
      <c r="C675" s="840" t="s">
        <v>1910</v>
      </c>
      <c r="D675" s="807">
        <v>246.66</v>
      </c>
      <c r="E675" s="839" t="s">
        <v>1209</v>
      </c>
      <c r="F675" s="203" t="e">
        <f>VLOOKUP(A675,'Compos DER'!J:K,2,FALSE)</f>
        <v>#N/A</v>
      </c>
      <c r="G675" s="198" t="e">
        <f t="shared" si="11"/>
        <v>#N/A</v>
      </c>
    </row>
    <row r="676" spans="1:7" x14ac:dyDescent="0.2">
      <c r="A676" s="806">
        <v>40558</v>
      </c>
      <c r="B676" s="839" t="s">
        <v>614</v>
      </c>
      <c r="C676" s="840" t="s">
        <v>1910</v>
      </c>
      <c r="D676" s="807">
        <v>537.04999999999995</v>
      </c>
      <c r="E676" s="841" t="s">
        <v>1209</v>
      </c>
      <c r="F676" s="203" t="e">
        <f>VLOOKUP(A676,'Compos DER'!J:K,2,FALSE)</f>
        <v>#N/A</v>
      </c>
      <c r="G676" s="198" t="e">
        <f t="shared" si="11"/>
        <v>#N/A</v>
      </c>
    </row>
    <row r="677" spans="1:7" x14ac:dyDescent="0.2">
      <c r="A677" s="806">
        <v>41029</v>
      </c>
      <c r="B677" s="839" t="s">
        <v>2162</v>
      </c>
      <c r="C677" s="840" t="s">
        <v>1905</v>
      </c>
      <c r="D677" s="807">
        <v>40.020000000000003</v>
      </c>
      <c r="E677" s="841"/>
      <c r="F677" s="203" t="e">
        <f>VLOOKUP(A677,'Compos DER'!J:K,2,FALSE)</f>
        <v>#N/A</v>
      </c>
      <c r="G677" s="198" t="e">
        <f t="shared" si="11"/>
        <v>#N/A</v>
      </c>
    </row>
    <row r="678" spans="1:7" x14ac:dyDescent="0.2">
      <c r="A678" s="806">
        <v>41040</v>
      </c>
      <c r="B678" s="839" t="s">
        <v>615</v>
      </c>
      <c r="C678" s="840" t="s">
        <v>1905</v>
      </c>
      <c r="D678" s="807">
        <v>29.32</v>
      </c>
      <c r="E678" s="839"/>
      <c r="F678" s="203" t="e">
        <f>VLOOKUP(A678,'Compos DER'!J:K,2,FALSE)</f>
        <v>#N/A</v>
      </c>
      <c r="G678" s="198" t="e">
        <f t="shared" si="11"/>
        <v>#N/A</v>
      </c>
    </row>
    <row r="679" spans="1:7" x14ac:dyDescent="0.2">
      <c r="A679" s="806">
        <v>42658</v>
      </c>
      <c r="B679" s="839" t="s">
        <v>616</v>
      </c>
      <c r="C679" s="840" t="s">
        <v>1905</v>
      </c>
      <c r="D679" s="807">
        <v>39.94</v>
      </c>
      <c r="E679" s="839"/>
      <c r="F679" s="203" t="e">
        <f>VLOOKUP(A679,'Compos DER'!J:K,2,FALSE)</f>
        <v>#N/A</v>
      </c>
      <c r="G679" s="198" t="e">
        <f t="shared" si="11"/>
        <v>#N/A</v>
      </c>
    </row>
    <row r="680" spans="1:7" x14ac:dyDescent="0.2">
      <c r="A680" s="806">
        <v>40655</v>
      </c>
      <c r="B680" s="842" t="s">
        <v>617</v>
      </c>
      <c r="C680" s="840" t="s">
        <v>1910</v>
      </c>
      <c r="D680" s="807">
        <v>361.2</v>
      </c>
      <c r="E680" s="843" t="s">
        <v>1209</v>
      </c>
      <c r="F680" s="203" t="e">
        <f>VLOOKUP(A680,'Compos DER'!J:K,2,FALSE)</f>
        <v>#N/A</v>
      </c>
      <c r="G680" s="198" t="e">
        <f t="shared" si="11"/>
        <v>#N/A</v>
      </c>
    </row>
    <row r="681" spans="1:7" x14ac:dyDescent="0.2">
      <c r="A681" s="806">
        <v>41092</v>
      </c>
      <c r="B681" s="839" t="s">
        <v>618</v>
      </c>
      <c r="C681" s="840" t="s">
        <v>619</v>
      </c>
      <c r="D681" s="807">
        <v>24.39</v>
      </c>
      <c r="E681" s="841"/>
      <c r="F681" s="203" t="e">
        <f>VLOOKUP(A681,'Compos DER'!J:K,2,FALSE)</f>
        <v>#N/A</v>
      </c>
      <c r="G681" s="198" t="e">
        <f t="shared" si="11"/>
        <v>#N/A</v>
      </c>
    </row>
    <row r="682" spans="1:7" x14ac:dyDescent="0.2">
      <c r="A682" s="806">
        <v>41091</v>
      </c>
      <c r="B682" s="839" t="s">
        <v>620</v>
      </c>
      <c r="C682" s="840" t="s">
        <v>619</v>
      </c>
      <c r="D682" s="807">
        <v>33.01</v>
      </c>
      <c r="E682" s="841"/>
      <c r="F682" s="203" t="e">
        <f>VLOOKUP(A682,'Compos DER'!J:K,2,FALSE)</f>
        <v>#N/A</v>
      </c>
      <c r="G682" s="198" t="e">
        <f t="shared" si="11"/>
        <v>#N/A</v>
      </c>
    </row>
    <row r="683" spans="1:7" x14ac:dyDescent="0.2">
      <c r="A683" s="806">
        <v>40706</v>
      </c>
      <c r="B683" s="839" t="s">
        <v>621</v>
      </c>
      <c r="C683" s="840" t="s">
        <v>1948</v>
      </c>
      <c r="D683" s="807">
        <v>307.94</v>
      </c>
      <c r="E683" s="839" t="s">
        <v>1209</v>
      </c>
      <c r="F683" s="203">
        <f>VLOOKUP(A683,'Compos DER'!J:K,2,FALSE)</f>
        <v>330.68</v>
      </c>
      <c r="G683" s="198">
        <f t="shared" si="11"/>
        <v>1.0738455543287699</v>
      </c>
    </row>
    <row r="684" spans="1:7" x14ac:dyDescent="0.2">
      <c r="A684" s="806">
        <v>40651</v>
      </c>
      <c r="B684" s="839" t="s">
        <v>2163</v>
      </c>
      <c r="C684" s="840" t="s">
        <v>1948</v>
      </c>
      <c r="D684" s="807">
        <v>405.73</v>
      </c>
      <c r="E684" s="841" t="s">
        <v>1209</v>
      </c>
      <c r="F684" s="203" t="e">
        <f>VLOOKUP(A684,'Compos DER'!J:K,2,FALSE)</f>
        <v>#N/A</v>
      </c>
      <c r="G684" s="198" t="e">
        <f t="shared" si="11"/>
        <v>#N/A</v>
      </c>
    </row>
    <row r="685" spans="1:7" x14ac:dyDescent="0.2">
      <c r="A685" s="806">
        <v>41122</v>
      </c>
      <c r="B685" s="839" t="s">
        <v>622</v>
      </c>
      <c r="C685" s="840" t="s">
        <v>1948</v>
      </c>
      <c r="D685" s="807">
        <v>19.579999999999998</v>
      </c>
      <c r="E685" s="841"/>
      <c r="F685" s="203" t="e">
        <f>VLOOKUP(A685,'Compos DER'!J:K,2,FALSE)</f>
        <v>#N/A</v>
      </c>
      <c r="G685" s="198" t="e">
        <f t="shared" si="11"/>
        <v>#N/A</v>
      </c>
    </row>
    <row r="686" spans="1:7" x14ac:dyDescent="0.2">
      <c r="A686" s="806">
        <v>41123</v>
      </c>
      <c r="B686" s="839" t="s">
        <v>623</v>
      </c>
      <c r="C686" s="840" t="s">
        <v>1948</v>
      </c>
      <c r="D686" s="807">
        <v>36.409999999999997</v>
      </c>
      <c r="E686" s="839"/>
      <c r="F686" s="203" t="e">
        <f>VLOOKUP(A686,'Compos DER'!J:K,2,FALSE)</f>
        <v>#N/A</v>
      </c>
      <c r="G686" s="198" t="e">
        <f t="shared" si="11"/>
        <v>#N/A</v>
      </c>
    </row>
    <row r="687" spans="1:7" x14ac:dyDescent="0.2">
      <c r="A687" s="806">
        <v>41125</v>
      </c>
      <c r="B687" s="842" t="s">
        <v>624</v>
      </c>
      <c r="C687" s="840" t="s">
        <v>1948</v>
      </c>
      <c r="D687" s="807">
        <v>35.19</v>
      </c>
      <c r="E687" s="839"/>
      <c r="F687" s="203" t="e">
        <f>VLOOKUP(A687,'Compos DER'!J:K,2,FALSE)</f>
        <v>#N/A</v>
      </c>
      <c r="G687" s="198" t="e">
        <f t="shared" si="11"/>
        <v>#N/A</v>
      </c>
    </row>
    <row r="688" spans="1:7" x14ac:dyDescent="0.2">
      <c r="A688" s="806">
        <v>41119</v>
      </c>
      <c r="B688" s="839" t="s">
        <v>625</v>
      </c>
      <c r="C688" s="840" t="s">
        <v>1948</v>
      </c>
      <c r="D688" s="807">
        <v>6.33</v>
      </c>
      <c r="E688" s="841"/>
      <c r="F688" s="203" t="e">
        <f>VLOOKUP(A688,'Compos DER'!J:K,2,FALSE)</f>
        <v>#N/A</v>
      </c>
      <c r="G688" s="198" t="e">
        <f t="shared" si="11"/>
        <v>#N/A</v>
      </c>
    </row>
    <row r="689" spans="1:7" x14ac:dyDescent="0.2">
      <c r="A689" s="806">
        <v>41114</v>
      </c>
      <c r="B689" s="839" t="s">
        <v>626</v>
      </c>
      <c r="C689" s="840" t="s">
        <v>1948</v>
      </c>
      <c r="D689" s="807">
        <v>7.26</v>
      </c>
      <c r="E689" s="841"/>
      <c r="F689" s="203" t="e">
        <f>VLOOKUP(A689,'Compos DER'!J:K,2,FALSE)</f>
        <v>#N/A</v>
      </c>
      <c r="G689" s="198" t="e">
        <f t="shared" si="11"/>
        <v>#N/A</v>
      </c>
    </row>
    <row r="690" spans="1:7" x14ac:dyDescent="0.2">
      <c r="A690" s="806">
        <v>40707</v>
      </c>
      <c r="B690" s="839" t="s">
        <v>627</v>
      </c>
      <c r="C690" s="840" t="s">
        <v>1948</v>
      </c>
      <c r="D690" s="807">
        <v>208.15</v>
      </c>
      <c r="E690" s="841" t="s">
        <v>1209</v>
      </c>
      <c r="F690" s="203" t="e">
        <f>VLOOKUP(A690,'Compos DER'!J:K,2,FALSE)</f>
        <v>#N/A</v>
      </c>
      <c r="G690" s="198" t="e">
        <f t="shared" si="11"/>
        <v>#N/A</v>
      </c>
    </row>
    <row r="691" spans="1:7" x14ac:dyDescent="0.2">
      <c r="A691" s="806">
        <v>41118</v>
      </c>
      <c r="B691" s="839" t="s">
        <v>628</v>
      </c>
      <c r="C691" s="840" t="s">
        <v>1948</v>
      </c>
      <c r="D691" s="807">
        <v>9.77</v>
      </c>
      <c r="E691" s="841"/>
      <c r="F691" s="203" t="e">
        <f>VLOOKUP(A691,'Compos DER'!J:K,2,FALSE)</f>
        <v>#N/A</v>
      </c>
      <c r="G691" s="198" t="e">
        <f t="shared" si="11"/>
        <v>#N/A</v>
      </c>
    </row>
    <row r="692" spans="1:7" x14ac:dyDescent="0.2">
      <c r="A692" s="806">
        <v>40702</v>
      </c>
      <c r="B692" s="839" t="s">
        <v>629</v>
      </c>
      <c r="C692" s="840" t="s">
        <v>1906</v>
      </c>
      <c r="D692" s="807">
        <v>350.59</v>
      </c>
      <c r="E692" s="841" t="s">
        <v>1209</v>
      </c>
      <c r="F692" s="203" t="e">
        <f>VLOOKUP(A692,'Compos DER'!J:K,2,FALSE)</f>
        <v>#N/A</v>
      </c>
      <c r="G692" s="198" t="e">
        <f t="shared" si="11"/>
        <v>#N/A</v>
      </c>
    </row>
    <row r="693" spans="1:7" x14ac:dyDescent="0.2">
      <c r="A693" s="806">
        <v>40701</v>
      </c>
      <c r="B693" s="839" t="s">
        <v>630</v>
      </c>
      <c r="C693" s="840" t="s">
        <v>1906</v>
      </c>
      <c r="D693" s="807">
        <v>148.57</v>
      </c>
      <c r="E693" s="839" t="s">
        <v>1209</v>
      </c>
      <c r="F693" s="203" t="e">
        <f>VLOOKUP(A693,'Compos DER'!J:K,2,FALSE)</f>
        <v>#N/A</v>
      </c>
      <c r="G693" s="198" t="e">
        <f t="shared" si="11"/>
        <v>#N/A</v>
      </c>
    </row>
    <row r="694" spans="1:7" x14ac:dyDescent="0.2">
      <c r="A694" s="806">
        <v>40698</v>
      </c>
      <c r="B694" s="839" t="s">
        <v>631</v>
      </c>
      <c r="C694" s="840" t="s">
        <v>1948</v>
      </c>
      <c r="D694" s="807">
        <v>78.03</v>
      </c>
      <c r="E694" s="841" t="s">
        <v>1209</v>
      </c>
      <c r="F694" s="203" t="e">
        <f>VLOOKUP(A694,'Compos DER'!J:K,2,FALSE)</f>
        <v>#N/A</v>
      </c>
      <c r="G694" s="198" t="e">
        <f t="shared" si="11"/>
        <v>#N/A</v>
      </c>
    </row>
    <row r="695" spans="1:7" x14ac:dyDescent="0.2">
      <c r="A695" s="806">
        <v>40700</v>
      </c>
      <c r="B695" s="839" t="s">
        <v>632</v>
      </c>
      <c r="C695" s="840" t="s">
        <v>1948</v>
      </c>
      <c r="D695" s="807">
        <v>90.68</v>
      </c>
      <c r="E695" s="839" t="s">
        <v>1209</v>
      </c>
      <c r="F695" s="203" t="e">
        <f>VLOOKUP(A695,'Compos DER'!J:K,2,FALSE)</f>
        <v>#N/A</v>
      </c>
      <c r="G695" s="198" t="e">
        <f t="shared" si="11"/>
        <v>#N/A</v>
      </c>
    </row>
    <row r="696" spans="1:7" x14ac:dyDescent="0.2">
      <c r="A696" s="806">
        <v>40696</v>
      </c>
      <c r="B696" s="839" t="s">
        <v>633</v>
      </c>
      <c r="C696" s="840" t="s">
        <v>1948</v>
      </c>
      <c r="D696" s="807">
        <v>179.09</v>
      </c>
      <c r="E696" s="839" t="s">
        <v>1209</v>
      </c>
      <c r="F696" s="203" t="e">
        <f>VLOOKUP(A696,'Compos DER'!J:K,2,FALSE)</f>
        <v>#N/A</v>
      </c>
      <c r="G696" s="198" t="e">
        <f t="shared" si="11"/>
        <v>#N/A</v>
      </c>
    </row>
    <row r="697" spans="1:7" x14ac:dyDescent="0.2">
      <c r="A697" s="806">
        <v>40695</v>
      </c>
      <c r="B697" s="839" t="s">
        <v>634</v>
      </c>
      <c r="C697" s="840" t="s">
        <v>1948</v>
      </c>
      <c r="D697" s="807">
        <v>67.33</v>
      </c>
      <c r="E697" s="839"/>
      <c r="F697" s="203" t="e">
        <f>VLOOKUP(A697,'Compos DER'!J:K,2,FALSE)</f>
        <v>#N/A</v>
      </c>
      <c r="G697" s="198" t="e">
        <f t="shared" si="11"/>
        <v>#N/A</v>
      </c>
    </row>
    <row r="698" spans="1:7" x14ac:dyDescent="0.2">
      <c r="A698" s="806">
        <v>40692</v>
      </c>
      <c r="B698" s="839" t="s">
        <v>635</v>
      </c>
      <c r="C698" s="840" t="s">
        <v>1948</v>
      </c>
      <c r="D698" s="807">
        <v>3.74</v>
      </c>
      <c r="E698" s="839"/>
      <c r="F698" s="203" t="e">
        <f>VLOOKUP(A698,'Compos DER'!J:K,2,FALSE)</f>
        <v>#N/A</v>
      </c>
      <c r="G698" s="198" t="e">
        <f t="shared" si="11"/>
        <v>#N/A</v>
      </c>
    </row>
    <row r="699" spans="1:7" x14ac:dyDescent="0.2">
      <c r="A699" s="806">
        <v>40697</v>
      </c>
      <c r="B699" s="839" t="s">
        <v>636</v>
      </c>
      <c r="C699" s="840" t="s">
        <v>1948</v>
      </c>
      <c r="D699" s="807">
        <v>76.52</v>
      </c>
      <c r="E699" s="839" t="s">
        <v>1209</v>
      </c>
      <c r="F699" s="203" t="e">
        <f>VLOOKUP(A699,'Compos DER'!J:K,2,FALSE)</f>
        <v>#N/A</v>
      </c>
      <c r="G699" s="198" t="e">
        <f t="shared" si="11"/>
        <v>#N/A</v>
      </c>
    </row>
    <row r="700" spans="1:7" x14ac:dyDescent="0.2">
      <c r="A700" s="806">
        <v>40699</v>
      </c>
      <c r="B700" s="839" t="s">
        <v>637</v>
      </c>
      <c r="C700" s="840" t="s">
        <v>1948</v>
      </c>
      <c r="D700" s="807">
        <v>213.57</v>
      </c>
      <c r="E700" s="841" t="s">
        <v>1209</v>
      </c>
      <c r="F700" s="203" t="e">
        <f>VLOOKUP(A700,'Compos DER'!J:K,2,FALSE)</f>
        <v>#N/A</v>
      </c>
      <c r="G700" s="198" t="e">
        <f t="shared" si="11"/>
        <v>#N/A</v>
      </c>
    </row>
    <row r="701" spans="1:7" x14ac:dyDescent="0.2">
      <c r="A701" s="806">
        <v>40693</v>
      </c>
      <c r="B701" s="839" t="s">
        <v>638</v>
      </c>
      <c r="C701" s="840" t="s">
        <v>1948</v>
      </c>
      <c r="D701" s="807">
        <v>36.450000000000003</v>
      </c>
      <c r="E701" s="841"/>
      <c r="F701" s="203">
        <f>VLOOKUP(A701,'Compos DER'!J:K,2,FALSE)</f>
        <v>36.450000000000003</v>
      </c>
      <c r="G701" s="198">
        <f t="shared" si="11"/>
        <v>1</v>
      </c>
    </row>
    <row r="702" spans="1:7" x14ac:dyDescent="0.2">
      <c r="A702" s="806">
        <v>40694</v>
      </c>
      <c r="B702" s="839" t="s">
        <v>639</v>
      </c>
      <c r="C702" s="840" t="s">
        <v>1948</v>
      </c>
      <c r="D702" s="807">
        <v>67.040000000000006</v>
      </c>
      <c r="E702" s="839" t="s">
        <v>1209</v>
      </c>
      <c r="F702" s="203" t="e">
        <f>VLOOKUP(A702,'Compos DER'!J:K,2,FALSE)</f>
        <v>#N/A</v>
      </c>
      <c r="G702" s="198" t="e">
        <f t="shared" si="11"/>
        <v>#N/A</v>
      </c>
    </row>
    <row r="703" spans="1:7" x14ac:dyDescent="0.2">
      <c r="A703" s="848"/>
      <c r="B703" s="848"/>
      <c r="C703" s="849"/>
      <c r="D703" s="853"/>
      <c r="E703" s="845" t="e">
        <v>#N/A</v>
      </c>
      <c r="F703" s="203" t="e">
        <f>VLOOKUP(A703,'Compos DER'!J:K,2,FALSE)</f>
        <v>#N/A</v>
      </c>
      <c r="G703" s="198" t="e">
        <f t="shared" si="11"/>
        <v>#N/A</v>
      </c>
    </row>
    <row r="704" spans="1:7" x14ac:dyDescent="0.2">
      <c r="A704" s="847" t="s">
        <v>640</v>
      </c>
      <c r="B704" s="848"/>
      <c r="C704" s="849"/>
      <c r="E704" s="845" t="e">
        <v>#N/A</v>
      </c>
      <c r="F704" s="203" t="e">
        <f>VLOOKUP(A704,'Compos DER'!J:K,2,FALSE)</f>
        <v>#N/A</v>
      </c>
      <c r="G704" s="198" t="e">
        <f t="shared" si="11"/>
        <v>#N/A</v>
      </c>
    </row>
    <row r="705" spans="1:7" x14ac:dyDescent="0.2">
      <c r="A705" s="806">
        <v>40972</v>
      </c>
      <c r="B705" s="839" t="s">
        <v>1698</v>
      </c>
      <c r="C705" s="840" t="s">
        <v>17</v>
      </c>
      <c r="D705" s="807">
        <v>0</v>
      </c>
      <c r="E705" s="841"/>
      <c r="F705" s="203">
        <f>VLOOKUP(A705,'Compos DER'!J:K,2,FALSE)</f>
        <v>0</v>
      </c>
      <c r="G705" s="198" t="e">
        <f t="shared" si="11"/>
        <v>#DIV/0!</v>
      </c>
    </row>
    <row r="706" spans="1:7" x14ac:dyDescent="0.2">
      <c r="A706" s="806">
        <v>41405</v>
      </c>
      <c r="B706" s="839" t="s">
        <v>641</v>
      </c>
      <c r="C706" s="840" t="s">
        <v>3</v>
      </c>
      <c r="D706" s="808">
        <v>3579.03</v>
      </c>
      <c r="E706" s="841"/>
      <c r="F706" s="203" t="e">
        <f>VLOOKUP(A706,'Compos DER'!J:K,2,FALSE)</f>
        <v>#N/A</v>
      </c>
      <c r="G706" s="198" t="e">
        <f t="shared" ref="G706:G769" si="12">+F706/D706</f>
        <v>#N/A</v>
      </c>
    </row>
    <row r="707" spans="1:7" x14ac:dyDescent="0.2">
      <c r="A707" s="806">
        <v>41360</v>
      </c>
      <c r="B707" s="839" t="s">
        <v>642</v>
      </c>
      <c r="C707" s="840" t="s">
        <v>3</v>
      </c>
      <c r="D707" s="808">
        <v>3016.56</v>
      </c>
      <c r="E707" s="841"/>
      <c r="F707" s="203">
        <f>VLOOKUP(A707,'Compos DER'!J:K,2,FALSE)</f>
        <v>3016.56</v>
      </c>
      <c r="G707" s="198">
        <f t="shared" si="12"/>
        <v>1</v>
      </c>
    </row>
    <row r="708" spans="1:7" x14ac:dyDescent="0.2">
      <c r="A708" s="806">
        <v>40968</v>
      </c>
      <c r="B708" s="839" t="s">
        <v>643</v>
      </c>
      <c r="C708" s="840" t="s">
        <v>3</v>
      </c>
      <c r="D708" s="808">
        <v>4446.3999999999996</v>
      </c>
      <c r="E708" s="841"/>
      <c r="F708" s="203">
        <f>VLOOKUP(A708,'Compos DER'!J:K,2,FALSE)</f>
        <v>4446.3999999999996</v>
      </c>
      <c r="G708" s="198">
        <f t="shared" si="12"/>
        <v>1</v>
      </c>
    </row>
    <row r="709" spans="1:7" x14ac:dyDescent="0.2">
      <c r="A709" s="806">
        <v>40976</v>
      </c>
      <c r="B709" s="839" t="s">
        <v>644</v>
      </c>
      <c r="C709" s="840" t="s">
        <v>3</v>
      </c>
      <c r="D709" s="808">
        <v>56050</v>
      </c>
      <c r="E709" s="841"/>
      <c r="F709" s="203">
        <f>VLOOKUP(A709,'Compos DER'!J:K,2,FALSE)</f>
        <v>56050</v>
      </c>
      <c r="G709" s="198">
        <f t="shared" si="12"/>
        <v>1</v>
      </c>
    </row>
    <row r="710" spans="1:7" x14ac:dyDescent="0.2">
      <c r="A710" s="806">
        <v>42545</v>
      </c>
      <c r="B710" s="839" t="s">
        <v>645</v>
      </c>
      <c r="C710" s="840" t="s">
        <v>3</v>
      </c>
      <c r="D710" s="808">
        <v>2480.15</v>
      </c>
      <c r="E710" s="841"/>
      <c r="F710" s="203" t="e">
        <f>VLOOKUP(A710,'Compos DER'!J:K,2,FALSE)</f>
        <v>#N/A</v>
      </c>
      <c r="G710" s="198" t="e">
        <f t="shared" si="12"/>
        <v>#N/A</v>
      </c>
    </row>
    <row r="711" spans="1:7" x14ac:dyDescent="0.2">
      <c r="A711" s="806">
        <v>40974</v>
      </c>
      <c r="B711" s="839" t="s">
        <v>646</v>
      </c>
      <c r="C711" s="840" t="s">
        <v>3</v>
      </c>
      <c r="D711" s="808">
        <v>2600.21</v>
      </c>
      <c r="E711" s="841"/>
      <c r="F711" s="203" t="e">
        <f>VLOOKUP(A711,'Compos DER'!J:K,2,FALSE)</f>
        <v>#N/A</v>
      </c>
      <c r="G711" s="198" t="e">
        <f t="shared" si="12"/>
        <v>#N/A</v>
      </c>
    </row>
    <row r="712" spans="1:7" x14ac:dyDescent="0.2">
      <c r="A712" s="806">
        <v>40978</v>
      </c>
      <c r="B712" s="839" t="s">
        <v>647</v>
      </c>
      <c r="C712" s="840" t="s">
        <v>3</v>
      </c>
      <c r="D712" s="808">
        <v>2330.1</v>
      </c>
      <c r="E712" s="841"/>
      <c r="F712" s="203" t="e">
        <f>VLOOKUP(A712,'Compos DER'!J:K,2,FALSE)</f>
        <v>#N/A</v>
      </c>
      <c r="G712" s="198" t="e">
        <f t="shared" si="12"/>
        <v>#N/A</v>
      </c>
    </row>
    <row r="713" spans="1:7" x14ac:dyDescent="0.2">
      <c r="A713" s="806">
        <v>40975</v>
      </c>
      <c r="B713" s="839" t="s">
        <v>648</v>
      </c>
      <c r="C713" s="840" t="s">
        <v>3</v>
      </c>
      <c r="D713" s="808">
        <v>1942.01</v>
      </c>
      <c r="E713" s="841"/>
      <c r="F713" s="203" t="e">
        <f>VLOOKUP(A713,'Compos DER'!J:K,2,FALSE)</f>
        <v>#N/A</v>
      </c>
      <c r="G713" s="198" t="e">
        <f t="shared" si="12"/>
        <v>#N/A</v>
      </c>
    </row>
    <row r="714" spans="1:7" x14ac:dyDescent="0.2">
      <c r="A714" s="806">
        <v>40969</v>
      </c>
      <c r="B714" s="839" t="s">
        <v>649</v>
      </c>
      <c r="C714" s="840" t="s">
        <v>3</v>
      </c>
      <c r="D714" s="808">
        <v>2534.35</v>
      </c>
      <c r="E714" s="841"/>
      <c r="F714" s="203">
        <f>VLOOKUP(A714,'Compos DER'!J:K,2,FALSE)</f>
        <v>2534.35</v>
      </c>
      <c r="G714" s="198">
        <f t="shared" si="12"/>
        <v>1</v>
      </c>
    </row>
    <row r="715" spans="1:7" x14ac:dyDescent="0.2">
      <c r="A715" s="806">
        <v>40971</v>
      </c>
      <c r="B715" s="839" t="s">
        <v>650</v>
      </c>
      <c r="C715" s="840" t="s">
        <v>3</v>
      </c>
      <c r="D715" s="808">
        <v>2185.39</v>
      </c>
      <c r="E715" s="841"/>
      <c r="F715" s="203" t="e">
        <f>VLOOKUP(A715,'Compos DER'!J:K,2,FALSE)</f>
        <v>#N/A</v>
      </c>
      <c r="G715" s="198" t="e">
        <f t="shared" si="12"/>
        <v>#N/A</v>
      </c>
    </row>
    <row r="716" spans="1:7" x14ac:dyDescent="0.2">
      <c r="A716" s="848"/>
      <c r="B716" s="848"/>
      <c r="C716" s="849"/>
      <c r="D716" s="853"/>
      <c r="E716" s="845" t="e">
        <v>#N/A</v>
      </c>
      <c r="F716" s="203" t="e">
        <f>VLOOKUP(A716,'Compos DER'!J:K,2,FALSE)</f>
        <v>#N/A</v>
      </c>
      <c r="G716" s="198" t="e">
        <f t="shared" si="12"/>
        <v>#N/A</v>
      </c>
    </row>
    <row r="717" spans="1:7" x14ac:dyDescent="0.2">
      <c r="A717" s="847" t="s">
        <v>651</v>
      </c>
      <c r="B717" s="848"/>
      <c r="C717" s="849"/>
      <c r="E717" s="845" t="e">
        <v>#N/A</v>
      </c>
      <c r="F717" s="203" t="e">
        <f>VLOOKUP(A717,'Compos DER'!J:K,2,FALSE)</f>
        <v>#N/A</v>
      </c>
      <c r="G717" s="198" t="e">
        <f t="shared" si="12"/>
        <v>#N/A</v>
      </c>
    </row>
    <row r="718" spans="1:7" x14ac:dyDescent="0.2">
      <c r="A718" s="806">
        <v>40910</v>
      </c>
      <c r="B718" s="839" t="s">
        <v>652</v>
      </c>
      <c r="C718" s="840" t="s">
        <v>1910</v>
      </c>
      <c r="D718" s="808">
        <v>14974.35</v>
      </c>
      <c r="E718" s="839"/>
      <c r="F718" s="203">
        <f>VLOOKUP(A718,'Compos DER'!J:K,2,FALSE)</f>
        <v>15241.78</v>
      </c>
      <c r="G718" s="198">
        <f t="shared" si="12"/>
        <v>1.0178592059087701</v>
      </c>
    </row>
    <row r="719" spans="1:7" x14ac:dyDescent="0.2">
      <c r="A719" s="806">
        <v>41362</v>
      </c>
      <c r="B719" s="839" t="s">
        <v>653</v>
      </c>
      <c r="C719" s="840" t="s">
        <v>1910</v>
      </c>
      <c r="D719" s="808">
        <v>11443.75</v>
      </c>
      <c r="E719" s="841"/>
      <c r="F719" s="203" t="e">
        <f>VLOOKUP(A719,'Compos DER'!J:K,2,FALSE)</f>
        <v>#N/A</v>
      </c>
      <c r="G719" s="198" t="e">
        <f t="shared" si="12"/>
        <v>#N/A</v>
      </c>
    </row>
    <row r="720" spans="1:7" ht="25.5" x14ac:dyDescent="0.2">
      <c r="A720" s="806">
        <v>43343</v>
      </c>
      <c r="B720" s="842" t="s">
        <v>2164</v>
      </c>
      <c r="C720" s="840" t="s">
        <v>1905</v>
      </c>
      <c r="D720" s="807">
        <v>96.38</v>
      </c>
      <c r="E720" s="843"/>
      <c r="F720" s="203">
        <v>96.38</v>
      </c>
      <c r="G720" s="198">
        <f t="shared" si="12"/>
        <v>1</v>
      </c>
    </row>
    <row r="721" spans="1:7" x14ac:dyDescent="0.2">
      <c r="A721" s="806">
        <v>41151</v>
      </c>
      <c r="B721" s="839" t="s">
        <v>654</v>
      </c>
      <c r="C721" s="840" t="s">
        <v>1910</v>
      </c>
      <c r="D721" s="808">
        <v>1669.16</v>
      </c>
      <c r="E721" s="841"/>
      <c r="F721" s="203" t="e">
        <f>VLOOKUP(A721,'Compos DER'!J:K,2,FALSE)</f>
        <v>#N/A</v>
      </c>
      <c r="G721" s="198" t="e">
        <f t="shared" si="12"/>
        <v>#N/A</v>
      </c>
    </row>
    <row r="722" spans="1:7" x14ac:dyDescent="0.2">
      <c r="A722" s="806">
        <v>41346</v>
      </c>
      <c r="B722" s="839" t="s">
        <v>1699</v>
      </c>
      <c r="C722" s="840" t="s">
        <v>1948</v>
      </c>
      <c r="D722" s="807">
        <v>33.04</v>
      </c>
      <c r="E722" s="841"/>
      <c r="F722" s="203" t="e">
        <f>VLOOKUP(A722,'Compos DER'!J:K,2,FALSE)</f>
        <v>#N/A</v>
      </c>
      <c r="G722" s="198" t="e">
        <f t="shared" si="12"/>
        <v>#N/A</v>
      </c>
    </row>
    <row r="723" spans="1:7" x14ac:dyDescent="0.2">
      <c r="A723" s="806">
        <v>41150</v>
      </c>
      <c r="B723" s="839" t="s">
        <v>655</v>
      </c>
      <c r="C723" s="840" t="s">
        <v>1948</v>
      </c>
      <c r="D723" s="807">
        <v>7.07</v>
      </c>
      <c r="E723" s="841"/>
      <c r="F723" s="203" t="e">
        <f>VLOOKUP(A723,'Compos DER'!J:K,2,FALSE)</f>
        <v>#N/A</v>
      </c>
      <c r="G723" s="198" t="e">
        <f t="shared" si="12"/>
        <v>#N/A</v>
      </c>
    </row>
    <row r="724" spans="1:7" x14ac:dyDescent="0.2">
      <c r="A724" s="806">
        <v>41149</v>
      </c>
      <c r="B724" s="839" t="s">
        <v>656</v>
      </c>
      <c r="C724" s="840" t="s">
        <v>1948</v>
      </c>
      <c r="D724" s="807">
        <v>7.17</v>
      </c>
      <c r="E724" s="841"/>
      <c r="F724" s="203" t="e">
        <f>VLOOKUP(A724,'Compos DER'!J:K,2,FALSE)</f>
        <v>#N/A</v>
      </c>
      <c r="G724" s="198" t="e">
        <f t="shared" si="12"/>
        <v>#N/A</v>
      </c>
    </row>
    <row r="725" spans="1:7" x14ac:dyDescent="0.2">
      <c r="A725" s="806">
        <v>41410</v>
      </c>
      <c r="B725" s="839" t="s">
        <v>657</v>
      </c>
      <c r="C725" s="840" t="s">
        <v>1948</v>
      </c>
      <c r="D725" s="807">
        <v>8.1</v>
      </c>
      <c r="E725" s="841"/>
      <c r="F725" s="203" t="e">
        <f>VLOOKUP(A725,'Compos DER'!J:K,2,FALSE)</f>
        <v>#N/A</v>
      </c>
      <c r="G725" s="198" t="e">
        <f t="shared" si="12"/>
        <v>#N/A</v>
      </c>
    </row>
    <row r="726" spans="1:7" x14ac:dyDescent="0.2">
      <c r="A726" s="806">
        <v>41148</v>
      </c>
      <c r="B726" s="839" t="s">
        <v>658</v>
      </c>
      <c r="C726" s="840" t="s">
        <v>1948</v>
      </c>
      <c r="D726" s="807">
        <v>9.26</v>
      </c>
      <c r="E726" s="841"/>
      <c r="F726" s="203" t="e">
        <f>VLOOKUP(A726,'Compos DER'!J:K,2,FALSE)</f>
        <v>#N/A</v>
      </c>
      <c r="G726" s="198" t="e">
        <f t="shared" si="12"/>
        <v>#N/A</v>
      </c>
    </row>
    <row r="727" spans="1:7" x14ac:dyDescent="0.2">
      <c r="A727" s="806">
        <v>41152</v>
      </c>
      <c r="B727" s="839" t="s">
        <v>659</v>
      </c>
      <c r="C727" s="840" t="s">
        <v>1910</v>
      </c>
      <c r="D727" s="807">
        <v>463.33</v>
      </c>
      <c r="E727" s="841"/>
      <c r="F727" s="203" t="e">
        <f>VLOOKUP(A727,'Compos DER'!J:K,2,FALSE)</f>
        <v>#N/A</v>
      </c>
      <c r="G727" s="198" t="e">
        <f t="shared" si="12"/>
        <v>#N/A</v>
      </c>
    </row>
    <row r="728" spans="1:7" x14ac:dyDescent="0.2">
      <c r="A728" s="806">
        <v>41004</v>
      </c>
      <c r="B728" s="839" t="s">
        <v>660</v>
      </c>
      <c r="C728" s="840" t="s">
        <v>1910</v>
      </c>
      <c r="D728" s="807">
        <v>1040.32</v>
      </c>
      <c r="E728" s="841"/>
      <c r="F728" s="203" t="e">
        <f>VLOOKUP(A728,'Compos DER'!J:K,2,FALSE)</f>
        <v>#N/A</v>
      </c>
      <c r="G728" s="198" t="e">
        <f t="shared" si="12"/>
        <v>#N/A</v>
      </c>
    </row>
    <row r="729" spans="1:7" x14ac:dyDescent="0.2">
      <c r="A729" s="806">
        <v>40911</v>
      </c>
      <c r="B729" s="839" t="s">
        <v>661</v>
      </c>
      <c r="C729" s="840" t="s">
        <v>1905</v>
      </c>
      <c r="D729" s="807">
        <v>47.71</v>
      </c>
      <c r="E729" s="839" t="s">
        <v>1209</v>
      </c>
      <c r="F729" s="203" t="e">
        <f>VLOOKUP(A729,'Compos DER'!J:K,2,FALSE)</f>
        <v>#N/A</v>
      </c>
      <c r="G729" s="198" t="e">
        <f t="shared" si="12"/>
        <v>#N/A</v>
      </c>
    </row>
    <row r="730" spans="1:7" ht="25.5" x14ac:dyDescent="0.2">
      <c r="A730" s="806">
        <v>40915</v>
      </c>
      <c r="B730" s="842" t="s">
        <v>2165</v>
      </c>
      <c r="C730" s="840" t="s">
        <v>1905</v>
      </c>
      <c r="D730" s="807">
        <v>97.11</v>
      </c>
      <c r="E730" s="839" t="s">
        <v>1209</v>
      </c>
      <c r="F730" s="203">
        <f>VLOOKUP(A730,'Compos DER'!J:K,2,FALSE)</f>
        <v>106.38</v>
      </c>
      <c r="G730" s="198">
        <f t="shared" si="12"/>
        <v>1.09545875810936</v>
      </c>
    </row>
    <row r="731" spans="1:7" ht="25.5" x14ac:dyDescent="0.2">
      <c r="A731" s="806">
        <v>40899</v>
      </c>
      <c r="B731" s="839" t="s">
        <v>2166</v>
      </c>
      <c r="C731" s="840" t="s">
        <v>1948</v>
      </c>
      <c r="D731" s="807">
        <v>18.420000000000002</v>
      </c>
      <c r="E731" s="839" t="s">
        <v>1209</v>
      </c>
      <c r="F731" s="203" t="e">
        <f>VLOOKUP(A731,'Compos DER'!J:K,2,FALSE)</f>
        <v>#N/A</v>
      </c>
      <c r="G731" s="198" t="e">
        <f t="shared" si="12"/>
        <v>#N/A</v>
      </c>
    </row>
    <row r="732" spans="1:7" ht="25.5" x14ac:dyDescent="0.2">
      <c r="A732" s="806">
        <v>40900</v>
      </c>
      <c r="B732" s="842" t="s">
        <v>2167</v>
      </c>
      <c r="C732" s="840" t="s">
        <v>1948</v>
      </c>
      <c r="D732" s="807">
        <v>25.81</v>
      </c>
      <c r="E732" s="839" t="s">
        <v>1209</v>
      </c>
      <c r="F732" s="203" t="e">
        <f>VLOOKUP(A732,'Compos DER'!J:K,2,FALSE)</f>
        <v>#N/A</v>
      </c>
      <c r="G732" s="198" t="e">
        <f t="shared" si="12"/>
        <v>#N/A</v>
      </c>
    </row>
    <row r="733" spans="1:7" ht="25.5" x14ac:dyDescent="0.2">
      <c r="A733" s="806">
        <v>41365</v>
      </c>
      <c r="B733" s="842" t="s">
        <v>2168</v>
      </c>
      <c r="C733" s="840" t="s">
        <v>1948</v>
      </c>
      <c r="D733" s="807">
        <v>19.5</v>
      </c>
      <c r="E733" s="839" t="s">
        <v>1209</v>
      </c>
      <c r="F733" s="203" t="e">
        <f>VLOOKUP(A733,'Compos DER'!J:K,2,FALSE)</f>
        <v>#N/A</v>
      </c>
      <c r="G733" s="198" t="e">
        <f t="shared" si="12"/>
        <v>#N/A</v>
      </c>
    </row>
    <row r="734" spans="1:7" x14ac:dyDescent="0.2">
      <c r="A734" s="806">
        <v>41110</v>
      </c>
      <c r="B734" s="842" t="s">
        <v>2169</v>
      </c>
      <c r="C734" s="840" t="s">
        <v>1948</v>
      </c>
      <c r="D734" s="807">
        <v>18.46</v>
      </c>
      <c r="E734" s="839" t="s">
        <v>1209</v>
      </c>
      <c r="F734" s="203" t="e">
        <f>VLOOKUP(A734,'Compos DER'!J:K,2,FALSE)</f>
        <v>#N/A</v>
      </c>
      <c r="G734" s="198" t="e">
        <f t="shared" si="12"/>
        <v>#N/A</v>
      </c>
    </row>
    <row r="735" spans="1:7" x14ac:dyDescent="0.2">
      <c r="A735" s="806">
        <v>40903</v>
      </c>
      <c r="B735" s="839" t="s">
        <v>662</v>
      </c>
      <c r="C735" s="840" t="s">
        <v>1948</v>
      </c>
      <c r="D735" s="807">
        <v>23.45</v>
      </c>
      <c r="E735" s="839" t="s">
        <v>1209</v>
      </c>
      <c r="F735" s="203">
        <f>VLOOKUP(A735,'Compos DER'!J:K,2,FALSE)</f>
        <v>23.86</v>
      </c>
      <c r="G735" s="198">
        <f t="shared" si="12"/>
        <v>1.01748400852878</v>
      </c>
    </row>
    <row r="736" spans="1:7" x14ac:dyDescent="0.2">
      <c r="A736" s="806">
        <v>40904</v>
      </c>
      <c r="B736" s="839" t="s">
        <v>663</v>
      </c>
      <c r="C736" s="840" t="s">
        <v>1948</v>
      </c>
      <c r="D736" s="807">
        <v>41.33</v>
      </c>
      <c r="E736" s="839" t="s">
        <v>1209</v>
      </c>
      <c r="F736" s="203" t="e">
        <f>VLOOKUP(A736,'Compos DER'!J:K,2,FALSE)</f>
        <v>#N/A</v>
      </c>
      <c r="G736" s="198" t="e">
        <f t="shared" si="12"/>
        <v>#N/A</v>
      </c>
    </row>
    <row r="737" spans="1:7" x14ac:dyDescent="0.2">
      <c r="A737" s="806">
        <v>40905</v>
      </c>
      <c r="B737" s="842" t="s">
        <v>2170</v>
      </c>
      <c r="C737" s="840" t="s">
        <v>1948</v>
      </c>
      <c r="D737" s="807">
        <v>26.45</v>
      </c>
      <c r="E737" s="839" t="s">
        <v>1209</v>
      </c>
      <c r="F737" s="203" t="e">
        <f>VLOOKUP(A737,'Compos DER'!J:K,2,FALSE)</f>
        <v>#N/A</v>
      </c>
      <c r="G737" s="198" t="e">
        <f t="shared" si="12"/>
        <v>#N/A</v>
      </c>
    </row>
    <row r="738" spans="1:7" x14ac:dyDescent="0.2">
      <c r="A738" s="806">
        <v>43330</v>
      </c>
      <c r="B738" s="842" t="s">
        <v>2171</v>
      </c>
      <c r="C738" s="840" t="s">
        <v>1948</v>
      </c>
      <c r="D738" s="807">
        <v>30.48</v>
      </c>
      <c r="E738" s="839" t="s">
        <v>1209</v>
      </c>
      <c r="F738" s="203" t="e">
        <f>VLOOKUP(A738,'Compos DER'!J:K,2,FALSE)</f>
        <v>#N/A</v>
      </c>
      <c r="G738" s="198" t="e">
        <f t="shared" si="12"/>
        <v>#N/A</v>
      </c>
    </row>
    <row r="739" spans="1:7" ht="25.5" x14ac:dyDescent="0.2">
      <c r="A739" s="806">
        <v>40901</v>
      </c>
      <c r="B739" s="839" t="s">
        <v>1824</v>
      </c>
      <c r="C739" s="840" t="s">
        <v>1948</v>
      </c>
      <c r="D739" s="807">
        <v>17.21</v>
      </c>
      <c r="E739" s="839" t="s">
        <v>1209</v>
      </c>
      <c r="F739" s="203">
        <f>VLOOKUP(A739,'Compos DER'!J:K,2,FALSE)</f>
        <v>17.8</v>
      </c>
      <c r="G739" s="198">
        <f t="shared" si="12"/>
        <v>1.0342823939570001</v>
      </c>
    </row>
    <row r="740" spans="1:7" x14ac:dyDescent="0.2">
      <c r="A740" s="806">
        <v>42475</v>
      </c>
      <c r="B740" s="839" t="s">
        <v>1700</v>
      </c>
      <c r="C740" s="840" t="s">
        <v>1906</v>
      </c>
      <c r="D740" s="807">
        <v>529.85</v>
      </c>
      <c r="E740" s="839" t="s">
        <v>1209</v>
      </c>
      <c r="F740" s="203">
        <f>VLOOKUP(A740,'Compos DER'!J:K,2,FALSE)</f>
        <v>603.48</v>
      </c>
      <c r="G740" s="198">
        <f t="shared" si="12"/>
        <v>1.1389638576955701</v>
      </c>
    </row>
    <row r="741" spans="1:7" x14ac:dyDescent="0.2">
      <c r="A741" s="806">
        <v>40945</v>
      </c>
      <c r="B741" s="839" t="s">
        <v>664</v>
      </c>
      <c r="C741" s="840" t="s">
        <v>1948</v>
      </c>
      <c r="D741" s="807">
        <v>57.86</v>
      </c>
      <c r="E741" s="839" t="s">
        <v>1209</v>
      </c>
      <c r="F741" s="203" t="e">
        <f>VLOOKUP(A741,'Compos DER'!J:K,2,FALSE)</f>
        <v>#N/A</v>
      </c>
      <c r="G741" s="198" t="e">
        <f t="shared" si="12"/>
        <v>#N/A</v>
      </c>
    </row>
    <row r="742" spans="1:7" x14ac:dyDescent="0.2">
      <c r="A742" s="806">
        <v>41109</v>
      </c>
      <c r="B742" s="839" t="s">
        <v>665</v>
      </c>
      <c r="C742" s="840" t="s">
        <v>1948</v>
      </c>
      <c r="D742" s="807">
        <v>2.82</v>
      </c>
      <c r="E742" s="841"/>
      <c r="F742" s="203" t="e">
        <f>VLOOKUP(A742,'Compos DER'!J:K,2,FALSE)</f>
        <v>#N/A</v>
      </c>
      <c r="G742" s="198" t="e">
        <f t="shared" si="12"/>
        <v>#N/A</v>
      </c>
    </row>
    <row r="743" spans="1:7" x14ac:dyDescent="0.2">
      <c r="A743" s="806">
        <v>40164</v>
      </c>
      <c r="B743" s="839" t="s">
        <v>666</v>
      </c>
      <c r="C743" s="840" t="s">
        <v>1905</v>
      </c>
      <c r="D743" s="807">
        <v>42.65</v>
      </c>
      <c r="E743" s="841"/>
      <c r="F743" s="203" t="e">
        <f>VLOOKUP(A743,'Compos DER'!J:K,2,FALSE)</f>
        <v>#N/A</v>
      </c>
      <c r="G743" s="198" t="e">
        <f t="shared" si="12"/>
        <v>#N/A</v>
      </c>
    </row>
    <row r="744" spans="1:7" x14ac:dyDescent="0.2">
      <c r="A744" s="806">
        <v>40944</v>
      </c>
      <c r="B744" s="839" t="s">
        <v>667</v>
      </c>
      <c r="C744" s="840" t="s">
        <v>1948</v>
      </c>
      <c r="D744" s="807">
        <v>525.47</v>
      </c>
      <c r="E744" s="839" t="s">
        <v>1209</v>
      </c>
      <c r="F744" s="203" t="e">
        <f>VLOOKUP(A744,'Compos DER'!J:K,2,FALSE)</f>
        <v>#N/A</v>
      </c>
      <c r="G744" s="198" t="e">
        <f t="shared" si="12"/>
        <v>#N/A</v>
      </c>
    </row>
    <row r="745" spans="1:7" x14ac:dyDescent="0.2">
      <c r="A745" s="806">
        <v>40902</v>
      </c>
      <c r="B745" s="839" t="s">
        <v>668</v>
      </c>
      <c r="C745" s="840" t="s">
        <v>1948</v>
      </c>
      <c r="D745" s="807">
        <v>5.0999999999999996</v>
      </c>
      <c r="E745" s="841"/>
      <c r="F745" s="203">
        <f>VLOOKUP(A745,'Compos DER'!J:K,2,FALSE)</f>
        <v>5.1100000000000003</v>
      </c>
      <c r="G745" s="198">
        <f t="shared" si="12"/>
        <v>1.0019607843137299</v>
      </c>
    </row>
    <row r="746" spans="1:7" x14ac:dyDescent="0.2">
      <c r="A746" s="806">
        <v>41344</v>
      </c>
      <c r="B746" s="839" t="s">
        <v>669</v>
      </c>
      <c r="C746" s="840" t="s">
        <v>1948</v>
      </c>
      <c r="D746" s="807">
        <v>75.069999999999993</v>
      </c>
      <c r="E746" s="841"/>
      <c r="F746" s="203" t="e">
        <f>VLOOKUP(A746,'Compos DER'!J:K,2,FALSE)</f>
        <v>#N/A</v>
      </c>
      <c r="G746" s="198" t="e">
        <f t="shared" si="12"/>
        <v>#N/A</v>
      </c>
    </row>
    <row r="747" spans="1:7" x14ac:dyDescent="0.2">
      <c r="A747" s="806">
        <v>41345</v>
      </c>
      <c r="B747" s="839" t="s">
        <v>670</v>
      </c>
      <c r="C747" s="840" t="s">
        <v>1948</v>
      </c>
      <c r="D747" s="807">
        <v>122.22</v>
      </c>
      <c r="E747" s="841"/>
      <c r="F747" s="203" t="e">
        <f>VLOOKUP(A747,'Compos DER'!J:K,2,FALSE)</f>
        <v>#N/A</v>
      </c>
      <c r="G747" s="198" t="e">
        <f t="shared" si="12"/>
        <v>#N/A</v>
      </c>
    </row>
    <row r="748" spans="1:7" x14ac:dyDescent="0.2">
      <c r="A748" s="806">
        <v>41242</v>
      </c>
      <c r="B748" s="839" t="s">
        <v>671</v>
      </c>
      <c r="C748" s="840" t="s">
        <v>1905</v>
      </c>
      <c r="D748" s="807">
        <v>55.51</v>
      </c>
      <c r="E748" s="841"/>
      <c r="F748" s="203" t="e">
        <f>VLOOKUP(A748,'Compos DER'!J:K,2,FALSE)</f>
        <v>#N/A</v>
      </c>
      <c r="G748" s="198" t="e">
        <f t="shared" si="12"/>
        <v>#N/A</v>
      </c>
    </row>
    <row r="749" spans="1:7" x14ac:dyDescent="0.2">
      <c r="A749" s="806">
        <v>42476</v>
      </c>
      <c r="B749" s="839" t="s">
        <v>672</v>
      </c>
      <c r="C749" s="840" t="s">
        <v>1910</v>
      </c>
      <c r="D749" s="807">
        <v>41.86</v>
      </c>
      <c r="E749" s="841"/>
      <c r="F749" s="203" t="e">
        <f>VLOOKUP(A749,'Compos DER'!J:K,2,FALSE)</f>
        <v>#N/A</v>
      </c>
      <c r="G749" s="198" t="e">
        <f t="shared" si="12"/>
        <v>#N/A</v>
      </c>
    </row>
    <row r="750" spans="1:7" x14ac:dyDescent="0.2">
      <c r="A750" s="806">
        <v>41136</v>
      </c>
      <c r="B750" s="839" t="s">
        <v>673</v>
      </c>
      <c r="C750" s="840" t="s">
        <v>1910</v>
      </c>
      <c r="D750" s="807">
        <v>103.56</v>
      </c>
      <c r="E750" s="841"/>
      <c r="F750" s="203" t="e">
        <f>VLOOKUP(A750,'Compos DER'!J:K,2,FALSE)</f>
        <v>#N/A</v>
      </c>
      <c r="G750" s="198" t="e">
        <f t="shared" si="12"/>
        <v>#N/A</v>
      </c>
    </row>
    <row r="751" spans="1:7" x14ac:dyDescent="0.2">
      <c r="A751" s="806">
        <v>41135</v>
      </c>
      <c r="B751" s="839" t="s">
        <v>674</v>
      </c>
      <c r="C751" s="840" t="s">
        <v>1910</v>
      </c>
      <c r="D751" s="807">
        <v>109.31</v>
      </c>
      <c r="E751" s="841"/>
      <c r="F751" s="203" t="e">
        <f>VLOOKUP(A751,'Compos DER'!J:K,2,FALSE)</f>
        <v>#N/A</v>
      </c>
      <c r="G751" s="198" t="e">
        <f t="shared" si="12"/>
        <v>#N/A</v>
      </c>
    </row>
    <row r="752" spans="1:7" x14ac:dyDescent="0.2">
      <c r="A752" s="806">
        <v>40912</v>
      </c>
      <c r="B752" s="839" t="s">
        <v>675</v>
      </c>
      <c r="C752" s="840" t="s">
        <v>1905</v>
      </c>
      <c r="D752" s="807">
        <v>92.76</v>
      </c>
      <c r="E752" s="839" t="s">
        <v>1209</v>
      </c>
      <c r="F752" s="203" t="e">
        <f>VLOOKUP(A752,'Compos DER'!J:K,2,FALSE)</f>
        <v>#N/A</v>
      </c>
      <c r="G752" s="198" t="e">
        <f t="shared" si="12"/>
        <v>#N/A</v>
      </c>
    </row>
    <row r="753" spans="1:7" x14ac:dyDescent="0.2">
      <c r="A753" s="806">
        <v>40908</v>
      </c>
      <c r="B753" s="839" t="s">
        <v>676</v>
      </c>
      <c r="C753" s="840" t="s">
        <v>1910</v>
      </c>
      <c r="D753" s="808">
        <v>8474.2900000000009</v>
      </c>
      <c r="E753" s="839" t="s">
        <v>1209</v>
      </c>
      <c r="F753" s="203" t="e">
        <f>VLOOKUP(A753,'Compos DER'!J:K,2,FALSE)</f>
        <v>#N/A</v>
      </c>
      <c r="G753" s="198" t="e">
        <f t="shared" si="12"/>
        <v>#N/A</v>
      </c>
    </row>
    <row r="754" spans="1:7" x14ac:dyDescent="0.2">
      <c r="A754" s="806">
        <v>40907</v>
      </c>
      <c r="B754" s="839" t="s">
        <v>677</v>
      </c>
      <c r="C754" s="840" t="s">
        <v>1910</v>
      </c>
      <c r="D754" s="808">
        <v>13845.01</v>
      </c>
      <c r="E754" s="839" t="s">
        <v>1209</v>
      </c>
      <c r="F754" s="203" t="e">
        <f>VLOOKUP(A754,'Compos DER'!J:K,2,FALSE)</f>
        <v>#N/A</v>
      </c>
      <c r="G754" s="198" t="e">
        <f t="shared" si="12"/>
        <v>#N/A</v>
      </c>
    </row>
    <row r="755" spans="1:7" x14ac:dyDescent="0.2">
      <c r="A755" s="806">
        <v>40906</v>
      </c>
      <c r="B755" s="839" t="s">
        <v>678</v>
      </c>
      <c r="C755" s="840" t="s">
        <v>1948</v>
      </c>
      <c r="D755" s="808">
        <v>3974.93</v>
      </c>
      <c r="E755" s="841"/>
      <c r="F755" s="203" t="e">
        <f>VLOOKUP(A755,'Compos DER'!J:K,2,FALSE)</f>
        <v>#N/A</v>
      </c>
      <c r="G755" s="198" t="e">
        <f t="shared" si="12"/>
        <v>#N/A</v>
      </c>
    </row>
    <row r="756" spans="1:7" x14ac:dyDescent="0.2">
      <c r="A756" s="806">
        <v>41240</v>
      </c>
      <c r="B756" s="839" t="s">
        <v>1701</v>
      </c>
      <c r="C756" s="840" t="s">
        <v>1905</v>
      </c>
      <c r="D756" s="807">
        <v>87.43</v>
      </c>
      <c r="E756" s="839" t="s">
        <v>1209</v>
      </c>
      <c r="F756" s="203" t="e">
        <f>VLOOKUP(A756,'Compos DER'!J:K,2,FALSE)</f>
        <v>#N/A</v>
      </c>
      <c r="G756" s="198" t="e">
        <f t="shared" si="12"/>
        <v>#N/A</v>
      </c>
    </row>
    <row r="757" spans="1:7" ht="25.5" x14ac:dyDescent="0.2">
      <c r="A757" s="806">
        <v>40946</v>
      </c>
      <c r="B757" s="842" t="s">
        <v>2172</v>
      </c>
      <c r="C757" s="840" t="s">
        <v>1905</v>
      </c>
      <c r="D757" s="807">
        <v>87.35</v>
      </c>
      <c r="E757" s="839" t="s">
        <v>1209</v>
      </c>
      <c r="F757" s="203" t="e">
        <f>VLOOKUP(A757,'Compos DER'!J:K,2,FALSE)</f>
        <v>#N/A</v>
      </c>
      <c r="G757" s="198" t="e">
        <f t="shared" si="12"/>
        <v>#N/A</v>
      </c>
    </row>
    <row r="758" spans="1:7" x14ac:dyDescent="0.2">
      <c r="A758" s="806">
        <v>40942</v>
      </c>
      <c r="B758" s="839" t="s">
        <v>679</v>
      </c>
      <c r="C758" s="840" t="s">
        <v>1905</v>
      </c>
      <c r="D758" s="807">
        <v>36.82</v>
      </c>
      <c r="E758" s="839" t="s">
        <v>1209</v>
      </c>
      <c r="F758" s="203" t="e">
        <f>VLOOKUP(A758,'Compos DER'!J:K,2,FALSE)</f>
        <v>#N/A</v>
      </c>
      <c r="G758" s="198" t="e">
        <f t="shared" si="12"/>
        <v>#N/A</v>
      </c>
    </row>
    <row r="759" spans="1:7" x14ac:dyDescent="0.2">
      <c r="A759" s="806">
        <v>41245</v>
      </c>
      <c r="B759" s="839" t="s">
        <v>680</v>
      </c>
      <c r="C759" s="840" t="s">
        <v>1905</v>
      </c>
      <c r="D759" s="807">
        <v>38.159999999999997</v>
      </c>
      <c r="E759" s="841"/>
      <c r="F759" s="203" t="e">
        <f>VLOOKUP(A759,'Compos DER'!J:K,2,FALSE)</f>
        <v>#N/A</v>
      </c>
      <c r="G759" s="198" t="e">
        <f t="shared" si="12"/>
        <v>#N/A</v>
      </c>
    </row>
    <row r="760" spans="1:7" x14ac:dyDescent="0.2">
      <c r="A760" s="806">
        <v>41404</v>
      </c>
      <c r="B760" s="839" t="s">
        <v>2173</v>
      </c>
      <c r="C760" s="840" t="s">
        <v>1905</v>
      </c>
      <c r="D760" s="807">
        <v>32.049999999999997</v>
      </c>
      <c r="E760" s="841"/>
      <c r="F760" s="203">
        <f>VLOOKUP(A760,'Compos DER'!J:K,2,FALSE)</f>
        <v>32.049999999999997</v>
      </c>
      <c r="G760" s="198">
        <f t="shared" si="12"/>
        <v>1</v>
      </c>
    </row>
    <row r="761" spans="1:7" x14ac:dyDescent="0.2">
      <c r="A761" s="806">
        <v>41244</v>
      </c>
      <c r="B761" s="839" t="s">
        <v>681</v>
      </c>
      <c r="C761" s="840" t="s">
        <v>1905</v>
      </c>
      <c r="D761" s="807">
        <v>20.27</v>
      </c>
      <c r="E761" s="841"/>
      <c r="F761" s="203" t="e">
        <f>VLOOKUP(A761,'Compos DER'!J:K,2,FALSE)</f>
        <v>#N/A</v>
      </c>
      <c r="G761" s="198" t="e">
        <f t="shared" si="12"/>
        <v>#N/A</v>
      </c>
    </row>
    <row r="762" spans="1:7" x14ac:dyDescent="0.2">
      <c r="A762" s="806">
        <v>43328</v>
      </c>
      <c r="B762" s="839" t="s">
        <v>682</v>
      </c>
      <c r="C762" s="840" t="s">
        <v>1910</v>
      </c>
      <c r="D762" s="807">
        <v>11.75</v>
      </c>
      <c r="E762" s="841"/>
      <c r="F762" s="203" t="e">
        <f>VLOOKUP(A762,'Compos DER'!J:K,2,FALSE)</f>
        <v>#N/A</v>
      </c>
      <c r="G762" s="198" t="e">
        <f t="shared" si="12"/>
        <v>#N/A</v>
      </c>
    </row>
    <row r="763" spans="1:7" x14ac:dyDescent="0.2">
      <c r="A763" s="806">
        <v>40909</v>
      </c>
      <c r="B763" s="842" t="s">
        <v>2174</v>
      </c>
      <c r="C763" s="840" t="s">
        <v>1910</v>
      </c>
      <c r="D763" s="808">
        <v>2777.12</v>
      </c>
      <c r="E763" s="839" t="s">
        <v>1209</v>
      </c>
      <c r="F763" s="203" t="e">
        <f>VLOOKUP(A763,'Compos DER'!J:K,2,FALSE)</f>
        <v>#N/A</v>
      </c>
      <c r="G763" s="198" t="e">
        <f t="shared" si="12"/>
        <v>#N/A</v>
      </c>
    </row>
    <row r="764" spans="1:7" x14ac:dyDescent="0.2">
      <c r="A764" s="806">
        <v>41140</v>
      </c>
      <c r="B764" s="839" t="s">
        <v>683</v>
      </c>
      <c r="C764" s="840" t="s">
        <v>1910</v>
      </c>
      <c r="D764" s="808">
        <v>988.97</v>
      </c>
      <c r="E764" s="841"/>
      <c r="F764" s="203" t="e">
        <f>VLOOKUP(A764,'Compos DER'!J:K,2,FALSE)</f>
        <v>#N/A</v>
      </c>
      <c r="G764" s="198" t="e">
        <f t="shared" si="12"/>
        <v>#N/A</v>
      </c>
    </row>
    <row r="765" spans="1:7" x14ac:dyDescent="0.2">
      <c r="A765" s="806">
        <v>41139</v>
      </c>
      <c r="B765" s="839" t="s">
        <v>684</v>
      </c>
      <c r="C765" s="840" t="s">
        <v>1910</v>
      </c>
      <c r="D765" s="808">
        <v>1925.86</v>
      </c>
      <c r="E765" s="841"/>
      <c r="F765" s="203" t="e">
        <f>VLOOKUP(A765,'Compos DER'!J:K,2,FALSE)</f>
        <v>#N/A</v>
      </c>
      <c r="G765" s="198" t="e">
        <f t="shared" si="12"/>
        <v>#N/A</v>
      </c>
    </row>
    <row r="766" spans="1:7" x14ac:dyDescent="0.2">
      <c r="A766" s="806">
        <v>41138</v>
      </c>
      <c r="B766" s="839" t="s">
        <v>685</v>
      </c>
      <c r="C766" s="840" t="s">
        <v>1910</v>
      </c>
      <c r="D766" s="808">
        <v>1669.7</v>
      </c>
      <c r="E766" s="841"/>
      <c r="F766" s="203" t="e">
        <f>VLOOKUP(A766,'Compos DER'!J:K,2,FALSE)</f>
        <v>#N/A</v>
      </c>
      <c r="G766" s="198" t="e">
        <f t="shared" si="12"/>
        <v>#N/A</v>
      </c>
    </row>
    <row r="767" spans="1:7" x14ac:dyDescent="0.2">
      <c r="A767" s="806">
        <v>41246</v>
      </c>
      <c r="B767" s="839" t="s">
        <v>686</v>
      </c>
      <c r="C767" s="840" t="s">
        <v>1948</v>
      </c>
      <c r="D767" s="807">
        <v>59.53</v>
      </c>
      <c r="E767" s="839" t="s">
        <v>1209</v>
      </c>
      <c r="F767" s="203" t="e">
        <f>VLOOKUP(A767,'Compos DER'!J:K,2,FALSE)</f>
        <v>#N/A</v>
      </c>
      <c r="G767" s="198" t="e">
        <f t="shared" si="12"/>
        <v>#N/A</v>
      </c>
    </row>
    <row r="768" spans="1:7" x14ac:dyDescent="0.2">
      <c r="A768" s="806">
        <v>40943</v>
      </c>
      <c r="B768" s="839" t="s">
        <v>687</v>
      </c>
      <c r="C768" s="840" t="s">
        <v>1948</v>
      </c>
      <c r="D768" s="807">
        <v>44.76</v>
      </c>
      <c r="E768" s="839" t="s">
        <v>1209</v>
      </c>
      <c r="F768" s="203" t="e">
        <f>VLOOKUP(A768,'Compos DER'!J:K,2,FALSE)</f>
        <v>#N/A</v>
      </c>
      <c r="G768" s="198" t="e">
        <f t="shared" si="12"/>
        <v>#N/A</v>
      </c>
    </row>
    <row r="769" spans="1:7" x14ac:dyDescent="0.2">
      <c r="A769" s="806">
        <v>40922</v>
      </c>
      <c r="B769" s="839" t="s">
        <v>688</v>
      </c>
      <c r="C769" s="840" t="s">
        <v>1906</v>
      </c>
      <c r="D769" s="807">
        <v>5.27</v>
      </c>
      <c r="E769" s="841"/>
      <c r="F769" s="203" t="e">
        <f>VLOOKUP(A769,'Compos DER'!J:K,2,FALSE)</f>
        <v>#N/A</v>
      </c>
      <c r="G769" s="198" t="e">
        <f t="shared" si="12"/>
        <v>#N/A</v>
      </c>
    </row>
    <row r="770" spans="1:7" x14ac:dyDescent="0.2">
      <c r="A770" s="806">
        <v>40914</v>
      </c>
      <c r="B770" s="839" t="s">
        <v>689</v>
      </c>
      <c r="C770" s="840" t="s">
        <v>1948</v>
      </c>
      <c r="D770" s="807">
        <v>17.510000000000002</v>
      </c>
      <c r="E770" s="839" t="s">
        <v>1209</v>
      </c>
      <c r="F770" s="203" t="e">
        <f>VLOOKUP(A770,'Compos DER'!J:K,2,FALSE)</f>
        <v>#N/A</v>
      </c>
      <c r="G770" s="198" t="e">
        <f t="shared" ref="G770:G832" si="13">+F770/D770</f>
        <v>#N/A</v>
      </c>
    </row>
    <row r="771" spans="1:7" x14ac:dyDescent="0.2">
      <c r="A771" s="806">
        <v>40913</v>
      </c>
      <c r="B771" s="839" t="s">
        <v>690</v>
      </c>
      <c r="C771" s="840" t="s">
        <v>1948</v>
      </c>
      <c r="D771" s="807">
        <v>115.6</v>
      </c>
      <c r="E771" s="841"/>
      <c r="F771" s="203" t="e">
        <f>VLOOKUP(A771,'Compos DER'!J:K,2,FALSE)</f>
        <v>#N/A</v>
      </c>
      <c r="G771" s="198" t="e">
        <f t="shared" si="13"/>
        <v>#N/A</v>
      </c>
    </row>
    <row r="772" spans="1:7" ht="25.5" x14ac:dyDescent="0.2">
      <c r="A772" s="806">
        <v>41191</v>
      </c>
      <c r="B772" s="842" t="s">
        <v>2175</v>
      </c>
      <c r="C772" s="840" t="s">
        <v>1948</v>
      </c>
      <c r="D772" s="807">
        <v>383</v>
      </c>
      <c r="E772" s="839" t="s">
        <v>1209</v>
      </c>
      <c r="F772" s="203" t="e">
        <f>VLOOKUP(A772,'Compos DER'!J:K,2,FALSE)</f>
        <v>#N/A</v>
      </c>
      <c r="G772" s="198" t="e">
        <f t="shared" si="13"/>
        <v>#N/A</v>
      </c>
    </row>
    <row r="773" spans="1:7" x14ac:dyDescent="0.2">
      <c r="A773" s="806">
        <v>40947</v>
      </c>
      <c r="B773" s="839" t="s">
        <v>691</v>
      </c>
      <c r="C773" s="840" t="s">
        <v>1910</v>
      </c>
      <c r="D773" s="808">
        <v>2911.54</v>
      </c>
      <c r="E773" s="839" t="s">
        <v>1209</v>
      </c>
      <c r="F773" s="203" t="e">
        <f>VLOOKUP(A773,'Compos DER'!J:K,2,FALSE)</f>
        <v>#N/A</v>
      </c>
      <c r="G773" s="198" t="e">
        <f t="shared" si="13"/>
        <v>#N/A</v>
      </c>
    </row>
    <row r="774" spans="1:7" x14ac:dyDescent="0.2">
      <c r="A774" s="806">
        <v>43329</v>
      </c>
      <c r="B774" s="839" t="s">
        <v>692</v>
      </c>
      <c r="C774" s="840" t="s">
        <v>1910</v>
      </c>
      <c r="D774" s="807">
        <v>205.66</v>
      </c>
      <c r="E774" s="839" t="s">
        <v>1209</v>
      </c>
      <c r="F774" s="203" t="e">
        <f>VLOOKUP(A774,'Compos DER'!J:K,2,FALSE)</f>
        <v>#N/A</v>
      </c>
      <c r="G774" s="198" t="e">
        <f t="shared" si="13"/>
        <v>#N/A</v>
      </c>
    </row>
    <row r="775" spans="1:7" ht="25.5" x14ac:dyDescent="0.2">
      <c r="A775" s="806">
        <v>42050</v>
      </c>
      <c r="B775" s="842" t="s">
        <v>2176</v>
      </c>
      <c r="C775" s="840" t="s">
        <v>1905</v>
      </c>
      <c r="D775" s="807">
        <v>137.44</v>
      </c>
      <c r="E775" s="839" t="s">
        <v>1209</v>
      </c>
      <c r="F775" s="203" t="e">
        <f>VLOOKUP(A775,'Compos DER'!J:K,2,FALSE)</f>
        <v>#N/A</v>
      </c>
      <c r="G775" s="198" t="e">
        <f t="shared" si="13"/>
        <v>#N/A</v>
      </c>
    </row>
    <row r="776" spans="1:7" x14ac:dyDescent="0.2">
      <c r="A776" s="848"/>
      <c r="B776" s="848"/>
      <c r="C776" s="849"/>
      <c r="E776" s="845" t="e">
        <v>#N/A</v>
      </c>
      <c r="F776" s="203" t="e">
        <f>VLOOKUP(A776,'Compos DER'!J:K,2,FALSE)</f>
        <v>#N/A</v>
      </c>
      <c r="G776" s="198" t="e">
        <f t="shared" si="13"/>
        <v>#N/A</v>
      </c>
    </row>
    <row r="777" spans="1:7" x14ac:dyDescent="0.2">
      <c r="A777" s="854" t="s">
        <v>693</v>
      </c>
      <c r="B777" s="844"/>
      <c r="C777" s="845"/>
      <c r="E777" s="845" t="e">
        <v>#N/A</v>
      </c>
      <c r="F777" s="203" t="e">
        <f>VLOOKUP(A777,'Compos DER'!J:K,2,FALSE)</f>
        <v>#N/A</v>
      </c>
      <c r="G777" s="198" t="e">
        <f t="shared" si="13"/>
        <v>#N/A</v>
      </c>
    </row>
    <row r="778" spans="1:7" x14ac:dyDescent="0.2">
      <c r="A778" s="806">
        <v>42203</v>
      </c>
      <c r="B778" s="839" t="s">
        <v>694</v>
      </c>
      <c r="C778" s="840" t="s">
        <v>1910</v>
      </c>
      <c r="D778" s="807">
        <v>153.43</v>
      </c>
      <c r="E778" s="839" t="s">
        <v>1209</v>
      </c>
      <c r="F778" s="203" t="e">
        <f>VLOOKUP(A778,'Compos DER'!J:K,2,FALSE)</f>
        <v>#N/A</v>
      </c>
      <c r="G778" s="198" t="e">
        <f t="shared" si="13"/>
        <v>#N/A</v>
      </c>
    </row>
    <row r="779" spans="1:7" x14ac:dyDescent="0.2">
      <c r="A779" s="806">
        <v>42202</v>
      </c>
      <c r="B779" s="839" t="s">
        <v>695</v>
      </c>
      <c r="C779" s="840" t="s">
        <v>1910</v>
      </c>
      <c r="D779" s="807">
        <v>90.44</v>
      </c>
      <c r="E779" s="839" t="s">
        <v>1209</v>
      </c>
      <c r="F779" s="203" t="e">
        <f>VLOOKUP(A779,'Compos DER'!J:K,2,FALSE)</f>
        <v>#N/A</v>
      </c>
      <c r="G779" s="198" t="e">
        <f t="shared" si="13"/>
        <v>#N/A</v>
      </c>
    </row>
    <row r="780" spans="1:7" x14ac:dyDescent="0.2">
      <c r="A780" s="806">
        <v>42041</v>
      </c>
      <c r="B780" s="839" t="s">
        <v>2177</v>
      </c>
      <c r="C780" s="840" t="s">
        <v>1948</v>
      </c>
      <c r="D780" s="807">
        <v>25.29</v>
      </c>
      <c r="E780" s="839" t="s">
        <v>1209</v>
      </c>
      <c r="F780" s="203">
        <f>VLOOKUP(A780,'Compos DER'!J:K,2,FALSE)</f>
        <v>25.42</v>
      </c>
      <c r="G780" s="198">
        <f t="shared" si="13"/>
        <v>1.00514037168841</v>
      </c>
    </row>
    <row r="781" spans="1:7" x14ac:dyDescent="0.2">
      <c r="A781" s="806">
        <v>42199</v>
      </c>
      <c r="B781" s="839" t="s">
        <v>696</v>
      </c>
      <c r="C781" s="840" t="s">
        <v>1905</v>
      </c>
      <c r="D781" s="807">
        <v>1.65</v>
      </c>
      <c r="E781" s="841"/>
      <c r="F781" s="203">
        <f>VLOOKUP(A781,'Compos DER'!J:K,2,FALSE)</f>
        <v>1.65</v>
      </c>
      <c r="G781" s="198">
        <f t="shared" si="13"/>
        <v>1</v>
      </c>
    </row>
    <row r="782" spans="1:7" x14ac:dyDescent="0.2">
      <c r="A782" s="806">
        <v>42210</v>
      </c>
      <c r="B782" s="839" t="s">
        <v>1702</v>
      </c>
      <c r="C782" s="840" t="s">
        <v>1905</v>
      </c>
      <c r="D782" s="807">
        <v>20.76</v>
      </c>
      <c r="E782" s="839" t="s">
        <v>1209</v>
      </c>
      <c r="F782" s="203" t="e">
        <f>VLOOKUP(A782,'Compos DER'!J:K,2,FALSE)</f>
        <v>#N/A</v>
      </c>
      <c r="G782" s="198" t="e">
        <f t="shared" si="13"/>
        <v>#N/A</v>
      </c>
    </row>
    <row r="783" spans="1:7" x14ac:dyDescent="0.2">
      <c r="A783" s="806">
        <v>42206</v>
      </c>
      <c r="B783" s="839" t="s">
        <v>697</v>
      </c>
      <c r="C783" s="840" t="s">
        <v>1905</v>
      </c>
      <c r="D783" s="807">
        <v>15.06</v>
      </c>
      <c r="E783" s="839" t="s">
        <v>1209</v>
      </c>
      <c r="F783" s="203">
        <f>VLOOKUP(A783,'Compos DER'!J:K,2,FALSE)</f>
        <v>15.78</v>
      </c>
      <c r="G783" s="198">
        <f t="shared" si="13"/>
        <v>1.0478087649402399</v>
      </c>
    </row>
    <row r="784" spans="1:7" x14ac:dyDescent="0.2">
      <c r="A784" s="806">
        <v>42208</v>
      </c>
      <c r="B784" s="839" t="s">
        <v>698</v>
      </c>
      <c r="C784" s="840" t="s">
        <v>1905</v>
      </c>
      <c r="D784" s="807">
        <v>1.86</v>
      </c>
      <c r="E784" s="841"/>
      <c r="F784" s="203" t="e">
        <f>VLOOKUP(A784,'Compos DER'!J:K,2,FALSE)</f>
        <v>#N/A</v>
      </c>
      <c r="G784" s="198" t="e">
        <f t="shared" si="13"/>
        <v>#N/A</v>
      </c>
    </row>
    <row r="785" spans="1:7" x14ac:dyDescent="0.2">
      <c r="A785" s="806">
        <v>42209</v>
      </c>
      <c r="B785" s="839" t="s">
        <v>699</v>
      </c>
      <c r="C785" s="840" t="s">
        <v>1905</v>
      </c>
      <c r="D785" s="807">
        <v>8.42</v>
      </c>
      <c r="E785" s="839" t="s">
        <v>1209</v>
      </c>
      <c r="F785" s="203" t="e">
        <f>VLOOKUP(A785,'Compos DER'!J:K,2,FALSE)</f>
        <v>#N/A</v>
      </c>
      <c r="G785" s="198" t="e">
        <f t="shared" si="13"/>
        <v>#N/A</v>
      </c>
    </row>
    <row r="786" spans="1:7" x14ac:dyDescent="0.2">
      <c r="A786" s="806">
        <v>42207</v>
      </c>
      <c r="B786" s="839" t="s">
        <v>700</v>
      </c>
      <c r="C786" s="840" t="s">
        <v>1905</v>
      </c>
      <c r="D786" s="807">
        <v>3.32</v>
      </c>
      <c r="E786" s="841"/>
      <c r="F786" s="203" t="e">
        <f>VLOOKUP(A786,'Compos DER'!J:K,2,FALSE)</f>
        <v>#N/A</v>
      </c>
      <c r="G786" s="198" t="e">
        <f t="shared" si="13"/>
        <v>#N/A</v>
      </c>
    </row>
    <row r="787" spans="1:7" x14ac:dyDescent="0.2">
      <c r="A787" s="806">
        <v>42200</v>
      </c>
      <c r="B787" s="839" t="s">
        <v>701</v>
      </c>
      <c r="C787" s="840" t="s">
        <v>1905</v>
      </c>
      <c r="D787" s="807">
        <v>5.75</v>
      </c>
      <c r="E787" s="841"/>
      <c r="F787" s="203">
        <f>VLOOKUP(A787,'Compos DER'!J:K,2,FALSE)</f>
        <v>5.75</v>
      </c>
      <c r="G787" s="198">
        <f t="shared" si="13"/>
        <v>1</v>
      </c>
    </row>
    <row r="788" spans="1:7" x14ac:dyDescent="0.2">
      <c r="A788" s="806">
        <v>42201</v>
      </c>
      <c r="B788" s="839" t="s">
        <v>702</v>
      </c>
      <c r="C788" s="840" t="s">
        <v>1905</v>
      </c>
      <c r="D788" s="807">
        <v>4.03</v>
      </c>
      <c r="E788" s="841"/>
      <c r="F788" s="203">
        <f>VLOOKUP(A788,'Compos DER'!J:K,2,FALSE)</f>
        <v>4.03</v>
      </c>
      <c r="G788" s="198">
        <f t="shared" si="13"/>
        <v>1</v>
      </c>
    </row>
    <row r="789" spans="1:7" x14ac:dyDescent="0.2">
      <c r="A789" s="806">
        <v>41247</v>
      </c>
      <c r="B789" s="842" t="s">
        <v>2178</v>
      </c>
      <c r="C789" s="840" t="s">
        <v>1906</v>
      </c>
      <c r="D789" s="807">
        <v>64.900000000000006</v>
      </c>
      <c r="E789" s="843"/>
      <c r="F789" s="203" t="e">
        <f>VLOOKUP(A789,'Compos DER'!J:K,2,FALSE)</f>
        <v>#N/A</v>
      </c>
      <c r="G789" s="198" t="e">
        <f t="shared" si="13"/>
        <v>#N/A</v>
      </c>
    </row>
    <row r="790" spans="1:7" x14ac:dyDescent="0.2">
      <c r="A790" s="806">
        <v>42204</v>
      </c>
      <c r="B790" s="839" t="s">
        <v>703</v>
      </c>
      <c r="C790" s="840" t="s">
        <v>1910</v>
      </c>
      <c r="D790" s="807">
        <v>36.130000000000003</v>
      </c>
      <c r="E790" s="839" t="s">
        <v>1209</v>
      </c>
      <c r="F790" s="203" t="e">
        <f>VLOOKUP(A790,'Compos DER'!J:K,2,FALSE)</f>
        <v>#N/A</v>
      </c>
      <c r="G790" s="198" t="e">
        <f t="shared" si="13"/>
        <v>#N/A</v>
      </c>
    </row>
    <row r="791" spans="1:7" x14ac:dyDescent="0.2">
      <c r="A791" s="806">
        <v>42044</v>
      </c>
      <c r="B791" s="839" t="s">
        <v>704</v>
      </c>
      <c r="C791" s="840" t="s">
        <v>1910</v>
      </c>
      <c r="D791" s="808">
        <v>4824.1499999999996</v>
      </c>
      <c r="E791" s="841"/>
      <c r="F791" s="203">
        <f>VLOOKUP(A791,'Compos DER'!J:K,2,FALSE)</f>
        <v>4824.16</v>
      </c>
      <c r="G791" s="198">
        <f t="shared" si="13"/>
        <v>1.00000207290403</v>
      </c>
    </row>
    <row r="792" spans="1:7" x14ac:dyDescent="0.2">
      <c r="A792" s="806">
        <v>40102</v>
      </c>
      <c r="B792" s="839" t="s">
        <v>705</v>
      </c>
      <c r="C792" s="840" t="s">
        <v>1905</v>
      </c>
      <c r="D792" s="807">
        <v>14.37</v>
      </c>
      <c r="E792" s="839" t="s">
        <v>1209</v>
      </c>
      <c r="F792" s="203" t="e">
        <f>VLOOKUP(A792,'Compos DER'!J:K,2,FALSE)</f>
        <v>#N/A</v>
      </c>
      <c r="G792" s="198" t="e">
        <f t="shared" si="13"/>
        <v>#N/A</v>
      </c>
    </row>
    <row r="793" spans="1:7" x14ac:dyDescent="0.2">
      <c r="A793" s="806">
        <v>42039</v>
      </c>
      <c r="B793" s="839" t="s">
        <v>706</v>
      </c>
      <c r="C793" s="840" t="s">
        <v>1905</v>
      </c>
      <c r="D793" s="807">
        <v>19.12</v>
      </c>
      <c r="E793" s="839" t="s">
        <v>1209</v>
      </c>
      <c r="F793" s="203" t="e">
        <f>VLOOKUP(A793,'Compos DER'!J:K,2,FALSE)</f>
        <v>#N/A</v>
      </c>
      <c r="G793" s="198" t="e">
        <f t="shared" si="13"/>
        <v>#N/A</v>
      </c>
    </row>
    <row r="794" spans="1:7" x14ac:dyDescent="0.2">
      <c r="A794" s="848"/>
      <c r="B794" s="848"/>
      <c r="C794" s="849"/>
      <c r="D794" s="853"/>
      <c r="E794" s="845" t="e">
        <v>#N/A</v>
      </c>
      <c r="F794" s="203" t="e">
        <f>VLOOKUP(A794,'Compos DER'!J:K,2,FALSE)</f>
        <v>#N/A</v>
      </c>
      <c r="G794" s="198" t="e">
        <f t="shared" si="13"/>
        <v>#N/A</v>
      </c>
    </row>
    <row r="795" spans="1:7" x14ac:dyDescent="0.2">
      <c r="A795" s="854" t="s">
        <v>707</v>
      </c>
      <c r="B795" s="844"/>
      <c r="C795" s="845"/>
      <c r="E795" s="845" t="e">
        <v>#N/A</v>
      </c>
      <c r="F795" s="203" t="e">
        <f>VLOOKUP(A795,'Compos DER'!J:K,2,FALSE)</f>
        <v>#N/A</v>
      </c>
      <c r="G795" s="198" t="e">
        <f t="shared" si="13"/>
        <v>#N/A</v>
      </c>
    </row>
    <row r="796" spans="1:7" x14ac:dyDescent="0.2">
      <c r="A796" s="806">
        <v>41153</v>
      </c>
      <c r="B796" s="839" t="s">
        <v>708</v>
      </c>
      <c r="C796" s="840" t="s">
        <v>1910</v>
      </c>
      <c r="D796" s="807">
        <v>120.7</v>
      </c>
      <c r="E796" s="841"/>
      <c r="F796" s="203" t="e">
        <f>VLOOKUP(A796,'Compos DER'!J:K,2,FALSE)</f>
        <v>#N/A</v>
      </c>
      <c r="G796" s="198" t="e">
        <f t="shared" si="13"/>
        <v>#N/A</v>
      </c>
    </row>
    <row r="797" spans="1:7" x14ac:dyDescent="0.2">
      <c r="A797" s="806">
        <v>41409</v>
      </c>
      <c r="B797" s="839" t="s">
        <v>709</v>
      </c>
      <c r="C797" s="840" t="s">
        <v>1910</v>
      </c>
      <c r="D797" s="807">
        <v>384.52</v>
      </c>
      <c r="E797" s="841"/>
      <c r="F797" s="203" t="e">
        <f>VLOOKUP(A797,'Compos DER'!J:K,2,FALSE)</f>
        <v>#N/A</v>
      </c>
      <c r="G797" s="198" t="e">
        <f t="shared" si="13"/>
        <v>#N/A</v>
      </c>
    </row>
    <row r="798" spans="1:7" x14ac:dyDescent="0.2">
      <c r="A798" s="806">
        <v>40928</v>
      </c>
      <c r="B798" s="839" t="s">
        <v>710</v>
      </c>
      <c r="C798" s="840" t="s">
        <v>1910</v>
      </c>
      <c r="D798" s="807">
        <v>41.89</v>
      </c>
      <c r="E798" s="839" t="s">
        <v>1209</v>
      </c>
      <c r="F798" s="203" t="e">
        <f>VLOOKUP(A798,'Compos DER'!J:K,2,FALSE)</f>
        <v>#N/A</v>
      </c>
      <c r="G798" s="198" t="e">
        <f t="shared" si="13"/>
        <v>#N/A</v>
      </c>
    </row>
    <row r="799" spans="1:7" x14ac:dyDescent="0.2">
      <c r="A799" s="806">
        <v>41408</v>
      </c>
      <c r="B799" s="839" t="s">
        <v>711</v>
      </c>
      <c r="C799" s="840" t="s">
        <v>1910</v>
      </c>
      <c r="D799" s="808">
        <v>2655.85</v>
      </c>
      <c r="E799" s="841"/>
      <c r="F799" s="203" t="e">
        <f>VLOOKUP(A799,'Compos DER'!J:K,2,FALSE)</f>
        <v>#N/A</v>
      </c>
      <c r="G799" s="198" t="e">
        <f t="shared" si="13"/>
        <v>#N/A</v>
      </c>
    </row>
    <row r="800" spans="1:7" x14ac:dyDescent="0.2">
      <c r="A800" s="806">
        <v>41147</v>
      </c>
      <c r="B800" s="839" t="s">
        <v>712</v>
      </c>
      <c r="C800" s="840" t="s">
        <v>1948</v>
      </c>
      <c r="D800" s="807">
        <v>8.31</v>
      </c>
      <c r="E800" s="841"/>
      <c r="F800" s="203" t="e">
        <f>VLOOKUP(A800,'Compos DER'!J:K,2,FALSE)</f>
        <v>#N/A</v>
      </c>
      <c r="G800" s="198" t="e">
        <f t="shared" si="13"/>
        <v>#N/A</v>
      </c>
    </row>
    <row r="801" spans="1:7" x14ac:dyDescent="0.2">
      <c r="A801" s="806">
        <v>42046</v>
      </c>
      <c r="B801" s="839" t="s">
        <v>713</v>
      </c>
      <c r="C801" s="840" t="s">
        <v>1910</v>
      </c>
      <c r="D801" s="807">
        <v>90.04</v>
      </c>
      <c r="E801" s="841"/>
      <c r="F801" s="203">
        <f>VLOOKUP(A801,'Compos DER'!J:K,2,FALSE)</f>
        <v>90.05</v>
      </c>
      <c r="G801" s="198">
        <f t="shared" si="13"/>
        <v>1.0001110617503299</v>
      </c>
    </row>
    <row r="802" spans="1:7" x14ac:dyDescent="0.2">
      <c r="A802" s="806">
        <v>41407</v>
      </c>
      <c r="B802" s="839" t="s">
        <v>714</v>
      </c>
      <c r="C802" s="840" t="s">
        <v>1910</v>
      </c>
      <c r="D802" s="808">
        <v>12629.7</v>
      </c>
      <c r="E802" s="841"/>
      <c r="F802" s="203" t="e">
        <f>VLOOKUP(A802,'Compos DER'!J:K,2,FALSE)</f>
        <v>#N/A</v>
      </c>
      <c r="G802" s="198" t="e">
        <f t="shared" si="13"/>
        <v>#N/A</v>
      </c>
    </row>
    <row r="803" spans="1:7" x14ac:dyDescent="0.2">
      <c r="A803" s="806">
        <v>41146</v>
      </c>
      <c r="B803" s="839" t="s">
        <v>715</v>
      </c>
      <c r="C803" s="840" t="s">
        <v>1910</v>
      </c>
      <c r="D803" s="808">
        <v>17110.16</v>
      </c>
      <c r="E803" s="841"/>
      <c r="F803" s="203" t="e">
        <f>VLOOKUP(A803,'Compos DER'!J:K,2,FALSE)</f>
        <v>#N/A</v>
      </c>
      <c r="G803" s="198" t="e">
        <f t="shared" si="13"/>
        <v>#N/A</v>
      </c>
    </row>
    <row r="804" spans="1:7" x14ac:dyDescent="0.2">
      <c r="A804" s="806">
        <v>41017</v>
      </c>
      <c r="B804" s="839" t="s">
        <v>716</v>
      </c>
      <c r="C804" s="840" t="s">
        <v>1948</v>
      </c>
      <c r="D804" s="807">
        <v>483.62</v>
      </c>
      <c r="E804" s="841"/>
      <c r="F804" s="203" t="e">
        <f>VLOOKUP(A804,'Compos DER'!J:K,2,FALSE)</f>
        <v>#N/A</v>
      </c>
      <c r="G804" s="198" t="e">
        <f t="shared" si="13"/>
        <v>#N/A</v>
      </c>
    </row>
    <row r="805" spans="1:7" x14ac:dyDescent="0.2">
      <c r="A805" s="806">
        <v>40929</v>
      </c>
      <c r="B805" s="839" t="s">
        <v>1703</v>
      </c>
      <c r="C805" s="840" t="s">
        <v>1948</v>
      </c>
      <c r="D805" s="807">
        <v>267.13</v>
      </c>
      <c r="E805" s="839" t="s">
        <v>1209</v>
      </c>
      <c r="F805" s="203" t="e">
        <f>VLOOKUP(A805,'Compos DER'!J:K,2,FALSE)</f>
        <v>#N/A</v>
      </c>
      <c r="G805" s="198" t="e">
        <f t="shared" si="13"/>
        <v>#N/A</v>
      </c>
    </row>
    <row r="806" spans="1:7" x14ac:dyDescent="0.2">
      <c r="A806" s="806">
        <v>41203</v>
      </c>
      <c r="B806" s="842" t="s">
        <v>2179</v>
      </c>
      <c r="C806" s="840" t="s">
        <v>1948</v>
      </c>
      <c r="D806" s="807">
        <v>526.84</v>
      </c>
      <c r="E806" s="839" t="s">
        <v>1209</v>
      </c>
      <c r="F806" s="203">
        <f>VLOOKUP(A806,'Compos DER'!J:K,2,FALSE)</f>
        <v>530.28</v>
      </c>
      <c r="G806" s="198">
        <f t="shared" si="13"/>
        <v>1.00652949662136</v>
      </c>
    </row>
    <row r="807" spans="1:7" x14ac:dyDescent="0.2">
      <c r="A807" s="806">
        <v>42047</v>
      </c>
      <c r="B807" s="839" t="s">
        <v>717</v>
      </c>
      <c r="C807" s="840" t="s">
        <v>1910</v>
      </c>
      <c r="D807" s="807">
        <v>39.19</v>
      </c>
      <c r="E807" s="841"/>
      <c r="F807" s="203">
        <f>VLOOKUP(A807,'Compos DER'!J:K,2,FALSE)</f>
        <v>39.19</v>
      </c>
      <c r="G807" s="198">
        <f t="shared" si="13"/>
        <v>1</v>
      </c>
    </row>
    <row r="808" spans="1:7" x14ac:dyDescent="0.2">
      <c r="A808" s="806">
        <v>41145</v>
      </c>
      <c r="B808" s="842" t="s">
        <v>2180</v>
      </c>
      <c r="C808" s="840" t="s">
        <v>1910</v>
      </c>
      <c r="D808" s="808">
        <v>7479.25</v>
      </c>
      <c r="E808" s="843"/>
      <c r="F808" s="203" t="e">
        <f>VLOOKUP(A808,'Compos DER'!J:K,2,FALSE)</f>
        <v>#N/A</v>
      </c>
      <c r="G808" s="198" t="e">
        <f t="shared" si="13"/>
        <v>#N/A</v>
      </c>
    </row>
    <row r="809" spans="1:7" x14ac:dyDescent="0.2">
      <c r="A809" s="806">
        <v>41141</v>
      </c>
      <c r="B809" s="839" t="s">
        <v>1704</v>
      </c>
      <c r="C809" s="840" t="s">
        <v>1910</v>
      </c>
      <c r="D809" s="808">
        <v>2115.39</v>
      </c>
      <c r="E809" s="841"/>
      <c r="F809" s="203" t="e">
        <f>VLOOKUP(A809,'Compos DER'!J:K,2,FALSE)</f>
        <v>#N/A</v>
      </c>
      <c r="G809" s="198" t="e">
        <f t="shared" si="13"/>
        <v>#N/A</v>
      </c>
    </row>
    <row r="810" spans="1:7" x14ac:dyDescent="0.2">
      <c r="A810" s="806">
        <v>41142</v>
      </c>
      <c r="B810" s="839" t="s">
        <v>1705</v>
      </c>
      <c r="C810" s="840" t="s">
        <v>1910</v>
      </c>
      <c r="D810" s="808">
        <v>2346.11</v>
      </c>
      <c r="E810" s="841"/>
      <c r="F810" s="203" t="e">
        <f>VLOOKUP(A810,'Compos DER'!J:K,2,FALSE)</f>
        <v>#N/A</v>
      </c>
      <c r="G810" s="198" t="e">
        <f t="shared" si="13"/>
        <v>#N/A</v>
      </c>
    </row>
    <row r="811" spans="1:7" x14ac:dyDescent="0.2">
      <c r="A811" s="806">
        <v>41143</v>
      </c>
      <c r="B811" s="839" t="s">
        <v>1706</v>
      </c>
      <c r="C811" s="840" t="s">
        <v>1910</v>
      </c>
      <c r="D811" s="808">
        <v>3642.61</v>
      </c>
      <c r="E811" s="841"/>
      <c r="F811" s="203" t="e">
        <f>VLOOKUP(A811,'Compos DER'!J:K,2,FALSE)</f>
        <v>#N/A</v>
      </c>
      <c r="G811" s="198" t="e">
        <f t="shared" si="13"/>
        <v>#N/A</v>
      </c>
    </row>
    <row r="812" spans="1:7" x14ac:dyDescent="0.2">
      <c r="A812" s="806">
        <v>43162</v>
      </c>
      <c r="B812" s="839" t="s">
        <v>718</v>
      </c>
      <c r="C812" s="840" t="s">
        <v>1948</v>
      </c>
      <c r="D812" s="807">
        <v>350.03</v>
      </c>
      <c r="E812" s="839" t="s">
        <v>1209</v>
      </c>
      <c r="F812" s="203" t="e">
        <f>VLOOKUP(A812,'Compos DER'!J:K,2,FALSE)</f>
        <v>#N/A</v>
      </c>
      <c r="G812" s="198" t="e">
        <f t="shared" si="13"/>
        <v>#N/A</v>
      </c>
    </row>
    <row r="813" spans="1:7" x14ac:dyDescent="0.2">
      <c r="A813" s="806">
        <v>40931</v>
      </c>
      <c r="B813" s="839" t="s">
        <v>719</v>
      </c>
      <c r="C813" s="840" t="s">
        <v>1905</v>
      </c>
      <c r="D813" s="807">
        <v>220.49</v>
      </c>
      <c r="E813" s="839" t="s">
        <v>1209</v>
      </c>
      <c r="F813" s="203" t="e">
        <f>VLOOKUP(A813,'Compos DER'!J:K,2,FALSE)</f>
        <v>#N/A</v>
      </c>
      <c r="G813" s="198" t="e">
        <f t="shared" si="13"/>
        <v>#N/A</v>
      </c>
    </row>
    <row r="814" spans="1:7" x14ac:dyDescent="0.2">
      <c r="A814" s="806">
        <v>41526</v>
      </c>
      <c r="B814" s="839" t="s">
        <v>720</v>
      </c>
      <c r="C814" s="840" t="s">
        <v>1905</v>
      </c>
      <c r="D814" s="807">
        <v>8.44</v>
      </c>
      <c r="E814" s="839" t="s">
        <v>1209</v>
      </c>
      <c r="F814" s="203" t="e">
        <f>VLOOKUP(A814,'Compos DER'!J:K,2,FALSE)</f>
        <v>#N/A</v>
      </c>
      <c r="G814" s="198" t="e">
        <f t="shared" si="13"/>
        <v>#N/A</v>
      </c>
    </row>
    <row r="815" spans="1:7" x14ac:dyDescent="0.2">
      <c r="A815" s="806">
        <v>42524</v>
      </c>
      <c r="B815" s="839" t="s">
        <v>721</v>
      </c>
      <c r="C815" s="840" t="s">
        <v>1905</v>
      </c>
      <c r="D815" s="807">
        <v>95.72</v>
      </c>
      <c r="E815" s="841"/>
      <c r="F815" s="203">
        <f>VLOOKUP(A815,'Compos DER'!J:K,2,FALSE)</f>
        <v>95.72</v>
      </c>
      <c r="G815" s="198">
        <f t="shared" si="13"/>
        <v>1</v>
      </c>
    </row>
    <row r="816" spans="1:7" x14ac:dyDescent="0.2">
      <c r="A816" s="806">
        <v>40938</v>
      </c>
      <c r="B816" s="839" t="s">
        <v>722</v>
      </c>
      <c r="C816" s="840" t="s">
        <v>1905</v>
      </c>
      <c r="D816" s="807">
        <v>907.59</v>
      </c>
      <c r="E816" s="841"/>
      <c r="F816" s="203" t="e">
        <f>VLOOKUP(A816,'Compos DER'!J:K,2,FALSE)</f>
        <v>#N/A</v>
      </c>
      <c r="G816" s="198" t="e">
        <f t="shared" si="13"/>
        <v>#N/A</v>
      </c>
    </row>
    <row r="817" spans="1:7" x14ac:dyDescent="0.2">
      <c r="A817" s="806">
        <v>40924</v>
      </c>
      <c r="B817" s="839" t="s">
        <v>1707</v>
      </c>
      <c r="C817" s="840" t="s">
        <v>1905</v>
      </c>
      <c r="D817" s="807">
        <v>14.88</v>
      </c>
      <c r="E817" s="839" t="s">
        <v>1209</v>
      </c>
      <c r="F817" s="203" t="e">
        <f>VLOOKUP(A817,'Compos DER'!J:K,2,FALSE)</f>
        <v>#N/A</v>
      </c>
      <c r="G817" s="198" t="e">
        <f t="shared" si="13"/>
        <v>#N/A</v>
      </c>
    </row>
    <row r="818" spans="1:7" x14ac:dyDescent="0.2">
      <c r="A818" s="806">
        <v>40925</v>
      </c>
      <c r="B818" s="839" t="s">
        <v>1708</v>
      </c>
      <c r="C818" s="840" t="s">
        <v>1905</v>
      </c>
      <c r="D818" s="807">
        <v>18.09</v>
      </c>
      <c r="E818" s="839" t="s">
        <v>1209</v>
      </c>
      <c r="F818" s="203">
        <f>VLOOKUP(A818,'Compos DER'!J:K,2,FALSE)</f>
        <v>18.23</v>
      </c>
      <c r="G818" s="198">
        <f t="shared" si="13"/>
        <v>1.00773908236595</v>
      </c>
    </row>
    <row r="819" spans="1:7" x14ac:dyDescent="0.2">
      <c r="A819" s="806">
        <v>40926</v>
      </c>
      <c r="B819" s="839" t="s">
        <v>1709</v>
      </c>
      <c r="C819" s="840" t="s">
        <v>1905</v>
      </c>
      <c r="D819" s="807">
        <v>21.3</v>
      </c>
      <c r="E819" s="839" t="s">
        <v>1209</v>
      </c>
      <c r="F819" s="203" t="e">
        <f>VLOOKUP(A819,'Compos DER'!J:K,2,FALSE)</f>
        <v>#N/A</v>
      </c>
      <c r="G819" s="198" t="e">
        <f t="shared" si="13"/>
        <v>#N/A</v>
      </c>
    </row>
    <row r="820" spans="1:7" x14ac:dyDescent="0.2">
      <c r="A820" s="806">
        <v>40927</v>
      </c>
      <c r="B820" s="839" t="s">
        <v>1710</v>
      </c>
      <c r="C820" s="840" t="s">
        <v>1905</v>
      </c>
      <c r="D820" s="807">
        <v>48.24</v>
      </c>
      <c r="E820" s="839" t="s">
        <v>1209</v>
      </c>
      <c r="F820" s="203" t="e">
        <f>VLOOKUP(A820,'Compos DER'!J:K,2,FALSE)</f>
        <v>#N/A</v>
      </c>
      <c r="G820" s="198" t="e">
        <f t="shared" si="13"/>
        <v>#N/A</v>
      </c>
    </row>
    <row r="821" spans="1:7" x14ac:dyDescent="0.2">
      <c r="A821" s="806">
        <v>41202</v>
      </c>
      <c r="B821" s="839" t="s">
        <v>723</v>
      </c>
      <c r="C821" s="840" t="s">
        <v>1948</v>
      </c>
      <c r="D821" s="807">
        <v>25.79</v>
      </c>
      <c r="E821" s="841"/>
      <c r="F821" s="203" t="e">
        <f>VLOOKUP(A821,'Compos DER'!J:K,2,FALSE)</f>
        <v>#N/A</v>
      </c>
      <c r="G821" s="198" t="e">
        <f t="shared" si="13"/>
        <v>#N/A</v>
      </c>
    </row>
    <row r="822" spans="1:7" x14ac:dyDescent="0.2">
      <c r="A822" s="806">
        <v>40937</v>
      </c>
      <c r="B822" s="839" t="s">
        <v>724</v>
      </c>
      <c r="C822" s="840" t="s">
        <v>1905</v>
      </c>
      <c r="D822" s="807">
        <v>452.81</v>
      </c>
      <c r="E822" s="841"/>
      <c r="F822" s="203">
        <f>VLOOKUP(A822,'Compos DER'!J:K,2,FALSE)</f>
        <v>452.86</v>
      </c>
      <c r="G822" s="198">
        <f t="shared" si="13"/>
        <v>1.0001104215896299</v>
      </c>
    </row>
    <row r="823" spans="1:7" x14ac:dyDescent="0.2">
      <c r="A823" s="806">
        <v>40939</v>
      </c>
      <c r="B823" s="842" t="s">
        <v>2181</v>
      </c>
      <c r="C823" s="840" t="s">
        <v>1905</v>
      </c>
      <c r="D823" s="807">
        <v>551.32000000000005</v>
      </c>
      <c r="E823" s="843"/>
      <c r="F823" s="203" t="e">
        <f>VLOOKUP(A823,'Compos DER'!J:K,2,FALSE)</f>
        <v>#N/A</v>
      </c>
      <c r="G823" s="198" t="e">
        <f t="shared" si="13"/>
        <v>#N/A</v>
      </c>
    </row>
    <row r="824" spans="1:7" x14ac:dyDescent="0.2">
      <c r="A824" s="806">
        <v>40936</v>
      </c>
      <c r="B824" s="839" t="s">
        <v>725</v>
      </c>
      <c r="C824" s="840" t="s">
        <v>1905</v>
      </c>
      <c r="D824" s="807">
        <v>554.16999999999996</v>
      </c>
      <c r="E824" s="841"/>
      <c r="F824" s="203">
        <f>VLOOKUP(A824,'Compos DER'!J:K,2,FALSE)</f>
        <v>554.22</v>
      </c>
      <c r="G824" s="198">
        <f t="shared" si="13"/>
        <v>1.0000902250212</v>
      </c>
    </row>
    <row r="825" spans="1:7" x14ac:dyDescent="0.2">
      <c r="A825" s="806">
        <v>40930</v>
      </c>
      <c r="B825" s="839" t="s">
        <v>726</v>
      </c>
      <c r="C825" s="840" t="s">
        <v>1905</v>
      </c>
      <c r="D825" s="807">
        <v>214.74</v>
      </c>
      <c r="E825" s="839" t="s">
        <v>1209</v>
      </c>
      <c r="F825" s="203" t="e">
        <f>VLOOKUP(A825,'Compos DER'!J:K,2,FALSE)</f>
        <v>#N/A</v>
      </c>
      <c r="G825" s="198" t="e">
        <f t="shared" si="13"/>
        <v>#N/A</v>
      </c>
    </row>
    <row r="826" spans="1:7" x14ac:dyDescent="0.2">
      <c r="A826" s="806">
        <v>41222</v>
      </c>
      <c r="B826" s="842" t="s">
        <v>2182</v>
      </c>
      <c r="C826" s="840" t="s">
        <v>1910</v>
      </c>
      <c r="D826" s="807">
        <v>93.22</v>
      </c>
      <c r="E826" s="843"/>
      <c r="F826" s="203" t="e">
        <f>VLOOKUP(A826,'Compos DER'!J:K,2,FALSE)</f>
        <v>#N/A</v>
      </c>
      <c r="G826" s="198" t="e">
        <f t="shared" si="13"/>
        <v>#N/A</v>
      </c>
    </row>
    <row r="827" spans="1:7" x14ac:dyDescent="0.2">
      <c r="A827" s="806">
        <v>40932</v>
      </c>
      <c r="B827" s="839" t="s">
        <v>2183</v>
      </c>
      <c r="C827" s="840" t="s">
        <v>1910</v>
      </c>
      <c r="D827" s="807">
        <v>22.09</v>
      </c>
      <c r="E827" s="841"/>
      <c r="F827" s="203">
        <f>VLOOKUP(A827,'Compos DER'!J:K,2,FALSE)</f>
        <v>22.1</v>
      </c>
      <c r="G827" s="198">
        <f t="shared" si="13"/>
        <v>1.0004526935264799</v>
      </c>
    </row>
    <row r="828" spans="1:7" x14ac:dyDescent="0.2">
      <c r="A828" s="806">
        <v>40934</v>
      </c>
      <c r="B828" s="839" t="s">
        <v>727</v>
      </c>
      <c r="C828" s="840" t="s">
        <v>1910</v>
      </c>
      <c r="D828" s="807">
        <v>22.25</v>
      </c>
      <c r="E828" s="841"/>
      <c r="F828" s="203">
        <f>VLOOKUP(A828,'Compos DER'!J:K,2,FALSE)</f>
        <v>22.26</v>
      </c>
      <c r="G828" s="198">
        <f t="shared" si="13"/>
        <v>1.00044943820225</v>
      </c>
    </row>
    <row r="829" spans="1:7" x14ac:dyDescent="0.2">
      <c r="A829" s="806">
        <v>40933</v>
      </c>
      <c r="B829" s="839" t="s">
        <v>2184</v>
      </c>
      <c r="C829" s="840" t="s">
        <v>1910</v>
      </c>
      <c r="D829" s="807">
        <v>56.25</v>
      </c>
      <c r="E829" s="841"/>
      <c r="F829" s="203">
        <f>VLOOKUP(A829,'Compos DER'!J:K,2,FALSE)</f>
        <v>56.26</v>
      </c>
      <c r="G829" s="198">
        <f t="shared" si="13"/>
        <v>1.0001777777777801</v>
      </c>
    </row>
    <row r="830" spans="1:7" x14ac:dyDescent="0.2">
      <c r="A830" s="806">
        <v>40935</v>
      </c>
      <c r="B830" s="839" t="s">
        <v>728</v>
      </c>
      <c r="C830" s="840" t="s">
        <v>1910</v>
      </c>
      <c r="D830" s="807">
        <v>64.37</v>
      </c>
      <c r="E830" s="841"/>
      <c r="F830" s="203" t="e">
        <f>VLOOKUP(A830,'Compos DER'!J:K,2,FALSE)</f>
        <v>#N/A</v>
      </c>
      <c r="G830" s="198" t="e">
        <f t="shared" si="13"/>
        <v>#N/A</v>
      </c>
    </row>
    <row r="831" spans="1:7" x14ac:dyDescent="0.2">
      <c r="A831" s="806">
        <v>41359</v>
      </c>
      <c r="B831" s="839" t="s">
        <v>2185</v>
      </c>
      <c r="C831" s="840" t="s">
        <v>1948</v>
      </c>
      <c r="D831" s="807">
        <v>21.7</v>
      </c>
      <c r="E831" s="839" t="s">
        <v>1209</v>
      </c>
      <c r="F831" s="203" t="e">
        <f>VLOOKUP(A831,'Compos DER'!J:K,2,FALSE)</f>
        <v>#N/A</v>
      </c>
      <c r="G831" s="198" t="e">
        <f t="shared" si="13"/>
        <v>#N/A</v>
      </c>
    </row>
    <row r="832" spans="1:7" x14ac:dyDescent="0.2">
      <c r="A832" s="848"/>
      <c r="B832" s="848"/>
      <c r="C832" s="849"/>
      <c r="D832" s="853"/>
      <c r="E832" s="845" t="e">
        <v>#N/A</v>
      </c>
      <c r="F832" s="203" t="e">
        <f>VLOOKUP(A832,'Compos DER'!J:K,2,FALSE)</f>
        <v>#N/A</v>
      </c>
      <c r="G832" s="198" t="e">
        <f t="shared" si="13"/>
        <v>#N/A</v>
      </c>
    </row>
    <row r="833" spans="1:7" x14ac:dyDescent="0.2">
      <c r="A833" s="854" t="s">
        <v>729</v>
      </c>
      <c r="B833" s="844"/>
      <c r="C833" s="845"/>
      <c r="E833" s="845" t="e">
        <v>#N/A</v>
      </c>
      <c r="F833" s="203" t="e">
        <f>VLOOKUP(A833,'Compos DER'!J:K,2,FALSE)</f>
        <v>#N/A</v>
      </c>
      <c r="G833" s="198" t="e">
        <f t="shared" ref="G833:G896" si="14">+F833/D833</f>
        <v>#N/A</v>
      </c>
    </row>
    <row r="834" spans="1:7" x14ac:dyDescent="0.2">
      <c r="A834" s="806">
        <v>42878</v>
      </c>
      <c r="B834" s="839" t="s">
        <v>1711</v>
      </c>
      <c r="C834" s="840" t="s">
        <v>2135</v>
      </c>
      <c r="D834" s="808">
        <v>5719.74</v>
      </c>
      <c r="E834" s="841"/>
      <c r="F834" s="203">
        <f>VLOOKUP(A834,'Compos DER'!J:K,2,FALSE)</f>
        <v>5719.74</v>
      </c>
      <c r="G834" s="198">
        <f t="shared" si="14"/>
        <v>1</v>
      </c>
    </row>
    <row r="835" spans="1:7" x14ac:dyDescent="0.2">
      <c r="A835" s="806">
        <v>42888</v>
      </c>
      <c r="B835" s="839" t="s">
        <v>730</v>
      </c>
      <c r="C835" s="840" t="s">
        <v>2135</v>
      </c>
      <c r="D835" s="808">
        <v>7017.7</v>
      </c>
      <c r="E835" s="841"/>
      <c r="F835" s="203">
        <f>D835</f>
        <v>7017.7</v>
      </c>
      <c r="G835" s="198">
        <f t="shared" si="14"/>
        <v>1</v>
      </c>
    </row>
    <row r="836" spans="1:7" x14ac:dyDescent="0.2">
      <c r="A836" s="848"/>
      <c r="B836" s="848"/>
      <c r="C836" s="849"/>
      <c r="E836" s="845" t="e">
        <v>#N/A</v>
      </c>
      <c r="F836" s="203" t="e">
        <f>VLOOKUP(A836,'Compos DER'!J:K,2,FALSE)</f>
        <v>#N/A</v>
      </c>
      <c r="G836" s="198" t="e">
        <f t="shared" si="14"/>
        <v>#N/A</v>
      </c>
    </row>
    <row r="837" spans="1:7" x14ac:dyDescent="0.2">
      <c r="A837" s="854" t="s">
        <v>731</v>
      </c>
      <c r="B837" s="844"/>
      <c r="C837" s="845"/>
      <c r="E837" s="845" t="e">
        <v>#N/A</v>
      </c>
      <c r="F837" s="203" t="e">
        <f>VLOOKUP(A837,'Compos DER'!J:K,2,FALSE)</f>
        <v>#N/A</v>
      </c>
      <c r="G837" s="198" t="e">
        <f t="shared" si="14"/>
        <v>#N/A</v>
      </c>
    </row>
    <row r="838" spans="1:7" x14ac:dyDescent="0.2">
      <c r="A838" s="806">
        <v>40981</v>
      </c>
      <c r="B838" s="839" t="s">
        <v>732</v>
      </c>
      <c r="C838" s="840" t="s">
        <v>1905</v>
      </c>
      <c r="D838" s="807">
        <v>1.78</v>
      </c>
      <c r="E838" s="841"/>
      <c r="F838" s="203" t="e">
        <f>VLOOKUP(A838,'Compos DER'!J:K,2,FALSE)</f>
        <v>#N/A</v>
      </c>
      <c r="G838" s="198" t="e">
        <f t="shared" si="14"/>
        <v>#N/A</v>
      </c>
    </row>
    <row r="839" spans="1:7" x14ac:dyDescent="0.2">
      <c r="A839" s="806">
        <v>40101</v>
      </c>
      <c r="B839" s="839" t="s">
        <v>733</v>
      </c>
      <c r="C839" s="840" t="s">
        <v>1910</v>
      </c>
      <c r="D839" s="807">
        <v>146.72</v>
      </c>
      <c r="E839" s="841"/>
      <c r="F839" s="203" t="e">
        <f>VLOOKUP(A839,'Compos DER'!J:K,2,FALSE)</f>
        <v>#N/A</v>
      </c>
      <c r="G839" s="198" t="e">
        <f t="shared" si="14"/>
        <v>#N/A</v>
      </c>
    </row>
    <row r="840" spans="1:7" x14ac:dyDescent="0.2">
      <c r="A840" s="806">
        <v>40110</v>
      </c>
      <c r="B840" s="839" t="s">
        <v>2186</v>
      </c>
      <c r="C840" s="840" t="s">
        <v>1906</v>
      </c>
      <c r="D840" s="807">
        <v>35.99</v>
      </c>
      <c r="E840" s="841"/>
      <c r="F840" s="203" t="e">
        <f>VLOOKUP(A840,'Compos DER'!J:K,2,FALSE)</f>
        <v>#N/A</v>
      </c>
      <c r="G840" s="198" t="e">
        <f t="shared" si="14"/>
        <v>#N/A</v>
      </c>
    </row>
    <row r="841" spans="1:7" s="549" customFormat="1" x14ac:dyDescent="0.2">
      <c r="A841" s="806">
        <v>40137</v>
      </c>
      <c r="B841" s="839" t="s">
        <v>734</v>
      </c>
      <c r="C841" s="840" t="s">
        <v>1910</v>
      </c>
      <c r="D841" s="808">
        <v>1630.74</v>
      </c>
      <c r="E841" s="839" t="s">
        <v>1209</v>
      </c>
      <c r="F841" s="203" t="e">
        <f>VLOOKUP(A841,'Compos DER'!J:K,2,FALSE)</f>
        <v>#N/A</v>
      </c>
      <c r="G841" s="198" t="e">
        <f t="shared" si="14"/>
        <v>#N/A</v>
      </c>
    </row>
    <row r="842" spans="1:7" x14ac:dyDescent="0.2">
      <c r="A842" s="806">
        <v>40138</v>
      </c>
      <c r="B842" s="839" t="s">
        <v>1712</v>
      </c>
      <c r="C842" s="840" t="s">
        <v>1910</v>
      </c>
      <c r="D842" s="808">
        <v>2801.21</v>
      </c>
      <c r="E842" s="839" t="s">
        <v>1209</v>
      </c>
      <c r="F842" s="203" t="e">
        <f>VLOOKUP(A842,'Compos DER'!J:K,2,FALSE)</f>
        <v>#N/A</v>
      </c>
      <c r="G842" s="198" t="e">
        <f t="shared" si="14"/>
        <v>#N/A</v>
      </c>
    </row>
    <row r="843" spans="1:7" x14ac:dyDescent="0.2">
      <c r="A843" s="806">
        <v>43336</v>
      </c>
      <c r="B843" s="839" t="s">
        <v>735</v>
      </c>
      <c r="C843" s="840" t="s">
        <v>1905</v>
      </c>
      <c r="D843" s="807">
        <v>1.39</v>
      </c>
      <c r="E843" s="841"/>
      <c r="F843" s="203" t="e">
        <f>VLOOKUP(A843,'Compos DER'!J:K,2,FALSE)</f>
        <v>#N/A</v>
      </c>
      <c r="G843" s="198" t="e">
        <f t="shared" si="14"/>
        <v>#N/A</v>
      </c>
    </row>
    <row r="844" spans="1:7" x14ac:dyDescent="0.2">
      <c r="A844" s="806">
        <v>40980</v>
      </c>
      <c r="B844" s="839" t="s">
        <v>736</v>
      </c>
      <c r="C844" s="840" t="s">
        <v>1906</v>
      </c>
      <c r="D844" s="807">
        <v>15.06</v>
      </c>
      <c r="E844" s="841"/>
      <c r="F844" s="203" t="e">
        <f>VLOOKUP(A844,'Compos DER'!J:K,2,FALSE)</f>
        <v>#N/A</v>
      </c>
      <c r="G844" s="198" t="e">
        <f t="shared" si="14"/>
        <v>#N/A</v>
      </c>
    </row>
    <row r="845" spans="1:7" x14ac:dyDescent="0.2">
      <c r="A845" s="806">
        <v>40115</v>
      </c>
      <c r="B845" s="839" t="s">
        <v>737</v>
      </c>
      <c r="C845" s="840" t="s">
        <v>3</v>
      </c>
      <c r="D845" s="807">
        <v>332.97</v>
      </c>
      <c r="E845" s="839" t="s">
        <v>1209</v>
      </c>
      <c r="F845" s="203" t="e">
        <f>VLOOKUP(A845,'Compos DER'!J:K,2,FALSE)</f>
        <v>#N/A</v>
      </c>
      <c r="G845" s="198" t="e">
        <f t="shared" si="14"/>
        <v>#N/A</v>
      </c>
    </row>
    <row r="846" spans="1:7" x14ac:dyDescent="0.2">
      <c r="A846" s="806">
        <v>40104</v>
      </c>
      <c r="B846" s="839" t="s">
        <v>738</v>
      </c>
      <c r="C846" s="840" t="s">
        <v>1948</v>
      </c>
      <c r="D846" s="807">
        <v>18.02</v>
      </c>
      <c r="E846" s="839" t="s">
        <v>1209</v>
      </c>
      <c r="F846" s="203" t="e">
        <f>VLOOKUP(A846,'Compos DER'!J:K,2,FALSE)</f>
        <v>#N/A</v>
      </c>
      <c r="G846" s="198" t="e">
        <f t="shared" si="14"/>
        <v>#N/A</v>
      </c>
    </row>
    <row r="847" spans="1:7" x14ac:dyDescent="0.2">
      <c r="A847" s="806">
        <v>40143</v>
      </c>
      <c r="B847" s="842" t="s">
        <v>2187</v>
      </c>
      <c r="C847" s="840" t="s">
        <v>1906</v>
      </c>
      <c r="D847" s="807">
        <v>92.79</v>
      </c>
      <c r="E847" s="839" t="s">
        <v>1209</v>
      </c>
      <c r="F847" s="203" t="e">
        <f>VLOOKUP(A847,'Compos DER'!J:K,2,FALSE)</f>
        <v>#N/A</v>
      </c>
      <c r="G847" s="198" t="e">
        <f t="shared" si="14"/>
        <v>#N/A</v>
      </c>
    </row>
    <row r="848" spans="1:7" x14ac:dyDescent="0.2">
      <c r="A848" s="806">
        <v>40107</v>
      </c>
      <c r="B848" s="839" t="s">
        <v>300</v>
      </c>
      <c r="C848" s="840" t="s">
        <v>1906</v>
      </c>
      <c r="D848" s="807">
        <v>6</v>
      </c>
      <c r="E848" s="841"/>
      <c r="F848" s="203" t="e">
        <f>VLOOKUP(A848,'Compos DER'!J:K,2,FALSE)</f>
        <v>#N/A</v>
      </c>
      <c r="G848" s="198" t="e">
        <f t="shared" si="14"/>
        <v>#N/A</v>
      </c>
    </row>
    <row r="849" spans="1:7" x14ac:dyDescent="0.2">
      <c r="A849" s="806">
        <v>40108</v>
      </c>
      <c r="B849" s="839" t="s">
        <v>739</v>
      </c>
      <c r="C849" s="840" t="s">
        <v>1905</v>
      </c>
      <c r="D849" s="807">
        <v>2.91</v>
      </c>
      <c r="E849" s="841"/>
      <c r="F849" s="203" t="e">
        <f>VLOOKUP(A849,'Compos DER'!J:K,2,FALSE)</f>
        <v>#N/A</v>
      </c>
      <c r="G849" s="198" t="e">
        <f t="shared" si="14"/>
        <v>#N/A</v>
      </c>
    </row>
    <row r="850" spans="1:7" x14ac:dyDescent="0.2">
      <c r="A850" s="806">
        <v>40081</v>
      </c>
      <c r="B850" s="839" t="s">
        <v>740</v>
      </c>
      <c r="C850" s="840" t="s">
        <v>1906</v>
      </c>
      <c r="D850" s="807">
        <v>8.84</v>
      </c>
      <c r="E850" s="841"/>
      <c r="F850" s="203" t="e">
        <f>VLOOKUP(A850,'Compos DER'!J:K,2,FALSE)</f>
        <v>#N/A</v>
      </c>
      <c r="G850" s="198" t="e">
        <f t="shared" si="14"/>
        <v>#N/A</v>
      </c>
    </row>
    <row r="851" spans="1:7" x14ac:dyDescent="0.2">
      <c r="A851" s="806">
        <v>40136</v>
      </c>
      <c r="B851" s="839" t="s">
        <v>741</v>
      </c>
      <c r="C851" s="840" t="s">
        <v>1948</v>
      </c>
      <c r="D851" s="807">
        <v>498.94</v>
      </c>
      <c r="E851" s="839" t="s">
        <v>1209</v>
      </c>
      <c r="F851" s="203" t="e">
        <f>VLOOKUP(A851,'Compos DER'!J:K,2,FALSE)</f>
        <v>#N/A</v>
      </c>
      <c r="G851" s="198" t="e">
        <f t="shared" si="14"/>
        <v>#N/A</v>
      </c>
    </row>
    <row r="852" spans="1:7" x14ac:dyDescent="0.2">
      <c r="A852" s="806">
        <v>40096</v>
      </c>
      <c r="B852" s="842" t="s">
        <v>2188</v>
      </c>
      <c r="C852" s="840" t="s">
        <v>1948</v>
      </c>
      <c r="D852" s="807">
        <v>351.91</v>
      </c>
      <c r="E852" s="843"/>
      <c r="F852" s="203" t="e">
        <f>VLOOKUP(A852,'Compos DER'!J:K,2,FALSE)</f>
        <v>#N/A</v>
      </c>
      <c r="G852" s="198" t="e">
        <f t="shared" si="14"/>
        <v>#N/A</v>
      </c>
    </row>
    <row r="853" spans="1:7" x14ac:dyDescent="0.2">
      <c r="A853" s="806">
        <v>40134</v>
      </c>
      <c r="B853" s="839" t="s">
        <v>742</v>
      </c>
      <c r="C853" s="840" t="s">
        <v>1905</v>
      </c>
      <c r="D853" s="807">
        <v>5.47</v>
      </c>
      <c r="E853" s="841"/>
      <c r="F853" s="203" t="e">
        <f>VLOOKUP(A853,'Compos DER'!J:K,2,FALSE)</f>
        <v>#N/A</v>
      </c>
      <c r="G853" s="198" t="e">
        <f t="shared" si="14"/>
        <v>#N/A</v>
      </c>
    </row>
    <row r="854" spans="1:7" x14ac:dyDescent="0.2">
      <c r="A854" s="806">
        <v>40105</v>
      </c>
      <c r="B854" s="839" t="s">
        <v>743</v>
      </c>
      <c r="C854" s="840" t="s">
        <v>1905</v>
      </c>
      <c r="D854" s="807">
        <v>0.61</v>
      </c>
      <c r="E854" s="841"/>
      <c r="F854" s="203" t="e">
        <f>VLOOKUP(A854,'Compos DER'!J:K,2,FALSE)</f>
        <v>#N/A</v>
      </c>
      <c r="G854" s="198" t="e">
        <f t="shared" si="14"/>
        <v>#N/A</v>
      </c>
    </row>
    <row r="855" spans="1:7" x14ac:dyDescent="0.2">
      <c r="A855" s="806">
        <v>40084</v>
      </c>
      <c r="B855" s="839" t="s">
        <v>744</v>
      </c>
      <c r="C855" s="840" t="s">
        <v>1948</v>
      </c>
      <c r="D855" s="807">
        <v>1.72</v>
      </c>
      <c r="E855" s="841"/>
      <c r="F855" s="203" t="e">
        <f>VLOOKUP(A855,'Compos DER'!J:K,2,FALSE)</f>
        <v>#N/A</v>
      </c>
      <c r="G855" s="198" t="e">
        <f t="shared" si="14"/>
        <v>#N/A</v>
      </c>
    </row>
    <row r="856" spans="1:7" x14ac:dyDescent="0.2">
      <c r="A856" s="806">
        <v>40144</v>
      </c>
      <c r="B856" s="839" t="s">
        <v>1713</v>
      </c>
      <c r="C856" s="840" t="s">
        <v>1948</v>
      </c>
      <c r="D856" s="807">
        <v>139.62</v>
      </c>
      <c r="E856" s="839" t="s">
        <v>1209</v>
      </c>
      <c r="F856" s="203" t="e">
        <f>VLOOKUP(A856,'Compos DER'!J:K,2,FALSE)</f>
        <v>#N/A</v>
      </c>
      <c r="G856" s="198" t="e">
        <f t="shared" si="14"/>
        <v>#N/A</v>
      </c>
    </row>
    <row r="857" spans="1:7" x14ac:dyDescent="0.2">
      <c r="A857" s="806">
        <v>40106</v>
      </c>
      <c r="B857" s="839" t="s">
        <v>745</v>
      </c>
      <c r="C857" s="840" t="s">
        <v>1906</v>
      </c>
      <c r="D857" s="807">
        <v>10.76</v>
      </c>
      <c r="E857" s="839" t="s">
        <v>1209</v>
      </c>
      <c r="F857" s="203" t="e">
        <f>VLOOKUP(A857,'Compos DER'!J:K,2,FALSE)</f>
        <v>#N/A</v>
      </c>
      <c r="G857" s="198" t="e">
        <f t="shared" si="14"/>
        <v>#N/A</v>
      </c>
    </row>
    <row r="858" spans="1:7" x14ac:dyDescent="0.2">
      <c r="A858" s="806">
        <v>40135</v>
      </c>
      <c r="B858" s="839" t="s">
        <v>746</v>
      </c>
      <c r="C858" s="840" t="s">
        <v>1905</v>
      </c>
      <c r="D858" s="807">
        <v>13.55</v>
      </c>
      <c r="E858" s="841"/>
      <c r="F858" s="203" t="e">
        <f>VLOOKUP(A858,'Compos DER'!J:K,2,FALSE)</f>
        <v>#N/A</v>
      </c>
      <c r="G858" s="198" t="e">
        <f t="shared" si="14"/>
        <v>#N/A</v>
      </c>
    </row>
    <row r="859" spans="1:7" x14ac:dyDescent="0.2">
      <c r="A859" s="806">
        <v>40111</v>
      </c>
      <c r="B859" s="839" t="s">
        <v>747</v>
      </c>
      <c r="C859" s="840" t="s">
        <v>1905</v>
      </c>
      <c r="D859" s="807">
        <v>7.63</v>
      </c>
      <c r="E859" s="839" t="s">
        <v>1209</v>
      </c>
      <c r="F859" s="203" t="e">
        <f>VLOOKUP(A859,'Compos DER'!J:K,2,FALSE)</f>
        <v>#N/A</v>
      </c>
      <c r="G859" s="198" t="e">
        <f t="shared" si="14"/>
        <v>#N/A</v>
      </c>
    </row>
    <row r="860" spans="1:7" x14ac:dyDescent="0.2">
      <c r="A860" s="806">
        <v>40126</v>
      </c>
      <c r="B860" s="839" t="s">
        <v>748</v>
      </c>
      <c r="C860" s="840" t="s">
        <v>1905</v>
      </c>
      <c r="D860" s="807">
        <v>3.68</v>
      </c>
      <c r="E860" s="839" t="s">
        <v>1209</v>
      </c>
      <c r="F860" s="203" t="e">
        <f>VLOOKUP(A860,'Compos DER'!J:K,2,FALSE)</f>
        <v>#N/A</v>
      </c>
      <c r="G860" s="198" t="e">
        <f t="shared" si="14"/>
        <v>#N/A</v>
      </c>
    </row>
    <row r="861" spans="1:7" x14ac:dyDescent="0.2">
      <c r="A861" s="806">
        <v>40127</v>
      </c>
      <c r="B861" s="839" t="s">
        <v>749</v>
      </c>
      <c r="C861" s="840" t="s">
        <v>1905</v>
      </c>
      <c r="D861" s="807">
        <v>5.04</v>
      </c>
      <c r="E861" s="839" t="s">
        <v>1209</v>
      </c>
      <c r="F861" s="203" t="e">
        <f>VLOOKUP(A861,'Compos DER'!J:K,2,FALSE)</f>
        <v>#N/A</v>
      </c>
      <c r="G861" s="198" t="e">
        <f t="shared" si="14"/>
        <v>#N/A</v>
      </c>
    </row>
    <row r="862" spans="1:7" x14ac:dyDescent="0.2">
      <c r="A862" s="806">
        <v>40128</v>
      </c>
      <c r="B862" s="839" t="s">
        <v>750</v>
      </c>
      <c r="C862" s="840" t="s">
        <v>1905</v>
      </c>
      <c r="D862" s="807">
        <v>6.65</v>
      </c>
      <c r="E862" s="839" t="s">
        <v>1209</v>
      </c>
      <c r="F862" s="203" t="e">
        <f>VLOOKUP(A862,'Compos DER'!J:K,2,FALSE)</f>
        <v>#N/A</v>
      </c>
      <c r="G862" s="198" t="e">
        <f t="shared" si="14"/>
        <v>#N/A</v>
      </c>
    </row>
    <row r="863" spans="1:7" x14ac:dyDescent="0.2">
      <c r="A863" s="806">
        <v>40129</v>
      </c>
      <c r="B863" s="839" t="s">
        <v>751</v>
      </c>
      <c r="C863" s="840" t="s">
        <v>1905</v>
      </c>
      <c r="D863" s="807">
        <v>8.82</v>
      </c>
      <c r="E863" s="839" t="s">
        <v>1209</v>
      </c>
      <c r="F863" s="203" t="e">
        <f>VLOOKUP(A863,'Compos DER'!J:K,2,FALSE)</f>
        <v>#N/A</v>
      </c>
      <c r="G863" s="198" t="e">
        <f t="shared" si="14"/>
        <v>#N/A</v>
      </c>
    </row>
    <row r="864" spans="1:7" x14ac:dyDescent="0.2">
      <c r="A864" s="806">
        <v>40085</v>
      </c>
      <c r="B864" s="839" t="s">
        <v>752</v>
      </c>
      <c r="C864" s="840" t="s">
        <v>1948</v>
      </c>
      <c r="D864" s="807">
        <v>1.29</v>
      </c>
      <c r="E864" s="841"/>
      <c r="F864" s="203" t="e">
        <f>VLOOKUP(A864,'Compos DER'!J:K,2,FALSE)</f>
        <v>#N/A</v>
      </c>
      <c r="G864" s="198" t="e">
        <f t="shared" si="14"/>
        <v>#N/A</v>
      </c>
    </row>
    <row r="865" spans="1:7" x14ac:dyDescent="0.2">
      <c r="A865" s="806">
        <v>40086</v>
      </c>
      <c r="B865" s="839" t="s">
        <v>753</v>
      </c>
      <c r="C865" s="840" t="s">
        <v>1948</v>
      </c>
      <c r="D865" s="807">
        <v>29.3</v>
      </c>
      <c r="E865" s="841"/>
      <c r="F865" s="203" t="e">
        <f>VLOOKUP(A865,'Compos DER'!J:K,2,FALSE)</f>
        <v>#N/A</v>
      </c>
      <c r="G865" s="198" t="e">
        <f t="shared" si="14"/>
        <v>#N/A</v>
      </c>
    </row>
    <row r="866" spans="1:7" x14ac:dyDescent="0.2">
      <c r="A866" s="806">
        <v>40087</v>
      </c>
      <c r="B866" s="839" t="s">
        <v>754</v>
      </c>
      <c r="C866" s="840" t="s">
        <v>1910</v>
      </c>
      <c r="D866" s="807">
        <v>108.95</v>
      </c>
      <c r="E866" s="841"/>
      <c r="F866" s="203" t="e">
        <f>VLOOKUP(A866,'Compos DER'!J:K,2,FALSE)</f>
        <v>#N/A</v>
      </c>
      <c r="G866" s="198" t="e">
        <f t="shared" si="14"/>
        <v>#N/A</v>
      </c>
    </row>
    <row r="867" spans="1:7" x14ac:dyDescent="0.2">
      <c r="A867" s="806">
        <v>40983</v>
      </c>
      <c r="B867" s="842" t="s">
        <v>2189</v>
      </c>
      <c r="C867" s="840" t="s">
        <v>1948</v>
      </c>
      <c r="D867" s="807">
        <v>9.1300000000000008</v>
      </c>
      <c r="E867" s="843"/>
      <c r="F867" s="203" t="e">
        <f>VLOOKUP(A867,'Compos DER'!J:K,2,FALSE)</f>
        <v>#N/A</v>
      </c>
      <c r="G867" s="198" t="e">
        <f t="shared" si="14"/>
        <v>#N/A</v>
      </c>
    </row>
    <row r="868" spans="1:7" x14ac:dyDescent="0.2">
      <c r="A868" s="806">
        <v>40100</v>
      </c>
      <c r="B868" s="839" t="s">
        <v>755</v>
      </c>
      <c r="C868" s="840" t="s">
        <v>1948</v>
      </c>
      <c r="D868" s="807">
        <v>88.32</v>
      </c>
      <c r="E868" s="841"/>
      <c r="F868" s="203" t="e">
        <f>VLOOKUP(A868,'Compos DER'!J:K,2,FALSE)</f>
        <v>#N/A</v>
      </c>
      <c r="G868" s="198" t="e">
        <f t="shared" si="14"/>
        <v>#N/A</v>
      </c>
    </row>
    <row r="869" spans="1:7" x14ac:dyDescent="0.2">
      <c r="A869" s="806">
        <v>40141</v>
      </c>
      <c r="B869" s="839" t="s">
        <v>756</v>
      </c>
      <c r="C869" s="840" t="s">
        <v>1948</v>
      </c>
      <c r="D869" s="807">
        <v>53.06</v>
      </c>
      <c r="E869" s="839" t="s">
        <v>1209</v>
      </c>
      <c r="F869" s="203" t="e">
        <f>VLOOKUP(A869,'Compos DER'!J:K,2,FALSE)</f>
        <v>#N/A</v>
      </c>
      <c r="G869" s="198" t="e">
        <f t="shared" si="14"/>
        <v>#N/A</v>
      </c>
    </row>
    <row r="870" spans="1:7" x14ac:dyDescent="0.2">
      <c r="A870" s="806">
        <v>40118</v>
      </c>
      <c r="B870" s="839" t="s">
        <v>757</v>
      </c>
      <c r="C870" s="840" t="s">
        <v>1905</v>
      </c>
      <c r="D870" s="807">
        <v>73.459999999999994</v>
      </c>
      <c r="E870" s="839" t="s">
        <v>1209</v>
      </c>
      <c r="F870" s="203" t="e">
        <f>VLOOKUP(A870,'Compos DER'!J:K,2,FALSE)</f>
        <v>#N/A</v>
      </c>
      <c r="G870" s="198" t="e">
        <f t="shared" si="14"/>
        <v>#N/A</v>
      </c>
    </row>
    <row r="871" spans="1:7" x14ac:dyDescent="0.2">
      <c r="A871" s="806">
        <v>40116</v>
      </c>
      <c r="B871" s="839" t="s">
        <v>758</v>
      </c>
      <c r="C871" s="840" t="s">
        <v>1905</v>
      </c>
      <c r="D871" s="807">
        <v>67.510000000000005</v>
      </c>
      <c r="E871" s="839" t="s">
        <v>1209</v>
      </c>
      <c r="F871" s="203" t="e">
        <f>VLOOKUP(A871,'Compos DER'!J:K,2,FALSE)</f>
        <v>#N/A</v>
      </c>
      <c r="G871" s="198" t="e">
        <f t="shared" si="14"/>
        <v>#N/A</v>
      </c>
    </row>
    <row r="872" spans="1:7" x14ac:dyDescent="0.2">
      <c r="A872" s="806">
        <v>40117</v>
      </c>
      <c r="B872" s="839" t="s">
        <v>759</v>
      </c>
      <c r="C872" s="840" t="s">
        <v>1905</v>
      </c>
      <c r="D872" s="807">
        <v>41.54</v>
      </c>
      <c r="E872" s="839" t="s">
        <v>1209</v>
      </c>
      <c r="F872" s="203" t="e">
        <f>VLOOKUP(A872,'Compos DER'!J:K,2,FALSE)</f>
        <v>#N/A</v>
      </c>
      <c r="G872" s="198" t="e">
        <f t="shared" si="14"/>
        <v>#N/A</v>
      </c>
    </row>
    <row r="873" spans="1:7" x14ac:dyDescent="0.2">
      <c r="A873" s="806">
        <v>40148</v>
      </c>
      <c r="B873" s="839" t="s">
        <v>760</v>
      </c>
      <c r="C873" s="840" t="s">
        <v>1948</v>
      </c>
      <c r="D873" s="807">
        <v>3.05</v>
      </c>
      <c r="E873" s="841"/>
      <c r="F873" s="203" t="e">
        <f>VLOOKUP(A873,'Compos DER'!J:K,2,FALSE)</f>
        <v>#N/A</v>
      </c>
      <c r="G873" s="198" t="e">
        <f t="shared" si="14"/>
        <v>#N/A</v>
      </c>
    </row>
    <row r="874" spans="1:7" x14ac:dyDescent="0.2">
      <c r="A874" s="806">
        <v>40112</v>
      </c>
      <c r="B874" s="839" t="s">
        <v>761</v>
      </c>
      <c r="C874" s="840" t="s">
        <v>1905</v>
      </c>
      <c r="D874" s="807">
        <v>2.2599999999999998</v>
      </c>
      <c r="E874" s="839" t="s">
        <v>1209</v>
      </c>
      <c r="F874" s="203" t="e">
        <f>VLOOKUP(A874,'Compos DER'!J:K,2,FALSE)</f>
        <v>#N/A</v>
      </c>
      <c r="G874" s="198" t="e">
        <f t="shared" si="14"/>
        <v>#N/A</v>
      </c>
    </row>
    <row r="875" spans="1:7" x14ac:dyDescent="0.2">
      <c r="A875" s="806">
        <v>40149</v>
      </c>
      <c r="B875" s="839" t="s">
        <v>762</v>
      </c>
      <c r="C875" s="840" t="s">
        <v>1905</v>
      </c>
      <c r="D875" s="807">
        <v>6.3</v>
      </c>
      <c r="E875" s="841"/>
      <c r="F875" s="203" t="e">
        <f>VLOOKUP(A875,'Compos DER'!J:K,2,FALSE)</f>
        <v>#N/A</v>
      </c>
      <c r="G875" s="198" t="e">
        <f t="shared" si="14"/>
        <v>#N/A</v>
      </c>
    </row>
    <row r="876" spans="1:7" x14ac:dyDescent="0.2">
      <c r="A876" s="806">
        <v>40094</v>
      </c>
      <c r="B876" s="839" t="s">
        <v>763</v>
      </c>
      <c r="C876" s="840" t="s">
        <v>1905</v>
      </c>
      <c r="D876" s="807">
        <v>86.8</v>
      </c>
      <c r="E876" s="841"/>
      <c r="F876" s="203" t="e">
        <f>VLOOKUP(A876,'Compos DER'!J:K,2,FALSE)</f>
        <v>#N/A</v>
      </c>
      <c r="G876" s="198" t="e">
        <f t="shared" si="14"/>
        <v>#N/A</v>
      </c>
    </row>
    <row r="877" spans="1:7" x14ac:dyDescent="0.2">
      <c r="A877" s="806">
        <v>40095</v>
      </c>
      <c r="B877" s="839" t="s">
        <v>764</v>
      </c>
      <c r="C877" s="840" t="s">
        <v>1905</v>
      </c>
      <c r="D877" s="807">
        <v>732.39</v>
      </c>
      <c r="E877" s="839" t="s">
        <v>1209</v>
      </c>
      <c r="F877" s="203" t="e">
        <f>VLOOKUP(A877,'Compos DER'!J:K,2,FALSE)</f>
        <v>#N/A</v>
      </c>
      <c r="G877" s="198" t="e">
        <f t="shared" si="14"/>
        <v>#N/A</v>
      </c>
    </row>
    <row r="878" spans="1:7" x14ac:dyDescent="0.2">
      <c r="A878" s="806">
        <v>40114</v>
      </c>
      <c r="B878" s="839" t="s">
        <v>765</v>
      </c>
      <c r="C878" s="840" t="s">
        <v>3</v>
      </c>
      <c r="D878" s="807">
        <v>295.24</v>
      </c>
      <c r="E878" s="839" t="s">
        <v>1209</v>
      </c>
      <c r="F878" s="203" t="e">
        <f>VLOOKUP(A878,'Compos DER'!J:K,2,FALSE)</f>
        <v>#N/A</v>
      </c>
      <c r="G878" s="198" t="e">
        <f t="shared" si="14"/>
        <v>#N/A</v>
      </c>
    </row>
    <row r="879" spans="1:7" ht="25.5" x14ac:dyDescent="0.2">
      <c r="A879" s="806">
        <v>41134</v>
      </c>
      <c r="B879" s="839" t="s">
        <v>2190</v>
      </c>
      <c r="C879" s="840" t="s">
        <v>1906</v>
      </c>
      <c r="D879" s="807">
        <v>103.39</v>
      </c>
      <c r="E879" s="839" t="s">
        <v>1209</v>
      </c>
      <c r="F879" s="203" t="e">
        <f>VLOOKUP(A879,'Compos DER'!J:K,2,FALSE)</f>
        <v>#N/A</v>
      </c>
      <c r="G879" s="198" t="e">
        <f t="shared" si="14"/>
        <v>#N/A</v>
      </c>
    </row>
    <row r="880" spans="1:7" x14ac:dyDescent="0.2">
      <c r="A880" s="806">
        <v>40130</v>
      </c>
      <c r="B880" s="839" t="s">
        <v>766</v>
      </c>
      <c r="C880" s="840" t="s">
        <v>3</v>
      </c>
      <c r="D880" s="807">
        <v>356.09</v>
      </c>
      <c r="E880" s="839" t="s">
        <v>1209</v>
      </c>
      <c r="F880" s="203" t="e">
        <f>VLOOKUP(A880,'Compos DER'!J:K,2,FALSE)</f>
        <v>#N/A</v>
      </c>
      <c r="G880" s="198" t="e">
        <f t="shared" si="14"/>
        <v>#N/A</v>
      </c>
    </row>
    <row r="881" spans="1:7" x14ac:dyDescent="0.2">
      <c r="A881" s="806">
        <v>40131</v>
      </c>
      <c r="B881" s="839" t="s">
        <v>767</v>
      </c>
      <c r="C881" s="840" t="s">
        <v>3</v>
      </c>
      <c r="D881" s="807">
        <v>316.04000000000002</v>
      </c>
      <c r="E881" s="839" t="s">
        <v>1209</v>
      </c>
      <c r="F881" s="203" t="e">
        <f>VLOOKUP(A881,'Compos DER'!J:K,2,FALSE)</f>
        <v>#N/A</v>
      </c>
      <c r="G881" s="198" t="e">
        <f t="shared" si="14"/>
        <v>#N/A</v>
      </c>
    </row>
    <row r="882" spans="1:7" x14ac:dyDescent="0.2">
      <c r="A882" s="806">
        <v>40083</v>
      </c>
      <c r="B882" s="839" t="s">
        <v>768</v>
      </c>
      <c r="C882" s="840" t="s">
        <v>1905</v>
      </c>
      <c r="D882" s="807">
        <v>2.86</v>
      </c>
      <c r="E882" s="839" t="s">
        <v>1209</v>
      </c>
      <c r="F882" s="203" t="e">
        <f>VLOOKUP(A882,'Compos DER'!J:K,2,FALSE)</f>
        <v>#N/A</v>
      </c>
      <c r="G882" s="198" t="e">
        <f t="shared" si="14"/>
        <v>#N/A</v>
      </c>
    </row>
    <row r="883" spans="1:7" x14ac:dyDescent="0.2">
      <c r="A883" s="806">
        <v>40079</v>
      </c>
      <c r="B883" s="839" t="s">
        <v>769</v>
      </c>
      <c r="C883" s="840" t="s">
        <v>1906</v>
      </c>
      <c r="D883" s="807">
        <v>24.34</v>
      </c>
      <c r="E883" s="841" t="s">
        <v>1209</v>
      </c>
      <c r="F883" s="203" t="e">
        <f>VLOOKUP(A883,'Compos DER'!J:K,2,FALSE)</f>
        <v>#N/A</v>
      </c>
      <c r="G883" s="198" t="e">
        <f t="shared" si="14"/>
        <v>#N/A</v>
      </c>
    </row>
    <row r="884" spans="1:7" x14ac:dyDescent="0.2">
      <c r="A884" s="806">
        <v>40082</v>
      </c>
      <c r="B884" s="839" t="s">
        <v>770</v>
      </c>
      <c r="C884" s="840" t="s">
        <v>1905</v>
      </c>
      <c r="D884" s="807">
        <v>0.12</v>
      </c>
      <c r="E884" s="839"/>
      <c r="F884" s="203" t="e">
        <f>VLOOKUP(A884,'Compos DER'!J:K,2,FALSE)</f>
        <v>#N/A</v>
      </c>
      <c r="G884" s="198" t="e">
        <f t="shared" si="14"/>
        <v>#N/A</v>
      </c>
    </row>
    <row r="885" spans="1:7" x14ac:dyDescent="0.2">
      <c r="A885" s="806">
        <v>40119</v>
      </c>
      <c r="B885" s="839" t="s">
        <v>771</v>
      </c>
      <c r="C885" s="840" t="s">
        <v>1905</v>
      </c>
      <c r="D885" s="807">
        <v>37.630000000000003</v>
      </c>
      <c r="E885" s="839" t="s">
        <v>1209</v>
      </c>
      <c r="F885" s="203" t="e">
        <f>VLOOKUP(A885,'Compos DER'!J:K,2,FALSE)</f>
        <v>#N/A</v>
      </c>
      <c r="G885" s="198" t="e">
        <f t="shared" si="14"/>
        <v>#N/A</v>
      </c>
    </row>
    <row r="886" spans="1:7" x14ac:dyDescent="0.2">
      <c r="A886" s="806">
        <v>40122</v>
      </c>
      <c r="B886" s="839" t="s">
        <v>771</v>
      </c>
      <c r="C886" s="840" t="s">
        <v>3</v>
      </c>
      <c r="D886" s="807">
        <v>428.17</v>
      </c>
      <c r="E886" s="839" t="s">
        <v>1209</v>
      </c>
      <c r="F886" s="203" t="e">
        <f>VLOOKUP(A886,'Compos DER'!J:K,2,FALSE)</f>
        <v>#N/A</v>
      </c>
      <c r="G886" s="198" t="e">
        <f t="shared" si="14"/>
        <v>#N/A</v>
      </c>
    </row>
    <row r="887" spans="1:7" x14ac:dyDescent="0.2">
      <c r="A887" s="806">
        <v>40120</v>
      </c>
      <c r="B887" s="839" t="s">
        <v>772</v>
      </c>
      <c r="C887" s="840" t="s">
        <v>1905</v>
      </c>
      <c r="D887" s="807">
        <v>11.66</v>
      </c>
      <c r="E887" s="839" t="s">
        <v>1209</v>
      </c>
      <c r="F887" s="203" t="e">
        <f>VLOOKUP(A887,'Compos DER'!J:K,2,FALSE)</f>
        <v>#N/A</v>
      </c>
      <c r="G887" s="198" t="e">
        <f t="shared" si="14"/>
        <v>#N/A</v>
      </c>
    </row>
    <row r="888" spans="1:7" x14ac:dyDescent="0.2">
      <c r="A888" s="806">
        <v>40121</v>
      </c>
      <c r="B888" s="839" t="s">
        <v>773</v>
      </c>
      <c r="C888" s="840" t="s">
        <v>1905</v>
      </c>
      <c r="D888" s="807">
        <v>43.58</v>
      </c>
      <c r="E888" s="839" t="s">
        <v>1209</v>
      </c>
      <c r="F888" s="203" t="e">
        <f>VLOOKUP(A888,'Compos DER'!J:K,2,FALSE)</f>
        <v>#N/A</v>
      </c>
      <c r="G888" s="198" t="e">
        <f t="shared" si="14"/>
        <v>#N/A</v>
      </c>
    </row>
    <row r="889" spans="1:7" x14ac:dyDescent="0.2">
      <c r="A889" s="806">
        <v>40123</v>
      </c>
      <c r="B889" s="839" t="s">
        <v>773</v>
      </c>
      <c r="C889" s="840" t="s">
        <v>3</v>
      </c>
      <c r="D889" s="807">
        <v>462.05</v>
      </c>
      <c r="E889" s="839" t="s">
        <v>1209</v>
      </c>
      <c r="F889" s="203" t="e">
        <f>VLOOKUP(A889,'Compos DER'!J:K,2,FALSE)</f>
        <v>#N/A</v>
      </c>
      <c r="G889" s="198" t="e">
        <f t="shared" si="14"/>
        <v>#N/A</v>
      </c>
    </row>
    <row r="890" spans="1:7" x14ac:dyDescent="0.2">
      <c r="A890" s="806">
        <v>40080</v>
      </c>
      <c r="B890" s="839" t="s">
        <v>774</v>
      </c>
      <c r="C890" s="840" t="s">
        <v>1906</v>
      </c>
      <c r="D890" s="808">
        <v>1.82</v>
      </c>
      <c r="E890" s="839" t="s">
        <v>1209</v>
      </c>
      <c r="F890" s="203" t="e">
        <f>VLOOKUP(A890,'Compos DER'!J:K,2,FALSE)</f>
        <v>#N/A</v>
      </c>
      <c r="G890" s="198" t="e">
        <f t="shared" si="14"/>
        <v>#N/A</v>
      </c>
    </row>
    <row r="891" spans="1:7" x14ac:dyDescent="0.2">
      <c r="A891" s="806">
        <v>40089</v>
      </c>
      <c r="B891" s="839" t="s">
        <v>775</v>
      </c>
      <c r="C891" s="840" t="s">
        <v>1910</v>
      </c>
      <c r="D891" s="807">
        <v>1858.4</v>
      </c>
      <c r="E891" s="839" t="s">
        <v>1209</v>
      </c>
      <c r="F891" s="203" t="e">
        <f>VLOOKUP(A891,'Compos DER'!J:K,2,FALSE)</f>
        <v>#N/A</v>
      </c>
      <c r="G891" s="198" t="e">
        <f t="shared" si="14"/>
        <v>#N/A</v>
      </c>
    </row>
    <row r="892" spans="1:7" x14ac:dyDescent="0.2">
      <c r="A892" s="806">
        <v>40088</v>
      </c>
      <c r="B892" s="839" t="s">
        <v>776</v>
      </c>
      <c r="C892" s="840" t="s">
        <v>1910</v>
      </c>
      <c r="D892" s="807">
        <v>731.76</v>
      </c>
      <c r="E892" s="839" t="s">
        <v>1209</v>
      </c>
      <c r="F892" s="203" t="e">
        <f>VLOOKUP(A892,'Compos DER'!J:K,2,FALSE)</f>
        <v>#N/A</v>
      </c>
      <c r="G892" s="198" t="e">
        <f t="shared" si="14"/>
        <v>#N/A</v>
      </c>
    </row>
    <row r="893" spans="1:7" x14ac:dyDescent="0.2">
      <c r="A893" s="806">
        <v>40092</v>
      </c>
      <c r="B893" s="842" t="s">
        <v>2191</v>
      </c>
      <c r="C893" s="840" t="s">
        <v>1910</v>
      </c>
      <c r="D893" s="807">
        <v>302.19</v>
      </c>
      <c r="E893" s="839" t="s">
        <v>1209</v>
      </c>
      <c r="F893" s="203" t="e">
        <f>VLOOKUP(A893,'Compos DER'!J:K,2,FALSE)</f>
        <v>#N/A</v>
      </c>
      <c r="G893" s="198" t="e">
        <f t="shared" si="14"/>
        <v>#N/A</v>
      </c>
    </row>
    <row r="894" spans="1:7" x14ac:dyDescent="0.2">
      <c r="A894" s="806">
        <v>40078</v>
      </c>
      <c r="B894" s="839" t="s">
        <v>2192</v>
      </c>
      <c r="C894" s="840" t="s">
        <v>1948</v>
      </c>
      <c r="D894" s="807">
        <v>8.16</v>
      </c>
      <c r="E894" s="841" t="s">
        <v>1209</v>
      </c>
      <c r="F894" s="203" t="e">
        <f>VLOOKUP(A894,'Compos DER'!J:K,2,FALSE)</f>
        <v>#N/A</v>
      </c>
      <c r="G894" s="198" t="e">
        <f t="shared" si="14"/>
        <v>#N/A</v>
      </c>
    </row>
    <row r="895" spans="1:7" x14ac:dyDescent="0.2">
      <c r="A895" s="806">
        <v>40097</v>
      </c>
      <c r="B895" s="839" t="s">
        <v>777</v>
      </c>
      <c r="C895" s="840" t="s">
        <v>1948</v>
      </c>
      <c r="D895" s="807">
        <v>123.81</v>
      </c>
      <c r="E895" s="839"/>
      <c r="F895" s="203" t="e">
        <f>VLOOKUP(A895,'Compos DER'!J:K,2,FALSE)</f>
        <v>#N/A</v>
      </c>
      <c r="G895" s="198" t="e">
        <f t="shared" si="14"/>
        <v>#N/A</v>
      </c>
    </row>
    <row r="896" spans="1:7" x14ac:dyDescent="0.2">
      <c r="A896" s="806">
        <v>40090</v>
      </c>
      <c r="B896" s="839" t="s">
        <v>778</v>
      </c>
      <c r="C896" s="840" t="s">
        <v>1948</v>
      </c>
      <c r="D896" s="807">
        <v>31.44</v>
      </c>
      <c r="E896" s="839" t="s">
        <v>1209</v>
      </c>
      <c r="F896" s="203" t="e">
        <f>VLOOKUP(A896,'Compos DER'!J:K,2,FALSE)</f>
        <v>#N/A</v>
      </c>
      <c r="G896" s="198" t="e">
        <f t="shared" si="14"/>
        <v>#N/A</v>
      </c>
    </row>
    <row r="897" spans="1:7" s="549" customFormat="1" x14ac:dyDescent="0.2">
      <c r="A897" s="806">
        <v>40099</v>
      </c>
      <c r="B897" s="839" t="s">
        <v>779</v>
      </c>
      <c r="C897" s="840" t="s">
        <v>1906</v>
      </c>
      <c r="D897" s="807">
        <v>726.49</v>
      </c>
      <c r="E897" s="839" t="s">
        <v>1209</v>
      </c>
      <c r="F897" s="203" t="e">
        <f>VLOOKUP(A897,'Compos DER'!J:K,2,FALSE)</f>
        <v>#N/A</v>
      </c>
      <c r="G897" s="198" t="e">
        <f t="shared" ref="G897:G959" si="15">+F897/D897</f>
        <v>#N/A</v>
      </c>
    </row>
    <row r="898" spans="1:7" x14ac:dyDescent="0.2">
      <c r="A898" s="806">
        <v>40091</v>
      </c>
      <c r="B898" s="839" t="s">
        <v>780</v>
      </c>
      <c r="C898" s="840" t="s">
        <v>1948</v>
      </c>
      <c r="D898" s="807">
        <v>42.2</v>
      </c>
      <c r="E898" s="841" t="s">
        <v>1209</v>
      </c>
      <c r="F898" s="203" t="e">
        <f>VLOOKUP(A898,'Compos DER'!J:K,2,FALSE)</f>
        <v>#N/A</v>
      </c>
      <c r="G898" s="198" t="e">
        <f t="shared" si="15"/>
        <v>#N/A</v>
      </c>
    </row>
    <row r="899" spans="1:7" x14ac:dyDescent="0.2">
      <c r="A899" s="806">
        <v>40093</v>
      </c>
      <c r="B899" s="842" t="s">
        <v>781</v>
      </c>
      <c r="C899" s="840" t="s">
        <v>1905</v>
      </c>
      <c r="D899" s="807">
        <v>78.930000000000007</v>
      </c>
      <c r="E899" s="843"/>
      <c r="F899" s="203" t="e">
        <f>VLOOKUP(A899,'Compos DER'!J:K,2,FALSE)</f>
        <v>#N/A</v>
      </c>
      <c r="G899" s="198" t="e">
        <f t="shared" si="15"/>
        <v>#N/A</v>
      </c>
    </row>
    <row r="900" spans="1:7" x14ac:dyDescent="0.2">
      <c r="A900" s="806">
        <v>43353</v>
      </c>
      <c r="B900" s="842" t="s">
        <v>2193</v>
      </c>
      <c r="C900" s="840" t="s">
        <v>1905</v>
      </c>
      <c r="D900" s="807">
        <v>0.7</v>
      </c>
      <c r="E900" s="843"/>
      <c r="F900" s="203" t="e">
        <f>VLOOKUP(A900,'Compos DER'!J:K,2,FALSE)</f>
        <v>#N/A</v>
      </c>
      <c r="G900" s="198" t="e">
        <f t="shared" si="15"/>
        <v>#N/A</v>
      </c>
    </row>
    <row r="901" spans="1:7" x14ac:dyDescent="0.2">
      <c r="A901" s="806">
        <v>43337</v>
      </c>
      <c r="B901" s="839" t="s">
        <v>2194</v>
      </c>
      <c r="C901" s="840" t="s">
        <v>1905</v>
      </c>
      <c r="D901" s="807">
        <v>0.6</v>
      </c>
      <c r="E901" s="841"/>
      <c r="F901" s="203" t="e">
        <f>VLOOKUP(A901,'Compos DER'!J:K,2,FALSE)</f>
        <v>#N/A</v>
      </c>
      <c r="G901" s="198" t="e">
        <f t="shared" si="15"/>
        <v>#N/A</v>
      </c>
    </row>
    <row r="902" spans="1:7" x14ac:dyDescent="0.2">
      <c r="A902" s="806">
        <v>40077</v>
      </c>
      <c r="B902" s="839" t="s">
        <v>782</v>
      </c>
      <c r="C902" s="840" t="s">
        <v>1905</v>
      </c>
      <c r="D902" s="807">
        <v>0.2</v>
      </c>
      <c r="E902" s="839"/>
      <c r="F902" s="203" t="e">
        <f>VLOOKUP(A902,'Compos DER'!J:K,2,FALSE)</f>
        <v>#N/A</v>
      </c>
      <c r="G902" s="198" t="e">
        <f t="shared" si="15"/>
        <v>#N/A</v>
      </c>
    </row>
    <row r="903" spans="1:7" x14ac:dyDescent="0.2">
      <c r="A903" s="806">
        <v>40142</v>
      </c>
      <c r="B903" s="839" t="s">
        <v>1714</v>
      </c>
      <c r="C903" s="840" t="s">
        <v>1948</v>
      </c>
      <c r="D903" s="807">
        <v>96.26</v>
      </c>
      <c r="E903" s="839" t="s">
        <v>1209</v>
      </c>
      <c r="F903" s="203" t="e">
        <f>VLOOKUP(A903,'Compos DER'!J:K,2,FALSE)</f>
        <v>#N/A</v>
      </c>
      <c r="G903" s="198" t="e">
        <f t="shared" si="15"/>
        <v>#N/A</v>
      </c>
    </row>
    <row r="904" spans="1:7" x14ac:dyDescent="0.2">
      <c r="A904" s="806">
        <v>40124</v>
      </c>
      <c r="B904" s="839" t="s">
        <v>783</v>
      </c>
      <c r="C904" s="840" t="s">
        <v>1905</v>
      </c>
      <c r="D904" s="807">
        <v>10.3</v>
      </c>
      <c r="E904" s="839" t="s">
        <v>1209</v>
      </c>
      <c r="F904" s="203" t="e">
        <f>VLOOKUP(A904,'Compos DER'!J:K,2,FALSE)</f>
        <v>#N/A</v>
      </c>
      <c r="G904" s="198" t="e">
        <f t="shared" si="15"/>
        <v>#N/A</v>
      </c>
    </row>
    <row r="905" spans="1:7" x14ac:dyDescent="0.2">
      <c r="A905" s="806">
        <v>40146</v>
      </c>
      <c r="B905" s="839" t="s">
        <v>784</v>
      </c>
      <c r="C905" s="840" t="s">
        <v>1905</v>
      </c>
      <c r="D905" s="807">
        <v>17.239999999999998</v>
      </c>
      <c r="E905" s="839" t="s">
        <v>1209</v>
      </c>
      <c r="F905" s="203" t="e">
        <f>VLOOKUP(A905,'Compos DER'!J:K,2,FALSE)</f>
        <v>#N/A</v>
      </c>
      <c r="G905" s="198" t="e">
        <f t="shared" si="15"/>
        <v>#N/A</v>
      </c>
    </row>
    <row r="906" spans="1:7" x14ac:dyDescent="0.2">
      <c r="A906" s="806">
        <v>40145</v>
      </c>
      <c r="B906" s="839" t="s">
        <v>785</v>
      </c>
      <c r="C906" s="840" t="s">
        <v>1905</v>
      </c>
      <c r="D906" s="807">
        <v>641.22</v>
      </c>
      <c r="E906" s="841" t="s">
        <v>1209</v>
      </c>
      <c r="F906" s="203" t="e">
        <f>VLOOKUP(A906,'Compos DER'!J:K,2,FALSE)</f>
        <v>#N/A</v>
      </c>
      <c r="G906" s="198" t="e">
        <f t="shared" si="15"/>
        <v>#N/A</v>
      </c>
    </row>
    <row r="907" spans="1:7" x14ac:dyDescent="0.2">
      <c r="A907" s="806">
        <v>40109</v>
      </c>
      <c r="B907" s="839" t="s">
        <v>786</v>
      </c>
      <c r="C907" s="840" t="s">
        <v>1906</v>
      </c>
      <c r="D907" s="807">
        <v>31.69</v>
      </c>
      <c r="E907" s="839"/>
      <c r="F907" s="203" t="e">
        <f>VLOOKUP(A907,'Compos DER'!J:K,2,FALSE)</f>
        <v>#N/A</v>
      </c>
      <c r="G907" s="198" t="e">
        <f t="shared" si="15"/>
        <v>#N/A</v>
      </c>
    </row>
    <row r="908" spans="1:7" x14ac:dyDescent="0.2">
      <c r="A908" s="806">
        <v>40125</v>
      </c>
      <c r="B908" s="839" t="s">
        <v>787</v>
      </c>
      <c r="C908" s="840" t="s">
        <v>1905</v>
      </c>
      <c r="D908" s="807">
        <v>12.56</v>
      </c>
      <c r="E908" s="839" t="s">
        <v>1209</v>
      </c>
      <c r="F908" s="203" t="e">
        <f>VLOOKUP(A908,'Compos DER'!J:K,2,FALSE)</f>
        <v>#N/A</v>
      </c>
      <c r="G908" s="198" t="e">
        <f t="shared" si="15"/>
        <v>#N/A</v>
      </c>
    </row>
    <row r="909" spans="1:7" x14ac:dyDescent="0.2">
      <c r="A909" s="806">
        <v>40113</v>
      </c>
      <c r="B909" s="839" t="s">
        <v>788</v>
      </c>
      <c r="C909" s="840" t="s">
        <v>1905</v>
      </c>
      <c r="D909" s="807">
        <v>15.98</v>
      </c>
      <c r="E909" s="839" t="s">
        <v>1209</v>
      </c>
      <c r="F909" s="203" t="e">
        <f>VLOOKUP(A909,'Compos DER'!J:K,2,FALSE)</f>
        <v>#N/A</v>
      </c>
      <c r="G909" s="198" t="e">
        <f t="shared" si="15"/>
        <v>#N/A</v>
      </c>
    </row>
    <row r="910" spans="1:7" x14ac:dyDescent="0.2">
      <c r="A910" s="997">
        <v>40140</v>
      </c>
      <c r="B910" s="998" t="s">
        <v>1715</v>
      </c>
      <c r="C910" s="999" t="s">
        <v>1948</v>
      </c>
      <c r="D910" s="1000">
        <v>93.42</v>
      </c>
      <c r="E910" s="1001" t="s">
        <v>1209</v>
      </c>
      <c r="F910" s="203" t="e">
        <f>VLOOKUP(A910,'Compos DER'!J:K,2,FALSE)</f>
        <v>#N/A</v>
      </c>
      <c r="G910" s="198" t="e">
        <f t="shared" si="15"/>
        <v>#N/A</v>
      </c>
    </row>
    <row r="911" spans="1:7" x14ac:dyDescent="0.2">
      <c r="A911" s="1011">
        <v>40139</v>
      </c>
      <c r="B911" s="1012" t="s">
        <v>789</v>
      </c>
      <c r="C911" s="1013" t="s">
        <v>1948</v>
      </c>
      <c r="D911" s="1014">
        <v>10.81</v>
      </c>
      <c r="E911" s="1008"/>
      <c r="F911" s="203" t="e">
        <f>VLOOKUP(A911,'Compos DER'!J:K,2,FALSE)</f>
        <v>#N/A</v>
      </c>
      <c r="G911" s="198" t="e">
        <f t="shared" si="15"/>
        <v>#N/A</v>
      </c>
    </row>
    <row r="912" spans="1:7" x14ac:dyDescent="0.2">
      <c r="A912" s="847" t="s">
        <v>790</v>
      </c>
      <c r="B912" s="848"/>
      <c r="C912" s="849"/>
      <c r="D912" s="855"/>
      <c r="E912" s="845" t="e">
        <v>#N/A</v>
      </c>
      <c r="F912" s="203" t="e">
        <f>VLOOKUP(A912,'Compos DER'!J:K,2,FALSE)</f>
        <v>#N/A</v>
      </c>
      <c r="G912" s="198" t="e">
        <f t="shared" si="15"/>
        <v>#N/A</v>
      </c>
    </row>
    <row r="913" spans="1:7" x14ac:dyDescent="0.2">
      <c r="A913" s="806">
        <v>42186</v>
      </c>
      <c r="B913" s="839" t="s">
        <v>791</v>
      </c>
      <c r="C913" s="840" t="s">
        <v>2135</v>
      </c>
      <c r="D913" s="808">
        <v>8109.52</v>
      </c>
      <c r="E913" s="841"/>
      <c r="F913" s="203" t="e">
        <f>VLOOKUP(A913,'Compos DER'!J:K,2,FALSE)</f>
        <v>#N/A</v>
      </c>
      <c r="G913" s="198" t="e">
        <f t="shared" si="15"/>
        <v>#N/A</v>
      </c>
    </row>
    <row r="914" spans="1:7" x14ac:dyDescent="0.2">
      <c r="A914" s="848"/>
      <c r="B914" s="848"/>
      <c r="C914" s="849"/>
      <c r="D914" s="855"/>
      <c r="E914" s="845"/>
      <c r="F914" s="203" t="e">
        <f>VLOOKUP(A914,'Compos DER'!J:K,2,FALSE)</f>
        <v>#N/A</v>
      </c>
      <c r="G914" s="198" t="e">
        <f t="shared" si="15"/>
        <v>#N/A</v>
      </c>
    </row>
    <row r="915" spans="1:7" x14ac:dyDescent="0.2">
      <c r="A915" s="847" t="s">
        <v>792</v>
      </c>
      <c r="B915" s="848"/>
      <c r="C915" s="849"/>
      <c r="D915" s="853"/>
      <c r="E915" s="849"/>
      <c r="F915" s="203" t="e">
        <f>VLOOKUP(A915,'Compos DER'!J:K,2,FALSE)</f>
        <v>#N/A</v>
      </c>
      <c r="G915" s="198" t="e">
        <f t="shared" si="15"/>
        <v>#N/A</v>
      </c>
    </row>
    <row r="916" spans="1:7" x14ac:dyDescent="0.2">
      <c r="A916" s="806">
        <v>41352</v>
      </c>
      <c r="B916" s="839" t="s">
        <v>1716</v>
      </c>
      <c r="C916" s="840" t="s">
        <v>1910</v>
      </c>
      <c r="D916" s="807">
        <v>148.30000000000001</v>
      </c>
      <c r="E916" s="841"/>
      <c r="F916" s="203" t="e">
        <f>VLOOKUP(A916,'Compos DER'!J:K,2,FALSE)</f>
        <v>#N/A</v>
      </c>
      <c r="G916" s="198" t="e">
        <f t="shared" si="15"/>
        <v>#N/A</v>
      </c>
    </row>
    <row r="917" spans="1:7" x14ac:dyDescent="0.2">
      <c r="A917" s="806">
        <v>41340</v>
      </c>
      <c r="B917" s="842" t="s">
        <v>2195</v>
      </c>
      <c r="C917" s="840" t="s">
        <v>1948</v>
      </c>
      <c r="D917" s="807">
        <v>593.91999999999996</v>
      </c>
      <c r="E917" s="843"/>
      <c r="F917" s="203">
        <f>VLOOKUP(A917,'Compos DER'!J:K,2,FALSE)</f>
        <v>593.91999999999996</v>
      </c>
      <c r="G917" s="198">
        <f t="shared" si="15"/>
        <v>1</v>
      </c>
    </row>
    <row r="918" spans="1:7" x14ac:dyDescent="0.2">
      <c r="A918" s="806">
        <v>40331</v>
      </c>
      <c r="B918" s="839" t="s">
        <v>793</v>
      </c>
      <c r="C918" s="840" t="s">
        <v>1905</v>
      </c>
      <c r="D918" s="807">
        <v>72.010000000000005</v>
      </c>
      <c r="E918" s="839" t="s">
        <v>1209</v>
      </c>
      <c r="F918" s="203" t="e">
        <f>VLOOKUP(A918,'Compos DER'!J:K,2,FALSE)</f>
        <v>#N/A</v>
      </c>
      <c r="G918" s="198" t="e">
        <f t="shared" si="15"/>
        <v>#N/A</v>
      </c>
    </row>
    <row r="919" spans="1:7" x14ac:dyDescent="0.2">
      <c r="A919" s="806">
        <v>40403</v>
      </c>
      <c r="B919" s="839" t="s">
        <v>1717</v>
      </c>
      <c r="C919" s="840" t="s">
        <v>1948</v>
      </c>
      <c r="D919" s="807">
        <v>197.8</v>
      </c>
      <c r="E919" s="839" t="s">
        <v>1209</v>
      </c>
      <c r="F919" s="203" t="e">
        <f>VLOOKUP(A919,'Compos DER'!J:K,2,FALSE)</f>
        <v>#N/A</v>
      </c>
      <c r="G919" s="198" t="e">
        <f t="shared" si="15"/>
        <v>#N/A</v>
      </c>
    </row>
    <row r="920" spans="1:7" x14ac:dyDescent="0.2">
      <c r="A920" s="806">
        <v>40405</v>
      </c>
      <c r="B920" s="839" t="s">
        <v>794</v>
      </c>
      <c r="C920" s="840" t="s">
        <v>1948</v>
      </c>
      <c r="D920" s="807">
        <v>272.8</v>
      </c>
      <c r="E920" s="841"/>
      <c r="F920" s="203" t="e">
        <f>VLOOKUP(A920,'Compos DER'!J:K,2,FALSE)</f>
        <v>#N/A</v>
      </c>
      <c r="G920" s="198" t="e">
        <f t="shared" si="15"/>
        <v>#N/A</v>
      </c>
    </row>
    <row r="921" spans="1:7" x14ac:dyDescent="0.2">
      <c r="A921" s="806">
        <v>40408</v>
      </c>
      <c r="B921" s="839" t="s">
        <v>795</v>
      </c>
      <c r="C921" s="840" t="s">
        <v>1948</v>
      </c>
      <c r="D921" s="807">
        <v>512.16999999999996</v>
      </c>
      <c r="E921" s="839" t="s">
        <v>1209</v>
      </c>
      <c r="F921" s="203" t="e">
        <f>VLOOKUP(A921,'Compos DER'!J:K,2,FALSE)</f>
        <v>#N/A</v>
      </c>
      <c r="G921" s="198" t="e">
        <f t="shared" si="15"/>
        <v>#N/A</v>
      </c>
    </row>
    <row r="922" spans="1:7" x14ac:dyDescent="0.2">
      <c r="A922" s="806">
        <v>40406</v>
      </c>
      <c r="B922" s="842" t="s">
        <v>2196</v>
      </c>
      <c r="C922" s="840" t="s">
        <v>1948</v>
      </c>
      <c r="D922" s="807">
        <v>467.16</v>
      </c>
      <c r="E922" s="839" t="s">
        <v>1209</v>
      </c>
      <c r="F922" s="203" t="e">
        <f>VLOOKUP(A922,'Compos DER'!J:K,2,FALSE)</f>
        <v>#N/A</v>
      </c>
      <c r="G922" s="198" t="e">
        <f t="shared" si="15"/>
        <v>#N/A</v>
      </c>
    </row>
    <row r="923" spans="1:7" x14ac:dyDescent="0.2">
      <c r="A923" s="806">
        <v>40407</v>
      </c>
      <c r="B923" s="842" t="s">
        <v>2197</v>
      </c>
      <c r="C923" s="840" t="s">
        <v>1948</v>
      </c>
      <c r="D923" s="807">
        <v>798.54</v>
      </c>
      <c r="E923" s="839" t="s">
        <v>1209</v>
      </c>
      <c r="F923" s="203" t="e">
        <f>VLOOKUP(A923,'Compos DER'!J:K,2,FALSE)</f>
        <v>#N/A</v>
      </c>
      <c r="G923" s="198" t="e">
        <f t="shared" si="15"/>
        <v>#N/A</v>
      </c>
    </row>
    <row r="924" spans="1:7" x14ac:dyDescent="0.2">
      <c r="A924" s="806">
        <v>40409</v>
      </c>
      <c r="B924" s="842" t="s">
        <v>2198</v>
      </c>
      <c r="C924" s="840" t="s">
        <v>1948</v>
      </c>
      <c r="D924" s="807">
        <v>888.55</v>
      </c>
      <c r="E924" s="839" t="s">
        <v>1209</v>
      </c>
      <c r="F924" s="203" t="e">
        <f>VLOOKUP(A924,'Compos DER'!J:K,2,FALSE)</f>
        <v>#N/A</v>
      </c>
      <c r="G924" s="198" t="e">
        <f t="shared" si="15"/>
        <v>#N/A</v>
      </c>
    </row>
    <row r="925" spans="1:7" x14ac:dyDescent="0.2">
      <c r="A925" s="806">
        <v>40404</v>
      </c>
      <c r="B925" s="839" t="s">
        <v>796</v>
      </c>
      <c r="C925" s="840" t="s">
        <v>1948</v>
      </c>
      <c r="D925" s="807">
        <v>186.79</v>
      </c>
      <c r="E925" s="841"/>
      <c r="F925" s="203" t="e">
        <f>VLOOKUP(A925,'Compos DER'!J:K,2,FALSE)</f>
        <v>#N/A</v>
      </c>
      <c r="G925" s="198" t="e">
        <f t="shared" si="15"/>
        <v>#N/A</v>
      </c>
    </row>
    <row r="926" spans="1:7" x14ac:dyDescent="0.2">
      <c r="A926" s="806">
        <v>42051</v>
      </c>
      <c r="B926" s="842" t="s">
        <v>2199</v>
      </c>
      <c r="C926" s="840" t="s">
        <v>1948</v>
      </c>
      <c r="D926" s="807">
        <v>1008.73</v>
      </c>
      <c r="E926" s="839" t="s">
        <v>1209</v>
      </c>
      <c r="F926" s="203" t="e">
        <f>VLOOKUP(A926,'Compos DER'!J:K,2,FALSE)</f>
        <v>#N/A</v>
      </c>
      <c r="G926" s="198" t="e">
        <f t="shared" si="15"/>
        <v>#N/A</v>
      </c>
    </row>
    <row r="927" spans="1:7" x14ac:dyDescent="0.2">
      <c r="A927" s="806">
        <v>42052</v>
      </c>
      <c r="B927" s="842" t="s">
        <v>2200</v>
      </c>
      <c r="C927" s="840" t="s">
        <v>1948</v>
      </c>
      <c r="D927" s="807">
        <v>565.27</v>
      </c>
      <c r="E927" s="839" t="s">
        <v>1209</v>
      </c>
      <c r="F927" s="203" t="e">
        <f>VLOOKUP(A927,'Compos DER'!J:K,2,FALSE)</f>
        <v>#N/A</v>
      </c>
      <c r="G927" s="198" t="e">
        <f t="shared" si="15"/>
        <v>#N/A</v>
      </c>
    </row>
    <row r="928" spans="1:7" x14ac:dyDescent="0.2">
      <c r="A928" s="806">
        <v>40410</v>
      </c>
      <c r="B928" s="839" t="s">
        <v>1718</v>
      </c>
      <c r="C928" s="840" t="s">
        <v>1948</v>
      </c>
      <c r="D928" s="807">
        <v>403.51</v>
      </c>
      <c r="E928" s="839" t="s">
        <v>1209</v>
      </c>
      <c r="F928" s="203" t="e">
        <f>VLOOKUP(A928,'Compos DER'!J:K,2,FALSE)</f>
        <v>#N/A</v>
      </c>
      <c r="G928" s="198" t="e">
        <f t="shared" si="15"/>
        <v>#N/A</v>
      </c>
    </row>
    <row r="929" spans="1:7" x14ac:dyDescent="0.2">
      <c r="A929" s="806">
        <v>40309</v>
      </c>
      <c r="B929" s="842" t="s">
        <v>2201</v>
      </c>
      <c r="C929" s="840" t="s">
        <v>1905</v>
      </c>
      <c r="D929" s="807">
        <v>181.87</v>
      </c>
      <c r="E929" s="839" t="s">
        <v>1209</v>
      </c>
      <c r="F929" s="203">
        <f>VLOOKUP(A929,'Compos DER'!J:K,2,FALSE)</f>
        <v>183.24</v>
      </c>
      <c r="G929" s="198">
        <f t="shared" si="15"/>
        <v>1.0075328531368599</v>
      </c>
    </row>
    <row r="930" spans="1:7" x14ac:dyDescent="0.2">
      <c r="A930" s="806">
        <v>41258</v>
      </c>
      <c r="B930" s="839" t="s">
        <v>797</v>
      </c>
      <c r="C930" s="840" t="s">
        <v>1948</v>
      </c>
      <c r="D930" s="807">
        <v>228.95</v>
      </c>
      <c r="E930" s="841"/>
      <c r="F930" s="203" t="e">
        <f>VLOOKUP(A930,'Compos DER'!J:K,2,FALSE)</f>
        <v>#N/A</v>
      </c>
      <c r="G930" s="198" t="e">
        <f t="shared" si="15"/>
        <v>#N/A</v>
      </c>
    </row>
    <row r="931" spans="1:7" x14ac:dyDescent="0.2">
      <c r="A931" s="806">
        <v>41034</v>
      </c>
      <c r="B931" s="839" t="s">
        <v>798</v>
      </c>
      <c r="C931" s="840" t="s">
        <v>1948</v>
      </c>
      <c r="D931" s="807">
        <v>176.11</v>
      </c>
      <c r="E931" s="841"/>
      <c r="F931" s="203" t="e">
        <f>VLOOKUP(A931,'Compos DER'!J:K,2,FALSE)</f>
        <v>#N/A</v>
      </c>
      <c r="G931" s="198" t="e">
        <f t="shared" si="15"/>
        <v>#N/A</v>
      </c>
    </row>
    <row r="932" spans="1:7" ht="25.5" x14ac:dyDescent="0.2">
      <c r="A932" s="806">
        <v>41026</v>
      </c>
      <c r="B932" s="842" t="s">
        <v>2202</v>
      </c>
      <c r="C932" s="840" t="s">
        <v>1948</v>
      </c>
      <c r="D932" s="807">
        <v>146.62</v>
      </c>
      <c r="E932" s="843"/>
      <c r="F932" s="203" t="e">
        <f>VLOOKUP(A932,'Compos DER'!J:K,2,FALSE)</f>
        <v>#N/A</v>
      </c>
      <c r="G932" s="198" t="e">
        <f t="shared" si="15"/>
        <v>#N/A</v>
      </c>
    </row>
    <row r="933" spans="1:7" ht="25.5" x14ac:dyDescent="0.2">
      <c r="A933" s="806">
        <v>41022</v>
      </c>
      <c r="B933" s="842" t="s">
        <v>2203</v>
      </c>
      <c r="C933" s="840" t="s">
        <v>1948</v>
      </c>
      <c r="D933" s="807">
        <v>136.84</v>
      </c>
      <c r="E933" s="843"/>
      <c r="F933" s="203" t="e">
        <f>VLOOKUP(A933,'Compos DER'!J:K,2,FALSE)</f>
        <v>#N/A</v>
      </c>
      <c r="G933" s="198" t="e">
        <f t="shared" si="15"/>
        <v>#N/A</v>
      </c>
    </row>
    <row r="934" spans="1:7" x14ac:dyDescent="0.2">
      <c r="A934" s="844"/>
      <c r="B934" s="844"/>
      <c r="C934" s="845"/>
      <c r="D934" s="846"/>
      <c r="E934" s="845" t="e">
        <v>#N/A</v>
      </c>
      <c r="F934" s="203" t="e">
        <f>VLOOKUP(A934,'Compos DER'!J:K,2,FALSE)</f>
        <v>#N/A</v>
      </c>
      <c r="G934" s="198" t="e">
        <f t="shared" si="15"/>
        <v>#N/A</v>
      </c>
    </row>
    <row r="935" spans="1:7" x14ac:dyDescent="0.2">
      <c r="A935" s="854" t="s">
        <v>799</v>
      </c>
      <c r="B935" s="844"/>
      <c r="C935" s="845"/>
      <c r="E935" s="845" t="e">
        <v>#N/A</v>
      </c>
      <c r="F935" s="203" t="e">
        <f>VLOOKUP(A935,'Compos DER'!J:K,2,FALSE)</f>
        <v>#N/A</v>
      </c>
      <c r="G935" s="198" t="e">
        <f t="shared" si="15"/>
        <v>#N/A</v>
      </c>
    </row>
    <row r="936" spans="1:7" x14ac:dyDescent="0.2">
      <c r="A936" s="806">
        <v>41403</v>
      </c>
      <c r="B936" s="842" t="s">
        <v>2204</v>
      </c>
      <c r="C936" s="840" t="s">
        <v>1948</v>
      </c>
      <c r="D936" s="807">
        <v>1059.28</v>
      </c>
      <c r="E936" s="843"/>
      <c r="F936" s="203" t="e">
        <f>VLOOKUP(A936,'Compos DER'!J:K,2,FALSE)</f>
        <v>#N/A</v>
      </c>
      <c r="G936" s="198" t="e">
        <f t="shared" si="15"/>
        <v>#N/A</v>
      </c>
    </row>
    <row r="937" spans="1:7" x14ac:dyDescent="0.2">
      <c r="A937" s="806">
        <v>40398</v>
      </c>
      <c r="B937" s="839" t="s">
        <v>800</v>
      </c>
      <c r="C937" s="840" t="s">
        <v>1905</v>
      </c>
      <c r="D937" s="807">
        <v>191.7</v>
      </c>
      <c r="E937" s="841"/>
      <c r="F937" s="203" t="e">
        <f>VLOOKUP(A937,'Compos DER'!J:K,2,FALSE)</f>
        <v>#N/A</v>
      </c>
      <c r="G937" s="198" t="e">
        <f t="shared" si="15"/>
        <v>#N/A</v>
      </c>
    </row>
    <row r="938" spans="1:7" x14ac:dyDescent="0.2">
      <c r="A938" s="806">
        <v>41036</v>
      </c>
      <c r="B938" s="839" t="s">
        <v>801</v>
      </c>
      <c r="C938" s="840" t="s">
        <v>1719</v>
      </c>
      <c r="D938" s="807">
        <v>89.92</v>
      </c>
      <c r="E938" s="841"/>
      <c r="F938" s="203" t="e">
        <f>VLOOKUP(A938,'Compos DER'!J:K,2,FALSE)</f>
        <v>#N/A</v>
      </c>
      <c r="G938" s="198" t="e">
        <f t="shared" si="15"/>
        <v>#N/A</v>
      </c>
    </row>
    <row r="939" spans="1:7" x14ac:dyDescent="0.2">
      <c r="A939" s="806">
        <v>41423</v>
      </c>
      <c r="B939" s="842" t="s">
        <v>2205</v>
      </c>
      <c r="C939" s="840" t="s">
        <v>1905</v>
      </c>
      <c r="D939" s="808">
        <v>2962.76</v>
      </c>
      <c r="E939" s="843"/>
      <c r="F939" s="203" t="e">
        <f>VLOOKUP(A939,'Compos DER'!J:K,2,FALSE)</f>
        <v>#N/A</v>
      </c>
      <c r="G939" s="198" t="e">
        <f t="shared" si="15"/>
        <v>#N/A</v>
      </c>
    </row>
    <row r="940" spans="1:7" x14ac:dyDescent="0.2">
      <c r="A940" s="806">
        <v>41424</v>
      </c>
      <c r="B940" s="842" t="s">
        <v>2206</v>
      </c>
      <c r="C940" s="840" t="s">
        <v>1905</v>
      </c>
      <c r="D940" s="808">
        <v>2916.32</v>
      </c>
      <c r="E940" s="843"/>
      <c r="F940" s="203" t="e">
        <f>VLOOKUP(A940,'Compos DER'!J:K,2,FALSE)</f>
        <v>#N/A</v>
      </c>
      <c r="G940" s="198" t="e">
        <f t="shared" si="15"/>
        <v>#N/A</v>
      </c>
    </row>
    <row r="941" spans="1:7" x14ac:dyDescent="0.2">
      <c r="A941" s="806">
        <v>41425</v>
      </c>
      <c r="B941" s="842" t="s">
        <v>2207</v>
      </c>
      <c r="C941" s="840" t="s">
        <v>1905</v>
      </c>
      <c r="D941" s="808">
        <v>3184.64</v>
      </c>
      <c r="E941" s="843"/>
      <c r="F941" s="203" t="e">
        <f>VLOOKUP(A941,'Compos DER'!J:K,2,FALSE)</f>
        <v>#N/A</v>
      </c>
      <c r="G941" s="198" t="e">
        <f t="shared" si="15"/>
        <v>#N/A</v>
      </c>
    </row>
    <row r="942" spans="1:7" x14ac:dyDescent="0.2">
      <c r="A942" s="806">
        <v>41426</v>
      </c>
      <c r="B942" s="842" t="s">
        <v>2208</v>
      </c>
      <c r="C942" s="840" t="s">
        <v>1905</v>
      </c>
      <c r="D942" s="808">
        <v>3323.89</v>
      </c>
      <c r="E942" s="843"/>
      <c r="F942" s="203" t="e">
        <f>VLOOKUP(A942,'Compos DER'!J:K,2,FALSE)</f>
        <v>#N/A</v>
      </c>
      <c r="G942" s="198" t="e">
        <f t="shared" si="15"/>
        <v>#N/A</v>
      </c>
    </row>
    <row r="943" spans="1:7" x14ac:dyDescent="0.2">
      <c r="A943" s="806">
        <v>41428</v>
      </c>
      <c r="B943" s="842" t="s">
        <v>2209</v>
      </c>
      <c r="C943" s="840" t="s">
        <v>1905</v>
      </c>
      <c r="D943" s="808">
        <v>3422.09</v>
      </c>
      <c r="E943" s="843"/>
      <c r="F943" s="203" t="e">
        <f>VLOOKUP(A943,'Compos DER'!J:K,2,FALSE)</f>
        <v>#N/A</v>
      </c>
      <c r="G943" s="198" t="e">
        <f t="shared" si="15"/>
        <v>#N/A</v>
      </c>
    </row>
    <row r="944" spans="1:7" x14ac:dyDescent="0.2">
      <c r="A944" s="806">
        <v>41418</v>
      </c>
      <c r="B944" s="842" t="s">
        <v>2210</v>
      </c>
      <c r="C944" s="840" t="s">
        <v>1905</v>
      </c>
      <c r="D944" s="808">
        <v>2325.77</v>
      </c>
      <c r="E944" s="843"/>
      <c r="F944" s="203" t="e">
        <f>VLOOKUP(A944,'Compos DER'!J:K,2,FALSE)</f>
        <v>#N/A</v>
      </c>
      <c r="G944" s="198" t="e">
        <f t="shared" si="15"/>
        <v>#N/A</v>
      </c>
    </row>
    <row r="945" spans="1:7" x14ac:dyDescent="0.2">
      <c r="A945" s="806">
        <v>41419</v>
      </c>
      <c r="B945" s="842" t="s">
        <v>2211</v>
      </c>
      <c r="C945" s="840" t="s">
        <v>1905</v>
      </c>
      <c r="D945" s="808">
        <v>2419.5</v>
      </c>
      <c r="E945" s="843"/>
      <c r="F945" s="203" t="e">
        <f>VLOOKUP(A945,'Compos DER'!J:K,2,FALSE)</f>
        <v>#N/A</v>
      </c>
      <c r="G945" s="198" t="e">
        <f t="shared" si="15"/>
        <v>#N/A</v>
      </c>
    </row>
    <row r="946" spans="1:7" x14ac:dyDescent="0.2">
      <c r="A946" s="806">
        <v>41420</v>
      </c>
      <c r="B946" s="842" t="s">
        <v>2212</v>
      </c>
      <c r="C946" s="840" t="s">
        <v>1905</v>
      </c>
      <c r="D946" s="808">
        <v>2665.57</v>
      </c>
      <c r="E946" s="843"/>
      <c r="F946" s="203" t="e">
        <f>VLOOKUP(A946,'Compos DER'!J:K,2,FALSE)</f>
        <v>#N/A</v>
      </c>
      <c r="G946" s="198" t="e">
        <f t="shared" si="15"/>
        <v>#N/A</v>
      </c>
    </row>
    <row r="947" spans="1:7" x14ac:dyDescent="0.2">
      <c r="A947" s="806">
        <v>41421</v>
      </c>
      <c r="B947" s="842" t="s">
        <v>2213</v>
      </c>
      <c r="C947" s="840" t="s">
        <v>1905</v>
      </c>
      <c r="D947" s="808">
        <v>2849.5</v>
      </c>
      <c r="E947" s="843"/>
      <c r="F947" s="203" t="e">
        <f>VLOOKUP(A947,'Compos DER'!J:K,2,FALSE)</f>
        <v>#N/A</v>
      </c>
      <c r="G947" s="198" t="e">
        <f t="shared" si="15"/>
        <v>#N/A</v>
      </c>
    </row>
    <row r="948" spans="1:7" x14ac:dyDescent="0.2">
      <c r="A948" s="806">
        <v>41422</v>
      </c>
      <c r="B948" s="842" t="s">
        <v>2214</v>
      </c>
      <c r="C948" s="840" t="s">
        <v>1905</v>
      </c>
      <c r="D948" s="808">
        <v>2942.36</v>
      </c>
      <c r="E948" s="843"/>
      <c r="F948" s="203" t="e">
        <f>VLOOKUP(A948,'Compos DER'!J:K,2,FALSE)</f>
        <v>#N/A</v>
      </c>
      <c r="G948" s="198" t="e">
        <f t="shared" si="15"/>
        <v>#N/A</v>
      </c>
    </row>
    <row r="949" spans="1:7" x14ac:dyDescent="0.2">
      <c r="A949" s="806">
        <v>41427</v>
      </c>
      <c r="B949" s="842" t="s">
        <v>2215</v>
      </c>
      <c r="C949" s="840" t="s">
        <v>1905</v>
      </c>
      <c r="D949" s="808">
        <v>3409.32</v>
      </c>
      <c r="E949" s="843"/>
      <c r="F949" s="203" t="e">
        <f>VLOOKUP(A949,'Compos DER'!J:K,2,FALSE)</f>
        <v>#N/A</v>
      </c>
      <c r="G949" s="198" t="e">
        <f t="shared" si="15"/>
        <v>#N/A</v>
      </c>
    </row>
    <row r="950" spans="1:7" x14ac:dyDescent="0.2">
      <c r="A950" s="844"/>
      <c r="B950" s="844"/>
      <c r="C950" s="845"/>
      <c r="D950" s="846"/>
      <c r="E950" s="845" t="e">
        <v>#N/A</v>
      </c>
      <c r="F950" s="203" t="e">
        <f>VLOOKUP(A950,'Compos DER'!J:K,2,FALSE)</f>
        <v>#N/A</v>
      </c>
      <c r="G950" s="198" t="e">
        <f t="shared" si="15"/>
        <v>#N/A</v>
      </c>
    </row>
    <row r="951" spans="1:7" x14ac:dyDescent="0.2">
      <c r="A951" s="847" t="s">
        <v>802</v>
      </c>
      <c r="B951" s="848"/>
      <c r="C951" s="849"/>
      <c r="E951" s="845" t="e">
        <v>#N/A</v>
      </c>
      <c r="F951" s="203" t="e">
        <f>VLOOKUP(A951,'Compos DER'!J:K,2,FALSE)</f>
        <v>#N/A</v>
      </c>
      <c r="G951" s="198" t="e">
        <f t="shared" si="15"/>
        <v>#N/A</v>
      </c>
    </row>
    <row r="952" spans="1:7" x14ac:dyDescent="0.2">
      <c r="A952" s="806">
        <v>40381</v>
      </c>
      <c r="B952" s="842" t="s">
        <v>2216</v>
      </c>
      <c r="C952" s="840" t="s">
        <v>1905</v>
      </c>
      <c r="D952" s="807">
        <v>22.41</v>
      </c>
      <c r="E952" s="843"/>
      <c r="F952" s="203" t="e">
        <f>VLOOKUP(A952,'Compos DER'!J:K,2,FALSE)</f>
        <v>#N/A</v>
      </c>
      <c r="G952" s="198" t="e">
        <f t="shared" si="15"/>
        <v>#N/A</v>
      </c>
    </row>
    <row r="953" spans="1:7" x14ac:dyDescent="0.2">
      <c r="A953" s="806">
        <v>41260</v>
      </c>
      <c r="B953" s="839" t="s">
        <v>803</v>
      </c>
      <c r="C953" s="840" t="s">
        <v>1910</v>
      </c>
      <c r="D953" s="807">
        <v>832.63</v>
      </c>
      <c r="E953" s="839" t="s">
        <v>1209</v>
      </c>
      <c r="F953" s="203" t="e">
        <f>VLOOKUP(A953,'Compos DER'!J:K,2,FALSE)</f>
        <v>#N/A</v>
      </c>
      <c r="G953" s="198" t="e">
        <f t="shared" si="15"/>
        <v>#N/A</v>
      </c>
    </row>
    <row r="954" spans="1:7" x14ac:dyDescent="0.2">
      <c r="A954" s="806">
        <v>41045</v>
      </c>
      <c r="B954" s="839" t="s">
        <v>804</v>
      </c>
      <c r="C954" s="840" t="s">
        <v>1910</v>
      </c>
      <c r="D954" s="807">
        <v>800.35</v>
      </c>
      <c r="E954" s="839" t="s">
        <v>1209</v>
      </c>
      <c r="F954" s="203" t="e">
        <f>VLOOKUP(A954,'Compos DER'!J:K,2,FALSE)</f>
        <v>#N/A</v>
      </c>
      <c r="G954" s="198" t="e">
        <f t="shared" si="15"/>
        <v>#N/A</v>
      </c>
    </row>
    <row r="955" spans="1:7" x14ac:dyDescent="0.2">
      <c r="A955" s="806">
        <v>40387</v>
      </c>
      <c r="B955" s="842" t="s">
        <v>2217</v>
      </c>
      <c r="C955" s="840" t="s">
        <v>2218</v>
      </c>
      <c r="D955" s="807">
        <v>108.12</v>
      </c>
      <c r="E955" s="839" t="s">
        <v>1209</v>
      </c>
      <c r="F955" s="203">
        <f>VLOOKUP(A955,'Compos DER'!J:K,2,FALSE)</f>
        <v>108.25</v>
      </c>
      <c r="G955" s="198">
        <f t="shared" si="15"/>
        <v>1.0012023677395501</v>
      </c>
    </row>
    <row r="956" spans="1:7" x14ac:dyDescent="0.2">
      <c r="A956" s="806">
        <v>40339</v>
      </c>
      <c r="B956" s="842" t="s">
        <v>2219</v>
      </c>
      <c r="C956" s="840" t="s">
        <v>1948</v>
      </c>
      <c r="D956" s="807">
        <v>75.73</v>
      </c>
      <c r="E956" s="843"/>
      <c r="F956" s="203" t="e">
        <f>VLOOKUP(A956,'Compos DER'!J:K,2,FALSE)</f>
        <v>#N/A</v>
      </c>
      <c r="G956" s="198" t="e">
        <f t="shared" si="15"/>
        <v>#N/A</v>
      </c>
    </row>
    <row r="957" spans="1:7" x14ac:dyDescent="0.2">
      <c r="A957" s="806">
        <v>40379</v>
      </c>
      <c r="B957" s="839" t="s">
        <v>805</v>
      </c>
      <c r="C957" s="840" t="s">
        <v>58</v>
      </c>
      <c r="D957" s="807">
        <v>11.78</v>
      </c>
      <c r="E957" s="839" t="s">
        <v>1209</v>
      </c>
      <c r="F957" s="203" t="e">
        <f>VLOOKUP(A957,'Compos DER'!J:K,2,FALSE)</f>
        <v>#N/A</v>
      </c>
      <c r="G957" s="198" t="e">
        <f t="shared" si="15"/>
        <v>#N/A</v>
      </c>
    </row>
    <row r="958" spans="1:7" x14ac:dyDescent="0.2">
      <c r="A958" s="806">
        <v>42875</v>
      </c>
      <c r="B958" s="842" t="s">
        <v>2220</v>
      </c>
      <c r="C958" s="840" t="s">
        <v>1948</v>
      </c>
      <c r="D958" s="807">
        <v>41.57</v>
      </c>
      <c r="E958" s="843"/>
      <c r="F958" s="203" t="e">
        <f>VLOOKUP(A958,'Compos DER'!J:K,2,FALSE)</f>
        <v>#N/A</v>
      </c>
      <c r="G958" s="198" t="e">
        <f t="shared" si="15"/>
        <v>#N/A</v>
      </c>
    </row>
    <row r="959" spans="1:7" x14ac:dyDescent="0.2">
      <c r="A959" s="806">
        <v>40991</v>
      </c>
      <c r="B959" s="842" t="s">
        <v>2221</v>
      </c>
      <c r="C959" s="840" t="s">
        <v>58</v>
      </c>
      <c r="D959" s="807">
        <v>56.55</v>
      </c>
      <c r="E959" s="843"/>
      <c r="F959" s="203" t="e">
        <f>VLOOKUP(A959,'Compos DER'!J:K,2,FALSE)</f>
        <v>#N/A</v>
      </c>
      <c r="G959" s="198" t="e">
        <f t="shared" si="15"/>
        <v>#N/A</v>
      </c>
    </row>
    <row r="960" spans="1:7" x14ac:dyDescent="0.2">
      <c r="A960" s="806">
        <v>40382</v>
      </c>
      <c r="B960" s="839" t="s">
        <v>806</v>
      </c>
      <c r="C960" s="840" t="s">
        <v>1906</v>
      </c>
      <c r="D960" s="807">
        <v>659.54</v>
      </c>
      <c r="E960" s="841"/>
      <c r="F960" s="203" t="e">
        <f>VLOOKUP(A960,'Compos DER'!J:K,2,FALSE)</f>
        <v>#N/A</v>
      </c>
      <c r="G960" s="198" t="e">
        <f t="shared" ref="G960:G1022" si="16">+F960/D960</f>
        <v>#N/A</v>
      </c>
    </row>
    <row r="961" spans="1:7" x14ac:dyDescent="0.2">
      <c r="A961" s="806">
        <v>42660</v>
      </c>
      <c r="B961" s="839" t="s">
        <v>807</v>
      </c>
      <c r="C961" s="840" t="s">
        <v>1906</v>
      </c>
      <c r="D961" s="807">
        <v>838.23</v>
      </c>
      <c r="E961" s="841"/>
      <c r="F961" s="203" t="e">
        <f>VLOOKUP(A961,'Compos DER'!J:K,2,FALSE)</f>
        <v>#N/A</v>
      </c>
      <c r="G961" s="198" t="e">
        <f t="shared" si="16"/>
        <v>#N/A</v>
      </c>
    </row>
    <row r="962" spans="1:7" x14ac:dyDescent="0.2">
      <c r="A962" s="806">
        <v>40401</v>
      </c>
      <c r="B962" s="842" t="s">
        <v>2222</v>
      </c>
      <c r="C962" s="840" t="s">
        <v>1910</v>
      </c>
      <c r="D962" s="808">
        <v>2064.04</v>
      </c>
      <c r="E962" s="839" t="s">
        <v>1209</v>
      </c>
      <c r="F962" s="203" t="e">
        <f>VLOOKUP(A962,'Compos DER'!J:K,2,FALSE)</f>
        <v>#N/A</v>
      </c>
      <c r="G962" s="198" t="e">
        <f t="shared" si="16"/>
        <v>#N/A</v>
      </c>
    </row>
    <row r="963" spans="1:7" x14ac:dyDescent="0.2">
      <c r="A963" s="806">
        <v>41200</v>
      </c>
      <c r="B963" s="839" t="s">
        <v>1720</v>
      </c>
      <c r="C963" s="840" t="s">
        <v>1910</v>
      </c>
      <c r="D963" s="807">
        <v>26.43</v>
      </c>
      <c r="E963" s="841"/>
      <c r="F963" s="203" t="e">
        <f>VLOOKUP(A963,'Compos DER'!J:K,2,FALSE)</f>
        <v>#N/A</v>
      </c>
      <c r="G963" s="198" t="e">
        <f t="shared" si="16"/>
        <v>#N/A</v>
      </c>
    </row>
    <row r="964" spans="1:7" x14ac:dyDescent="0.2">
      <c r="A964" s="806">
        <v>42876</v>
      </c>
      <c r="B964" s="839" t="s">
        <v>808</v>
      </c>
      <c r="C964" s="840" t="s">
        <v>1905</v>
      </c>
      <c r="D964" s="807">
        <v>153.22999999999999</v>
      </c>
      <c r="E964" s="841"/>
      <c r="F964" s="203" t="e">
        <f>VLOOKUP(A964,'Compos DER'!J:K,2,FALSE)</f>
        <v>#N/A</v>
      </c>
      <c r="G964" s="198" t="e">
        <f t="shared" si="16"/>
        <v>#N/A</v>
      </c>
    </row>
    <row r="965" spans="1:7" x14ac:dyDescent="0.2">
      <c r="A965" s="806">
        <v>42239</v>
      </c>
      <c r="B965" s="842" t="s">
        <v>2223</v>
      </c>
      <c r="C965" s="840" t="s">
        <v>1906</v>
      </c>
      <c r="D965" s="807">
        <v>138.35</v>
      </c>
      <c r="E965" s="839" t="s">
        <v>1209</v>
      </c>
      <c r="F965" s="203" t="e">
        <f>VLOOKUP(A965,'Compos DER'!J:K,2,FALSE)</f>
        <v>#N/A</v>
      </c>
      <c r="G965" s="198" t="e">
        <f t="shared" si="16"/>
        <v>#N/A</v>
      </c>
    </row>
    <row r="966" spans="1:7" x14ac:dyDescent="0.2">
      <c r="A966" s="806">
        <v>40329</v>
      </c>
      <c r="B966" s="842" t="s">
        <v>2224</v>
      </c>
      <c r="C966" s="840" t="s">
        <v>1906</v>
      </c>
      <c r="D966" s="807">
        <v>152.11000000000001</v>
      </c>
      <c r="E966" s="839" t="s">
        <v>1209</v>
      </c>
      <c r="F966" s="203" t="e">
        <f>VLOOKUP(A966,'Compos DER'!J:K,2,FALSE)</f>
        <v>#N/A</v>
      </c>
      <c r="G966" s="198" t="e">
        <f t="shared" si="16"/>
        <v>#N/A</v>
      </c>
    </row>
    <row r="967" spans="1:7" x14ac:dyDescent="0.2">
      <c r="A967" s="806">
        <v>41195</v>
      </c>
      <c r="B967" s="839" t="s">
        <v>809</v>
      </c>
      <c r="C967" s="840" t="s">
        <v>58</v>
      </c>
      <c r="D967" s="807">
        <v>10.09</v>
      </c>
      <c r="E967" s="841"/>
      <c r="F967" s="203" t="e">
        <f>VLOOKUP(A967,'Compos DER'!J:K,2,FALSE)</f>
        <v>#N/A</v>
      </c>
      <c r="G967" s="198" t="e">
        <f t="shared" si="16"/>
        <v>#N/A</v>
      </c>
    </row>
    <row r="968" spans="1:7" x14ac:dyDescent="0.2">
      <c r="A968" s="806">
        <v>40315</v>
      </c>
      <c r="B968" s="839" t="s">
        <v>810</v>
      </c>
      <c r="C968" s="840" t="s">
        <v>1905</v>
      </c>
      <c r="D968" s="807">
        <v>274.67</v>
      </c>
      <c r="E968" s="839" t="s">
        <v>1209</v>
      </c>
      <c r="F968" s="203" t="e">
        <f>VLOOKUP(A968,'Compos DER'!J:K,2,FALSE)</f>
        <v>#N/A</v>
      </c>
      <c r="G968" s="198" t="e">
        <f t="shared" si="16"/>
        <v>#N/A</v>
      </c>
    </row>
    <row r="969" spans="1:7" x14ac:dyDescent="0.2">
      <c r="A969" s="806">
        <v>40314</v>
      </c>
      <c r="B969" s="842" t="s">
        <v>2225</v>
      </c>
      <c r="C969" s="840" t="s">
        <v>1905</v>
      </c>
      <c r="D969" s="807">
        <v>122.35</v>
      </c>
      <c r="E969" s="839" t="s">
        <v>1209</v>
      </c>
      <c r="F969" s="203" t="e">
        <f>VLOOKUP(A969,'Compos DER'!J:K,2,FALSE)</f>
        <v>#N/A</v>
      </c>
      <c r="G969" s="198" t="e">
        <f t="shared" si="16"/>
        <v>#N/A</v>
      </c>
    </row>
    <row r="970" spans="1:7" ht="25.5" x14ac:dyDescent="0.2">
      <c r="A970" s="806">
        <v>40321</v>
      </c>
      <c r="B970" s="842" t="s">
        <v>2226</v>
      </c>
      <c r="C970" s="840" t="s">
        <v>1905</v>
      </c>
      <c r="D970" s="807">
        <v>88.35</v>
      </c>
      <c r="E970" s="839" t="s">
        <v>1209</v>
      </c>
      <c r="F970" s="203" t="e">
        <f>VLOOKUP(A970,'Compos DER'!J:K,2,FALSE)</f>
        <v>#N/A</v>
      </c>
      <c r="G970" s="198" t="e">
        <f t="shared" si="16"/>
        <v>#N/A</v>
      </c>
    </row>
    <row r="971" spans="1:7" ht="25.5" x14ac:dyDescent="0.2">
      <c r="A971" s="806">
        <v>40323</v>
      </c>
      <c r="B971" s="842" t="s">
        <v>2227</v>
      </c>
      <c r="C971" s="840" t="s">
        <v>1905</v>
      </c>
      <c r="D971" s="807">
        <v>91.7</v>
      </c>
      <c r="E971" s="839" t="s">
        <v>1209</v>
      </c>
      <c r="F971" s="203" t="e">
        <f>VLOOKUP(A971,'Compos DER'!J:K,2,FALSE)</f>
        <v>#N/A</v>
      </c>
      <c r="G971" s="198" t="e">
        <f t="shared" si="16"/>
        <v>#N/A</v>
      </c>
    </row>
    <row r="972" spans="1:7" ht="25.5" x14ac:dyDescent="0.2">
      <c r="A972" s="806">
        <v>40324</v>
      </c>
      <c r="B972" s="842" t="s">
        <v>2228</v>
      </c>
      <c r="C972" s="840" t="s">
        <v>1905</v>
      </c>
      <c r="D972" s="807">
        <v>79.47</v>
      </c>
      <c r="E972" s="839" t="s">
        <v>1209</v>
      </c>
      <c r="F972" s="203" t="e">
        <f>VLOOKUP(A972,'Compos DER'!J:K,2,FALSE)</f>
        <v>#N/A</v>
      </c>
      <c r="G972" s="198" t="e">
        <f t="shared" si="16"/>
        <v>#N/A</v>
      </c>
    </row>
    <row r="973" spans="1:7" ht="25.5" x14ac:dyDescent="0.2">
      <c r="A973" s="806">
        <v>40325</v>
      </c>
      <c r="B973" s="842" t="s">
        <v>2229</v>
      </c>
      <c r="C973" s="840" t="s">
        <v>1905</v>
      </c>
      <c r="D973" s="807">
        <v>68.959999999999994</v>
      </c>
      <c r="E973" s="839" t="s">
        <v>1209</v>
      </c>
      <c r="F973" s="203" t="e">
        <f>VLOOKUP(A973,'Compos DER'!J:K,2,FALSE)</f>
        <v>#N/A</v>
      </c>
      <c r="G973" s="198" t="e">
        <f t="shared" si="16"/>
        <v>#N/A</v>
      </c>
    </row>
    <row r="974" spans="1:7" ht="25.5" x14ac:dyDescent="0.2">
      <c r="A974" s="806">
        <v>40319</v>
      </c>
      <c r="B974" s="842" t="s">
        <v>2230</v>
      </c>
      <c r="C974" s="840" t="s">
        <v>1905</v>
      </c>
      <c r="D974" s="807">
        <v>114.14</v>
      </c>
      <c r="E974" s="839" t="s">
        <v>1209</v>
      </c>
      <c r="F974" s="203" t="e">
        <f>VLOOKUP(A974,'Compos DER'!J:K,2,FALSE)</f>
        <v>#N/A</v>
      </c>
      <c r="G974" s="198" t="e">
        <f t="shared" si="16"/>
        <v>#N/A</v>
      </c>
    </row>
    <row r="975" spans="1:7" ht="25.5" x14ac:dyDescent="0.2">
      <c r="A975" s="806">
        <v>40320</v>
      </c>
      <c r="B975" s="842" t="s">
        <v>2231</v>
      </c>
      <c r="C975" s="840" t="s">
        <v>1905</v>
      </c>
      <c r="D975" s="807">
        <v>124.68</v>
      </c>
      <c r="E975" s="839" t="s">
        <v>1209</v>
      </c>
      <c r="F975" s="203" t="e">
        <f>VLOOKUP(A975,'Compos DER'!J:K,2,FALSE)</f>
        <v>#N/A</v>
      </c>
      <c r="G975" s="198" t="e">
        <f t="shared" si="16"/>
        <v>#N/A</v>
      </c>
    </row>
    <row r="976" spans="1:7" ht="25.5" x14ac:dyDescent="0.2">
      <c r="A976" s="806">
        <v>40322</v>
      </c>
      <c r="B976" s="842" t="s">
        <v>2232</v>
      </c>
      <c r="C976" s="840" t="s">
        <v>1905</v>
      </c>
      <c r="D976" s="807">
        <v>130.34</v>
      </c>
      <c r="E976" s="839" t="s">
        <v>1209</v>
      </c>
      <c r="F976" s="203" t="e">
        <f>VLOOKUP(A976,'Compos DER'!J:K,2,FALSE)</f>
        <v>#N/A</v>
      </c>
      <c r="G976" s="198" t="e">
        <f t="shared" si="16"/>
        <v>#N/A</v>
      </c>
    </row>
    <row r="977" spans="1:7" x14ac:dyDescent="0.2">
      <c r="A977" s="806">
        <v>40342</v>
      </c>
      <c r="B977" s="839" t="s">
        <v>811</v>
      </c>
      <c r="C977" s="840" t="s">
        <v>1910</v>
      </c>
      <c r="D977" s="807">
        <v>38.53</v>
      </c>
      <c r="E977" s="841"/>
      <c r="F977" s="203" t="e">
        <f>VLOOKUP(A977,'Compos DER'!J:K,2,FALSE)</f>
        <v>#N/A</v>
      </c>
      <c r="G977" s="198" t="e">
        <f t="shared" si="16"/>
        <v>#N/A</v>
      </c>
    </row>
    <row r="978" spans="1:7" x14ac:dyDescent="0.2">
      <c r="A978" s="806">
        <v>40338</v>
      </c>
      <c r="B978" s="839" t="s">
        <v>812</v>
      </c>
      <c r="C978" s="840" t="s">
        <v>1910</v>
      </c>
      <c r="D978" s="807">
        <v>29.91</v>
      </c>
      <c r="E978" s="841"/>
      <c r="F978" s="203" t="e">
        <f>VLOOKUP(A978,'Compos DER'!J:K,2,FALSE)</f>
        <v>#N/A</v>
      </c>
      <c r="G978" s="198" t="e">
        <f t="shared" si="16"/>
        <v>#N/A</v>
      </c>
    </row>
    <row r="979" spans="1:7" x14ac:dyDescent="0.2">
      <c r="A979" s="806">
        <v>40341</v>
      </c>
      <c r="B979" s="842" t="s">
        <v>2233</v>
      </c>
      <c r="C979" s="840" t="s">
        <v>1910</v>
      </c>
      <c r="D979" s="807">
        <v>8.01</v>
      </c>
      <c r="E979" s="843"/>
      <c r="F979" s="203" t="e">
        <f>VLOOKUP(A979,'Compos DER'!J:K,2,FALSE)</f>
        <v>#N/A</v>
      </c>
      <c r="G979" s="198" t="e">
        <f t="shared" si="16"/>
        <v>#N/A</v>
      </c>
    </row>
    <row r="980" spans="1:7" x14ac:dyDescent="0.2">
      <c r="A980" s="806">
        <v>40416</v>
      </c>
      <c r="B980" s="839" t="s">
        <v>813</v>
      </c>
      <c r="C980" s="840" t="s">
        <v>1948</v>
      </c>
      <c r="D980" s="807">
        <v>311.95999999999998</v>
      </c>
      <c r="E980" s="841"/>
      <c r="F980" s="203" t="e">
        <f>VLOOKUP(A980,'Compos DER'!J:K,2,FALSE)</f>
        <v>#N/A</v>
      </c>
      <c r="G980" s="198" t="e">
        <f t="shared" si="16"/>
        <v>#N/A</v>
      </c>
    </row>
    <row r="981" spans="1:7" x14ac:dyDescent="0.2">
      <c r="A981" s="806">
        <v>40389</v>
      </c>
      <c r="B981" s="839" t="s">
        <v>814</v>
      </c>
      <c r="C981" s="840" t="s">
        <v>1948</v>
      </c>
      <c r="D981" s="807">
        <v>71.13</v>
      </c>
      <c r="E981" s="841"/>
      <c r="F981" s="203">
        <f>VLOOKUP(A981,'Compos DER'!J:K,2,FALSE)</f>
        <v>71.14</v>
      </c>
      <c r="G981" s="198">
        <f t="shared" si="16"/>
        <v>1.0001405876564</v>
      </c>
    </row>
    <row r="982" spans="1:7" x14ac:dyDescent="0.2">
      <c r="A982" s="806">
        <v>40388</v>
      </c>
      <c r="B982" s="839" t="s">
        <v>815</v>
      </c>
      <c r="C982" s="840" t="s">
        <v>1948</v>
      </c>
      <c r="D982" s="807">
        <v>287.85000000000002</v>
      </c>
      <c r="E982" s="841"/>
      <c r="F982" s="203" t="e">
        <f>VLOOKUP(A982,'Compos DER'!J:K,2,FALSE)</f>
        <v>#N/A</v>
      </c>
      <c r="G982" s="198" t="e">
        <f t="shared" si="16"/>
        <v>#N/A</v>
      </c>
    </row>
    <row r="983" spans="1:7" x14ac:dyDescent="0.2">
      <c r="A983" s="806">
        <v>40402</v>
      </c>
      <c r="B983" s="839" t="s">
        <v>816</v>
      </c>
      <c r="C983" s="840" t="s">
        <v>1905</v>
      </c>
      <c r="D983" s="807">
        <v>11.46</v>
      </c>
      <c r="E983" s="841"/>
      <c r="F983" s="203" t="e">
        <f>VLOOKUP(A983,'Compos DER'!J:K,2,FALSE)</f>
        <v>#N/A</v>
      </c>
      <c r="G983" s="198" t="e">
        <f t="shared" si="16"/>
        <v>#N/A</v>
      </c>
    </row>
    <row r="984" spans="1:7" x14ac:dyDescent="0.2">
      <c r="A984" s="806">
        <v>41033</v>
      </c>
      <c r="B984" s="839" t="s">
        <v>817</v>
      </c>
      <c r="C984" s="840" t="s">
        <v>1167</v>
      </c>
      <c r="D984" s="807">
        <v>40.58</v>
      </c>
      <c r="E984" s="841"/>
      <c r="F984" s="203" t="e">
        <f>VLOOKUP(A984,'Compos DER'!J:K,2,FALSE)</f>
        <v>#N/A</v>
      </c>
      <c r="G984" s="198" t="e">
        <f t="shared" si="16"/>
        <v>#N/A</v>
      </c>
    </row>
    <row r="985" spans="1:7" x14ac:dyDescent="0.2">
      <c r="A985" s="806">
        <v>41233</v>
      </c>
      <c r="B985" s="839" t="s">
        <v>818</v>
      </c>
      <c r="C985" s="840" t="s">
        <v>58</v>
      </c>
      <c r="D985" s="807">
        <v>740.4</v>
      </c>
      <c r="E985" s="841"/>
      <c r="F985" s="203" t="e">
        <f>VLOOKUP(A985,'Compos DER'!J:K,2,FALSE)</f>
        <v>#N/A</v>
      </c>
      <c r="G985" s="198" t="e">
        <f t="shared" si="16"/>
        <v>#N/A</v>
      </c>
    </row>
    <row r="986" spans="1:7" x14ac:dyDescent="0.2">
      <c r="A986" s="806">
        <v>40386</v>
      </c>
      <c r="B986" s="839" t="s">
        <v>819</v>
      </c>
      <c r="C986" s="840" t="s">
        <v>1948</v>
      </c>
      <c r="D986" s="807">
        <v>161.25</v>
      </c>
      <c r="E986" s="841" t="s">
        <v>1209</v>
      </c>
      <c r="F986" s="203" t="e">
        <f>VLOOKUP(A986,'Compos DER'!J:K,2,FALSE)</f>
        <v>#N/A</v>
      </c>
      <c r="G986" s="198" t="e">
        <f t="shared" si="16"/>
        <v>#N/A</v>
      </c>
    </row>
    <row r="987" spans="1:7" ht="25.5" x14ac:dyDescent="0.2">
      <c r="A987" s="806">
        <v>41199</v>
      </c>
      <c r="B987" s="839" t="s">
        <v>2234</v>
      </c>
      <c r="C987" s="840" t="s">
        <v>1948</v>
      </c>
      <c r="D987" s="807">
        <v>57.12</v>
      </c>
      <c r="E987" s="839"/>
      <c r="F987" s="203" t="e">
        <f>VLOOKUP(A987,'Compos DER'!J:K,2,FALSE)</f>
        <v>#N/A</v>
      </c>
      <c r="G987" s="198" t="e">
        <f t="shared" si="16"/>
        <v>#N/A</v>
      </c>
    </row>
    <row r="988" spans="1:7" ht="25.5" x14ac:dyDescent="0.2">
      <c r="A988" s="806">
        <v>42529</v>
      </c>
      <c r="B988" s="842" t="s">
        <v>2235</v>
      </c>
      <c r="C988" s="840" t="s">
        <v>1948</v>
      </c>
      <c r="D988" s="807">
        <v>948.17</v>
      </c>
      <c r="E988" s="843"/>
      <c r="F988" s="203" t="e">
        <f>VLOOKUP(A988,'Compos DER'!J:K,2,FALSE)</f>
        <v>#N/A</v>
      </c>
      <c r="G988" s="198" t="e">
        <f t="shared" si="16"/>
        <v>#N/A</v>
      </c>
    </row>
    <row r="989" spans="1:7" ht="25.5" x14ac:dyDescent="0.2">
      <c r="A989" s="806">
        <v>40384</v>
      </c>
      <c r="B989" s="842" t="s">
        <v>2236</v>
      </c>
      <c r="C989" s="840" t="s">
        <v>1948</v>
      </c>
      <c r="D989" s="807">
        <v>1355.43</v>
      </c>
      <c r="E989" s="843"/>
      <c r="F989" s="203" t="e">
        <f>VLOOKUP(A989,'Compos DER'!J:K,2,FALSE)</f>
        <v>#N/A</v>
      </c>
      <c r="G989" s="198" t="e">
        <f t="shared" si="16"/>
        <v>#N/A</v>
      </c>
    </row>
    <row r="990" spans="1:7" ht="25.5" x14ac:dyDescent="0.2">
      <c r="A990" s="806">
        <v>40385</v>
      </c>
      <c r="B990" s="842" t="s">
        <v>2237</v>
      </c>
      <c r="C990" s="840" t="s">
        <v>1948</v>
      </c>
      <c r="D990" s="808">
        <v>1397.93</v>
      </c>
      <c r="E990" s="843"/>
      <c r="F990" s="203" t="e">
        <f>VLOOKUP(A990,'Compos DER'!J:K,2,FALSE)</f>
        <v>#N/A</v>
      </c>
      <c r="G990" s="198" t="e">
        <f t="shared" si="16"/>
        <v>#N/A</v>
      </c>
    </row>
    <row r="991" spans="1:7" x14ac:dyDescent="0.2">
      <c r="A991" s="806">
        <v>40393</v>
      </c>
      <c r="B991" s="842" t="s">
        <v>820</v>
      </c>
      <c r="C991" s="840" t="s">
        <v>1948</v>
      </c>
      <c r="D991" s="808">
        <v>21.69</v>
      </c>
      <c r="E991" s="843"/>
      <c r="F991" s="203" t="e">
        <f>VLOOKUP(A991,'Compos DER'!J:K,2,FALSE)</f>
        <v>#N/A</v>
      </c>
      <c r="G991" s="198" t="e">
        <f t="shared" si="16"/>
        <v>#N/A</v>
      </c>
    </row>
    <row r="992" spans="1:7" x14ac:dyDescent="0.2">
      <c r="A992" s="806">
        <v>40394</v>
      </c>
      <c r="B992" s="839" t="s">
        <v>821</v>
      </c>
      <c r="C992" s="840" t="s">
        <v>1948</v>
      </c>
      <c r="D992" s="807">
        <v>25.23</v>
      </c>
      <c r="E992" s="841"/>
      <c r="F992" s="203" t="e">
        <f>VLOOKUP(A992,'Compos DER'!J:K,2,FALSE)</f>
        <v>#N/A</v>
      </c>
      <c r="G992" s="198" t="e">
        <f t="shared" si="16"/>
        <v>#N/A</v>
      </c>
    </row>
    <row r="993" spans="1:7" x14ac:dyDescent="0.2">
      <c r="A993" s="806">
        <v>40390</v>
      </c>
      <c r="B993" s="839" t="s">
        <v>822</v>
      </c>
      <c r="C993" s="840" t="s">
        <v>1905</v>
      </c>
      <c r="D993" s="807">
        <v>4.1500000000000004</v>
      </c>
      <c r="E993" s="841"/>
      <c r="F993" s="203" t="e">
        <f>VLOOKUP(A993,'Compos DER'!J:K,2,FALSE)</f>
        <v>#N/A</v>
      </c>
      <c r="G993" s="198" t="e">
        <f t="shared" si="16"/>
        <v>#N/A</v>
      </c>
    </row>
    <row r="994" spans="1:7" ht="25.5" x14ac:dyDescent="0.2">
      <c r="A994" s="806">
        <v>42256</v>
      </c>
      <c r="B994" s="839" t="s">
        <v>2238</v>
      </c>
      <c r="C994" s="840" t="s">
        <v>1905</v>
      </c>
      <c r="D994" s="807">
        <v>4095.14</v>
      </c>
      <c r="E994" s="841" t="s">
        <v>1209</v>
      </c>
      <c r="F994" s="203" t="e">
        <f>VLOOKUP(A994,'Compos DER'!J:K,2,FALSE)</f>
        <v>#N/A</v>
      </c>
      <c r="G994" s="198" t="e">
        <f t="shared" si="16"/>
        <v>#N/A</v>
      </c>
    </row>
    <row r="995" spans="1:7" x14ac:dyDescent="0.2">
      <c r="A995" s="806">
        <v>40400</v>
      </c>
      <c r="B995" s="842" t="s">
        <v>2239</v>
      </c>
      <c r="C995" s="840" t="s">
        <v>58</v>
      </c>
      <c r="D995" s="808">
        <v>17.16</v>
      </c>
      <c r="E995" s="839" t="s">
        <v>1209</v>
      </c>
      <c r="F995" s="203" t="e">
        <f>VLOOKUP(A995,'Compos DER'!J:K,2,FALSE)</f>
        <v>#N/A</v>
      </c>
      <c r="G995" s="198" t="e">
        <f t="shared" si="16"/>
        <v>#N/A</v>
      </c>
    </row>
    <row r="996" spans="1:7" x14ac:dyDescent="0.2">
      <c r="A996" s="806">
        <v>41201</v>
      </c>
      <c r="B996" s="842" t="s">
        <v>1721</v>
      </c>
      <c r="C996" s="840" t="s">
        <v>1905</v>
      </c>
      <c r="D996" s="807">
        <v>434.72</v>
      </c>
      <c r="E996" s="839"/>
      <c r="F996" s="203" t="e">
        <f>VLOOKUP(A996,'Compos DER'!J:K,2,FALSE)</f>
        <v>#N/A</v>
      </c>
      <c r="G996" s="198" t="e">
        <f t="shared" si="16"/>
        <v>#N/A</v>
      </c>
    </row>
    <row r="997" spans="1:7" x14ac:dyDescent="0.2">
      <c r="A997" s="806">
        <v>41035</v>
      </c>
      <c r="B997" s="839" t="s">
        <v>823</v>
      </c>
      <c r="C997" s="840" t="s">
        <v>1948</v>
      </c>
      <c r="D997" s="807">
        <v>103.14</v>
      </c>
      <c r="E997" s="841"/>
      <c r="F997" s="203" t="e">
        <f>VLOOKUP(A997,'Compos DER'!J:K,2,FALSE)</f>
        <v>#N/A</v>
      </c>
      <c r="G997" s="198" t="e">
        <f t="shared" si="16"/>
        <v>#N/A</v>
      </c>
    </row>
    <row r="998" spans="1:7" ht="25.5" x14ac:dyDescent="0.2">
      <c r="A998" s="806">
        <v>41263</v>
      </c>
      <c r="B998" s="839" t="s">
        <v>2240</v>
      </c>
      <c r="C998" s="840" t="s">
        <v>1948</v>
      </c>
      <c r="D998" s="807">
        <v>171.69</v>
      </c>
      <c r="E998" s="841"/>
      <c r="F998" s="203" t="e">
        <f>VLOOKUP(A998,'Compos DER'!J:K,2,FALSE)</f>
        <v>#N/A</v>
      </c>
      <c r="G998" s="198" t="e">
        <f t="shared" si="16"/>
        <v>#N/A</v>
      </c>
    </row>
    <row r="999" spans="1:7" ht="25.5" x14ac:dyDescent="0.2">
      <c r="A999" s="806">
        <v>41089</v>
      </c>
      <c r="B999" s="842" t="s">
        <v>2241</v>
      </c>
      <c r="C999" s="840" t="s">
        <v>1948</v>
      </c>
      <c r="D999" s="807">
        <v>181.77</v>
      </c>
      <c r="E999" s="843"/>
      <c r="F999" s="203" t="e">
        <f>VLOOKUP(A999,'Compos DER'!J:K,2,FALSE)</f>
        <v>#N/A</v>
      </c>
      <c r="G999" s="198" t="e">
        <f t="shared" si="16"/>
        <v>#N/A</v>
      </c>
    </row>
    <row r="1000" spans="1:7" ht="25.5" x14ac:dyDescent="0.2">
      <c r="A1000" s="806">
        <v>41039</v>
      </c>
      <c r="B1000" s="842" t="s">
        <v>2242</v>
      </c>
      <c r="C1000" s="840" t="s">
        <v>1948</v>
      </c>
      <c r="D1000" s="807">
        <v>200.03</v>
      </c>
      <c r="E1000" s="843"/>
      <c r="F1000" s="203" t="e">
        <f>VLOOKUP(A1000,'Compos DER'!J:K,2,FALSE)</f>
        <v>#N/A</v>
      </c>
      <c r="G1000" s="198" t="e">
        <f t="shared" si="16"/>
        <v>#N/A</v>
      </c>
    </row>
    <row r="1001" spans="1:7" x14ac:dyDescent="0.2">
      <c r="A1001" s="806">
        <v>41030</v>
      </c>
      <c r="B1001" s="842" t="s">
        <v>824</v>
      </c>
      <c r="C1001" s="840" t="s">
        <v>1948</v>
      </c>
      <c r="D1001" s="807">
        <v>165.81</v>
      </c>
      <c r="E1001" s="843"/>
      <c r="F1001" s="203" t="e">
        <f>VLOOKUP(A1001,'Compos DER'!J:K,2,FALSE)</f>
        <v>#N/A</v>
      </c>
      <c r="G1001" s="198" t="e">
        <f t="shared" si="16"/>
        <v>#N/A</v>
      </c>
    </row>
    <row r="1002" spans="1:7" x14ac:dyDescent="0.2">
      <c r="A1002" s="844"/>
      <c r="B1002" s="844"/>
      <c r="C1002" s="845"/>
      <c r="E1002" s="845" t="e">
        <v>#N/A</v>
      </c>
      <c r="F1002" s="203" t="e">
        <f>VLOOKUP(A1002,'Compos DER'!J:K,2,FALSE)</f>
        <v>#N/A</v>
      </c>
      <c r="G1002" s="198" t="e">
        <f t="shared" si="16"/>
        <v>#N/A</v>
      </c>
    </row>
    <row r="1003" spans="1:7" x14ac:dyDescent="0.2">
      <c r="A1003" s="854" t="s">
        <v>825</v>
      </c>
      <c r="B1003" s="844"/>
      <c r="C1003" s="845"/>
      <c r="D1003" s="846"/>
      <c r="E1003" s="845" t="e">
        <v>#N/A</v>
      </c>
      <c r="F1003" s="203" t="e">
        <f>VLOOKUP(A1003,'Compos DER'!J:K,2,FALSE)</f>
        <v>#N/A</v>
      </c>
      <c r="G1003" s="198" t="e">
        <f t="shared" si="16"/>
        <v>#N/A</v>
      </c>
    </row>
    <row r="1004" spans="1:7" x14ac:dyDescent="0.2">
      <c r="A1004" s="806">
        <v>42045</v>
      </c>
      <c r="B1004" s="839" t="s">
        <v>826</v>
      </c>
      <c r="C1004" s="840" t="s">
        <v>1906</v>
      </c>
      <c r="D1004" s="807">
        <v>6.16</v>
      </c>
      <c r="E1004" s="841"/>
      <c r="F1004" s="203">
        <f>VLOOKUP(A1004,'Compos DER'!J:K,2,FALSE)</f>
        <v>6.16</v>
      </c>
      <c r="G1004" s="198">
        <f t="shared" si="16"/>
        <v>1</v>
      </c>
    </row>
    <row r="1005" spans="1:7" x14ac:dyDescent="0.2">
      <c r="A1005" s="806">
        <v>42043</v>
      </c>
      <c r="B1005" s="839" t="s">
        <v>1722</v>
      </c>
      <c r="C1005" s="840" t="s">
        <v>17</v>
      </c>
      <c r="D1005" s="807">
        <v>0</v>
      </c>
      <c r="E1005" s="841"/>
      <c r="F1005" s="203" t="e">
        <f>VLOOKUP(A1005,'Compos DER'!J:K,2,FALSE)</f>
        <v>#N/A</v>
      </c>
      <c r="G1005" s="198" t="e">
        <f t="shared" si="16"/>
        <v>#N/A</v>
      </c>
    </row>
    <row r="1006" spans="1:7" x14ac:dyDescent="0.2">
      <c r="A1006" s="848"/>
      <c r="B1006" s="848"/>
      <c r="C1006" s="849"/>
      <c r="E1006" s="845" t="e">
        <v>#N/A</v>
      </c>
      <c r="F1006" s="203" t="e">
        <f>VLOOKUP(A1006,'Compos DER'!J:K,2,FALSE)</f>
        <v>#N/A</v>
      </c>
      <c r="G1006" s="198" t="e">
        <f t="shared" si="16"/>
        <v>#N/A</v>
      </c>
    </row>
    <row r="1007" spans="1:7" x14ac:dyDescent="0.2">
      <c r="A1007" s="854" t="s">
        <v>827</v>
      </c>
      <c r="B1007" s="844"/>
      <c r="C1007" s="845"/>
      <c r="E1007" s="845" t="e">
        <v>#N/A</v>
      </c>
      <c r="F1007" s="203" t="e">
        <f>VLOOKUP(A1007,'Compos DER'!J:K,2,FALSE)</f>
        <v>#N/A</v>
      </c>
      <c r="G1007" s="198" t="e">
        <f t="shared" si="16"/>
        <v>#N/A</v>
      </c>
    </row>
    <row r="1008" spans="1:7" x14ac:dyDescent="0.2">
      <c r="A1008" s="806">
        <v>42512</v>
      </c>
      <c r="B1008" s="839" t="s">
        <v>828</v>
      </c>
      <c r="C1008" s="840" t="s">
        <v>1906</v>
      </c>
      <c r="D1008" s="807">
        <v>3.73</v>
      </c>
      <c r="E1008" s="841"/>
      <c r="F1008" s="203" t="e">
        <f>VLOOKUP(A1008,'Compos DER'!J:K,2,FALSE)</f>
        <v>#N/A</v>
      </c>
      <c r="G1008" s="198" t="e">
        <f t="shared" si="16"/>
        <v>#N/A</v>
      </c>
    </row>
    <row r="1009" spans="1:7" x14ac:dyDescent="0.2">
      <c r="A1009" s="806">
        <v>42513</v>
      </c>
      <c r="B1009" s="839" t="s">
        <v>829</v>
      </c>
      <c r="C1009" s="840" t="s">
        <v>1906</v>
      </c>
      <c r="D1009" s="807">
        <v>4.84</v>
      </c>
      <c r="E1009" s="841"/>
      <c r="F1009" s="203" t="e">
        <f>VLOOKUP(A1009,'Compos DER'!J:K,2,FALSE)</f>
        <v>#N/A</v>
      </c>
      <c r="G1009" s="198" t="e">
        <f t="shared" si="16"/>
        <v>#N/A</v>
      </c>
    </row>
    <row r="1010" spans="1:7" x14ac:dyDescent="0.2">
      <c r="A1010" s="806">
        <v>42514</v>
      </c>
      <c r="B1010" s="839" t="s">
        <v>830</v>
      </c>
      <c r="C1010" s="840" t="s">
        <v>1906</v>
      </c>
      <c r="D1010" s="807">
        <v>7.78</v>
      </c>
      <c r="E1010" s="841"/>
      <c r="F1010" s="203" t="e">
        <f>VLOOKUP(A1010,'Compos DER'!J:K,2,FALSE)</f>
        <v>#N/A</v>
      </c>
      <c r="G1010" s="198" t="e">
        <f t="shared" si="16"/>
        <v>#N/A</v>
      </c>
    </row>
    <row r="1011" spans="1:7" x14ac:dyDescent="0.2">
      <c r="A1011" s="806">
        <v>43349</v>
      </c>
      <c r="B1011" s="839" t="s">
        <v>831</v>
      </c>
      <c r="C1011" s="840" t="s">
        <v>1906</v>
      </c>
      <c r="D1011" s="807">
        <v>7.51</v>
      </c>
      <c r="E1011" s="841"/>
      <c r="F1011" s="203" t="e">
        <f>VLOOKUP(A1011,'Compos DER'!J:K,2,FALSE)</f>
        <v>#N/A</v>
      </c>
      <c r="G1011" s="198" t="e">
        <f t="shared" si="16"/>
        <v>#N/A</v>
      </c>
    </row>
    <row r="1012" spans="1:7" x14ac:dyDescent="0.2">
      <c r="A1012" s="806">
        <v>42515</v>
      </c>
      <c r="B1012" s="839" t="s">
        <v>832</v>
      </c>
      <c r="C1012" s="840" t="s">
        <v>1906</v>
      </c>
      <c r="D1012" s="807">
        <v>5.79</v>
      </c>
      <c r="E1012" s="841"/>
      <c r="F1012" s="203" t="e">
        <f>VLOOKUP(A1012,'Compos DER'!J:K,2,FALSE)</f>
        <v>#N/A</v>
      </c>
      <c r="G1012" s="198" t="e">
        <f t="shared" si="16"/>
        <v>#N/A</v>
      </c>
    </row>
    <row r="1013" spans="1:7" x14ac:dyDescent="0.2">
      <c r="A1013" s="806">
        <v>42523</v>
      </c>
      <c r="B1013" s="839" t="s">
        <v>833</v>
      </c>
      <c r="C1013" s="840" t="s">
        <v>1906</v>
      </c>
      <c r="D1013" s="807">
        <v>8.41</v>
      </c>
      <c r="E1013" s="841"/>
      <c r="F1013" s="203" t="e">
        <f>VLOOKUP(A1013,'Compos DER'!J:K,2,FALSE)</f>
        <v>#N/A</v>
      </c>
      <c r="G1013" s="198" t="e">
        <f t="shared" si="16"/>
        <v>#N/A</v>
      </c>
    </row>
    <row r="1014" spans="1:7" x14ac:dyDescent="0.2">
      <c r="A1014" s="806">
        <v>42576</v>
      </c>
      <c r="B1014" s="842" t="s">
        <v>834</v>
      </c>
      <c r="C1014" s="840" t="s">
        <v>1906</v>
      </c>
      <c r="D1014" s="807">
        <v>128.30000000000001</v>
      </c>
      <c r="E1014" s="843"/>
      <c r="F1014" s="203" t="e">
        <f>VLOOKUP(A1014,'Compos DER'!J:K,2,FALSE)</f>
        <v>#N/A</v>
      </c>
      <c r="G1014" s="198" t="e">
        <f t="shared" si="16"/>
        <v>#N/A</v>
      </c>
    </row>
    <row r="1015" spans="1:7" x14ac:dyDescent="0.2">
      <c r="A1015" s="806">
        <v>42577</v>
      </c>
      <c r="B1015" s="839" t="s">
        <v>835</v>
      </c>
      <c r="C1015" s="840" t="s">
        <v>1906</v>
      </c>
      <c r="D1015" s="807">
        <v>9.48</v>
      </c>
      <c r="E1015" s="841"/>
      <c r="F1015" s="203" t="e">
        <f>VLOOKUP(A1015,'Compos DER'!J:K,2,FALSE)</f>
        <v>#N/A</v>
      </c>
      <c r="G1015" s="198" t="e">
        <f t="shared" si="16"/>
        <v>#N/A</v>
      </c>
    </row>
    <row r="1016" spans="1:7" x14ac:dyDescent="0.2">
      <c r="A1016" s="806">
        <v>42578</v>
      </c>
      <c r="B1016" s="839" t="s">
        <v>836</v>
      </c>
      <c r="C1016" s="840" t="s">
        <v>1906</v>
      </c>
      <c r="D1016" s="807">
        <v>3.62</v>
      </c>
      <c r="E1016" s="841"/>
      <c r="F1016" s="203" t="e">
        <f>VLOOKUP(A1016,'Compos DER'!J:K,2,FALSE)</f>
        <v>#N/A</v>
      </c>
      <c r="G1016" s="198" t="e">
        <f t="shared" si="16"/>
        <v>#N/A</v>
      </c>
    </row>
    <row r="1017" spans="1:7" x14ac:dyDescent="0.2">
      <c r="A1017" s="806">
        <v>42580</v>
      </c>
      <c r="B1017" s="839" t="s">
        <v>837</v>
      </c>
      <c r="C1017" s="840" t="s">
        <v>1906</v>
      </c>
      <c r="D1017" s="807">
        <v>5.35</v>
      </c>
      <c r="E1017" s="841"/>
      <c r="F1017" s="203" t="e">
        <f>VLOOKUP(A1017,'Compos DER'!J:K,2,FALSE)</f>
        <v>#N/A</v>
      </c>
      <c r="G1017" s="198" t="e">
        <f t="shared" si="16"/>
        <v>#N/A</v>
      </c>
    </row>
    <row r="1018" spans="1:7" x14ac:dyDescent="0.2">
      <c r="A1018" s="806">
        <v>42582</v>
      </c>
      <c r="B1018" s="839" t="s">
        <v>838</v>
      </c>
      <c r="C1018" s="840" t="s">
        <v>1906</v>
      </c>
      <c r="D1018" s="807">
        <v>57.34</v>
      </c>
      <c r="E1018" s="841"/>
      <c r="F1018" s="203" t="e">
        <f>VLOOKUP(A1018,'Compos DER'!J:K,2,FALSE)</f>
        <v>#N/A</v>
      </c>
      <c r="G1018" s="198" t="e">
        <f t="shared" si="16"/>
        <v>#N/A</v>
      </c>
    </row>
    <row r="1019" spans="1:7" x14ac:dyDescent="0.2">
      <c r="A1019" s="806">
        <v>42586</v>
      </c>
      <c r="B1019" s="839" t="s">
        <v>839</v>
      </c>
      <c r="C1019" s="840" t="s">
        <v>1906</v>
      </c>
      <c r="D1019" s="807">
        <v>65.900000000000006</v>
      </c>
      <c r="E1019" s="841"/>
      <c r="F1019" s="203" t="e">
        <f>VLOOKUP(A1019,'Compos DER'!J:K,2,FALSE)</f>
        <v>#N/A</v>
      </c>
      <c r="G1019" s="198" t="e">
        <f t="shared" si="16"/>
        <v>#N/A</v>
      </c>
    </row>
    <row r="1020" spans="1:7" x14ac:dyDescent="0.2">
      <c r="A1020" s="806">
        <v>42587</v>
      </c>
      <c r="B1020" s="839" t="s">
        <v>840</v>
      </c>
      <c r="C1020" s="840" t="s">
        <v>1905</v>
      </c>
      <c r="D1020" s="807">
        <v>0.91</v>
      </c>
      <c r="E1020" s="841"/>
      <c r="F1020" s="203" t="e">
        <f>VLOOKUP(A1020,'Compos DER'!J:K,2,FALSE)</f>
        <v>#N/A</v>
      </c>
      <c r="G1020" s="198" t="e">
        <f t="shared" si="16"/>
        <v>#N/A</v>
      </c>
    </row>
    <row r="1021" spans="1:7" x14ac:dyDescent="0.2">
      <c r="A1021" s="806">
        <v>42590</v>
      </c>
      <c r="B1021" s="839" t="s">
        <v>2243</v>
      </c>
      <c r="C1021" s="840" t="s">
        <v>1905</v>
      </c>
      <c r="D1021" s="807">
        <v>10.64</v>
      </c>
      <c r="E1021" s="841"/>
      <c r="F1021" s="203" t="e">
        <f>VLOOKUP(A1021,'Compos DER'!J:K,2,FALSE)</f>
        <v>#N/A</v>
      </c>
      <c r="G1021" s="198" t="e">
        <f t="shared" si="16"/>
        <v>#N/A</v>
      </c>
    </row>
    <row r="1022" spans="1:7" x14ac:dyDescent="0.2">
      <c r="A1022" s="806">
        <v>42591</v>
      </c>
      <c r="B1022" s="842" t="s">
        <v>841</v>
      </c>
      <c r="C1022" s="840" t="s">
        <v>1905</v>
      </c>
      <c r="D1022" s="807">
        <v>45.36</v>
      </c>
      <c r="E1022" s="843"/>
      <c r="F1022" s="203" t="e">
        <f>VLOOKUP(A1022,'Compos DER'!J:K,2,FALSE)</f>
        <v>#N/A</v>
      </c>
      <c r="G1022" s="198" t="e">
        <f t="shared" si="16"/>
        <v>#N/A</v>
      </c>
    </row>
    <row r="1023" spans="1:7" x14ac:dyDescent="0.2">
      <c r="A1023" s="806">
        <v>42592</v>
      </c>
      <c r="B1023" s="839" t="s">
        <v>842</v>
      </c>
      <c r="C1023" s="840" t="s">
        <v>1905</v>
      </c>
      <c r="D1023" s="807">
        <v>14.88</v>
      </c>
      <c r="E1023" s="841" t="s">
        <v>1209</v>
      </c>
      <c r="F1023" s="203" t="e">
        <f>VLOOKUP(A1023,'Compos DER'!J:K,2,FALSE)</f>
        <v>#N/A</v>
      </c>
      <c r="G1023" s="198" t="e">
        <f t="shared" ref="G1023:G1084" si="17">+F1023/D1023</f>
        <v>#N/A</v>
      </c>
    </row>
    <row r="1024" spans="1:7" x14ac:dyDescent="0.2">
      <c r="A1024" s="806">
        <v>42593</v>
      </c>
      <c r="B1024" s="839" t="s">
        <v>2244</v>
      </c>
      <c r="C1024" s="840" t="s">
        <v>1906</v>
      </c>
      <c r="D1024" s="807">
        <v>30.38</v>
      </c>
      <c r="E1024" s="839"/>
      <c r="F1024" s="203" t="e">
        <f>VLOOKUP(A1024,'Compos DER'!J:K,2,FALSE)</f>
        <v>#N/A</v>
      </c>
      <c r="G1024" s="198" t="e">
        <f t="shared" si="17"/>
        <v>#N/A</v>
      </c>
    </row>
    <row r="1025" spans="1:7" x14ac:dyDescent="0.2">
      <c r="A1025" s="806">
        <v>42596</v>
      </c>
      <c r="B1025" s="842" t="s">
        <v>2245</v>
      </c>
      <c r="C1025" s="840" t="s">
        <v>1906</v>
      </c>
      <c r="D1025" s="807">
        <v>5.82</v>
      </c>
      <c r="E1025" s="843"/>
      <c r="F1025" s="203" t="e">
        <f>VLOOKUP(A1025,'Compos DER'!J:K,2,FALSE)</f>
        <v>#N/A</v>
      </c>
      <c r="G1025" s="198" t="e">
        <f t="shared" si="17"/>
        <v>#N/A</v>
      </c>
    </row>
    <row r="1026" spans="1:7" x14ac:dyDescent="0.2">
      <c r="A1026" s="844"/>
      <c r="B1026" s="844"/>
      <c r="C1026" s="845"/>
      <c r="E1026" s="845" t="e">
        <v>#N/A</v>
      </c>
      <c r="F1026" s="203" t="e">
        <f>VLOOKUP(A1026,'Compos DER'!J:K,2,FALSE)</f>
        <v>#N/A</v>
      </c>
      <c r="G1026" s="198" t="e">
        <f t="shared" si="17"/>
        <v>#N/A</v>
      </c>
    </row>
    <row r="1027" spans="1:7" x14ac:dyDescent="0.2">
      <c r="A1027" s="854" t="s">
        <v>843</v>
      </c>
      <c r="B1027" s="844"/>
      <c r="C1027" s="845"/>
      <c r="E1027" s="845" t="e">
        <v>#N/A</v>
      </c>
      <c r="F1027" s="203" t="e">
        <f>VLOOKUP(A1027,'Compos DER'!J:K,2,FALSE)</f>
        <v>#N/A</v>
      </c>
      <c r="G1027" s="198" t="e">
        <f t="shared" si="17"/>
        <v>#N/A</v>
      </c>
    </row>
    <row r="1028" spans="1:7" x14ac:dyDescent="0.2">
      <c r="A1028" s="806">
        <v>42483</v>
      </c>
      <c r="B1028" s="839" t="s">
        <v>844</v>
      </c>
      <c r="C1028" s="840" t="s">
        <v>1906</v>
      </c>
      <c r="D1028" s="807">
        <v>104.4</v>
      </c>
      <c r="E1028" s="841"/>
      <c r="F1028" s="203" t="e">
        <f>VLOOKUP(A1028,'Compos DER'!J:K,2,FALSE)</f>
        <v>#N/A</v>
      </c>
      <c r="G1028" s="198" t="e">
        <f t="shared" si="17"/>
        <v>#N/A</v>
      </c>
    </row>
    <row r="1029" spans="1:7" x14ac:dyDescent="0.2">
      <c r="A1029" s="806">
        <v>42695</v>
      </c>
      <c r="B1029" s="839" t="s">
        <v>845</v>
      </c>
      <c r="C1029" s="840" t="s">
        <v>1906</v>
      </c>
      <c r="D1029" s="807">
        <v>123.44</v>
      </c>
      <c r="E1029" s="841"/>
      <c r="F1029" s="203" t="e">
        <f>VLOOKUP(A1029,'Compos DER'!J:K,2,FALSE)</f>
        <v>#N/A</v>
      </c>
      <c r="G1029" s="198" t="e">
        <f t="shared" si="17"/>
        <v>#N/A</v>
      </c>
    </row>
    <row r="1030" spans="1:7" x14ac:dyDescent="0.2">
      <c r="A1030" s="806">
        <v>42481</v>
      </c>
      <c r="B1030" s="842" t="s">
        <v>2246</v>
      </c>
      <c r="C1030" s="840" t="s">
        <v>1906</v>
      </c>
      <c r="D1030" s="807">
        <v>74.95</v>
      </c>
      <c r="E1030" s="843"/>
      <c r="F1030" s="203" t="e">
        <f>VLOOKUP(A1030,'Compos DER'!J:K,2,FALSE)</f>
        <v>#N/A</v>
      </c>
      <c r="G1030" s="198" t="e">
        <f t="shared" si="17"/>
        <v>#N/A</v>
      </c>
    </row>
    <row r="1031" spans="1:7" x14ac:dyDescent="0.2">
      <c r="A1031" s="806">
        <v>42496</v>
      </c>
      <c r="B1031" s="839" t="s">
        <v>846</v>
      </c>
      <c r="C1031" s="840" t="s">
        <v>1905</v>
      </c>
      <c r="D1031" s="807">
        <v>3.82</v>
      </c>
      <c r="E1031" s="841"/>
      <c r="F1031" s="203" t="e">
        <f>VLOOKUP(A1031,'Compos DER'!J:K,2,FALSE)</f>
        <v>#N/A</v>
      </c>
      <c r="G1031" s="198" t="e">
        <f t="shared" si="17"/>
        <v>#N/A</v>
      </c>
    </row>
    <row r="1032" spans="1:7" x14ac:dyDescent="0.2">
      <c r="A1032" s="806">
        <v>41133</v>
      </c>
      <c r="B1032" s="842" t="s">
        <v>2247</v>
      </c>
      <c r="C1032" s="840" t="s">
        <v>1905</v>
      </c>
      <c r="D1032" s="807">
        <v>13.87</v>
      </c>
      <c r="E1032" s="843"/>
      <c r="F1032" s="203" t="e">
        <f>VLOOKUP(A1032,'Compos DER'!J:K,2,FALSE)</f>
        <v>#N/A</v>
      </c>
      <c r="G1032" s="198" t="e">
        <f t="shared" si="17"/>
        <v>#N/A</v>
      </c>
    </row>
    <row r="1033" spans="1:7" x14ac:dyDescent="0.2">
      <c r="A1033" s="806">
        <v>42479</v>
      </c>
      <c r="B1033" s="842" t="s">
        <v>2248</v>
      </c>
      <c r="C1033" s="840" t="s">
        <v>1905</v>
      </c>
      <c r="D1033" s="807">
        <v>9.66</v>
      </c>
      <c r="E1033" s="843"/>
      <c r="F1033" s="203" t="e">
        <f>VLOOKUP(A1033,'Compos DER'!J:K,2,FALSE)</f>
        <v>#N/A</v>
      </c>
      <c r="G1033" s="198" t="e">
        <f t="shared" si="17"/>
        <v>#N/A</v>
      </c>
    </row>
    <row r="1034" spans="1:7" x14ac:dyDescent="0.2">
      <c r="A1034" s="806">
        <v>43333</v>
      </c>
      <c r="B1034" s="842" t="s">
        <v>2249</v>
      </c>
      <c r="C1034" s="840" t="s">
        <v>1905</v>
      </c>
      <c r="D1034" s="807">
        <v>1.2</v>
      </c>
      <c r="E1034" s="843"/>
      <c r="F1034" s="203" t="e">
        <f>VLOOKUP(A1034,'Compos DER'!J:K,2,FALSE)</f>
        <v>#N/A</v>
      </c>
      <c r="G1034" s="198" t="e">
        <f t="shared" si="17"/>
        <v>#N/A</v>
      </c>
    </row>
    <row r="1035" spans="1:7" x14ac:dyDescent="0.2">
      <c r="A1035" s="806">
        <v>42484</v>
      </c>
      <c r="B1035" s="842" t="s">
        <v>2250</v>
      </c>
      <c r="C1035" s="840" t="s">
        <v>1905</v>
      </c>
      <c r="D1035" s="807">
        <v>7.78</v>
      </c>
      <c r="E1035" s="839" t="s">
        <v>1209</v>
      </c>
      <c r="F1035" s="203" t="e">
        <f>VLOOKUP(A1035,'Compos DER'!J:K,2,FALSE)</f>
        <v>#N/A</v>
      </c>
      <c r="G1035" s="198" t="e">
        <f t="shared" si="17"/>
        <v>#N/A</v>
      </c>
    </row>
    <row r="1036" spans="1:7" x14ac:dyDescent="0.2">
      <c r="A1036" s="806">
        <v>42497</v>
      </c>
      <c r="B1036" s="842" t="s">
        <v>2251</v>
      </c>
      <c r="C1036" s="840" t="s">
        <v>1905</v>
      </c>
      <c r="D1036" s="807">
        <v>15.85</v>
      </c>
      <c r="E1036" s="839" t="s">
        <v>1209</v>
      </c>
      <c r="F1036" s="203" t="e">
        <f>VLOOKUP(A1036,'Compos DER'!J:K,2,FALSE)</f>
        <v>#N/A</v>
      </c>
      <c r="G1036" s="198" t="e">
        <f t="shared" si="17"/>
        <v>#N/A</v>
      </c>
    </row>
    <row r="1037" spans="1:7" x14ac:dyDescent="0.2">
      <c r="A1037" s="806">
        <v>42493</v>
      </c>
      <c r="B1037" s="842" t="s">
        <v>2252</v>
      </c>
      <c r="C1037" s="840" t="s">
        <v>1905</v>
      </c>
      <c r="D1037" s="807">
        <v>85.67</v>
      </c>
      <c r="E1037" s="839" t="s">
        <v>1209</v>
      </c>
      <c r="F1037" s="203" t="e">
        <f>VLOOKUP(A1037,'Compos DER'!J:K,2,FALSE)</f>
        <v>#N/A</v>
      </c>
      <c r="G1037" s="198" t="e">
        <f t="shared" si="17"/>
        <v>#N/A</v>
      </c>
    </row>
    <row r="1038" spans="1:7" x14ac:dyDescent="0.2">
      <c r="A1038" s="806">
        <v>42494</v>
      </c>
      <c r="B1038" s="842" t="s">
        <v>2253</v>
      </c>
      <c r="C1038" s="840" t="s">
        <v>3</v>
      </c>
      <c r="D1038" s="807">
        <v>480.94</v>
      </c>
      <c r="E1038" s="839" t="s">
        <v>1209</v>
      </c>
      <c r="F1038" s="203" t="e">
        <f>VLOOKUP(A1038,'Compos DER'!J:K,2,FALSE)</f>
        <v>#N/A</v>
      </c>
      <c r="G1038" s="198" t="e">
        <f t="shared" si="17"/>
        <v>#N/A</v>
      </c>
    </row>
    <row r="1039" spans="1:7" ht="25.5" x14ac:dyDescent="0.2">
      <c r="A1039" s="806">
        <v>42498</v>
      </c>
      <c r="B1039" s="842" t="s">
        <v>2254</v>
      </c>
      <c r="C1039" s="840" t="s">
        <v>1905</v>
      </c>
      <c r="D1039" s="807">
        <v>82.08</v>
      </c>
      <c r="E1039" s="839" t="s">
        <v>1209</v>
      </c>
      <c r="F1039" s="203" t="e">
        <f>VLOOKUP(A1039,'Compos DER'!J:K,2,FALSE)</f>
        <v>#N/A</v>
      </c>
      <c r="G1039" s="198" t="e">
        <f t="shared" si="17"/>
        <v>#N/A</v>
      </c>
    </row>
    <row r="1040" spans="1:7" ht="25.5" x14ac:dyDescent="0.2">
      <c r="A1040" s="806">
        <v>42499</v>
      </c>
      <c r="B1040" s="842" t="s">
        <v>2255</v>
      </c>
      <c r="C1040" s="840" t="s">
        <v>1905</v>
      </c>
      <c r="D1040" s="807">
        <v>90.52</v>
      </c>
      <c r="E1040" s="839" t="s">
        <v>1209</v>
      </c>
      <c r="F1040" s="203" t="e">
        <f>VLOOKUP(A1040,'Compos DER'!J:K,2,FALSE)</f>
        <v>#N/A</v>
      </c>
      <c r="G1040" s="198" t="e">
        <f t="shared" si="17"/>
        <v>#N/A</v>
      </c>
    </row>
    <row r="1041" spans="1:7" ht="25.5" x14ac:dyDescent="0.2">
      <c r="A1041" s="806">
        <v>42500</v>
      </c>
      <c r="B1041" s="842" t="s">
        <v>2256</v>
      </c>
      <c r="C1041" s="840" t="s">
        <v>1905</v>
      </c>
      <c r="D1041" s="807">
        <v>97.37</v>
      </c>
      <c r="E1041" s="839" t="s">
        <v>1209</v>
      </c>
      <c r="F1041" s="203" t="e">
        <f>VLOOKUP(A1041,'Compos DER'!J:K,2,FALSE)</f>
        <v>#N/A</v>
      </c>
      <c r="G1041" s="198" t="e">
        <f t="shared" si="17"/>
        <v>#N/A</v>
      </c>
    </row>
    <row r="1042" spans="1:7" x14ac:dyDescent="0.2">
      <c r="A1042" s="806">
        <v>42501</v>
      </c>
      <c r="B1042" s="842" t="s">
        <v>2257</v>
      </c>
      <c r="C1042" s="840" t="s">
        <v>1905</v>
      </c>
      <c r="D1042" s="807">
        <v>108.81</v>
      </c>
      <c r="E1042" s="839" t="s">
        <v>1209</v>
      </c>
      <c r="F1042" s="203" t="e">
        <f>VLOOKUP(A1042,'Compos DER'!J:K,2,FALSE)</f>
        <v>#N/A</v>
      </c>
      <c r="G1042" s="198" t="e">
        <f t="shared" si="17"/>
        <v>#N/A</v>
      </c>
    </row>
    <row r="1043" spans="1:7" ht="25.5" x14ac:dyDescent="0.2">
      <c r="A1043" s="806">
        <v>42502</v>
      </c>
      <c r="B1043" s="842" t="s">
        <v>2258</v>
      </c>
      <c r="C1043" s="840" t="s">
        <v>1905</v>
      </c>
      <c r="D1043" s="807">
        <v>106.74</v>
      </c>
      <c r="E1043" s="839" t="s">
        <v>1209</v>
      </c>
      <c r="F1043" s="203" t="e">
        <f>VLOOKUP(A1043,'Compos DER'!J:K,2,FALSE)</f>
        <v>#N/A</v>
      </c>
      <c r="G1043" s="198" t="e">
        <f t="shared" si="17"/>
        <v>#N/A</v>
      </c>
    </row>
    <row r="1044" spans="1:7" x14ac:dyDescent="0.2">
      <c r="A1044" s="806">
        <v>42503</v>
      </c>
      <c r="B1044" s="842" t="s">
        <v>2259</v>
      </c>
      <c r="C1044" s="840" t="s">
        <v>1905</v>
      </c>
      <c r="D1044" s="807">
        <v>113.77</v>
      </c>
      <c r="E1044" s="839" t="s">
        <v>1209</v>
      </c>
      <c r="F1044" s="203" t="e">
        <f>VLOOKUP(A1044,'Compos DER'!J:K,2,FALSE)</f>
        <v>#N/A</v>
      </c>
      <c r="G1044" s="198" t="e">
        <f t="shared" si="17"/>
        <v>#N/A</v>
      </c>
    </row>
    <row r="1045" spans="1:7" x14ac:dyDescent="0.2">
      <c r="A1045" s="806">
        <v>43334</v>
      </c>
      <c r="B1045" s="842" t="s">
        <v>2260</v>
      </c>
      <c r="C1045" s="840" t="s">
        <v>1905</v>
      </c>
      <c r="D1045" s="807">
        <v>0.99</v>
      </c>
      <c r="E1045" s="843"/>
      <c r="F1045" s="203" t="e">
        <f>VLOOKUP(A1045,'Compos DER'!J:K,2,FALSE)</f>
        <v>#N/A</v>
      </c>
      <c r="G1045" s="198" t="e">
        <f t="shared" si="17"/>
        <v>#N/A</v>
      </c>
    </row>
    <row r="1046" spans="1:7" x14ac:dyDescent="0.2">
      <c r="A1046" s="806">
        <v>42485</v>
      </c>
      <c r="B1046" s="842" t="s">
        <v>2261</v>
      </c>
      <c r="C1046" s="840" t="s">
        <v>1905</v>
      </c>
      <c r="D1046" s="807">
        <v>2.42</v>
      </c>
      <c r="E1046" s="839" t="s">
        <v>1209</v>
      </c>
      <c r="F1046" s="203" t="e">
        <f>VLOOKUP(A1046,'Compos DER'!J:K,2,FALSE)</f>
        <v>#N/A</v>
      </c>
      <c r="G1046" s="198" t="e">
        <f t="shared" si="17"/>
        <v>#N/A</v>
      </c>
    </row>
    <row r="1047" spans="1:7" x14ac:dyDescent="0.2">
      <c r="A1047" s="806">
        <v>42495</v>
      </c>
      <c r="B1047" s="839" t="s">
        <v>847</v>
      </c>
      <c r="C1047" s="840" t="s">
        <v>1905</v>
      </c>
      <c r="D1047" s="807">
        <v>1.22</v>
      </c>
      <c r="E1047" s="841"/>
      <c r="F1047" s="203" t="e">
        <f>VLOOKUP(A1047,'Compos DER'!J:K,2,FALSE)</f>
        <v>#N/A</v>
      </c>
      <c r="G1047" s="198" t="e">
        <f t="shared" si="17"/>
        <v>#N/A</v>
      </c>
    </row>
    <row r="1048" spans="1:7" x14ac:dyDescent="0.2">
      <c r="A1048" s="806">
        <v>42507</v>
      </c>
      <c r="B1048" s="839" t="s">
        <v>848</v>
      </c>
      <c r="C1048" s="840" t="s">
        <v>1948</v>
      </c>
      <c r="D1048" s="807">
        <v>26.52</v>
      </c>
      <c r="E1048" s="841"/>
      <c r="F1048" s="203" t="e">
        <f>VLOOKUP(A1048,'Compos DER'!J:K,2,FALSE)</f>
        <v>#N/A</v>
      </c>
      <c r="G1048" s="198" t="e">
        <f t="shared" si="17"/>
        <v>#N/A</v>
      </c>
    </row>
    <row r="1049" spans="1:7" x14ac:dyDescent="0.2">
      <c r="A1049" s="806">
        <v>42505</v>
      </c>
      <c r="B1049" s="839" t="s">
        <v>849</v>
      </c>
      <c r="C1049" s="840" t="s">
        <v>1905</v>
      </c>
      <c r="D1049" s="807">
        <v>21.44</v>
      </c>
      <c r="E1049" s="841"/>
      <c r="F1049" s="203" t="e">
        <f>VLOOKUP(A1049,'Compos DER'!J:K,2,FALSE)</f>
        <v>#N/A</v>
      </c>
      <c r="G1049" s="198" t="e">
        <f t="shared" si="17"/>
        <v>#N/A</v>
      </c>
    </row>
    <row r="1050" spans="1:7" x14ac:dyDescent="0.2">
      <c r="A1050" s="806">
        <v>42504</v>
      </c>
      <c r="B1050" s="839" t="s">
        <v>850</v>
      </c>
      <c r="C1050" s="840" t="s">
        <v>1905</v>
      </c>
      <c r="D1050" s="807">
        <v>50.09</v>
      </c>
      <c r="E1050" s="839" t="s">
        <v>1209</v>
      </c>
      <c r="F1050" s="203" t="e">
        <f>VLOOKUP(A1050,'Compos DER'!J:K,2,FALSE)</f>
        <v>#N/A</v>
      </c>
      <c r="G1050" s="198" t="e">
        <f t="shared" si="17"/>
        <v>#N/A</v>
      </c>
    </row>
    <row r="1051" spans="1:7" x14ac:dyDescent="0.2">
      <c r="A1051" s="806">
        <v>42506</v>
      </c>
      <c r="B1051" s="839" t="s">
        <v>851</v>
      </c>
      <c r="C1051" s="840" t="s">
        <v>1905</v>
      </c>
      <c r="D1051" s="807">
        <v>51.23</v>
      </c>
      <c r="E1051" s="839" t="s">
        <v>1209</v>
      </c>
      <c r="F1051" s="203" t="e">
        <f>VLOOKUP(A1051,'Compos DER'!J:K,2,FALSE)</f>
        <v>#N/A</v>
      </c>
      <c r="G1051" s="198" t="e">
        <f t="shared" si="17"/>
        <v>#N/A</v>
      </c>
    </row>
    <row r="1052" spans="1:7" x14ac:dyDescent="0.2">
      <c r="A1052" s="806">
        <v>42482</v>
      </c>
      <c r="B1052" s="839" t="s">
        <v>852</v>
      </c>
      <c r="C1052" s="840" t="s">
        <v>1906</v>
      </c>
      <c r="D1052" s="807">
        <v>98.55</v>
      </c>
      <c r="E1052" s="839" t="s">
        <v>1209</v>
      </c>
      <c r="F1052" s="203" t="e">
        <f>VLOOKUP(A1052,'Compos DER'!J:K,2,FALSE)</f>
        <v>#N/A</v>
      </c>
      <c r="G1052" s="198" t="e">
        <f t="shared" si="17"/>
        <v>#N/A</v>
      </c>
    </row>
    <row r="1053" spans="1:7" x14ac:dyDescent="0.2">
      <c r="A1053" s="806">
        <v>42702</v>
      </c>
      <c r="B1053" s="839" t="s">
        <v>853</v>
      </c>
      <c r="C1053" s="840" t="s">
        <v>1906</v>
      </c>
      <c r="D1053" s="807">
        <v>123.44</v>
      </c>
      <c r="E1053" s="841"/>
      <c r="F1053" s="203" t="e">
        <f>VLOOKUP(A1053,'Compos DER'!J:K,2,FALSE)</f>
        <v>#N/A</v>
      </c>
      <c r="G1053" s="198" t="e">
        <f t="shared" si="17"/>
        <v>#N/A</v>
      </c>
    </row>
    <row r="1054" spans="1:7" x14ac:dyDescent="0.2">
      <c r="A1054" s="806">
        <v>42480</v>
      </c>
      <c r="B1054" s="842" t="s">
        <v>2262</v>
      </c>
      <c r="C1054" s="840" t="s">
        <v>1906</v>
      </c>
      <c r="D1054" s="807">
        <v>74.95</v>
      </c>
      <c r="E1054" s="839" t="s">
        <v>1209</v>
      </c>
      <c r="F1054" s="203" t="e">
        <f>VLOOKUP(A1054,'Compos DER'!J:K,2,FALSE)</f>
        <v>#N/A</v>
      </c>
      <c r="G1054" s="198" t="e">
        <f t="shared" si="17"/>
        <v>#N/A</v>
      </c>
    </row>
    <row r="1055" spans="1:7" ht="25.5" x14ac:dyDescent="0.2">
      <c r="A1055" s="806">
        <v>42489</v>
      </c>
      <c r="B1055" s="842" t="s">
        <v>2263</v>
      </c>
      <c r="C1055" s="840" t="s">
        <v>1905</v>
      </c>
      <c r="D1055" s="807">
        <v>13.31</v>
      </c>
      <c r="E1055" s="839" t="s">
        <v>1209</v>
      </c>
      <c r="F1055" s="203" t="e">
        <f>VLOOKUP(A1055,'Compos DER'!J:K,2,FALSE)</f>
        <v>#N/A</v>
      </c>
      <c r="G1055" s="198" t="e">
        <f t="shared" si="17"/>
        <v>#N/A</v>
      </c>
    </row>
    <row r="1056" spans="1:7" ht="25.5" x14ac:dyDescent="0.2">
      <c r="A1056" s="806">
        <v>42487</v>
      </c>
      <c r="B1056" s="842" t="s">
        <v>2264</v>
      </c>
      <c r="C1056" s="840" t="s">
        <v>1905</v>
      </c>
      <c r="D1056" s="807">
        <v>22.04</v>
      </c>
      <c r="E1056" s="839" t="s">
        <v>1209</v>
      </c>
      <c r="F1056" s="203" t="e">
        <f>VLOOKUP(A1056,'Compos DER'!J:K,2,FALSE)</f>
        <v>#N/A</v>
      </c>
      <c r="G1056" s="198" t="e">
        <f t="shared" si="17"/>
        <v>#N/A</v>
      </c>
    </row>
    <row r="1057" spans="1:7" x14ac:dyDescent="0.2">
      <c r="A1057" s="806">
        <v>42486</v>
      </c>
      <c r="B1057" s="842" t="s">
        <v>2265</v>
      </c>
      <c r="C1057" s="840" t="s">
        <v>1905</v>
      </c>
      <c r="D1057" s="807">
        <v>12.77</v>
      </c>
      <c r="E1057" s="839" t="s">
        <v>1209</v>
      </c>
      <c r="F1057" s="203" t="e">
        <f>VLOOKUP(A1057,'Compos DER'!J:K,2,FALSE)</f>
        <v>#N/A</v>
      </c>
      <c r="G1057" s="198" t="e">
        <f t="shared" si="17"/>
        <v>#N/A</v>
      </c>
    </row>
    <row r="1058" spans="1:7" ht="25.5" x14ac:dyDescent="0.2">
      <c r="A1058" s="806">
        <v>42488</v>
      </c>
      <c r="B1058" s="842" t="s">
        <v>2266</v>
      </c>
      <c r="C1058" s="840" t="s">
        <v>1905</v>
      </c>
      <c r="D1058" s="807">
        <v>9.1</v>
      </c>
      <c r="E1058" s="839" t="s">
        <v>1209</v>
      </c>
      <c r="F1058" s="203" t="e">
        <f>VLOOKUP(A1058,'Compos DER'!J:K,2,FALSE)</f>
        <v>#N/A</v>
      </c>
      <c r="G1058" s="198" t="e">
        <f t="shared" si="17"/>
        <v>#N/A</v>
      </c>
    </row>
    <row r="1059" spans="1:7" x14ac:dyDescent="0.2">
      <c r="A1059" s="848"/>
      <c r="B1059" s="848"/>
      <c r="C1059" s="849"/>
      <c r="D1059" s="846"/>
      <c r="E1059" s="845" t="e">
        <v>#N/A</v>
      </c>
      <c r="F1059" s="203" t="e">
        <f>VLOOKUP(A1059,'Compos DER'!J:K,2,FALSE)</f>
        <v>#N/A</v>
      </c>
      <c r="G1059" s="198" t="e">
        <f t="shared" si="17"/>
        <v>#N/A</v>
      </c>
    </row>
    <row r="1060" spans="1:7" x14ac:dyDescent="0.2">
      <c r="A1060" s="847" t="s">
        <v>854</v>
      </c>
      <c r="B1060" s="848"/>
      <c r="C1060" s="849"/>
      <c r="E1060" s="845" t="e">
        <v>#N/A</v>
      </c>
      <c r="F1060" s="203" t="e">
        <f>VLOOKUP(A1060,'Compos DER'!J:K,2,FALSE)</f>
        <v>#N/A</v>
      </c>
      <c r="G1060" s="198" t="e">
        <f t="shared" si="17"/>
        <v>#N/A</v>
      </c>
    </row>
    <row r="1061" spans="1:7" x14ac:dyDescent="0.2">
      <c r="A1061" s="806">
        <v>42601</v>
      </c>
      <c r="B1061" s="842" t="s">
        <v>2267</v>
      </c>
      <c r="C1061" s="840" t="s">
        <v>1905</v>
      </c>
      <c r="D1061" s="807">
        <v>55.8</v>
      </c>
      <c r="E1061" s="839" t="s">
        <v>1209</v>
      </c>
      <c r="F1061" s="203" t="e">
        <f>VLOOKUP(A1061,'Compos DER'!J:K,2,FALSE)</f>
        <v>#N/A</v>
      </c>
      <c r="G1061" s="198" t="e">
        <f t="shared" si="17"/>
        <v>#N/A</v>
      </c>
    </row>
    <row r="1062" spans="1:7" x14ac:dyDescent="0.2">
      <c r="A1062" s="806">
        <v>43602</v>
      </c>
      <c r="B1062" s="839" t="s">
        <v>855</v>
      </c>
      <c r="C1062" s="840" t="s">
        <v>1905</v>
      </c>
      <c r="D1062" s="807">
        <v>85.18</v>
      </c>
      <c r="E1062" s="839" t="s">
        <v>1209</v>
      </c>
      <c r="F1062" s="203" t="e">
        <f>VLOOKUP(A1062,'Compos DER'!J:K,2,FALSE)</f>
        <v>#N/A</v>
      </c>
      <c r="G1062" s="198" t="e">
        <f t="shared" si="17"/>
        <v>#N/A</v>
      </c>
    </row>
    <row r="1063" spans="1:7" x14ac:dyDescent="0.2">
      <c r="A1063" s="806">
        <v>42602</v>
      </c>
      <c r="B1063" s="842" t="s">
        <v>2268</v>
      </c>
      <c r="C1063" s="840" t="s">
        <v>1905</v>
      </c>
      <c r="D1063" s="807">
        <v>93.48</v>
      </c>
      <c r="E1063" s="839" t="s">
        <v>1209</v>
      </c>
      <c r="F1063" s="203" t="e">
        <f>VLOOKUP(A1063,'Compos DER'!J:K,2,FALSE)</f>
        <v>#N/A</v>
      </c>
      <c r="G1063" s="198" t="e">
        <f t="shared" si="17"/>
        <v>#N/A</v>
      </c>
    </row>
    <row r="1064" spans="1:7" x14ac:dyDescent="0.2">
      <c r="A1064" s="806">
        <v>42603</v>
      </c>
      <c r="B1064" s="842" t="s">
        <v>2269</v>
      </c>
      <c r="C1064" s="840" t="s">
        <v>1905</v>
      </c>
      <c r="D1064" s="807">
        <v>68.36</v>
      </c>
      <c r="E1064" s="839" t="s">
        <v>1209</v>
      </c>
      <c r="F1064" s="203" t="e">
        <f>VLOOKUP(A1064,'Compos DER'!J:K,2,FALSE)</f>
        <v>#N/A</v>
      </c>
      <c r="G1064" s="198" t="e">
        <f t="shared" si="17"/>
        <v>#N/A</v>
      </c>
    </row>
    <row r="1065" spans="1:7" x14ac:dyDescent="0.2">
      <c r="A1065" s="806">
        <v>42604</v>
      </c>
      <c r="B1065" s="839" t="s">
        <v>2270</v>
      </c>
      <c r="C1065" s="840" t="s">
        <v>1906</v>
      </c>
      <c r="D1065" s="807">
        <v>268.95999999999998</v>
      </c>
      <c r="E1065" s="839" t="s">
        <v>1209</v>
      </c>
      <c r="F1065" s="203" t="e">
        <f>VLOOKUP(A1065,'Compos DER'!J:K,2,FALSE)</f>
        <v>#N/A</v>
      </c>
      <c r="G1065" s="198" t="e">
        <f t="shared" si="17"/>
        <v>#N/A</v>
      </c>
    </row>
    <row r="1066" spans="1:7" x14ac:dyDescent="0.2">
      <c r="A1066" s="806">
        <v>42605</v>
      </c>
      <c r="B1066" s="842" t="s">
        <v>2271</v>
      </c>
      <c r="C1066" s="840" t="s">
        <v>1906</v>
      </c>
      <c r="D1066" s="807">
        <v>379.65</v>
      </c>
      <c r="E1066" s="839" t="s">
        <v>1209</v>
      </c>
      <c r="F1066" s="203" t="e">
        <f>VLOOKUP(A1066,'Compos DER'!J:K,2,FALSE)</f>
        <v>#N/A</v>
      </c>
      <c r="G1066" s="198" t="e">
        <f t="shared" si="17"/>
        <v>#N/A</v>
      </c>
    </row>
    <row r="1067" spans="1:7" x14ac:dyDescent="0.2">
      <c r="A1067" s="806">
        <v>42606</v>
      </c>
      <c r="B1067" s="842" t="s">
        <v>2272</v>
      </c>
      <c r="C1067" s="840" t="s">
        <v>1906</v>
      </c>
      <c r="D1067" s="807">
        <v>29.21</v>
      </c>
      <c r="E1067" s="843"/>
      <c r="F1067" s="203" t="e">
        <f>VLOOKUP(A1067,'Compos DER'!J:K,2,FALSE)</f>
        <v>#N/A</v>
      </c>
      <c r="G1067" s="198" t="e">
        <f t="shared" si="17"/>
        <v>#N/A</v>
      </c>
    </row>
    <row r="1068" spans="1:7" x14ac:dyDescent="0.2">
      <c r="A1068" s="806">
        <v>42607</v>
      </c>
      <c r="B1068" s="839" t="s">
        <v>856</v>
      </c>
      <c r="C1068" s="840" t="s">
        <v>1905</v>
      </c>
      <c r="D1068" s="807">
        <v>137.4</v>
      </c>
      <c r="E1068" s="841"/>
      <c r="F1068" s="203" t="e">
        <f>VLOOKUP(A1068,'Compos DER'!J:K,2,FALSE)</f>
        <v>#N/A</v>
      </c>
      <c r="G1068" s="198" t="e">
        <f t="shared" si="17"/>
        <v>#N/A</v>
      </c>
    </row>
    <row r="1069" spans="1:7" x14ac:dyDescent="0.2">
      <c r="A1069" s="806">
        <v>42608</v>
      </c>
      <c r="B1069" s="839" t="s">
        <v>857</v>
      </c>
      <c r="C1069" s="840" t="s">
        <v>1905</v>
      </c>
      <c r="D1069" s="807">
        <v>26.9</v>
      </c>
      <c r="E1069" s="841"/>
      <c r="F1069" s="203" t="e">
        <f>VLOOKUP(A1069,'Compos DER'!J:K,2,FALSE)</f>
        <v>#N/A</v>
      </c>
      <c r="G1069" s="198" t="e">
        <f t="shared" si="17"/>
        <v>#N/A</v>
      </c>
    </row>
    <row r="1070" spans="1:7" x14ac:dyDescent="0.2">
      <c r="A1070" s="806">
        <v>42609</v>
      </c>
      <c r="B1070" s="839" t="s">
        <v>858</v>
      </c>
      <c r="C1070" s="840" t="s">
        <v>1906</v>
      </c>
      <c r="D1070" s="807">
        <v>57.51</v>
      </c>
      <c r="E1070" s="841"/>
      <c r="F1070" s="203" t="e">
        <f>VLOOKUP(A1070,'Compos DER'!J:K,2,FALSE)</f>
        <v>#N/A</v>
      </c>
      <c r="G1070" s="198" t="e">
        <f t="shared" si="17"/>
        <v>#N/A</v>
      </c>
    </row>
    <row r="1071" spans="1:7" x14ac:dyDescent="0.2">
      <c r="A1071" s="806">
        <v>42611</v>
      </c>
      <c r="B1071" s="839" t="s">
        <v>859</v>
      </c>
      <c r="C1071" s="840" t="s">
        <v>1906</v>
      </c>
      <c r="D1071" s="807">
        <v>494.53</v>
      </c>
      <c r="E1071" s="839" t="s">
        <v>1209</v>
      </c>
      <c r="F1071" s="203" t="e">
        <f>VLOOKUP(A1071,'Compos DER'!J:K,2,FALSE)</f>
        <v>#N/A</v>
      </c>
      <c r="G1071" s="198" t="e">
        <f t="shared" si="17"/>
        <v>#N/A</v>
      </c>
    </row>
    <row r="1072" spans="1:7" x14ac:dyDescent="0.2">
      <c r="A1072" s="806">
        <v>42612</v>
      </c>
      <c r="B1072" s="839" t="s">
        <v>860</v>
      </c>
      <c r="C1072" s="840" t="s">
        <v>1906</v>
      </c>
      <c r="D1072" s="807">
        <v>835.93</v>
      </c>
      <c r="E1072" s="839" t="s">
        <v>1209</v>
      </c>
      <c r="F1072" s="203" t="e">
        <f>VLOOKUP(A1072,'Compos DER'!J:K,2,FALSE)</f>
        <v>#N/A</v>
      </c>
      <c r="G1072" s="198" t="e">
        <f t="shared" si="17"/>
        <v>#N/A</v>
      </c>
    </row>
    <row r="1073" spans="1:7" x14ac:dyDescent="0.2">
      <c r="A1073" s="806">
        <v>42613</v>
      </c>
      <c r="B1073" s="839" t="s">
        <v>861</v>
      </c>
      <c r="C1073" s="840" t="s">
        <v>1906</v>
      </c>
      <c r="D1073" s="807">
        <v>506.17</v>
      </c>
      <c r="E1073" s="839" t="s">
        <v>1209</v>
      </c>
      <c r="F1073" s="203" t="e">
        <f>VLOOKUP(A1073,'Compos DER'!J:K,2,FALSE)</f>
        <v>#N/A</v>
      </c>
      <c r="G1073" s="198" t="e">
        <f t="shared" si="17"/>
        <v>#N/A</v>
      </c>
    </row>
    <row r="1074" spans="1:7" x14ac:dyDescent="0.2">
      <c r="A1074" s="806">
        <v>42615</v>
      </c>
      <c r="B1074" s="839" t="s">
        <v>862</v>
      </c>
      <c r="C1074" s="840" t="s">
        <v>1948</v>
      </c>
      <c r="D1074" s="807">
        <v>258.49</v>
      </c>
      <c r="E1074" s="839" t="s">
        <v>1209</v>
      </c>
      <c r="F1074" s="203" t="e">
        <f>VLOOKUP(A1074,'Compos DER'!J:K,2,FALSE)</f>
        <v>#N/A</v>
      </c>
      <c r="G1074" s="198" t="e">
        <f t="shared" si="17"/>
        <v>#N/A</v>
      </c>
    </row>
    <row r="1075" spans="1:7" x14ac:dyDescent="0.2">
      <c r="A1075" s="806">
        <v>41173</v>
      </c>
      <c r="B1075" s="839" t="s">
        <v>1723</v>
      </c>
      <c r="C1075" s="840" t="s">
        <v>1948</v>
      </c>
      <c r="D1075" s="807">
        <v>18.690000000000001</v>
      </c>
      <c r="E1075" s="839" t="s">
        <v>1209</v>
      </c>
      <c r="F1075" s="203" t="e">
        <f>VLOOKUP(A1075,'Compos DER'!J:K,2,FALSE)</f>
        <v>#N/A</v>
      </c>
      <c r="G1075" s="198" t="e">
        <f t="shared" si="17"/>
        <v>#N/A</v>
      </c>
    </row>
    <row r="1076" spans="1:7" x14ac:dyDescent="0.2">
      <c r="A1076" s="806">
        <v>41174</v>
      </c>
      <c r="B1076" s="839" t="s">
        <v>1724</v>
      </c>
      <c r="C1076" s="840" t="s">
        <v>1948</v>
      </c>
      <c r="D1076" s="807">
        <v>19.899999999999999</v>
      </c>
      <c r="E1076" s="839" t="s">
        <v>1209</v>
      </c>
      <c r="F1076" s="203" t="e">
        <f>VLOOKUP(A1076,'Compos DER'!J:K,2,FALSE)</f>
        <v>#N/A</v>
      </c>
      <c r="G1076" s="198" t="e">
        <f t="shared" si="17"/>
        <v>#N/A</v>
      </c>
    </row>
    <row r="1077" spans="1:7" x14ac:dyDescent="0.2">
      <c r="A1077" s="806">
        <v>41175</v>
      </c>
      <c r="B1077" s="839" t="s">
        <v>1725</v>
      </c>
      <c r="C1077" s="840" t="s">
        <v>1948</v>
      </c>
      <c r="D1077" s="807">
        <v>24.73</v>
      </c>
      <c r="E1077" s="839" t="s">
        <v>1209</v>
      </c>
      <c r="F1077" s="203" t="e">
        <f>VLOOKUP(A1077,'Compos DER'!J:K,2,FALSE)</f>
        <v>#N/A</v>
      </c>
      <c r="G1077" s="198" t="e">
        <f t="shared" si="17"/>
        <v>#N/A</v>
      </c>
    </row>
    <row r="1078" spans="1:7" x14ac:dyDescent="0.2">
      <c r="A1078" s="806">
        <v>41176</v>
      </c>
      <c r="B1078" s="839" t="s">
        <v>1726</v>
      </c>
      <c r="C1078" s="840" t="s">
        <v>1948</v>
      </c>
      <c r="D1078" s="807">
        <v>36.81</v>
      </c>
      <c r="E1078" s="839" t="s">
        <v>1209</v>
      </c>
      <c r="F1078" s="203" t="e">
        <f>VLOOKUP(A1078,'Compos DER'!J:K,2,FALSE)</f>
        <v>#N/A</v>
      </c>
      <c r="G1078" s="198" t="e">
        <f t="shared" si="17"/>
        <v>#N/A</v>
      </c>
    </row>
    <row r="1079" spans="1:7" x14ac:dyDescent="0.2">
      <c r="A1079" s="806">
        <v>42635</v>
      </c>
      <c r="B1079" s="839" t="s">
        <v>863</v>
      </c>
      <c r="C1079" s="840" t="s">
        <v>1910</v>
      </c>
      <c r="D1079" s="808">
        <v>14060.25</v>
      </c>
      <c r="E1079" s="841"/>
      <c r="F1079" s="203" t="e">
        <f>VLOOKUP(A1079,'Compos DER'!J:K,2,FALSE)</f>
        <v>#N/A</v>
      </c>
      <c r="G1079" s="198" t="e">
        <f t="shared" si="17"/>
        <v>#N/A</v>
      </c>
    </row>
    <row r="1080" spans="1:7" x14ac:dyDescent="0.2">
      <c r="A1080" s="806">
        <v>40628</v>
      </c>
      <c r="B1080" s="839" t="s">
        <v>864</v>
      </c>
      <c r="C1080" s="840" t="s">
        <v>1910</v>
      </c>
      <c r="D1080" s="808">
        <v>28115.15</v>
      </c>
      <c r="E1080" s="841"/>
      <c r="F1080" s="203" t="e">
        <f>VLOOKUP(A1080,'Compos DER'!J:K,2,FALSE)</f>
        <v>#N/A</v>
      </c>
      <c r="G1080" s="198" t="e">
        <f t="shared" si="17"/>
        <v>#N/A</v>
      </c>
    </row>
    <row r="1081" spans="1:7" x14ac:dyDescent="0.2">
      <c r="A1081" s="806">
        <v>40619</v>
      </c>
      <c r="B1081" s="839" t="s">
        <v>865</v>
      </c>
      <c r="C1081" s="840" t="s">
        <v>1910</v>
      </c>
      <c r="D1081" s="808">
        <v>26083.69</v>
      </c>
      <c r="E1081" s="841"/>
      <c r="F1081" s="203" t="e">
        <f>VLOOKUP(A1081,'Compos DER'!J:K,2,FALSE)</f>
        <v>#N/A</v>
      </c>
      <c r="G1081" s="198" t="e">
        <f t="shared" si="17"/>
        <v>#N/A</v>
      </c>
    </row>
    <row r="1082" spans="1:7" x14ac:dyDescent="0.2">
      <c r="A1082" s="806">
        <v>41087</v>
      </c>
      <c r="B1082" s="839" t="s">
        <v>866</v>
      </c>
      <c r="C1082" s="840" t="s">
        <v>1910</v>
      </c>
      <c r="D1082" s="808">
        <v>1372.76</v>
      </c>
      <c r="E1082" s="841"/>
      <c r="F1082" s="203" t="e">
        <f>VLOOKUP(A1082,'Compos DER'!J:K,2,FALSE)</f>
        <v>#N/A</v>
      </c>
      <c r="G1082" s="198" t="e">
        <f t="shared" si="17"/>
        <v>#N/A</v>
      </c>
    </row>
    <row r="1083" spans="1:7" x14ac:dyDescent="0.2">
      <c r="A1083" s="806">
        <v>42676</v>
      </c>
      <c r="B1083" s="842" t="s">
        <v>2273</v>
      </c>
      <c r="C1083" s="840" t="s">
        <v>1948</v>
      </c>
      <c r="D1083" s="808">
        <v>12221.04</v>
      </c>
      <c r="E1083" s="839" t="s">
        <v>1209</v>
      </c>
      <c r="F1083" s="203" t="e">
        <f>VLOOKUP(A1083,'Compos DER'!J:K,2,FALSE)</f>
        <v>#N/A</v>
      </c>
      <c r="G1083" s="198" t="e">
        <f t="shared" si="17"/>
        <v>#N/A</v>
      </c>
    </row>
    <row r="1084" spans="1:7" ht="25.5" x14ac:dyDescent="0.2">
      <c r="A1084" s="806">
        <v>42677</v>
      </c>
      <c r="B1084" s="842" t="s">
        <v>2274</v>
      </c>
      <c r="C1084" s="840" t="s">
        <v>1948</v>
      </c>
      <c r="D1084" s="808">
        <v>8377.7800000000007</v>
      </c>
      <c r="E1084" s="839" t="s">
        <v>1209</v>
      </c>
      <c r="F1084" s="203" t="e">
        <f>VLOOKUP(A1084,'Compos DER'!J:K,2,FALSE)</f>
        <v>#N/A</v>
      </c>
      <c r="G1084" s="198" t="e">
        <f t="shared" si="17"/>
        <v>#N/A</v>
      </c>
    </row>
    <row r="1085" spans="1:7" x14ac:dyDescent="0.2">
      <c r="A1085" s="806">
        <v>42678</v>
      </c>
      <c r="B1085" s="839" t="s">
        <v>867</v>
      </c>
      <c r="C1085" s="840" t="s">
        <v>1905</v>
      </c>
      <c r="D1085" s="807">
        <v>6.9</v>
      </c>
      <c r="E1085" s="841"/>
      <c r="F1085" s="203" t="e">
        <f>VLOOKUP(A1085,'Compos DER'!J:K,2,FALSE)</f>
        <v>#N/A</v>
      </c>
      <c r="G1085" s="198" t="e">
        <f t="shared" ref="G1085:G1148" si="18">+F1085/D1085</f>
        <v>#N/A</v>
      </c>
    </row>
    <row r="1086" spans="1:7" x14ac:dyDescent="0.2">
      <c r="A1086" s="806">
        <v>41159</v>
      </c>
      <c r="B1086" s="842" t="s">
        <v>2275</v>
      </c>
      <c r="C1086" s="840" t="s">
        <v>1910</v>
      </c>
      <c r="D1086" s="808">
        <v>3176.39</v>
      </c>
      <c r="E1086" s="843"/>
      <c r="F1086" s="203" t="e">
        <f>VLOOKUP(A1086,'Compos DER'!J:K,2,FALSE)</f>
        <v>#N/A</v>
      </c>
      <c r="G1086" s="198" t="e">
        <f t="shared" si="18"/>
        <v>#N/A</v>
      </c>
    </row>
    <row r="1087" spans="1:7" x14ac:dyDescent="0.2">
      <c r="A1087" s="806">
        <v>41144</v>
      </c>
      <c r="B1087" s="842" t="s">
        <v>2276</v>
      </c>
      <c r="C1087" s="840" t="s">
        <v>1910</v>
      </c>
      <c r="D1087" s="808">
        <v>2336.3200000000002</v>
      </c>
      <c r="E1087" s="843"/>
      <c r="F1087" s="203" t="e">
        <f>VLOOKUP(A1087,'Compos DER'!J:K,2,FALSE)</f>
        <v>#N/A</v>
      </c>
      <c r="G1087" s="198" t="e">
        <f t="shared" si="18"/>
        <v>#N/A</v>
      </c>
    </row>
    <row r="1088" spans="1:7" x14ac:dyDescent="0.2">
      <c r="A1088" s="806">
        <v>41158</v>
      </c>
      <c r="B1088" s="839" t="s">
        <v>1727</v>
      </c>
      <c r="C1088" s="840" t="s">
        <v>1910</v>
      </c>
      <c r="D1088" s="808">
        <v>2724.28</v>
      </c>
      <c r="E1088" s="841"/>
      <c r="F1088" s="203" t="e">
        <f>VLOOKUP(A1088,'Compos DER'!J:K,2,FALSE)</f>
        <v>#N/A</v>
      </c>
      <c r="G1088" s="198" t="e">
        <f t="shared" si="18"/>
        <v>#N/A</v>
      </c>
    </row>
    <row r="1089" spans="1:7" x14ac:dyDescent="0.2">
      <c r="A1089" s="806">
        <v>41160</v>
      </c>
      <c r="B1089" s="839" t="s">
        <v>1728</v>
      </c>
      <c r="C1089" s="840" t="s">
        <v>1910</v>
      </c>
      <c r="D1089" s="808">
        <v>4042.54</v>
      </c>
      <c r="E1089" s="841"/>
      <c r="F1089" s="203" t="e">
        <f>VLOOKUP(A1089,'Compos DER'!J:K,2,FALSE)</f>
        <v>#N/A</v>
      </c>
      <c r="G1089" s="198" t="e">
        <f t="shared" si="18"/>
        <v>#N/A</v>
      </c>
    </row>
    <row r="1090" spans="1:7" x14ac:dyDescent="0.2">
      <c r="A1090" s="806">
        <v>41101</v>
      </c>
      <c r="B1090" s="842" t="s">
        <v>2277</v>
      </c>
      <c r="C1090" s="840" t="s">
        <v>1910</v>
      </c>
      <c r="D1090" s="808">
        <v>1961.82</v>
      </c>
      <c r="E1090" s="843"/>
      <c r="F1090" s="203" t="e">
        <f>VLOOKUP(A1090,'Compos DER'!J:K,2,FALSE)</f>
        <v>#N/A</v>
      </c>
      <c r="G1090" s="198" t="e">
        <f t="shared" si="18"/>
        <v>#N/A</v>
      </c>
    </row>
    <row r="1091" spans="1:7" x14ac:dyDescent="0.2">
      <c r="A1091" s="806">
        <v>42679</v>
      </c>
      <c r="B1091" s="839" t="s">
        <v>868</v>
      </c>
      <c r="C1091" s="840" t="s">
        <v>1910</v>
      </c>
      <c r="D1091" s="808">
        <v>4371.07</v>
      </c>
      <c r="E1091" s="841"/>
      <c r="F1091" s="203" t="e">
        <f>VLOOKUP(A1091,'Compos DER'!J:K,2,FALSE)</f>
        <v>#N/A</v>
      </c>
      <c r="G1091" s="198" t="e">
        <f t="shared" si="18"/>
        <v>#N/A</v>
      </c>
    </row>
    <row r="1092" spans="1:7" x14ac:dyDescent="0.2">
      <c r="A1092" s="806">
        <v>42680</v>
      </c>
      <c r="B1092" s="839" t="s">
        <v>1729</v>
      </c>
      <c r="C1092" s="840" t="s">
        <v>1910</v>
      </c>
      <c r="D1092" s="808">
        <v>4672.96</v>
      </c>
      <c r="E1092" s="841"/>
      <c r="F1092" s="203" t="e">
        <f>VLOOKUP(A1092,'Compos DER'!J:K,2,FALSE)</f>
        <v>#N/A</v>
      </c>
      <c r="G1092" s="198" t="e">
        <f t="shared" si="18"/>
        <v>#N/A</v>
      </c>
    </row>
    <row r="1093" spans="1:7" x14ac:dyDescent="0.2">
      <c r="A1093" s="806">
        <v>42681</v>
      </c>
      <c r="B1093" s="839" t="s">
        <v>1730</v>
      </c>
      <c r="C1093" s="840" t="s">
        <v>1910</v>
      </c>
      <c r="D1093" s="808">
        <v>5738.36</v>
      </c>
      <c r="E1093" s="841"/>
      <c r="F1093" s="203" t="e">
        <f>VLOOKUP(A1093,'Compos DER'!J:K,2,FALSE)</f>
        <v>#N/A</v>
      </c>
      <c r="G1093" s="198" t="e">
        <f t="shared" si="18"/>
        <v>#N/A</v>
      </c>
    </row>
    <row r="1094" spans="1:7" x14ac:dyDescent="0.2">
      <c r="A1094" s="806">
        <v>42682</v>
      </c>
      <c r="B1094" s="839" t="s">
        <v>1731</v>
      </c>
      <c r="C1094" s="840" t="s">
        <v>1910</v>
      </c>
      <c r="D1094" s="808">
        <v>2214.71</v>
      </c>
      <c r="E1094" s="839" t="s">
        <v>1209</v>
      </c>
      <c r="F1094" s="203" t="e">
        <f>VLOOKUP(A1094,'Compos DER'!J:K,2,FALSE)</f>
        <v>#N/A</v>
      </c>
      <c r="G1094" s="198" t="e">
        <f t="shared" si="18"/>
        <v>#N/A</v>
      </c>
    </row>
    <row r="1095" spans="1:7" x14ac:dyDescent="0.2">
      <c r="A1095" s="806">
        <v>41334</v>
      </c>
      <c r="B1095" s="839" t="s">
        <v>1732</v>
      </c>
      <c r="C1095" s="840" t="s">
        <v>1910</v>
      </c>
      <c r="D1095" s="808">
        <v>2789.12</v>
      </c>
      <c r="E1095" s="839" t="s">
        <v>1209</v>
      </c>
      <c r="F1095" s="203" t="e">
        <f>VLOOKUP(A1095,'Compos DER'!J:K,2,FALSE)</f>
        <v>#N/A</v>
      </c>
      <c r="G1095" s="198" t="e">
        <f t="shared" si="18"/>
        <v>#N/A</v>
      </c>
    </row>
    <row r="1096" spans="1:7" x14ac:dyDescent="0.2">
      <c r="A1096" s="806">
        <v>42683</v>
      </c>
      <c r="B1096" s="839" t="s">
        <v>1733</v>
      </c>
      <c r="C1096" s="840" t="s">
        <v>1910</v>
      </c>
      <c r="D1096" s="808">
        <v>2167.54</v>
      </c>
      <c r="E1096" s="839" t="s">
        <v>1209</v>
      </c>
      <c r="F1096" s="203" t="e">
        <f>VLOOKUP(A1096,'Compos DER'!J:K,2,FALSE)</f>
        <v>#N/A</v>
      </c>
      <c r="G1096" s="198" t="e">
        <f t="shared" si="18"/>
        <v>#N/A</v>
      </c>
    </row>
    <row r="1097" spans="1:7" x14ac:dyDescent="0.2">
      <c r="A1097" s="806">
        <v>42684</v>
      </c>
      <c r="B1097" s="839" t="s">
        <v>1734</v>
      </c>
      <c r="C1097" s="840" t="s">
        <v>1910</v>
      </c>
      <c r="D1097" s="808">
        <v>3363.38</v>
      </c>
      <c r="E1097" s="839" t="s">
        <v>1209</v>
      </c>
      <c r="F1097" s="203" t="e">
        <f>VLOOKUP(A1097,'Compos DER'!J:K,2,FALSE)</f>
        <v>#N/A</v>
      </c>
      <c r="G1097" s="198" t="e">
        <f t="shared" si="18"/>
        <v>#N/A</v>
      </c>
    </row>
    <row r="1098" spans="1:7" x14ac:dyDescent="0.2">
      <c r="A1098" s="806">
        <v>42685</v>
      </c>
      <c r="B1098" s="839" t="s">
        <v>1735</v>
      </c>
      <c r="C1098" s="840" t="s">
        <v>1910</v>
      </c>
      <c r="D1098" s="808">
        <v>4178.25</v>
      </c>
      <c r="E1098" s="839" t="s">
        <v>1209</v>
      </c>
      <c r="F1098" s="203" t="e">
        <f>VLOOKUP(A1098,'Compos DER'!J:K,2,FALSE)</f>
        <v>#N/A</v>
      </c>
      <c r="G1098" s="198" t="e">
        <f t="shared" si="18"/>
        <v>#N/A</v>
      </c>
    </row>
    <row r="1099" spans="1:7" x14ac:dyDescent="0.2">
      <c r="A1099" s="806">
        <v>42686</v>
      </c>
      <c r="B1099" s="839" t="s">
        <v>1736</v>
      </c>
      <c r="C1099" s="840" t="s">
        <v>1910</v>
      </c>
      <c r="D1099" s="808">
        <v>4962.08</v>
      </c>
      <c r="E1099" s="839" t="s">
        <v>1209</v>
      </c>
      <c r="F1099" s="203" t="e">
        <f>VLOOKUP(A1099,'Compos DER'!J:K,2,FALSE)</f>
        <v>#N/A</v>
      </c>
      <c r="G1099" s="198" t="e">
        <f t="shared" si="18"/>
        <v>#N/A</v>
      </c>
    </row>
    <row r="1100" spans="1:7" x14ac:dyDescent="0.2">
      <c r="A1100" s="806">
        <v>41162</v>
      </c>
      <c r="B1100" s="842" t="s">
        <v>2278</v>
      </c>
      <c r="C1100" s="840" t="s">
        <v>1910</v>
      </c>
      <c r="D1100" s="808">
        <v>2069.9499999999998</v>
      </c>
      <c r="E1100" s="843"/>
      <c r="F1100" s="203" t="e">
        <f>VLOOKUP(A1100,'Compos DER'!J:K,2,FALSE)</f>
        <v>#N/A</v>
      </c>
      <c r="G1100" s="198" t="e">
        <f t="shared" si="18"/>
        <v>#N/A</v>
      </c>
    </row>
    <row r="1101" spans="1:7" x14ac:dyDescent="0.2">
      <c r="A1101" s="806">
        <v>41163</v>
      </c>
      <c r="B1101" s="839" t="s">
        <v>1737</v>
      </c>
      <c r="C1101" s="840" t="s">
        <v>1910</v>
      </c>
      <c r="D1101" s="808">
        <v>2475.27</v>
      </c>
      <c r="E1101" s="841"/>
      <c r="F1101" s="203" t="e">
        <f>VLOOKUP(A1101,'Compos DER'!J:K,2,FALSE)</f>
        <v>#N/A</v>
      </c>
      <c r="G1101" s="198" t="e">
        <f t="shared" si="18"/>
        <v>#N/A</v>
      </c>
    </row>
    <row r="1102" spans="1:7" x14ac:dyDescent="0.2">
      <c r="A1102" s="806">
        <v>41164</v>
      </c>
      <c r="B1102" s="839" t="s">
        <v>1738</v>
      </c>
      <c r="C1102" s="840" t="s">
        <v>1910</v>
      </c>
      <c r="D1102" s="808">
        <v>3013.02</v>
      </c>
      <c r="E1102" s="841"/>
      <c r="F1102" s="203" t="e">
        <f>VLOOKUP(A1102,'Compos DER'!J:K,2,FALSE)</f>
        <v>#N/A</v>
      </c>
      <c r="G1102" s="198" t="e">
        <f t="shared" si="18"/>
        <v>#N/A</v>
      </c>
    </row>
    <row r="1103" spans="1:7" x14ac:dyDescent="0.2">
      <c r="A1103" s="806">
        <v>41165</v>
      </c>
      <c r="B1103" s="839" t="s">
        <v>1739</v>
      </c>
      <c r="C1103" s="840" t="s">
        <v>1910</v>
      </c>
      <c r="D1103" s="808">
        <v>3361.97</v>
      </c>
      <c r="E1103" s="841"/>
      <c r="F1103" s="203" t="e">
        <f>VLOOKUP(A1103,'Compos DER'!J:K,2,FALSE)</f>
        <v>#N/A</v>
      </c>
      <c r="G1103" s="198" t="e">
        <f t="shared" si="18"/>
        <v>#N/A</v>
      </c>
    </row>
    <row r="1104" spans="1:7" x14ac:dyDescent="0.2">
      <c r="A1104" s="806">
        <v>41166</v>
      </c>
      <c r="B1104" s="839" t="s">
        <v>1740</v>
      </c>
      <c r="C1104" s="840" t="s">
        <v>1910</v>
      </c>
      <c r="D1104" s="808">
        <v>4117.24</v>
      </c>
      <c r="E1104" s="841"/>
      <c r="F1104" s="203" t="e">
        <f>VLOOKUP(A1104,'Compos DER'!J:K,2,FALSE)</f>
        <v>#N/A</v>
      </c>
      <c r="G1104" s="198" t="e">
        <f t="shared" si="18"/>
        <v>#N/A</v>
      </c>
    </row>
    <row r="1105" spans="1:7" x14ac:dyDescent="0.2">
      <c r="A1105" s="806">
        <v>42687</v>
      </c>
      <c r="B1105" s="839" t="s">
        <v>1741</v>
      </c>
      <c r="C1105" s="840" t="s">
        <v>1910</v>
      </c>
      <c r="D1105" s="808">
        <v>1438.04</v>
      </c>
      <c r="E1105" s="841"/>
      <c r="F1105" s="203" t="e">
        <f>VLOOKUP(A1105,'Compos DER'!J:K,2,FALSE)</f>
        <v>#N/A</v>
      </c>
      <c r="G1105" s="198" t="e">
        <f t="shared" si="18"/>
        <v>#N/A</v>
      </c>
    </row>
    <row r="1106" spans="1:7" x14ac:dyDescent="0.2">
      <c r="A1106" s="806">
        <v>42688</v>
      </c>
      <c r="B1106" s="839" t="s">
        <v>1742</v>
      </c>
      <c r="C1106" s="840" t="s">
        <v>1910</v>
      </c>
      <c r="D1106" s="808">
        <v>1819.58</v>
      </c>
      <c r="E1106" s="841"/>
      <c r="F1106" s="203" t="e">
        <f>VLOOKUP(A1106,'Compos DER'!J:K,2,FALSE)</f>
        <v>#N/A</v>
      </c>
      <c r="G1106" s="198" t="e">
        <f t="shared" si="18"/>
        <v>#N/A</v>
      </c>
    </row>
    <row r="1107" spans="1:7" x14ac:dyDescent="0.2">
      <c r="A1107" s="806">
        <v>42689</v>
      </c>
      <c r="B1107" s="839" t="s">
        <v>1743</v>
      </c>
      <c r="C1107" s="840" t="s">
        <v>1910</v>
      </c>
      <c r="D1107" s="808">
        <v>2290.4899999999998</v>
      </c>
      <c r="E1107" s="841"/>
      <c r="F1107" s="203" t="e">
        <f>VLOOKUP(A1107,'Compos DER'!J:K,2,FALSE)</f>
        <v>#N/A</v>
      </c>
      <c r="G1107" s="198" t="e">
        <f t="shared" si="18"/>
        <v>#N/A</v>
      </c>
    </row>
    <row r="1108" spans="1:7" x14ac:dyDescent="0.2">
      <c r="A1108" s="806">
        <v>42690</v>
      </c>
      <c r="B1108" s="839" t="s">
        <v>1744</v>
      </c>
      <c r="C1108" s="840" t="s">
        <v>1910</v>
      </c>
      <c r="D1108" s="808">
        <v>3656.04</v>
      </c>
      <c r="E1108" s="841"/>
      <c r="F1108" s="203" t="e">
        <f>VLOOKUP(A1108,'Compos DER'!J:K,2,FALSE)</f>
        <v>#N/A</v>
      </c>
      <c r="G1108" s="198" t="e">
        <f t="shared" si="18"/>
        <v>#N/A</v>
      </c>
    </row>
    <row r="1109" spans="1:7" x14ac:dyDescent="0.2">
      <c r="A1109" s="806">
        <v>42691</v>
      </c>
      <c r="B1109" s="839" t="s">
        <v>869</v>
      </c>
      <c r="C1109" s="840" t="s">
        <v>1910</v>
      </c>
      <c r="D1109" s="808">
        <v>8176.38</v>
      </c>
      <c r="E1109" s="839" t="s">
        <v>1209</v>
      </c>
      <c r="F1109" s="203" t="e">
        <f>VLOOKUP(A1109,'Compos DER'!J:K,2,FALSE)</f>
        <v>#N/A</v>
      </c>
      <c r="G1109" s="198" t="e">
        <f t="shared" si="18"/>
        <v>#N/A</v>
      </c>
    </row>
    <row r="1110" spans="1:7" x14ac:dyDescent="0.2">
      <c r="A1110" s="806">
        <v>42693</v>
      </c>
      <c r="B1110" s="839" t="s">
        <v>870</v>
      </c>
      <c r="C1110" s="840" t="s">
        <v>1948</v>
      </c>
      <c r="D1110" s="808">
        <v>3747.25</v>
      </c>
      <c r="E1110" s="841"/>
      <c r="F1110" s="203" t="e">
        <f>VLOOKUP(A1110,'Compos DER'!J:K,2,FALSE)</f>
        <v>#N/A</v>
      </c>
      <c r="G1110" s="198" t="e">
        <f t="shared" si="18"/>
        <v>#N/A</v>
      </c>
    </row>
    <row r="1111" spans="1:7" x14ac:dyDescent="0.2">
      <c r="A1111" s="806">
        <v>42692</v>
      </c>
      <c r="B1111" s="839" t="s">
        <v>871</v>
      </c>
      <c r="C1111" s="840" t="s">
        <v>1910</v>
      </c>
      <c r="D1111" s="807">
        <v>641.95000000000005</v>
      </c>
      <c r="E1111" s="841"/>
      <c r="F1111" s="203" t="e">
        <f>VLOOKUP(A1111,'Compos DER'!J:K,2,FALSE)</f>
        <v>#N/A</v>
      </c>
      <c r="G1111" s="198" t="e">
        <f t="shared" si="18"/>
        <v>#N/A</v>
      </c>
    </row>
    <row r="1112" spans="1:7" x14ac:dyDescent="0.2">
      <c r="A1112" s="806">
        <v>41085</v>
      </c>
      <c r="B1112" s="839" t="s">
        <v>872</v>
      </c>
      <c r="C1112" s="840" t="s">
        <v>1910</v>
      </c>
      <c r="D1112" s="808">
        <v>1478.53</v>
      </c>
      <c r="E1112" s="841"/>
      <c r="F1112" s="203" t="e">
        <f>VLOOKUP(A1112,'Compos DER'!J:K,2,FALSE)</f>
        <v>#N/A</v>
      </c>
      <c r="G1112" s="198" t="e">
        <f t="shared" si="18"/>
        <v>#N/A</v>
      </c>
    </row>
    <row r="1113" spans="1:7" x14ac:dyDescent="0.2">
      <c r="A1113" s="806">
        <v>42694</v>
      </c>
      <c r="B1113" s="839" t="s">
        <v>873</v>
      </c>
      <c r="C1113" s="840" t="s">
        <v>1910</v>
      </c>
      <c r="D1113" s="807">
        <v>750.93</v>
      </c>
      <c r="E1113" s="839" t="s">
        <v>1209</v>
      </c>
      <c r="F1113" s="203" t="e">
        <f>VLOOKUP(A1113,'Compos DER'!J:K,2,FALSE)</f>
        <v>#N/A</v>
      </c>
      <c r="G1113" s="198" t="e">
        <f t="shared" si="18"/>
        <v>#N/A</v>
      </c>
    </row>
    <row r="1114" spans="1:7" x14ac:dyDescent="0.2">
      <c r="A1114" s="806">
        <v>41241</v>
      </c>
      <c r="B1114" s="839" t="s">
        <v>874</v>
      </c>
      <c r="C1114" s="840" t="s">
        <v>1910</v>
      </c>
      <c r="D1114" s="808">
        <v>1394.61</v>
      </c>
      <c r="E1114" s="839" t="s">
        <v>1209</v>
      </c>
      <c r="F1114" s="203" t="e">
        <f>VLOOKUP(A1114,'Compos DER'!J:K,2,FALSE)</f>
        <v>#N/A</v>
      </c>
      <c r="G1114" s="198" t="e">
        <f t="shared" si="18"/>
        <v>#N/A</v>
      </c>
    </row>
    <row r="1115" spans="1:7" x14ac:dyDescent="0.2">
      <c r="A1115" s="806">
        <v>42697</v>
      </c>
      <c r="B1115" s="839" t="s">
        <v>875</v>
      </c>
      <c r="C1115" s="840" t="s">
        <v>1948</v>
      </c>
      <c r="D1115" s="807">
        <v>692.71</v>
      </c>
      <c r="E1115" s="839" t="s">
        <v>1209</v>
      </c>
      <c r="F1115" s="203" t="e">
        <f>VLOOKUP(A1115,'Compos DER'!J:K,2,FALSE)</f>
        <v>#N/A</v>
      </c>
      <c r="G1115" s="198" t="e">
        <f t="shared" si="18"/>
        <v>#N/A</v>
      </c>
    </row>
    <row r="1116" spans="1:7" x14ac:dyDescent="0.2">
      <c r="A1116" s="806">
        <v>42698</v>
      </c>
      <c r="B1116" s="842" t="s">
        <v>2279</v>
      </c>
      <c r="C1116" s="840" t="s">
        <v>1948</v>
      </c>
      <c r="D1116" s="807">
        <v>203.13</v>
      </c>
      <c r="E1116" s="839" t="s">
        <v>1209</v>
      </c>
      <c r="F1116" s="203" t="e">
        <f>VLOOKUP(A1116,'Compos DER'!J:K,2,FALSE)</f>
        <v>#N/A</v>
      </c>
      <c r="G1116" s="198" t="e">
        <f t="shared" si="18"/>
        <v>#N/A</v>
      </c>
    </row>
    <row r="1117" spans="1:7" x14ac:dyDescent="0.2">
      <c r="A1117" s="806">
        <v>42699</v>
      </c>
      <c r="B1117" s="839" t="s">
        <v>876</v>
      </c>
      <c r="C1117" s="840" t="s">
        <v>1948</v>
      </c>
      <c r="D1117" s="807">
        <v>265.19</v>
      </c>
      <c r="E1117" s="841"/>
      <c r="F1117" s="203">
        <f>VLOOKUP(A1117,'Compos DER'!J:K,2,FALSE)</f>
        <v>277.06</v>
      </c>
      <c r="G1117" s="198">
        <f t="shared" si="18"/>
        <v>1.0447603604962501</v>
      </c>
    </row>
    <row r="1118" spans="1:7" x14ac:dyDescent="0.2">
      <c r="A1118" s="806">
        <v>42700</v>
      </c>
      <c r="B1118" s="839" t="s">
        <v>877</v>
      </c>
      <c r="C1118" s="840" t="s">
        <v>1948</v>
      </c>
      <c r="D1118" s="807">
        <v>186.59</v>
      </c>
      <c r="E1118" s="839" t="s">
        <v>1209</v>
      </c>
      <c r="F1118" s="203" t="e">
        <f>VLOOKUP(A1118,'Compos DER'!J:K,2,FALSE)</f>
        <v>#N/A</v>
      </c>
      <c r="G1118" s="198" t="e">
        <f t="shared" si="18"/>
        <v>#N/A</v>
      </c>
    </row>
    <row r="1119" spans="1:7" x14ac:dyDescent="0.2">
      <c r="A1119" s="806">
        <v>42701</v>
      </c>
      <c r="B1119" s="839" t="s">
        <v>1745</v>
      </c>
      <c r="C1119" s="840" t="s">
        <v>1905</v>
      </c>
      <c r="D1119" s="807">
        <v>38.15</v>
      </c>
      <c r="E1119" s="841"/>
      <c r="F1119" s="203" t="e">
        <f>VLOOKUP(A1119,'Compos DER'!J:K,2,FALSE)</f>
        <v>#N/A</v>
      </c>
      <c r="G1119" s="198" t="e">
        <f t="shared" si="18"/>
        <v>#N/A</v>
      </c>
    </row>
    <row r="1120" spans="1:7" x14ac:dyDescent="0.2">
      <c r="A1120" s="806">
        <v>42703</v>
      </c>
      <c r="B1120" s="842" t="s">
        <v>2280</v>
      </c>
      <c r="C1120" s="840" t="s">
        <v>1905</v>
      </c>
      <c r="D1120" s="807">
        <v>91.71</v>
      </c>
      <c r="E1120" s="843"/>
      <c r="F1120" s="203" t="e">
        <f>VLOOKUP(A1120,'Compos DER'!J:K,2,FALSE)</f>
        <v>#N/A</v>
      </c>
      <c r="G1120" s="198" t="e">
        <f t="shared" si="18"/>
        <v>#N/A</v>
      </c>
    </row>
    <row r="1121" spans="1:7" x14ac:dyDescent="0.2">
      <c r="A1121" s="806">
        <v>42704</v>
      </c>
      <c r="B1121" s="839" t="s">
        <v>878</v>
      </c>
      <c r="C1121" s="840" t="s">
        <v>1905</v>
      </c>
      <c r="D1121" s="807">
        <v>6.56</v>
      </c>
      <c r="E1121" s="841"/>
      <c r="F1121" s="203" t="e">
        <f>VLOOKUP(A1121,'Compos DER'!J:K,2,FALSE)</f>
        <v>#N/A</v>
      </c>
      <c r="G1121" s="198" t="e">
        <f t="shared" si="18"/>
        <v>#N/A</v>
      </c>
    </row>
    <row r="1122" spans="1:7" x14ac:dyDescent="0.2">
      <c r="A1122" s="806">
        <v>42705</v>
      </c>
      <c r="B1122" s="839" t="s">
        <v>879</v>
      </c>
      <c r="C1122" s="840" t="s">
        <v>1905</v>
      </c>
      <c r="D1122" s="807">
        <v>10.91</v>
      </c>
      <c r="E1122" s="841"/>
      <c r="F1122" s="203" t="e">
        <f>VLOOKUP(A1122,'Compos DER'!J:K,2,FALSE)</f>
        <v>#N/A</v>
      </c>
      <c r="G1122" s="198" t="e">
        <f t="shared" si="18"/>
        <v>#N/A</v>
      </c>
    </row>
    <row r="1123" spans="1:7" x14ac:dyDescent="0.2">
      <c r="A1123" s="806">
        <v>42706</v>
      </c>
      <c r="B1123" s="842" t="s">
        <v>2281</v>
      </c>
      <c r="C1123" s="840" t="s">
        <v>1906</v>
      </c>
      <c r="D1123" s="807">
        <v>5.5</v>
      </c>
      <c r="E1123" s="843"/>
      <c r="F1123" s="203" t="e">
        <f>VLOOKUP(A1123,'Compos DER'!J:K,2,FALSE)</f>
        <v>#N/A</v>
      </c>
      <c r="G1123" s="198" t="e">
        <f t="shared" si="18"/>
        <v>#N/A</v>
      </c>
    </row>
    <row r="1124" spans="1:7" x14ac:dyDescent="0.2">
      <c r="A1124" s="806">
        <v>42707</v>
      </c>
      <c r="B1124" s="842" t="s">
        <v>2282</v>
      </c>
      <c r="C1124" s="840" t="s">
        <v>1906</v>
      </c>
      <c r="D1124" s="807">
        <v>84.69</v>
      </c>
      <c r="E1124" s="839" t="s">
        <v>1209</v>
      </c>
      <c r="F1124" s="203" t="e">
        <f>VLOOKUP(A1124,'Compos DER'!J:K,2,FALSE)</f>
        <v>#N/A</v>
      </c>
      <c r="G1124" s="198" t="e">
        <f t="shared" si="18"/>
        <v>#N/A</v>
      </c>
    </row>
    <row r="1125" spans="1:7" x14ac:dyDescent="0.2">
      <c r="A1125" s="806">
        <v>42708</v>
      </c>
      <c r="B1125" s="842" t="s">
        <v>2283</v>
      </c>
      <c r="C1125" s="840" t="s">
        <v>1906</v>
      </c>
      <c r="D1125" s="807">
        <v>92.31</v>
      </c>
      <c r="E1125" s="839" t="s">
        <v>1209</v>
      </c>
      <c r="F1125" s="203" t="e">
        <f>VLOOKUP(A1125,'Compos DER'!J:K,2,FALSE)</f>
        <v>#N/A</v>
      </c>
      <c r="G1125" s="198" t="e">
        <f t="shared" si="18"/>
        <v>#N/A</v>
      </c>
    </row>
    <row r="1126" spans="1:7" x14ac:dyDescent="0.2">
      <c r="A1126" s="806">
        <v>42709</v>
      </c>
      <c r="B1126" s="842" t="s">
        <v>2284</v>
      </c>
      <c r="C1126" s="840" t="s">
        <v>1906</v>
      </c>
      <c r="D1126" s="807">
        <v>93.83</v>
      </c>
      <c r="E1126" s="839" t="s">
        <v>1209</v>
      </c>
      <c r="F1126" s="203" t="e">
        <f>VLOOKUP(A1126,'Compos DER'!J:K,2,FALSE)</f>
        <v>#N/A</v>
      </c>
      <c r="G1126" s="198" t="e">
        <f t="shared" si="18"/>
        <v>#N/A</v>
      </c>
    </row>
    <row r="1127" spans="1:7" x14ac:dyDescent="0.2">
      <c r="A1127" s="806">
        <v>42710</v>
      </c>
      <c r="B1127" s="842" t="s">
        <v>2285</v>
      </c>
      <c r="C1127" s="840" t="s">
        <v>1906</v>
      </c>
      <c r="D1127" s="807">
        <v>96.67</v>
      </c>
      <c r="E1127" s="839" t="s">
        <v>1209</v>
      </c>
      <c r="F1127" s="203" t="e">
        <f>VLOOKUP(A1127,'Compos DER'!J:K,2,FALSE)</f>
        <v>#N/A</v>
      </c>
      <c r="G1127" s="198" t="e">
        <f t="shared" si="18"/>
        <v>#N/A</v>
      </c>
    </row>
    <row r="1128" spans="1:7" x14ac:dyDescent="0.2">
      <c r="A1128" s="806">
        <v>42711</v>
      </c>
      <c r="B1128" s="842" t="s">
        <v>2286</v>
      </c>
      <c r="C1128" s="840" t="s">
        <v>1948</v>
      </c>
      <c r="D1128" s="807">
        <v>439.9</v>
      </c>
      <c r="E1128" s="839" t="s">
        <v>1209</v>
      </c>
      <c r="F1128" s="203" t="e">
        <f>VLOOKUP(A1128,'Compos DER'!J:K,2,FALSE)</f>
        <v>#N/A</v>
      </c>
      <c r="G1128" s="198" t="e">
        <f t="shared" si="18"/>
        <v>#N/A</v>
      </c>
    </row>
    <row r="1129" spans="1:7" ht="25.5" x14ac:dyDescent="0.2">
      <c r="A1129" s="806">
        <v>42712</v>
      </c>
      <c r="B1129" s="842" t="s">
        <v>2287</v>
      </c>
      <c r="C1129" s="840" t="s">
        <v>1906</v>
      </c>
      <c r="D1129" s="807">
        <v>933.48</v>
      </c>
      <c r="E1129" s="843"/>
      <c r="F1129" s="203" t="e">
        <f>VLOOKUP(A1129,'Compos DER'!J:K,2,FALSE)</f>
        <v>#N/A</v>
      </c>
      <c r="G1129" s="198" t="e">
        <f t="shared" si="18"/>
        <v>#N/A</v>
      </c>
    </row>
    <row r="1130" spans="1:7" x14ac:dyDescent="0.2">
      <c r="A1130" s="806">
        <v>42714</v>
      </c>
      <c r="B1130" s="839" t="s">
        <v>880</v>
      </c>
      <c r="C1130" s="840" t="s">
        <v>1906</v>
      </c>
      <c r="D1130" s="807">
        <v>492.91</v>
      </c>
      <c r="E1130" s="839" t="s">
        <v>1209</v>
      </c>
      <c r="F1130" s="203" t="e">
        <f>VLOOKUP(A1130,'Compos DER'!J:K,2,FALSE)</f>
        <v>#N/A</v>
      </c>
      <c r="G1130" s="198" t="e">
        <f t="shared" si="18"/>
        <v>#N/A</v>
      </c>
    </row>
    <row r="1131" spans="1:7" x14ac:dyDescent="0.2">
      <c r="A1131" s="806">
        <v>42717</v>
      </c>
      <c r="B1131" s="839" t="s">
        <v>1746</v>
      </c>
      <c r="C1131" s="840" t="s">
        <v>1906</v>
      </c>
      <c r="D1131" s="807">
        <v>654.49</v>
      </c>
      <c r="E1131" s="839" t="s">
        <v>1209</v>
      </c>
      <c r="F1131" s="203" t="e">
        <f>VLOOKUP(A1131,'Compos DER'!J:K,2,FALSE)</f>
        <v>#N/A</v>
      </c>
      <c r="G1131" s="198" t="e">
        <f t="shared" si="18"/>
        <v>#N/A</v>
      </c>
    </row>
    <row r="1132" spans="1:7" x14ac:dyDescent="0.2">
      <c r="A1132" s="806">
        <v>42716</v>
      </c>
      <c r="B1132" s="839" t="s">
        <v>1747</v>
      </c>
      <c r="C1132" s="840" t="s">
        <v>1906</v>
      </c>
      <c r="D1132" s="807">
        <v>650.03</v>
      </c>
      <c r="E1132" s="839" t="s">
        <v>1209</v>
      </c>
      <c r="F1132" s="203" t="e">
        <f>VLOOKUP(A1132,'Compos DER'!J:K,2,FALSE)</f>
        <v>#N/A</v>
      </c>
      <c r="G1132" s="198" t="e">
        <f t="shared" si="18"/>
        <v>#N/A</v>
      </c>
    </row>
    <row r="1133" spans="1:7" x14ac:dyDescent="0.2">
      <c r="A1133" s="806">
        <v>42719</v>
      </c>
      <c r="B1133" s="839" t="s">
        <v>1748</v>
      </c>
      <c r="C1133" s="840" t="s">
        <v>1906</v>
      </c>
      <c r="D1133" s="807">
        <v>676.22</v>
      </c>
      <c r="E1133" s="839" t="s">
        <v>1209</v>
      </c>
      <c r="F1133" s="203" t="e">
        <f>VLOOKUP(A1133,'Compos DER'!J:K,2,FALSE)</f>
        <v>#N/A</v>
      </c>
      <c r="G1133" s="198" t="e">
        <f t="shared" si="18"/>
        <v>#N/A</v>
      </c>
    </row>
    <row r="1134" spans="1:7" x14ac:dyDescent="0.2">
      <c r="A1134" s="806">
        <v>42718</v>
      </c>
      <c r="B1134" s="839" t="s">
        <v>1749</v>
      </c>
      <c r="C1134" s="840" t="s">
        <v>1906</v>
      </c>
      <c r="D1134" s="807">
        <v>671.23</v>
      </c>
      <c r="E1134" s="839" t="s">
        <v>1209</v>
      </c>
      <c r="F1134" s="203" t="e">
        <f>VLOOKUP(A1134,'Compos DER'!J:K,2,FALSE)</f>
        <v>#N/A</v>
      </c>
      <c r="G1134" s="198" t="e">
        <f t="shared" si="18"/>
        <v>#N/A</v>
      </c>
    </row>
    <row r="1135" spans="1:7" x14ac:dyDescent="0.2">
      <c r="A1135" s="806">
        <v>42722</v>
      </c>
      <c r="B1135" s="842" t="s">
        <v>2288</v>
      </c>
      <c r="C1135" s="840" t="s">
        <v>1906</v>
      </c>
      <c r="D1135" s="807">
        <v>874.46</v>
      </c>
      <c r="E1135" s="839" t="s">
        <v>1209</v>
      </c>
      <c r="F1135" s="203" t="e">
        <f>VLOOKUP(A1135,'Compos DER'!J:K,2,FALSE)</f>
        <v>#N/A</v>
      </c>
      <c r="G1135" s="198" t="e">
        <f t="shared" si="18"/>
        <v>#N/A</v>
      </c>
    </row>
    <row r="1136" spans="1:7" x14ac:dyDescent="0.2">
      <c r="A1136" s="806">
        <v>42721</v>
      </c>
      <c r="B1136" s="839" t="s">
        <v>1750</v>
      </c>
      <c r="C1136" s="840" t="s">
        <v>1906</v>
      </c>
      <c r="D1136" s="807">
        <v>696.3</v>
      </c>
      <c r="E1136" s="839" t="s">
        <v>1209</v>
      </c>
      <c r="F1136" s="203" t="e">
        <f>VLOOKUP(A1136,'Compos DER'!J:K,2,FALSE)</f>
        <v>#N/A</v>
      </c>
      <c r="G1136" s="198" t="e">
        <f t="shared" si="18"/>
        <v>#N/A</v>
      </c>
    </row>
    <row r="1137" spans="1:7" x14ac:dyDescent="0.2">
      <c r="A1137" s="806">
        <v>42720</v>
      </c>
      <c r="B1137" s="839" t="s">
        <v>1751</v>
      </c>
      <c r="C1137" s="840" t="s">
        <v>1906</v>
      </c>
      <c r="D1137" s="807">
        <v>690.8</v>
      </c>
      <c r="E1137" s="839" t="s">
        <v>1209</v>
      </c>
      <c r="F1137" s="203" t="e">
        <f>VLOOKUP(A1137,'Compos DER'!J:K,2,FALSE)</f>
        <v>#N/A</v>
      </c>
      <c r="G1137" s="198" t="e">
        <f t="shared" si="18"/>
        <v>#N/A</v>
      </c>
    </row>
    <row r="1138" spans="1:7" x14ac:dyDescent="0.2">
      <c r="A1138" s="806">
        <v>42723</v>
      </c>
      <c r="B1138" s="842" t="s">
        <v>2289</v>
      </c>
      <c r="C1138" s="840" t="s">
        <v>1906</v>
      </c>
      <c r="D1138" s="807">
        <v>838.85</v>
      </c>
      <c r="E1138" s="839" t="s">
        <v>1209</v>
      </c>
      <c r="F1138" s="203" t="e">
        <f>VLOOKUP(A1138,'Compos DER'!J:K,2,FALSE)</f>
        <v>#N/A</v>
      </c>
      <c r="G1138" s="198" t="e">
        <f t="shared" si="18"/>
        <v>#N/A</v>
      </c>
    </row>
    <row r="1139" spans="1:7" x14ac:dyDescent="0.2">
      <c r="A1139" s="806">
        <v>42724</v>
      </c>
      <c r="B1139" s="839" t="s">
        <v>1752</v>
      </c>
      <c r="C1139" s="840" t="s">
        <v>1906</v>
      </c>
      <c r="D1139" s="808">
        <v>1257.21</v>
      </c>
      <c r="E1139" s="839" t="s">
        <v>1209</v>
      </c>
      <c r="F1139" s="203" t="e">
        <f>VLOOKUP(A1139,'Compos DER'!J:K,2,FALSE)</f>
        <v>#N/A</v>
      </c>
      <c r="G1139" s="198" t="e">
        <f t="shared" si="18"/>
        <v>#N/A</v>
      </c>
    </row>
    <row r="1140" spans="1:7" x14ac:dyDescent="0.2">
      <c r="A1140" s="806">
        <v>42726</v>
      </c>
      <c r="B1140" s="842" t="s">
        <v>2290</v>
      </c>
      <c r="C1140" s="840" t="s">
        <v>1948</v>
      </c>
      <c r="D1140" s="807">
        <v>323.14</v>
      </c>
      <c r="E1140" s="839" t="s">
        <v>1209</v>
      </c>
      <c r="F1140" s="203" t="e">
        <f>VLOOKUP(A1140,'Compos DER'!J:K,2,FALSE)</f>
        <v>#N/A</v>
      </c>
      <c r="G1140" s="198" t="e">
        <f t="shared" si="18"/>
        <v>#N/A</v>
      </c>
    </row>
    <row r="1141" spans="1:7" x14ac:dyDescent="0.2">
      <c r="A1141" s="806">
        <v>42727</v>
      </c>
      <c r="B1141" s="842" t="s">
        <v>2291</v>
      </c>
      <c r="C1141" s="840" t="s">
        <v>1948</v>
      </c>
      <c r="D1141" s="807">
        <v>346.3</v>
      </c>
      <c r="E1141" s="839" t="s">
        <v>1209</v>
      </c>
      <c r="F1141" s="203" t="e">
        <f>VLOOKUP(A1141,'Compos DER'!J:K,2,FALSE)</f>
        <v>#N/A</v>
      </c>
      <c r="G1141" s="198" t="e">
        <f t="shared" si="18"/>
        <v>#N/A</v>
      </c>
    </row>
    <row r="1142" spans="1:7" x14ac:dyDescent="0.2">
      <c r="A1142" s="806">
        <v>42728</v>
      </c>
      <c r="B1142" s="842" t="s">
        <v>2292</v>
      </c>
      <c r="C1142" s="840" t="s">
        <v>1948</v>
      </c>
      <c r="D1142" s="807">
        <v>341.39</v>
      </c>
      <c r="E1142" s="839" t="s">
        <v>1209</v>
      </c>
      <c r="F1142" s="203" t="e">
        <f>VLOOKUP(A1142,'Compos DER'!J:K,2,FALSE)</f>
        <v>#N/A</v>
      </c>
      <c r="G1142" s="198" t="e">
        <f t="shared" si="18"/>
        <v>#N/A</v>
      </c>
    </row>
    <row r="1143" spans="1:7" x14ac:dyDescent="0.2">
      <c r="A1143" s="806">
        <v>42729</v>
      </c>
      <c r="B1143" s="842" t="s">
        <v>2293</v>
      </c>
      <c r="C1143" s="840" t="s">
        <v>1948</v>
      </c>
      <c r="D1143" s="807">
        <v>379.43</v>
      </c>
      <c r="E1143" s="839" t="s">
        <v>1209</v>
      </c>
      <c r="F1143" s="203" t="e">
        <f>VLOOKUP(A1143,'Compos DER'!J:K,2,FALSE)</f>
        <v>#N/A</v>
      </c>
      <c r="G1143" s="198" t="e">
        <f t="shared" si="18"/>
        <v>#N/A</v>
      </c>
    </row>
    <row r="1144" spans="1:7" x14ac:dyDescent="0.2">
      <c r="A1144" s="806">
        <v>42730</v>
      </c>
      <c r="B1144" s="842" t="s">
        <v>2294</v>
      </c>
      <c r="C1144" s="840" t="s">
        <v>1948</v>
      </c>
      <c r="D1144" s="807">
        <v>702.76</v>
      </c>
      <c r="E1144" s="839" t="s">
        <v>1209</v>
      </c>
      <c r="F1144" s="203" t="e">
        <f>VLOOKUP(A1144,'Compos DER'!J:K,2,FALSE)</f>
        <v>#N/A</v>
      </c>
      <c r="G1144" s="198" t="e">
        <f t="shared" si="18"/>
        <v>#N/A</v>
      </c>
    </row>
    <row r="1145" spans="1:7" x14ac:dyDescent="0.2">
      <c r="A1145" s="806">
        <v>42731</v>
      </c>
      <c r="B1145" s="842" t="s">
        <v>2295</v>
      </c>
      <c r="C1145" s="840" t="s">
        <v>1948</v>
      </c>
      <c r="D1145" s="807">
        <v>733.14</v>
      </c>
      <c r="E1145" s="839" t="s">
        <v>1209</v>
      </c>
      <c r="F1145" s="203" t="e">
        <f>VLOOKUP(A1145,'Compos DER'!J:K,2,FALSE)</f>
        <v>#N/A</v>
      </c>
      <c r="G1145" s="198" t="e">
        <f t="shared" si="18"/>
        <v>#N/A</v>
      </c>
    </row>
    <row r="1146" spans="1:7" x14ac:dyDescent="0.2">
      <c r="A1146" s="806">
        <v>42732</v>
      </c>
      <c r="B1146" s="842" t="s">
        <v>2296</v>
      </c>
      <c r="C1146" s="840" t="s">
        <v>1948</v>
      </c>
      <c r="D1146" s="807">
        <v>722.98</v>
      </c>
      <c r="E1146" s="839" t="s">
        <v>1209</v>
      </c>
      <c r="F1146" s="203" t="e">
        <f>VLOOKUP(A1146,'Compos DER'!J:K,2,FALSE)</f>
        <v>#N/A</v>
      </c>
      <c r="G1146" s="198" t="e">
        <f t="shared" si="18"/>
        <v>#N/A</v>
      </c>
    </row>
    <row r="1147" spans="1:7" x14ac:dyDescent="0.2">
      <c r="A1147" s="806">
        <v>42733</v>
      </c>
      <c r="B1147" s="842" t="s">
        <v>2297</v>
      </c>
      <c r="C1147" s="840" t="s">
        <v>1948</v>
      </c>
      <c r="D1147" s="807">
        <v>795.4</v>
      </c>
      <c r="E1147" s="839" t="s">
        <v>1209</v>
      </c>
      <c r="F1147" s="203" t="e">
        <f>VLOOKUP(A1147,'Compos DER'!J:K,2,FALSE)</f>
        <v>#N/A</v>
      </c>
      <c r="G1147" s="198" t="e">
        <f t="shared" si="18"/>
        <v>#N/A</v>
      </c>
    </row>
    <row r="1148" spans="1:7" x14ac:dyDescent="0.2">
      <c r="A1148" s="806">
        <v>42734</v>
      </c>
      <c r="B1148" s="842" t="s">
        <v>2298</v>
      </c>
      <c r="C1148" s="840" t="s">
        <v>1948</v>
      </c>
      <c r="D1148" s="807">
        <v>959.19</v>
      </c>
      <c r="E1148" s="839" t="s">
        <v>1209</v>
      </c>
      <c r="F1148" s="203" t="e">
        <f>VLOOKUP(A1148,'Compos DER'!J:K,2,FALSE)</f>
        <v>#N/A</v>
      </c>
      <c r="G1148" s="198" t="e">
        <f t="shared" si="18"/>
        <v>#N/A</v>
      </c>
    </row>
    <row r="1149" spans="1:7" x14ac:dyDescent="0.2">
      <c r="A1149" s="806">
        <v>42735</v>
      </c>
      <c r="B1149" s="842" t="s">
        <v>2299</v>
      </c>
      <c r="C1149" s="840" t="s">
        <v>1948</v>
      </c>
      <c r="D1149" s="807">
        <v>906.26</v>
      </c>
      <c r="E1149" s="839" t="s">
        <v>1209</v>
      </c>
      <c r="F1149" s="203" t="e">
        <f>VLOOKUP(A1149,'Compos DER'!J:K,2,FALSE)</f>
        <v>#N/A</v>
      </c>
      <c r="G1149" s="198" t="e">
        <f t="shared" ref="G1149:G1212" si="19">+F1149/D1149</f>
        <v>#N/A</v>
      </c>
    </row>
    <row r="1150" spans="1:7" x14ac:dyDescent="0.2">
      <c r="A1150" s="806">
        <v>42736</v>
      </c>
      <c r="B1150" s="842" t="s">
        <v>2300</v>
      </c>
      <c r="C1150" s="840" t="s">
        <v>1948</v>
      </c>
      <c r="D1150" s="807">
        <v>931.64</v>
      </c>
      <c r="E1150" s="839" t="s">
        <v>1209</v>
      </c>
      <c r="F1150" s="203" t="e">
        <f>VLOOKUP(A1150,'Compos DER'!J:K,2,FALSE)</f>
        <v>#N/A</v>
      </c>
      <c r="G1150" s="198" t="e">
        <f t="shared" si="19"/>
        <v>#N/A</v>
      </c>
    </row>
    <row r="1151" spans="1:7" x14ac:dyDescent="0.2">
      <c r="A1151" s="806">
        <v>42737</v>
      </c>
      <c r="B1151" s="842" t="s">
        <v>2301</v>
      </c>
      <c r="C1151" s="840" t="s">
        <v>1948</v>
      </c>
      <c r="D1151" s="808">
        <v>1101.1099999999999</v>
      </c>
      <c r="E1151" s="839" t="s">
        <v>1209</v>
      </c>
      <c r="F1151" s="203" t="e">
        <f>VLOOKUP(A1151,'Compos DER'!J:K,2,FALSE)</f>
        <v>#N/A</v>
      </c>
      <c r="G1151" s="198" t="e">
        <f t="shared" si="19"/>
        <v>#N/A</v>
      </c>
    </row>
    <row r="1152" spans="1:7" x14ac:dyDescent="0.2">
      <c r="A1152" s="806">
        <v>42738</v>
      </c>
      <c r="B1152" s="842" t="s">
        <v>2302</v>
      </c>
      <c r="C1152" s="840" t="s">
        <v>1948</v>
      </c>
      <c r="D1152" s="808">
        <v>1173.96</v>
      </c>
      <c r="E1152" s="839" t="s">
        <v>1209</v>
      </c>
      <c r="F1152" s="203" t="e">
        <f>VLOOKUP(A1152,'Compos DER'!J:K,2,FALSE)</f>
        <v>#N/A</v>
      </c>
      <c r="G1152" s="198" t="e">
        <f t="shared" si="19"/>
        <v>#N/A</v>
      </c>
    </row>
    <row r="1153" spans="1:7" x14ac:dyDescent="0.2">
      <c r="A1153" s="806">
        <v>42739</v>
      </c>
      <c r="B1153" s="842" t="s">
        <v>2303</v>
      </c>
      <c r="C1153" s="840" t="s">
        <v>1948</v>
      </c>
      <c r="D1153" s="808">
        <v>1301.79</v>
      </c>
      <c r="E1153" s="839" t="s">
        <v>1209</v>
      </c>
      <c r="F1153" s="203" t="e">
        <f>VLOOKUP(A1153,'Compos DER'!J:K,2,FALSE)</f>
        <v>#N/A</v>
      </c>
      <c r="G1153" s="198" t="e">
        <f t="shared" si="19"/>
        <v>#N/A</v>
      </c>
    </row>
    <row r="1154" spans="1:7" x14ac:dyDescent="0.2">
      <c r="A1154" s="806">
        <v>42740</v>
      </c>
      <c r="B1154" s="842" t="s">
        <v>2304</v>
      </c>
      <c r="C1154" s="840" t="s">
        <v>1948</v>
      </c>
      <c r="D1154" s="808">
        <v>1292.3599999999999</v>
      </c>
      <c r="E1154" s="839" t="s">
        <v>1209</v>
      </c>
      <c r="F1154" s="203" t="e">
        <f>VLOOKUP(A1154,'Compos DER'!J:K,2,FALSE)</f>
        <v>#N/A</v>
      </c>
      <c r="G1154" s="198" t="e">
        <f t="shared" si="19"/>
        <v>#N/A</v>
      </c>
    </row>
    <row r="1155" spans="1:7" x14ac:dyDescent="0.2">
      <c r="A1155" s="806">
        <v>42741</v>
      </c>
      <c r="B1155" s="842" t="s">
        <v>2305</v>
      </c>
      <c r="C1155" s="840" t="s">
        <v>1948</v>
      </c>
      <c r="D1155" s="808">
        <v>1446.64</v>
      </c>
      <c r="E1155" s="839" t="s">
        <v>1209</v>
      </c>
      <c r="F1155" s="203" t="e">
        <f>VLOOKUP(A1155,'Compos DER'!J:K,2,FALSE)</f>
        <v>#N/A</v>
      </c>
      <c r="G1155" s="198" t="e">
        <f t="shared" si="19"/>
        <v>#N/A</v>
      </c>
    </row>
    <row r="1156" spans="1:7" x14ac:dyDescent="0.2">
      <c r="A1156" s="806">
        <v>42742</v>
      </c>
      <c r="B1156" s="842" t="s">
        <v>2306</v>
      </c>
      <c r="C1156" s="840" t="s">
        <v>1948</v>
      </c>
      <c r="D1156" s="808">
        <v>1592.38</v>
      </c>
      <c r="E1156" s="839" t="s">
        <v>1209</v>
      </c>
      <c r="F1156" s="203" t="e">
        <f>VLOOKUP(A1156,'Compos DER'!J:K,2,FALSE)</f>
        <v>#N/A</v>
      </c>
      <c r="G1156" s="198" t="e">
        <f t="shared" si="19"/>
        <v>#N/A</v>
      </c>
    </row>
    <row r="1157" spans="1:7" x14ac:dyDescent="0.2">
      <c r="A1157" s="806">
        <v>42743</v>
      </c>
      <c r="B1157" s="842" t="s">
        <v>2307</v>
      </c>
      <c r="C1157" s="840" t="s">
        <v>1948</v>
      </c>
      <c r="D1157" s="808">
        <v>1785.06</v>
      </c>
      <c r="E1157" s="839" t="s">
        <v>1209</v>
      </c>
      <c r="F1157" s="203" t="e">
        <f>VLOOKUP(A1157,'Compos DER'!J:K,2,FALSE)</f>
        <v>#N/A</v>
      </c>
      <c r="G1157" s="198" t="e">
        <f t="shared" si="19"/>
        <v>#N/A</v>
      </c>
    </row>
    <row r="1158" spans="1:7" x14ac:dyDescent="0.2">
      <c r="A1158" s="806">
        <v>42744</v>
      </c>
      <c r="B1158" s="842" t="s">
        <v>2308</v>
      </c>
      <c r="C1158" s="840" t="s">
        <v>1948</v>
      </c>
      <c r="D1158" s="808">
        <v>1816.44</v>
      </c>
      <c r="E1158" s="839" t="s">
        <v>1209</v>
      </c>
      <c r="F1158" s="203" t="e">
        <f>VLOOKUP(A1158,'Compos DER'!J:K,2,FALSE)</f>
        <v>#N/A</v>
      </c>
      <c r="G1158" s="198" t="e">
        <f t="shared" si="19"/>
        <v>#N/A</v>
      </c>
    </row>
    <row r="1159" spans="1:7" x14ac:dyDescent="0.2">
      <c r="A1159" s="806">
        <v>42745</v>
      </c>
      <c r="B1159" s="842" t="s">
        <v>2309</v>
      </c>
      <c r="C1159" s="840" t="s">
        <v>1948</v>
      </c>
      <c r="D1159" s="808">
        <v>1772.26</v>
      </c>
      <c r="E1159" s="839" t="s">
        <v>1209</v>
      </c>
      <c r="F1159" s="203" t="e">
        <f>VLOOKUP(A1159,'Compos DER'!J:K,2,FALSE)</f>
        <v>#N/A</v>
      </c>
      <c r="G1159" s="198" t="e">
        <f t="shared" si="19"/>
        <v>#N/A</v>
      </c>
    </row>
    <row r="1160" spans="1:7" x14ac:dyDescent="0.2">
      <c r="A1160" s="806">
        <v>42746</v>
      </c>
      <c r="B1160" s="842" t="s">
        <v>2310</v>
      </c>
      <c r="C1160" s="840" t="s">
        <v>1948</v>
      </c>
      <c r="D1160" s="808">
        <v>2050.5</v>
      </c>
      <c r="E1160" s="839" t="s">
        <v>1209</v>
      </c>
      <c r="F1160" s="203" t="e">
        <f>VLOOKUP(A1160,'Compos DER'!J:K,2,FALSE)</f>
        <v>#N/A</v>
      </c>
      <c r="G1160" s="198" t="e">
        <f t="shared" si="19"/>
        <v>#N/A</v>
      </c>
    </row>
    <row r="1161" spans="1:7" x14ac:dyDescent="0.2">
      <c r="A1161" s="806">
        <v>42747</v>
      </c>
      <c r="B1161" s="842" t="s">
        <v>2311</v>
      </c>
      <c r="C1161" s="840" t="s">
        <v>1948</v>
      </c>
      <c r="D1161" s="808">
        <v>2156.48</v>
      </c>
      <c r="E1161" s="839" t="s">
        <v>1209</v>
      </c>
      <c r="F1161" s="203" t="e">
        <f>VLOOKUP(A1161,'Compos DER'!J:K,2,FALSE)</f>
        <v>#N/A</v>
      </c>
      <c r="G1161" s="198" t="e">
        <f t="shared" si="19"/>
        <v>#N/A</v>
      </c>
    </row>
    <row r="1162" spans="1:7" x14ac:dyDescent="0.2">
      <c r="A1162" s="806">
        <v>42748</v>
      </c>
      <c r="B1162" s="842" t="s">
        <v>2312</v>
      </c>
      <c r="C1162" s="840" t="s">
        <v>1948</v>
      </c>
      <c r="D1162" s="807">
        <v>105.89</v>
      </c>
      <c r="E1162" s="839" t="s">
        <v>1209</v>
      </c>
      <c r="F1162" s="203" t="e">
        <f>VLOOKUP(A1162,'Compos DER'!J:K,2,FALSE)</f>
        <v>#N/A</v>
      </c>
      <c r="G1162" s="198" t="e">
        <f t="shared" si="19"/>
        <v>#N/A</v>
      </c>
    </row>
    <row r="1163" spans="1:7" x14ac:dyDescent="0.2">
      <c r="A1163" s="806">
        <v>42749</v>
      </c>
      <c r="B1163" s="842" t="s">
        <v>2313</v>
      </c>
      <c r="C1163" s="840" t="s">
        <v>1948</v>
      </c>
      <c r="D1163" s="807">
        <v>104.35</v>
      </c>
      <c r="E1163" s="839" t="s">
        <v>1209</v>
      </c>
      <c r="F1163" s="203" t="e">
        <f>VLOOKUP(A1163,'Compos DER'!J:K,2,FALSE)</f>
        <v>#N/A</v>
      </c>
      <c r="G1163" s="198" t="e">
        <f t="shared" si="19"/>
        <v>#N/A</v>
      </c>
    </row>
    <row r="1164" spans="1:7" x14ac:dyDescent="0.2">
      <c r="A1164" s="806">
        <v>42750</v>
      </c>
      <c r="B1164" s="842" t="s">
        <v>2314</v>
      </c>
      <c r="C1164" s="840" t="s">
        <v>1948</v>
      </c>
      <c r="D1164" s="807">
        <v>131.79</v>
      </c>
      <c r="E1164" s="839" t="s">
        <v>1209</v>
      </c>
      <c r="F1164" s="203" t="e">
        <f>VLOOKUP(A1164,'Compos DER'!J:K,2,FALSE)</f>
        <v>#N/A</v>
      </c>
      <c r="G1164" s="198" t="e">
        <f t="shared" si="19"/>
        <v>#N/A</v>
      </c>
    </row>
    <row r="1165" spans="1:7" x14ac:dyDescent="0.2">
      <c r="A1165" s="806">
        <v>42751</v>
      </c>
      <c r="B1165" s="842" t="s">
        <v>2315</v>
      </c>
      <c r="C1165" s="840" t="s">
        <v>1948</v>
      </c>
      <c r="D1165" s="807">
        <v>133.07</v>
      </c>
      <c r="E1165" s="839" t="s">
        <v>1209</v>
      </c>
      <c r="F1165" s="203" t="e">
        <f>VLOOKUP(A1165,'Compos DER'!J:K,2,FALSE)</f>
        <v>#N/A</v>
      </c>
      <c r="G1165" s="198" t="e">
        <f t="shared" si="19"/>
        <v>#N/A</v>
      </c>
    </row>
    <row r="1166" spans="1:7" x14ac:dyDescent="0.2">
      <c r="A1166" s="806">
        <v>42752</v>
      </c>
      <c r="B1166" s="842" t="s">
        <v>2316</v>
      </c>
      <c r="C1166" s="840" t="s">
        <v>1948</v>
      </c>
      <c r="D1166" s="807">
        <v>176.97</v>
      </c>
      <c r="E1166" s="839" t="s">
        <v>1209</v>
      </c>
      <c r="F1166" s="203" t="e">
        <f>VLOOKUP(A1166,'Compos DER'!J:K,2,FALSE)</f>
        <v>#N/A</v>
      </c>
      <c r="G1166" s="198" t="e">
        <f t="shared" si="19"/>
        <v>#N/A</v>
      </c>
    </row>
    <row r="1167" spans="1:7" x14ac:dyDescent="0.2">
      <c r="A1167" s="806">
        <v>42753</v>
      </c>
      <c r="B1167" s="842" t="s">
        <v>2317</v>
      </c>
      <c r="C1167" s="840" t="s">
        <v>1948</v>
      </c>
      <c r="D1167" s="807">
        <v>182.36</v>
      </c>
      <c r="E1167" s="839" t="s">
        <v>1209</v>
      </c>
      <c r="F1167" s="203" t="e">
        <f>VLOOKUP(A1167,'Compos DER'!J:K,2,FALSE)</f>
        <v>#N/A</v>
      </c>
      <c r="G1167" s="198" t="e">
        <f t="shared" si="19"/>
        <v>#N/A</v>
      </c>
    </row>
    <row r="1168" spans="1:7" x14ac:dyDescent="0.2">
      <c r="A1168" s="806">
        <v>42754</v>
      </c>
      <c r="B1168" s="842" t="s">
        <v>2318</v>
      </c>
      <c r="C1168" s="840" t="s">
        <v>1948</v>
      </c>
      <c r="D1168" s="807">
        <v>272.20999999999998</v>
      </c>
      <c r="E1168" s="839" t="s">
        <v>1209</v>
      </c>
      <c r="F1168" s="203" t="e">
        <f>VLOOKUP(A1168,'Compos DER'!J:K,2,FALSE)</f>
        <v>#N/A</v>
      </c>
      <c r="G1168" s="198" t="e">
        <f t="shared" si="19"/>
        <v>#N/A</v>
      </c>
    </row>
    <row r="1169" spans="1:7" x14ac:dyDescent="0.2">
      <c r="A1169" s="806">
        <v>42755</v>
      </c>
      <c r="B1169" s="842" t="s">
        <v>2319</v>
      </c>
      <c r="C1169" s="840" t="s">
        <v>1948</v>
      </c>
      <c r="D1169" s="807">
        <v>273.79000000000002</v>
      </c>
      <c r="E1169" s="839" t="s">
        <v>1209</v>
      </c>
      <c r="F1169" s="203" t="e">
        <f>VLOOKUP(A1169,'Compos DER'!J:K,2,FALSE)</f>
        <v>#N/A</v>
      </c>
      <c r="G1169" s="198" t="e">
        <f t="shared" si="19"/>
        <v>#N/A</v>
      </c>
    </row>
    <row r="1170" spans="1:7" x14ac:dyDescent="0.2">
      <c r="A1170" s="806">
        <v>42756</v>
      </c>
      <c r="B1170" s="842" t="s">
        <v>2320</v>
      </c>
      <c r="C1170" s="840" t="s">
        <v>1948</v>
      </c>
      <c r="D1170" s="807">
        <v>145.44</v>
      </c>
      <c r="E1170" s="839" t="s">
        <v>1209</v>
      </c>
      <c r="F1170" s="203" t="e">
        <f>VLOOKUP(A1170,'Compos DER'!J:K,2,FALSE)</f>
        <v>#N/A</v>
      </c>
      <c r="G1170" s="198" t="e">
        <f t="shared" si="19"/>
        <v>#N/A</v>
      </c>
    </row>
    <row r="1171" spans="1:7" x14ac:dyDescent="0.2">
      <c r="A1171" s="806">
        <v>42757</v>
      </c>
      <c r="B1171" s="842" t="s">
        <v>2321</v>
      </c>
      <c r="C1171" s="840" t="s">
        <v>1948</v>
      </c>
      <c r="D1171" s="807">
        <v>193.84</v>
      </c>
      <c r="E1171" s="839" t="s">
        <v>1209</v>
      </c>
      <c r="F1171" s="203" t="e">
        <f>VLOOKUP(A1171,'Compos DER'!J:K,2,FALSE)</f>
        <v>#N/A</v>
      </c>
      <c r="G1171" s="198" t="e">
        <f t="shared" si="19"/>
        <v>#N/A</v>
      </c>
    </row>
    <row r="1172" spans="1:7" x14ac:dyDescent="0.2">
      <c r="A1172" s="806">
        <v>42759</v>
      </c>
      <c r="B1172" s="842" t="s">
        <v>2322</v>
      </c>
      <c r="C1172" s="840" t="s">
        <v>1948</v>
      </c>
      <c r="D1172" s="807">
        <v>201.8</v>
      </c>
      <c r="E1172" s="839" t="s">
        <v>1209</v>
      </c>
      <c r="F1172" s="203" t="e">
        <f>VLOOKUP(A1172,'Compos DER'!J:K,2,FALSE)</f>
        <v>#N/A</v>
      </c>
      <c r="G1172" s="198" t="e">
        <f t="shared" si="19"/>
        <v>#N/A</v>
      </c>
    </row>
    <row r="1173" spans="1:7" x14ac:dyDescent="0.2">
      <c r="A1173" s="806">
        <v>42760</v>
      </c>
      <c r="B1173" s="842" t="s">
        <v>2323</v>
      </c>
      <c r="C1173" s="840" t="s">
        <v>1948</v>
      </c>
      <c r="D1173" s="807">
        <v>273.25</v>
      </c>
      <c r="E1173" s="839" t="s">
        <v>1209</v>
      </c>
      <c r="F1173" s="203" t="e">
        <f>VLOOKUP(A1173,'Compos DER'!J:K,2,FALSE)</f>
        <v>#N/A</v>
      </c>
      <c r="G1173" s="198" t="e">
        <f t="shared" si="19"/>
        <v>#N/A</v>
      </c>
    </row>
    <row r="1174" spans="1:7" x14ac:dyDescent="0.2">
      <c r="A1174" s="806">
        <v>42761</v>
      </c>
      <c r="B1174" s="842" t="s">
        <v>2324</v>
      </c>
      <c r="C1174" s="840" t="s">
        <v>1948</v>
      </c>
      <c r="D1174" s="807">
        <v>284.83</v>
      </c>
      <c r="E1174" s="839" t="s">
        <v>1209</v>
      </c>
      <c r="F1174" s="203" t="e">
        <f>VLOOKUP(A1174,'Compos DER'!J:K,2,FALSE)</f>
        <v>#N/A</v>
      </c>
      <c r="G1174" s="198" t="e">
        <f t="shared" si="19"/>
        <v>#N/A</v>
      </c>
    </row>
    <row r="1175" spans="1:7" x14ac:dyDescent="0.2">
      <c r="A1175" s="806">
        <v>42762</v>
      </c>
      <c r="B1175" s="842" t="s">
        <v>2325</v>
      </c>
      <c r="C1175" s="840" t="s">
        <v>1948</v>
      </c>
      <c r="D1175" s="807">
        <v>282.37</v>
      </c>
      <c r="E1175" s="839" t="s">
        <v>1209</v>
      </c>
      <c r="F1175" s="203" t="e">
        <f>VLOOKUP(A1175,'Compos DER'!J:K,2,FALSE)</f>
        <v>#N/A</v>
      </c>
      <c r="G1175" s="198" t="e">
        <f t="shared" si="19"/>
        <v>#N/A</v>
      </c>
    </row>
    <row r="1176" spans="1:7" x14ac:dyDescent="0.2">
      <c r="A1176" s="806">
        <v>42763</v>
      </c>
      <c r="B1176" s="842" t="s">
        <v>2326</v>
      </c>
      <c r="C1176" s="840" t="s">
        <v>1948</v>
      </c>
      <c r="D1176" s="807">
        <v>301.39</v>
      </c>
      <c r="E1176" s="839" t="s">
        <v>1209</v>
      </c>
      <c r="F1176" s="203" t="e">
        <f>VLOOKUP(A1176,'Compos DER'!J:K,2,FALSE)</f>
        <v>#N/A</v>
      </c>
      <c r="G1176" s="198" t="e">
        <f t="shared" si="19"/>
        <v>#N/A</v>
      </c>
    </row>
    <row r="1177" spans="1:7" x14ac:dyDescent="0.2">
      <c r="A1177" s="806">
        <v>42764</v>
      </c>
      <c r="B1177" s="842" t="s">
        <v>2327</v>
      </c>
      <c r="C1177" s="840" t="s">
        <v>1948</v>
      </c>
      <c r="D1177" s="807">
        <v>556.45000000000005</v>
      </c>
      <c r="E1177" s="839" t="s">
        <v>1209</v>
      </c>
      <c r="F1177" s="203" t="e">
        <f>VLOOKUP(A1177,'Compos DER'!J:K,2,FALSE)</f>
        <v>#N/A</v>
      </c>
      <c r="G1177" s="198" t="e">
        <f t="shared" si="19"/>
        <v>#N/A</v>
      </c>
    </row>
    <row r="1178" spans="1:7" x14ac:dyDescent="0.2">
      <c r="A1178" s="806">
        <v>42765</v>
      </c>
      <c r="B1178" s="842" t="s">
        <v>2328</v>
      </c>
      <c r="C1178" s="840" t="s">
        <v>1948</v>
      </c>
      <c r="D1178" s="807">
        <v>571.64</v>
      </c>
      <c r="E1178" s="839" t="s">
        <v>1209</v>
      </c>
      <c r="F1178" s="203" t="e">
        <f>VLOOKUP(A1178,'Compos DER'!J:K,2,FALSE)</f>
        <v>#N/A</v>
      </c>
      <c r="G1178" s="198" t="e">
        <f t="shared" si="19"/>
        <v>#N/A</v>
      </c>
    </row>
    <row r="1179" spans="1:7" x14ac:dyDescent="0.2">
      <c r="A1179" s="806">
        <v>42766</v>
      </c>
      <c r="B1179" s="842" t="s">
        <v>2329</v>
      </c>
      <c r="C1179" s="840" t="s">
        <v>1948</v>
      </c>
      <c r="D1179" s="807">
        <v>566.55999999999995</v>
      </c>
      <c r="E1179" s="839" t="s">
        <v>1209</v>
      </c>
      <c r="F1179" s="203" t="e">
        <f>VLOOKUP(A1179,'Compos DER'!J:K,2,FALSE)</f>
        <v>#N/A</v>
      </c>
      <c r="G1179" s="198" t="e">
        <f t="shared" si="19"/>
        <v>#N/A</v>
      </c>
    </row>
    <row r="1180" spans="1:7" x14ac:dyDescent="0.2">
      <c r="A1180" s="806">
        <v>42767</v>
      </c>
      <c r="B1180" s="842" t="s">
        <v>2330</v>
      </c>
      <c r="C1180" s="840" t="s">
        <v>1948</v>
      </c>
      <c r="D1180" s="807">
        <v>602.77</v>
      </c>
      <c r="E1180" s="839" t="s">
        <v>1209</v>
      </c>
      <c r="F1180" s="203">
        <f>VLOOKUP(A1180,'Compos DER'!J:K,2,FALSE)</f>
        <v>627.46</v>
      </c>
      <c r="G1180" s="198">
        <f t="shared" si="19"/>
        <v>1.0409608971913</v>
      </c>
    </row>
    <row r="1181" spans="1:7" x14ac:dyDescent="0.2">
      <c r="A1181" s="806">
        <v>42768</v>
      </c>
      <c r="B1181" s="842" t="s">
        <v>2331</v>
      </c>
      <c r="C1181" s="840" t="s">
        <v>1948</v>
      </c>
      <c r="D1181" s="807">
        <v>777.8</v>
      </c>
      <c r="E1181" s="839" t="s">
        <v>1209</v>
      </c>
      <c r="F1181" s="203" t="e">
        <f>VLOOKUP(A1181,'Compos DER'!J:K,2,FALSE)</f>
        <v>#N/A</v>
      </c>
      <c r="G1181" s="198" t="e">
        <f t="shared" si="19"/>
        <v>#N/A</v>
      </c>
    </row>
    <row r="1182" spans="1:7" x14ac:dyDescent="0.2">
      <c r="A1182" s="806">
        <v>42769</v>
      </c>
      <c r="B1182" s="842" t="s">
        <v>2332</v>
      </c>
      <c r="C1182" s="840" t="s">
        <v>1948</v>
      </c>
      <c r="D1182" s="807">
        <v>786.7</v>
      </c>
      <c r="E1182" s="839" t="s">
        <v>1209</v>
      </c>
      <c r="F1182" s="203" t="e">
        <f>VLOOKUP(A1182,'Compos DER'!J:K,2,FALSE)</f>
        <v>#N/A</v>
      </c>
      <c r="G1182" s="198" t="e">
        <f t="shared" si="19"/>
        <v>#N/A</v>
      </c>
    </row>
    <row r="1183" spans="1:7" x14ac:dyDescent="0.2">
      <c r="A1183" s="806">
        <v>42770</v>
      </c>
      <c r="B1183" s="842" t="s">
        <v>2333</v>
      </c>
      <c r="C1183" s="840" t="s">
        <v>1948</v>
      </c>
      <c r="D1183" s="807">
        <v>764.02</v>
      </c>
      <c r="E1183" s="839" t="s">
        <v>1209</v>
      </c>
      <c r="F1183" s="203" t="e">
        <f>VLOOKUP(A1183,'Compos DER'!J:K,2,FALSE)</f>
        <v>#N/A</v>
      </c>
      <c r="G1183" s="198" t="e">
        <f t="shared" si="19"/>
        <v>#N/A</v>
      </c>
    </row>
    <row r="1184" spans="1:7" x14ac:dyDescent="0.2">
      <c r="A1184" s="806">
        <v>42771</v>
      </c>
      <c r="B1184" s="842" t="s">
        <v>2334</v>
      </c>
      <c r="C1184" s="840" t="s">
        <v>1948</v>
      </c>
      <c r="D1184" s="807">
        <v>848.76</v>
      </c>
      <c r="E1184" s="839" t="s">
        <v>1209</v>
      </c>
      <c r="F1184" s="203" t="e">
        <f>VLOOKUP(A1184,'Compos DER'!J:K,2,FALSE)</f>
        <v>#N/A</v>
      </c>
      <c r="G1184" s="198" t="e">
        <f t="shared" si="19"/>
        <v>#N/A</v>
      </c>
    </row>
    <row r="1185" spans="1:7" x14ac:dyDescent="0.2">
      <c r="A1185" s="806">
        <v>42772</v>
      </c>
      <c r="B1185" s="842" t="s">
        <v>2335</v>
      </c>
      <c r="C1185" s="840" t="s">
        <v>1948</v>
      </c>
      <c r="D1185" s="808">
        <v>1051.69</v>
      </c>
      <c r="E1185" s="839" t="s">
        <v>1209</v>
      </c>
      <c r="F1185" s="203" t="e">
        <f>VLOOKUP(A1185,'Compos DER'!J:K,2,FALSE)</f>
        <v>#N/A</v>
      </c>
      <c r="G1185" s="198" t="e">
        <f t="shared" si="19"/>
        <v>#N/A</v>
      </c>
    </row>
    <row r="1186" spans="1:7" x14ac:dyDescent="0.2">
      <c r="A1186" s="806">
        <v>42773</v>
      </c>
      <c r="B1186" s="842" t="s">
        <v>2336</v>
      </c>
      <c r="C1186" s="840" t="s">
        <v>1948</v>
      </c>
      <c r="D1186" s="807">
        <v>1040.93</v>
      </c>
      <c r="E1186" s="839" t="s">
        <v>1209</v>
      </c>
      <c r="F1186" s="203" t="e">
        <f>VLOOKUP(A1186,'Compos DER'!J:K,2,FALSE)</f>
        <v>#N/A</v>
      </c>
      <c r="G1186" s="198" t="e">
        <f t="shared" si="19"/>
        <v>#N/A</v>
      </c>
    </row>
    <row r="1187" spans="1:7" x14ac:dyDescent="0.2">
      <c r="A1187" s="806">
        <v>42774</v>
      </c>
      <c r="B1187" s="842" t="s">
        <v>2337</v>
      </c>
      <c r="C1187" s="840" t="s">
        <v>1948</v>
      </c>
      <c r="D1187" s="807">
        <v>1036.22</v>
      </c>
      <c r="E1187" s="839" t="s">
        <v>1209</v>
      </c>
      <c r="F1187" s="203" t="e">
        <f>VLOOKUP(A1187,'Compos DER'!J:K,2,FALSE)</f>
        <v>#N/A</v>
      </c>
      <c r="G1187" s="198" t="e">
        <f t="shared" si="19"/>
        <v>#N/A</v>
      </c>
    </row>
    <row r="1188" spans="1:7" x14ac:dyDescent="0.2">
      <c r="A1188" s="806">
        <v>42775</v>
      </c>
      <c r="B1188" s="842" t="s">
        <v>2338</v>
      </c>
      <c r="C1188" s="840" t="s">
        <v>1948</v>
      </c>
      <c r="D1188" s="808">
        <v>1113.3499999999999</v>
      </c>
      <c r="E1188" s="839" t="s">
        <v>1209</v>
      </c>
      <c r="F1188" s="203" t="e">
        <f>VLOOKUP(A1188,'Compos DER'!J:K,2,FALSE)</f>
        <v>#N/A</v>
      </c>
      <c r="G1188" s="198" t="e">
        <f t="shared" si="19"/>
        <v>#N/A</v>
      </c>
    </row>
    <row r="1189" spans="1:7" x14ac:dyDescent="0.2">
      <c r="A1189" s="806">
        <v>42776</v>
      </c>
      <c r="B1189" s="842" t="s">
        <v>2339</v>
      </c>
      <c r="C1189" s="840" t="s">
        <v>1948</v>
      </c>
      <c r="D1189" s="807">
        <v>163.6</v>
      </c>
      <c r="E1189" s="839" t="s">
        <v>1209</v>
      </c>
      <c r="F1189" s="203" t="e">
        <f>VLOOKUP(A1189,'Compos DER'!J:K,2,FALSE)</f>
        <v>#N/A</v>
      </c>
      <c r="G1189" s="198" t="e">
        <f t="shared" si="19"/>
        <v>#N/A</v>
      </c>
    </row>
    <row r="1190" spans="1:7" x14ac:dyDescent="0.2">
      <c r="A1190" s="806">
        <v>42777</v>
      </c>
      <c r="B1190" s="842" t="s">
        <v>2340</v>
      </c>
      <c r="C1190" s="840" t="s">
        <v>1948</v>
      </c>
      <c r="D1190" s="807">
        <v>175.18</v>
      </c>
      <c r="E1190" s="839" t="s">
        <v>1209</v>
      </c>
      <c r="F1190" s="203" t="e">
        <f>VLOOKUP(A1190,'Compos DER'!J:K,2,FALSE)</f>
        <v>#N/A</v>
      </c>
      <c r="G1190" s="198" t="e">
        <f t="shared" si="19"/>
        <v>#N/A</v>
      </c>
    </row>
    <row r="1191" spans="1:7" x14ac:dyDescent="0.2">
      <c r="A1191" s="806">
        <v>42778</v>
      </c>
      <c r="B1191" s="842" t="s">
        <v>2341</v>
      </c>
      <c r="C1191" s="840" t="s">
        <v>1948</v>
      </c>
      <c r="D1191" s="807">
        <v>172.73</v>
      </c>
      <c r="E1191" s="839" t="s">
        <v>1209</v>
      </c>
      <c r="F1191" s="203" t="e">
        <f>VLOOKUP(A1191,'Compos DER'!J:K,2,FALSE)</f>
        <v>#N/A</v>
      </c>
      <c r="G1191" s="198" t="e">
        <f t="shared" si="19"/>
        <v>#N/A</v>
      </c>
    </row>
    <row r="1192" spans="1:7" x14ac:dyDescent="0.2">
      <c r="A1192" s="806">
        <v>42779</v>
      </c>
      <c r="B1192" s="842" t="s">
        <v>2342</v>
      </c>
      <c r="C1192" s="840" t="s">
        <v>1948</v>
      </c>
      <c r="D1192" s="807">
        <v>191.75</v>
      </c>
      <c r="E1192" s="839" t="s">
        <v>1209</v>
      </c>
      <c r="F1192" s="203" t="e">
        <f>VLOOKUP(A1192,'Compos DER'!J:K,2,FALSE)</f>
        <v>#N/A</v>
      </c>
      <c r="G1192" s="198" t="e">
        <f t="shared" si="19"/>
        <v>#N/A</v>
      </c>
    </row>
    <row r="1193" spans="1:7" x14ac:dyDescent="0.2">
      <c r="A1193" s="806">
        <v>42780</v>
      </c>
      <c r="B1193" s="842" t="s">
        <v>2343</v>
      </c>
      <c r="C1193" s="840" t="s">
        <v>1948</v>
      </c>
      <c r="D1193" s="807">
        <v>401.88</v>
      </c>
      <c r="E1193" s="839" t="s">
        <v>1209</v>
      </c>
      <c r="F1193" s="203" t="e">
        <f>VLOOKUP(A1193,'Compos DER'!J:K,2,FALSE)</f>
        <v>#N/A</v>
      </c>
      <c r="G1193" s="198" t="e">
        <f t="shared" si="19"/>
        <v>#N/A</v>
      </c>
    </row>
    <row r="1194" spans="1:7" x14ac:dyDescent="0.2">
      <c r="A1194" s="806">
        <v>42781</v>
      </c>
      <c r="B1194" s="842" t="s">
        <v>2344</v>
      </c>
      <c r="C1194" s="840" t="s">
        <v>1948</v>
      </c>
      <c r="D1194" s="807">
        <v>417.08</v>
      </c>
      <c r="E1194" s="839" t="s">
        <v>1209</v>
      </c>
      <c r="F1194" s="203" t="e">
        <f>VLOOKUP(A1194,'Compos DER'!J:K,2,FALSE)</f>
        <v>#N/A</v>
      </c>
      <c r="G1194" s="198" t="e">
        <f t="shared" si="19"/>
        <v>#N/A</v>
      </c>
    </row>
    <row r="1195" spans="1:7" x14ac:dyDescent="0.2">
      <c r="A1195" s="806">
        <v>42782</v>
      </c>
      <c r="B1195" s="842" t="s">
        <v>2345</v>
      </c>
      <c r="C1195" s="840" t="s">
        <v>1948</v>
      </c>
      <c r="D1195" s="807">
        <v>411.99</v>
      </c>
      <c r="E1195" s="839" t="s">
        <v>1209</v>
      </c>
      <c r="F1195" s="203" t="e">
        <f>VLOOKUP(A1195,'Compos DER'!J:K,2,FALSE)</f>
        <v>#N/A</v>
      </c>
      <c r="G1195" s="198" t="e">
        <f t="shared" si="19"/>
        <v>#N/A</v>
      </c>
    </row>
    <row r="1196" spans="1:7" x14ac:dyDescent="0.2">
      <c r="A1196" s="806">
        <v>42783</v>
      </c>
      <c r="B1196" s="842" t="s">
        <v>2346</v>
      </c>
      <c r="C1196" s="840" t="s">
        <v>1948</v>
      </c>
      <c r="D1196" s="807">
        <v>448.2</v>
      </c>
      <c r="E1196" s="839" t="s">
        <v>1209</v>
      </c>
      <c r="F1196" s="203" t="e">
        <f>VLOOKUP(A1196,'Compos DER'!J:K,2,FALSE)</f>
        <v>#N/A</v>
      </c>
      <c r="G1196" s="198" t="e">
        <f t="shared" si="19"/>
        <v>#N/A</v>
      </c>
    </row>
    <row r="1197" spans="1:7" x14ac:dyDescent="0.2">
      <c r="A1197" s="806">
        <v>42784</v>
      </c>
      <c r="B1197" s="842" t="s">
        <v>2347</v>
      </c>
      <c r="C1197" s="840" t="s">
        <v>1948</v>
      </c>
      <c r="D1197" s="807">
        <v>528.96</v>
      </c>
      <c r="E1197" s="839" t="s">
        <v>1209</v>
      </c>
      <c r="F1197" s="203" t="e">
        <f>VLOOKUP(A1197,'Compos DER'!J:K,2,FALSE)</f>
        <v>#N/A</v>
      </c>
      <c r="G1197" s="198" t="e">
        <f t="shared" si="19"/>
        <v>#N/A</v>
      </c>
    </row>
    <row r="1198" spans="1:7" x14ac:dyDescent="0.2">
      <c r="A1198" s="806">
        <v>42785</v>
      </c>
      <c r="B1198" s="842" t="s">
        <v>2348</v>
      </c>
      <c r="C1198" s="840" t="s">
        <v>1948</v>
      </c>
      <c r="D1198" s="807">
        <v>537.87</v>
      </c>
      <c r="E1198" s="839" t="s">
        <v>1209</v>
      </c>
      <c r="F1198" s="203" t="e">
        <f>VLOOKUP(A1198,'Compos DER'!J:K,2,FALSE)</f>
        <v>#N/A</v>
      </c>
      <c r="G1198" s="198" t="e">
        <f t="shared" si="19"/>
        <v>#N/A</v>
      </c>
    </row>
    <row r="1199" spans="1:7" x14ac:dyDescent="0.2">
      <c r="A1199" s="806">
        <v>42786</v>
      </c>
      <c r="B1199" s="842" t="s">
        <v>2349</v>
      </c>
      <c r="C1199" s="840" t="s">
        <v>1948</v>
      </c>
      <c r="D1199" s="807">
        <v>515.19000000000005</v>
      </c>
      <c r="E1199" s="839" t="s">
        <v>1209</v>
      </c>
      <c r="F1199" s="203" t="e">
        <f>VLOOKUP(A1199,'Compos DER'!J:K,2,FALSE)</f>
        <v>#N/A</v>
      </c>
      <c r="G1199" s="198" t="e">
        <f t="shared" si="19"/>
        <v>#N/A</v>
      </c>
    </row>
    <row r="1200" spans="1:7" x14ac:dyDescent="0.2">
      <c r="A1200" s="806">
        <v>42787</v>
      </c>
      <c r="B1200" s="842" t="s">
        <v>2350</v>
      </c>
      <c r="C1200" s="840" t="s">
        <v>1948</v>
      </c>
      <c r="D1200" s="807">
        <v>599.91999999999996</v>
      </c>
      <c r="E1200" s="839" t="s">
        <v>1209</v>
      </c>
      <c r="F1200" s="203" t="e">
        <f>VLOOKUP(A1200,'Compos DER'!J:K,2,FALSE)</f>
        <v>#N/A</v>
      </c>
      <c r="G1200" s="198" t="e">
        <f t="shared" si="19"/>
        <v>#N/A</v>
      </c>
    </row>
    <row r="1201" spans="1:7" x14ac:dyDescent="0.2">
      <c r="A1201" s="806">
        <v>42788</v>
      </c>
      <c r="B1201" s="842" t="s">
        <v>2351</v>
      </c>
      <c r="C1201" s="840" t="s">
        <v>1948</v>
      </c>
      <c r="D1201" s="807">
        <v>636.35</v>
      </c>
      <c r="E1201" s="839" t="s">
        <v>1209</v>
      </c>
      <c r="F1201" s="203" t="e">
        <f>VLOOKUP(A1201,'Compos DER'!J:K,2,FALSE)</f>
        <v>#N/A</v>
      </c>
      <c r="G1201" s="198" t="e">
        <f t="shared" si="19"/>
        <v>#N/A</v>
      </c>
    </row>
    <row r="1202" spans="1:7" x14ac:dyDescent="0.2">
      <c r="A1202" s="806">
        <v>42789</v>
      </c>
      <c r="B1202" s="842" t="s">
        <v>2352</v>
      </c>
      <c r="C1202" s="840" t="s">
        <v>1948</v>
      </c>
      <c r="D1202" s="807">
        <v>715.13</v>
      </c>
      <c r="E1202" s="839" t="s">
        <v>1209</v>
      </c>
      <c r="F1202" s="203" t="e">
        <f>VLOOKUP(A1202,'Compos DER'!J:K,2,FALSE)</f>
        <v>#N/A</v>
      </c>
      <c r="G1202" s="198" t="e">
        <f t="shared" si="19"/>
        <v>#N/A</v>
      </c>
    </row>
    <row r="1203" spans="1:7" x14ac:dyDescent="0.2">
      <c r="A1203" s="806">
        <v>42790</v>
      </c>
      <c r="B1203" s="842" t="s">
        <v>2353</v>
      </c>
      <c r="C1203" s="840" t="s">
        <v>1948</v>
      </c>
      <c r="D1203" s="807">
        <v>704.36</v>
      </c>
      <c r="E1203" s="839" t="s">
        <v>1209</v>
      </c>
      <c r="F1203" s="203" t="e">
        <f>VLOOKUP(A1203,'Compos DER'!J:K,2,FALSE)</f>
        <v>#N/A</v>
      </c>
      <c r="G1203" s="198" t="e">
        <f t="shared" si="19"/>
        <v>#N/A</v>
      </c>
    </row>
    <row r="1204" spans="1:7" x14ac:dyDescent="0.2">
      <c r="A1204" s="806">
        <v>42791</v>
      </c>
      <c r="B1204" s="842" t="s">
        <v>2354</v>
      </c>
      <c r="C1204" s="840" t="s">
        <v>1948</v>
      </c>
      <c r="D1204" s="807">
        <v>699.65</v>
      </c>
      <c r="E1204" s="839" t="s">
        <v>1209</v>
      </c>
      <c r="F1204" s="203" t="e">
        <f>VLOOKUP(A1204,'Compos DER'!J:K,2,FALSE)</f>
        <v>#N/A</v>
      </c>
      <c r="G1204" s="198" t="e">
        <f t="shared" si="19"/>
        <v>#N/A</v>
      </c>
    </row>
    <row r="1205" spans="1:7" x14ac:dyDescent="0.2">
      <c r="A1205" s="806">
        <v>42792</v>
      </c>
      <c r="B1205" s="842" t="s">
        <v>2355</v>
      </c>
      <c r="C1205" s="840" t="s">
        <v>1948</v>
      </c>
      <c r="D1205" s="807">
        <v>776.79</v>
      </c>
      <c r="E1205" s="839" t="s">
        <v>1209</v>
      </c>
      <c r="F1205" s="203" t="e">
        <f>VLOOKUP(A1205,'Compos DER'!J:K,2,FALSE)</f>
        <v>#N/A</v>
      </c>
      <c r="G1205" s="198" t="e">
        <f t="shared" si="19"/>
        <v>#N/A</v>
      </c>
    </row>
    <row r="1206" spans="1:7" x14ac:dyDescent="0.2">
      <c r="A1206" s="806">
        <v>42793</v>
      </c>
      <c r="B1206" s="842" t="s">
        <v>2356</v>
      </c>
      <c r="C1206" s="840" t="s">
        <v>1948</v>
      </c>
      <c r="D1206" s="807">
        <v>849.66</v>
      </c>
      <c r="E1206" s="839" t="s">
        <v>1209</v>
      </c>
      <c r="F1206" s="203" t="e">
        <f>VLOOKUP(A1206,'Compos DER'!J:K,2,FALSE)</f>
        <v>#N/A</v>
      </c>
      <c r="G1206" s="198" t="e">
        <f t="shared" si="19"/>
        <v>#N/A</v>
      </c>
    </row>
    <row r="1207" spans="1:7" x14ac:dyDescent="0.2">
      <c r="A1207" s="806">
        <v>42794</v>
      </c>
      <c r="B1207" s="842" t="s">
        <v>2357</v>
      </c>
      <c r="C1207" s="840" t="s">
        <v>1948</v>
      </c>
      <c r="D1207" s="807">
        <v>941.91</v>
      </c>
      <c r="E1207" s="839" t="s">
        <v>1209</v>
      </c>
      <c r="F1207" s="203" t="e">
        <f>VLOOKUP(A1207,'Compos DER'!J:K,2,FALSE)</f>
        <v>#N/A</v>
      </c>
      <c r="G1207" s="198" t="e">
        <f t="shared" si="19"/>
        <v>#N/A</v>
      </c>
    </row>
    <row r="1208" spans="1:7" x14ac:dyDescent="0.2">
      <c r="A1208" s="806">
        <v>42758</v>
      </c>
      <c r="B1208" s="842" t="s">
        <v>2358</v>
      </c>
      <c r="C1208" s="840" t="s">
        <v>1948</v>
      </c>
      <c r="D1208" s="807">
        <v>957.6</v>
      </c>
      <c r="E1208" s="839" t="s">
        <v>1209</v>
      </c>
      <c r="F1208" s="203" t="e">
        <f>VLOOKUP(A1208,'Compos DER'!J:K,2,FALSE)</f>
        <v>#N/A</v>
      </c>
      <c r="G1208" s="198" t="e">
        <f t="shared" si="19"/>
        <v>#N/A</v>
      </c>
    </row>
    <row r="1209" spans="1:7" x14ac:dyDescent="0.2">
      <c r="A1209" s="806">
        <v>42795</v>
      </c>
      <c r="B1209" s="842" t="s">
        <v>2359</v>
      </c>
      <c r="C1209" s="840" t="s">
        <v>1948</v>
      </c>
      <c r="D1209" s="807">
        <v>935.51</v>
      </c>
      <c r="E1209" s="839" t="s">
        <v>1209</v>
      </c>
      <c r="F1209" s="203" t="e">
        <f>VLOOKUP(A1209,'Compos DER'!J:K,2,FALSE)</f>
        <v>#N/A</v>
      </c>
      <c r="G1209" s="198" t="e">
        <f t="shared" si="19"/>
        <v>#N/A</v>
      </c>
    </row>
    <row r="1210" spans="1:7" x14ac:dyDescent="0.2">
      <c r="A1210" s="806">
        <v>42796</v>
      </c>
      <c r="B1210" s="842" t="s">
        <v>2360</v>
      </c>
      <c r="C1210" s="840" t="s">
        <v>1948</v>
      </c>
      <c r="D1210" s="808">
        <v>1074.6300000000001</v>
      </c>
      <c r="E1210" s="839" t="s">
        <v>1209</v>
      </c>
      <c r="F1210" s="203" t="e">
        <f>VLOOKUP(A1210,'Compos DER'!J:K,2,FALSE)</f>
        <v>#N/A</v>
      </c>
      <c r="G1210" s="198" t="e">
        <f t="shared" si="19"/>
        <v>#N/A</v>
      </c>
    </row>
    <row r="1211" spans="1:7" x14ac:dyDescent="0.2">
      <c r="A1211" s="806">
        <v>42797</v>
      </c>
      <c r="B1211" s="842" t="s">
        <v>2361</v>
      </c>
      <c r="C1211" s="840" t="s">
        <v>1948</v>
      </c>
      <c r="D1211" s="808">
        <v>1127.6199999999999</v>
      </c>
      <c r="E1211" s="839" t="s">
        <v>1209</v>
      </c>
      <c r="F1211" s="203" t="e">
        <f>VLOOKUP(A1211,'Compos DER'!J:K,2,FALSE)</f>
        <v>#N/A</v>
      </c>
      <c r="G1211" s="198" t="e">
        <f t="shared" si="19"/>
        <v>#N/A</v>
      </c>
    </row>
    <row r="1212" spans="1:7" x14ac:dyDescent="0.2">
      <c r="A1212" s="806">
        <v>42798</v>
      </c>
      <c r="B1212" s="842" t="s">
        <v>2362</v>
      </c>
      <c r="C1212" s="840" t="s">
        <v>1948</v>
      </c>
      <c r="D1212" s="807">
        <v>486.78</v>
      </c>
      <c r="E1212" s="839" t="s">
        <v>1209</v>
      </c>
      <c r="F1212" s="203" t="e">
        <f>VLOOKUP(A1212,'Compos DER'!J:K,2,FALSE)</f>
        <v>#N/A</v>
      </c>
      <c r="G1212" s="198" t="e">
        <f t="shared" si="19"/>
        <v>#N/A</v>
      </c>
    </row>
    <row r="1213" spans="1:7" x14ac:dyDescent="0.2">
      <c r="A1213" s="806">
        <v>42799</v>
      </c>
      <c r="B1213" s="842" t="s">
        <v>2363</v>
      </c>
      <c r="C1213" s="840" t="s">
        <v>1948</v>
      </c>
      <c r="D1213" s="807">
        <v>521.52</v>
      </c>
      <c r="E1213" s="839" t="s">
        <v>1209</v>
      </c>
      <c r="F1213" s="203" t="e">
        <f>VLOOKUP(A1213,'Compos DER'!J:K,2,FALSE)</f>
        <v>#N/A</v>
      </c>
      <c r="G1213" s="198" t="e">
        <f t="shared" ref="G1213:G1276" si="20">+F1213/D1213</f>
        <v>#N/A</v>
      </c>
    </row>
    <row r="1214" spans="1:7" x14ac:dyDescent="0.2">
      <c r="A1214" s="806">
        <v>42800</v>
      </c>
      <c r="B1214" s="842" t="s">
        <v>2364</v>
      </c>
      <c r="C1214" s="840" t="s">
        <v>1948</v>
      </c>
      <c r="D1214" s="807">
        <v>514.15</v>
      </c>
      <c r="E1214" s="839" t="s">
        <v>1209</v>
      </c>
      <c r="F1214" s="203" t="e">
        <f>VLOOKUP(A1214,'Compos DER'!J:K,2,FALSE)</f>
        <v>#N/A</v>
      </c>
      <c r="G1214" s="198" t="e">
        <f t="shared" si="20"/>
        <v>#N/A</v>
      </c>
    </row>
    <row r="1215" spans="1:7" x14ac:dyDescent="0.2">
      <c r="A1215" s="806">
        <v>42801</v>
      </c>
      <c r="B1215" s="842" t="s">
        <v>2365</v>
      </c>
      <c r="C1215" s="840" t="s">
        <v>1948</v>
      </c>
      <c r="D1215" s="807">
        <v>571.20000000000005</v>
      </c>
      <c r="E1215" s="839" t="s">
        <v>1209</v>
      </c>
      <c r="F1215" s="203" t="e">
        <f>VLOOKUP(A1215,'Compos DER'!J:K,2,FALSE)</f>
        <v>#N/A</v>
      </c>
      <c r="G1215" s="198" t="e">
        <f t="shared" si="20"/>
        <v>#N/A</v>
      </c>
    </row>
    <row r="1216" spans="1:7" x14ac:dyDescent="0.2">
      <c r="A1216" s="806">
        <v>42802</v>
      </c>
      <c r="B1216" s="842" t="s">
        <v>2366</v>
      </c>
      <c r="C1216" s="840" t="s">
        <v>1948</v>
      </c>
      <c r="D1216" s="807">
        <v>1008.14</v>
      </c>
      <c r="E1216" s="839" t="s">
        <v>1209</v>
      </c>
      <c r="F1216" s="203" t="e">
        <f>VLOOKUP(A1216,'Compos DER'!J:K,2,FALSE)</f>
        <v>#N/A</v>
      </c>
      <c r="G1216" s="198" t="e">
        <f t="shared" si="20"/>
        <v>#N/A</v>
      </c>
    </row>
    <row r="1217" spans="1:7" x14ac:dyDescent="0.2">
      <c r="A1217" s="806">
        <v>42803</v>
      </c>
      <c r="B1217" s="842" t="s">
        <v>2367</v>
      </c>
      <c r="C1217" s="840" t="s">
        <v>1948</v>
      </c>
      <c r="D1217" s="807">
        <v>1053.72</v>
      </c>
      <c r="E1217" s="839" t="s">
        <v>1209</v>
      </c>
      <c r="F1217" s="203" t="e">
        <f>VLOOKUP(A1217,'Compos DER'!J:K,2,FALSE)</f>
        <v>#N/A</v>
      </c>
      <c r="G1217" s="198" t="e">
        <f t="shared" si="20"/>
        <v>#N/A</v>
      </c>
    </row>
    <row r="1218" spans="1:7" x14ac:dyDescent="0.2">
      <c r="A1218" s="806">
        <v>42804</v>
      </c>
      <c r="B1218" s="842" t="s">
        <v>2368</v>
      </c>
      <c r="C1218" s="840" t="s">
        <v>1948</v>
      </c>
      <c r="D1218" s="807">
        <v>1038.47</v>
      </c>
      <c r="E1218" s="839" t="s">
        <v>1209</v>
      </c>
      <c r="F1218" s="203" t="e">
        <f>VLOOKUP(A1218,'Compos DER'!J:K,2,FALSE)</f>
        <v>#N/A</v>
      </c>
      <c r="G1218" s="198" t="e">
        <f t="shared" si="20"/>
        <v>#N/A</v>
      </c>
    </row>
    <row r="1219" spans="1:7" x14ac:dyDescent="0.2">
      <c r="A1219" s="806">
        <v>42805</v>
      </c>
      <c r="B1219" s="842" t="s">
        <v>2369</v>
      </c>
      <c r="C1219" s="840" t="s">
        <v>1948</v>
      </c>
      <c r="D1219" s="808">
        <v>1147.0899999999999</v>
      </c>
      <c r="E1219" s="839" t="s">
        <v>1209</v>
      </c>
      <c r="F1219" s="203" t="e">
        <f>VLOOKUP(A1219,'Compos DER'!J:K,2,FALSE)</f>
        <v>#N/A</v>
      </c>
      <c r="G1219" s="198" t="e">
        <f t="shared" si="20"/>
        <v>#N/A</v>
      </c>
    </row>
    <row r="1220" spans="1:7" x14ac:dyDescent="0.2">
      <c r="A1220" s="806">
        <v>42806</v>
      </c>
      <c r="B1220" s="842" t="s">
        <v>2370</v>
      </c>
      <c r="C1220" s="840" t="s">
        <v>1948</v>
      </c>
      <c r="D1220" s="808">
        <v>1389.39</v>
      </c>
      <c r="E1220" s="839" t="s">
        <v>1209</v>
      </c>
      <c r="F1220" s="203" t="e">
        <f>VLOOKUP(A1220,'Compos DER'!J:K,2,FALSE)</f>
        <v>#N/A</v>
      </c>
      <c r="G1220" s="198" t="e">
        <f t="shared" si="20"/>
        <v>#N/A</v>
      </c>
    </row>
    <row r="1221" spans="1:7" x14ac:dyDescent="0.2">
      <c r="A1221" s="806">
        <v>42807</v>
      </c>
      <c r="B1221" s="842" t="s">
        <v>2371</v>
      </c>
      <c r="C1221" s="840" t="s">
        <v>1948</v>
      </c>
      <c r="D1221" s="808">
        <v>1416.1</v>
      </c>
      <c r="E1221" s="839" t="s">
        <v>1209</v>
      </c>
      <c r="F1221" s="203" t="e">
        <f>VLOOKUP(A1221,'Compos DER'!J:K,2,FALSE)</f>
        <v>#N/A</v>
      </c>
      <c r="G1221" s="198" t="e">
        <f t="shared" si="20"/>
        <v>#N/A</v>
      </c>
    </row>
    <row r="1222" spans="1:7" x14ac:dyDescent="0.2">
      <c r="A1222" s="806">
        <v>42808</v>
      </c>
      <c r="B1222" s="842" t="s">
        <v>2372</v>
      </c>
      <c r="C1222" s="840" t="s">
        <v>1948</v>
      </c>
      <c r="D1222" s="808">
        <v>1348.07</v>
      </c>
      <c r="E1222" s="839" t="s">
        <v>1209</v>
      </c>
      <c r="F1222" s="203" t="e">
        <f>VLOOKUP(A1222,'Compos DER'!J:K,2,FALSE)</f>
        <v>#N/A</v>
      </c>
      <c r="G1222" s="198" t="e">
        <f t="shared" si="20"/>
        <v>#N/A</v>
      </c>
    </row>
    <row r="1223" spans="1:7" x14ac:dyDescent="0.2">
      <c r="A1223" s="806">
        <v>42809</v>
      </c>
      <c r="B1223" s="842" t="s">
        <v>2373</v>
      </c>
      <c r="C1223" s="840" t="s">
        <v>1948</v>
      </c>
      <c r="D1223" s="808">
        <v>1602.27</v>
      </c>
      <c r="E1223" s="839" t="s">
        <v>1209</v>
      </c>
      <c r="F1223" s="203" t="e">
        <f>VLOOKUP(A1223,'Compos DER'!J:K,2,FALSE)</f>
        <v>#N/A</v>
      </c>
      <c r="G1223" s="198" t="e">
        <f t="shared" si="20"/>
        <v>#N/A</v>
      </c>
    </row>
    <row r="1224" spans="1:7" x14ac:dyDescent="0.2">
      <c r="A1224" s="806">
        <v>42810</v>
      </c>
      <c r="B1224" s="842" t="s">
        <v>2374</v>
      </c>
      <c r="C1224" s="840" t="s">
        <v>1948</v>
      </c>
      <c r="D1224" s="808">
        <v>1711.55</v>
      </c>
      <c r="E1224" s="839" t="s">
        <v>1209</v>
      </c>
      <c r="F1224" s="203" t="e">
        <f>VLOOKUP(A1224,'Compos DER'!J:K,2,FALSE)</f>
        <v>#N/A</v>
      </c>
      <c r="G1224" s="198" t="e">
        <f t="shared" si="20"/>
        <v>#N/A</v>
      </c>
    </row>
    <row r="1225" spans="1:7" x14ac:dyDescent="0.2">
      <c r="A1225" s="806">
        <v>42811</v>
      </c>
      <c r="B1225" s="842" t="s">
        <v>2375</v>
      </c>
      <c r="C1225" s="840" t="s">
        <v>1948</v>
      </c>
      <c r="D1225" s="808">
        <v>1947.91</v>
      </c>
      <c r="E1225" s="839" t="s">
        <v>1209</v>
      </c>
      <c r="F1225" s="203" t="e">
        <f>VLOOKUP(A1225,'Compos DER'!J:K,2,FALSE)</f>
        <v>#N/A</v>
      </c>
      <c r="G1225" s="198" t="e">
        <f t="shared" si="20"/>
        <v>#N/A</v>
      </c>
    </row>
    <row r="1226" spans="1:7" x14ac:dyDescent="0.2">
      <c r="A1226" s="806">
        <v>42812</v>
      </c>
      <c r="B1226" s="842" t="s">
        <v>2376</v>
      </c>
      <c r="C1226" s="840" t="s">
        <v>1948</v>
      </c>
      <c r="D1226" s="808">
        <v>1915.61</v>
      </c>
      <c r="E1226" s="839" t="s">
        <v>1209</v>
      </c>
      <c r="F1226" s="203" t="e">
        <f>VLOOKUP(A1226,'Compos DER'!J:K,2,FALSE)</f>
        <v>#N/A</v>
      </c>
      <c r="G1226" s="198" t="e">
        <f t="shared" si="20"/>
        <v>#N/A</v>
      </c>
    </row>
    <row r="1227" spans="1:7" x14ac:dyDescent="0.2">
      <c r="A1227" s="806">
        <v>42813</v>
      </c>
      <c r="B1227" s="842" t="s">
        <v>2377</v>
      </c>
      <c r="C1227" s="840" t="s">
        <v>1948</v>
      </c>
      <c r="D1227" s="808">
        <v>1901.48</v>
      </c>
      <c r="E1227" s="839" t="s">
        <v>1209</v>
      </c>
      <c r="F1227" s="203" t="e">
        <f>VLOOKUP(A1227,'Compos DER'!J:K,2,FALSE)</f>
        <v>#N/A</v>
      </c>
      <c r="G1227" s="198" t="e">
        <f t="shared" si="20"/>
        <v>#N/A</v>
      </c>
    </row>
    <row r="1228" spans="1:7" x14ac:dyDescent="0.2">
      <c r="A1228" s="806">
        <v>42814</v>
      </c>
      <c r="B1228" s="842" t="s">
        <v>2378</v>
      </c>
      <c r="C1228" s="840" t="s">
        <v>1948</v>
      </c>
      <c r="D1228" s="808">
        <v>2132.89</v>
      </c>
      <c r="E1228" s="839" t="s">
        <v>1209</v>
      </c>
      <c r="F1228" s="203" t="e">
        <f>VLOOKUP(A1228,'Compos DER'!J:K,2,FALSE)</f>
        <v>#N/A</v>
      </c>
      <c r="G1228" s="198" t="e">
        <f t="shared" si="20"/>
        <v>#N/A</v>
      </c>
    </row>
    <row r="1229" spans="1:7" x14ac:dyDescent="0.2">
      <c r="A1229" s="806">
        <v>42815</v>
      </c>
      <c r="B1229" s="842" t="s">
        <v>2379</v>
      </c>
      <c r="C1229" s="840" t="s">
        <v>1948</v>
      </c>
      <c r="D1229" s="808">
        <v>2351.5</v>
      </c>
      <c r="E1229" s="839" t="s">
        <v>1209</v>
      </c>
      <c r="F1229" s="203" t="e">
        <f>VLOOKUP(A1229,'Compos DER'!J:K,2,FALSE)</f>
        <v>#N/A</v>
      </c>
      <c r="G1229" s="198" t="e">
        <f t="shared" si="20"/>
        <v>#N/A</v>
      </c>
    </row>
    <row r="1230" spans="1:7" x14ac:dyDescent="0.2">
      <c r="A1230" s="806">
        <v>42816</v>
      </c>
      <c r="B1230" s="842" t="s">
        <v>2380</v>
      </c>
      <c r="C1230" s="840" t="s">
        <v>1948</v>
      </c>
      <c r="D1230" s="808">
        <v>2628.2</v>
      </c>
      <c r="E1230" s="839" t="s">
        <v>1209</v>
      </c>
      <c r="F1230" s="203" t="e">
        <f>VLOOKUP(A1230,'Compos DER'!J:K,2,FALSE)</f>
        <v>#N/A</v>
      </c>
      <c r="G1230" s="198" t="e">
        <f t="shared" si="20"/>
        <v>#N/A</v>
      </c>
    </row>
    <row r="1231" spans="1:7" x14ac:dyDescent="0.2">
      <c r="A1231" s="806">
        <v>42817</v>
      </c>
      <c r="B1231" s="842" t="s">
        <v>2381</v>
      </c>
      <c r="C1231" s="840" t="s">
        <v>1948</v>
      </c>
      <c r="D1231" s="808">
        <v>2675.26</v>
      </c>
      <c r="E1231" s="839" t="s">
        <v>1209</v>
      </c>
      <c r="F1231" s="203" t="e">
        <f>VLOOKUP(A1231,'Compos DER'!J:K,2,FALSE)</f>
        <v>#N/A</v>
      </c>
      <c r="G1231" s="198" t="e">
        <f t="shared" si="20"/>
        <v>#N/A</v>
      </c>
    </row>
    <row r="1232" spans="1:7" x14ac:dyDescent="0.2">
      <c r="A1232" s="806">
        <v>42818</v>
      </c>
      <c r="B1232" s="842" t="s">
        <v>2382</v>
      </c>
      <c r="C1232" s="840" t="s">
        <v>1948</v>
      </c>
      <c r="D1232" s="808">
        <v>2609</v>
      </c>
      <c r="E1232" s="839" t="s">
        <v>1209</v>
      </c>
      <c r="F1232" s="203" t="e">
        <f>VLOOKUP(A1232,'Compos DER'!J:K,2,FALSE)</f>
        <v>#N/A</v>
      </c>
      <c r="G1232" s="198" t="e">
        <f t="shared" si="20"/>
        <v>#N/A</v>
      </c>
    </row>
    <row r="1233" spans="1:7" x14ac:dyDescent="0.2">
      <c r="A1233" s="806">
        <v>42819</v>
      </c>
      <c r="B1233" s="842" t="s">
        <v>2383</v>
      </c>
      <c r="C1233" s="840" t="s">
        <v>1948</v>
      </c>
      <c r="D1233" s="808">
        <v>3026.35</v>
      </c>
      <c r="E1233" s="839" t="s">
        <v>1209</v>
      </c>
      <c r="F1233" s="203" t="e">
        <f>VLOOKUP(A1233,'Compos DER'!J:K,2,FALSE)</f>
        <v>#N/A</v>
      </c>
      <c r="G1233" s="198" t="e">
        <f t="shared" si="20"/>
        <v>#N/A</v>
      </c>
    </row>
    <row r="1234" spans="1:7" x14ac:dyDescent="0.2">
      <c r="A1234" s="806">
        <v>42820</v>
      </c>
      <c r="B1234" s="842" t="s">
        <v>2384</v>
      </c>
      <c r="C1234" s="840" t="s">
        <v>1948</v>
      </c>
      <c r="D1234" s="808">
        <v>3185.33</v>
      </c>
      <c r="E1234" s="839" t="s">
        <v>1209</v>
      </c>
      <c r="F1234" s="203" t="e">
        <f>VLOOKUP(A1234,'Compos DER'!J:K,2,FALSE)</f>
        <v>#N/A</v>
      </c>
      <c r="G1234" s="198" t="e">
        <f t="shared" si="20"/>
        <v>#N/A</v>
      </c>
    </row>
    <row r="1235" spans="1:7" x14ac:dyDescent="0.2">
      <c r="A1235" s="806">
        <v>41321</v>
      </c>
      <c r="B1235" s="839" t="s">
        <v>881</v>
      </c>
      <c r="C1235" s="840" t="s">
        <v>1948</v>
      </c>
      <c r="D1235" s="808">
        <v>5534.63</v>
      </c>
      <c r="E1235" s="841"/>
      <c r="F1235" s="203" t="e">
        <f>VLOOKUP(A1235,'Compos DER'!J:K,2,FALSE)</f>
        <v>#N/A</v>
      </c>
      <c r="G1235" s="198" t="e">
        <f t="shared" si="20"/>
        <v>#N/A</v>
      </c>
    </row>
    <row r="1236" spans="1:7" x14ac:dyDescent="0.2">
      <c r="A1236" s="806">
        <v>42821</v>
      </c>
      <c r="B1236" s="839" t="s">
        <v>1753</v>
      </c>
      <c r="C1236" s="840" t="s">
        <v>1948</v>
      </c>
      <c r="D1236" s="808">
        <v>4242.84</v>
      </c>
      <c r="E1236" s="841"/>
      <c r="F1236" s="203" t="e">
        <f>VLOOKUP(A1236,'Compos DER'!J:K,2,FALSE)</f>
        <v>#N/A</v>
      </c>
      <c r="G1236" s="198" t="e">
        <f t="shared" si="20"/>
        <v>#N/A</v>
      </c>
    </row>
    <row r="1237" spans="1:7" x14ac:dyDescent="0.2">
      <c r="A1237" s="806">
        <v>42822</v>
      </c>
      <c r="B1237" s="839" t="s">
        <v>882</v>
      </c>
      <c r="C1237" s="840" t="s">
        <v>1948</v>
      </c>
      <c r="D1237" s="808">
        <v>4437.4399999999996</v>
      </c>
      <c r="E1237" s="841"/>
      <c r="F1237" s="203" t="e">
        <f>VLOOKUP(A1237,'Compos DER'!J:K,2,FALSE)</f>
        <v>#N/A</v>
      </c>
      <c r="G1237" s="198" t="e">
        <f t="shared" si="20"/>
        <v>#N/A</v>
      </c>
    </row>
    <row r="1238" spans="1:7" x14ac:dyDescent="0.2">
      <c r="A1238" s="806">
        <v>42823</v>
      </c>
      <c r="B1238" s="839" t="s">
        <v>2385</v>
      </c>
      <c r="C1238" s="840" t="s">
        <v>1948</v>
      </c>
      <c r="D1238" s="808">
        <v>6126.8</v>
      </c>
      <c r="E1238" s="841"/>
      <c r="F1238" s="203" t="e">
        <f>VLOOKUP(A1238,'Compos DER'!J:K,2,FALSE)</f>
        <v>#N/A</v>
      </c>
      <c r="G1238" s="198" t="e">
        <f t="shared" si="20"/>
        <v>#N/A</v>
      </c>
    </row>
    <row r="1239" spans="1:7" x14ac:dyDescent="0.2">
      <c r="A1239" s="806">
        <v>42824</v>
      </c>
      <c r="B1239" s="839" t="s">
        <v>1754</v>
      </c>
      <c r="C1239" s="840" t="s">
        <v>1948</v>
      </c>
      <c r="D1239" s="808">
        <v>6093.64</v>
      </c>
      <c r="E1239" s="841"/>
      <c r="F1239" s="203" t="e">
        <f>VLOOKUP(A1239,'Compos DER'!J:K,2,FALSE)</f>
        <v>#N/A</v>
      </c>
      <c r="G1239" s="198" t="e">
        <f t="shared" si="20"/>
        <v>#N/A</v>
      </c>
    </row>
    <row r="1240" spans="1:7" x14ac:dyDescent="0.2">
      <c r="A1240" s="806">
        <v>42825</v>
      </c>
      <c r="B1240" s="839" t="s">
        <v>883</v>
      </c>
      <c r="C1240" s="840" t="s">
        <v>1948</v>
      </c>
      <c r="D1240" s="808">
        <v>6808.37</v>
      </c>
      <c r="E1240" s="841"/>
      <c r="F1240" s="203" t="e">
        <f>VLOOKUP(A1240,'Compos DER'!J:K,2,FALSE)</f>
        <v>#N/A</v>
      </c>
      <c r="G1240" s="198" t="e">
        <f t="shared" si="20"/>
        <v>#N/A</v>
      </c>
    </row>
    <row r="1241" spans="1:7" x14ac:dyDescent="0.2">
      <c r="A1241" s="806">
        <v>40600</v>
      </c>
      <c r="B1241" s="839" t="s">
        <v>884</v>
      </c>
      <c r="C1241" s="840" t="s">
        <v>1948</v>
      </c>
      <c r="D1241" s="808">
        <v>9009.19</v>
      </c>
      <c r="E1241" s="841"/>
      <c r="F1241" s="203" t="e">
        <f>VLOOKUP(A1241,'Compos DER'!J:K,2,FALSE)</f>
        <v>#N/A</v>
      </c>
      <c r="G1241" s="198" t="e">
        <f t="shared" si="20"/>
        <v>#N/A</v>
      </c>
    </row>
    <row r="1242" spans="1:7" x14ac:dyDescent="0.2">
      <c r="A1242" s="806">
        <v>42827</v>
      </c>
      <c r="B1242" s="839" t="s">
        <v>885</v>
      </c>
      <c r="C1242" s="840" t="s">
        <v>1948</v>
      </c>
      <c r="D1242" s="808">
        <v>10101.209999999999</v>
      </c>
      <c r="E1242" s="841"/>
      <c r="F1242" s="203" t="e">
        <f>VLOOKUP(A1242,'Compos DER'!J:K,2,FALSE)</f>
        <v>#N/A</v>
      </c>
      <c r="G1242" s="198" t="e">
        <f t="shared" si="20"/>
        <v>#N/A</v>
      </c>
    </row>
    <row r="1243" spans="1:7" x14ac:dyDescent="0.2">
      <c r="A1243" s="806">
        <v>42826</v>
      </c>
      <c r="B1243" s="839" t="s">
        <v>1755</v>
      </c>
      <c r="C1243" s="840" t="s">
        <v>1948</v>
      </c>
      <c r="D1243" s="808">
        <v>8674.02</v>
      </c>
      <c r="E1243" s="841"/>
      <c r="F1243" s="203" t="e">
        <f>VLOOKUP(A1243,'Compos DER'!J:K,2,FALSE)</f>
        <v>#N/A</v>
      </c>
      <c r="G1243" s="198" t="e">
        <f t="shared" si="20"/>
        <v>#N/A</v>
      </c>
    </row>
    <row r="1244" spans="1:7" x14ac:dyDescent="0.2">
      <c r="A1244" s="806">
        <v>42828</v>
      </c>
      <c r="B1244" s="839" t="s">
        <v>886</v>
      </c>
      <c r="C1244" s="840" t="s">
        <v>1948</v>
      </c>
      <c r="D1244" s="808">
        <v>8817.86</v>
      </c>
      <c r="E1244" s="841"/>
      <c r="F1244" s="203" t="e">
        <f>VLOOKUP(A1244,'Compos DER'!J:K,2,FALSE)</f>
        <v>#N/A</v>
      </c>
      <c r="G1244" s="198" t="e">
        <f t="shared" si="20"/>
        <v>#N/A</v>
      </c>
    </row>
    <row r="1245" spans="1:7" x14ac:dyDescent="0.2">
      <c r="A1245" s="806">
        <v>42830</v>
      </c>
      <c r="B1245" s="839" t="s">
        <v>887</v>
      </c>
      <c r="C1245" s="840" t="s">
        <v>1948</v>
      </c>
      <c r="D1245" s="808">
        <v>9147.82</v>
      </c>
      <c r="E1245" s="841"/>
      <c r="F1245" s="203" t="e">
        <f>VLOOKUP(A1245,'Compos DER'!J:K,2,FALSE)</f>
        <v>#N/A</v>
      </c>
      <c r="G1245" s="198" t="e">
        <f t="shared" si="20"/>
        <v>#N/A</v>
      </c>
    </row>
    <row r="1246" spans="1:7" x14ac:dyDescent="0.2">
      <c r="A1246" s="806">
        <v>42829</v>
      </c>
      <c r="B1246" s="839" t="s">
        <v>1756</v>
      </c>
      <c r="C1246" s="840" t="s">
        <v>1948</v>
      </c>
      <c r="D1246" s="808">
        <v>8222.15</v>
      </c>
      <c r="E1246" s="841"/>
      <c r="F1246" s="203" t="e">
        <f>VLOOKUP(A1246,'Compos DER'!J:K,2,FALSE)</f>
        <v>#N/A</v>
      </c>
      <c r="G1246" s="198" t="e">
        <f t="shared" si="20"/>
        <v>#N/A</v>
      </c>
    </row>
    <row r="1247" spans="1:7" x14ac:dyDescent="0.2">
      <c r="A1247" s="806">
        <v>42831</v>
      </c>
      <c r="B1247" s="839" t="s">
        <v>1757</v>
      </c>
      <c r="C1247" s="840" t="s">
        <v>1948</v>
      </c>
      <c r="D1247" s="808">
        <v>9908.58</v>
      </c>
      <c r="E1247" s="841"/>
      <c r="F1247" s="203" t="e">
        <f>VLOOKUP(A1247,'Compos DER'!J:K,2,FALSE)</f>
        <v>#N/A</v>
      </c>
      <c r="G1247" s="198" t="e">
        <f t="shared" si="20"/>
        <v>#N/A</v>
      </c>
    </row>
    <row r="1248" spans="1:7" x14ac:dyDescent="0.2">
      <c r="A1248" s="806">
        <v>42832</v>
      </c>
      <c r="B1248" s="839" t="s">
        <v>888</v>
      </c>
      <c r="C1248" s="840" t="s">
        <v>1948</v>
      </c>
      <c r="D1248" s="808">
        <v>10933.03</v>
      </c>
      <c r="E1248" s="841"/>
      <c r="F1248" s="203" t="e">
        <f>VLOOKUP(A1248,'Compos DER'!J:K,2,FALSE)</f>
        <v>#N/A</v>
      </c>
      <c r="G1248" s="198" t="e">
        <f t="shared" si="20"/>
        <v>#N/A</v>
      </c>
    </row>
    <row r="1249" spans="1:7" x14ac:dyDescent="0.2">
      <c r="A1249" s="806">
        <v>42834</v>
      </c>
      <c r="B1249" s="839" t="s">
        <v>889</v>
      </c>
      <c r="C1249" s="840" t="s">
        <v>1948</v>
      </c>
      <c r="D1249" s="808">
        <v>11656.93</v>
      </c>
      <c r="E1249" s="841"/>
      <c r="F1249" s="203" t="e">
        <f>VLOOKUP(A1249,'Compos DER'!J:K,2,FALSE)</f>
        <v>#N/A</v>
      </c>
      <c r="G1249" s="198" t="e">
        <f t="shared" si="20"/>
        <v>#N/A</v>
      </c>
    </row>
    <row r="1250" spans="1:7" x14ac:dyDescent="0.2">
      <c r="A1250" s="806">
        <v>42833</v>
      </c>
      <c r="B1250" s="839" t="s">
        <v>2386</v>
      </c>
      <c r="C1250" s="840" t="s">
        <v>1948</v>
      </c>
      <c r="D1250" s="808">
        <v>10850.37</v>
      </c>
      <c r="E1250" s="841"/>
      <c r="F1250" s="203" t="e">
        <f>VLOOKUP(A1250,'Compos DER'!J:K,2,FALSE)</f>
        <v>#N/A</v>
      </c>
      <c r="G1250" s="198" t="e">
        <f t="shared" si="20"/>
        <v>#N/A</v>
      </c>
    </row>
    <row r="1251" spans="1:7" x14ac:dyDescent="0.2">
      <c r="A1251" s="806">
        <v>42835</v>
      </c>
      <c r="B1251" s="839" t="s">
        <v>1758</v>
      </c>
      <c r="C1251" s="840" t="s">
        <v>1948</v>
      </c>
      <c r="D1251" s="808">
        <v>2585.69</v>
      </c>
      <c r="E1251" s="841"/>
      <c r="F1251" s="203" t="e">
        <f>VLOOKUP(A1251,'Compos DER'!J:K,2,FALSE)</f>
        <v>#N/A</v>
      </c>
      <c r="G1251" s="198" t="e">
        <f t="shared" si="20"/>
        <v>#N/A</v>
      </c>
    </row>
    <row r="1252" spans="1:7" x14ac:dyDescent="0.2">
      <c r="A1252" s="806">
        <v>42836</v>
      </c>
      <c r="B1252" s="839" t="s">
        <v>890</v>
      </c>
      <c r="C1252" s="840" t="s">
        <v>1948</v>
      </c>
      <c r="D1252" s="808">
        <v>2731.64</v>
      </c>
      <c r="E1252" s="841"/>
      <c r="F1252" s="203" t="e">
        <f>VLOOKUP(A1252,'Compos DER'!J:K,2,FALSE)</f>
        <v>#N/A</v>
      </c>
      <c r="G1252" s="198" t="e">
        <f t="shared" si="20"/>
        <v>#N/A</v>
      </c>
    </row>
    <row r="1253" spans="1:7" x14ac:dyDescent="0.2">
      <c r="A1253" s="806">
        <v>42837</v>
      </c>
      <c r="B1253" s="839" t="s">
        <v>2387</v>
      </c>
      <c r="C1253" s="840" t="s">
        <v>1948</v>
      </c>
      <c r="D1253" s="808">
        <v>4448.7</v>
      </c>
      <c r="E1253" s="841"/>
      <c r="F1253" s="203" t="e">
        <f>VLOOKUP(A1253,'Compos DER'!J:K,2,FALSE)</f>
        <v>#N/A</v>
      </c>
      <c r="G1253" s="198" t="e">
        <f t="shared" si="20"/>
        <v>#N/A</v>
      </c>
    </row>
    <row r="1254" spans="1:7" x14ac:dyDescent="0.2">
      <c r="A1254" s="806">
        <v>42838</v>
      </c>
      <c r="B1254" s="839" t="s">
        <v>1759</v>
      </c>
      <c r="C1254" s="840" t="s">
        <v>1948</v>
      </c>
      <c r="D1254" s="808">
        <v>3670.12</v>
      </c>
      <c r="E1254" s="841"/>
      <c r="F1254" s="203" t="e">
        <f>VLOOKUP(A1254,'Compos DER'!J:K,2,FALSE)</f>
        <v>#N/A</v>
      </c>
      <c r="G1254" s="198" t="e">
        <f t="shared" si="20"/>
        <v>#N/A</v>
      </c>
    </row>
    <row r="1255" spans="1:7" x14ac:dyDescent="0.2">
      <c r="A1255" s="806">
        <v>42839</v>
      </c>
      <c r="B1255" s="839" t="s">
        <v>891</v>
      </c>
      <c r="C1255" s="840" t="s">
        <v>1948</v>
      </c>
      <c r="D1255" s="808">
        <v>4108.1499999999996</v>
      </c>
      <c r="E1255" s="841"/>
      <c r="F1255" s="203" t="e">
        <f>VLOOKUP(A1255,'Compos DER'!J:K,2,FALSE)</f>
        <v>#N/A</v>
      </c>
      <c r="G1255" s="198" t="e">
        <f t="shared" si="20"/>
        <v>#N/A</v>
      </c>
    </row>
    <row r="1256" spans="1:7" x14ac:dyDescent="0.2">
      <c r="A1256" s="806">
        <v>42840</v>
      </c>
      <c r="B1256" s="839" t="s">
        <v>1760</v>
      </c>
      <c r="C1256" s="840" t="s">
        <v>1948</v>
      </c>
      <c r="D1256" s="808">
        <v>5276.15</v>
      </c>
      <c r="E1256" s="841"/>
      <c r="F1256" s="203" t="e">
        <f>VLOOKUP(A1256,'Compos DER'!J:K,2,FALSE)</f>
        <v>#N/A</v>
      </c>
      <c r="G1256" s="198" t="e">
        <f t="shared" si="20"/>
        <v>#N/A</v>
      </c>
    </row>
    <row r="1257" spans="1:7" x14ac:dyDescent="0.2">
      <c r="A1257" s="806">
        <v>42841</v>
      </c>
      <c r="B1257" s="839" t="s">
        <v>892</v>
      </c>
      <c r="C1257" s="840" t="s">
        <v>1948</v>
      </c>
      <c r="D1257" s="808">
        <v>6612.6</v>
      </c>
      <c r="E1257" s="841"/>
      <c r="F1257" s="203" t="e">
        <f>VLOOKUP(A1257,'Compos DER'!J:K,2,FALSE)</f>
        <v>#N/A</v>
      </c>
      <c r="G1257" s="198" t="e">
        <f t="shared" si="20"/>
        <v>#N/A</v>
      </c>
    </row>
    <row r="1258" spans="1:7" x14ac:dyDescent="0.2">
      <c r="A1258" s="806">
        <v>40585</v>
      </c>
      <c r="B1258" s="839" t="s">
        <v>1761</v>
      </c>
      <c r="C1258" s="840" t="s">
        <v>1948</v>
      </c>
      <c r="D1258" s="808">
        <v>5654.11</v>
      </c>
      <c r="E1258" s="841"/>
      <c r="F1258" s="203" t="e">
        <f>VLOOKUP(A1258,'Compos DER'!J:K,2,FALSE)</f>
        <v>#N/A</v>
      </c>
      <c r="G1258" s="198" t="e">
        <f t="shared" si="20"/>
        <v>#N/A</v>
      </c>
    </row>
    <row r="1259" spans="1:7" x14ac:dyDescent="0.2">
      <c r="A1259" s="806">
        <v>42843</v>
      </c>
      <c r="B1259" s="839" t="s">
        <v>893</v>
      </c>
      <c r="C1259" s="840" t="s">
        <v>1948</v>
      </c>
      <c r="D1259" s="808">
        <v>5688.06</v>
      </c>
      <c r="E1259" s="841"/>
      <c r="F1259" s="203" t="e">
        <f>VLOOKUP(A1259,'Compos DER'!J:K,2,FALSE)</f>
        <v>#N/A</v>
      </c>
      <c r="G1259" s="198" t="e">
        <f t="shared" si="20"/>
        <v>#N/A</v>
      </c>
    </row>
    <row r="1260" spans="1:7" x14ac:dyDescent="0.2">
      <c r="A1260" s="806">
        <v>42844</v>
      </c>
      <c r="B1260" s="839" t="s">
        <v>1762</v>
      </c>
      <c r="C1260" s="840" t="s">
        <v>1948</v>
      </c>
      <c r="D1260" s="808">
        <v>6523.65</v>
      </c>
      <c r="E1260" s="841"/>
      <c r="F1260" s="203" t="e">
        <f>VLOOKUP(A1260,'Compos DER'!J:K,2,FALSE)</f>
        <v>#N/A</v>
      </c>
      <c r="G1260" s="198" t="e">
        <f t="shared" si="20"/>
        <v>#N/A</v>
      </c>
    </row>
    <row r="1261" spans="1:7" x14ac:dyDescent="0.2">
      <c r="A1261" s="806">
        <v>42845</v>
      </c>
      <c r="B1261" s="839" t="s">
        <v>894</v>
      </c>
      <c r="C1261" s="840" t="s">
        <v>1948</v>
      </c>
      <c r="D1261" s="808">
        <v>7763.21</v>
      </c>
      <c r="E1261" s="841"/>
      <c r="F1261" s="203" t="e">
        <f>VLOOKUP(A1261,'Compos DER'!J:K,2,FALSE)</f>
        <v>#N/A</v>
      </c>
      <c r="G1261" s="198" t="e">
        <f t="shared" si="20"/>
        <v>#N/A</v>
      </c>
    </row>
    <row r="1262" spans="1:7" x14ac:dyDescent="0.2">
      <c r="A1262" s="806">
        <v>41179</v>
      </c>
      <c r="B1262" s="839" t="s">
        <v>895</v>
      </c>
      <c r="C1262" s="840" t="s">
        <v>1948</v>
      </c>
      <c r="D1262" s="808">
        <v>6627.05</v>
      </c>
      <c r="E1262" s="841"/>
      <c r="F1262" s="203" t="e">
        <f>VLOOKUP(A1262,'Compos DER'!J:K,2,FALSE)</f>
        <v>#N/A</v>
      </c>
      <c r="G1262" s="198" t="e">
        <f t="shared" si="20"/>
        <v>#N/A</v>
      </c>
    </row>
    <row r="1263" spans="1:7" x14ac:dyDescent="0.2">
      <c r="A1263" s="806">
        <v>42842</v>
      </c>
      <c r="B1263" s="839" t="s">
        <v>1763</v>
      </c>
      <c r="C1263" s="840" t="s">
        <v>1948</v>
      </c>
      <c r="D1263" s="808">
        <v>7088.32</v>
      </c>
      <c r="E1263" s="841"/>
      <c r="F1263" s="203" t="e">
        <f>VLOOKUP(A1263,'Compos DER'!J:K,2,FALSE)</f>
        <v>#N/A</v>
      </c>
      <c r="G1263" s="198" t="e">
        <f t="shared" si="20"/>
        <v>#N/A</v>
      </c>
    </row>
    <row r="1264" spans="1:7" x14ac:dyDescent="0.2">
      <c r="A1264" s="806">
        <v>42848</v>
      </c>
      <c r="B1264" s="839" t="s">
        <v>896</v>
      </c>
      <c r="C1264" s="840" t="s">
        <v>1948</v>
      </c>
      <c r="D1264" s="808">
        <v>8083.68</v>
      </c>
      <c r="E1264" s="841"/>
      <c r="F1264" s="203" t="e">
        <f>VLOOKUP(A1264,'Compos DER'!J:K,2,FALSE)</f>
        <v>#N/A</v>
      </c>
      <c r="G1264" s="198" t="e">
        <f t="shared" si="20"/>
        <v>#N/A</v>
      </c>
    </row>
    <row r="1265" spans="1:7" x14ac:dyDescent="0.2">
      <c r="A1265" s="806">
        <v>42849</v>
      </c>
      <c r="B1265" s="839" t="s">
        <v>1764</v>
      </c>
      <c r="C1265" s="840" t="s">
        <v>1948</v>
      </c>
      <c r="D1265" s="808">
        <v>5928.49</v>
      </c>
      <c r="E1265" s="841"/>
      <c r="F1265" s="203" t="e">
        <f>VLOOKUP(A1265,'Compos DER'!J:K,2,FALSE)</f>
        <v>#N/A</v>
      </c>
      <c r="G1265" s="198" t="e">
        <f t="shared" si="20"/>
        <v>#N/A</v>
      </c>
    </row>
    <row r="1266" spans="1:7" x14ac:dyDescent="0.2">
      <c r="A1266" s="806">
        <v>42850</v>
      </c>
      <c r="B1266" s="839" t="s">
        <v>897</v>
      </c>
      <c r="C1266" s="840" t="s">
        <v>1948</v>
      </c>
      <c r="D1266" s="808">
        <v>6288.5</v>
      </c>
      <c r="E1266" s="841"/>
      <c r="F1266" s="203" t="e">
        <f>VLOOKUP(A1266,'Compos DER'!J:K,2,FALSE)</f>
        <v>#N/A</v>
      </c>
      <c r="G1266" s="198" t="e">
        <f t="shared" si="20"/>
        <v>#N/A</v>
      </c>
    </row>
    <row r="1267" spans="1:7" x14ac:dyDescent="0.2">
      <c r="A1267" s="806">
        <v>42851</v>
      </c>
      <c r="B1267" s="839" t="s">
        <v>1765</v>
      </c>
      <c r="C1267" s="840" t="s">
        <v>1948</v>
      </c>
      <c r="D1267" s="808">
        <v>8678.65</v>
      </c>
      <c r="E1267" s="841"/>
      <c r="F1267" s="203" t="e">
        <f>VLOOKUP(A1267,'Compos DER'!J:K,2,FALSE)</f>
        <v>#N/A</v>
      </c>
      <c r="G1267" s="198" t="e">
        <f t="shared" si="20"/>
        <v>#N/A</v>
      </c>
    </row>
    <row r="1268" spans="1:7" x14ac:dyDescent="0.2">
      <c r="A1268" s="806">
        <v>42852</v>
      </c>
      <c r="B1268" s="839" t="s">
        <v>898</v>
      </c>
      <c r="C1268" s="840" t="s">
        <v>1948</v>
      </c>
      <c r="D1268" s="808">
        <v>9248.2800000000007</v>
      </c>
      <c r="E1268" s="841"/>
      <c r="F1268" s="203" t="e">
        <f>VLOOKUP(A1268,'Compos DER'!J:K,2,FALSE)</f>
        <v>#N/A</v>
      </c>
      <c r="G1268" s="198" t="e">
        <f t="shared" si="20"/>
        <v>#N/A</v>
      </c>
    </row>
    <row r="1269" spans="1:7" x14ac:dyDescent="0.2">
      <c r="A1269" s="806">
        <v>42853</v>
      </c>
      <c r="B1269" s="839" t="s">
        <v>1766</v>
      </c>
      <c r="C1269" s="840" t="s">
        <v>1948</v>
      </c>
      <c r="D1269" s="808">
        <v>12544.34</v>
      </c>
      <c r="E1269" s="841"/>
      <c r="F1269" s="203" t="e">
        <f>VLOOKUP(A1269,'Compos DER'!J:K,2,FALSE)</f>
        <v>#N/A</v>
      </c>
      <c r="G1269" s="198" t="e">
        <f t="shared" si="20"/>
        <v>#N/A</v>
      </c>
    </row>
    <row r="1270" spans="1:7" x14ac:dyDescent="0.2">
      <c r="A1270" s="806">
        <v>42854</v>
      </c>
      <c r="B1270" s="839" t="s">
        <v>899</v>
      </c>
      <c r="C1270" s="840" t="s">
        <v>1948</v>
      </c>
      <c r="D1270" s="808">
        <v>14170.33</v>
      </c>
      <c r="E1270" s="841"/>
      <c r="F1270" s="203" t="e">
        <f>VLOOKUP(A1270,'Compos DER'!J:K,2,FALSE)</f>
        <v>#N/A</v>
      </c>
      <c r="G1270" s="198" t="e">
        <f t="shared" si="20"/>
        <v>#N/A</v>
      </c>
    </row>
    <row r="1271" spans="1:7" x14ac:dyDescent="0.2">
      <c r="A1271" s="806">
        <v>42855</v>
      </c>
      <c r="B1271" s="839" t="s">
        <v>1767</v>
      </c>
      <c r="C1271" s="840" t="s">
        <v>1948</v>
      </c>
      <c r="D1271" s="808">
        <v>11330.92</v>
      </c>
      <c r="E1271" s="841"/>
      <c r="F1271" s="203" t="e">
        <f>VLOOKUP(A1271,'Compos DER'!J:K,2,FALSE)</f>
        <v>#N/A</v>
      </c>
      <c r="G1271" s="198" t="e">
        <f t="shared" si="20"/>
        <v>#N/A</v>
      </c>
    </row>
    <row r="1272" spans="1:7" x14ac:dyDescent="0.2">
      <c r="A1272" s="806">
        <v>42856</v>
      </c>
      <c r="B1272" s="839" t="s">
        <v>900</v>
      </c>
      <c r="C1272" s="840" t="s">
        <v>1948</v>
      </c>
      <c r="D1272" s="808">
        <v>12650.41</v>
      </c>
      <c r="E1272" s="841"/>
      <c r="F1272" s="203" t="e">
        <f>VLOOKUP(A1272,'Compos DER'!J:K,2,FALSE)</f>
        <v>#N/A</v>
      </c>
      <c r="G1272" s="198" t="e">
        <f t="shared" si="20"/>
        <v>#N/A</v>
      </c>
    </row>
    <row r="1273" spans="1:7" x14ac:dyDescent="0.2">
      <c r="A1273" s="806">
        <v>42858</v>
      </c>
      <c r="B1273" s="839" t="s">
        <v>1768</v>
      </c>
      <c r="C1273" s="840" t="s">
        <v>1948</v>
      </c>
      <c r="D1273" s="808">
        <v>14011.84</v>
      </c>
      <c r="E1273" s="841"/>
      <c r="F1273" s="203" t="e">
        <f>VLOOKUP(A1273,'Compos DER'!J:K,2,FALSE)</f>
        <v>#N/A</v>
      </c>
      <c r="G1273" s="198" t="e">
        <f t="shared" si="20"/>
        <v>#N/A</v>
      </c>
    </row>
    <row r="1274" spans="1:7" x14ac:dyDescent="0.2">
      <c r="A1274" s="806">
        <v>42857</v>
      </c>
      <c r="B1274" s="839" t="s">
        <v>1769</v>
      </c>
      <c r="C1274" s="840" t="s">
        <v>1948</v>
      </c>
      <c r="D1274" s="808">
        <v>14011.84</v>
      </c>
      <c r="E1274" s="841"/>
      <c r="F1274" s="203" t="e">
        <f>VLOOKUP(A1274,'Compos DER'!J:K,2,FALSE)</f>
        <v>#N/A</v>
      </c>
      <c r="G1274" s="198" t="e">
        <f t="shared" si="20"/>
        <v>#N/A</v>
      </c>
    </row>
    <row r="1275" spans="1:7" x14ac:dyDescent="0.2">
      <c r="A1275" s="806">
        <v>42859</v>
      </c>
      <c r="B1275" s="839" t="s">
        <v>901</v>
      </c>
      <c r="C1275" s="840" t="s">
        <v>1948</v>
      </c>
      <c r="D1275" s="808">
        <v>15829.5</v>
      </c>
      <c r="E1275" s="841"/>
      <c r="F1275" s="203" t="e">
        <f>VLOOKUP(A1275,'Compos DER'!J:K,2,FALSE)</f>
        <v>#N/A</v>
      </c>
      <c r="G1275" s="198" t="e">
        <f t="shared" si="20"/>
        <v>#N/A</v>
      </c>
    </row>
    <row r="1276" spans="1:7" x14ac:dyDescent="0.2">
      <c r="A1276" s="806">
        <v>42860</v>
      </c>
      <c r="B1276" s="839" t="s">
        <v>1770</v>
      </c>
      <c r="C1276" s="840" t="s">
        <v>1948</v>
      </c>
      <c r="D1276" s="808">
        <v>15028.03</v>
      </c>
      <c r="E1276" s="841"/>
      <c r="F1276" s="203" t="e">
        <f>VLOOKUP(A1276,'Compos DER'!J:K,2,FALSE)</f>
        <v>#N/A</v>
      </c>
      <c r="G1276" s="198" t="e">
        <f t="shared" si="20"/>
        <v>#N/A</v>
      </c>
    </row>
    <row r="1277" spans="1:7" x14ac:dyDescent="0.2">
      <c r="A1277" s="806">
        <v>42861</v>
      </c>
      <c r="B1277" s="839" t="s">
        <v>902</v>
      </c>
      <c r="C1277" s="840" t="s">
        <v>1948</v>
      </c>
      <c r="D1277" s="808">
        <v>16785.240000000002</v>
      </c>
      <c r="E1277" s="841"/>
      <c r="F1277" s="203" t="e">
        <f>VLOOKUP(A1277,'Compos DER'!J:K,2,FALSE)</f>
        <v>#N/A</v>
      </c>
      <c r="G1277" s="198" t="e">
        <f t="shared" ref="G1277:G1340" si="21">+F1277/D1277</f>
        <v>#N/A</v>
      </c>
    </row>
    <row r="1278" spans="1:7" x14ac:dyDescent="0.2">
      <c r="A1278" s="806">
        <v>42862</v>
      </c>
      <c r="B1278" s="839" t="s">
        <v>1771</v>
      </c>
      <c r="C1278" s="840" t="s">
        <v>1906</v>
      </c>
      <c r="D1278" s="807">
        <v>16.21</v>
      </c>
      <c r="E1278" s="841"/>
      <c r="F1278" s="203" t="e">
        <f>VLOOKUP(A1278,'Compos DER'!J:K,2,FALSE)</f>
        <v>#N/A</v>
      </c>
      <c r="G1278" s="198" t="e">
        <f t="shared" si="21"/>
        <v>#N/A</v>
      </c>
    </row>
    <row r="1279" spans="1:7" x14ac:dyDescent="0.2">
      <c r="A1279" s="806">
        <v>42863</v>
      </c>
      <c r="B1279" s="839" t="s">
        <v>1772</v>
      </c>
      <c r="C1279" s="840" t="s">
        <v>1906</v>
      </c>
      <c r="D1279" s="807">
        <v>32.44</v>
      </c>
      <c r="E1279" s="841"/>
      <c r="F1279" s="203" t="e">
        <f>VLOOKUP(A1279,'Compos DER'!J:K,2,FALSE)</f>
        <v>#N/A</v>
      </c>
      <c r="G1279" s="198" t="e">
        <f t="shared" si="21"/>
        <v>#N/A</v>
      </c>
    </row>
    <row r="1280" spans="1:7" x14ac:dyDescent="0.2">
      <c r="A1280" s="806">
        <v>42864</v>
      </c>
      <c r="B1280" s="839" t="s">
        <v>1773</v>
      </c>
      <c r="C1280" s="840" t="s">
        <v>1906</v>
      </c>
      <c r="D1280" s="807">
        <v>150.46</v>
      </c>
      <c r="E1280" s="841"/>
      <c r="F1280" s="203" t="e">
        <f>VLOOKUP(A1280,'Compos DER'!J:K,2,FALSE)</f>
        <v>#N/A</v>
      </c>
      <c r="G1280" s="198" t="e">
        <f t="shared" si="21"/>
        <v>#N/A</v>
      </c>
    </row>
    <row r="1281" spans="1:7" x14ac:dyDescent="0.2">
      <c r="A1281" s="806">
        <v>42865</v>
      </c>
      <c r="B1281" s="842" t="s">
        <v>2388</v>
      </c>
      <c r="C1281" s="840" t="s">
        <v>1948</v>
      </c>
      <c r="D1281" s="807">
        <v>24.44</v>
      </c>
      <c r="E1281" s="843"/>
      <c r="F1281" s="203" t="e">
        <f>VLOOKUP(A1281,'Compos DER'!J:K,2,FALSE)</f>
        <v>#N/A</v>
      </c>
      <c r="G1281" s="198" t="e">
        <f t="shared" si="21"/>
        <v>#N/A</v>
      </c>
    </row>
    <row r="1282" spans="1:7" x14ac:dyDescent="0.2">
      <c r="A1282" s="806">
        <v>42866</v>
      </c>
      <c r="B1282" s="842" t="s">
        <v>2389</v>
      </c>
      <c r="C1282" s="840" t="s">
        <v>1910</v>
      </c>
      <c r="D1282" s="807">
        <v>46.03</v>
      </c>
      <c r="E1282" s="843"/>
      <c r="F1282" s="203" t="e">
        <f>VLOOKUP(A1282,'Compos DER'!J:K,2,FALSE)</f>
        <v>#N/A</v>
      </c>
      <c r="G1282" s="198" t="e">
        <f t="shared" si="21"/>
        <v>#N/A</v>
      </c>
    </row>
    <row r="1283" spans="1:7" x14ac:dyDescent="0.2">
      <c r="A1283" s="806">
        <v>42867</v>
      </c>
      <c r="B1283" s="839" t="s">
        <v>903</v>
      </c>
      <c r="C1283" s="840" t="s">
        <v>1906</v>
      </c>
      <c r="D1283" s="807">
        <v>221.61</v>
      </c>
      <c r="E1283" s="841"/>
      <c r="F1283" s="203" t="e">
        <f>VLOOKUP(A1283,'Compos DER'!J:K,2,FALSE)</f>
        <v>#N/A</v>
      </c>
      <c r="G1283" s="198" t="e">
        <f t="shared" si="21"/>
        <v>#N/A</v>
      </c>
    </row>
    <row r="1284" spans="1:7" x14ac:dyDescent="0.2">
      <c r="A1284" s="806">
        <v>42868</v>
      </c>
      <c r="B1284" s="839" t="s">
        <v>904</v>
      </c>
      <c r="C1284" s="840" t="s">
        <v>1906</v>
      </c>
      <c r="D1284" s="807">
        <v>327.05</v>
      </c>
      <c r="E1284" s="841"/>
      <c r="F1284" s="203" t="e">
        <f>VLOOKUP(A1284,'Compos DER'!J:K,2,FALSE)</f>
        <v>#N/A</v>
      </c>
      <c r="G1284" s="198" t="e">
        <f t="shared" si="21"/>
        <v>#N/A</v>
      </c>
    </row>
    <row r="1285" spans="1:7" x14ac:dyDescent="0.2">
      <c r="A1285" s="806">
        <v>42869</v>
      </c>
      <c r="B1285" s="839" t="s">
        <v>905</v>
      </c>
      <c r="C1285" s="840" t="s">
        <v>1906</v>
      </c>
      <c r="D1285" s="807">
        <v>288.58999999999997</v>
      </c>
      <c r="E1285" s="841"/>
      <c r="F1285" s="203" t="e">
        <f>VLOOKUP(A1285,'Compos DER'!J:K,2,FALSE)</f>
        <v>#N/A</v>
      </c>
      <c r="G1285" s="198" t="e">
        <f t="shared" si="21"/>
        <v>#N/A</v>
      </c>
    </row>
    <row r="1286" spans="1:7" x14ac:dyDescent="0.2">
      <c r="A1286" s="806">
        <v>42870</v>
      </c>
      <c r="B1286" s="839" t="s">
        <v>906</v>
      </c>
      <c r="C1286" s="840" t="s">
        <v>1906</v>
      </c>
      <c r="D1286" s="807">
        <v>196.39</v>
      </c>
      <c r="E1286" s="841"/>
      <c r="F1286" s="203" t="e">
        <f>VLOOKUP(A1286,'Compos DER'!J:K,2,FALSE)</f>
        <v>#N/A</v>
      </c>
      <c r="G1286" s="198" t="e">
        <f t="shared" si="21"/>
        <v>#N/A</v>
      </c>
    </row>
    <row r="1287" spans="1:7" x14ac:dyDescent="0.2">
      <c r="A1287" s="806">
        <v>42880</v>
      </c>
      <c r="B1287" s="839" t="s">
        <v>907</v>
      </c>
      <c r="C1287" s="840" t="s">
        <v>1910</v>
      </c>
      <c r="D1287" s="807">
        <v>720.17</v>
      </c>
      <c r="E1287" s="841"/>
      <c r="F1287" s="203" t="e">
        <f>VLOOKUP(A1287,'Compos DER'!J:K,2,FALSE)</f>
        <v>#N/A</v>
      </c>
      <c r="G1287" s="198" t="e">
        <f t="shared" si="21"/>
        <v>#N/A</v>
      </c>
    </row>
    <row r="1288" spans="1:7" x14ac:dyDescent="0.2">
      <c r="A1288" s="806">
        <v>42883</v>
      </c>
      <c r="B1288" s="839" t="s">
        <v>908</v>
      </c>
      <c r="C1288" s="840" t="s">
        <v>1948</v>
      </c>
      <c r="D1288" s="807">
        <v>42.07</v>
      </c>
      <c r="E1288" s="839" t="s">
        <v>1209</v>
      </c>
      <c r="F1288" s="203" t="e">
        <f>VLOOKUP(A1288,'Compos DER'!J:K,2,FALSE)</f>
        <v>#N/A</v>
      </c>
      <c r="G1288" s="198" t="e">
        <f t="shared" si="21"/>
        <v>#N/A</v>
      </c>
    </row>
    <row r="1289" spans="1:7" ht="25.5" x14ac:dyDescent="0.2">
      <c r="A1289" s="806">
        <v>42899</v>
      </c>
      <c r="B1289" s="842" t="s">
        <v>2390</v>
      </c>
      <c r="C1289" s="840" t="s">
        <v>1948</v>
      </c>
      <c r="D1289" s="807">
        <v>58.29</v>
      </c>
      <c r="E1289" s="839" t="s">
        <v>1209</v>
      </c>
      <c r="F1289" s="203" t="e">
        <f>VLOOKUP(A1289,'Compos DER'!J:K,2,FALSE)</f>
        <v>#N/A</v>
      </c>
      <c r="G1289" s="198" t="e">
        <f t="shared" si="21"/>
        <v>#N/A</v>
      </c>
    </row>
    <row r="1290" spans="1:7" x14ac:dyDescent="0.2">
      <c r="A1290" s="806">
        <v>42901</v>
      </c>
      <c r="B1290" s="839" t="s">
        <v>2391</v>
      </c>
      <c r="C1290" s="840" t="s">
        <v>1948</v>
      </c>
      <c r="D1290" s="807">
        <v>34.97</v>
      </c>
      <c r="E1290" s="841"/>
      <c r="F1290" s="203" t="e">
        <f>VLOOKUP(A1290,'Compos DER'!J:K,2,FALSE)</f>
        <v>#N/A</v>
      </c>
      <c r="G1290" s="198" t="e">
        <f t="shared" si="21"/>
        <v>#N/A</v>
      </c>
    </row>
    <row r="1291" spans="1:7" x14ac:dyDescent="0.2">
      <c r="A1291" s="806">
        <v>42900</v>
      </c>
      <c r="B1291" s="839" t="s">
        <v>2392</v>
      </c>
      <c r="C1291" s="840" t="s">
        <v>1948</v>
      </c>
      <c r="D1291" s="807">
        <v>23.76</v>
      </c>
      <c r="E1291" s="841"/>
      <c r="F1291" s="203" t="e">
        <f>VLOOKUP(A1291,'Compos DER'!J:K,2,FALSE)</f>
        <v>#N/A</v>
      </c>
      <c r="G1291" s="198" t="e">
        <f t="shared" si="21"/>
        <v>#N/A</v>
      </c>
    </row>
    <row r="1292" spans="1:7" x14ac:dyDescent="0.2">
      <c r="A1292" s="806">
        <v>41185</v>
      </c>
      <c r="B1292" s="839" t="s">
        <v>2393</v>
      </c>
      <c r="C1292" s="840" t="s">
        <v>1948</v>
      </c>
      <c r="D1292" s="807">
        <v>7.97</v>
      </c>
      <c r="E1292" s="839" t="s">
        <v>1209</v>
      </c>
      <c r="F1292" s="203" t="e">
        <f>VLOOKUP(A1292,'Compos DER'!J:K,2,FALSE)</f>
        <v>#N/A</v>
      </c>
      <c r="G1292" s="198" t="e">
        <f t="shared" si="21"/>
        <v>#N/A</v>
      </c>
    </row>
    <row r="1293" spans="1:7" ht="25.5" x14ac:dyDescent="0.2">
      <c r="A1293" s="806">
        <v>42903</v>
      </c>
      <c r="B1293" s="842" t="s">
        <v>2394</v>
      </c>
      <c r="C1293" s="840" t="s">
        <v>1948</v>
      </c>
      <c r="D1293" s="807">
        <v>122.4</v>
      </c>
      <c r="E1293" s="839" t="s">
        <v>1209</v>
      </c>
      <c r="F1293" s="203" t="e">
        <f>VLOOKUP(A1293,'Compos DER'!J:K,2,FALSE)</f>
        <v>#N/A</v>
      </c>
      <c r="G1293" s="198" t="e">
        <f t="shared" si="21"/>
        <v>#N/A</v>
      </c>
    </row>
    <row r="1294" spans="1:7" ht="25.5" x14ac:dyDescent="0.2">
      <c r="A1294" s="806">
        <v>42904</v>
      </c>
      <c r="B1294" s="842" t="s">
        <v>2395</v>
      </c>
      <c r="C1294" s="840" t="s">
        <v>1948</v>
      </c>
      <c r="D1294" s="807">
        <v>93.2</v>
      </c>
      <c r="E1294" s="839" t="s">
        <v>1209</v>
      </c>
      <c r="F1294" s="203" t="e">
        <f>VLOOKUP(A1294,'Compos DER'!J:K,2,FALSE)</f>
        <v>#N/A</v>
      </c>
      <c r="G1294" s="198" t="e">
        <f t="shared" si="21"/>
        <v>#N/A</v>
      </c>
    </row>
    <row r="1295" spans="1:7" ht="25.5" x14ac:dyDescent="0.2">
      <c r="A1295" s="806">
        <v>42902</v>
      </c>
      <c r="B1295" s="842" t="s">
        <v>2396</v>
      </c>
      <c r="C1295" s="840" t="s">
        <v>1948</v>
      </c>
      <c r="D1295" s="807">
        <v>99.88</v>
      </c>
      <c r="E1295" s="843"/>
      <c r="F1295" s="203" t="e">
        <f>VLOOKUP(A1295,'Compos DER'!J:K,2,FALSE)</f>
        <v>#N/A</v>
      </c>
      <c r="G1295" s="198" t="e">
        <f t="shared" si="21"/>
        <v>#N/A</v>
      </c>
    </row>
    <row r="1296" spans="1:7" x14ac:dyDescent="0.2">
      <c r="A1296" s="806">
        <v>42905</v>
      </c>
      <c r="B1296" s="839" t="s">
        <v>909</v>
      </c>
      <c r="C1296" s="840" t="s">
        <v>1948</v>
      </c>
      <c r="D1296" s="807">
        <v>20.82</v>
      </c>
      <c r="E1296" s="841"/>
      <c r="F1296" s="203" t="e">
        <f>VLOOKUP(A1296,'Compos DER'!J:K,2,FALSE)</f>
        <v>#N/A</v>
      </c>
      <c r="G1296" s="198" t="e">
        <f t="shared" si="21"/>
        <v>#N/A</v>
      </c>
    </row>
    <row r="1297" spans="1:7" x14ac:dyDescent="0.2">
      <c r="A1297" s="806">
        <v>43120</v>
      </c>
      <c r="B1297" s="842" t="s">
        <v>2397</v>
      </c>
      <c r="C1297" s="840" t="s">
        <v>1948</v>
      </c>
      <c r="D1297" s="807">
        <v>109.44</v>
      </c>
      <c r="E1297" s="839" t="s">
        <v>1209</v>
      </c>
      <c r="F1297" s="203" t="e">
        <f>VLOOKUP(A1297,'Compos DER'!J:K,2,FALSE)</f>
        <v>#N/A</v>
      </c>
      <c r="G1297" s="198" t="e">
        <f t="shared" si="21"/>
        <v>#N/A</v>
      </c>
    </row>
    <row r="1298" spans="1:7" ht="25.5" x14ac:dyDescent="0.2">
      <c r="A1298" s="806">
        <v>42906</v>
      </c>
      <c r="B1298" s="842" t="s">
        <v>2398</v>
      </c>
      <c r="C1298" s="840" t="s">
        <v>1948</v>
      </c>
      <c r="D1298" s="807">
        <v>112.59</v>
      </c>
      <c r="E1298" s="839" t="s">
        <v>1209</v>
      </c>
      <c r="F1298" s="203" t="e">
        <f>VLOOKUP(A1298,'Compos DER'!J:K,2,FALSE)</f>
        <v>#N/A</v>
      </c>
      <c r="G1298" s="198" t="e">
        <f t="shared" si="21"/>
        <v>#N/A</v>
      </c>
    </row>
    <row r="1299" spans="1:7" ht="25.5" x14ac:dyDescent="0.2">
      <c r="A1299" s="806">
        <v>42907</v>
      </c>
      <c r="B1299" s="842" t="s">
        <v>2399</v>
      </c>
      <c r="C1299" s="840" t="s">
        <v>1948</v>
      </c>
      <c r="D1299" s="807">
        <v>120.24</v>
      </c>
      <c r="E1299" s="839" t="s">
        <v>1209</v>
      </c>
      <c r="F1299" s="203" t="e">
        <f>VLOOKUP(A1299,'Compos DER'!J:K,2,FALSE)</f>
        <v>#N/A</v>
      </c>
      <c r="G1299" s="198" t="e">
        <f t="shared" si="21"/>
        <v>#N/A</v>
      </c>
    </row>
    <row r="1300" spans="1:7" x14ac:dyDescent="0.2">
      <c r="A1300" s="806">
        <v>42908</v>
      </c>
      <c r="B1300" s="842" t="s">
        <v>2400</v>
      </c>
      <c r="C1300" s="840" t="s">
        <v>1948</v>
      </c>
      <c r="D1300" s="807">
        <v>106.47</v>
      </c>
      <c r="E1300" s="839" t="s">
        <v>1209</v>
      </c>
      <c r="F1300" s="203" t="e">
        <f>VLOOKUP(A1300,'Compos DER'!J:K,2,FALSE)</f>
        <v>#N/A</v>
      </c>
      <c r="G1300" s="198" t="e">
        <f t="shared" si="21"/>
        <v>#N/A</v>
      </c>
    </row>
    <row r="1301" spans="1:7" ht="25.5" x14ac:dyDescent="0.2">
      <c r="A1301" s="806">
        <v>43122</v>
      </c>
      <c r="B1301" s="842" t="s">
        <v>2401</v>
      </c>
      <c r="C1301" s="840" t="s">
        <v>1948</v>
      </c>
      <c r="D1301" s="807">
        <v>108.74</v>
      </c>
      <c r="E1301" s="839" t="s">
        <v>1209</v>
      </c>
      <c r="F1301" s="203" t="e">
        <f>VLOOKUP(A1301,'Compos DER'!J:K,2,FALSE)</f>
        <v>#N/A</v>
      </c>
      <c r="G1301" s="198" t="e">
        <f t="shared" si="21"/>
        <v>#N/A</v>
      </c>
    </row>
    <row r="1302" spans="1:7" ht="25.5" x14ac:dyDescent="0.2">
      <c r="A1302" s="806">
        <v>42913</v>
      </c>
      <c r="B1302" s="842" t="s">
        <v>2402</v>
      </c>
      <c r="C1302" s="840" t="s">
        <v>1948</v>
      </c>
      <c r="D1302" s="807">
        <v>132.43</v>
      </c>
      <c r="E1302" s="839" t="s">
        <v>1209</v>
      </c>
      <c r="F1302" s="203" t="e">
        <f>VLOOKUP(A1302,'Compos DER'!J:K,2,FALSE)</f>
        <v>#N/A</v>
      </c>
      <c r="G1302" s="198" t="e">
        <f t="shared" si="21"/>
        <v>#N/A</v>
      </c>
    </row>
    <row r="1303" spans="1:7" ht="25.5" x14ac:dyDescent="0.2">
      <c r="A1303" s="806">
        <v>42910</v>
      </c>
      <c r="B1303" s="842" t="s">
        <v>2403</v>
      </c>
      <c r="C1303" s="840" t="s">
        <v>1948</v>
      </c>
      <c r="D1303" s="807">
        <v>235.24</v>
      </c>
      <c r="E1303" s="839" t="s">
        <v>1209</v>
      </c>
      <c r="F1303" s="203" t="e">
        <f>VLOOKUP(A1303,'Compos DER'!J:K,2,FALSE)</f>
        <v>#N/A</v>
      </c>
      <c r="G1303" s="198" t="e">
        <f t="shared" si="21"/>
        <v>#N/A</v>
      </c>
    </row>
    <row r="1304" spans="1:7" ht="25.5" x14ac:dyDescent="0.2">
      <c r="A1304" s="806">
        <v>42909</v>
      </c>
      <c r="B1304" s="842" t="s">
        <v>2404</v>
      </c>
      <c r="C1304" s="840" t="s">
        <v>1948</v>
      </c>
      <c r="D1304" s="807">
        <v>147.49</v>
      </c>
      <c r="E1304" s="839" t="s">
        <v>1209</v>
      </c>
      <c r="F1304" s="203" t="e">
        <f>VLOOKUP(A1304,'Compos DER'!J:K,2,FALSE)</f>
        <v>#N/A</v>
      </c>
      <c r="G1304" s="198" t="e">
        <f t="shared" si="21"/>
        <v>#N/A</v>
      </c>
    </row>
    <row r="1305" spans="1:7" ht="25.5" x14ac:dyDescent="0.2">
      <c r="A1305" s="806">
        <v>42911</v>
      </c>
      <c r="B1305" s="842" t="s">
        <v>2405</v>
      </c>
      <c r="C1305" s="840" t="s">
        <v>1948</v>
      </c>
      <c r="D1305" s="807">
        <v>129.76</v>
      </c>
      <c r="E1305" s="839" t="s">
        <v>1209</v>
      </c>
      <c r="F1305" s="203" t="e">
        <f>VLOOKUP(A1305,'Compos DER'!J:K,2,FALSE)</f>
        <v>#N/A</v>
      </c>
      <c r="G1305" s="198" t="e">
        <f t="shared" si="21"/>
        <v>#N/A</v>
      </c>
    </row>
    <row r="1306" spans="1:7" ht="25.5" x14ac:dyDescent="0.2">
      <c r="A1306" s="806">
        <v>42912</v>
      </c>
      <c r="B1306" s="842" t="s">
        <v>2406</v>
      </c>
      <c r="C1306" s="840" t="s">
        <v>1948</v>
      </c>
      <c r="D1306" s="807">
        <v>124.77</v>
      </c>
      <c r="E1306" s="839" t="s">
        <v>1209</v>
      </c>
      <c r="F1306" s="203" t="e">
        <f>VLOOKUP(A1306,'Compos DER'!J:K,2,FALSE)</f>
        <v>#N/A</v>
      </c>
      <c r="G1306" s="198" t="e">
        <f t="shared" si="21"/>
        <v>#N/A</v>
      </c>
    </row>
    <row r="1307" spans="1:7" ht="25.5" x14ac:dyDescent="0.2">
      <c r="A1307" s="806">
        <v>42915</v>
      </c>
      <c r="B1307" s="842" t="s">
        <v>2407</v>
      </c>
      <c r="C1307" s="840" t="s">
        <v>1948</v>
      </c>
      <c r="D1307" s="807">
        <v>132.22</v>
      </c>
      <c r="E1307" s="839" t="s">
        <v>1209</v>
      </c>
      <c r="F1307" s="203" t="e">
        <f>VLOOKUP(A1307,'Compos DER'!J:K,2,FALSE)</f>
        <v>#N/A</v>
      </c>
      <c r="G1307" s="198" t="e">
        <f t="shared" si="21"/>
        <v>#N/A</v>
      </c>
    </row>
    <row r="1308" spans="1:7" ht="25.5" x14ac:dyDescent="0.2">
      <c r="A1308" s="806">
        <v>42914</v>
      </c>
      <c r="B1308" s="842" t="s">
        <v>2408</v>
      </c>
      <c r="C1308" s="840" t="s">
        <v>1948</v>
      </c>
      <c r="D1308" s="807">
        <v>93.64</v>
      </c>
      <c r="E1308" s="839" t="s">
        <v>1209</v>
      </c>
      <c r="F1308" s="203" t="e">
        <f>VLOOKUP(A1308,'Compos DER'!J:K,2,FALSE)</f>
        <v>#N/A</v>
      </c>
      <c r="G1308" s="198" t="e">
        <f t="shared" si="21"/>
        <v>#N/A</v>
      </c>
    </row>
    <row r="1309" spans="1:7" ht="25.5" x14ac:dyDescent="0.2">
      <c r="A1309" s="806">
        <v>42917</v>
      </c>
      <c r="B1309" s="842" t="s">
        <v>2409</v>
      </c>
      <c r="C1309" s="840" t="s">
        <v>1948</v>
      </c>
      <c r="D1309" s="807">
        <v>795.36</v>
      </c>
      <c r="E1309" s="843"/>
      <c r="F1309" s="203" t="e">
        <f>VLOOKUP(A1309,'Compos DER'!J:K,2,FALSE)</f>
        <v>#N/A</v>
      </c>
      <c r="G1309" s="198" t="e">
        <f t="shared" si="21"/>
        <v>#N/A</v>
      </c>
    </row>
    <row r="1310" spans="1:7" ht="25.5" x14ac:dyDescent="0.2">
      <c r="A1310" s="806">
        <v>42918</v>
      </c>
      <c r="B1310" s="842" t="s">
        <v>2410</v>
      </c>
      <c r="C1310" s="840" t="s">
        <v>1948</v>
      </c>
      <c r="D1310" s="808">
        <v>1032.1099999999999</v>
      </c>
      <c r="E1310" s="843"/>
      <c r="F1310" s="203" t="e">
        <f>VLOOKUP(A1310,'Compos DER'!J:K,2,FALSE)</f>
        <v>#N/A</v>
      </c>
      <c r="G1310" s="198" t="e">
        <f t="shared" si="21"/>
        <v>#N/A</v>
      </c>
    </row>
    <row r="1311" spans="1:7" x14ac:dyDescent="0.2">
      <c r="A1311" s="806">
        <v>42916</v>
      </c>
      <c r="B1311" s="842" t="s">
        <v>2411</v>
      </c>
      <c r="C1311" s="840" t="s">
        <v>1948</v>
      </c>
      <c r="D1311" s="807">
        <v>559.41999999999996</v>
      </c>
      <c r="E1311" s="843"/>
      <c r="F1311" s="203" t="e">
        <f>VLOOKUP(A1311,'Compos DER'!J:K,2,FALSE)</f>
        <v>#N/A</v>
      </c>
      <c r="G1311" s="198" t="e">
        <f t="shared" si="21"/>
        <v>#N/A</v>
      </c>
    </row>
    <row r="1312" spans="1:7" ht="25.5" x14ac:dyDescent="0.2">
      <c r="A1312" s="806">
        <v>42919</v>
      </c>
      <c r="B1312" s="842" t="s">
        <v>2412</v>
      </c>
      <c r="C1312" s="840" t="s">
        <v>1948</v>
      </c>
      <c r="D1312" s="807">
        <v>77.900000000000006</v>
      </c>
      <c r="E1312" s="839" t="s">
        <v>1209</v>
      </c>
      <c r="F1312" s="203" t="e">
        <f>VLOOKUP(A1312,'Compos DER'!J:K,2,FALSE)</f>
        <v>#N/A</v>
      </c>
      <c r="G1312" s="198" t="e">
        <f t="shared" si="21"/>
        <v>#N/A</v>
      </c>
    </row>
    <row r="1313" spans="1:7" x14ac:dyDescent="0.2">
      <c r="A1313" s="806">
        <v>42920</v>
      </c>
      <c r="B1313" s="842" t="s">
        <v>2413</v>
      </c>
      <c r="C1313" s="840" t="s">
        <v>1948</v>
      </c>
      <c r="D1313" s="807">
        <v>566.72</v>
      </c>
      <c r="E1313" s="843"/>
      <c r="F1313" s="203" t="e">
        <f>VLOOKUP(A1313,'Compos DER'!J:K,2,FALSE)</f>
        <v>#N/A</v>
      </c>
      <c r="G1313" s="198" t="e">
        <f t="shared" si="21"/>
        <v>#N/A</v>
      </c>
    </row>
    <row r="1314" spans="1:7" ht="25.5" x14ac:dyDescent="0.2">
      <c r="A1314" s="806">
        <v>42921</v>
      </c>
      <c r="B1314" s="842" t="s">
        <v>2414</v>
      </c>
      <c r="C1314" s="840" t="s">
        <v>1948</v>
      </c>
      <c r="D1314" s="807">
        <v>119.76</v>
      </c>
      <c r="E1314" s="843"/>
      <c r="F1314" s="203" t="e">
        <f>VLOOKUP(A1314,'Compos DER'!J:K,2,FALSE)</f>
        <v>#N/A</v>
      </c>
      <c r="G1314" s="198" t="e">
        <f t="shared" si="21"/>
        <v>#N/A</v>
      </c>
    </row>
    <row r="1315" spans="1:7" x14ac:dyDescent="0.2">
      <c r="A1315" s="806">
        <v>42922</v>
      </c>
      <c r="B1315" s="839" t="s">
        <v>910</v>
      </c>
      <c r="C1315" s="840" t="s">
        <v>1948</v>
      </c>
      <c r="D1315" s="807">
        <v>26.67</v>
      </c>
      <c r="E1315" s="841"/>
      <c r="F1315" s="203" t="e">
        <f>VLOOKUP(A1315,'Compos DER'!J:K,2,FALSE)</f>
        <v>#N/A</v>
      </c>
      <c r="G1315" s="198" t="e">
        <f t="shared" si="21"/>
        <v>#N/A</v>
      </c>
    </row>
    <row r="1316" spans="1:7" x14ac:dyDescent="0.2">
      <c r="A1316" s="806">
        <v>42923</v>
      </c>
      <c r="B1316" s="839" t="s">
        <v>911</v>
      </c>
      <c r="C1316" s="840" t="s">
        <v>1948</v>
      </c>
      <c r="D1316" s="807">
        <v>24.35</v>
      </c>
      <c r="E1316" s="841"/>
      <c r="F1316" s="203" t="e">
        <f>VLOOKUP(A1316,'Compos DER'!J:K,2,FALSE)</f>
        <v>#N/A</v>
      </c>
      <c r="G1316" s="198" t="e">
        <f t="shared" si="21"/>
        <v>#N/A</v>
      </c>
    </row>
    <row r="1317" spans="1:7" x14ac:dyDescent="0.2">
      <c r="A1317" s="806">
        <v>42924</v>
      </c>
      <c r="B1317" s="839" t="s">
        <v>912</v>
      </c>
      <c r="C1317" s="840" t="s">
        <v>1948</v>
      </c>
      <c r="D1317" s="807">
        <v>16.72</v>
      </c>
      <c r="E1317" s="841"/>
      <c r="F1317" s="203" t="e">
        <f>VLOOKUP(A1317,'Compos DER'!J:K,2,FALSE)</f>
        <v>#N/A</v>
      </c>
      <c r="G1317" s="198" t="e">
        <f t="shared" si="21"/>
        <v>#N/A</v>
      </c>
    </row>
    <row r="1318" spans="1:7" x14ac:dyDescent="0.2">
      <c r="A1318" s="806">
        <v>42925</v>
      </c>
      <c r="B1318" s="839" t="s">
        <v>2415</v>
      </c>
      <c r="C1318" s="840" t="s">
        <v>1948</v>
      </c>
      <c r="D1318" s="807">
        <v>8.31</v>
      </c>
      <c r="E1318" s="841"/>
      <c r="F1318" s="203" t="e">
        <f>VLOOKUP(A1318,'Compos DER'!J:K,2,FALSE)</f>
        <v>#N/A</v>
      </c>
      <c r="G1318" s="198" t="e">
        <f t="shared" si="21"/>
        <v>#N/A</v>
      </c>
    </row>
    <row r="1319" spans="1:7" x14ac:dyDescent="0.2">
      <c r="A1319" s="806">
        <v>42926</v>
      </c>
      <c r="B1319" s="839" t="s">
        <v>913</v>
      </c>
      <c r="C1319" s="840" t="s">
        <v>1948</v>
      </c>
      <c r="D1319" s="807">
        <v>9.2899999999999991</v>
      </c>
      <c r="E1319" s="841"/>
      <c r="F1319" s="203" t="e">
        <f>VLOOKUP(A1319,'Compos DER'!J:K,2,FALSE)</f>
        <v>#N/A</v>
      </c>
      <c r="G1319" s="198" t="e">
        <f t="shared" si="21"/>
        <v>#N/A</v>
      </c>
    </row>
    <row r="1320" spans="1:7" x14ac:dyDescent="0.2">
      <c r="A1320" s="806">
        <v>42927</v>
      </c>
      <c r="B1320" s="839" t="s">
        <v>914</v>
      </c>
      <c r="C1320" s="840" t="s">
        <v>1948</v>
      </c>
      <c r="D1320" s="807">
        <v>10.82</v>
      </c>
      <c r="E1320" s="841"/>
      <c r="F1320" s="203" t="e">
        <f>VLOOKUP(A1320,'Compos DER'!J:K,2,FALSE)</f>
        <v>#N/A</v>
      </c>
      <c r="G1320" s="198" t="e">
        <f t="shared" si="21"/>
        <v>#N/A</v>
      </c>
    </row>
    <row r="1321" spans="1:7" x14ac:dyDescent="0.2">
      <c r="A1321" s="806">
        <v>42928</v>
      </c>
      <c r="B1321" s="839" t="s">
        <v>915</v>
      </c>
      <c r="C1321" s="840" t="s">
        <v>1948</v>
      </c>
      <c r="D1321" s="807">
        <v>18.78</v>
      </c>
      <c r="E1321" s="841"/>
      <c r="F1321" s="203" t="e">
        <f>VLOOKUP(A1321,'Compos DER'!J:K,2,FALSE)</f>
        <v>#N/A</v>
      </c>
      <c r="G1321" s="198" t="e">
        <f t="shared" si="21"/>
        <v>#N/A</v>
      </c>
    </row>
    <row r="1322" spans="1:7" x14ac:dyDescent="0.2">
      <c r="A1322" s="806">
        <v>42942</v>
      </c>
      <c r="B1322" s="842" t="s">
        <v>2416</v>
      </c>
      <c r="C1322" s="840" t="s">
        <v>1948</v>
      </c>
      <c r="D1322" s="807">
        <v>75.36</v>
      </c>
      <c r="E1322" s="843"/>
      <c r="F1322" s="203" t="e">
        <f>VLOOKUP(A1322,'Compos DER'!J:K,2,FALSE)</f>
        <v>#N/A</v>
      </c>
      <c r="G1322" s="198" t="e">
        <f t="shared" si="21"/>
        <v>#N/A</v>
      </c>
    </row>
    <row r="1323" spans="1:7" x14ac:dyDescent="0.2">
      <c r="A1323" s="806">
        <v>42944</v>
      </c>
      <c r="B1323" s="839" t="s">
        <v>1774</v>
      </c>
      <c r="C1323" s="840" t="s">
        <v>1906</v>
      </c>
      <c r="D1323" s="807">
        <v>74.540000000000006</v>
      </c>
      <c r="E1323" s="841"/>
      <c r="F1323" s="203" t="e">
        <f>VLOOKUP(A1323,'Compos DER'!J:K,2,FALSE)</f>
        <v>#N/A</v>
      </c>
      <c r="G1323" s="198" t="e">
        <f t="shared" si="21"/>
        <v>#N/A</v>
      </c>
    </row>
    <row r="1324" spans="1:7" x14ac:dyDescent="0.2">
      <c r="A1324" s="806">
        <v>42943</v>
      </c>
      <c r="B1324" s="839" t="s">
        <v>1775</v>
      </c>
      <c r="C1324" s="840" t="s">
        <v>1906</v>
      </c>
      <c r="D1324" s="807">
        <v>70.510000000000005</v>
      </c>
      <c r="E1324" s="841"/>
      <c r="F1324" s="203" t="e">
        <f>VLOOKUP(A1324,'Compos DER'!J:K,2,FALSE)</f>
        <v>#N/A</v>
      </c>
      <c r="G1324" s="198" t="e">
        <f t="shared" si="21"/>
        <v>#N/A</v>
      </c>
    </row>
    <row r="1325" spans="1:7" x14ac:dyDescent="0.2">
      <c r="A1325" s="806">
        <v>42946</v>
      </c>
      <c r="B1325" s="839" t="s">
        <v>1776</v>
      </c>
      <c r="C1325" s="840" t="s">
        <v>1906</v>
      </c>
      <c r="D1325" s="807">
        <v>105.29</v>
      </c>
      <c r="E1325" s="841"/>
      <c r="F1325" s="203" t="e">
        <f>VLOOKUP(A1325,'Compos DER'!J:K,2,FALSE)</f>
        <v>#N/A</v>
      </c>
      <c r="G1325" s="198" t="e">
        <f t="shared" si="21"/>
        <v>#N/A</v>
      </c>
    </row>
    <row r="1326" spans="1:7" x14ac:dyDescent="0.2">
      <c r="A1326" s="806">
        <v>42945</v>
      </c>
      <c r="B1326" s="839" t="s">
        <v>1777</v>
      </c>
      <c r="C1326" s="840" t="s">
        <v>1906</v>
      </c>
      <c r="D1326" s="807">
        <v>103.93</v>
      </c>
      <c r="E1326" s="841"/>
      <c r="F1326" s="203" t="e">
        <f>VLOOKUP(A1326,'Compos DER'!J:K,2,FALSE)</f>
        <v>#N/A</v>
      </c>
      <c r="G1326" s="198" t="e">
        <f t="shared" si="21"/>
        <v>#N/A</v>
      </c>
    </row>
    <row r="1327" spans="1:7" x14ac:dyDescent="0.2">
      <c r="A1327" s="806">
        <v>42948</v>
      </c>
      <c r="B1327" s="839" t="s">
        <v>1778</v>
      </c>
      <c r="C1327" s="840" t="s">
        <v>1906</v>
      </c>
      <c r="D1327" s="807">
        <v>151.38999999999999</v>
      </c>
      <c r="E1327" s="841"/>
      <c r="F1327" s="203" t="e">
        <f>VLOOKUP(A1327,'Compos DER'!J:K,2,FALSE)</f>
        <v>#N/A</v>
      </c>
      <c r="G1327" s="198" t="e">
        <f t="shared" si="21"/>
        <v>#N/A</v>
      </c>
    </row>
    <row r="1328" spans="1:7" x14ac:dyDescent="0.2">
      <c r="A1328" s="806">
        <v>42947</v>
      </c>
      <c r="B1328" s="839" t="s">
        <v>1779</v>
      </c>
      <c r="C1328" s="840" t="s">
        <v>1906</v>
      </c>
      <c r="D1328" s="807">
        <v>154.05000000000001</v>
      </c>
      <c r="E1328" s="841"/>
      <c r="F1328" s="203" t="e">
        <f>VLOOKUP(A1328,'Compos DER'!J:K,2,FALSE)</f>
        <v>#N/A</v>
      </c>
      <c r="G1328" s="198" t="e">
        <f t="shared" si="21"/>
        <v>#N/A</v>
      </c>
    </row>
    <row r="1329" spans="1:7" x14ac:dyDescent="0.2">
      <c r="A1329" s="806">
        <v>42949</v>
      </c>
      <c r="B1329" s="839" t="s">
        <v>1780</v>
      </c>
      <c r="C1329" s="840" t="s">
        <v>1906</v>
      </c>
      <c r="D1329" s="807">
        <v>155.91</v>
      </c>
      <c r="E1329" s="841"/>
      <c r="F1329" s="203" t="e">
        <f>VLOOKUP(A1329,'Compos DER'!J:K,2,FALSE)</f>
        <v>#N/A</v>
      </c>
      <c r="G1329" s="198" t="e">
        <f t="shared" si="21"/>
        <v>#N/A</v>
      </c>
    </row>
    <row r="1330" spans="1:7" x14ac:dyDescent="0.2">
      <c r="A1330" s="806">
        <v>42950</v>
      </c>
      <c r="B1330" s="839" t="s">
        <v>1781</v>
      </c>
      <c r="C1330" s="840" t="s">
        <v>1906</v>
      </c>
      <c r="D1330" s="807">
        <v>158.94999999999999</v>
      </c>
      <c r="E1330" s="841"/>
      <c r="F1330" s="203" t="e">
        <f>VLOOKUP(A1330,'Compos DER'!J:K,2,FALSE)</f>
        <v>#N/A</v>
      </c>
      <c r="G1330" s="198" t="e">
        <f t="shared" si="21"/>
        <v>#N/A</v>
      </c>
    </row>
    <row r="1331" spans="1:7" x14ac:dyDescent="0.2">
      <c r="A1331" s="806">
        <v>42951</v>
      </c>
      <c r="B1331" s="839" t="s">
        <v>1782</v>
      </c>
      <c r="C1331" s="840" t="s">
        <v>1906</v>
      </c>
      <c r="D1331" s="807">
        <v>191.66</v>
      </c>
      <c r="E1331" s="841"/>
      <c r="F1331" s="203" t="e">
        <f>VLOOKUP(A1331,'Compos DER'!J:K,2,FALSE)</f>
        <v>#N/A</v>
      </c>
      <c r="G1331" s="198" t="e">
        <f t="shared" si="21"/>
        <v>#N/A</v>
      </c>
    </row>
    <row r="1332" spans="1:7" x14ac:dyDescent="0.2">
      <c r="A1332" s="806">
        <v>42952</v>
      </c>
      <c r="B1332" s="839" t="s">
        <v>1783</v>
      </c>
      <c r="C1332" s="840" t="s">
        <v>1906</v>
      </c>
      <c r="D1332" s="807">
        <v>197.81</v>
      </c>
      <c r="E1332" s="841"/>
      <c r="F1332" s="203" t="e">
        <f>VLOOKUP(A1332,'Compos DER'!J:K,2,FALSE)</f>
        <v>#N/A</v>
      </c>
      <c r="G1332" s="198" t="e">
        <f t="shared" si="21"/>
        <v>#N/A</v>
      </c>
    </row>
    <row r="1333" spans="1:7" x14ac:dyDescent="0.2">
      <c r="A1333" s="806">
        <v>42953</v>
      </c>
      <c r="B1333" s="839" t="s">
        <v>1784</v>
      </c>
      <c r="C1333" s="840" t="s">
        <v>1906</v>
      </c>
      <c r="D1333" s="807">
        <v>332.91</v>
      </c>
      <c r="E1333" s="841"/>
      <c r="F1333" s="203" t="e">
        <f>VLOOKUP(A1333,'Compos DER'!J:K,2,FALSE)</f>
        <v>#N/A</v>
      </c>
      <c r="G1333" s="198" t="e">
        <f t="shared" si="21"/>
        <v>#N/A</v>
      </c>
    </row>
    <row r="1334" spans="1:7" x14ac:dyDescent="0.2">
      <c r="A1334" s="806">
        <v>42954</v>
      </c>
      <c r="B1334" s="839" t="s">
        <v>1785</v>
      </c>
      <c r="C1334" s="840" t="s">
        <v>1906</v>
      </c>
      <c r="D1334" s="807">
        <v>351.35</v>
      </c>
      <c r="E1334" s="841"/>
      <c r="F1334" s="203" t="e">
        <f>VLOOKUP(A1334,'Compos DER'!J:K,2,FALSE)</f>
        <v>#N/A</v>
      </c>
      <c r="G1334" s="198" t="e">
        <f t="shared" si="21"/>
        <v>#N/A</v>
      </c>
    </row>
    <row r="1335" spans="1:7" x14ac:dyDescent="0.2">
      <c r="A1335" s="806">
        <v>42955</v>
      </c>
      <c r="B1335" s="839" t="s">
        <v>1786</v>
      </c>
      <c r="C1335" s="840" t="s">
        <v>1906</v>
      </c>
      <c r="D1335" s="807">
        <v>292.08</v>
      </c>
      <c r="E1335" s="841"/>
      <c r="F1335" s="203" t="e">
        <f>VLOOKUP(A1335,'Compos DER'!J:K,2,FALSE)</f>
        <v>#N/A</v>
      </c>
      <c r="G1335" s="198" t="e">
        <f t="shared" si="21"/>
        <v>#N/A</v>
      </c>
    </row>
    <row r="1336" spans="1:7" x14ac:dyDescent="0.2">
      <c r="A1336" s="806">
        <v>42956</v>
      </c>
      <c r="B1336" s="839" t="s">
        <v>1787</v>
      </c>
      <c r="C1336" s="840" t="s">
        <v>1906</v>
      </c>
      <c r="D1336" s="807">
        <v>103.93</v>
      </c>
      <c r="E1336" s="841"/>
      <c r="F1336" s="203" t="e">
        <f>VLOOKUP(A1336,'Compos DER'!J:K,2,FALSE)</f>
        <v>#N/A</v>
      </c>
      <c r="G1336" s="198" t="e">
        <f t="shared" si="21"/>
        <v>#N/A</v>
      </c>
    </row>
    <row r="1337" spans="1:7" x14ac:dyDescent="0.2">
      <c r="A1337" s="806">
        <v>42957</v>
      </c>
      <c r="B1337" s="842" t="s">
        <v>2417</v>
      </c>
      <c r="C1337" s="840" t="s">
        <v>1906</v>
      </c>
      <c r="D1337" s="807">
        <v>236.58</v>
      </c>
      <c r="E1337" s="843"/>
      <c r="F1337" s="203" t="e">
        <f>VLOOKUP(A1337,'Compos DER'!J:K,2,FALSE)</f>
        <v>#N/A</v>
      </c>
      <c r="G1337" s="198" t="e">
        <f t="shared" si="21"/>
        <v>#N/A</v>
      </c>
    </row>
    <row r="1338" spans="1:7" ht="25.5" x14ac:dyDescent="0.2">
      <c r="A1338" s="806">
        <v>42958</v>
      </c>
      <c r="B1338" s="842" t="s">
        <v>2418</v>
      </c>
      <c r="C1338" s="840" t="s">
        <v>1906</v>
      </c>
      <c r="D1338" s="807">
        <v>238.22</v>
      </c>
      <c r="E1338" s="839" t="s">
        <v>1209</v>
      </c>
      <c r="F1338" s="203" t="e">
        <f>VLOOKUP(A1338,'Compos DER'!J:K,2,FALSE)</f>
        <v>#N/A</v>
      </c>
      <c r="G1338" s="198" t="e">
        <f t="shared" si="21"/>
        <v>#N/A</v>
      </c>
    </row>
    <row r="1339" spans="1:7" ht="25.5" x14ac:dyDescent="0.2">
      <c r="A1339" s="806">
        <v>42959</v>
      </c>
      <c r="B1339" s="842" t="s">
        <v>2419</v>
      </c>
      <c r="C1339" s="840" t="s">
        <v>1906</v>
      </c>
      <c r="D1339" s="807">
        <v>240.64</v>
      </c>
      <c r="E1339" s="839" t="s">
        <v>1209</v>
      </c>
      <c r="F1339" s="203" t="e">
        <f>VLOOKUP(A1339,'Compos DER'!J:K,2,FALSE)</f>
        <v>#N/A</v>
      </c>
      <c r="G1339" s="198" t="e">
        <f t="shared" si="21"/>
        <v>#N/A</v>
      </c>
    </row>
    <row r="1340" spans="1:7" x14ac:dyDescent="0.2">
      <c r="A1340" s="806">
        <v>42961</v>
      </c>
      <c r="B1340" s="842" t="s">
        <v>2420</v>
      </c>
      <c r="C1340" s="840" t="s">
        <v>1906</v>
      </c>
      <c r="D1340" s="807">
        <v>21.9</v>
      </c>
      <c r="E1340" s="843"/>
      <c r="F1340" s="203" t="e">
        <f>VLOOKUP(A1340,'Compos DER'!J:K,2,FALSE)</f>
        <v>#N/A</v>
      </c>
      <c r="G1340" s="198" t="e">
        <f t="shared" si="21"/>
        <v>#N/A</v>
      </c>
    </row>
    <row r="1341" spans="1:7" x14ac:dyDescent="0.2">
      <c r="A1341" s="806">
        <v>42962</v>
      </c>
      <c r="B1341" s="842" t="s">
        <v>2420</v>
      </c>
      <c r="C1341" s="840" t="s">
        <v>1906</v>
      </c>
      <c r="D1341" s="807">
        <v>21.9</v>
      </c>
      <c r="E1341" s="843"/>
      <c r="F1341" s="203" t="e">
        <f>VLOOKUP(A1341,'Compos DER'!J:K,2,FALSE)</f>
        <v>#N/A</v>
      </c>
      <c r="G1341" s="198" t="e">
        <f t="shared" ref="G1341:G1404" si="22">+F1341/D1341</f>
        <v>#N/A</v>
      </c>
    </row>
    <row r="1342" spans="1:7" x14ac:dyDescent="0.2">
      <c r="A1342" s="806">
        <v>42960</v>
      </c>
      <c r="B1342" s="839" t="s">
        <v>1788</v>
      </c>
      <c r="C1342" s="840" t="s">
        <v>1906</v>
      </c>
      <c r="D1342" s="807">
        <v>13.46</v>
      </c>
      <c r="E1342" s="841"/>
      <c r="F1342" s="203" t="e">
        <f>VLOOKUP(A1342,'Compos DER'!J:K,2,FALSE)</f>
        <v>#N/A</v>
      </c>
      <c r="G1342" s="198" t="e">
        <f t="shared" si="22"/>
        <v>#N/A</v>
      </c>
    </row>
    <row r="1343" spans="1:7" x14ac:dyDescent="0.2">
      <c r="A1343" s="806">
        <v>42964</v>
      </c>
      <c r="B1343" s="842" t="s">
        <v>2421</v>
      </c>
      <c r="C1343" s="840" t="s">
        <v>1906</v>
      </c>
      <c r="D1343" s="807">
        <v>23.13</v>
      </c>
      <c r="E1343" s="843"/>
      <c r="F1343" s="203" t="e">
        <f>VLOOKUP(A1343,'Compos DER'!J:K,2,FALSE)</f>
        <v>#N/A</v>
      </c>
      <c r="G1343" s="198" t="e">
        <f t="shared" si="22"/>
        <v>#N/A</v>
      </c>
    </row>
    <row r="1344" spans="1:7" x14ac:dyDescent="0.2">
      <c r="A1344" s="806">
        <v>42963</v>
      </c>
      <c r="B1344" s="839" t="s">
        <v>1789</v>
      </c>
      <c r="C1344" s="840" t="s">
        <v>1906</v>
      </c>
      <c r="D1344" s="807">
        <v>14.63</v>
      </c>
      <c r="E1344" s="841"/>
      <c r="F1344" s="203" t="e">
        <f>VLOOKUP(A1344,'Compos DER'!J:K,2,FALSE)</f>
        <v>#N/A</v>
      </c>
      <c r="G1344" s="198" t="e">
        <f t="shared" si="22"/>
        <v>#N/A</v>
      </c>
    </row>
    <row r="1345" spans="1:7" x14ac:dyDescent="0.2">
      <c r="A1345" s="806">
        <v>42966</v>
      </c>
      <c r="B1345" s="842" t="s">
        <v>2422</v>
      </c>
      <c r="C1345" s="840" t="s">
        <v>1906</v>
      </c>
      <c r="D1345" s="807">
        <v>25.51</v>
      </c>
      <c r="E1345" s="843"/>
      <c r="F1345" s="203" t="e">
        <f>VLOOKUP(A1345,'Compos DER'!J:K,2,FALSE)</f>
        <v>#N/A</v>
      </c>
      <c r="G1345" s="198" t="e">
        <f t="shared" si="22"/>
        <v>#N/A</v>
      </c>
    </row>
    <row r="1346" spans="1:7" x14ac:dyDescent="0.2">
      <c r="A1346" s="806">
        <v>42965</v>
      </c>
      <c r="B1346" s="839" t="s">
        <v>1790</v>
      </c>
      <c r="C1346" s="840" t="s">
        <v>1906</v>
      </c>
      <c r="D1346" s="807">
        <v>16.989999999999998</v>
      </c>
      <c r="E1346" s="841"/>
      <c r="F1346" s="203" t="e">
        <f>VLOOKUP(A1346,'Compos DER'!J:K,2,FALSE)</f>
        <v>#N/A</v>
      </c>
      <c r="G1346" s="198" t="e">
        <f t="shared" si="22"/>
        <v>#N/A</v>
      </c>
    </row>
    <row r="1347" spans="1:7" x14ac:dyDescent="0.2">
      <c r="A1347" s="806">
        <v>42968</v>
      </c>
      <c r="B1347" s="842" t="s">
        <v>2423</v>
      </c>
      <c r="C1347" s="840" t="s">
        <v>1906</v>
      </c>
      <c r="D1347" s="807">
        <v>32.11</v>
      </c>
      <c r="E1347" s="843"/>
      <c r="F1347" s="203" t="e">
        <f>VLOOKUP(A1347,'Compos DER'!J:K,2,FALSE)</f>
        <v>#N/A</v>
      </c>
      <c r="G1347" s="198" t="e">
        <f t="shared" si="22"/>
        <v>#N/A</v>
      </c>
    </row>
    <row r="1348" spans="1:7" x14ac:dyDescent="0.2">
      <c r="A1348" s="806">
        <v>42967</v>
      </c>
      <c r="B1348" s="839" t="s">
        <v>1791</v>
      </c>
      <c r="C1348" s="840" t="s">
        <v>1906</v>
      </c>
      <c r="D1348" s="807">
        <v>24.47</v>
      </c>
      <c r="E1348" s="841"/>
      <c r="F1348" s="203" t="e">
        <f>VLOOKUP(A1348,'Compos DER'!J:K,2,FALSE)</f>
        <v>#N/A</v>
      </c>
      <c r="G1348" s="198" t="e">
        <f t="shared" si="22"/>
        <v>#N/A</v>
      </c>
    </row>
    <row r="1349" spans="1:7" x14ac:dyDescent="0.2">
      <c r="A1349" s="806">
        <v>42970</v>
      </c>
      <c r="B1349" s="842" t="s">
        <v>2424</v>
      </c>
      <c r="C1349" s="840" t="s">
        <v>1906</v>
      </c>
      <c r="D1349" s="807">
        <v>36.6</v>
      </c>
      <c r="E1349" s="843"/>
      <c r="F1349" s="203" t="e">
        <f>VLOOKUP(A1349,'Compos DER'!J:K,2,FALSE)</f>
        <v>#N/A</v>
      </c>
      <c r="G1349" s="198" t="e">
        <f t="shared" si="22"/>
        <v>#N/A</v>
      </c>
    </row>
    <row r="1350" spans="1:7" x14ac:dyDescent="0.2">
      <c r="A1350" s="806">
        <v>42969</v>
      </c>
      <c r="B1350" s="839" t="s">
        <v>1792</v>
      </c>
      <c r="C1350" s="840" t="s">
        <v>1906</v>
      </c>
      <c r="D1350" s="807">
        <v>29.27</v>
      </c>
      <c r="E1350" s="841"/>
      <c r="F1350" s="203" t="e">
        <f>VLOOKUP(A1350,'Compos DER'!J:K,2,FALSE)</f>
        <v>#N/A</v>
      </c>
      <c r="G1350" s="198" t="e">
        <f t="shared" si="22"/>
        <v>#N/A</v>
      </c>
    </row>
    <row r="1351" spans="1:7" x14ac:dyDescent="0.2">
      <c r="A1351" s="806">
        <v>42973</v>
      </c>
      <c r="B1351" s="842" t="s">
        <v>2425</v>
      </c>
      <c r="C1351" s="840" t="s">
        <v>1906</v>
      </c>
      <c r="D1351" s="807">
        <v>43.33</v>
      </c>
      <c r="E1351" s="843"/>
      <c r="F1351" s="203" t="e">
        <f>VLOOKUP(A1351,'Compos DER'!J:K,2,FALSE)</f>
        <v>#N/A</v>
      </c>
      <c r="G1351" s="198" t="e">
        <f t="shared" si="22"/>
        <v>#N/A</v>
      </c>
    </row>
    <row r="1352" spans="1:7" x14ac:dyDescent="0.2">
      <c r="A1352" s="806">
        <v>42979</v>
      </c>
      <c r="B1352" s="842" t="s">
        <v>2426</v>
      </c>
      <c r="C1352" s="840" t="s">
        <v>1906</v>
      </c>
      <c r="D1352" s="807">
        <v>43.33</v>
      </c>
      <c r="E1352" s="843"/>
      <c r="F1352" s="203" t="e">
        <f>VLOOKUP(A1352,'Compos DER'!J:K,2,FALSE)</f>
        <v>#N/A</v>
      </c>
      <c r="G1352" s="198" t="e">
        <f t="shared" si="22"/>
        <v>#N/A</v>
      </c>
    </row>
    <row r="1353" spans="1:7" x14ac:dyDescent="0.2">
      <c r="A1353" s="806">
        <v>42971</v>
      </c>
      <c r="B1353" s="839" t="s">
        <v>1793</v>
      </c>
      <c r="C1353" s="840" t="s">
        <v>1906</v>
      </c>
      <c r="D1353" s="807">
        <v>36.65</v>
      </c>
      <c r="E1353" s="841"/>
      <c r="F1353" s="203" t="e">
        <f>VLOOKUP(A1353,'Compos DER'!J:K,2,FALSE)</f>
        <v>#N/A</v>
      </c>
      <c r="G1353" s="198" t="e">
        <f t="shared" si="22"/>
        <v>#N/A</v>
      </c>
    </row>
    <row r="1354" spans="1:7" x14ac:dyDescent="0.2">
      <c r="A1354" s="806">
        <v>42981</v>
      </c>
      <c r="B1354" s="842" t="s">
        <v>2427</v>
      </c>
      <c r="C1354" s="840" t="s">
        <v>1905</v>
      </c>
      <c r="D1354" s="807">
        <v>193.4</v>
      </c>
      <c r="E1354" s="839" t="s">
        <v>1209</v>
      </c>
      <c r="F1354" s="203" t="e">
        <f>VLOOKUP(A1354,'Compos DER'!J:K,2,FALSE)</f>
        <v>#N/A</v>
      </c>
      <c r="G1354" s="198" t="e">
        <f t="shared" si="22"/>
        <v>#N/A</v>
      </c>
    </row>
    <row r="1355" spans="1:7" ht="25.5" x14ac:dyDescent="0.2">
      <c r="A1355" s="806">
        <v>42982</v>
      </c>
      <c r="B1355" s="842" t="s">
        <v>2428</v>
      </c>
      <c r="C1355" s="840" t="s">
        <v>1906</v>
      </c>
      <c r="D1355" s="807">
        <v>140.30000000000001</v>
      </c>
      <c r="E1355" s="839" t="s">
        <v>1209</v>
      </c>
      <c r="F1355" s="203" t="e">
        <f>VLOOKUP(A1355,'Compos DER'!J:K,2,FALSE)</f>
        <v>#N/A</v>
      </c>
      <c r="G1355" s="198" t="e">
        <f t="shared" si="22"/>
        <v>#N/A</v>
      </c>
    </row>
    <row r="1356" spans="1:7" x14ac:dyDescent="0.2">
      <c r="A1356" s="806">
        <v>42987</v>
      </c>
      <c r="B1356" s="842" t="s">
        <v>2429</v>
      </c>
      <c r="C1356" s="840" t="s">
        <v>1905</v>
      </c>
      <c r="D1356" s="807">
        <v>78.319999999999993</v>
      </c>
      <c r="E1356" s="839" t="s">
        <v>1209</v>
      </c>
      <c r="F1356" s="203" t="e">
        <f>VLOOKUP(A1356,'Compos DER'!J:K,2,FALSE)</f>
        <v>#N/A</v>
      </c>
      <c r="G1356" s="198" t="e">
        <f t="shared" si="22"/>
        <v>#N/A</v>
      </c>
    </row>
    <row r="1357" spans="1:7" x14ac:dyDescent="0.2">
      <c r="A1357" s="806">
        <v>42988</v>
      </c>
      <c r="B1357" s="842" t="s">
        <v>2430</v>
      </c>
      <c r="C1357" s="840" t="s">
        <v>1905</v>
      </c>
      <c r="D1357" s="807">
        <v>66.5</v>
      </c>
      <c r="E1357" s="839" t="s">
        <v>1209</v>
      </c>
      <c r="F1357" s="203" t="e">
        <f>VLOOKUP(A1357,'Compos DER'!J:K,2,FALSE)</f>
        <v>#N/A</v>
      </c>
      <c r="G1357" s="198" t="e">
        <f t="shared" si="22"/>
        <v>#N/A</v>
      </c>
    </row>
    <row r="1358" spans="1:7" x14ac:dyDescent="0.2">
      <c r="A1358" s="806">
        <v>42989</v>
      </c>
      <c r="B1358" s="839" t="s">
        <v>916</v>
      </c>
      <c r="C1358" s="840" t="s">
        <v>1905</v>
      </c>
      <c r="D1358" s="807">
        <v>9</v>
      </c>
      <c r="E1358" s="841"/>
      <c r="F1358" s="203" t="e">
        <f>VLOOKUP(A1358,'Compos DER'!J:K,2,FALSE)</f>
        <v>#N/A</v>
      </c>
      <c r="G1358" s="198" t="e">
        <f t="shared" si="22"/>
        <v>#N/A</v>
      </c>
    </row>
    <row r="1359" spans="1:7" x14ac:dyDescent="0.2">
      <c r="A1359" s="806">
        <v>42991</v>
      </c>
      <c r="B1359" s="842" t="s">
        <v>2431</v>
      </c>
      <c r="C1359" s="840" t="s">
        <v>1905</v>
      </c>
      <c r="D1359" s="807">
        <v>122.33</v>
      </c>
      <c r="E1359" s="839" t="s">
        <v>1209</v>
      </c>
      <c r="F1359" s="203" t="e">
        <f>VLOOKUP(A1359,'Compos DER'!J:K,2,FALSE)</f>
        <v>#N/A</v>
      </c>
      <c r="G1359" s="198" t="e">
        <f t="shared" si="22"/>
        <v>#N/A</v>
      </c>
    </row>
    <row r="1360" spans="1:7" x14ac:dyDescent="0.2">
      <c r="A1360" s="806">
        <v>42992</v>
      </c>
      <c r="B1360" s="842" t="s">
        <v>2432</v>
      </c>
      <c r="C1360" s="840" t="s">
        <v>1905</v>
      </c>
      <c r="D1360" s="807">
        <v>103.29</v>
      </c>
      <c r="E1360" s="839" t="s">
        <v>1209</v>
      </c>
      <c r="F1360" s="203" t="e">
        <f>VLOOKUP(A1360,'Compos DER'!J:K,2,FALSE)</f>
        <v>#N/A</v>
      </c>
      <c r="G1360" s="198" t="e">
        <f t="shared" si="22"/>
        <v>#N/A</v>
      </c>
    </row>
    <row r="1361" spans="1:7" x14ac:dyDescent="0.2">
      <c r="A1361" s="806">
        <v>42993</v>
      </c>
      <c r="B1361" s="842" t="s">
        <v>2433</v>
      </c>
      <c r="C1361" s="840" t="s">
        <v>1905</v>
      </c>
      <c r="D1361" s="807">
        <v>87.13</v>
      </c>
      <c r="E1361" s="839" t="s">
        <v>1209</v>
      </c>
      <c r="F1361" s="203" t="e">
        <f>VLOOKUP(A1361,'Compos DER'!J:K,2,FALSE)</f>
        <v>#N/A</v>
      </c>
      <c r="G1361" s="198" t="e">
        <f t="shared" si="22"/>
        <v>#N/A</v>
      </c>
    </row>
    <row r="1362" spans="1:7" x14ac:dyDescent="0.2">
      <c r="A1362" s="806">
        <v>42994</v>
      </c>
      <c r="B1362" s="842" t="s">
        <v>2434</v>
      </c>
      <c r="C1362" s="840" t="s">
        <v>1905</v>
      </c>
      <c r="D1362" s="807">
        <v>176.9</v>
      </c>
      <c r="E1362" s="839" t="s">
        <v>1209</v>
      </c>
      <c r="F1362" s="203" t="e">
        <f>VLOOKUP(A1362,'Compos DER'!J:K,2,FALSE)</f>
        <v>#N/A</v>
      </c>
      <c r="G1362" s="198" t="e">
        <f t="shared" si="22"/>
        <v>#N/A</v>
      </c>
    </row>
    <row r="1363" spans="1:7" ht="25.5" x14ac:dyDescent="0.2">
      <c r="A1363" s="806">
        <v>43070</v>
      </c>
      <c r="B1363" s="842" t="s">
        <v>2435</v>
      </c>
      <c r="C1363" s="840" t="s">
        <v>1905</v>
      </c>
      <c r="D1363" s="807">
        <v>271.58999999999997</v>
      </c>
      <c r="E1363" s="843"/>
      <c r="F1363" s="203" t="e">
        <f>VLOOKUP(A1363,'Compos DER'!J:K,2,FALSE)</f>
        <v>#N/A</v>
      </c>
      <c r="G1363" s="198" t="e">
        <f t="shared" si="22"/>
        <v>#N/A</v>
      </c>
    </row>
    <row r="1364" spans="1:7" x14ac:dyDescent="0.2">
      <c r="A1364" s="806">
        <v>42996</v>
      </c>
      <c r="B1364" s="839" t="s">
        <v>917</v>
      </c>
      <c r="C1364" s="840" t="s">
        <v>1906</v>
      </c>
      <c r="D1364" s="807">
        <v>586.21</v>
      </c>
      <c r="E1364" s="839" t="s">
        <v>1209</v>
      </c>
      <c r="F1364" s="203" t="e">
        <f>VLOOKUP(A1364,'Compos DER'!J:K,2,FALSE)</f>
        <v>#N/A</v>
      </c>
      <c r="G1364" s="198" t="e">
        <f t="shared" si="22"/>
        <v>#N/A</v>
      </c>
    </row>
    <row r="1365" spans="1:7" x14ac:dyDescent="0.2">
      <c r="A1365" s="806">
        <v>43012</v>
      </c>
      <c r="B1365" s="839" t="s">
        <v>918</v>
      </c>
      <c r="C1365" s="840" t="s">
        <v>1905</v>
      </c>
      <c r="D1365" s="807">
        <v>9.9700000000000006</v>
      </c>
      <c r="E1365" s="841"/>
      <c r="F1365" s="203" t="e">
        <f>VLOOKUP(A1365,'Compos DER'!J:K,2,FALSE)</f>
        <v>#N/A</v>
      </c>
      <c r="G1365" s="198" t="e">
        <f t="shared" si="22"/>
        <v>#N/A</v>
      </c>
    </row>
    <row r="1366" spans="1:7" x14ac:dyDescent="0.2">
      <c r="A1366" s="806">
        <v>43011</v>
      </c>
      <c r="B1366" s="842" t="s">
        <v>2436</v>
      </c>
      <c r="C1366" s="840" t="s">
        <v>1905</v>
      </c>
      <c r="D1366" s="807">
        <v>7.3</v>
      </c>
      <c r="E1366" s="843"/>
      <c r="F1366" s="203" t="e">
        <f>VLOOKUP(A1366,'Compos DER'!J:K,2,FALSE)</f>
        <v>#N/A</v>
      </c>
      <c r="G1366" s="198" t="e">
        <f t="shared" si="22"/>
        <v>#N/A</v>
      </c>
    </row>
    <row r="1367" spans="1:7" x14ac:dyDescent="0.2">
      <c r="A1367" s="806">
        <v>43003</v>
      </c>
      <c r="B1367" s="839" t="s">
        <v>919</v>
      </c>
      <c r="C1367" s="840" t="s">
        <v>1906</v>
      </c>
      <c r="D1367" s="807">
        <v>130.04</v>
      </c>
      <c r="E1367" s="839" t="s">
        <v>1209</v>
      </c>
      <c r="F1367" s="203" t="e">
        <f>VLOOKUP(A1367,'Compos DER'!J:K,2,FALSE)</f>
        <v>#N/A</v>
      </c>
      <c r="G1367" s="198" t="e">
        <f t="shared" si="22"/>
        <v>#N/A</v>
      </c>
    </row>
    <row r="1368" spans="1:7" x14ac:dyDescent="0.2">
      <c r="A1368" s="806">
        <v>43004</v>
      </c>
      <c r="B1368" s="839" t="s">
        <v>920</v>
      </c>
      <c r="C1368" s="840" t="s">
        <v>1905</v>
      </c>
      <c r="D1368" s="807">
        <v>42.77</v>
      </c>
      <c r="E1368" s="841"/>
      <c r="F1368" s="203" t="e">
        <f>VLOOKUP(A1368,'Compos DER'!J:K,2,FALSE)</f>
        <v>#N/A</v>
      </c>
      <c r="G1368" s="198" t="e">
        <f t="shared" si="22"/>
        <v>#N/A</v>
      </c>
    </row>
    <row r="1369" spans="1:7" x14ac:dyDescent="0.2">
      <c r="A1369" s="806">
        <v>43005</v>
      </c>
      <c r="B1369" s="839" t="s">
        <v>921</v>
      </c>
      <c r="C1369" s="840" t="s">
        <v>1948</v>
      </c>
      <c r="D1369" s="807">
        <v>38.340000000000003</v>
      </c>
      <c r="E1369" s="841"/>
      <c r="F1369" s="203" t="e">
        <f>VLOOKUP(A1369,'Compos DER'!J:K,2,FALSE)</f>
        <v>#N/A</v>
      </c>
      <c r="G1369" s="198" t="e">
        <f t="shared" si="22"/>
        <v>#N/A</v>
      </c>
    </row>
    <row r="1370" spans="1:7" x14ac:dyDescent="0.2">
      <c r="A1370" s="806">
        <v>43006</v>
      </c>
      <c r="B1370" s="839" t="s">
        <v>922</v>
      </c>
      <c r="C1370" s="840" t="s">
        <v>1948</v>
      </c>
      <c r="D1370" s="807">
        <v>61.98</v>
      </c>
      <c r="E1370" s="841"/>
      <c r="F1370" s="203" t="e">
        <f>VLOOKUP(A1370,'Compos DER'!J:K,2,FALSE)</f>
        <v>#N/A</v>
      </c>
      <c r="G1370" s="198" t="e">
        <f t="shared" si="22"/>
        <v>#N/A</v>
      </c>
    </row>
    <row r="1371" spans="1:7" x14ac:dyDescent="0.2">
      <c r="A1371" s="806">
        <v>43007</v>
      </c>
      <c r="B1371" s="839" t="s">
        <v>923</v>
      </c>
      <c r="C1371" s="840" t="s">
        <v>1948</v>
      </c>
      <c r="D1371" s="807">
        <v>20.18</v>
      </c>
      <c r="E1371" s="841"/>
      <c r="F1371" s="203" t="e">
        <f>VLOOKUP(A1371,'Compos DER'!J:K,2,FALSE)</f>
        <v>#N/A</v>
      </c>
      <c r="G1371" s="198" t="e">
        <f t="shared" si="22"/>
        <v>#N/A</v>
      </c>
    </row>
    <row r="1372" spans="1:7" x14ac:dyDescent="0.2">
      <c r="A1372" s="806">
        <v>43008</v>
      </c>
      <c r="B1372" s="839" t="s">
        <v>924</v>
      </c>
      <c r="C1372" s="840" t="s">
        <v>1948</v>
      </c>
      <c r="D1372" s="807">
        <v>56.51</v>
      </c>
      <c r="E1372" s="841"/>
      <c r="F1372" s="203" t="e">
        <f>VLOOKUP(A1372,'Compos DER'!J:K,2,FALSE)</f>
        <v>#N/A</v>
      </c>
      <c r="G1372" s="198" t="e">
        <f t="shared" si="22"/>
        <v>#N/A</v>
      </c>
    </row>
    <row r="1373" spans="1:7" x14ac:dyDescent="0.2">
      <c r="A1373" s="806">
        <v>43009</v>
      </c>
      <c r="B1373" s="839" t="s">
        <v>925</v>
      </c>
      <c r="C1373" s="840" t="s">
        <v>1905</v>
      </c>
      <c r="D1373" s="807">
        <v>100.78</v>
      </c>
      <c r="E1373" s="841"/>
      <c r="F1373" s="203" t="e">
        <f>VLOOKUP(A1373,'Compos DER'!J:K,2,FALSE)</f>
        <v>#N/A</v>
      </c>
      <c r="G1373" s="198" t="e">
        <f t="shared" si="22"/>
        <v>#N/A</v>
      </c>
    </row>
    <row r="1374" spans="1:7" x14ac:dyDescent="0.2">
      <c r="A1374" s="806">
        <v>43018</v>
      </c>
      <c r="B1374" s="842" t="s">
        <v>2437</v>
      </c>
      <c r="C1374" s="840" t="s">
        <v>1948</v>
      </c>
      <c r="D1374" s="807">
        <v>58.74</v>
      </c>
      <c r="E1374" s="839" t="s">
        <v>1209</v>
      </c>
      <c r="F1374" s="203" t="e">
        <f>VLOOKUP(A1374,'Compos DER'!J:K,2,FALSE)</f>
        <v>#N/A</v>
      </c>
      <c r="G1374" s="198" t="e">
        <f t="shared" si="22"/>
        <v>#N/A</v>
      </c>
    </row>
    <row r="1375" spans="1:7" ht="25.5" x14ac:dyDescent="0.2">
      <c r="A1375" s="806">
        <v>43026</v>
      </c>
      <c r="B1375" s="842" t="s">
        <v>2438</v>
      </c>
      <c r="C1375" s="840" t="s">
        <v>1948</v>
      </c>
      <c r="D1375" s="807">
        <v>24.86</v>
      </c>
      <c r="E1375" s="843"/>
      <c r="F1375" s="203" t="e">
        <f>VLOOKUP(A1375,'Compos DER'!J:K,2,FALSE)</f>
        <v>#N/A</v>
      </c>
      <c r="G1375" s="198" t="e">
        <f t="shared" si="22"/>
        <v>#N/A</v>
      </c>
    </row>
    <row r="1376" spans="1:7" x14ac:dyDescent="0.2">
      <c r="A1376" s="806">
        <v>43033</v>
      </c>
      <c r="B1376" s="842" t="s">
        <v>2439</v>
      </c>
      <c r="C1376" s="840" t="s">
        <v>1910</v>
      </c>
      <c r="D1376" s="808">
        <v>1132.79</v>
      </c>
      <c r="E1376" s="839" t="s">
        <v>1209</v>
      </c>
      <c r="F1376" s="203" t="e">
        <f>VLOOKUP(A1376,'Compos DER'!J:K,2,FALSE)</f>
        <v>#N/A</v>
      </c>
      <c r="G1376" s="198" t="e">
        <f t="shared" si="22"/>
        <v>#N/A</v>
      </c>
    </row>
    <row r="1377" spans="1:7" x14ac:dyDescent="0.2">
      <c r="A1377" s="806">
        <v>43037</v>
      </c>
      <c r="B1377" s="839" t="s">
        <v>926</v>
      </c>
      <c r="C1377" s="840" t="s">
        <v>1906</v>
      </c>
      <c r="D1377" s="807">
        <v>62.58</v>
      </c>
      <c r="E1377" s="841"/>
      <c r="F1377" s="203" t="e">
        <f>VLOOKUP(A1377,'Compos DER'!J:K,2,FALSE)</f>
        <v>#N/A</v>
      </c>
      <c r="G1377" s="198" t="e">
        <f t="shared" si="22"/>
        <v>#N/A</v>
      </c>
    </row>
    <row r="1378" spans="1:7" x14ac:dyDescent="0.2">
      <c r="A1378" s="806">
        <v>43038</v>
      </c>
      <c r="B1378" s="842" t="s">
        <v>2440</v>
      </c>
      <c r="C1378" s="840" t="s">
        <v>1910</v>
      </c>
      <c r="D1378" s="807">
        <v>121.27</v>
      </c>
      <c r="E1378" s="839" t="s">
        <v>1209</v>
      </c>
      <c r="F1378" s="203" t="e">
        <f>VLOOKUP(A1378,'Compos DER'!J:K,2,FALSE)</f>
        <v>#N/A</v>
      </c>
      <c r="G1378" s="198" t="e">
        <f t="shared" si="22"/>
        <v>#N/A</v>
      </c>
    </row>
    <row r="1379" spans="1:7" x14ac:dyDescent="0.2">
      <c r="A1379" s="806">
        <v>43039</v>
      </c>
      <c r="B1379" s="839" t="s">
        <v>927</v>
      </c>
      <c r="C1379" s="840" t="s">
        <v>1905</v>
      </c>
      <c r="D1379" s="807">
        <v>5.41</v>
      </c>
      <c r="E1379" s="841"/>
      <c r="F1379" s="203" t="e">
        <f>VLOOKUP(A1379,'Compos DER'!J:K,2,FALSE)</f>
        <v>#N/A</v>
      </c>
      <c r="G1379" s="198" t="e">
        <f t="shared" si="22"/>
        <v>#N/A</v>
      </c>
    </row>
    <row r="1380" spans="1:7" x14ac:dyDescent="0.2">
      <c r="A1380" s="806">
        <v>43040</v>
      </c>
      <c r="B1380" s="842" t="s">
        <v>2441</v>
      </c>
      <c r="C1380" s="840" t="s">
        <v>1905</v>
      </c>
      <c r="D1380" s="807">
        <v>63.26</v>
      </c>
      <c r="E1380" s="843"/>
      <c r="F1380" s="203" t="e">
        <f>VLOOKUP(A1380,'Compos DER'!J:K,2,FALSE)</f>
        <v>#N/A</v>
      </c>
      <c r="G1380" s="198" t="e">
        <f t="shared" si="22"/>
        <v>#N/A</v>
      </c>
    </row>
    <row r="1381" spans="1:7" x14ac:dyDescent="0.2">
      <c r="A1381" s="806">
        <v>43042</v>
      </c>
      <c r="B1381" s="839" t="s">
        <v>928</v>
      </c>
      <c r="C1381" s="840" t="s">
        <v>1905</v>
      </c>
      <c r="D1381" s="807">
        <v>3.85</v>
      </c>
      <c r="E1381" s="841"/>
      <c r="F1381" s="203" t="e">
        <f>VLOOKUP(A1381,'Compos DER'!J:K,2,FALSE)</f>
        <v>#N/A</v>
      </c>
      <c r="G1381" s="198" t="e">
        <f t="shared" si="22"/>
        <v>#N/A</v>
      </c>
    </row>
    <row r="1382" spans="1:7" x14ac:dyDescent="0.2">
      <c r="A1382" s="806">
        <v>43043</v>
      </c>
      <c r="B1382" s="839" t="s">
        <v>1794</v>
      </c>
      <c r="C1382" s="840" t="s">
        <v>1910</v>
      </c>
      <c r="D1382" s="808">
        <v>2613.58</v>
      </c>
      <c r="E1382" s="841"/>
      <c r="F1382" s="203" t="e">
        <f>VLOOKUP(A1382,'Compos DER'!J:K,2,FALSE)</f>
        <v>#N/A</v>
      </c>
      <c r="G1382" s="198" t="e">
        <f t="shared" si="22"/>
        <v>#N/A</v>
      </c>
    </row>
    <row r="1383" spans="1:7" x14ac:dyDescent="0.2">
      <c r="A1383" s="806">
        <v>43044</v>
      </c>
      <c r="B1383" s="839" t="s">
        <v>1795</v>
      </c>
      <c r="C1383" s="840" t="s">
        <v>1910</v>
      </c>
      <c r="D1383" s="808">
        <v>3018.91</v>
      </c>
      <c r="E1383" s="841"/>
      <c r="F1383" s="203" t="e">
        <f>VLOOKUP(A1383,'Compos DER'!J:K,2,FALSE)</f>
        <v>#N/A</v>
      </c>
      <c r="G1383" s="198" t="e">
        <f t="shared" si="22"/>
        <v>#N/A</v>
      </c>
    </row>
    <row r="1384" spans="1:7" x14ac:dyDescent="0.2">
      <c r="A1384" s="806">
        <v>41169</v>
      </c>
      <c r="B1384" s="839" t="s">
        <v>1796</v>
      </c>
      <c r="C1384" s="840" t="s">
        <v>1910</v>
      </c>
      <c r="D1384" s="808">
        <v>3556.65</v>
      </c>
      <c r="E1384" s="841"/>
      <c r="F1384" s="203" t="e">
        <f>VLOOKUP(A1384,'Compos DER'!J:K,2,FALSE)</f>
        <v>#N/A</v>
      </c>
      <c r="G1384" s="198" t="e">
        <f t="shared" si="22"/>
        <v>#N/A</v>
      </c>
    </row>
    <row r="1385" spans="1:7" x14ac:dyDescent="0.2">
      <c r="A1385" s="806">
        <v>41170</v>
      </c>
      <c r="B1385" s="839" t="s">
        <v>1797</v>
      </c>
      <c r="C1385" s="840" t="s">
        <v>1910</v>
      </c>
      <c r="D1385" s="808">
        <v>3905.6</v>
      </c>
      <c r="E1385" s="841"/>
      <c r="F1385" s="203" t="e">
        <f>VLOOKUP(A1385,'Compos DER'!J:K,2,FALSE)</f>
        <v>#N/A</v>
      </c>
      <c r="G1385" s="198" t="e">
        <f t="shared" si="22"/>
        <v>#N/A</v>
      </c>
    </row>
    <row r="1386" spans="1:7" x14ac:dyDescent="0.2">
      <c r="A1386" s="806">
        <v>41171</v>
      </c>
      <c r="B1386" s="839" t="s">
        <v>1798</v>
      </c>
      <c r="C1386" s="840" t="s">
        <v>1910</v>
      </c>
      <c r="D1386" s="808">
        <v>4649.74</v>
      </c>
      <c r="E1386" s="841"/>
      <c r="F1386" s="203" t="e">
        <f>VLOOKUP(A1386,'Compos DER'!J:K,2,FALSE)</f>
        <v>#N/A</v>
      </c>
      <c r="G1386" s="198" t="e">
        <f t="shared" si="22"/>
        <v>#N/A</v>
      </c>
    </row>
    <row r="1387" spans="1:7" x14ac:dyDescent="0.2">
      <c r="A1387" s="806">
        <v>43046</v>
      </c>
      <c r="B1387" s="839" t="s">
        <v>929</v>
      </c>
      <c r="C1387" s="840" t="s">
        <v>1910</v>
      </c>
      <c r="D1387" s="808">
        <v>1511.26</v>
      </c>
      <c r="E1387" s="841"/>
      <c r="F1387" s="203" t="e">
        <f>VLOOKUP(A1387,'Compos DER'!J:K,2,FALSE)</f>
        <v>#N/A</v>
      </c>
      <c r="G1387" s="198" t="e">
        <f t="shared" si="22"/>
        <v>#N/A</v>
      </c>
    </row>
    <row r="1388" spans="1:7" x14ac:dyDescent="0.2">
      <c r="A1388" s="806">
        <v>43047</v>
      </c>
      <c r="B1388" s="839" t="s">
        <v>930</v>
      </c>
      <c r="C1388" s="840" t="s">
        <v>1910</v>
      </c>
      <c r="D1388" s="808">
        <v>1922.42</v>
      </c>
      <c r="E1388" s="841"/>
      <c r="F1388" s="203" t="e">
        <f>VLOOKUP(A1388,'Compos DER'!J:K,2,FALSE)</f>
        <v>#N/A</v>
      </c>
      <c r="G1388" s="198" t="e">
        <f t="shared" si="22"/>
        <v>#N/A</v>
      </c>
    </row>
    <row r="1389" spans="1:7" x14ac:dyDescent="0.2">
      <c r="A1389" s="806">
        <v>43048</v>
      </c>
      <c r="B1389" s="839" t="s">
        <v>931</v>
      </c>
      <c r="C1389" s="840" t="s">
        <v>1910</v>
      </c>
      <c r="D1389" s="808">
        <v>2327.56</v>
      </c>
      <c r="E1389" s="841"/>
      <c r="F1389" s="203" t="e">
        <f>VLOOKUP(A1389,'Compos DER'!J:K,2,FALSE)</f>
        <v>#N/A</v>
      </c>
      <c r="G1389" s="198" t="e">
        <f t="shared" si="22"/>
        <v>#N/A</v>
      </c>
    </row>
    <row r="1390" spans="1:7" x14ac:dyDescent="0.2">
      <c r="A1390" s="806">
        <v>43050</v>
      </c>
      <c r="B1390" s="842" t="s">
        <v>2442</v>
      </c>
      <c r="C1390" s="840" t="s">
        <v>1910</v>
      </c>
      <c r="D1390" s="808">
        <v>4014.34</v>
      </c>
      <c r="E1390" s="839" t="s">
        <v>1209</v>
      </c>
      <c r="F1390" s="203" t="e">
        <f>VLOOKUP(A1390,'Compos DER'!J:K,2,FALSE)</f>
        <v>#N/A</v>
      </c>
      <c r="G1390" s="198" t="e">
        <f t="shared" si="22"/>
        <v>#N/A</v>
      </c>
    </row>
    <row r="1391" spans="1:7" x14ac:dyDescent="0.2">
      <c r="A1391" s="806">
        <v>43051</v>
      </c>
      <c r="B1391" s="842" t="s">
        <v>2443</v>
      </c>
      <c r="C1391" s="840" t="s">
        <v>1910</v>
      </c>
      <c r="D1391" s="808">
        <v>4444.78</v>
      </c>
      <c r="E1391" s="839" t="s">
        <v>1209</v>
      </c>
      <c r="F1391" s="203" t="e">
        <f>VLOOKUP(A1391,'Compos DER'!J:K,2,FALSE)</f>
        <v>#N/A</v>
      </c>
      <c r="G1391" s="198" t="e">
        <f t="shared" si="22"/>
        <v>#N/A</v>
      </c>
    </row>
    <row r="1392" spans="1:7" x14ac:dyDescent="0.2">
      <c r="A1392" s="806">
        <v>43052</v>
      </c>
      <c r="B1392" s="842" t="s">
        <v>2444</v>
      </c>
      <c r="C1392" s="840" t="s">
        <v>1910</v>
      </c>
      <c r="D1392" s="808">
        <v>4875.22</v>
      </c>
      <c r="E1392" s="839" t="s">
        <v>1209</v>
      </c>
      <c r="F1392" s="203" t="e">
        <f>VLOOKUP(A1392,'Compos DER'!J:K,2,FALSE)</f>
        <v>#N/A</v>
      </c>
      <c r="G1392" s="198" t="e">
        <f t="shared" si="22"/>
        <v>#N/A</v>
      </c>
    </row>
    <row r="1393" spans="1:7" x14ac:dyDescent="0.2">
      <c r="A1393" s="806">
        <v>43053</v>
      </c>
      <c r="B1393" s="842" t="s">
        <v>2445</v>
      </c>
      <c r="C1393" s="840" t="s">
        <v>1910</v>
      </c>
      <c r="D1393" s="808">
        <v>5305.65</v>
      </c>
      <c r="E1393" s="839" t="s">
        <v>1209</v>
      </c>
      <c r="F1393" s="203" t="e">
        <f>VLOOKUP(A1393,'Compos DER'!J:K,2,FALSE)</f>
        <v>#N/A</v>
      </c>
      <c r="G1393" s="198" t="e">
        <f t="shared" si="22"/>
        <v>#N/A</v>
      </c>
    </row>
    <row r="1394" spans="1:7" x14ac:dyDescent="0.2">
      <c r="A1394" s="806">
        <v>43054</v>
      </c>
      <c r="B1394" s="842" t="s">
        <v>2446</v>
      </c>
      <c r="C1394" s="840" t="s">
        <v>1905</v>
      </c>
      <c r="D1394" s="807">
        <v>11.65</v>
      </c>
      <c r="E1394" s="843"/>
      <c r="F1394" s="203" t="e">
        <f>VLOOKUP(A1394,'Compos DER'!J:K,2,FALSE)</f>
        <v>#N/A</v>
      </c>
      <c r="G1394" s="198" t="e">
        <f t="shared" si="22"/>
        <v>#N/A</v>
      </c>
    </row>
    <row r="1395" spans="1:7" ht="25.5" x14ac:dyDescent="0.2">
      <c r="A1395" s="806">
        <v>43055</v>
      </c>
      <c r="B1395" s="842" t="s">
        <v>2447</v>
      </c>
      <c r="C1395" s="840" t="s">
        <v>1905</v>
      </c>
      <c r="D1395" s="807">
        <v>9.34</v>
      </c>
      <c r="E1395" s="843"/>
      <c r="F1395" s="203" t="e">
        <f>VLOOKUP(A1395,'Compos DER'!J:K,2,FALSE)</f>
        <v>#N/A</v>
      </c>
      <c r="G1395" s="198" t="e">
        <f t="shared" si="22"/>
        <v>#N/A</v>
      </c>
    </row>
    <row r="1396" spans="1:7" x14ac:dyDescent="0.2">
      <c r="A1396" s="806">
        <v>43056</v>
      </c>
      <c r="B1396" s="839" t="s">
        <v>932</v>
      </c>
      <c r="C1396" s="840" t="s">
        <v>1906</v>
      </c>
      <c r="D1396" s="807">
        <v>58.93</v>
      </c>
      <c r="E1396" s="839" t="s">
        <v>1209</v>
      </c>
      <c r="F1396" s="203" t="e">
        <f>VLOOKUP(A1396,'Compos DER'!J:K,2,FALSE)</f>
        <v>#N/A</v>
      </c>
      <c r="G1396" s="198" t="e">
        <f t="shared" si="22"/>
        <v>#N/A</v>
      </c>
    </row>
    <row r="1397" spans="1:7" x14ac:dyDescent="0.2">
      <c r="A1397" s="806">
        <v>43058</v>
      </c>
      <c r="B1397" s="839" t="s">
        <v>933</v>
      </c>
      <c r="C1397" s="840" t="s">
        <v>1906</v>
      </c>
      <c r="D1397" s="807">
        <v>107.63</v>
      </c>
      <c r="E1397" s="841"/>
      <c r="F1397" s="203" t="e">
        <f>VLOOKUP(A1397,'Compos DER'!J:K,2,FALSE)</f>
        <v>#N/A</v>
      </c>
      <c r="G1397" s="198" t="e">
        <f t="shared" si="22"/>
        <v>#N/A</v>
      </c>
    </row>
    <row r="1398" spans="1:7" x14ac:dyDescent="0.2">
      <c r="A1398" s="806">
        <v>43057</v>
      </c>
      <c r="B1398" s="839" t="s">
        <v>934</v>
      </c>
      <c r="C1398" s="840" t="s">
        <v>1906</v>
      </c>
      <c r="D1398" s="807">
        <v>74.209999999999994</v>
      </c>
      <c r="E1398" s="841"/>
      <c r="F1398" s="203" t="e">
        <f>VLOOKUP(A1398,'Compos DER'!J:K,2,FALSE)</f>
        <v>#N/A</v>
      </c>
      <c r="G1398" s="198" t="e">
        <f t="shared" si="22"/>
        <v>#N/A</v>
      </c>
    </row>
    <row r="1399" spans="1:7" x14ac:dyDescent="0.2">
      <c r="A1399" s="806">
        <v>43059</v>
      </c>
      <c r="B1399" s="839" t="s">
        <v>935</v>
      </c>
      <c r="C1399" s="840" t="s">
        <v>1906</v>
      </c>
      <c r="D1399" s="807">
        <v>46.73</v>
      </c>
      <c r="E1399" s="841"/>
      <c r="F1399" s="203" t="e">
        <f>VLOOKUP(A1399,'Compos DER'!J:K,2,FALSE)</f>
        <v>#N/A</v>
      </c>
      <c r="G1399" s="198" t="e">
        <f t="shared" si="22"/>
        <v>#N/A</v>
      </c>
    </row>
    <row r="1400" spans="1:7" x14ac:dyDescent="0.2">
      <c r="A1400" s="806">
        <v>43060</v>
      </c>
      <c r="B1400" s="839" t="s">
        <v>936</v>
      </c>
      <c r="C1400" s="840" t="s">
        <v>1910</v>
      </c>
      <c r="D1400" s="807">
        <v>809.48</v>
      </c>
      <c r="E1400" s="839" t="s">
        <v>1209</v>
      </c>
      <c r="F1400" s="203" t="e">
        <f>VLOOKUP(A1400,'Compos DER'!J:K,2,FALSE)</f>
        <v>#N/A</v>
      </c>
      <c r="G1400" s="198" t="e">
        <f t="shared" si="22"/>
        <v>#N/A</v>
      </c>
    </row>
    <row r="1401" spans="1:7" x14ac:dyDescent="0.2">
      <c r="A1401" s="806">
        <v>43064</v>
      </c>
      <c r="B1401" s="839" t="s">
        <v>937</v>
      </c>
      <c r="C1401" s="840" t="s">
        <v>1948</v>
      </c>
      <c r="D1401" s="807">
        <v>20.54</v>
      </c>
      <c r="E1401" s="841"/>
      <c r="F1401" s="203" t="e">
        <f>VLOOKUP(A1401,'Compos DER'!J:K,2,FALSE)</f>
        <v>#N/A</v>
      </c>
      <c r="G1401" s="198" t="e">
        <f t="shared" si="22"/>
        <v>#N/A</v>
      </c>
    </row>
    <row r="1402" spans="1:7" x14ac:dyDescent="0.2">
      <c r="A1402" s="806">
        <v>43065</v>
      </c>
      <c r="B1402" s="839" t="s">
        <v>938</v>
      </c>
      <c r="C1402" s="840" t="s">
        <v>1948</v>
      </c>
      <c r="D1402" s="807">
        <v>23.67</v>
      </c>
      <c r="E1402" s="841"/>
      <c r="F1402" s="203" t="e">
        <f>VLOOKUP(A1402,'Compos DER'!J:K,2,FALSE)</f>
        <v>#N/A</v>
      </c>
      <c r="G1402" s="198" t="e">
        <f t="shared" si="22"/>
        <v>#N/A</v>
      </c>
    </row>
    <row r="1403" spans="1:7" x14ac:dyDescent="0.2">
      <c r="A1403" s="806">
        <v>43066</v>
      </c>
      <c r="B1403" s="839" t="s">
        <v>939</v>
      </c>
      <c r="C1403" s="840" t="s">
        <v>1948</v>
      </c>
      <c r="D1403" s="807">
        <v>31.12</v>
      </c>
      <c r="E1403" s="841"/>
      <c r="F1403" s="203" t="e">
        <f>VLOOKUP(A1403,'Compos DER'!J:K,2,FALSE)</f>
        <v>#N/A</v>
      </c>
      <c r="G1403" s="198" t="e">
        <f t="shared" si="22"/>
        <v>#N/A</v>
      </c>
    </row>
    <row r="1404" spans="1:7" x14ac:dyDescent="0.2">
      <c r="A1404" s="806">
        <v>43067</v>
      </c>
      <c r="B1404" s="839" t="s">
        <v>940</v>
      </c>
      <c r="C1404" s="840" t="s">
        <v>1948</v>
      </c>
      <c r="D1404" s="807">
        <v>79.400000000000006</v>
      </c>
      <c r="E1404" s="841"/>
      <c r="F1404" s="203" t="e">
        <f>VLOOKUP(A1404,'Compos DER'!J:K,2,FALSE)</f>
        <v>#N/A</v>
      </c>
      <c r="G1404" s="198" t="e">
        <f t="shared" si="22"/>
        <v>#N/A</v>
      </c>
    </row>
    <row r="1405" spans="1:7" x14ac:dyDescent="0.2">
      <c r="A1405" s="806">
        <v>43063</v>
      </c>
      <c r="B1405" s="842" t="s">
        <v>2448</v>
      </c>
      <c r="C1405" s="840" t="s">
        <v>1948</v>
      </c>
      <c r="D1405" s="807">
        <v>108.11</v>
      </c>
      <c r="E1405" s="843"/>
      <c r="F1405" s="203" t="e">
        <f>VLOOKUP(A1405,'Compos DER'!J:K,2,FALSE)</f>
        <v>#N/A</v>
      </c>
      <c r="G1405" s="198" t="e">
        <f t="shared" ref="G1405:G1468" si="23">+F1405/D1405</f>
        <v>#N/A</v>
      </c>
    </row>
    <row r="1406" spans="1:7" x14ac:dyDescent="0.2">
      <c r="A1406" s="806">
        <v>43068</v>
      </c>
      <c r="B1406" s="839" t="s">
        <v>941</v>
      </c>
      <c r="C1406" s="840" t="s">
        <v>1948</v>
      </c>
      <c r="D1406" s="807">
        <v>80.739999999999995</v>
      </c>
      <c r="E1406" s="841"/>
      <c r="F1406" s="203" t="e">
        <f>VLOOKUP(A1406,'Compos DER'!J:K,2,FALSE)</f>
        <v>#N/A</v>
      </c>
      <c r="G1406" s="198" t="e">
        <f t="shared" si="23"/>
        <v>#N/A</v>
      </c>
    </row>
    <row r="1407" spans="1:7" x14ac:dyDescent="0.2">
      <c r="A1407" s="806">
        <v>43069</v>
      </c>
      <c r="B1407" s="839" t="s">
        <v>942</v>
      </c>
      <c r="C1407" s="840" t="s">
        <v>1948</v>
      </c>
      <c r="D1407" s="807">
        <v>153.94999999999999</v>
      </c>
      <c r="E1407" s="839" t="s">
        <v>1209</v>
      </c>
      <c r="F1407" s="203" t="e">
        <f>VLOOKUP(A1407,'Compos DER'!J:K,2,FALSE)</f>
        <v>#N/A</v>
      </c>
      <c r="G1407" s="198" t="e">
        <f t="shared" si="23"/>
        <v>#N/A</v>
      </c>
    </row>
    <row r="1408" spans="1:7" x14ac:dyDescent="0.2">
      <c r="A1408" s="806">
        <v>43071</v>
      </c>
      <c r="B1408" s="842" t="s">
        <v>2449</v>
      </c>
      <c r="C1408" s="840" t="s">
        <v>1906</v>
      </c>
      <c r="D1408" s="807">
        <v>343.33</v>
      </c>
      <c r="E1408" s="839" t="s">
        <v>1209</v>
      </c>
      <c r="F1408" s="203" t="e">
        <f>VLOOKUP(A1408,'Compos DER'!J:K,2,FALSE)</f>
        <v>#N/A</v>
      </c>
      <c r="G1408" s="198" t="e">
        <f t="shared" si="23"/>
        <v>#N/A</v>
      </c>
    </row>
    <row r="1409" spans="1:7" x14ac:dyDescent="0.2">
      <c r="A1409" s="806">
        <v>43078</v>
      </c>
      <c r="B1409" s="839" t="s">
        <v>943</v>
      </c>
      <c r="C1409" s="840" t="s">
        <v>1948</v>
      </c>
      <c r="D1409" s="807">
        <v>89.24</v>
      </c>
      <c r="E1409" s="841"/>
      <c r="F1409" s="203" t="e">
        <f>VLOOKUP(A1409,'Compos DER'!J:K,2,FALSE)</f>
        <v>#N/A</v>
      </c>
      <c r="G1409" s="198" t="e">
        <f t="shared" si="23"/>
        <v>#N/A</v>
      </c>
    </row>
    <row r="1410" spans="1:7" x14ac:dyDescent="0.2">
      <c r="A1410" s="806">
        <v>43079</v>
      </c>
      <c r="B1410" s="839" t="s">
        <v>944</v>
      </c>
      <c r="C1410" s="840" t="s">
        <v>1948</v>
      </c>
      <c r="D1410" s="807">
        <v>93.19</v>
      </c>
      <c r="E1410" s="841"/>
      <c r="F1410" s="203" t="e">
        <f>VLOOKUP(A1410,'Compos DER'!J:K,2,FALSE)</f>
        <v>#N/A</v>
      </c>
      <c r="G1410" s="198" t="e">
        <f t="shared" si="23"/>
        <v>#N/A</v>
      </c>
    </row>
    <row r="1411" spans="1:7" x14ac:dyDescent="0.2">
      <c r="A1411" s="806">
        <v>43080</v>
      </c>
      <c r="B1411" s="839" t="s">
        <v>945</v>
      </c>
      <c r="C1411" s="840" t="s">
        <v>1948</v>
      </c>
      <c r="D1411" s="807">
        <v>80.540000000000006</v>
      </c>
      <c r="E1411" s="839" t="s">
        <v>1209</v>
      </c>
      <c r="F1411" s="203" t="e">
        <f>VLOOKUP(A1411,'Compos DER'!J:K,2,FALSE)</f>
        <v>#N/A</v>
      </c>
      <c r="G1411" s="198" t="e">
        <f t="shared" si="23"/>
        <v>#N/A</v>
      </c>
    </row>
    <row r="1412" spans="1:7" x14ac:dyDescent="0.2">
      <c r="A1412" s="806">
        <v>43081</v>
      </c>
      <c r="B1412" s="839" t="s">
        <v>946</v>
      </c>
      <c r="C1412" s="840" t="s">
        <v>1948</v>
      </c>
      <c r="D1412" s="807">
        <v>102.75</v>
      </c>
      <c r="E1412" s="841"/>
      <c r="F1412" s="203" t="e">
        <f>VLOOKUP(A1412,'Compos DER'!J:K,2,FALSE)</f>
        <v>#N/A</v>
      </c>
      <c r="G1412" s="198" t="e">
        <f t="shared" si="23"/>
        <v>#N/A</v>
      </c>
    </row>
    <row r="1413" spans="1:7" x14ac:dyDescent="0.2">
      <c r="A1413" s="806">
        <v>43085</v>
      </c>
      <c r="B1413" s="839" t="s">
        <v>947</v>
      </c>
      <c r="C1413" s="840" t="s">
        <v>1948</v>
      </c>
      <c r="D1413" s="807">
        <v>181.21</v>
      </c>
      <c r="E1413" s="841"/>
      <c r="F1413" s="203" t="e">
        <f>VLOOKUP(A1413,'Compos DER'!J:K,2,FALSE)</f>
        <v>#N/A</v>
      </c>
      <c r="G1413" s="198" t="e">
        <f t="shared" si="23"/>
        <v>#N/A</v>
      </c>
    </row>
    <row r="1414" spans="1:7" x14ac:dyDescent="0.2">
      <c r="A1414" s="806">
        <v>43083</v>
      </c>
      <c r="B1414" s="842" t="s">
        <v>2450</v>
      </c>
      <c r="C1414" s="840" t="s">
        <v>1948</v>
      </c>
      <c r="D1414" s="807">
        <v>88.28</v>
      </c>
      <c r="E1414" s="843"/>
      <c r="F1414" s="203" t="e">
        <f>VLOOKUP(A1414,'Compos DER'!J:K,2,FALSE)</f>
        <v>#N/A</v>
      </c>
      <c r="G1414" s="198" t="e">
        <f t="shared" si="23"/>
        <v>#N/A</v>
      </c>
    </row>
    <row r="1415" spans="1:7" x14ac:dyDescent="0.2">
      <c r="A1415" s="806">
        <v>43084</v>
      </c>
      <c r="B1415" s="842" t="s">
        <v>2451</v>
      </c>
      <c r="C1415" s="840" t="s">
        <v>1948</v>
      </c>
      <c r="D1415" s="807">
        <v>66.87</v>
      </c>
      <c r="E1415" s="843"/>
      <c r="F1415" s="203" t="e">
        <f>VLOOKUP(A1415,'Compos DER'!J:K,2,FALSE)</f>
        <v>#N/A</v>
      </c>
      <c r="G1415" s="198" t="e">
        <f t="shared" si="23"/>
        <v>#N/A</v>
      </c>
    </row>
    <row r="1416" spans="1:7" x14ac:dyDescent="0.2">
      <c r="A1416" s="806">
        <v>43086</v>
      </c>
      <c r="B1416" s="839" t="s">
        <v>948</v>
      </c>
      <c r="C1416" s="840" t="s">
        <v>1910</v>
      </c>
      <c r="D1416" s="807">
        <v>248.23</v>
      </c>
      <c r="E1416" s="839" t="s">
        <v>1209</v>
      </c>
      <c r="F1416" s="203" t="e">
        <f>VLOOKUP(A1416,'Compos DER'!J:K,2,FALSE)</f>
        <v>#N/A</v>
      </c>
      <c r="G1416" s="198" t="e">
        <f t="shared" si="23"/>
        <v>#N/A</v>
      </c>
    </row>
    <row r="1417" spans="1:7" x14ac:dyDescent="0.2">
      <c r="A1417" s="806">
        <v>43087</v>
      </c>
      <c r="B1417" s="839" t="s">
        <v>949</v>
      </c>
      <c r="C1417" s="840" t="s">
        <v>1910</v>
      </c>
      <c r="D1417" s="807">
        <v>540.32000000000005</v>
      </c>
      <c r="E1417" s="839" t="s">
        <v>1209</v>
      </c>
      <c r="F1417" s="203" t="e">
        <f>VLOOKUP(A1417,'Compos DER'!J:K,2,FALSE)</f>
        <v>#N/A</v>
      </c>
      <c r="G1417" s="198" t="e">
        <f t="shared" si="23"/>
        <v>#N/A</v>
      </c>
    </row>
    <row r="1418" spans="1:7" ht="25.5" x14ac:dyDescent="0.2">
      <c r="A1418" s="806">
        <v>43089</v>
      </c>
      <c r="B1418" s="842" t="s">
        <v>2452</v>
      </c>
      <c r="C1418" s="840" t="s">
        <v>1905</v>
      </c>
      <c r="D1418" s="807">
        <v>45.29</v>
      </c>
      <c r="E1418" s="843"/>
      <c r="F1418" s="203" t="e">
        <f>VLOOKUP(A1418,'Compos DER'!J:K,2,FALSE)</f>
        <v>#N/A</v>
      </c>
      <c r="G1418" s="198" t="e">
        <f t="shared" si="23"/>
        <v>#N/A</v>
      </c>
    </row>
    <row r="1419" spans="1:7" x14ac:dyDescent="0.2">
      <c r="A1419" s="806">
        <v>43090</v>
      </c>
      <c r="B1419" s="839" t="s">
        <v>950</v>
      </c>
      <c r="C1419" s="840" t="s">
        <v>1905</v>
      </c>
      <c r="D1419" s="807">
        <v>32.26</v>
      </c>
      <c r="E1419" s="841"/>
      <c r="F1419" s="203" t="e">
        <f>VLOOKUP(A1419,'Compos DER'!J:K,2,FALSE)</f>
        <v>#N/A</v>
      </c>
      <c r="G1419" s="198" t="e">
        <f t="shared" si="23"/>
        <v>#N/A</v>
      </c>
    </row>
    <row r="1420" spans="1:7" x14ac:dyDescent="0.2">
      <c r="A1420" s="806">
        <v>43088</v>
      </c>
      <c r="B1420" s="842" t="s">
        <v>2453</v>
      </c>
      <c r="C1420" s="840" t="s">
        <v>1948</v>
      </c>
      <c r="D1420" s="807">
        <v>22.2</v>
      </c>
      <c r="E1420" s="839" t="s">
        <v>1209</v>
      </c>
      <c r="F1420" s="203" t="e">
        <f>VLOOKUP(A1420,'Compos DER'!J:K,2,FALSE)</f>
        <v>#N/A</v>
      </c>
      <c r="G1420" s="198" t="e">
        <f t="shared" si="23"/>
        <v>#N/A</v>
      </c>
    </row>
    <row r="1421" spans="1:7" x14ac:dyDescent="0.2">
      <c r="A1421" s="806">
        <v>43091</v>
      </c>
      <c r="B1421" s="839" t="s">
        <v>951</v>
      </c>
      <c r="C1421" s="840" t="s">
        <v>1910</v>
      </c>
      <c r="D1421" s="807">
        <v>401.19</v>
      </c>
      <c r="E1421" s="839" t="s">
        <v>1209</v>
      </c>
      <c r="F1421" s="203" t="e">
        <f>VLOOKUP(A1421,'Compos DER'!J:K,2,FALSE)</f>
        <v>#N/A</v>
      </c>
      <c r="G1421" s="198" t="e">
        <f t="shared" si="23"/>
        <v>#N/A</v>
      </c>
    </row>
    <row r="1422" spans="1:7" x14ac:dyDescent="0.2">
      <c r="A1422" s="806">
        <v>43092</v>
      </c>
      <c r="B1422" s="842" t="s">
        <v>2454</v>
      </c>
      <c r="C1422" s="840" t="s">
        <v>619</v>
      </c>
      <c r="D1422" s="807">
        <v>26.51</v>
      </c>
      <c r="E1422" s="843"/>
      <c r="F1422" s="203" t="e">
        <f>VLOOKUP(A1422,'Compos DER'!J:K,2,FALSE)</f>
        <v>#N/A</v>
      </c>
      <c r="G1422" s="198" t="e">
        <f t="shared" si="23"/>
        <v>#N/A</v>
      </c>
    </row>
    <row r="1423" spans="1:7" x14ac:dyDescent="0.2">
      <c r="A1423" s="806">
        <v>43093</v>
      </c>
      <c r="B1423" s="842" t="s">
        <v>2455</v>
      </c>
      <c r="C1423" s="840" t="s">
        <v>619</v>
      </c>
      <c r="D1423" s="807">
        <v>35.869999999999997</v>
      </c>
      <c r="E1423" s="843"/>
      <c r="F1423" s="203" t="e">
        <f>VLOOKUP(A1423,'Compos DER'!J:K,2,FALSE)</f>
        <v>#N/A</v>
      </c>
      <c r="G1423" s="198" t="e">
        <f t="shared" si="23"/>
        <v>#N/A</v>
      </c>
    </row>
    <row r="1424" spans="1:7" x14ac:dyDescent="0.2">
      <c r="A1424" s="806">
        <v>43094</v>
      </c>
      <c r="B1424" s="842" t="s">
        <v>2456</v>
      </c>
      <c r="C1424" s="840" t="s">
        <v>1948</v>
      </c>
      <c r="D1424" s="807">
        <v>320.45</v>
      </c>
      <c r="E1424" s="839" t="s">
        <v>1209</v>
      </c>
      <c r="F1424" s="203" t="e">
        <f>VLOOKUP(A1424,'Compos DER'!J:K,2,FALSE)</f>
        <v>#N/A</v>
      </c>
      <c r="G1424" s="198" t="e">
        <f t="shared" si="23"/>
        <v>#N/A</v>
      </c>
    </row>
    <row r="1425" spans="1:7" ht="25.5" x14ac:dyDescent="0.2">
      <c r="A1425" s="806">
        <v>43095</v>
      </c>
      <c r="B1425" s="842" t="s">
        <v>2457</v>
      </c>
      <c r="C1425" s="840" t="s">
        <v>1948</v>
      </c>
      <c r="D1425" s="807">
        <v>463.75</v>
      </c>
      <c r="E1425" s="839" t="s">
        <v>1209</v>
      </c>
      <c r="F1425" s="203" t="e">
        <f>VLOOKUP(A1425,'Compos DER'!J:K,2,FALSE)</f>
        <v>#N/A</v>
      </c>
      <c r="G1425" s="198" t="e">
        <f t="shared" si="23"/>
        <v>#N/A</v>
      </c>
    </row>
    <row r="1426" spans="1:7" x14ac:dyDescent="0.2">
      <c r="A1426" s="806">
        <v>43096</v>
      </c>
      <c r="B1426" s="839" t="s">
        <v>952</v>
      </c>
      <c r="C1426" s="840" t="s">
        <v>1948</v>
      </c>
      <c r="D1426" s="807">
        <v>576.04</v>
      </c>
      <c r="E1426" s="841"/>
      <c r="F1426" s="203" t="e">
        <f>VLOOKUP(A1426,'Compos DER'!J:K,2,FALSE)</f>
        <v>#N/A</v>
      </c>
      <c r="G1426" s="198" t="e">
        <f t="shared" si="23"/>
        <v>#N/A</v>
      </c>
    </row>
    <row r="1427" spans="1:7" x14ac:dyDescent="0.2">
      <c r="A1427" s="806">
        <v>43098</v>
      </c>
      <c r="B1427" s="839" t="s">
        <v>953</v>
      </c>
      <c r="C1427" s="840" t="s">
        <v>1948</v>
      </c>
      <c r="D1427" s="807">
        <v>20.38</v>
      </c>
      <c r="E1427" s="841"/>
      <c r="F1427" s="203" t="e">
        <f>VLOOKUP(A1427,'Compos DER'!J:K,2,FALSE)</f>
        <v>#N/A</v>
      </c>
      <c r="G1427" s="198" t="e">
        <f t="shared" si="23"/>
        <v>#N/A</v>
      </c>
    </row>
    <row r="1428" spans="1:7" x14ac:dyDescent="0.2">
      <c r="A1428" s="806">
        <v>43097</v>
      </c>
      <c r="B1428" s="839" t="s">
        <v>954</v>
      </c>
      <c r="C1428" s="840" t="s">
        <v>1948</v>
      </c>
      <c r="D1428" s="807">
        <v>37.21</v>
      </c>
      <c r="E1428" s="841"/>
      <c r="F1428" s="203" t="e">
        <f>VLOOKUP(A1428,'Compos DER'!J:K,2,FALSE)</f>
        <v>#N/A</v>
      </c>
      <c r="G1428" s="198" t="e">
        <f t="shared" si="23"/>
        <v>#N/A</v>
      </c>
    </row>
    <row r="1429" spans="1:7" x14ac:dyDescent="0.2">
      <c r="A1429" s="806">
        <v>43100</v>
      </c>
      <c r="B1429" s="839" t="s">
        <v>955</v>
      </c>
      <c r="C1429" s="840" t="s">
        <v>1948</v>
      </c>
      <c r="D1429" s="807">
        <v>35.99</v>
      </c>
      <c r="E1429" s="841"/>
      <c r="F1429" s="203" t="e">
        <f>VLOOKUP(A1429,'Compos DER'!J:K,2,FALSE)</f>
        <v>#N/A</v>
      </c>
      <c r="G1429" s="198" t="e">
        <f t="shared" si="23"/>
        <v>#N/A</v>
      </c>
    </row>
    <row r="1430" spans="1:7" x14ac:dyDescent="0.2">
      <c r="A1430" s="806">
        <v>43101</v>
      </c>
      <c r="B1430" s="839" t="s">
        <v>956</v>
      </c>
      <c r="C1430" s="840" t="s">
        <v>1948</v>
      </c>
      <c r="D1430" s="807">
        <v>7.14</v>
      </c>
      <c r="E1430" s="841"/>
      <c r="F1430" s="203" t="e">
        <f>VLOOKUP(A1430,'Compos DER'!J:K,2,FALSE)</f>
        <v>#N/A</v>
      </c>
      <c r="G1430" s="198" t="e">
        <f t="shared" si="23"/>
        <v>#N/A</v>
      </c>
    </row>
    <row r="1431" spans="1:7" x14ac:dyDescent="0.2">
      <c r="A1431" s="806">
        <v>43102</v>
      </c>
      <c r="B1431" s="839" t="s">
        <v>957</v>
      </c>
      <c r="C1431" s="840" t="s">
        <v>1948</v>
      </c>
      <c r="D1431" s="807">
        <v>8.06</v>
      </c>
      <c r="E1431" s="841"/>
      <c r="F1431" s="203" t="e">
        <f>VLOOKUP(A1431,'Compos DER'!J:K,2,FALSE)</f>
        <v>#N/A</v>
      </c>
      <c r="G1431" s="198" t="e">
        <f t="shared" si="23"/>
        <v>#N/A</v>
      </c>
    </row>
    <row r="1432" spans="1:7" x14ac:dyDescent="0.2">
      <c r="A1432" s="806">
        <v>42614</v>
      </c>
      <c r="B1432" s="839" t="s">
        <v>958</v>
      </c>
      <c r="C1432" s="840" t="s">
        <v>1948</v>
      </c>
      <c r="D1432" s="807">
        <v>211.02</v>
      </c>
      <c r="E1432" s="839" t="s">
        <v>1209</v>
      </c>
      <c r="F1432" s="203" t="e">
        <f>VLOOKUP(A1432,'Compos DER'!J:K,2,FALSE)</f>
        <v>#N/A</v>
      </c>
      <c r="G1432" s="198" t="e">
        <f t="shared" si="23"/>
        <v>#N/A</v>
      </c>
    </row>
    <row r="1433" spans="1:7" x14ac:dyDescent="0.2">
      <c r="A1433" s="806">
        <v>43104</v>
      </c>
      <c r="B1433" s="842" t="s">
        <v>2458</v>
      </c>
      <c r="C1433" s="840" t="s">
        <v>1948</v>
      </c>
      <c r="D1433" s="807">
        <v>10.58</v>
      </c>
      <c r="E1433" s="843"/>
      <c r="F1433" s="203" t="e">
        <f>VLOOKUP(A1433,'Compos DER'!J:K,2,FALSE)</f>
        <v>#N/A</v>
      </c>
      <c r="G1433" s="198" t="e">
        <f t="shared" si="23"/>
        <v>#N/A</v>
      </c>
    </row>
    <row r="1434" spans="1:7" x14ac:dyDescent="0.2">
      <c r="A1434" s="806">
        <v>43105</v>
      </c>
      <c r="B1434" s="839" t="s">
        <v>959</v>
      </c>
      <c r="C1434" s="840" t="s">
        <v>1906</v>
      </c>
      <c r="D1434" s="807">
        <v>350.59</v>
      </c>
      <c r="E1434" s="839" t="s">
        <v>1209</v>
      </c>
      <c r="F1434" s="203" t="e">
        <f>VLOOKUP(A1434,'Compos DER'!J:K,2,FALSE)</f>
        <v>#N/A</v>
      </c>
      <c r="G1434" s="198" t="e">
        <f t="shared" si="23"/>
        <v>#N/A</v>
      </c>
    </row>
    <row r="1435" spans="1:7" x14ac:dyDescent="0.2">
      <c r="A1435" s="806">
        <v>43106</v>
      </c>
      <c r="B1435" s="839" t="s">
        <v>960</v>
      </c>
      <c r="C1435" s="840" t="s">
        <v>1906</v>
      </c>
      <c r="D1435" s="807">
        <v>167.49</v>
      </c>
      <c r="E1435" s="839" t="s">
        <v>1209</v>
      </c>
      <c r="F1435" s="203" t="e">
        <f>VLOOKUP(A1435,'Compos DER'!J:K,2,FALSE)</f>
        <v>#N/A</v>
      </c>
      <c r="G1435" s="198" t="e">
        <f t="shared" si="23"/>
        <v>#N/A</v>
      </c>
    </row>
    <row r="1436" spans="1:7" x14ac:dyDescent="0.2">
      <c r="A1436" s="806">
        <v>43111</v>
      </c>
      <c r="B1436" s="839" t="s">
        <v>961</v>
      </c>
      <c r="C1436" s="840" t="s">
        <v>1948</v>
      </c>
      <c r="D1436" s="807">
        <v>4.0599999999999996</v>
      </c>
      <c r="E1436" s="841"/>
      <c r="F1436" s="203" t="e">
        <f>VLOOKUP(A1436,'Compos DER'!J:K,2,FALSE)</f>
        <v>#N/A</v>
      </c>
      <c r="G1436" s="198" t="e">
        <f t="shared" si="23"/>
        <v>#N/A</v>
      </c>
    </row>
    <row r="1437" spans="1:7" x14ac:dyDescent="0.2">
      <c r="A1437" s="844"/>
      <c r="B1437" s="844"/>
      <c r="C1437" s="845"/>
      <c r="D1437" s="846"/>
      <c r="E1437" s="845" t="e">
        <v>#N/A</v>
      </c>
      <c r="F1437" s="203" t="e">
        <f>VLOOKUP(A1437,'Compos DER'!J:K,2,FALSE)</f>
        <v>#N/A</v>
      </c>
      <c r="G1437" s="198" t="e">
        <f t="shared" si="23"/>
        <v>#N/A</v>
      </c>
    </row>
    <row r="1438" spans="1:7" x14ac:dyDescent="0.2">
      <c r="A1438" s="847" t="s">
        <v>962</v>
      </c>
      <c r="B1438" s="848"/>
      <c r="C1438" s="849"/>
      <c r="E1438" s="845" t="e">
        <v>#N/A</v>
      </c>
      <c r="F1438" s="203" t="e">
        <f>VLOOKUP(A1438,'Compos DER'!J:K,2,FALSE)</f>
        <v>#N/A</v>
      </c>
      <c r="G1438" s="198" t="e">
        <f t="shared" si="23"/>
        <v>#N/A</v>
      </c>
    </row>
    <row r="1439" spans="1:7" ht="25.5" x14ac:dyDescent="0.2">
      <c r="A1439" s="806">
        <v>41578</v>
      </c>
      <c r="B1439" s="842" t="s">
        <v>2459</v>
      </c>
      <c r="C1439" s="840" t="s">
        <v>2135</v>
      </c>
      <c r="D1439" s="807">
        <v>685.65</v>
      </c>
      <c r="E1439" s="843"/>
      <c r="F1439" s="203" t="e">
        <f>VLOOKUP(A1439,'Compos DER'!J:K,2,FALSE)</f>
        <v>#N/A</v>
      </c>
      <c r="G1439" s="198" t="e">
        <f t="shared" si="23"/>
        <v>#N/A</v>
      </c>
    </row>
    <row r="1440" spans="1:7" ht="25.5" x14ac:dyDescent="0.2">
      <c r="A1440" s="806">
        <v>42511</v>
      </c>
      <c r="B1440" s="842" t="s">
        <v>2460</v>
      </c>
      <c r="C1440" s="840" t="s">
        <v>2135</v>
      </c>
      <c r="D1440" s="807">
        <v>524.11</v>
      </c>
      <c r="E1440" s="843"/>
      <c r="F1440" s="203" t="e">
        <f>VLOOKUP(A1440,'Compos DER'!J:K,2,FALSE)</f>
        <v>#N/A</v>
      </c>
      <c r="G1440" s="198" t="e">
        <f t="shared" si="23"/>
        <v>#N/A</v>
      </c>
    </row>
    <row r="1441" spans="1:7" x14ac:dyDescent="0.2">
      <c r="A1441" s="806">
        <v>41579</v>
      </c>
      <c r="B1441" s="839" t="s">
        <v>963</v>
      </c>
      <c r="C1441" s="840" t="s">
        <v>2135</v>
      </c>
      <c r="D1441" s="807">
        <v>411.06</v>
      </c>
      <c r="E1441" s="841"/>
      <c r="F1441" s="203" t="e">
        <f>VLOOKUP(A1441,'Compos DER'!J:K,2,FALSE)</f>
        <v>#N/A</v>
      </c>
      <c r="G1441" s="198" t="e">
        <f t="shared" si="23"/>
        <v>#N/A</v>
      </c>
    </row>
    <row r="1442" spans="1:7" x14ac:dyDescent="0.2">
      <c r="A1442" s="806">
        <v>41494</v>
      </c>
      <c r="B1442" s="842" t="s">
        <v>2461</v>
      </c>
      <c r="C1442" s="840" t="s">
        <v>2135</v>
      </c>
      <c r="D1442" s="807">
        <v>760.24</v>
      </c>
      <c r="E1442" s="843"/>
      <c r="F1442" s="203" t="e">
        <f>VLOOKUP(A1442,'Compos DER'!J:K,2,FALSE)</f>
        <v>#N/A</v>
      </c>
      <c r="G1442" s="198" t="e">
        <f t="shared" si="23"/>
        <v>#N/A</v>
      </c>
    </row>
    <row r="1443" spans="1:7" x14ac:dyDescent="0.2">
      <c r="A1443" s="806">
        <v>41678</v>
      </c>
      <c r="B1443" s="842" t="s">
        <v>2462</v>
      </c>
      <c r="C1443" s="840" t="s">
        <v>2135</v>
      </c>
      <c r="D1443" s="807">
        <v>720.96</v>
      </c>
      <c r="E1443" s="843"/>
      <c r="F1443" s="203" t="e">
        <f>VLOOKUP(A1443,'Compos DER'!J:K,2,FALSE)</f>
        <v>#N/A</v>
      </c>
      <c r="G1443" s="198" t="e">
        <f t="shared" si="23"/>
        <v>#N/A</v>
      </c>
    </row>
    <row r="1444" spans="1:7" x14ac:dyDescent="0.2">
      <c r="A1444" s="806">
        <v>41455</v>
      </c>
      <c r="B1444" s="842" t="s">
        <v>2463</v>
      </c>
      <c r="C1444" s="840" t="s">
        <v>2135</v>
      </c>
      <c r="D1444" s="808">
        <v>1441.93</v>
      </c>
      <c r="E1444" s="843"/>
      <c r="F1444" s="203" t="e">
        <f>VLOOKUP(A1444,'Compos DER'!J:K,2,FALSE)</f>
        <v>#N/A</v>
      </c>
      <c r="G1444" s="198" t="e">
        <f t="shared" si="23"/>
        <v>#N/A</v>
      </c>
    </row>
    <row r="1445" spans="1:7" ht="25.5" x14ac:dyDescent="0.2">
      <c r="A1445" s="806">
        <v>41456</v>
      </c>
      <c r="B1445" s="842" t="s">
        <v>2464</v>
      </c>
      <c r="C1445" s="840" t="s">
        <v>2135</v>
      </c>
      <c r="D1445" s="808">
        <v>2052.66</v>
      </c>
      <c r="E1445" s="843"/>
      <c r="F1445" s="203" t="e">
        <f>VLOOKUP(A1445,'Compos DER'!J:K,2,FALSE)</f>
        <v>#N/A</v>
      </c>
      <c r="G1445" s="198" t="e">
        <f t="shared" si="23"/>
        <v>#N/A</v>
      </c>
    </row>
    <row r="1446" spans="1:7" x14ac:dyDescent="0.2">
      <c r="A1446" s="806">
        <v>41580</v>
      </c>
      <c r="B1446" s="842" t="s">
        <v>2465</v>
      </c>
      <c r="C1446" s="840" t="s">
        <v>2135</v>
      </c>
      <c r="D1446" s="807">
        <v>678.26</v>
      </c>
      <c r="E1446" s="843"/>
      <c r="F1446" s="203" t="e">
        <f>VLOOKUP(A1446,'Compos DER'!J:K,2,FALSE)</f>
        <v>#N/A</v>
      </c>
      <c r="G1446" s="198" t="e">
        <f t="shared" si="23"/>
        <v>#N/A</v>
      </c>
    </row>
    <row r="1447" spans="1:7" x14ac:dyDescent="0.2">
      <c r="A1447" s="806">
        <v>41454</v>
      </c>
      <c r="B1447" s="839" t="s">
        <v>964</v>
      </c>
      <c r="C1447" s="840" t="s">
        <v>2135</v>
      </c>
      <c r="D1447" s="807">
        <v>419.28</v>
      </c>
      <c r="E1447" s="841"/>
      <c r="F1447" s="203" t="e">
        <f>VLOOKUP(A1447,'Compos DER'!J:K,2,FALSE)</f>
        <v>#N/A</v>
      </c>
      <c r="G1447" s="198" t="e">
        <f t="shared" si="23"/>
        <v>#N/A</v>
      </c>
    </row>
    <row r="1448" spans="1:7" ht="25.5" x14ac:dyDescent="0.2">
      <c r="A1448" s="806">
        <v>41498</v>
      </c>
      <c r="B1448" s="842" t="s">
        <v>2466</v>
      </c>
      <c r="C1448" s="840" t="s">
        <v>1905</v>
      </c>
      <c r="D1448" s="807">
        <v>464.18</v>
      </c>
      <c r="E1448" s="843"/>
      <c r="F1448" s="203" t="e">
        <f>VLOOKUP(A1448,'Compos DER'!J:K,2,FALSE)</f>
        <v>#N/A</v>
      </c>
      <c r="G1448" s="198" t="e">
        <f t="shared" si="23"/>
        <v>#N/A</v>
      </c>
    </row>
    <row r="1449" spans="1:7" x14ac:dyDescent="0.2">
      <c r="A1449" s="806">
        <v>41531</v>
      </c>
      <c r="B1449" s="842" t="s">
        <v>2467</v>
      </c>
      <c r="C1449" s="840" t="s">
        <v>1905</v>
      </c>
      <c r="D1449" s="807">
        <v>392.87</v>
      </c>
      <c r="E1449" s="843"/>
      <c r="F1449" s="203" t="e">
        <f>VLOOKUP(A1449,'Compos DER'!J:K,2,FALSE)</f>
        <v>#N/A</v>
      </c>
      <c r="G1449" s="198" t="e">
        <f t="shared" si="23"/>
        <v>#N/A</v>
      </c>
    </row>
    <row r="1450" spans="1:7" x14ac:dyDescent="0.2">
      <c r="A1450" s="806">
        <v>41557</v>
      </c>
      <c r="B1450" s="839" t="s">
        <v>965</v>
      </c>
      <c r="C1450" s="840" t="s">
        <v>1948</v>
      </c>
      <c r="D1450" s="807">
        <v>175.89</v>
      </c>
      <c r="E1450" s="841"/>
      <c r="F1450" s="203" t="e">
        <f>VLOOKUP(A1450,'Compos DER'!J:K,2,FALSE)</f>
        <v>#N/A</v>
      </c>
      <c r="G1450" s="198" t="e">
        <f t="shared" si="23"/>
        <v>#N/A</v>
      </c>
    </row>
    <row r="1451" spans="1:7" x14ac:dyDescent="0.2">
      <c r="A1451" s="806">
        <v>41506</v>
      </c>
      <c r="B1451" s="842" t="s">
        <v>2468</v>
      </c>
      <c r="C1451" s="840" t="s">
        <v>1905</v>
      </c>
      <c r="D1451" s="807">
        <v>43.42</v>
      </c>
      <c r="E1451" s="843"/>
      <c r="F1451" s="203" t="e">
        <f>VLOOKUP(A1451,'Compos DER'!J:K,2,FALSE)</f>
        <v>#N/A</v>
      </c>
      <c r="G1451" s="198" t="e">
        <f t="shared" si="23"/>
        <v>#N/A</v>
      </c>
    </row>
    <row r="1452" spans="1:7" x14ac:dyDescent="0.2">
      <c r="A1452" s="806">
        <v>41505</v>
      </c>
      <c r="B1452" s="842" t="s">
        <v>2469</v>
      </c>
      <c r="C1452" s="840" t="s">
        <v>1905</v>
      </c>
      <c r="D1452" s="807">
        <v>89.29</v>
      </c>
      <c r="E1452" s="843"/>
      <c r="F1452" s="203" t="e">
        <f>VLOOKUP(A1452,'Compos DER'!J:K,2,FALSE)</f>
        <v>#N/A</v>
      </c>
      <c r="G1452" s="198" t="e">
        <f t="shared" si="23"/>
        <v>#N/A</v>
      </c>
    </row>
    <row r="1453" spans="1:7" ht="25.5" x14ac:dyDescent="0.2">
      <c r="A1453" s="806">
        <v>41528</v>
      </c>
      <c r="B1453" s="842" t="s">
        <v>2470</v>
      </c>
      <c r="C1453" s="840" t="s">
        <v>1905</v>
      </c>
      <c r="D1453" s="807">
        <v>156.69</v>
      </c>
      <c r="E1453" s="843"/>
      <c r="F1453" s="203">
        <f>VLOOKUP(A1453,'Compos DER'!J:K,2,FALSE)</f>
        <v>156.69</v>
      </c>
      <c r="G1453" s="198">
        <f t="shared" si="23"/>
        <v>1</v>
      </c>
    </row>
    <row r="1454" spans="1:7" x14ac:dyDescent="0.2">
      <c r="A1454" s="806">
        <v>41546</v>
      </c>
      <c r="B1454" s="839" t="s">
        <v>966</v>
      </c>
      <c r="C1454" s="840" t="s">
        <v>240</v>
      </c>
      <c r="D1454" s="807">
        <v>233.87</v>
      </c>
      <c r="E1454" s="841"/>
      <c r="F1454" s="203">
        <f>VLOOKUP(A1454,'Compos DER'!J:K,2,FALSE)</f>
        <v>233.89</v>
      </c>
      <c r="G1454" s="198">
        <f t="shared" si="23"/>
        <v>1.0000855175952501</v>
      </c>
    </row>
    <row r="1455" spans="1:7" x14ac:dyDescent="0.2">
      <c r="A1455" s="806">
        <v>41545</v>
      </c>
      <c r="B1455" s="839" t="s">
        <v>967</v>
      </c>
      <c r="C1455" s="840" t="s">
        <v>240</v>
      </c>
      <c r="D1455" s="807">
        <v>199.7</v>
      </c>
      <c r="E1455" s="841"/>
      <c r="F1455" s="203">
        <f>VLOOKUP(A1455,'Compos DER'!J:K,2,FALSE)</f>
        <v>199.7</v>
      </c>
      <c r="G1455" s="198">
        <f t="shared" si="23"/>
        <v>1</v>
      </c>
    </row>
    <row r="1456" spans="1:7" x14ac:dyDescent="0.2">
      <c r="A1456" s="806">
        <v>41547</v>
      </c>
      <c r="B1456" s="839" t="s">
        <v>968</v>
      </c>
      <c r="C1456" s="840" t="s">
        <v>240</v>
      </c>
      <c r="D1456" s="807">
        <v>195.63</v>
      </c>
      <c r="E1456" s="841"/>
      <c r="F1456" s="203">
        <f>VLOOKUP(A1456,'Compos DER'!J:K,2,FALSE)</f>
        <v>195.65</v>
      </c>
      <c r="G1456" s="198">
        <f t="shared" si="23"/>
        <v>1.00010223380872</v>
      </c>
    </row>
    <row r="1457" spans="1:7" x14ac:dyDescent="0.2">
      <c r="A1457" s="806">
        <v>41497</v>
      </c>
      <c r="B1457" s="839" t="s">
        <v>969</v>
      </c>
      <c r="C1457" s="840" t="s">
        <v>1910</v>
      </c>
      <c r="D1457" s="808">
        <v>3547.81</v>
      </c>
      <c r="E1457" s="841"/>
      <c r="F1457" s="203" t="e">
        <f>VLOOKUP(A1457,'Compos DER'!J:K,2,FALSE)</f>
        <v>#N/A</v>
      </c>
      <c r="G1457" s="198" t="e">
        <f t="shared" si="23"/>
        <v>#N/A</v>
      </c>
    </row>
    <row r="1458" spans="1:7" x14ac:dyDescent="0.2">
      <c r="A1458" s="806">
        <v>41495</v>
      </c>
      <c r="B1458" s="839" t="s">
        <v>970</v>
      </c>
      <c r="C1458" s="840" t="s">
        <v>1910</v>
      </c>
      <c r="D1458" s="807">
        <v>971.42</v>
      </c>
      <c r="E1458" s="841"/>
      <c r="F1458" s="203" t="e">
        <f>VLOOKUP(A1458,'Compos DER'!J:K,2,FALSE)</f>
        <v>#N/A</v>
      </c>
      <c r="G1458" s="198" t="e">
        <f t="shared" si="23"/>
        <v>#N/A</v>
      </c>
    </row>
    <row r="1459" spans="1:7" x14ac:dyDescent="0.2">
      <c r="A1459" s="806">
        <v>41496</v>
      </c>
      <c r="B1459" s="839" t="s">
        <v>971</v>
      </c>
      <c r="C1459" s="840" t="s">
        <v>1910</v>
      </c>
      <c r="D1459" s="808">
        <v>1792.91</v>
      </c>
      <c r="E1459" s="841"/>
      <c r="F1459" s="203" t="e">
        <f>VLOOKUP(A1459,'Compos DER'!J:K,2,FALSE)</f>
        <v>#N/A</v>
      </c>
      <c r="G1459" s="198" t="e">
        <f t="shared" si="23"/>
        <v>#N/A</v>
      </c>
    </row>
    <row r="1460" spans="1:7" x14ac:dyDescent="0.2">
      <c r="A1460" s="806">
        <v>41544</v>
      </c>
      <c r="B1460" s="839" t="s">
        <v>972</v>
      </c>
      <c r="C1460" s="840" t="s">
        <v>240</v>
      </c>
      <c r="D1460" s="807">
        <v>389.66</v>
      </c>
      <c r="E1460" s="841"/>
      <c r="F1460" s="203">
        <f>VLOOKUP(A1460,'Compos DER'!J:K,2,FALSE)</f>
        <v>389.67</v>
      </c>
      <c r="G1460" s="198">
        <f t="shared" si="23"/>
        <v>1.00002566339886</v>
      </c>
    </row>
    <row r="1461" spans="1:7" x14ac:dyDescent="0.2">
      <c r="A1461" s="806">
        <v>41500</v>
      </c>
      <c r="B1461" s="839" t="s">
        <v>973</v>
      </c>
      <c r="C1461" s="840" t="s">
        <v>1905</v>
      </c>
      <c r="D1461" s="807">
        <v>261.38</v>
      </c>
      <c r="E1461" s="841"/>
      <c r="F1461" s="203">
        <f>VLOOKUP(A1461,'Compos DER'!J:K,2,FALSE)</f>
        <v>261.39</v>
      </c>
      <c r="G1461" s="198">
        <f t="shared" si="23"/>
        <v>1.00003825847425</v>
      </c>
    </row>
    <row r="1462" spans="1:7" ht="25.5" x14ac:dyDescent="0.2">
      <c r="A1462" s="806">
        <v>41501</v>
      </c>
      <c r="B1462" s="839" t="s">
        <v>974</v>
      </c>
      <c r="C1462" s="840" t="s">
        <v>1948</v>
      </c>
      <c r="D1462" s="807">
        <v>34.909999999999997</v>
      </c>
      <c r="E1462" s="843"/>
      <c r="F1462" s="203">
        <f>VLOOKUP(A1462,'Compos DER'!J:K,2,FALSE)</f>
        <v>34.909999999999997</v>
      </c>
      <c r="G1462" s="198">
        <f t="shared" si="23"/>
        <v>1</v>
      </c>
    </row>
    <row r="1463" spans="1:7" x14ac:dyDescent="0.2">
      <c r="A1463" s="806">
        <v>41499</v>
      </c>
      <c r="B1463" s="839" t="s">
        <v>975</v>
      </c>
      <c r="C1463" s="840" t="s">
        <v>1948</v>
      </c>
      <c r="D1463" s="807">
        <v>291.19</v>
      </c>
      <c r="E1463" s="843"/>
      <c r="F1463" s="203">
        <f>VLOOKUP(A1463,'Compos DER'!J:K,2,FALSE)</f>
        <v>291.2</v>
      </c>
      <c r="G1463" s="198">
        <f t="shared" si="23"/>
        <v>1.0000343418386599</v>
      </c>
    </row>
    <row r="1464" spans="1:7" ht="25.5" x14ac:dyDescent="0.2">
      <c r="A1464" s="806">
        <v>41503</v>
      </c>
      <c r="B1464" s="839" t="s">
        <v>2471</v>
      </c>
      <c r="C1464" s="840" t="s">
        <v>1948</v>
      </c>
      <c r="D1464" s="807">
        <v>421.97</v>
      </c>
      <c r="E1464" s="843"/>
      <c r="F1464" s="203">
        <f>VLOOKUP(A1464,'Compos DER'!J:K,2,FALSE)</f>
        <v>421.98</v>
      </c>
      <c r="G1464" s="198">
        <f t="shared" si="23"/>
        <v>1.00002369836718</v>
      </c>
    </row>
    <row r="1465" spans="1:7" ht="25.5" x14ac:dyDescent="0.2">
      <c r="A1465" s="806">
        <v>41530</v>
      </c>
      <c r="B1465" s="839" t="s">
        <v>976</v>
      </c>
      <c r="C1465" s="840" t="s">
        <v>1905</v>
      </c>
      <c r="D1465" s="807">
        <v>376.31</v>
      </c>
      <c r="E1465" s="843"/>
      <c r="F1465" s="203">
        <f>VLOOKUP(A1465,'Compos DER'!J:K,2,FALSE)</f>
        <v>376.31</v>
      </c>
      <c r="G1465" s="198">
        <f t="shared" si="23"/>
        <v>1</v>
      </c>
    </row>
    <row r="1466" spans="1:7" x14ac:dyDescent="0.2">
      <c r="A1466" s="806">
        <v>41527</v>
      </c>
      <c r="B1466" s="839" t="s">
        <v>977</v>
      </c>
      <c r="C1466" s="840" t="s">
        <v>1910</v>
      </c>
      <c r="D1466" s="808">
        <v>1764.88</v>
      </c>
      <c r="E1466" s="841"/>
      <c r="F1466" s="203">
        <f>VLOOKUP(A1466,'Compos DER'!J:K,2,FALSE)</f>
        <v>1764.88</v>
      </c>
      <c r="G1466" s="198">
        <f t="shared" si="23"/>
        <v>1</v>
      </c>
    </row>
    <row r="1467" spans="1:7" ht="25.5" x14ac:dyDescent="0.2">
      <c r="A1467" s="806">
        <v>41529</v>
      </c>
      <c r="B1467" s="839" t="s">
        <v>2472</v>
      </c>
      <c r="C1467" s="840" t="s">
        <v>1910</v>
      </c>
      <c r="D1467" s="808">
        <v>21733.09</v>
      </c>
      <c r="E1467" s="843"/>
      <c r="F1467" s="203">
        <f>VLOOKUP(A1467,'Compos DER'!J:K,2,FALSE)</f>
        <v>21733.09</v>
      </c>
      <c r="G1467" s="198">
        <f t="shared" si="23"/>
        <v>1</v>
      </c>
    </row>
    <row r="1468" spans="1:7" x14ac:dyDescent="0.2">
      <c r="A1468" s="806">
        <v>41555</v>
      </c>
      <c r="B1468" s="839" t="s">
        <v>978</v>
      </c>
      <c r="C1468" s="840" t="s">
        <v>1910</v>
      </c>
      <c r="D1468" s="808">
        <v>6062.5</v>
      </c>
      <c r="E1468" s="841"/>
      <c r="F1468" s="203">
        <f>VLOOKUP(A1468,'Compos DER'!J:K,2,FALSE)</f>
        <v>6246.53</v>
      </c>
      <c r="G1468" s="198">
        <f t="shared" si="23"/>
        <v>1.0303554639175301</v>
      </c>
    </row>
    <row r="1469" spans="1:7" x14ac:dyDescent="0.2">
      <c r="A1469" s="806">
        <v>100883</v>
      </c>
      <c r="B1469" s="839" t="s">
        <v>2473</v>
      </c>
      <c r="C1469" s="840" t="s">
        <v>1948</v>
      </c>
      <c r="D1469" s="807">
        <v>165.61</v>
      </c>
      <c r="E1469" s="843"/>
      <c r="F1469" s="203" t="e">
        <f>VLOOKUP(A1469,'Compos DER'!J:K,2,FALSE)</f>
        <v>#N/A</v>
      </c>
      <c r="G1469" s="198" t="e">
        <f t="shared" ref="G1469:G1472" si="24">+F1469/D1469</f>
        <v>#N/A</v>
      </c>
    </row>
    <row r="1470" spans="1:7" ht="25.5" x14ac:dyDescent="0.2">
      <c r="A1470" s="806">
        <v>100882</v>
      </c>
      <c r="B1470" s="839" t="s">
        <v>1228</v>
      </c>
      <c r="C1470" s="840" t="s">
        <v>1948</v>
      </c>
      <c r="D1470" s="807">
        <v>141.91</v>
      </c>
      <c r="E1470" s="843"/>
      <c r="F1470" s="203" t="e">
        <f>VLOOKUP(A1470,'Compos DER'!J:K,2,FALSE)</f>
        <v>#N/A</v>
      </c>
      <c r="G1470" s="198" t="e">
        <f t="shared" si="24"/>
        <v>#N/A</v>
      </c>
    </row>
    <row r="1471" spans="1:7" x14ac:dyDescent="0.2">
      <c r="F1471" s="203" t="e">
        <f>VLOOKUP(A1471,'Compos DER'!J:K,2,FALSE)</f>
        <v>#N/A</v>
      </c>
      <c r="G1471" s="198" t="e">
        <f t="shared" si="24"/>
        <v>#N/A</v>
      </c>
    </row>
    <row r="1472" spans="1:7" x14ac:dyDescent="0.2">
      <c r="A1472" s="847" t="s">
        <v>2476</v>
      </c>
      <c r="B1472" s="848"/>
      <c r="C1472" s="849"/>
      <c r="E1472" s="845" t="e">
        <v>#N/A</v>
      </c>
      <c r="F1472" s="203" t="e">
        <f>VLOOKUP(A1472,'Compos DER'!J:K,2,FALSE)</f>
        <v>#N/A</v>
      </c>
      <c r="G1472" s="198" t="e">
        <f t="shared" si="24"/>
        <v>#N/A</v>
      </c>
    </row>
    <row r="1473" spans="1:5" s="819" customFormat="1" ht="14.25" customHeight="1" x14ac:dyDescent="0.2">
      <c r="A1473" s="806">
        <v>100390</v>
      </c>
      <c r="B1473" s="839" t="s">
        <v>2474</v>
      </c>
      <c r="C1473" s="840" t="s">
        <v>2475</v>
      </c>
      <c r="D1473" s="808">
        <v>0</v>
      </c>
      <c r="E1473" s="843"/>
    </row>
    <row r="1474" spans="1:5" s="819" customFormat="1" x14ac:dyDescent="0.2">
      <c r="A1474" s="1107" t="s">
        <v>2477</v>
      </c>
      <c r="B1474" s="1108"/>
    </row>
    <row r="1485" spans="1:5" x14ac:dyDescent="0.2">
      <c r="A1485" s="857"/>
      <c r="C1485" s="857"/>
      <c r="D1485" s="855"/>
      <c r="E1485" s="857"/>
    </row>
    <row r="1486" spans="1:5" x14ac:dyDescent="0.2">
      <c r="A1486" s="857"/>
      <c r="C1486" s="857"/>
      <c r="D1486" s="855"/>
      <c r="E1486" s="857"/>
    </row>
    <row r="1487" spans="1:5" x14ac:dyDescent="0.2">
      <c r="A1487" s="857"/>
      <c r="C1487" s="857"/>
      <c r="D1487" s="855"/>
      <c r="E1487" s="857"/>
    </row>
    <row r="1488" spans="1:5" x14ac:dyDescent="0.2">
      <c r="A1488" s="857"/>
      <c r="C1488" s="857"/>
      <c r="D1488" s="855"/>
      <c r="E1488" s="857"/>
    </row>
    <row r="1489" spans="1:6" x14ac:dyDescent="0.2">
      <c r="A1489" s="857"/>
      <c r="C1489" s="857"/>
      <c r="D1489" s="855"/>
      <c r="E1489" s="857"/>
    </row>
    <row r="1490" spans="1:6" x14ac:dyDescent="0.2">
      <c r="A1490" s="857"/>
      <c r="C1490" s="857"/>
      <c r="D1490" s="855"/>
      <c r="E1490" s="857"/>
      <c r="F1490" s="198"/>
    </row>
    <row r="1491" spans="1:6" x14ac:dyDescent="0.2">
      <c r="A1491" s="857"/>
      <c r="C1491" s="857"/>
      <c r="D1491" s="855"/>
      <c r="E1491" s="857"/>
      <c r="F1491" s="198"/>
    </row>
    <row r="1492" spans="1:6" x14ac:dyDescent="0.2">
      <c r="A1492" s="857"/>
      <c r="C1492" s="857"/>
      <c r="D1492" s="855"/>
      <c r="E1492" s="857"/>
      <c r="F1492" s="198"/>
    </row>
    <row r="1493" spans="1:6" x14ac:dyDescent="0.2">
      <c r="A1493" s="857"/>
      <c r="C1493" s="857"/>
      <c r="D1493" s="855"/>
      <c r="E1493" s="857"/>
      <c r="F1493" s="198"/>
    </row>
    <row r="1494" spans="1:6" x14ac:dyDescent="0.2">
      <c r="A1494" s="857"/>
      <c r="C1494" s="857"/>
      <c r="D1494" s="855"/>
      <c r="E1494" s="857"/>
      <c r="F1494" s="198"/>
    </row>
    <row r="1495" spans="1:6" x14ac:dyDescent="0.2">
      <c r="A1495" s="857"/>
      <c r="C1495" s="857"/>
      <c r="D1495" s="855"/>
      <c r="E1495" s="857"/>
      <c r="F1495" s="198"/>
    </row>
    <row r="1496" spans="1:6" x14ac:dyDescent="0.2">
      <c r="A1496" s="857"/>
      <c r="C1496" s="857"/>
      <c r="D1496" s="855"/>
      <c r="E1496" s="857"/>
    </row>
    <row r="1497" spans="1:6" x14ac:dyDescent="0.2">
      <c r="A1497" s="857"/>
      <c r="C1497" s="857"/>
      <c r="D1497" s="855"/>
      <c r="E1497" s="857"/>
    </row>
    <row r="1498" spans="1:6" x14ac:dyDescent="0.2">
      <c r="A1498" s="857"/>
      <c r="C1498" s="857"/>
      <c r="D1498" s="855"/>
      <c r="E1498" s="857"/>
    </row>
    <row r="1499" spans="1:6" x14ac:dyDescent="0.2">
      <c r="A1499" s="857"/>
      <c r="C1499" s="857"/>
      <c r="D1499" s="855"/>
      <c r="E1499" s="857"/>
    </row>
    <row r="1501" spans="1:6" x14ac:dyDescent="0.2">
      <c r="A1501" s="857"/>
      <c r="C1501" s="857"/>
      <c r="D1501" s="855"/>
      <c r="E1501" s="857"/>
      <c r="F1501" s="198"/>
    </row>
    <row r="1502" spans="1:6" x14ac:dyDescent="0.2">
      <c r="A1502" s="857"/>
      <c r="C1502" s="857"/>
      <c r="D1502" s="855"/>
      <c r="E1502" s="857"/>
      <c r="F1502" s="198"/>
    </row>
    <row r="1503" spans="1:6" x14ac:dyDescent="0.2">
      <c r="A1503" s="857"/>
      <c r="C1503" s="857"/>
      <c r="D1503" s="855"/>
      <c r="E1503" s="857"/>
      <c r="F1503" s="198"/>
    </row>
    <row r="1504" spans="1:6" x14ac:dyDescent="0.2">
      <c r="A1504" s="857"/>
      <c r="C1504" s="857"/>
      <c r="D1504" s="855"/>
      <c r="E1504" s="857"/>
      <c r="F1504" s="198"/>
    </row>
    <row r="1505" spans="1:6" x14ac:dyDescent="0.2">
      <c r="A1505" s="857"/>
      <c r="C1505" s="857"/>
      <c r="D1505" s="855"/>
      <c r="E1505" s="857"/>
      <c r="F1505" s="198"/>
    </row>
    <row r="1506" spans="1:6" x14ac:dyDescent="0.2">
      <c r="A1506" s="857"/>
      <c r="C1506" s="857"/>
      <c r="D1506" s="855"/>
      <c r="E1506" s="857"/>
      <c r="F1506" s="198"/>
    </row>
    <row r="1507" spans="1:6" x14ac:dyDescent="0.2">
      <c r="A1507" s="857"/>
      <c r="C1507" s="857"/>
      <c r="D1507" s="855"/>
      <c r="E1507" s="857"/>
      <c r="F1507" s="198"/>
    </row>
    <row r="1508" spans="1:6" x14ac:dyDescent="0.2">
      <c r="A1508" s="857"/>
      <c r="C1508" s="857"/>
      <c r="D1508" s="855"/>
      <c r="E1508" s="857"/>
      <c r="F1508" s="198"/>
    </row>
    <row r="1509" spans="1:6" x14ac:dyDescent="0.2">
      <c r="A1509" s="857"/>
      <c r="C1509" s="857"/>
      <c r="D1509" s="855"/>
      <c r="E1509" s="857"/>
      <c r="F1509" s="198"/>
    </row>
    <row r="1510" spans="1:6" x14ac:dyDescent="0.2">
      <c r="A1510" s="857"/>
      <c r="C1510" s="857"/>
      <c r="D1510" s="855"/>
      <c r="E1510" s="857"/>
      <c r="F1510" s="198"/>
    </row>
    <row r="1511" spans="1:6" x14ac:dyDescent="0.2">
      <c r="A1511" s="857"/>
      <c r="C1511" s="857"/>
      <c r="D1511" s="855"/>
      <c r="E1511" s="857"/>
      <c r="F1511" s="198"/>
    </row>
    <row r="1512" spans="1:6" x14ac:dyDescent="0.2">
      <c r="A1512" s="857"/>
      <c r="C1512" s="857"/>
      <c r="D1512" s="855"/>
      <c r="E1512" s="857"/>
      <c r="F1512" s="198"/>
    </row>
    <row r="1513" spans="1:6" x14ac:dyDescent="0.2">
      <c r="A1513" s="857"/>
      <c r="C1513" s="857"/>
      <c r="D1513" s="855"/>
      <c r="E1513" s="857"/>
      <c r="F1513" s="198"/>
    </row>
    <row r="1514" spans="1:6" x14ac:dyDescent="0.2">
      <c r="A1514" s="857"/>
      <c r="C1514" s="857"/>
      <c r="D1514" s="855"/>
      <c r="E1514" s="857"/>
      <c r="F1514" s="198"/>
    </row>
    <row r="1515" spans="1:6" x14ac:dyDescent="0.2">
      <c r="A1515" s="857"/>
      <c r="C1515" s="857"/>
      <c r="D1515" s="855"/>
      <c r="E1515" s="857"/>
      <c r="F1515" s="198"/>
    </row>
    <row r="1516" spans="1:6" x14ac:dyDescent="0.2">
      <c r="A1516" s="857"/>
      <c r="C1516" s="857"/>
      <c r="D1516" s="855"/>
      <c r="E1516" s="857"/>
    </row>
    <row r="1517" spans="1:6" x14ac:dyDescent="0.2">
      <c r="A1517" s="857"/>
      <c r="C1517" s="857"/>
      <c r="D1517" s="855"/>
      <c r="E1517" s="857"/>
      <c r="F1517" s="198"/>
    </row>
    <row r="1518" spans="1:6" x14ac:dyDescent="0.2">
      <c r="A1518" s="857"/>
      <c r="C1518" s="857"/>
      <c r="D1518" s="855"/>
      <c r="E1518" s="857"/>
      <c r="F1518" s="198"/>
    </row>
    <row r="1519" spans="1:6" x14ac:dyDescent="0.2">
      <c r="A1519" s="857"/>
      <c r="C1519" s="857"/>
      <c r="D1519" s="855"/>
      <c r="E1519" s="857"/>
      <c r="F1519" s="198"/>
    </row>
    <row r="1520" spans="1:6" x14ac:dyDescent="0.2">
      <c r="A1520" s="857"/>
      <c r="C1520" s="857"/>
      <c r="D1520" s="855"/>
      <c r="E1520" s="857"/>
      <c r="F1520" s="198"/>
    </row>
    <row r="1521" spans="1:6" x14ac:dyDescent="0.2">
      <c r="A1521" s="857"/>
      <c r="C1521" s="857"/>
      <c r="D1521" s="855"/>
      <c r="E1521" s="857"/>
      <c r="F1521" s="198"/>
    </row>
    <row r="1522" spans="1:6" x14ac:dyDescent="0.2">
      <c r="A1522" s="857"/>
      <c r="C1522" s="857"/>
      <c r="D1522" s="855"/>
      <c r="E1522" s="857"/>
      <c r="F1522" s="198"/>
    </row>
    <row r="1523" spans="1:6" x14ac:dyDescent="0.2">
      <c r="A1523" s="857"/>
      <c r="C1523" s="857"/>
      <c r="D1523" s="855"/>
      <c r="E1523" s="857"/>
      <c r="F1523" s="198"/>
    </row>
    <row r="1524" spans="1:6" x14ac:dyDescent="0.2">
      <c r="A1524" s="857"/>
      <c r="C1524" s="857"/>
      <c r="D1524" s="855"/>
      <c r="E1524" s="857"/>
      <c r="F1524" s="198"/>
    </row>
    <row r="1525" spans="1:6" x14ac:dyDescent="0.2">
      <c r="A1525" s="857"/>
      <c r="C1525" s="857"/>
      <c r="D1525" s="855"/>
      <c r="E1525" s="857"/>
      <c r="F1525" s="198"/>
    </row>
    <row r="1526" spans="1:6" x14ac:dyDescent="0.2">
      <c r="A1526" s="857"/>
      <c r="C1526" s="857"/>
      <c r="D1526" s="855"/>
      <c r="E1526" s="857"/>
      <c r="F1526" s="198"/>
    </row>
    <row r="1527" spans="1:6" x14ac:dyDescent="0.2">
      <c r="A1527" s="857"/>
      <c r="C1527" s="857"/>
      <c r="D1527" s="855"/>
      <c r="E1527" s="857"/>
      <c r="F1527" s="198"/>
    </row>
    <row r="1528" spans="1:6" x14ac:dyDescent="0.2">
      <c r="A1528" s="857"/>
      <c r="C1528" s="857"/>
      <c r="D1528" s="855"/>
      <c r="E1528" s="857"/>
      <c r="F1528" s="198"/>
    </row>
    <row r="1529" spans="1:6" x14ac:dyDescent="0.2">
      <c r="A1529" s="857"/>
      <c r="C1529" s="857"/>
      <c r="D1529" s="855"/>
      <c r="E1529" s="857"/>
      <c r="F1529" s="198"/>
    </row>
    <row r="1530" spans="1:6" x14ac:dyDescent="0.2">
      <c r="A1530" s="857"/>
      <c r="C1530" s="857"/>
      <c r="D1530" s="855"/>
      <c r="E1530" s="857"/>
      <c r="F1530" s="198"/>
    </row>
    <row r="1531" spans="1:6" x14ac:dyDescent="0.2">
      <c r="A1531" s="857"/>
      <c r="C1531" s="857"/>
      <c r="D1531" s="855"/>
      <c r="E1531" s="857"/>
      <c r="F1531" s="198"/>
    </row>
    <row r="1532" spans="1:6" x14ac:dyDescent="0.2">
      <c r="A1532" s="857"/>
      <c r="C1532" s="857"/>
      <c r="D1532" s="855"/>
      <c r="E1532" s="857"/>
      <c r="F1532" s="198"/>
    </row>
    <row r="1533" spans="1:6" x14ac:dyDescent="0.2">
      <c r="A1533" s="857"/>
      <c r="C1533" s="857"/>
      <c r="D1533" s="855"/>
      <c r="E1533" s="857"/>
      <c r="F1533" s="198"/>
    </row>
    <row r="1534" spans="1:6" x14ac:dyDescent="0.2">
      <c r="A1534" s="857"/>
      <c r="C1534" s="857"/>
      <c r="D1534" s="855"/>
      <c r="E1534" s="857"/>
      <c r="F1534" s="198"/>
    </row>
    <row r="1535" spans="1:6" x14ac:dyDescent="0.2">
      <c r="A1535" s="857"/>
      <c r="C1535" s="857"/>
      <c r="D1535" s="855"/>
      <c r="E1535" s="857"/>
      <c r="F1535" s="198"/>
    </row>
    <row r="1536" spans="1:6" x14ac:dyDescent="0.2">
      <c r="A1536" s="857"/>
      <c r="C1536" s="857"/>
      <c r="D1536" s="855"/>
      <c r="E1536" s="857"/>
      <c r="F1536" s="198"/>
    </row>
    <row r="1537" spans="1:6" x14ac:dyDescent="0.2">
      <c r="A1537" s="857"/>
      <c r="C1537" s="857"/>
      <c r="D1537" s="855"/>
      <c r="E1537" s="857"/>
      <c r="F1537" s="198"/>
    </row>
    <row r="1538" spans="1:6" x14ac:dyDescent="0.2">
      <c r="A1538" s="857"/>
      <c r="C1538" s="857"/>
      <c r="D1538" s="855"/>
      <c r="E1538" s="857"/>
      <c r="F1538" s="198"/>
    </row>
    <row r="1539" spans="1:6" x14ac:dyDescent="0.2">
      <c r="A1539" s="857"/>
      <c r="C1539" s="857"/>
      <c r="D1539" s="855"/>
      <c r="E1539" s="857"/>
      <c r="F1539" s="198"/>
    </row>
    <row r="1540" spans="1:6" x14ac:dyDescent="0.2">
      <c r="A1540" s="857"/>
      <c r="C1540" s="857"/>
      <c r="D1540" s="855"/>
      <c r="E1540" s="857"/>
      <c r="F1540" s="198"/>
    </row>
    <row r="1541" spans="1:6" x14ac:dyDescent="0.2">
      <c r="A1541" s="857"/>
      <c r="C1541" s="857"/>
      <c r="D1541" s="855"/>
      <c r="E1541" s="857"/>
      <c r="F1541" s="198"/>
    </row>
    <row r="1542" spans="1:6" x14ac:dyDescent="0.2">
      <c r="A1542" s="857"/>
      <c r="C1542" s="857"/>
      <c r="D1542" s="855"/>
      <c r="E1542" s="857"/>
      <c r="F1542" s="198"/>
    </row>
    <row r="1543" spans="1:6" x14ac:dyDescent="0.2">
      <c r="A1543" s="857"/>
      <c r="C1543" s="857"/>
      <c r="D1543" s="855"/>
      <c r="E1543" s="857"/>
      <c r="F1543" s="198"/>
    </row>
    <row r="1544" spans="1:6" x14ac:dyDescent="0.2">
      <c r="A1544" s="857"/>
      <c r="C1544" s="857"/>
      <c r="D1544" s="855"/>
      <c r="E1544" s="857"/>
      <c r="F1544" s="198"/>
    </row>
    <row r="1545" spans="1:6" x14ac:dyDescent="0.2">
      <c r="A1545" s="857"/>
      <c r="C1545" s="857"/>
      <c r="D1545" s="855"/>
      <c r="E1545" s="857"/>
      <c r="F1545" s="198"/>
    </row>
    <row r="1546" spans="1:6" x14ac:dyDescent="0.2">
      <c r="A1546" s="857"/>
      <c r="C1546" s="857"/>
      <c r="D1546" s="855"/>
      <c r="E1546" s="857"/>
      <c r="F1546" s="198"/>
    </row>
    <row r="1547" spans="1:6" x14ac:dyDescent="0.2">
      <c r="A1547" s="857"/>
      <c r="C1547" s="857"/>
      <c r="D1547" s="855"/>
      <c r="E1547" s="857"/>
      <c r="F1547" s="198"/>
    </row>
    <row r="1548" spans="1:6" x14ac:dyDescent="0.2">
      <c r="A1548" s="857"/>
      <c r="C1548" s="857"/>
      <c r="D1548" s="855"/>
      <c r="E1548" s="857"/>
      <c r="F1548" s="198"/>
    </row>
    <row r="1549" spans="1:6" x14ac:dyDescent="0.2">
      <c r="A1549" s="857"/>
      <c r="C1549" s="857"/>
      <c r="D1549" s="855"/>
      <c r="E1549" s="857"/>
      <c r="F1549" s="198"/>
    </row>
    <row r="1550" spans="1:6" x14ac:dyDescent="0.2">
      <c r="A1550" s="857"/>
      <c r="C1550" s="857"/>
      <c r="D1550" s="855"/>
      <c r="E1550" s="857"/>
      <c r="F1550" s="198"/>
    </row>
    <row r="1551" spans="1:6" x14ac:dyDescent="0.2">
      <c r="A1551" s="857"/>
      <c r="C1551" s="857"/>
      <c r="D1551" s="855"/>
      <c r="E1551" s="857"/>
      <c r="F1551" s="198"/>
    </row>
    <row r="1552" spans="1:6" x14ac:dyDescent="0.2">
      <c r="A1552" s="857"/>
      <c r="C1552" s="857"/>
      <c r="D1552" s="855"/>
      <c r="E1552" s="857"/>
      <c r="F1552" s="198"/>
    </row>
    <row r="1553" spans="1:6" x14ac:dyDescent="0.2">
      <c r="A1553" s="857"/>
      <c r="C1553" s="857"/>
      <c r="D1553" s="855"/>
      <c r="E1553" s="857"/>
      <c r="F1553" s="198"/>
    </row>
    <row r="1554" spans="1:6" x14ac:dyDescent="0.2">
      <c r="A1554" s="857"/>
      <c r="C1554" s="857"/>
      <c r="D1554" s="855"/>
      <c r="E1554" s="857"/>
      <c r="F1554" s="198"/>
    </row>
    <row r="1555" spans="1:6" x14ac:dyDescent="0.2">
      <c r="A1555" s="857"/>
      <c r="C1555" s="857"/>
      <c r="D1555" s="855"/>
      <c r="E1555" s="857"/>
      <c r="F1555" s="198"/>
    </row>
    <row r="1556" spans="1:6" x14ac:dyDescent="0.2">
      <c r="A1556" s="857"/>
      <c r="C1556" s="857"/>
      <c r="D1556" s="855"/>
      <c r="E1556" s="857"/>
      <c r="F1556" s="198"/>
    </row>
    <row r="1557" spans="1:6" x14ac:dyDescent="0.2">
      <c r="A1557" s="857"/>
      <c r="C1557" s="857"/>
      <c r="D1557" s="855"/>
      <c r="E1557" s="857"/>
      <c r="F1557" s="198"/>
    </row>
    <row r="1558" spans="1:6" x14ac:dyDescent="0.2">
      <c r="A1558" s="857"/>
      <c r="C1558" s="857"/>
      <c r="D1558" s="855"/>
      <c r="E1558" s="857"/>
      <c r="F1558" s="198"/>
    </row>
    <row r="1559" spans="1:6" x14ac:dyDescent="0.2">
      <c r="A1559" s="857"/>
      <c r="C1559" s="857"/>
      <c r="D1559" s="855"/>
      <c r="E1559" s="857"/>
      <c r="F1559" s="198"/>
    </row>
    <row r="1560" spans="1:6" x14ac:dyDescent="0.2">
      <c r="A1560" s="857"/>
      <c r="C1560" s="857"/>
      <c r="D1560" s="855"/>
      <c r="E1560" s="857"/>
      <c r="F1560" s="198"/>
    </row>
    <row r="1561" spans="1:6" x14ac:dyDescent="0.2">
      <c r="A1561" s="857"/>
      <c r="C1561" s="857"/>
      <c r="D1561" s="855"/>
      <c r="E1561" s="857"/>
      <c r="F1561" s="198"/>
    </row>
    <row r="1562" spans="1:6" x14ac:dyDescent="0.2">
      <c r="A1562" s="857"/>
      <c r="C1562" s="857"/>
      <c r="D1562" s="855"/>
      <c r="E1562" s="857"/>
      <c r="F1562" s="198"/>
    </row>
    <row r="1563" spans="1:6" x14ac:dyDescent="0.2">
      <c r="A1563" s="857"/>
      <c r="C1563" s="857"/>
      <c r="D1563" s="855"/>
      <c r="E1563" s="857"/>
      <c r="F1563" s="198"/>
    </row>
    <row r="1564" spans="1:6" x14ac:dyDescent="0.2">
      <c r="A1564" s="857"/>
      <c r="C1564" s="857"/>
      <c r="D1564" s="855"/>
      <c r="E1564" s="857"/>
      <c r="F1564" s="198"/>
    </row>
    <row r="1565" spans="1:6" x14ac:dyDescent="0.2">
      <c r="A1565" s="857"/>
      <c r="C1565" s="857"/>
      <c r="D1565" s="855"/>
      <c r="E1565" s="857"/>
      <c r="F1565" s="198"/>
    </row>
    <row r="1566" spans="1:6" x14ac:dyDescent="0.2">
      <c r="A1566" s="857"/>
      <c r="C1566" s="857"/>
      <c r="D1566" s="855"/>
      <c r="E1566" s="857"/>
      <c r="F1566" s="198"/>
    </row>
    <row r="1567" spans="1:6" x14ac:dyDescent="0.2">
      <c r="A1567" s="857"/>
      <c r="C1567" s="857"/>
      <c r="D1567" s="855"/>
      <c r="E1567" s="857"/>
      <c r="F1567" s="198"/>
    </row>
    <row r="1568" spans="1:6" x14ac:dyDescent="0.2">
      <c r="A1568" s="857"/>
      <c r="C1568" s="857"/>
      <c r="D1568" s="855"/>
      <c r="E1568" s="857"/>
      <c r="F1568" s="198"/>
    </row>
    <row r="1569" spans="1:6" x14ac:dyDescent="0.2">
      <c r="A1569" s="857"/>
      <c r="C1569" s="857"/>
      <c r="D1569" s="855"/>
      <c r="E1569" s="857"/>
      <c r="F1569" s="198"/>
    </row>
    <row r="1570" spans="1:6" x14ac:dyDescent="0.2">
      <c r="A1570" s="857"/>
      <c r="C1570" s="857"/>
      <c r="D1570" s="855"/>
      <c r="E1570" s="857"/>
      <c r="F1570" s="198"/>
    </row>
    <row r="1571" spans="1:6" x14ac:dyDescent="0.2">
      <c r="A1571" s="857"/>
      <c r="C1571" s="857"/>
      <c r="D1571" s="855"/>
      <c r="E1571" s="857"/>
      <c r="F1571" s="198"/>
    </row>
    <row r="1572" spans="1:6" x14ac:dyDescent="0.2">
      <c r="A1572" s="857"/>
      <c r="C1572" s="857"/>
      <c r="D1572" s="855"/>
      <c r="E1572" s="857"/>
      <c r="F1572" s="198"/>
    </row>
    <row r="1573" spans="1:6" x14ac:dyDescent="0.2">
      <c r="A1573" s="857"/>
      <c r="C1573" s="857"/>
      <c r="D1573" s="855"/>
      <c r="E1573" s="857"/>
      <c r="F1573" s="198"/>
    </row>
    <row r="1574" spans="1:6" x14ac:dyDescent="0.2">
      <c r="A1574" s="857"/>
      <c r="C1574" s="857"/>
      <c r="D1574" s="855"/>
      <c r="E1574" s="857"/>
      <c r="F1574" s="198"/>
    </row>
    <row r="1575" spans="1:6" x14ac:dyDescent="0.2">
      <c r="A1575" s="857"/>
      <c r="C1575" s="857"/>
      <c r="D1575" s="855"/>
      <c r="E1575" s="857"/>
      <c r="F1575" s="198"/>
    </row>
    <row r="1576" spans="1:6" x14ac:dyDescent="0.2">
      <c r="A1576" s="857"/>
      <c r="C1576" s="857"/>
      <c r="D1576" s="855"/>
      <c r="E1576" s="857"/>
      <c r="F1576" s="198"/>
    </row>
    <row r="1577" spans="1:6" x14ac:dyDescent="0.2">
      <c r="A1577" s="857"/>
      <c r="C1577" s="857"/>
      <c r="D1577" s="855"/>
      <c r="E1577" s="857"/>
      <c r="F1577" s="198"/>
    </row>
    <row r="1578" spans="1:6" x14ac:dyDescent="0.2">
      <c r="A1578" s="857"/>
      <c r="C1578" s="857"/>
      <c r="D1578" s="855"/>
      <c r="E1578" s="857"/>
      <c r="F1578" s="198"/>
    </row>
    <row r="1579" spans="1:6" x14ac:dyDescent="0.2">
      <c r="A1579" s="857"/>
      <c r="C1579" s="857"/>
      <c r="D1579" s="855"/>
      <c r="E1579" s="857"/>
      <c r="F1579" s="198"/>
    </row>
    <row r="1580" spans="1:6" x14ac:dyDescent="0.2">
      <c r="A1580" s="857"/>
      <c r="C1580" s="857"/>
      <c r="D1580" s="855"/>
      <c r="E1580" s="857"/>
      <c r="F1580" s="198"/>
    </row>
    <row r="1581" spans="1:6" x14ac:dyDescent="0.2">
      <c r="A1581" s="857"/>
      <c r="C1581" s="857"/>
      <c r="D1581" s="855"/>
      <c r="E1581" s="857"/>
      <c r="F1581" s="198"/>
    </row>
    <row r="1582" spans="1:6" x14ac:dyDescent="0.2">
      <c r="F1582" s="198"/>
    </row>
    <row r="1583" spans="1:6" x14ac:dyDescent="0.2">
      <c r="A1583" s="857"/>
      <c r="C1583" s="857"/>
      <c r="D1583" s="855"/>
      <c r="E1583" s="857"/>
      <c r="F1583" s="198"/>
    </row>
    <row r="1584" spans="1:6" x14ac:dyDescent="0.2">
      <c r="A1584" s="857"/>
      <c r="C1584" s="857"/>
      <c r="D1584" s="855"/>
      <c r="E1584" s="857"/>
      <c r="F1584" s="198"/>
    </row>
    <row r="1585" spans="1:6" x14ac:dyDescent="0.2">
      <c r="A1585" s="857"/>
      <c r="C1585" s="857"/>
      <c r="D1585" s="855"/>
      <c r="E1585" s="857"/>
      <c r="F1585" s="198"/>
    </row>
    <row r="1586" spans="1:6" x14ac:dyDescent="0.2">
      <c r="A1586" s="857"/>
      <c r="C1586" s="857"/>
      <c r="D1586" s="855"/>
      <c r="E1586" s="857"/>
      <c r="F1586" s="198"/>
    </row>
    <row r="1587" spans="1:6" x14ac:dyDescent="0.2">
      <c r="A1587" s="857"/>
      <c r="C1587" s="857"/>
      <c r="D1587" s="855"/>
      <c r="E1587" s="857"/>
      <c r="F1587" s="198"/>
    </row>
    <row r="1588" spans="1:6" x14ac:dyDescent="0.2">
      <c r="A1588" s="857"/>
      <c r="C1588" s="857"/>
      <c r="D1588" s="855"/>
      <c r="E1588" s="857"/>
      <c r="F1588" s="198"/>
    </row>
    <row r="1589" spans="1:6" x14ac:dyDescent="0.2">
      <c r="A1589" s="857"/>
      <c r="C1589" s="857"/>
      <c r="D1589" s="855"/>
      <c r="E1589" s="857"/>
      <c r="F1589" s="198"/>
    </row>
    <row r="1590" spans="1:6" x14ac:dyDescent="0.2">
      <c r="A1590" s="857"/>
      <c r="C1590" s="857"/>
      <c r="D1590" s="855"/>
      <c r="E1590" s="857"/>
      <c r="F1590" s="198"/>
    </row>
    <row r="1591" spans="1:6" x14ac:dyDescent="0.2">
      <c r="A1591" s="857"/>
      <c r="C1591" s="857"/>
      <c r="D1591" s="855"/>
      <c r="E1591" s="857"/>
      <c r="F1591" s="198"/>
    </row>
    <row r="1592" spans="1:6" x14ac:dyDescent="0.2">
      <c r="A1592" s="857"/>
      <c r="C1592" s="857"/>
      <c r="D1592" s="855"/>
      <c r="E1592" s="857"/>
      <c r="F1592" s="198"/>
    </row>
    <row r="1593" spans="1:6" x14ac:dyDescent="0.2">
      <c r="A1593" s="857"/>
      <c r="C1593" s="857"/>
      <c r="D1593" s="855"/>
      <c r="E1593" s="857"/>
      <c r="F1593" s="198"/>
    </row>
    <row r="1594" spans="1:6" x14ac:dyDescent="0.2">
      <c r="A1594" s="857"/>
      <c r="C1594" s="857"/>
      <c r="D1594" s="855"/>
      <c r="E1594" s="857"/>
      <c r="F1594" s="198"/>
    </row>
    <row r="1595" spans="1:6" x14ac:dyDescent="0.2">
      <c r="A1595" s="857"/>
      <c r="C1595" s="857"/>
      <c r="D1595" s="855"/>
      <c r="E1595" s="857"/>
      <c r="F1595" s="198"/>
    </row>
    <row r="1596" spans="1:6" x14ac:dyDescent="0.2">
      <c r="A1596" s="857"/>
      <c r="C1596" s="857"/>
      <c r="D1596" s="855"/>
      <c r="E1596" s="857"/>
      <c r="F1596" s="198"/>
    </row>
    <row r="1597" spans="1:6" x14ac:dyDescent="0.2">
      <c r="A1597" s="857"/>
      <c r="C1597" s="857"/>
      <c r="D1597" s="855"/>
      <c r="E1597" s="857"/>
      <c r="F1597" s="198"/>
    </row>
    <row r="1599" spans="1:6" x14ac:dyDescent="0.2">
      <c r="A1599" s="857"/>
      <c r="C1599" s="857"/>
      <c r="D1599" s="855"/>
      <c r="E1599" s="857"/>
      <c r="F1599" s="198"/>
    </row>
    <row r="1600" spans="1:6" x14ac:dyDescent="0.2">
      <c r="A1600" s="857"/>
      <c r="C1600" s="857"/>
      <c r="D1600" s="855"/>
      <c r="E1600" s="857"/>
      <c r="F1600" s="198"/>
    </row>
    <row r="1601" spans="1:6" x14ac:dyDescent="0.2">
      <c r="A1601" s="857"/>
      <c r="C1601" s="857"/>
      <c r="D1601" s="855"/>
      <c r="E1601" s="857"/>
      <c r="F1601" s="198"/>
    </row>
    <row r="1602" spans="1:6" x14ac:dyDescent="0.2">
      <c r="A1602" s="857"/>
      <c r="C1602" s="857"/>
      <c r="D1602" s="855"/>
      <c r="E1602" s="857"/>
      <c r="F1602" s="198"/>
    </row>
    <row r="1603" spans="1:6" x14ac:dyDescent="0.2">
      <c r="A1603" s="857"/>
      <c r="C1603" s="857"/>
      <c r="D1603" s="855"/>
      <c r="E1603" s="857"/>
      <c r="F1603" s="198"/>
    </row>
    <row r="1604" spans="1:6" x14ac:dyDescent="0.2">
      <c r="A1604" s="857"/>
      <c r="C1604" s="857"/>
      <c r="D1604" s="855"/>
      <c r="E1604" s="857"/>
      <c r="F1604" s="198"/>
    </row>
    <row r="1605" spans="1:6" x14ac:dyDescent="0.2">
      <c r="A1605" s="857"/>
      <c r="C1605" s="857"/>
      <c r="D1605" s="855"/>
      <c r="E1605" s="857"/>
      <c r="F1605" s="198"/>
    </row>
    <row r="1606" spans="1:6" x14ac:dyDescent="0.2">
      <c r="A1606" s="857"/>
      <c r="C1606" s="857"/>
      <c r="D1606" s="855"/>
      <c r="E1606" s="857"/>
      <c r="F1606" s="198"/>
    </row>
    <row r="1607" spans="1:6" x14ac:dyDescent="0.2">
      <c r="A1607" s="857"/>
      <c r="C1607" s="857"/>
      <c r="D1607" s="855"/>
      <c r="E1607" s="857"/>
      <c r="F1607" s="198"/>
    </row>
    <row r="1608" spans="1:6" x14ac:dyDescent="0.2">
      <c r="A1608" s="857"/>
      <c r="C1608" s="857"/>
      <c r="D1608" s="855"/>
      <c r="E1608" s="857"/>
      <c r="F1608" s="198"/>
    </row>
    <row r="1609" spans="1:6" x14ac:dyDescent="0.2">
      <c r="A1609" s="857"/>
      <c r="C1609" s="857"/>
      <c r="D1609" s="855"/>
      <c r="E1609" s="857"/>
      <c r="F1609" s="198"/>
    </row>
    <row r="1610" spans="1:6" x14ac:dyDescent="0.2">
      <c r="A1610" s="857"/>
      <c r="C1610" s="857"/>
      <c r="D1610" s="855"/>
      <c r="E1610" s="857"/>
      <c r="F1610" s="198"/>
    </row>
    <row r="1611" spans="1:6" x14ac:dyDescent="0.2">
      <c r="A1611" s="857"/>
      <c r="C1611" s="857"/>
      <c r="D1611" s="855"/>
      <c r="E1611" s="857"/>
      <c r="F1611" s="198"/>
    </row>
    <row r="1612" spans="1:6" x14ac:dyDescent="0.2">
      <c r="A1612" s="857"/>
      <c r="C1612" s="857"/>
      <c r="D1612" s="855"/>
      <c r="E1612" s="857"/>
      <c r="F1612" s="198"/>
    </row>
    <row r="1613" spans="1:6" x14ac:dyDescent="0.2">
      <c r="A1613" s="857"/>
      <c r="C1613" s="857"/>
      <c r="D1613" s="855"/>
      <c r="E1613" s="857"/>
      <c r="F1613" s="198"/>
    </row>
    <row r="1614" spans="1:6" x14ac:dyDescent="0.2">
      <c r="A1614" s="857"/>
      <c r="C1614" s="857"/>
      <c r="D1614" s="855"/>
      <c r="E1614" s="857"/>
    </row>
    <row r="1615" spans="1:6" x14ac:dyDescent="0.2">
      <c r="A1615" s="857"/>
      <c r="C1615" s="857"/>
      <c r="D1615" s="855"/>
      <c r="E1615" s="857"/>
      <c r="F1615" s="198"/>
    </row>
    <row r="1616" spans="1:6" x14ac:dyDescent="0.2">
      <c r="A1616" s="857"/>
      <c r="C1616" s="857"/>
      <c r="D1616" s="855"/>
      <c r="E1616" s="857"/>
      <c r="F1616" s="198"/>
    </row>
    <row r="1617" spans="1:6" x14ac:dyDescent="0.2">
      <c r="A1617" s="857"/>
      <c r="C1617" s="857"/>
      <c r="D1617" s="855"/>
      <c r="E1617" s="857"/>
      <c r="F1617" s="198"/>
    </row>
    <row r="1618" spans="1:6" x14ac:dyDescent="0.2">
      <c r="A1618" s="857"/>
      <c r="C1618" s="857"/>
      <c r="D1618" s="855"/>
      <c r="E1618" s="857"/>
      <c r="F1618" s="198"/>
    </row>
    <row r="1619" spans="1:6" x14ac:dyDescent="0.2">
      <c r="A1619" s="857"/>
      <c r="C1619" s="857"/>
      <c r="D1619" s="855"/>
      <c r="E1619" s="857"/>
      <c r="F1619" s="198"/>
    </row>
    <row r="1620" spans="1:6" x14ac:dyDescent="0.2">
      <c r="A1620" s="857"/>
      <c r="C1620" s="857"/>
      <c r="D1620" s="855"/>
      <c r="E1620" s="857"/>
      <c r="F1620" s="198"/>
    </row>
    <row r="1621" spans="1:6" x14ac:dyDescent="0.2">
      <c r="A1621" s="857"/>
      <c r="C1621" s="857"/>
      <c r="D1621" s="855"/>
      <c r="E1621" s="857"/>
      <c r="F1621" s="198"/>
    </row>
    <row r="1622" spans="1:6" x14ac:dyDescent="0.2">
      <c r="A1622" s="857"/>
      <c r="C1622" s="857"/>
      <c r="D1622" s="855"/>
      <c r="E1622" s="857"/>
      <c r="F1622" s="198"/>
    </row>
    <row r="1623" spans="1:6" x14ac:dyDescent="0.2">
      <c r="A1623" s="857"/>
      <c r="C1623" s="857"/>
      <c r="D1623" s="855"/>
      <c r="E1623" s="857"/>
      <c r="F1623" s="198"/>
    </row>
    <row r="1624" spans="1:6" x14ac:dyDescent="0.2">
      <c r="A1624" s="857"/>
      <c r="C1624" s="857"/>
      <c r="D1624" s="855"/>
      <c r="E1624" s="857"/>
      <c r="F1624" s="198"/>
    </row>
    <row r="1625" spans="1:6" x14ac:dyDescent="0.2">
      <c r="A1625" s="857"/>
      <c r="C1625" s="857"/>
      <c r="D1625" s="855"/>
      <c r="E1625" s="857"/>
      <c r="F1625" s="198"/>
    </row>
    <row r="1626" spans="1:6" x14ac:dyDescent="0.2">
      <c r="A1626" s="857"/>
      <c r="C1626" s="857"/>
      <c r="D1626" s="855"/>
      <c r="E1626" s="857"/>
      <c r="F1626" s="198"/>
    </row>
    <row r="1627" spans="1:6" x14ac:dyDescent="0.2">
      <c r="A1627" s="857"/>
      <c r="C1627" s="857"/>
      <c r="D1627" s="855"/>
      <c r="E1627" s="857"/>
      <c r="F1627" s="198"/>
    </row>
    <row r="1628" spans="1:6" x14ac:dyDescent="0.2">
      <c r="A1628" s="857"/>
      <c r="C1628" s="857"/>
      <c r="D1628" s="855"/>
      <c r="E1628" s="857"/>
      <c r="F1628" s="198"/>
    </row>
    <row r="1629" spans="1:6" x14ac:dyDescent="0.2">
      <c r="A1629" s="857"/>
      <c r="C1629" s="857"/>
      <c r="D1629" s="855"/>
      <c r="E1629" s="857"/>
      <c r="F1629" s="198"/>
    </row>
    <row r="1630" spans="1:6" x14ac:dyDescent="0.2">
      <c r="A1630" s="857"/>
      <c r="C1630" s="857"/>
      <c r="D1630" s="855"/>
      <c r="E1630" s="857"/>
      <c r="F1630" s="198"/>
    </row>
    <row r="1631" spans="1:6" x14ac:dyDescent="0.2">
      <c r="F1631" s="198"/>
    </row>
    <row r="1632" spans="1:6" x14ac:dyDescent="0.2">
      <c r="F1632" s="198"/>
    </row>
    <row r="1633" spans="1:6" x14ac:dyDescent="0.2">
      <c r="A1633" s="857"/>
      <c r="C1633" s="857"/>
      <c r="D1633" s="855"/>
      <c r="E1633" s="857"/>
      <c r="F1633" s="198"/>
    </row>
    <row r="1634" spans="1:6" x14ac:dyDescent="0.2">
      <c r="A1634" s="857"/>
      <c r="C1634" s="857"/>
      <c r="D1634" s="855"/>
      <c r="E1634" s="857"/>
      <c r="F1634" s="198"/>
    </row>
    <row r="1635" spans="1:6" x14ac:dyDescent="0.2">
      <c r="F1635" s="198"/>
    </row>
    <row r="1636" spans="1:6" x14ac:dyDescent="0.2">
      <c r="F1636" s="198"/>
    </row>
    <row r="1637" spans="1:6" x14ac:dyDescent="0.2">
      <c r="F1637" s="198"/>
    </row>
    <row r="1638" spans="1:6" x14ac:dyDescent="0.2">
      <c r="F1638" s="198"/>
    </row>
    <row r="1639" spans="1:6" x14ac:dyDescent="0.2">
      <c r="F1639" s="198"/>
    </row>
    <row r="1640" spans="1:6" x14ac:dyDescent="0.2">
      <c r="F1640" s="198"/>
    </row>
    <row r="1641" spans="1:6" x14ac:dyDescent="0.2">
      <c r="F1641" s="198"/>
    </row>
    <row r="1642" spans="1:6" x14ac:dyDescent="0.2">
      <c r="F1642" s="198"/>
    </row>
    <row r="1643" spans="1:6" x14ac:dyDescent="0.2">
      <c r="F1643" s="198"/>
    </row>
    <row r="1644" spans="1:6" x14ac:dyDescent="0.2">
      <c r="F1644" s="198"/>
    </row>
    <row r="1645" spans="1:6" x14ac:dyDescent="0.2">
      <c r="F1645" s="198"/>
    </row>
    <row r="1646" spans="1:6" x14ac:dyDescent="0.2">
      <c r="F1646" s="198"/>
    </row>
    <row r="1649" spans="6:6" x14ac:dyDescent="0.2">
      <c r="F1649" s="198"/>
    </row>
    <row r="1650" spans="6:6" x14ac:dyDescent="0.2">
      <c r="F1650" s="198"/>
    </row>
  </sheetData>
  <mergeCells count="1">
    <mergeCell ref="A1474:B1474"/>
  </mergeCells>
  <pageMargins left="0.511811024" right="0.511811024" top="0.78740157499999996" bottom="0.78740157499999996" header="0.31496062000000002" footer="0.31496062000000002"/>
  <pageSetup paperSize="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111"/>
  <sheetViews>
    <sheetView workbookViewId="0">
      <selection activeCell="A10" sqref="A10:XFD10"/>
    </sheetView>
  </sheetViews>
  <sheetFormatPr defaultColWidth="6.625" defaultRowHeight="15" x14ac:dyDescent="0.25"/>
  <cols>
    <col min="1" max="1" width="6.625" style="209"/>
    <col min="2" max="2" width="74.625" style="809" bestFit="1" customWidth="1"/>
    <col min="3" max="3" width="12.875" style="210" customWidth="1"/>
    <col min="4" max="4" width="12.875" style="209" customWidth="1"/>
    <col min="5" max="7" width="12.875" style="210" customWidth="1"/>
    <col min="8" max="16384" width="6.625" style="415"/>
  </cols>
  <sheetData>
    <row r="1" spans="1:7" x14ac:dyDescent="0.25">
      <c r="A1" s="544" t="s">
        <v>2478</v>
      </c>
      <c r="G1" s="206" t="s">
        <v>2479</v>
      </c>
    </row>
    <row r="2" spans="1:7" ht="31.5" x14ac:dyDescent="0.2">
      <c r="A2" s="211" t="s">
        <v>0</v>
      </c>
      <c r="B2" s="810" t="s">
        <v>288</v>
      </c>
      <c r="C2" s="207" t="s">
        <v>193</v>
      </c>
      <c r="D2" s="207" t="s">
        <v>979</v>
      </c>
      <c r="E2" s="207" t="s">
        <v>980</v>
      </c>
      <c r="F2" s="207" t="s">
        <v>981</v>
      </c>
      <c r="G2" s="207" t="s">
        <v>982</v>
      </c>
    </row>
    <row r="3" spans="1:7" ht="14.25" x14ac:dyDescent="0.2">
      <c r="A3" s="859">
        <v>30041</v>
      </c>
      <c r="B3" s="813" t="s">
        <v>2480</v>
      </c>
      <c r="C3" s="860"/>
      <c r="D3" s="861">
        <v>54</v>
      </c>
      <c r="E3" s="818" t="s">
        <v>2481</v>
      </c>
      <c r="F3" s="815">
        <v>197.82</v>
      </c>
      <c r="G3" s="815">
        <v>100.1</v>
      </c>
    </row>
    <row r="4" spans="1:7" ht="14.25" x14ac:dyDescent="0.2">
      <c r="A4" s="859">
        <v>30047</v>
      </c>
      <c r="B4" s="813" t="s">
        <v>2482</v>
      </c>
      <c r="C4" s="814" t="s">
        <v>1948</v>
      </c>
      <c r="D4" s="861">
        <v>9</v>
      </c>
      <c r="E4" s="818" t="s">
        <v>2481</v>
      </c>
      <c r="F4" s="815">
        <v>8.6300000000000008</v>
      </c>
      <c r="G4" s="815">
        <v>1.1499999999999999</v>
      </c>
    </row>
    <row r="5" spans="1:7" ht="14.25" x14ac:dyDescent="0.2">
      <c r="A5" s="859">
        <v>30140</v>
      </c>
      <c r="B5" s="813" t="s">
        <v>2483</v>
      </c>
      <c r="C5" s="860"/>
      <c r="D5" s="861">
        <v>4</v>
      </c>
      <c r="E5" s="818" t="s">
        <v>2481</v>
      </c>
      <c r="F5" s="815">
        <v>26.56</v>
      </c>
      <c r="G5" s="815">
        <v>21.48</v>
      </c>
    </row>
    <row r="6" spans="1:7" ht="14.25" x14ac:dyDescent="0.2">
      <c r="A6" s="859">
        <v>101529</v>
      </c>
      <c r="B6" s="813" t="s">
        <v>2484</v>
      </c>
      <c r="C6" s="860"/>
      <c r="D6" s="861">
        <v>60</v>
      </c>
      <c r="E6" s="818" t="s">
        <v>2485</v>
      </c>
      <c r="F6" s="815">
        <v>31.65</v>
      </c>
      <c r="G6" s="815">
        <v>27.08</v>
      </c>
    </row>
    <row r="7" spans="1:7" ht="14.25" x14ac:dyDescent="0.2">
      <c r="A7" s="859">
        <v>30102</v>
      </c>
      <c r="B7" s="813" t="s">
        <v>2486</v>
      </c>
      <c r="C7" s="814" t="s">
        <v>1948</v>
      </c>
      <c r="D7" s="861">
        <v>99</v>
      </c>
      <c r="E7" s="818" t="s">
        <v>2485</v>
      </c>
      <c r="F7" s="815">
        <v>197.01</v>
      </c>
      <c r="G7" s="815">
        <v>33.72</v>
      </c>
    </row>
    <row r="8" spans="1:7" ht="14.25" x14ac:dyDescent="0.2">
      <c r="A8" s="859">
        <v>30101</v>
      </c>
      <c r="B8" s="813" t="s">
        <v>2487</v>
      </c>
      <c r="C8" s="860"/>
      <c r="D8" s="861">
        <v>52</v>
      </c>
      <c r="E8" s="818" t="s">
        <v>2485</v>
      </c>
      <c r="F8" s="815">
        <v>112.47</v>
      </c>
      <c r="G8" s="815">
        <v>27.63</v>
      </c>
    </row>
    <row r="9" spans="1:7" ht="14.25" x14ac:dyDescent="0.2">
      <c r="A9" s="859">
        <v>30134</v>
      </c>
      <c r="B9" s="813" t="s">
        <v>2488</v>
      </c>
      <c r="C9" s="860"/>
      <c r="D9" s="861">
        <v>15</v>
      </c>
      <c r="E9" s="818" t="s">
        <v>2485</v>
      </c>
      <c r="F9" s="815">
        <v>32.880000000000003</v>
      </c>
      <c r="G9" s="815">
        <v>18.39</v>
      </c>
    </row>
    <row r="10" spans="1:7" ht="14.25" x14ac:dyDescent="0.2">
      <c r="A10" s="859">
        <v>30078</v>
      </c>
      <c r="B10" s="813" t="s">
        <v>2489</v>
      </c>
      <c r="C10" s="814" t="s">
        <v>1948</v>
      </c>
      <c r="D10" s="861">
        <v>90</v>
      </c>
      <c r="E10" s="818" t="s">
        <v>2481</v>
      </c>
      <c r="F10" s="815">
        <v>145.72</v>
      </c>
      <c r="G10" s="815">
        <v>57.73</v>
      </c>
    </row>
    <row r="11" spans="1:7" ht="14.25" x14ac:dyDescent="0.2">
      <c r="A11" s="859">
        <v>30070</v>
      </c>
      <c r="B11" s="813" t="s">
        <v>2490</v>
      </c>
      <c r="C11" s="860"/>
      <c r="D11" s="861">
        <v>5</v>
      </c>
      <c r="E11" s="818" t="s">
        <v>2491</v>
      </c>
      <c r="F11" s="815">
        <v>24.55</v>
      </c>
      <c r="G11" s="815">
        <v>19.8</v>
      </c>
    </row>
    <row r="12" spans="1:7" ht="14.25" x14ac:dyDescent="0.2">
      <c r="A12" s="859">
        <v>30081</v>
      </c>
      <c r="B12" s="813" t="s">
        <v>2492</v>
      </c>
      <c r="C12" s="860"/>
      <c r="D12" s="861">
        <v>4</v>
      </c>
      <c r="E12" s="818" t="s">
        <v>2491</v>
      </c>
      <c r="F12" s="815">
        <v>14.59</v>
      </c>
      <c r="G12" s="815">
        <v>11.88</v>
      </c>
    </row>
    <row r="13" spans="1:7" ht="14.25" x14ac:dyDescent="0.2">
      <c r="A13" s="859">
        <v>30072</v>
      </c>
      <c r="B13" s="813" t="s">
        <v>2493</v>
      </c>
      <c r="C13" s="860"/>
      <c r="D13" s="861">
        <v>100</v>
      </c>
      <c r="E13" s="818" t="s">
        <v>2481</v>
      </c>
      <c r="F13" s="815">
        <v>147.57</v>
      </c>
      <c r="G13" s="815">
        <v>49.01</v>
      </c>
    </row>
    <row r="14" spans="1:7" ht="14.25" x14ac:dyDescent="0.2">
      <c r="A14" s="859">
        <v>30088</v>
      </c>
      <c r="B14" s="813" t="s">
        <v>2494</v>
      </c>
      <c r="C14" s="860"/>
      <c r="D14" s="861">
        <v>27</v>
      </c>
      <c r="E14" s="818" t="s">
        <v>2481</v>
      </c>
      <c r="F14" s="815">
        <v>68.2</v>
      </c>
      <c r="G14" s="815">
        <v>39.1</v>
      </c>
    </row>
    <row r="15" spans="1:7" ht="14.25" x14ac:dyDescent="0.2">
      <c r="A15" s="859">
        <v>30113</v>
      </c>
      <c r="B15" s="813" t="s">
        <v>2495</v>
      </c>
      <c r="C15" s="814" t="s">
        <v>1948</v>
      </c>
      <c r="D15" s="861">
        <v>12</v>
      </c>
      <c r="E15" s="818" t="s">
        <v>2481</v>
      </c>
      <c r="F15" s="815">
        <v>26.09</v>
      </c>
      <c r="G15" s="815">
        <v>15.11</v>
      </c>
    </row>
    <row r="16" spans="1:7" ht="14.25" x14ac:dyDescent="0.2">
      <c r="A16" s="859">
        <v>101461</v>
      </c>
      <c r="B16" s="813" t="s">
        <v>2496</v>
      </c>
      <c r="C16" s="814" t="s">
        <v>1240</v>
      </c>
      <c r="D16" s="861">
        <v>22</v>
      </c>
      <c r="E16" s="818" t="s">
        <v>2491</v>
      </c>
      <c r="F16" s="815">
        <v>84.93</v>
      </c>
      <c r="G16" s="815">
        <v>51.12</v>
      </c>
    </row>
    <row r="17" spans="1:7" ht="14.25" x14ac:dyDescent="0.2">
      <c r="A17" s="859">
        <v>30002</v>
      </c>
      <c r="B17" s="813" t="s">
        <v>2497</v>
      </c>
      <c r="C17" s="814" t="s">
        <v>1948</v>
      </c>
      <c r="D17" s="861">
        <v>184</v>
      </c>
      <c r="E17" s="818" t="s">
        <v>2481</v>
      </c>
      <c r="F17" s="815">
        <v>189.79</v>
      </c>
      <c r="G17" s="815">
        <v>48.49</v>
      </c>
    </row>
    <row r="18" spans="1:7" ht="14.25" x14ac:dyDescent="0.2">
      <c r="A18" s="859">
        <v>30131</v>
      </c>
      <c r="B18" s="813" t="s">
        <v>2498</v>
      </c>
      <c r="C18" s="814" t="s">
        <v>1948</v>
      </c>
      <c r="D18" s="861">
        <v>200</v>
      </c>
      <c r="E18" s="818" t="s">
        <v>2481</v>
      </c>
      <c r="F18" s="815">
        <v>98.67</v>
      </c>
      <c r="G18" s="815">
        <v>62.86</v>
      </c>
    </row>
    <row r="19" spans="1:7" ht="14.25" x14ac:dyDescent="0.2">
      <c r="A19" s="859">
        <v>30000</v>
      </c>
      <c r="B19" s="813" t="s">
        <v>2499</v>
      </c>
      <c r="C19" s="814" t="s">
        <v>1948</v>
      </c>
      <c r="D19" s="861">
        <v>150</v>
      </c>
      <c r="E19" s="818" t="s">
        <v>2481</v>
      </c>
      <c r="F19" s="815">
        <v>157.28</v>
      </c>
      <c r="G19" s="815">
        <v>42.91</v>
      </c>
    </row>
    <row r="20" spans="1:7" ht="14.25" x14ac:dyDescent="0.2">
      <c r="A20" s="859">
        <v>30001</v>
      </c>
      <c r="B20" s="813" t="s">
        <v>2500</v>
      </c>
      <c r="C20" s="814" t="s">
        <v>1948</v>
      </c>
      <c r="D20" s="861">
        <v>150</v>
      </c>
      <c r="E20" s="818" t="s">
        <v>2481</v>
      </c>
      <c r="F20" s="815">
        <v>167.31</v>
      </c>
      <c r="G20" s="815">
        <v>48.22</v>
      </c>
    </row>
    <row r="21" spans="1:7" ht="14.25" x14ac:dyDescent="0.2">
      <c r="A21" s="859">
        <v>30005</v>
      </c>
      <c r="B21" s="813" t="s">
        <v>2501</v>
      </c>
      <c r="C21" s="814" t="s">
        <v>1948</v>
      </c>
      <c r="D21" s="861">
        <v>150</v>
      </c>
      <c r="E21" s="818" t="s">
        <v>2481</v>
      </c>
      <c r="F21" s="815">
        <v>151.94999999999999</v>
      </c>
      <c r="G21" s="815">
        <v>41.15</v>
      </c>
    </row>
    <row r="22" spans="1:7" ht="14.25" x14ac:dyDescent="0.2">
      <c r="A22" s="859">
        <v>30006</v>
      </c>
      <c r="B22" s="813" t="s">
        <v>2502</v>
      </c>
      <c r="C22" s="814" t="s">
        <v>1948</v>
      </c>
      <c r="D22" s="861">
        <v>150</v>
      </c>
      <c r="E22" s="818" t="s">
        <v>2481</v>
      </c>
      <c r="F22" s="815">
        <v>159.35</v>
      </c>
      <c r="G22" s="815">
        <v>45.32</v>
      </c>
    </row>
    <row r="23" spans="1:7" ht="14.25" x14ac:dyDescent="0.2">
      <c r="A23" s="859">
        <v>30004</v>
      </c>
      <c r="B23" s="813" t="s">
        <v>2503</v>
      </c>
      <c r="C23" s="814" t="s">
        <v>1948</v>
      </c>
      <c r="D23" s="861">
        <v>143</v>
      </c>
      <c r="E23" s="818" t="s">
        <v>2481</v>
      </c>
      <c r="F23" s="815">
        <v>140.51</v>
      </c>
      <c r="G23" s="815">
        <v>37.26</v>
      </c>
    </row>
    <row r="24" spans="1:7" ht="14.25" x14ac:dyDescent="0.2">
      <c r="A24" s="859">
        <v>30010</v>
      </c>
      <c r="B24" s="813" t="s">
        <v>2504</v>
      </c>
      <c r="C24" s="814" t="s">
        <v>1948</v>
      </c>
      <c r="D24" s="861">
        <v>180</v>
      </c>
      <c r="E24" s="818" t="s">
        <v>2481</v>
      </c>
      <c r="F24" s="815">
        <v>208.74</v>
      </c>
      <c r="G24" s="815">
        <v>65.78</v>
      </c>
    </row>
    <row r="25" spans="1:7" ht="14.25" x14ac:dyDescent="0.2">
      <c r="A25" s="859">
        <v>30007</v>
      </c>
      <c r="B25" s="813" t="s">
        <v>2505</v>
      </c>
      <c r="C25" s="814" t="s">
        <v>1948</v>
      </c>
      <c r="D25" s="861">
        <v>150</v>
      </c>
      <c r="E25" s="818" t="s">
        <v>2481</v>
      </c>
      <c r="F25" s="815">
        <v>155.91</v>
      </c>
      <c r="G25" s="815">
        <v>43.38</v>
      </c>
    </row>
    <row r="26" spans="1:7" ht="14.25" x14ac:dyDescent="0.2">
      <c r="A26" s="859">
        <v>30023</v>
      </c>
      <c r="B26" s="813" t="s">
        <v>2506</v>
      </c>
      <c r="C26" s="814" t="s">
        <v>1948</v>
      </c>
      <c r="D26" s="861">
        <v>145</v>
      </c>
      <c r="E26" s="818" t="s">
        <v>2481</v>
      </c>
      <c r="F26" s="815">
        <v>204.45</v>
      </c>
      <c r="G26" s="815">
        <v>66.489999999999995</v>
      </c>
    </row>
    <row r="27" spans="1:7" ht="14.25" x14ac:dyDescent="0.2">
      <c r="A27" s="859">
        <v>30024</v>
      </c>
      <c r="B27" s="813" t="s">
        <v>2507</v>
      </c>
      <c r="C27" s="814" t="s">
        <v>1948</v>
      </c>
      <c r="D27" s="861">
        <v>170</v>
      </c>
      <c r="E27" s="818" t="s">
        <v>2481</v>
      </c>
      <c r="F27" s="815">
        <v>333.85</v>
      </c>
      <c r="G27" s="815">
        <v>132.1</v>
      </c>
    </row>
    <row r="28" spans="1:7" ht="14.25" x14ac:dyDescent="0.2">
      <c r="A28" s="859">
        <v>30008</v>
      </c>
      <c r="B28" s="813" t="s">
        <v>2508</v>
      </c>
      <c r="C28" s="814" t="s">
        <v>1948</v>
      </c>
      <c r="D28" s="861">
        <v>360</v>
      </c>
      <c r="E28" s="818" t="s">
        <v>2481</v>
      </c>
      <c r="F28" s="815">
        <v>328.64</v>
      </c>
      <c r="G28" s="815">
        <v>62.11</v>
      </c>
    </row>
    <row r="29" spans="1:7" ht="14.25" x14ac:dyDescent="0.2">
      <c r="A29" s="859">
        <v>30076</v>
      </c>
      <c r="B29" s="813" t="s">
        <v>2509</v>
      </c>
      <c r="C29" s="860"/>
      <c r="D29" s="861">
        <v>0</v>
      </c>
      <c r="E29" s="818" t="s">
        <v>2491</v>
      </c>
      <c r="F29" s="815">
        <v>0.18</v>
      </c>
      <c r="G29" s="815">
        <v>0.12</v>
      </c>
    </row>
    <row r="30" spans="1:7" ht="14.25" x14ac:dyDescent="0.2">
      <c r="A30" s="859">
        <v>30075</v>
      </c>
      <c r="B30" s="813" t="s">
        <v>2510</v>
      </c>
      <c r="C30" s="860"/>
      <c r="D30" s="861">
        <v>6</v>
      </c>
      <c r="E30" s="818" t="s">
        <v>2485</v>
      </c>
      <c r="F30" s="815">
        <v>14.38</v>
      </c>
      <c r="G30" s="815">
        <v>12.6</v>
      </c>
    </row>
    <row r="31" spans="1:7" ht="14.25" x14ac:dyDescent="0.2">
      <c r="A31" s="859">
        <v>30059</v>
      </c>
      <c r="B31" s="813" t="s">
        <v>2511</v>
      </c>
      <c r="C31" s="860"/>
      <c r="D31" s="861">
        <v>119</v>
      </c>
      <c r="E31" s="818" t="s">
        <v>2481</v>
      </c>
      <c r="F31" s="815">
        <v>108.95</v>
      </c>
      <c r="G31" s="815">
        <v>19.77</v>
      </c>
    </row>
    <row r="32" spans="1:7" ht="14.25" x14ac:dyDescent="0.2">
      <c r="A32" s="859">
        <v>30060</v>
      </c>
      <c r="B32" s="813" t="s">
        <v>2512</v>
      </c>
      <c r="C32" s="860"/>
      <c r="D32" s="861">
        <v>180</v>
      </c>
      <c r="E32" s="818" t="s">
        <v>2481</v>
      </c>
      <c r="F32" s="815">
        <v>163.12</v>
      </c>
      <c r="G32" s="815">
        <v>25.87</v>
      </c>
    </row>
    <row r="33" spans="1:7" ht="14.25" x14ac:dyDescent="0.2">
      <c r="A33" s="859">
        <v>30116</v>
      </c>
      <c r="B33" s="813" t="s">
        <v>2513</v>
      </c>
      <c r="C33" s="814" t="s">
        <v>1948</v>
      </c>
      <c r="D33" s="861">
        <v>12</v>
      </c>
      <c r="E33" s="818" t="s">
        <v>2491</v>
      </c>
      <c r="F33" s="815">
        <v>19.7</v>
      </c>
      <c r="G33" s="815">
        <v>11.79</v>
      </c>
    </row>
    <row r="34" spans="1:7" ht="14.25" x14ac:dyDescent="0.2">
      <c r="A34" s="859">
        <v>30126</v>
      </c>
      <c r="B34" s="813" t="s">
        <v>2514</v>
      </c>
      <c r="C34" s="814" t="s">
        <v>1948</v>
      </c>
      <c r="D34" s="861">
        <v>0</v>
      </c>
      <c r="E34" s="818" t="s">
        <v>2481</v>
      </c>
      <c r="F34" s="815">
        <v>43.03</v>
      </c>
      <c r="G34" s="815">
        <v>37.11</v>
      </c>
    </row>
    <row r="35" spans="1:7" ht="14.25" x14ac:dyDescent="0.2">
      <c r="A35" s="859">
        <v>30117</v>
      </c>
      <c r="B35" s="813" t="s">
        <v>2515</v>
      </c>
      <c r="C35" s="814" t="s">
        <v>1948</v>
      </c>
      <c r="D35" s="861">
        <v>10</v>
      </c>
      <c r="E35" s="818" t="s">
        <v>2491</v>
      </c>
      <c r="F35" s="815">
        <v>18.37</v>
      </c>
      <c r="G35" s="815">
        <v>11.77</v>
      </c>
    </row>
    <row r="36" spans="1:7" ht="14.25" x14ac:dyDescent="0.2">
      <c r="A36" s="859">
        <v>30080</v>
      </c>
      <c r="B36" s="813" t="s">
        <v>2516</v>
      </c>
      <c r="C36" s="860"/>
      <c r="D36" s="861">
        <v>8</v>
      </c>
      <c r="E36" s="818" t="s">
        <v>2481</v>
      </c>
      <c r="F36" s="815">
        <v>18.05</v>
      </c>
      <c r="G36" s="815">
        <v>12.15</v>
      </c>
    </row>
    <row r="37" spans="1:7" ht="14.25" x14ac:dyDescent="0.2">
      <c r="A37" s="859">
        <v>30145</v>
      </c>
      <c r="B37" s="813" t="s">
        <v>2517</v>
      </c>
      <c r="C37" s="814" t="s">
        <v>1948</v>
      </c>
      <c r="D37" s="861">
        <v>90</v>
      </c>
      <c r="E37" s="818" t="s">
        <v>2491</v>
      </c>
      <c r="F37" s="815">
        <v>851.44</v>
      </c>
      <c r="G37" s="815">
        <v>496.52</v>
      </c>
    </row>
    <row r="38" spans="1:7" ht="14.25" x14ac:dyDescent="0.2">
      <c r="A38" s="859">
        <v>30092</v>
      </c>
      <c r="B38" s="813" t="s">
        <v>2518</v>
      </c>
      <c r="C38" s="860"/>
      <c r="D38" s="861">
        <v>46</v>
      </c>
      <c r="E38" s="818" t="s">
        <v>2485</v>
      </c>
      <c r="F38" s="815">
        <v>198.7</v>
      </c>
      <c r="G38" s="815">
        <v>96.36</v>
      </c>
    </row>
    <row r="39" spans="1:7" ht="14.25" x14ac:dyDescent="0.2">
      <c r="A39" s="859">
        <v>30053</v>
      </c>
      <c r="B39" s="813" t="s">
        <v>2519</v>
      </c>
      <c r="C39" s="814" t="s">
        <v>1948</v>
      </c>
      <c r="D39" s="861">
        <v>0</v>
      </c>
      <c r="E39" s="818" t="s">
        <v>2481</v>
      </c>
      <c r="F39" s="815">
        <v>5.0599999999999996</v>
      </c>
      <c r="G39" s="815">
        <v>3.69</v>
      </c>
    </row>
    <row r="40" spans="1:7" ht="14.25" x14ac:dyDescent="0.2">
      <c r="A40" s="859">
        <v>30009</v>
      </c>
      <c r="B40" s="813" t="s">
        <v>2520</v>
      </c>
      <c r="C40" s="814" t="s">
        <v>1948</v>
      </c>
      <c r="D40" s="861">
        <v>150</v>
      </c>
      <c r="E40" s="818" t="s">
        <v>2481</v>
      </c>
      <c r="F40" s="815">
        <v>163.12</v>
      </c>
      <c r="G40" s="815">
        <v>52.9</v>
      </c>
    </row>
    <row r="41" spans="1:7" ht="14.25" x14ac:dyDescent="0.2">
      <c r="A41" s="859">
        <v>30012</v>
      </c>
      <c r="B41" s="813" t="s">
        <v>2521</v>
      </c>
      <c r="C41" s="814" t="s">
        <v>1948</v>
      </c>
      <c r="D41" s="861">
        <v>185</v>
      </c>
      <c r="E41" s="818" t="s">
        <v>2481</v>
      </c>
      <c r="F41" s="815">
        <v>254.31</v>
      </c>
      <c r="G41" s="815">
        <v>90.75</v>
      </c>
    </row>
    <row r="42" spans="1:7" ht="14.25" x14ac:dyDescent="0.2">
      <c r="A42" s="859">
        <v>30109</v>
      </c>
      <c r="B42" s="813" t="s">
        <v>2522</v>
      </c>
      <c r="C42" s="814" t="s">
        <v>1948</v>
      </c>
      <c r="D42" s="861">
        <v>145</v>
      </c>
      <c r="E42" s="818" t="s">
        <v>2481</v>
      </c>
      <c r="F42" s="815">
        <v>173.63</v>
      </c>
      <c r="G42" s="815">
        <v>64.83</v>
      </c>
    </row>
    <row r="43" spans="1:7" ht="14.25" x14ac:dyDescent="0.2">
      <c r="A43" s="859">
        <v>30044</v>
      </c>
      <c r="B43" s="813" t="s">
        <v>2523</v>
      </c>
      <c r="C43" s="814" t="s">
        <v>1948</v>
      </c>
      <c r="D43" s="861">
        <v>168</v>
      </c>
      <c r="E43" s="818" t="s">
        <v>2481</v>
      </c>
      <c r="F43" s="815">
        <v>202.43</v>
      </c>
      <c r="G43" s="815">
        <v>48.16</v>
      </c>
    </row>
    <row r="44" spans="1:7" ht="14.25" x14ac:dyDescent="0.2">
      <c r="A44" s="859">
        <v>30025</v>
      </c>
      <c r="B44" s="813" t="s">
        <v>2524</v>
      </c>
      <c r="C44" s="860"/>
      <c r="D44" s="861">
        <v>106</v>
      </c>
      <c r="E44" s="818" t="s">
        <v>2481</v>
      </c>
      <c r="F44" s="815">
        <v>193.66</v>
      </c>
      <c r="G44" s="815">
        <v>79.11</v>
      </c>
    </row>
    <row r="45" spans="1:7" ht="14.25" x14ac:dyDescent="0.2">
      <c r="A45" s="859">
        <v>30098</v>
      </c>
      <c r="B45" s="813" t="s">
        <v>2525</v>
      </c>
      <c r="C45" s="860"/>
      <c r="D45" s="861">
        <v>2</v>
      </c>
      <c r="E45" s="818" t="s">
        <v>2491</v>
      </c>
      <c r="F45" s="815">
        <v>24.25</v>
      </c>
      <c r="G45" s="815">
        <v>22.89</v>
      </c>
    </row>
    <row r="46" spans="1:7" ht="14.25" x14ac:dyDescent="0.2">
      <c r="A46" s="859">
        <v>30042</v>
      </c>
      <c r="B46" s="813" t="s">
        <v>2526</v>
      </c>
      <c r="C46" s="860"/>
      <c r="D46" s="861">
        <v>105</v>
      </c>
      <c r="E46" s="818" t="s">
        <v>2481</v>
      </c>
      <c r="F46" s="815">
        <v>611.63</v>
      </c>
      <c r="G46" s="815">
        <v>277.38</v>
      </c>
    </row>
    <row r="47" spans="1:7" ht="14.25" x14ac:dyDescent="0.2">
      <c r="A47" s="859">
        <v>30096</v>
      </c>
      <c r="B47" s="813" t="s">
        <v>2527</v>
      </c>
      <c r="C47" s="860"/>
      <c r="D47" s="861">
        <v>1</v>
      </c>
      <c r="E47" s="818" t="s">
        <v>2491</v>
      </c>
      <c r="F47" s="815">
        <v>0.7</v>
      </c>
      <c r="G47" s="815">
        <v>0.04</v>
      </c>
    </row>
    <row r="48" spans="1:7" s="198" customFormat="1" ht="14.25" x14ac:dyDescent="0.2">
      <c r="A48" s="859">
        <v>30094</v>
      </c>
      <c r="B48" s="813" t="s">
        <v>2528</v>
      </c>
      <c r="C48" s="860"/>
      <c r="D48" s="861">
        <v>1</v>
      </c>
      <c r="E48" s="818" t="s">
        <v>2491</v>
      </c>
      <c r="F48" s="815">
        <v>18.84</v>
      </c>
      <c r="G48" s="815">
        <v>18.149999999999999</v>
      </c>
    </row>
    <row r="49" spans="1:7" ht="14.25" x14ac:dyDescent="0.2">
      <c r="A49" s="859">
        <v>30054</v>
      </c>
      <c r="B49" s="813" t="s">
        <v>2529</v>
      </c>
      <c r="C49" s="860"/>
      <c r="D49" s="861">
        <v>0</v>
      </c>
      <c r="E49" s="818" t="s">
        <v>2481</v>
      </c>
      <c r="F49" s="815">
        <v>15.59</v>
      </c>
      <c r="G49" s="815">
        <v>14.45</v>
      </c>
    </row>
    <row r="50" spans="1:7" ht="14.25" x14ac:dyDescent="0.2">
      <c r="A50" s="859">
        <v>30129</v>
      </c>
      <c r="B50" s="813" t="s">
        <v>2530</v>
      </c>
      <c r="C50" s="814" t="s">
        <v>1948</v>
      </c>
      <c r="D50" s="861">
        <v>20</v>
      </c>
      <c r="E50" s="818" t="s">
        <v>2481</v>
      </c>
      <c r="F50" s="815">
        <v>37.65</v>
      </c>
      <c r="G50" s="815">
        <v>19.760000000000002</v>
      </c>
    </row>
    <row r="51" spans="1:7" ht="14.25" x14ac:dyDescent="0.2">
      <c r="A51" s="859">
        <v>30069</v>
      </c>
      <c r="B51" s="813" t="s">
        <v>2531</v>
      </c>
      <c r="C51" s="814" t="s">
        <v>1948</v>
      </c>
      <c r="D51" s="861">
        <v>200</v>
      </c>
      <c r="E51" s="818" t="s">
        <v>2481</v>
      </c>
      <c r="F51" s="815">
        <v>182.82</v>
      </c>
      <c r="G51" s="815">
        <v>20.87</v>
      </c>
    </row>
    <row r="52" spans="1:7" ht="14.25" x14ac:dyDescent="0.2">
      <c r="A52" s="859">
        <v>30144</v>
      </c>
      <c r="B52" s="813" t="s">
        <v>2532</v>
      </c>
      <c r="C52" s="860"/>
      <c r="D52" s="861">
        <v>500</v>
      </c>
      <c r="E52" s="818" t="s">
        <v>2481</v>
      </c>
      <c r="F52" s="815">
        <v>343.07</v>
      </c>
      <c r="G52" s="815">
        <v>14.13</v>
      </c>
    </row>
    <row r="53" spans="1:7" ht="14.25" x14ac:dyDescent="0.2">
      <c r="A53" s="859">
        <v>30068</v>
      </c>
      <c r="B53" s="813" t="s">
        <v>2533</v>
      </c>
      <c r="C53" s="814" t="s">
        <v>1948</v>
      </c>
      <c r="D53" s="861">
        <v>114</v>
      </c>
      <c r="E53" s="818" t="s">
        <v>2481</v>
      </c>
      <c r="F53" s="815">
        <v>108.94</v>
      </c>
      <c r="G53" s="815">
        <v>16.82</v>
      </c>
    </row>
    <row r="54" spans="1:7" ht="14.25" x14ac:dyDescent="0.2">
      <c r="A54" s="859">
        <v>30093</v>
      </c>
      <c r="B54" s="813" t="s">
        <v>2534</v>
      </c>
      <c r="C54" s="860"/>
      <c r="D54" s="861">
        <v>3</v>
      </c>
      <c r="E54" s="818" t="s">
        <v>2485</v>
      </c>
      <c r="F54" s="815">
        <v>16.38</v>
      </c>
      <c r="G54" s="815">
        <v>12</v>
      </c>
    </row>
    <row r="55" spans="1:7" ht="14.25" x14ac:dyDescent="0.2">
      <c r="A55" s="859">
        <v>30067</v>
      </c>
      <c r="B55" s="813" t="s">
        <v>2535</v>
      </c>
      <c r="C55" s="814" t="s">
        <v>1948</v>
      </c>
      <c r="D55" s="861">
        <v>40</v>
      </c>
      <c r="E55" s="818" t="s">
        <v>2481</v>
      </c>
      <c r="F55" s="815">
        <v>49.56</v>
      </c>
      <c r="G55" s="815">
        <v>16.079999999999998</v>
      </c>
    </row>
    <row r="56" spans="1:7" ht="14.25" x14ac:dyDescent="0.2">
      <c r="A56" s="859">
        <v>30097</v>
      </c>
      <c r="B56" s="813" t="s">
        <v>2536</v>
      </c>
      <c r="C56" s="860"/>
      <c r="D56" s="861">
        <v>3</v>
      </c>
      <c r="E56" s="818" t="s">
        <v>2491</v>
      </c>
      <c r="F56" s="815">
        <v>31.67</v>
      </c>
      <c r="G56" s="815">
        <v>27.09</v>
      </c>
    </row>
    <row r="57" spans="1:7" ht="14.25" x14ac:dyDescent="0.2">
      <c r="A57" s="859">
        <v>30028</v>
      </c>
      <c r="B57" s="813" t="s">
        <v>2537</v>
      </c>
      <c r="C57" s="814" t="s">
        <v>1948</v>
      </c>
      <c r="D57" s="861">
        <v>151</v>
      </c>
      <c r="E57" s="818" t="s">
        <v>2481</v>
      </c>
      <c r="F57" s="815">
        <v>328.56</v>
      </c>
      <c r="G57" s="815">
        <v>149.4</v>
      </c>
    </row>
    <row r="58" spans="1:7" ht="14.25" x14ac:dyDescent="0.2">
      <c r="A58" s="859">
        <v>30111</v>
      </c>
      <c r="B58" s="813" t="s">
        <v>2538</v>
      </c>
      <c r="C58" s="814" t="s">
        <v>1948</v>
      </c>
      <c r="D58" s="861">
        <v>560</v>
      </c>
      <c r="E58" s="818" t="s">
        <v>2481</v>
      </c>
      <c r="F58" s="815">
        <v>604.07000000000005</v>
      </c>
      <c r="G58" s="815">
        <v>148.88999999999999</v>
      </c>
    </row>
    <row r="59" spans="1:7" ht="14.25" x14ac:dyDescent="0.2">
      <c r="A59" s="859">
        <v>30130</v>
      </c>
      <c r="B59" s="813" t="s">
        <v>2539</v>
      </c>
      <c r="C59" s="814" t="s">
        <v>1948</v>
      </c>
      <c r="D59" s="861">
        <v>0</v>
      </c>
      <c r="E59" s="818" t="s">
        <v>2481</v>
      </c>
      <c r="F59" s="815">
        <v>22.16</v>
      </c>
      <c r="G59" s="815">
        <v>21</v>
      </c>
    </row>
    <row r="60" spans="1:7" ht="14.25" x14ac:dyDescent="0.2">
      <c r="A60" s="859">
        <v>30115</v>
      </c>
      <c r="B60" s="813" t="s">
        <v>2540</v>
      </c>
      <c r="C60" s="814" t="s">
        <v>1948</v>
      </c>
      <c r="D60" s="861">
        <v>30</v>
      </c>
      <c r="E60" s="818" t="s">
        <v>2481</v>
      </c>
      <c r="F60" s="815">
        <v>47.06</v>
      </c>
      <c r="G60" s="815">
        <v>17.87</v>
      </c>
    </row>
    <row r="61" spans="1:7" ht="14.25" x14ac:dyDescent="0.2">
      <c r="A61" s="859">
        <v>30089</v>
      </c>
      <c r="B61" s="813" t="s">
        <v>2541</v>
      </c>
      <c r="C61" s="860"/>
      <c r="D61" s="861">
        <v>5</v>
      </c>
      <c r="E61" s="818" t="s">
        <v>2481</v>
      </c>
      <c r="F61" s="815">
        <v>59.98</v>
      </c>
      <c r="G61" s="815">
        <v>52.01</v>
      </c>
    </row>
    <row r="62" spans="1:7" ht="14.25" x14ac:dyDescent="0.2">
      <c r="A62" s="859">
        <v>30074</v>
      </c>
      <c r="B62" s="813" t="s">
        <v>2542</v>
      </c>
      <c r="C62" s="860"/>
      <c r="D62" s="861">
        <v>4</v>
      </c>
      <c r="E62" s="818" t="s">
        <v>2491</v>
      </c>
      <c r="F62" s="815">
        <v>17.11</v>
      </c>
      <c r="G62" s="815">
        <v>14.48</v>
      </c>
    </row>
    <row r="63" spans="1:7" ht="14.25" x14ac:dyDescent="0.2">
      <c r="A63" s="859">
        <v>30147</v>
      </c>
      <c r="B63" s="813" t="s">
        <v>2543</v>
      </c>
      <c r="C63" s="860"/>
      <c r="D63" s="861">
        <v>40</v>
      </c>
      <c r="E63" s="818" t="s">
        <v>2491</v>
      </c>
      <c r="F63" s="815">
        <v>46.38</v>
      </c>
      <c r="G63" s="815">
        <v>13.98</v>
      </c>
    </row>
    <row r="64" spans="1:7" ht="14.25" x14ac:dyDescent="0.2">
      <c r="A64" s="859">
        <v>30091</v>
      </c>
      <c r="B64" s="813" t="s">
        <v>2544</v>
      </c>
      <c r="C64" s="860"/>
      <c r="D64" s="861">
        <v>0</v>
      </c>
      <c r="E64" s="818" t="s">
        <v>2481</v>
      </c>
      <c r="F64" s="815">
        <v>14.76</v>
      </c>
      <c r="G64" s="815">
        <v>13.45</v>
      </c>
    </row>
    <row r="65" spans="1:7" ht="14.25" x14ac:dyDescent="0.2">
      <c r="A65" s="859">
        <v>30082</v>
      </c>
      <c r="B65" s="813" t="s">
        <v>2545</v>
      </c>
      <c r="C65" s="860"/>
      <c r="D65" s="861">
        <v>33</v>
      </c>
      <c r="E65" s="818" t="s">
        <v>2491</v>
      </c>
      <c r="F65" s="815">
        <v>44.91</v>
      </c>
      <c r="G65" s="815">
        <v>23.17</v>
      </c>
    </row>
    <row r="66" spans="1:7" ht="14.25" x14ac:dyDescent="0.2">
      <c r="A66" s="859">
        <v>30090</v>
      </c>
      <c r="B66" s="813" t="s">
        <v>2546</v>
      </c>
      <c r="C66" s="860"/>
      <c r="D66" s="861">
        <v>3</v>
      </c>
      <c r="E66" s="818" t="s">
        <v>2491</v>
      </c>
      <c r="F66" s="815">
        <v>18.78</v>
      </c>
      <c r="G66" s="815">
        <v>14.61</v>
      </c>
    </row>
    <row r="67" spans="1:7" ht="14.25" x14ac:dyDescent="0.2">
      <c r="A67" s="859">
        <v>30146</v>
      </c>
      <c r="B67" s="813" t="s">
        <v>2547</v>
      </c>
      <c r="C67" s="860"/>
      <c r="D67" s="861">
        <v>15</v>
      </c>
      <c r="E67" s="818" t="s">
        <v>2491</v>
      </c>
      <c r="F67" s="815">
        <v>69.16</v>
      </c>
      <c r="G67" s="815">
        <v>5.98</v>
      </c>
    </row>
    <row r="68" spans="1:7" ht="14.25" x14ac:dyDescent="0.2">
      <c r="A68" s="859">
        <v>30061</v>
      </c>
      <c r="B68" s="813" t="s">
        <v>2548</v>
      </c>
      <c r="C68" s="860"/>
      <c r="D68" s="861">
        <v>0</v>
      </c>
      <c r="E68" s="818" t="s">
        <v>2481</v>
      </c>
      <c r="F68" s="815">
        <v>17.48</v>
      </c>
      <c r="G68" s="815">
        <v>16.28</v>
      </c>
    </row>
    <row r="69" spans="1:7" ht="14.25" x14ac:dyDescent="0.2">
      <c r="A69" s="859">
        <v>30021</v>
      </c>
      <c r="B69" s="813" t="s">
        <v>2549</v>
      </c>
      <c r="C69" s="860"/>
      <c r="D69" s="861">
        <v>335</v>
      </c>
      <c r="E69" s="818" t="s">
        <v>2481</v>
      </c>
      <c r="F69" s="815">
        <v>991.1</v>
      </c>
      <c r="G69" s="815">
        <v>400.25</v>
      </c>
    </row>
    <row r="70" spans="1:7" ht="14.25" x14ac:dyDescent="0.2">
      <c r="A70" s="859">
        <v>30085</v>
      </c>
      <c r="B70" s="813" t="s">
        <v>2550</v>
      </c>
      <c r="C70" s="814" t="s">
        <v>1948</v>
      </c>
      <c r="D70" s="861">
        <v>7</v>
      </c>
      <c r="E70" s="818" t="s">
        <v>2485</v>
      </c>
      <c r="F70" s="815">
        <v>24.57</v>
      </c>
      <c r="G70" s="815">
        <v>14.53</v>
      </c>
    </row>
    <row r="71" spans="1:7" ht="14.25" x14ac:dyDescent="0.2">
      <c r="A71" s="859">
        <v>30022</v>
      </c>
      <c r="B71" s="813" t="s">
        <v>2551</v>
      </c>
      <c r="C71" s="814" t="s">
        <v>1948</v>
      </c>
      <c r="D71" s="861">
        <v>140</v>
      </c>
      <c r="E71" s="818" t="s">
        <v>2481</v>
      </c>
      <c r="F71" s="815">
        <v>247.92</v>
      </c>
      <c r="G71" s="815">
        <v>83.72</v>
      </c>
    </row>
    <row r="72" spans="1:7" ht="14.25" x14ac:dyDescent="0.2">
      <c r="A72" s="859">
        <v>30046</v>
      </c>
      <c r="B72" s="813" t="s">
        <v>2552</v>
      </c>
      <c r="C72" s="860"/>
      <c r="D72" s="861">
        <v>268</v>
      </c>
      <c r="E72" s="818" t="s">
        <v>2481</v>
      </c>
      <c r="F72" s="815">
        <v>262.57</v>
      </c>
      <c r="G72" s="815">
        <v>77.349999999999994</v>
      </c>
    </row>
    <row r="73" spans="1:7" ht="14.25" x14ac:dyDescent="0.2">
      <c r="A73" s="859">
        <v>30099</v>
      </c>
      <c r="B73" s="813" t="s">
        <v>2553</v>
      </c>
      <c r="C73" s="860"/>
      <c r="D73" s="861">
        <v>10</v>
      </c>
      <c r="E73" s="818" t="s">
        <v>2481</v>
      </c>
      <c r="F73" s="815">
        <v>10.34</v>
      </c>
      <c r="G73" s="815">
        <v>1.88</v>
      </c>
    </row>
    <row r="74" spans="1:7" ht="14.25" x14ac:dyDescent="0.2">
      <c r="A74" s="859">
        <v>30133</v>
      </c>
      <c r="B74" s="813" t="s">
        <v>2554</v>
      </c>
      <c r="C74" s="860"/>
      <c r="D74" s="861">
        <v>67</v>
      </c>
      <c r="E74" s="818" t="s">
        <v>2481</v>
      </c>
      <c r="F74" s="815">
        <v>221.74</v>
      </c>
      <c r="G74" s="815">
        <v>102.54</v>
      </c>
    </row>
    <row r="75" spans="1:7" ht="14.25" x14ac:dyDescent="0.2">
      <c r="A75" s="859">
        <v>30045</v>
      </c>
      <c r="B75" s="813" t="s">
        <v>2555</v>
      </c>
      <c r="C75" s="860"/>
      <c r="D75" s="861">
        <v>297</v>
      </c>
      <c r="E75" s="818" t="s">
        <v>2481</v>
      </c>
      <c r="F75" s="815">
        <v>889.69</v>
      </c>
      <c r="G75" s="815">
        <v>370.37</v>
      </c>
    </row>
    <row r="76" spans="1:7" ht="14.25" x14ac:dyDescent="0.2">
      <c r="A76" s="859">
        <v>30029</v>
      </c>
      <c r="B76" s="813" t="s">
        <v>2556</v>
      </c>
      <c r="C76" s="814" t="s">
        <v>1948</v>
      </c>
      <c r="D76" s="861">
        <v>76</v>
      </c>
      <c r="E76" s="818" t="s">
        <v>2481</v>
      </c>
      <c r="F76" s="815">
        <v>106.71</v>
      </c>
      <c r="G76" s="815">
        <v>41.33</v>
      </c>
    </row>
    <row r="77" spans="1:7" ht="14.25" x14ac:dyDescent="0.2">
      <c r="A77" s="859">
        <v>30055</v>
      </c>
      <c r="B77" s="813" t="s">
        <v>2557</v>
      </c>
      <c r="C77" s="860"/>
      <c r="D77" s="861">
        <v>0</v>
      </c>
      <c r="E77" s="818" t="s">
        <v>2481</v>
      </c>
      <c r="F77" s="815">
        <v>13.3</v>
      </c>
      <c r="G77" s="815">
        <v>12.73</v>
      </c>
    </row>
    <row r="78" spans="1:7" ht="14.25" x14ac:dyDescent="0.2">
      <c r="A78" s="859">
        <v>30142</v>
      </c>
      <c r="B78" s="813" t="s">
        <v>2558</v>
      </c>
      <c r="C78" s="860"/>
      <c r="D78" s="861">
        <v>5</v>
      </c>
      <c r="E78" s="818" t="s">
        <v>2481</v>
      </c>
      <c r="F78" s="815">
        <v>3.49</v>
      </c>
      <c r="G78" s="815">
        <v>0.13</v>
      </c>
    </row>
    <row r="79" spans="1:7" ht="14.25" x14ac:dyDescent="0.2">
      <c r="A79" s="859">
        <v>30032</v>
      </c>
      <c r="B79" s="813" t="s">
        <v>2559</v>
      </c>
      <c r="C79" s="814" t="s">
        <v>1948</v>
      </c>
      <c r="D79" s="861">
        <v>127</v>
      </c>
      <c r="E79" s="818" t="s">
        <v>2481</v>
      </c>
      <c r="F79" s="815">
        <v>175.45</v>
      </c>
      <c r="G79" s="815">
        <v>59</v>
      </c>
    </row>
    <row r="80" spans="1:7" ht="14.25" x14ac:dyDescent="0.2">
      <c r="A80" s="859">
        <v>30038</v>
      </c>
      <c r="B80" s="813" t="s">
        <v>2560</v>
      </c>
      <c r="C80" s="814" t="s">
        <v>1948</v>
      </c>
      <c r="D80" s="861">
        <v>145</v>
      </c>
      <c r="E80" s="818" t="s">
        <v>2481</v>
      </c>
      <c r="F80" s="815">
        <v>179.43</v>
      </c>
      <c r="G80" s="815">
        <v>53.86</v>
      </c>
    </row>
    <row r="81" spans="1:7" ht="14.25" x14ac:dyDescent="0.2">
      <c r="A81" s="859">
        <v>30034</v>
      </c>
      <c r="B81" s="813" t="s">
        <v>2561</v>
      </c>
      <c r="C81" s="860"/>
      <c r="D81" s="861">
        <v>58</v>
      </c>
      <c r="E81" s="818" t="s">
        <v>2481</v>
      </c>
      <c r="F81" s="815">
        <v>106.75</v>
      </c>
      <c r="G81" s="815">
        <v>48.24</v>
      </c>
    </row>
    <row r="82" spans="1:7" ht="14.25" x14ac:dyDescent="0.2">
      <c r="A82" s="859">
        <v>30035</v>
      </c>
      <c r="B82" s="813" t="s">
        <v>2562</v>
      </c>
      <c r="C82" s="860"/>
      <c r="D82" s="861">
        <v>44</v>
      </c>
      <c r="E82" s="818" t="s">
        <v>2481</v>
      </c>
      <c r="F82" s="815">
        <v>98.09</v>
      </c>
      <c r="G82" s="815">
        <v>49.13</v>
      </c>
    </row>
    <row r="83" spans="1:7" ht="14.25" x14ac:dyDescent="0.2">
      <c r="A83" s="859">
        <v>30037</v>
      </c>
      <c r="B83" s="813" t="s">
        <v>2563</v>
      </c>
      <c r="C83" s="814" t="s">
        <v>1948</v>
      </c>
      <c r="D83" s="861">
        <v>76</v>
      </c>
      <c r="E83" s="818" t="s">
        <v>2481</v>
      </c>
      <c r="F83" s="815">
        <v>114.97</v>
      </c>
      <c r="G83" s="815">
        <v>44.25</v>
      </c>
    </row>
    <row r="84" spans="1:7" ht="14.25" x14ac:dyDescent="0.2">
      <c r="A84" s="859">
        <v>30036</v>
      </c>
      <c r="B84" s="813" t="s">
        <v>2564</v>
      </c>
      <c r="C84" s="814" t="s">
        <v>1948</v>
      </c>
      <c r="D84" s="861">
        <v>127</v>
      </c>
      <c r="E84" s="818" t="s">
        <v>2481</v>
      </c>
      <c r="F84" s="815">
        <v>178.33</v>
      </c>
      <c r="G84" s="815">
        <v>59.06</v>
      </c>
    </row>
    <row r="85" spans="1:7" ht="14.25" x14ac:dyDescent="0.2">
      <c r="A85" s="859">
        <v>30040</v>
      </c>
      <c r="B85" s="813" t="s">
        <v>2565</v>
      </c>
      <c r="C85" s="814" t="s">
        <v>1948</v>
      </c>
      <c r="D85" s="861">
        <v>145</v>
      </c>
      <c r="E85" s="818" t="s">
        <v>2481</v>
      </c>
      <c r="F85" s="815">
        <v>187.58</v>
      </c>
      <c r="G85" s="815">
        <v>58.07</v>
      </c>
    </row>
    <row r="86" spans="1:7" ht="14.25" x14ac:dyDescent="0.2">
      <c r="A86" s="859">
        <v>30039</v>
      </c>
      <c r="B86" s="813" t="s">
        <v>2566</v>
      </c>
      <c r="C86" s="814" t="s">
        <v>1948</v>
      </c>
      <c r="D86" s="861">
        <v>76</v>
      </c>
      <c r="E86" s="818" t="s">
        <v>2481</v>
      </c>
      <c r="F86" s="815">
        <v>123.44</v>
      </c>
      <c r="G86" s="815">
        <v>49.83</v>
      </c>
    </row>
    <row r="87" spans="1:7" ht="14.25" x14ac:dyDescent="0.2">
      <c r="A87" s="859">
        <v>30033</v>
      </c>
      <c r="B87" s="813" t="s">
        <v>2567</v>
      </c>
      <c r="C87" s="860"/>
      <c r="D87" s="861">
        <v>145</v>
      </c>
      <c r="E87" s="818" t="s">
        <v>2481</v>
      </c>
      <c r="F87" s="815">
        <v>192.45</v>
      </c>
      <c r="G87" s="815">
        <v>61.52</v>
      </c>
    </row>
    <row r="88" spans="1:7" ht="14.25" x14ac:dyDescent="0.2">
      <c r="A88" s="859">
        <v>30095</v>
      </c>
      <c r="B88" s="813" t="s">
        <v>2568</v>
      </c>
      <c r="C88" s="860"/>
      <c r="D88" s="861">
        <v>4</v>
      </c>
      <c r="E88" s="818" t="s">
        <v>2491</v>
      </c>
      <c r="F88" s="815">
        <v>2.74</v>
      </c>
      <c r="G88" s="815">
        <v>0.1</v>
      </c>
    </row>
    <row r="89" spans="1:7" ht="14.25" x14ac:dyDescent="0.2">
      <c r="A89" s="859">
        <v>30073</v>
      </c>
      <c r="B89" s="813" t="s">
        <v>2569</v>
      </c>
      <c r="C89" s="814" t="s">
        <v>1948</v>
      </c>
      <c r="D89" s="861">
        <v>5</v>
      </c>
      <c r="E89" s="818" t="s">
        <v>2491</v>
      </c>
      <c r="F89" s="815">
        <v>18.22</v>
      </c>
      <c r="G89" s="815">
        <v>14.81</v>
      </c>
    </row>
    <row r="90" spans="1:7" ht="14.25" x14ac:dyDescent="0.2">
      <c r="A90" s="859">
        <v>30128</v>
      </c>
      <c r="B90" s="813" t="s">
        <v>2570</v>
      </c>
      <c r="C90" s="814" t="s">
        <v>1948</v>
      </c>
      <c r="D90" s="861">
        <v>6</v>
      </c>
      <c r="E90" s="818" t="s">
        <v>2491</v>
      </c>
      <c r="F90" s="815">
        <v>23.05</v>
      </c>
      <c r="G90" s="815">
        <v>18.350000000000001</v>
      </c>
    </row>
    <row r="91" spans="1:7" ht="14.25" x14ac:dyDescent="0.2">
      <c r="A91" s="859">
        <v>30114</v>
      </c>
      <c r="B91" s="813" t="s">
        <v>2571</v>
      </c>
      <c r="C91" s="814" t="s">
        <v>1948</v>
      </c>
      <c r="D91" s="861">
        <v>30</v>
      </c>
      <c r="E91" s="818" t="s">
        <v>2481</v>
      </c>
      <c r="F91" s="815">
        <v>63.9</v>
      </c>
      <c r="G91" s="815">
        <v>36.5</v>
      </c>
    </row>
    <row r="92" spans="1:7" ht="14.25" x14ac:dyDescent="0.2">
      <c r="A92" s="859">
        <v>30086</v>
      </c>
      <c r="B92" s="813" t="s">
        <v>2572</v>
      </c>
      <c r="C92" s="860"/>
      <c r="D92" s="861">
        <v>48</v>
      </c>
      <c r="E92" s="818" t="s">
        <v>2481</v>
      </c>
      <c r="F92" s="815">
        <v>91.85</v>
      </c>
      <c r="G92" s="815">
        <v>43.63</v>
      </c>
    </row>
    <row r="93" spans="1:7" s="198" customFormat="1" ht="14.25" x14ac:dyDescent="0.2">
      <c r="A93" s="859">
        <v>30138</v>
      </c>
      <c r="B93" s="813" t="s">
        <v>2573</v>
      </c>
      <c r="C93" s="814" t="s">
        <v>1948</v>
      </c>
      <c r="D93" s="861">
        <v>5</v>
      </c>
      <c r="E93" s="818" t="s">
        <v>2491</v>
      </c>
      <c r="F93" s="815">
        <v>5.6</v>
      </c>
      <c r="G93" s="815">
        <v>1.1399999999999999</v>
      </c>
    </row>
    <row r="94" spans="1:7" ht="14.25" x14ac:dyDescent="0.2">
      <c r="A94" s="859">
        <v>30084</v>
      </c>
      <c r="B94" s="813" t="s">
        <v>2574</v>
      </c>
      <c r="C94" s="860"/>
      <c r="D94" s="861">
        <v>0</v>
      </c>
      <c r="E94" s="818" t="s">
        <v>2491</v>
      </c>
      <c r="F94" s="815">
        <v>5.23</v>
      </c>
      <c r="G94" s="815">
        <v>3.74</v>
      </c>
    </row>
    <row r="95" spans="1:7" ht="14.25" x14ac:dyDescent="0.2">
      <c r="A95" s="859">
        <v>30136</v>
      </c>
      <c r="B95" s="813" t="s">
        <v>2575</v>
      </c>
      <c r="C95" s="860"/>
      <c r="D95" s="861">
        <v>0</v>
      </c>
      <c r="E95" s="818" t="s">
        <v>2491</v>
      </c>
      <c r="F95" s="815">
        <v>6.14</v>
      </c>
      <c r="G95" s="815">
        <v>4.3899999999999997</v>
      </c>
    </row>
    <row r="96" spans="1:7" ht="14.25" x14ac:dyDescent="0.2">
      <c r="A96" s="859">
        <v>30135</v>
      </c>
      <c r="B96" s="813" t="s">
        <v>2576</v>
      </c>
      <c r="C96" s="860"/>
      <c r="D96" s="861">
        <v>0</v>
      </c>
      <c r="E96" s="818" t="s">
        <v>2481</v>
      </c>
      <c r="F96" s="815">
        <v>17.54</v>
      </c>
      <c r="G96" s="815">
        <v>12.54</v>
      </c>
    </row>
    <row r="97" spans="1:7" ht="14.25" x14ac:dyDescent="0.2">
      <c r="A97" s="859">
        <v>30030</v>
      </c>
      <c r="B97" s="813" t="s">
        <v>2577</v>
      </c>
      <c r="C97" s="814" t="s">
        <v>1948</v>
      </c>
      <c r="D97" s="861">
        <v>110</v>
      </c>
      <c r="E97" s="818" t="s">
        <v>2481</v>
      </c>
      <c r="F97" s="815">
        <v>117.24</v>
      </c>
      <c r="G97" s="815">
        <v>30.29</v>
      </c>
    </row>
    <row r="98" spans="1:7" ht="14.25" x14ac:dyDescent="0.2">
      <c r="A98" s="859">
        <v>30020</v>
      </c>
      <c r="B98" s="813" t="s">
        <v>2578</v>
      </c>
      <c r="C98" s="860"/>
      <c r="D98" s="861">
        <v>300</v>
      </c>
      <c r="E98" s="818" t="s">
        <v>2481</v>
      </c>
      <c r="F98" s="815">
        <v>628.07000000000005</v>
      </c>
      <c r="G98" s="815">
        <v>212.49</v>
      </c>
    </row>
    <row r="99" spans="1:7" ht="14.25" x14ac:dyDescent="0.2">
      <c r="A99" s="859">
        <v>30015</v>
      </c>
      <c r="B99" s="813" t="s">
        <v>2579</v>
      </c>
      <c r="C99" s="814" t="s">
        <v>1948</v>
      </c>
      <c r="D99" s="861">
        <v>105</v>
      </c>
      <c r="E99" s="818" t="s">
        <v>2481</v>
      </c>
      <c r="F99" s="815">
        <v>273.82</v>
      </c>
      <c r="G99" s="815">
        <v>115.18</v>
      </c>
    </row>
    <row r="100" spans="1:7" ht="14.25" x14ac:dyDescent="0.2">
      <c r="A100" s="859">
        <v>30016</v>
      </c>
      <c r="B100" s="813" t="s">
        <v>2580</v>
      </c>
      <c r="C100" s="814" t="s">
        <v>1948</v>
      </c>
      <c r="D100" s="861">
        <v>155</v>
      </c>
      <c r="E100" s="818" t="s">
        <v>2481</v>
      </c>
      <c r="F100" s="815">
        <v>317.38</v>
      </c>
      <c r="G100" s="815">
        <v>115.44</v>
      </c>
    </row>
    <row r="101" spans="1:7" ht="14.25" x14ac:dyDescent="0.2">
      <c r="A101" s="859">
        <v>30017</v>
      </c>
      <c r="B101" s="813" t="s">
        <v>2581</v>
      </c>
      <c r="C101" s="814" t="s">
        <v>1948</v>
      </c>
      <c r="D101" s="861">
        <v>140</v>
      </c>
      <c r="E101" s="818" t="s">
        <v>2481</v>
      </c>
      <c r="F101" s="815">
        <v>302.73</v>
      </c>
      <c r="G101" s="815">
        <v>115.82</v>
      </c>
    </row>
    <row r="102" spans="1:7" ht="14.25" x14ac:dyDescent="0.2">
      <c r="A102" s="859">
        <v>30018</v>
      </c>
      <c r="B102" s="813" t="s">
        <v>2582</v>
      </c>
      <c r="C102" s="860"/>
      <c r="D102" s="861">
        <v>300</v>
      </c>
      <c r="E102" s="818" t="s">
        <v>2481</v>
      </c>
      <c r="F102" s="815">
        <v>628.07000000000005</v>
      </c>
      <c r="G102" s="815">
        <v>212.49</v>
      </c>
    </row>
    <row r="103" spans="1:7" ht="14.25" x14ac:dyDescent="0.2">
      <c r="A103" s="859">
        <v>30019</v>
      </c>
      <c r="B103" s="813" t="s">
        <v>2583</v>
      </c>
      <c r="C103" s="860"/>
      <c r="D103" s="861">
        <v>300</v>
      </c>
      <c r="E103" s="818" t="s">
        <v>2481</v>
      </c>
      <c r="F103" s="815">
        <v>630.11</v>
      </c>
      <c r="G103" s="815">
        <v>213.59</v>
      </c>
    </row>
    <row r="104" spans="1:7" ht="14.25" x14ac:dyDescent="0.2">
      <c r="A104" s="859">
        <v>30063</v>
      </c>
      <c r="B104" s="813" t="s">
        <v>2584</v>
      </c>
      <c r="C104" s="860"/>
      <c r="D104" s="861">
        <v>195</v>
      </c>
      <c r="E104" s="818" t="s">
        <v>2491</v>
      </c>
      <c r="F104" s="815">
        <v>502.4</v>
      </c>
      <c r="G104" s="815">
        <v>317.3</v>
      </c>
    </row>
    <row r="105" spans="1:7" ht="14.25" x14ac:dyDescent="0.2">
      <c r="A105" s="859">
        <v>30065</v>
      </c>
      <c r="B105" s="813" t="s">
        <v>2585</v>
      </c>
      <c r="C105" s="814" t="s">
        <v>1948</v>
      </c>
      <c r="D105" s="861">
        <v>15</v>
      </c>
      <c r="E105" s="818" t="s">
        <v>2481</v>
      </c>
      <c r="F105" s="815">
        <v>142.85</v>
      </c>
      <c r="G105" s="815">
        <v>126.45</v>
      </c>
    </row>
    <row r="106" spans="1:7" ht="14.25" x14ac:dyDescent="0.2">
      <c r="A106" s="859">
        <v>30066</v>
      </c>
      <c r="B106" s="813" t="s">
        <v>2586</v>
      </c>
      <c r="C106" s="814" t="s">
        <v>1948</v>
      </c>
      <c r="D106" s="861">
        <v>110</v>
      </c>
      <c r="E106" s="818" t="s">
        <v>2481</v>
      </c>
      <c r="F106" s="815">
        <v>326.14</v>
      </c>
      <c r="G106" s="815">
        <v>200.28</v>
      </c>
    </row>
    <row r="107" spans="1:7" ht="14.25" x14ac:dyDescent="0.2">
      <c r="A107" s="859">
        <v>30051</v>
      </c>
      <c r="B107" s="813" t="s">
        <v>2587</v>
      </c>
      <c r="C107" s="814" t="s">
        <v>1948</v>
      </c>
      <c r="D107" s="861">
        <v>0</v>
      </c>
      <c r="E107" s="818" t="s">
        <v>2481</v>
      </c>
      <c r="F107" s="815">
        <v>7.09</v>
      </c>
      <c r="G107" s="815">
        <v>4.4400000000000004</v>
      </c>
    </row>
    <row r="108" spans="1:7" ht="14.25" x14ac:dyDescent="0.2">
      <c r="A108" s="859">
        <v>30071</v>
      </c>
      <c r="B108" s="813" t="s">
        <v>2588</v>
      </c>
      <c r="C108" s="860"/>
      <c r="D108" s="861">
        <v>4</v>
      </c>
      <c r="E108" s="818" t="s">
        <v>2491</v>
      </c>
      <c r="F108" s="815">
        <v>15.14</v>
      </c>
      <c r="G108" s="815">
        <v>12.3</v>
      </c>
    </row>
    <row r="110" spans="1:7" x14ac:dyDescent="0.2">
      <c r="A110" s="212"/>
      <c r="B110" s="213"/>
      <c r="C110" s="212"/>
      <c r="D110" s="212"/>
      <c r="E110" s="217"/>
      <c r="F110" s="216"/>
      <c r="G110" s="216"/>
    </row>
    <row r="111" spans="1:7" x14ac:dyDescent="0.2">
      <c r="A111" s="212"/>
      <c r="B111" s="213"/>
      <c r="C111" s="214"/>
      <c r="D111" s="212"/>
      <c r="E111" s="215"/>
      <c r="F111" s="216"/>
      <c r="G111" s="216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643"/>
  <sheetViews>
    <sheetView zoomScale="115" zoomScaleNormal="115" workbookViewId="0">
      <selection activeCell="F2" sqref="F2"/>
    </sheetView>
  </sheetViews>
  <sheetFormatPr defaultColWidth="9" defaultRowHeight="15" x14ac:dyDescent="0.25"/>
  <cols>
    <col min="1" max="1" width="9" style="210"/>
    <col min="2" max="2" width="53.125" style="208" customWidth="1"/>
    <col min="3" max="4" width="9" style="561"/>
    <col min="5" max="6" width="9" style="562"/>
    <col min="7" max="7" width="9" style="560"/>
    <col min="8" max="16384" width="9" style="415"/>
  </cols>
  <sheetData>
    <row r="1" spans="1:7" ht="14.25" x14ac:dyDescent="0.2">
      <c r="A1" s="544" t="s">
        <v>2478</v>
      </c>
      <c r="B1" s="218"/>
      <c r="C1" s="558"/>
      <c r="D1" s="558"/>
      <c r="E1" s="559"/>
      <c r="F1" s="559" t="s">
        <v>2479</v>
      </c>
    </row>
    <row r="2" spans="1:7" x14ac:dyDescent="0.2">
      <c r="A2" s="811" t="s">
        <v>2589</v>
      </c>
      <c r="B2" s="218"/>
      <c r="C2" s="558"/>
      <c r="D2" s="558"/>
      <c r="E2" s="559"/>
      <c r="F2" s="559"/>
    </row>
    <row r="3" spans="1:7" s="819" customFormat="1" ht="47.25" customHeight="1" x14ac:dyDescent="0.2">
      <c r="A3" s="1015" t="s">
        <v>2590</v>
      </c>
      <c r="B3" s="1015" t="s">
        <v>2591</v>
      </c>
      <c r="C3" s="1015" t="s">
        <v>1</v>
      </c>
      <c r="D3" s="1015" t="s">
        <v>2592</v>
      </c>
      <c r="E3" s="1015" t="s">
        <v>2593</v>
      </c>
      <c r="F3" s="1015" t="s">
        <v>2594</v>
      </c>
      <c r="G3" s="1015" t="s">
        <v>2595</v>
      </c>
    </row>
    <row r="4" spans="1:7" x14ac:dyDescent="0.25">
      <c r="A4" s="829" t="s">
        <v>984</v>
      </c>
      <c r="C4" s="570"/>
      <c r="D4" s="570"/>
      <c r="E4" s="571"/>
      <c r="F4" s="571"/>
    </row>
    <row r="5" spans="1:7" s="819" customFormat="1" ht="9.4" customHeight="1" x14ac:dyDescent="0.2">
      <c r="A5" s="812">
        <v>20039</v>
      </c>
      <c r="B5" s="813" t="s">
        <v>2596</v>
      </c>
      <c r="C5" s="814" t="s">
        <v>240</v>
      </c>
      <c r="D5" s="814">
        <v>1.01</v>
      </c>
      <c r="E5" s="815">
        <v>4.5599999999999996</v>
      </c>
      <c r="F5" s="815">
        <v>157.27000000000001</v>
      </c>
      <c r="G5" s="815">
        <v>11.75</v>
      </c>
    </row>
    <row r="6" spans="1:7" s="819" customFormat="1" ht="9.4" customHeight="1" x14ac:dyDescent="0.2">
      <c r="A6" s="812">
        <v>20050</v>
      </c>
      <c r="B6" s="813" t="s">
        <v>2597</v>
      </c>
      <c r="C6" s="814" t="s">
        <v>240</v>
      </c>
      <c r="D6" s="814">
        <v>1.01</v>
      </c>
      <c r="E6" s="815">
        <v>4.5599999999999996</v>
      </c>
      <c r="F6" s="815">
        <v>157.27000000000001</v>
      </c>
      <c r="G6" s="815">
        <v>11.75</v>
      </c>
    </row>
    <row r="7" spans="1:7" s="819" customFormat="1" ht="9.4" customHeight="1" x14ac:dyDescent="0.2">
      <c r="A7" s="812">
        <v>20151</v>
      </c>
      <c r="B7" s="813" t="s">
        <v>2598</v>
      </c>
      <c r="C7" s="814" t="s">
        <v>240</v>
      </c>
      <c r="D7" s="814">
        <v>1.01</v>
      </c>
      <c r="E7" s="815">
        <v>4.5599999999999996</v>
      </c>
      <c r="F7" s="815">
        <v>157.27000000000001</v>
      </c>
      <c r="G7" s="815">
        <v>11.75</v>
      </c>
    </row>
    <row r="8" spans="1:7" s="819" customFormat="1" ht="9.4" customHeight="1" x14ac:dyDescent="0.2">
      <c r="A8" s="812">
        <v>20061</v>
      </c>
      <c r="B8" s="813" t="s">
        <v>2599</v>
      </c>
      <c r="C8" s="814" t="s">
        <v>240</v>
      </c>
      <c r="D8" s="814">
        <v>1.01</v>
      </c>
      <c r="E8" s="815">
        <v>4.5599999999999996</v>
      </c>
      <c r="F8" s="815">
        <v>157.27000000000001</v>
      </c>
      <c r="G8" s="815">
        <v>11.75</v>
      </c>
    </row>
    <row r="9" spans="1:7" s="819" customFormat="1" ht="9.4" customHeight="1" x14ac:dyDescent="0.2">
      <c r="A9" s="812">
        <v>20072</v>
      </c>
      <c r="B9" s="813" t="s">
        <v>2600</v>
      </c>
      <c r="C9" s="814" t="s">
        <v>240</v>
      </c>
      <c r="D9" s="814">
        <v>1.01</v>
      </c>
      <c r="E9" s="815">
        <v>4.5599999999999996</v>
      </c>
      <c r="F9" s="815">
        <v>157.27000000000001</v>
      </c>
      <c r="G9" s="815">
        <v>11.75</v>
      </c>
    </row>
    <row r="10" spans="1:7" s="819" customFormat="1" ht="9.4" customHeight="1" x14ac:dyDescent="0.2">
      <c r="A10" s="812">
        <v>20083</v>
      </c>
      <c r="B10" s="813" t="s">
        <v>2601</v>
      </c>
      <c r="C10" s="814" t="s">
        <v>240</v>
      </c>
      <c r="D10" s="814">
        <v>1.01</v>
      </c>
      <c r="E10" s="815">
        <v>4.5599999999999996</v>
      </c>
      <c r="F10" s="815">
        <v>157.27000000000001</v>
      </c>
      <c r="G10" s="815">
        <v>11.75</v>
      </c>
    </row>
    <row r="11" spans="1:7" s="819" customFormat="1" ht="9.4" customHeight="1" x14ac:dyDescent="0.2">
      <c r="A11" s="812">
        <v>20094</v>
      </c>
      <c r="B11" s="813" t="s">
        <v>2602</v>
      </c>
      <c r="C11" s="814" t="s">
        <v>240</v>
      </c>
      <c r="D11" s="814">
        <v>1.65</v>
      </c>
      <c r="E11" s="815">
        <v>7.46</v>
      </c>
      <c r="F11" s="815">
        <v>157.27000000000001</v>
      </c>
      <c r="G11" s="815">
        <v>19.2</v>
      </c>
    </row>
    <row r="12" spans="1:7" s="819" customFormat="1" ht="9.4" customHeight="1" x14ac:dyDescent="0.2">
      <c r="A12" s="812">
        <v>20012</v>
      </c>
      <c r="B12" s="813" t="s">
        <v>2603</v>
      </c>
      <c r="C12" s="814" t="s">
        <v>240</v>
      </c>
      <c r="D12" s="814">
        <v>1.65</v>
      </c>
      <c r="E12" s="815">
        <v>7.46</v>
      </c>
      <c r="F12" s="815">
        <v>157.27000000000001</v>
      </c>
      <c r="G12" s="815">
        <v>19.2</v>
      </c>
    </row>
    <row r="13" spans="1:7" s="819" customFormat="1" ht="9.4" customHeight="1" x14ac:dyDescent="0.2">
      <c r="A13" s="812">
        <v>20020</v>
      </c>
      <c r="B13" s="813" t="s">
        <v>2604</v>
      </c>
      <c r="C13" s="814" t="s">
        <v>240</v>
      </c>
      <c r="D13" s="814">
        <v>1.24</v>
      </c>
      <c r="E13" s="815">
        <v>5.61</v>
      </c>
      <c r="F13" s="815">
        <v>157.27000000000001</v>
      </c>
      <c r="G13" s="815">
        <v>14.43</v>
      </c>
    </row>
    <row r="14" spans="1:7" s="819" customFormat="1" ht="9.4" customHeight="1" x14ac:dyDescent="0.2">
      <c r="A14" s="812">
        <v>20022</v>
      </c>
      <c r="B14" s="813" t="s">
        <v>2605</v>
      </c>
      <c r="C14" s="814" t="s">
        <v>240</v>
      </c>
      <c r="D14" s="814">
        <v>1.01</v>
      </c>
      <c r="E14" s="815">
        <v>4.5599999999999996</v>
      </c>
      <c r="F14" s="815">
        <v>157.27000000000001</v>
      </c>
      <c r="G14" s="815">
        <v>11.75</v>
      </c>
    </row>
    <row r="15" spans="1:7" s="819" customFormat="1" ht="9.4" customHeight="1" x14ac:dyDescent="0.2">
      <c r="A15" s="812">
        <v>20027</v>
      </c>
      <c r="B15" s="813" t="s">
        <v>2606</v>
      </c>
      <c r="C15" s="814" t="s">
        <v>240</v>
      </c>
      <c r="D15" s="814">
        <v>1.01</v>
      </c>
      <c r="E15" s="815">
        <v>4.5599999999999996</v>
      </c>
      <c r="F15" s="815">
        <v>157.27000000000001</v>
      </c>
      <c r="G15" s="815">
        <v>11.75</v>
      </c>
    </row>
    <row r="16" spans="1:7" s="819" customFormat="1" ht="9.4" customHeight="1" x14ac:dyDescent="0.2">
      <c r="A16" s="812">
        <v>20033</v>
      </c>
      <c r="B16" s="813" t="s">
        <v>2607</v>
      </c>
      <c r="C16" s="814" t="s">
        <v>240</v>
      </c>
      <c r="D16" s="814">
        <v>1.96</v>
      </c>
      <c r="E16" s="815">
        <v>8.86</v>
      </c>
      <c r="F16" s="815">
        <v>157.27000000000001</v>
      </c>
      <c r="G16" s="815">
        <v>22.81</v>
      </c>
    </row>
    <row r="17" spans="1:7" s="819" customFormat="1" ht="9.4" customHeight="1" x14ac:dyDescent="0.2">
      <c r="A17" s="812">
        <v>20034</v>
      </c>
      <c r="B17" s="813" t="s">
        <v>2608</v>
      </c>
      <c r="C17" s="814" t="s">
        <v>240</v>
      </c>
      <c r="D17" s="814">
        <v>1.96</v>
      </c>
      <c r="E17" s="815">
        <v>8.86</v>
      </c>
      <c r="F17" s="815">
        <v>157.27000000000001</v>
      </c>
      <c r="G17" s="815">
        <v>22.81</v>
      </c>
    </row>
    <row r="18" spans="1:7" s="819" customFormat="1" ht="9.4" customHeight="1" x14ac:dyDescent="0.2">
      <c r="A18" s="812">
        <v>20035</v>
      </c>
      <c r="B18" s="813" t="s">
        <v>2609</v>
      </c>
      <c r="C18" s="814" t="s">
        <v>240</v>
      </c>
      <c r="D18" s="814">
        <v>1.24</v>
      </c>
      <c r="E18" s="815">
        <v>5.61</v>
      </c>
      <c r="F18" s="815">
        <v>157.27000000000001</v>
      </c>
      <c r="G18" s="815">
        <v>14.43</v>
      </c>
    </row>
    <row r="19" spans="1:7" s="819" customFormat="1" ht="9.4" customHeight="1" x14ac:dyDescent="0.2">
      <c r="A19" s="812">
        <v>20037</v>
      </c>
      <c r="B19" s="813" t="s">
        <v>2610</v>
      </c>
      <c r="C19" s="814" t="s">
        <v>240</v>
      </c>
      <c r="D19" s="814">
        <v>2.35</v>
      </c>
      <c r="E19" s="815">
        <v>10.63</v>
      </c>
      <c r="F19" s="815">
        <v>157.27000000000001</v>
      </c>
      <c r="G19" s="815">
        <v>27.35</v>
      </c>
    </row>
    <row r="20" spans="1:7" s="819" customFormat="1" ht="9.4" customHeight="1" x14ac:dyDescent="0.2">
      <c r="A20" s="812">
        <v>20038</v>
      </c>
      <c r="B20" s="813" t="s">
        <v>2611</v>
      </c>
      <c r="C20" s="814" t="s">
        <v>240</v>
      </c>
      <c r="D20" s="814">
        <v>1.24</v>
      </c>
      <c r="E20" s="815">
        <v>5.61</v>
      </c>
      <c r="F20" s="815">
        <v>157.27000000000001</v>
      </c>
      <c r="G20" s="815">
        <v>14.43</v>
      </c>
    </row>
    <row r="21" spans="1:7" s="819" customFormat="1" ht="9.4" customHeight="1" x14ac:dyDescent="0.2">
      <c r="A21" s="812">
        <v>20040</v>
      </c>
      <c r="B21" s="813" t="s">
        <v>2612</v>
      </c>
      <c r="C21" s="814" t="s">
        <v>240</v>
      </c>
      <c r="D21" s="814">
        <v>1.65</v>
      </c>
      <c r="E21" s="815">
        <v>7.46</v>
      </c>
      <c r="F21" s="815">
        <v>157.27000000000001</v>
      </c>
      <c r="G21" s="815">
        <v>19.2</v>
      </c>
    </row>
    <row r="22" spans="1:7" s="819" customFormat="1" ht="9.4" customHeight="1" x14ac:dyDescent="0.2">
      <c r="A22" s="812">
        <v>20041</v>
      </c>
      <c r="B22" s="813" t="s">
        <v>2613</v>
      </c>
      <c r="C22" s="814" t="s">
        <v>240</v>
      </c>
      <c r="D22" s="814">
        <v>1.24</v>
      </c>
      <c r="E22" s="815">
        <v>5.61</v>
      </c>
      <c r="F22" s="815">
        <v>157.27000000000001</v>
      </c>
      <c r="G22" s="815">
        <v>14.43</v>
      </c>
    </row>
    <row r="23" spans="1:7" s="819" customFormat="1" ht="9.4" customHeight="1" x14ac:dyDescent="0.2">
      <c r="A23" s="812">
        <v>20042</v>
      </c>
      <c r="B23" s="813" t="s">
        <v>2614</v>
      </c>
      <c r="C23" s="814" t="s">
        <v>240</v>
      </c>
      <c r="D23" s="814">
        <v>1.24</v>
      </c>
      <c r="E23" s="815">
        <v>5.61</v>
      </c>
      <c r="F23" s="815">
        <v>157.27000000000001</v>
      </c>
      <c r="G23" s="815">
        <v>14.43</v>
      </c>
    </row>
    <row r="24" spans="1:7" s="819" customFormat="1" ht="9.4" customHeight="1" x14ac:dyDescent="0.2">
      <c r="A24" s="812">
        <v>20056</v>
      </c>
      <c r="B24" s="813" t="s">
        <v>2615</v>
      </c>
      <c r="C24" s="814" t="s">
        <v>240</v>
      </c>
      <c r="D24" s="814">
        <v>1.24</v>
      </c>
      <c r="E24" s="815">
        <v>5.61</v>
      </c>
      <c r="F24" s="815">
        <v>157.27000000000001</v>
      </c>
      <c r="G24" s="815">
        <v>14.43</v>
      </c>
    </row>
    <row r="25" spans="1:7" s="819" customFormat="1" ht="9.4" customHeight="1" x14ac:dyDescent="0.2">
      <c r="A25" s="812">
        <v>20057</v>
      </c>
      <c r="B25" s="813" t="s">
        <v>2616</v>
      </c>
      <c r="C25" s="814" t="s">
        <v>240</v>
      </c>
      <c r="D25" s="814">
        <v>2.35</v>
      </c>
      <c r="E25" s="815">
        <v>10.63</v>
      </c>
      <c r="F25" s="815">
        <v>157.27000000000001</v>
      </c>
      <c r="G25" s="815">
        <v>27.35</v>
      </c>
    </row>
    <row r="26" spans="1:7" s="819" customFormat="1" ht="9.4" customHeight="1" x14ac:dyDescent="0.2">
      <c r="A26" s="812">
        <v>20058</v>
      </c>
      <c r="B26" s="813" t="s">
        <v>2617</v>
      </c>
      <c r="C26" s="814" t="s">
        <v>240</v>
      </c>
      <c r="D26" s="814">
        <v>2.35</v>
      </c>
      <c r="E26" s="815">
        <v>10.63</v>
      </c>
      <c r="F26" s="815">
        <v>157.27000000000001</v>
      </c>
      <c r="G26" s="815">
        <v>27.35</v>
      </c>
    </row>
    <row r="27" spans="1:7" s="819" customFormat="1" ht="9.4" customHeight="1" x14ac:dyDescent="0.2">
      <c r="A27" s="812">
        <v>20059</v>
      </c>
      <c r="B27" s="813" t="s">
        <v>2618</v>
      </c>
      <c r="C27" s="814" t="s">
        <v>240</v>
      </c>
      <c r="D27" s="814">
        <v>2.2599999999999998</v>
      </c>
      <c r="E27" s="815">
        <v>10.220000000000001</v>
      </c>
      <c r="F27" s="815">
        <v>157.27000000000001</v>
      </c>
      <c r="G27" s="815">
        <v>26.3</v>
      </c>
    </row>
    <row r="28" spans="1:7" s="819" customFormat="1" ht="9.4" customHeight="1" x14ac:dyDescent="0.2">
      <c r="A28" s="812">
        <v>20060</v>
      </c>
      <c r="B28" s="813" t="s">
        <v>2619</v>
      </c>
      <c r="C28" s="814" t="s">
        <v>240</v>
      </c>
      <c r="D28" s="814">
        <v>2.2599999999999998</v>
      </c>
      <c r="E28" s="815">
        <v>10.220000000000001</v>
      </c>
      <c r="F28" s="815">
        <v>157.27000000000001</v>
      </c>
      <c r="G28" s="815">
        <v>26.3</v>
      </c>
    </row>
    <row r="29" spans="1:7" s="819" customFormat="1" ht="9.4" customHeight="1" x14ac:dyDescent="0.2">
      <c r="A29" s="812">
        <v>20065</v>
      </c>
      <c r="B29" s="813" t="s">
        <v>2620</v>
      </c>
      <c r="C29" s="814" t="s">
        <v>240</v>
      </c>
      <c r="D29" s="814">
        <v>2.2599999999999998</v>
      </c>
      <c r="E29" s="815">
        <v>10.220000000000001</v>
      </c>
      <c r="F29" s="815">
        <v>157.27000000000001</v>
      </c>
      <c r="G29" s="815">
        <v>26.3</v>
      </c>
    </row>
    <row r="30" spans="1:7" s="819" customFormat="1" ht="9.4" customHeight="1" x14ac:dyDescent="0.2">
      <c r="A30" s="812">
        <v>20064</v>
      </c>
      <c r="B30" s="813" t="s">
        <v>2621</v>
      </c>
      <c r="C30" s="814" t="s">
        <v>240</v>
      </c>
      <c r="D30" s="814">
        <v>2.2599999999999998</v>
      </c>
      <c r="E30" s="815">
        <v>10.220000000000001</v>
      </c>
      <c r="F30" s="815">
        <v>157.27000000000001</v>
      </c>
      <c r="G30" s="815">
        <v>26.3</v>
      </c>
    </row>
    <row r="31" spans="1:7" s="819" customFormat="1" ht="9.4" customHeight="1" x14ac:dyDescent="0.2">
      <c r="A31" s="812">
        <v>20063</v>
      </c>
      <c r="B31" s="813" t="s">
        <v>2622</v>
      </c>
      <c r="C31" s="814" t="s">
        <v>240</v>
      </c>
      <c r="D31" s="814">
        <v>2.2599999999999998</v>
      </c>
      <c r="E31" s="815">
        <v>10.220000000000001</v>
      </c>
      <c r="F31" s="815">
        <v>157.27000000000001</v>
      </c>
      <c r="G31" s="815">
        <v>26.3</v>
      </c>
    </row>
    <row r="32" spans="1:7" s="819" customFormat="1" ht="9.4" customHeight="1" x14ac:dyDescent="0.2">
      <c r="A32" s="812">
        <v>20066</v>
      </c>
      <c r="B32" s="813" t="s">
        <v>2623</v>
      </c>
      <c r="C32" s="814" t="s">
        <v>240</v>
      </c>
      <c r="D32" s="814">
        <v>2.35</v>
      </c>
      <c r="E32" s="815">
        <v>10.63</v>
      </c>
      <c r="F32" s="815">
        <v>157.27000000000001</v>
      </c>
      <c r="G32" s="815">
        <v>27.35</v>
      </c>
    </row>
    <row r="33" spans="1:7" s="819" customFormat="1" ht="9.4" customHeight="1" x14ac:dyDescent="0.2">
      <c r="A33" s="812">
        <v>20067</v>
      </c>
      <c r="B33" s="813" t="s">
        <v>2624</v>
      </c>
      <c r="C33" s="814" t="s">
        <v>240</v>
      </c>
      <c r="D33" s="814">
        <v>2.35</v>
      </c>
      <c r="E33" s="815">
        <v>10.63</v>
      </c>
      <c r="F33" s="815">
        <v>157.27000000000001</v>
      </c>
      <c r="G33" s="815">
        <v>27.35</v>
      </c>
    </row>
    <row r="34" spans="1:7" s="819" customFormat="1" ht="9.4" customHeight="1" x14ac:dyDescent="0.2">
      <c r="A34" s="812">
        <v>20068</v>
      </c>
      <c r="B34" s="813" t="s">
        <v>2625</v>
      </c>
      <c r="C34" s="814" t="s">
        <v>240</v>
      </c>
      <c r="D34" s="814">
        <v>2.35</v>
      </c>
      <c r="E34" s="815">
        <v>10.63</v>
      </c>
      <c r="F34" s="815">
        <v>157.27000000000001</v>
      </c>
      <c r="G34" s="815">
        <v>27.35</v>
      </c>
    </row>
    <row r="35" spans="1:7" s="819" customFormat="1" ht="9.4" customHeight="1" x14ac:dyDescent="0.2">
      <c r="A35" s="812">
        <v>99301</v>
      </c>
      <c r="B35" s="813" t="s">
        <v>2626</v>
      </c>
      <c r="C35" s="814" t="s">
        <v>240</v>
      </c>
      <c r="D35" s="814">
        <v>2.2599999999999998</v>
      </c>
      <c r="E35" s="815">
        <v>10.220000000000001</v>
      </c>
      <c r="F35" s="815">
        <v>157.27000000000001</v>
      </c>
      <c r="G35" s="815">
        <v>26.3</v>
      </c>
    </row>
    <row r="36" spans="1:7" s="819" customFormat="1" ht="9.4" customHeight="1" x14ac:dyDescent="0.2">
      <c r="A36" s="812">
        <v>20062</v>
      </c>
      <c r="B36" s="813" t="s">
        <v>2627</v>
      </c>
      <c r="C36" s="814" t="s">
        <v>240</v>
      </c>
      <c r="D36" s="814">
        <v>2.2599999999999998</v>
      </c>
      <c r="E36" s="815">
        <v>10.220000000000001</v>
      </c>
      <c r="F36" s="815">
        <v>157.27000000000001</v>
      </c>
      <c r="G36" s="815">
        <v>26.3</v>
      </c>
    </row>
    <row r="37" spans="1:7" s="819" customFormat="1" ht="9.4" customHeight="1" x14ac:dyDescent="0.2">
      <c r="A37" s="812">
        <v>20081</v>
      </c>
      <c r="B37" s="813" t="s">
        <v>2628</v>
      </c>
      <c r="C37" s="814" t="s">
        <v>240</v>
      </c>
      <c r="D37" s="814">
        <v>1.65</v>
      </c>
      <c r="E37" s="815">
        <v>7.46</v>
      </c>
      <c r="F37" s="815">
        <v>157.27000000000001</v>
      </c>
      <c r="G37" s="815">
        <v>19.2</v>
      </c>
    </row>
    <row r="38" spans="1:7" s="819" customFormat="1" ht="9.4" customHeight="1" x14ac:dyDescent="0.2">
      <c r="A38" s="812">
        <v>20087</v>
      </c>
      <c r="B38" s="813" t="s">
        <v>2629</v>
      </c>
      <c r="C38" s="814" t="s">
        <v>240</v>
      </c>
      <c r="D38" s="814">
        <v>2.2599999999999998</v>
      </c>
      <c r="E38" s="815">
        <v>10.220000000000001</v>
      </c>
      <c r="F38" s="815">
        <v>157.27000000000001</v>
      </c>
      <c r="G38" s="815">
        <v>26.3</v>
      </c>
    </row>
    <row r="39" spans="1:7" s="819" customFormat="1" ht="9.4" customHeight="1" x14ac:dyDescent="0.2">
      <c r="A39" s="812">
        <v>20088</v>
      </c>
      <c r="B39" s="813" t="s">
        <v>2630</v>
      </c>
      <c r="C39" s="814" t="s">
        <v>240</v>
      </c>
      <c r="D39" s="814">
        <v>1.24</v>
      </c>
      <c r="E39" s="815">
        <v>5.61</v>
      </c>
      <c r="F39" s="815">
        <v>157.27000000000001</v>
      </c>
      <c r="G39" s="815">
        <v>14.43</v>
      </c>
    </row>
    <row r="40" spans="1:7" s="819" customFormat="1" ht="9.4" customHeight="1" x14ac:dyDescent="0.2">
      <c r="A40" s="812">
        <v>20157</v>
      </c>
      <c r="B40" s="813" t="s">
        <v>2631</v>
      </c>
      <c r="C40" s="814" t="s">
        <v>240</v>
      </c>
      <c r="D40" s="814">
        <v>5</v>
      </c>
      <c r="E40" s="815">
        <v>22.62</v>
      </c>
      <c r="F40" s="815">
        <v>157.27000000000001</v>
      </c>
      <c r="G40" s="815">
        <v>58.2</v>
      </c>
    </row>
    <row r="41" spans="1:7" s="819" customFormat="1" ht="9.4" customHeight="1" x14ac:dyDescent="0.2">
      <c r="A41" s="812">
        <v>20092</v>
      </c>
      <c r="B41" s="813" t="s">
        <v>2632</v>
      </c>
      <c r="C41" s="814" t="s">
        <v>240</v>
      </c>
      <c r="D41" s="814">
        <v>1.24</v>
      </c>
      <c r="E41" s="815">
        <v>5.61</v>
      </c>
      <c r="F41" s="815">
        <v>157.27000000000001</v>
      </c>
      <c r="G41" s="815">
        <v>14.43</v>
      </c>
    </row>
    <row r="42" spans="1:7" s="819" customFormat="1" ht="9.4" customHeight="1" x14ac:dyDescent="0.2">
      <c r="A42" s="812">
        <v>20093</v>
      </c>
      <c r="B42" s="813" t="s">
        <v>2633</v>
      </c>
      <c r="C42" s="814" t="s">
        <v>240</v>
      </c>
      <c r="D42" s="814">
        <v>1.24</v>
      </c>
      <c r="E42" s="815">
        <v>5.61</v>
      </c>
      <c r="F42" s="815">
        <v>157.27000000000001</v>
      </c>
      <c r="G42" s="815">
        <v>14.43</v>
      </c>
    </row>
    <row r="43" spans="1:7" s="819" customFormat="1" ht="9.4" customHeight="1" x14ac:dyDescent="0.2">
      <c r="A43" s="812">
        <v>20095</v>
      </c>
      <c r="B43" s="813" t="s">
        <v>2634</v>
      </c>
      <c r="C43" s="814" t="s">
        <v>240</v>
      </c>
      <c r="D43" s="814">
        <v>1.24</v>
      </c>
      <c r="E43" s="815">
        <v>5.61</v>
      </c>
      <c r="F43" s="815">
        <v>157.27000000000001</v>
      </c>
      <c r="G43" s="815">
        <v>14.43</v>
      </c>
    </row>
    <row r="44" spans="1:7" s="819" customFormat="1" ht="9.4" customHeight="1" x14ac:dyDescent="0.2">
      <c r="A44" s="812">
        <v>20096</v>
      </c>
      <c r="B44" s="813" t="s">
        <v>2635</v>
      </c>
      <c r="C44" s="814" t="s">
        <v>240</v>
      </c>
      <c r="D44" s="814">
        <v>1.96</v>
      </c>
      <c r="E44" s="815">
        <v>8.86</v>
      </c>
      <c r="F44" s="815">
        <v>157.27000000000001</v>
      </c>
      <c r="G44" s="815">
        <v>22.81</v>
      </c>
    </row>
    <row r="45" spans="1:7" s="819" customFormat="1" ht="9.4" customHeight="1" x14ac:dyDescent="0.2">
      <c r="A45" s="812">
        <v>20097</v>
      </c>
      <c r="B45" s="813" t="s">
        <v>2636</v>
      </c>
      <c r="C45" s="814" t="s">
        <v>240</v>
      </c>
      <c r="D45" s="814">
        <v>2</v>
      </c>
      <c r="E45" s="815">
        <v>9.0399999999999991</v>
      </c>
      <c r="F45" s="815">
        <v>157.27000000000001</v>
      </c>
      <c r="G45" s="815">
        <v>23.28</v>
      </c>
    </row>
    <row r="46" spans="1:7" s="819" customFormat="1" ht="9.4" customHeight="1" x14ac:dyDescent="0.2">
      <c r="A46" s="812">
        <v>20099</v>
      </c>
      <c r="B46" s="813" t="s">
        <v>2637</v>
      </c>
      <c r="C46" s="814" t="s">
        <v>240</v>
      </c>
      <c r="D46" s="814">
        <v>1.65</v>
      </c>
      <c r="E46" s="815">
        <v>7.46</v>
      </c>
      <c r="F46" s="815">
        <v>157.27000000000001</v>
      </c>
      <c r="G46" s="815">
        <v>19.2</v>
      </c>
    </row>
    <row r="47" spans="1:7" s="819" customFormat="1" ht="9.4" customHeight="1" x14ac:dyDescent="0.2">
      <c r="A47" s="812">
        <v>20100</v>
      </c>
      <c r="B47" s="813" t="s">
        <v>2638</v>
      </c>
      <c r="C47" s="814" t="s">
        <v>240</v>
      </c>
      <c r="D47" s="814">
        <v>1.65</v>
      </c>
      <c r="E47" s="815">
        <v>7.46</v>
      </c>
      <c r="F47" s="815">
        <v>157.27000000000001</v>
      </c>
      <c r="G47" s="815">
        <v>19.2</v>
      </c>
    </row>
    <row r="48" spans="1:7" s="819" customFormat="1" ht="9.4" customHeight="1" x14ac:dyDescent="0.2">
      <c r="A48" s="812">
        <v>20101</v>
      </c>
      <c r="B48" s="813" t="s">
        <v>2639</v>
      </c>
      <c r="C48" s="814" t="s">
        <v>240</v>
      </c>
      <c r="D48" s="814">
        <v>1.55</v>
      </c>
      <c r="E48" s="815">
        <v>7.01</v>
      </c>
      <c r="F48" s="815">
        <v>157.27000000000001</v>
      </c>
      <c r="G48" s="815">
        <v>18.04</v>
      </c>
    </row>
    <row r="49" spans="1:7" s="819" customFormat="1" ht="9.4" customHeight="1" x14ac:dyDescent="0.2">
      <c r="A49" s="812">
        <v>20102</v>
      </c>
      <c r="B49" s="813" t="s">
        <v>2640</v>
      </c>
      <c r="C49" s="814" t="s">
        <v>240</v>
      </c>
      <c r="D49" s="814">
        <v>1.96</v>
      </c>
      <c r="E49" s="815">
        <v>8.86</v>
      </c>
      <c r="F49" s="815">
        <v>157.27000000000001</v>
      </c>
      <c r="G49" s="815">
        <v>22.81</v>
      </c>
    </row>
    <row r="50" spans="1:7" s="819" customFormat="1" ht="9.4" customHeight="1" x14ac:dyDescent="0.2">
      <c r="A50" s="812">
        <v>20103</v>
      </c>
      <c r="B50" s="813" t="s">
        <v>2641</v>
      </c>
      <c r="C50" s="814" t="s">
        <v>240</v>
      </c>
      <c r="D50" s="814">
        <v>1.55</v>
      </c>
      <c r="E50" s="815">
        <v>7.01</v>
      </c>
      <c r="F50" s="815">
        <v>157.27000000000001</v>
      </c>
      <c r="G50" s="815">
        <v>18.04</v>
      </c>
    </row>
    <row r="51" spans="1:7" s="819" customFormat="1" ht="9.4" customHeight="1" x14ac:dyDescent="0.2">
      <c r="A51" s="812">
        <v>20104</v>
      </c>
      <c r="B51" s="813" t="s">
        <v>2642</v>
      </c>
      <c r="C51" s="814" t="s">
        <v>240</v>
      </c>
      <c r="D51" s="814">
        <v>1.96</v>
      </c>
      <c r="E51" s="815">
        <v>8.86</v>
      </c>
      <c r="F51" s="815">
        <v>157.27000000000001</v>
      </c>
      <c r="G51" s="815">
        <v>22.81</v>
      </c>
    </row>
    <row r="52" spans="1:7" s="819" customFormat="1" ht="9.4" customHeight="1" x14ac:dyDescent="0.2">
      <c r="A52" s="812">
        <v>20173</v>
      </c>
      <c r="B52" s="813" t="s">
        <v>2643</v>
      </c>
      <c r="C52" s="814" t="s">
        <v>240</v>
      </c>
      <c r="D52" s="814">
        <v>1.24</v>
      </c>
      <c r="E52" s="815">
        <v>5.61</v>
      </c>
      <c r="F52" s="815">
        <v>157.27000000000001</v>
      </c>
      <c r="G52" s="815">
        <v>14.43</v>
      </c>
    </row>
    <row r="53" spans="1:7" s="819" customFormat="1" ht="9.4" customHeight="1" x14ac:dyDescent="0.2">
      <c r="A53" s="812">
        <v>20106</v>
      </c>
      <c r="B53" s="813" t="s">
        <v>2644</v>
      </c>
      <c r="C53" s="814" t="s">
        <v>240</v>
      </c>
      <c r="D53" s="814">
        <v>1.96</v>
      </c>
      <c r="E53" s="815">
        <v>8.86</v>
      </c>
      <c r="F53" s="815">
        <v>157.27000000000001</v>
      </c>
      <c r="G53" s="815">
        <v>22.81</v>
      </c>
    </row>
    <row r="54" spans="1:7" s="819" customFormat="1" ht="9.4" customHeight="1" x14ac:dyDescent="0.2">
      <c r="A54" s="812">
        <v>20107</v>
      </c>
      <c r="B54" s="813" t="s">
        <v>2645</v>
      </c>
      <c r="C54" s="814" t="s">
        <v>240</v>
      </c>
      <c r="D54" s="814">
        <v>1.02</v>
      </c>
      <c r="E54" s="815">
        <v>4.6100000000000003</v>
      </c>
      <c r="F54" s="815">
        <v>157.27000000000001</v>
      </c>
      <c r="G54" s="815">
        <v>11.87</v>
      </c>
    </row>
    <row r="55" spans="1:7" s="819" customFormat="1" ht="9.4" customHeight="1" x14ac:dyDescent="0.2">
      <c r="A55" s="812">
        <v>20108</v>
      </c>
      <c r="B55" s="813" t="s">
        <v>2646</v>
      </c>
      <c r="C55" s="814" t="s">
        <v>240</v>
      </c>
      <c r="D55" s="814">
        <v>1.55</v>
      </c>
      <c r="E55" s="815">
        <v>7.01</v>
      </c>
      <c r="F55" s="815">
        <v>157.27000000000001</v>
      </c>
      <c r="G55" s="815">
        <v>18.04</v>
      </c>
    </row>
    <row r="56" spans="1:7" s="819" customFormat="1" ht="9.4" customHeight="1" x14ac:dyDescent="0.2">
      <c r="A56" s="812">
        <v>20109</v>
      </c>
      <c r="B56" s="813" t="s">
        <v>2647</v>
      </c>
      <c r="C56" s="814" t="s">
        <v>240</v>
      </c>
      <c r="D56" s="814">
        <v>1.24</v>
      </c>
      <c r="E56" s="815">
        <v>5.61</v>
      </c>
      <c r="F56" s="815">
        <v>157.27000000000001</v>
      </c>
      <c r="G56" s="815">
        <v>14.43</v>
      </c>
    </row>
    <row r="57" spans="1:7" s="819" customFormat="1" ht="9.4" customHeight="1" x14ac:dyDescent="0.2">
      <c r="A57" s="812">
        <v>20110</v>
      </c>
      <c r="B57" s="813" t="s">
        <v>2648</v>
      </c>
      <c r="C57" s="814" t="s">
        <v>240</v>
      </c>
      <c r="D57" s="814">
        <v>1.65</v>
      </c>
      <c r="E57" s="815">
        <v>7.46</v>
      </c>
      <c r="F57" s="815">
        <v>157.27000000000001</v>
      </c>
      <c r="G57" s="815">
        <v>19.2</v>
      </c>
    </row>
    <row r="58" spans="1:7" s="819" customFormat="1" ht="9.4" customHeight="1" x14ac:dyDescent="0.2">
      <c r="A58" s="812">
        <v>20111</v>
      </c>
      <c r="B58" s="813" t="s">
        <v>2649</v>
      </c>
      <c r="C58" s="814" t="s">
        <v>240</v>
      </c>
      <c r="D58" s="814">
        <v>1.24</v>
      </c>
      <c r="E58" s="815">
        <v>5.61</v>
      </c>
      <c r="F58" s="815">
        <v>157.27000000000001</v>
      </c>
      <c r="G58" s="815">
        <v>14.43</v>
      </c>
    </row>
    <row r="59" spans="1:7" s="819" customFormat="1" ht="9.4" customHeight="1" x14ac:dyDescent="0.2">
      <c r="A59" s="812">
        <v>20112</v>
      </c>
      <c r="B59" s="813" t="s">
        <v>2650</v>
      </c>
      <c r="C59" s="814" t="s">
        <v>240</v>
      </c>
      <c r="D59" s="814">
        <v>1.24</v>
      </c>
      <c r="E59" s="815">
        <v>5.61</v>
      </c>
      <c r="F59" s="815">
        <v>157.27000000000001</v>
      </c>
      <c r="G59" s="815">
        <v>14.43</v>
      </c>
    </row>
    <row r="60" spans="1:7" s="819" customFormat="1" ht="9.4" customHeight="1" x14ac:dyDescent="0.2">
      <c r="A60" s="812">
        <v>20156</v>
      </c>
      <c r="B60" s="813" t="s">
        <v>2651</v>
      </c>
      <c r="C60" s="814" t="s">
        <v>240</v>
      </c>
      <c r="D60" s="814">
        <v>1.24</v>
      </c>
      <c r="E60" s="815">
        <v>5.61</v>
      </c>
      <c r="F60" s="815">
        <v>157.27000000000001</v>
      </c>
      <c r="G60" s="815">
        <v>14.43</v>
      </c>
    </row>
    <row r="61" spans="1:7" s="819" customFormat="1" ht="9.4" customHeight="1" x14ac:dyDescent="0.2">
      <c r="A61" s="812">
        <v>20115</v>
      </c>
      <c r="B61" s="813" t="s">
        <v>2652</v>
      </c>
      <c r="C61" s="814" t="s">
        <v>240</v>
      </c>
      <c r="D61" s="814">
        <v>1.65</v>
      </c>
      <c r="E61" s="815">
        <v>7.46</v>
      </c>
      <c r="F61" s="815">
        <v>157.27000000000001</v>
      </c>
      <c r="G61" s="815">
        <v>19.2</v>
      </c>
    </row>
    <row r="62" spans="1:7" s="819" customFormat="1" ht="9.4" customHeight="1" x14ac:dyDescent="0.2">
      <c r="A62" s="812">
        <v>20002</v>
      </c>
      <c r="B62" s="813" t="s">
        <v>66</v>
      </c>
      <c r="C62" s="814" t="s">
        <v>240</v>
      </c>
      <c r="D62" s="814">
        <v>1</v>
      </c>
      <c r="E62" s="815">
        <v>4.5199999999999996</v>
      </c>
      <c r="F62" s="815">
        <v>157.27000000000001</v>
      </c>
      <c r="G62" s="815">
        <v>11.64</v>
      </c>
    </row>
    <row r="63" spans="1:7" s="819" customFormat="1" ht="9.4" customHeight="1" x14ac:dyDescent="0.2">
      <c r="A63" s="812">
        <v>20003</v>
      </c>
      <c r="B63" s="813" t="s">
        <v>2653</v>
      </c>
      <c r="C63" s="814" t="s">
        <v>240</v>
      </c>
      <c r="D63" s="814">
        <v>1</v>
      </c>
      <c r="E63" s="815">
        <v>4.5199999999999996</v>
      </c>
      <c r="F63" s="815">
        <v>157.27000000000001</v>
      </c>
      <c r="G63" s="815">
        <v>11.64</v>
      </c>
    </row>
    <row r="64" spans="1:7" s="819" customFormat="1" ht="9.4" customHeight="1" x14ac:dyDescent="0.2">
      <c r="A64" s="812">
        <v>20004</v>
      </c>
      <c r="B64" s="813" t="s">
        <v>2654</v>
      </c>
      <c r="C64" s="814" t="s">
        <v>240</v>
      </c>
      <c r="D64" s="814">
        <v>1</v>
      </c>
      <c r="E64" s="815">
        <v>4.5199999999999996</v>
      </c>
      <c r="F64" s="815">
        <v>157.27000000000001</v>
      </c>
      <c r="G64" s="815">
        <v>11.64</v>
      </c>
    </row>
    <row r="65" spans="1:7" s="819" customFormat="1" ht="9.4" customHeight="1" x14ac:dyDescent="0.2">
      <c r="A65" s="812">
        <v>20005</v>
      </c>
      <c r="B65" s="813" t="s">
        <v>2655</v>
      </c>
      <c r="C65" s="814" t="s">
        <v>240</v>
      </c>
      <c r="D65" s="814">
        <v>1.96</v>
      </c>
      <c r="E65" s="815">
        <v>8.86</v>
      </c>
      <c r="F65" s="815">
        <v>157.27000000000001</v>
      </c>
      <c r="G65" s="815">
        <v>22.81</v>
      </c>
    </row>
    <row r="66" spans="1:7" s="819" customFormat="1" ht="9.4" customHeight="1" x14ac:dyDescent="0.2">
      <c r="A66" s="812">
        <v>20006</v>
      </c>
      <c r="B66" s="813" t="s">
        <v>2656</v>
      </c>
      <c r="C66" s="814" t="s">
        <v>240</v>
      </c>
      <c r="D66" s="814">
        <v>1.96</v>
      </c>
      <c r="E66" s="815">
        <v>8.86</v>
      </c>
      <c r="F66" s="815">
        <v>157.27000000000001</v>
      </c>
      <c r="G66" s="815">
        <v>22.81</v>
      </c>
    </row>
    <row r="67" spans="1:7" s="819" customFormat="1" ht="9.4" customHeight="1" x14ac:dyDescent="0.2">
      <c r="A67" s="812">
        <v>20117</v>
      </c>
      <c r="B67" s="813" t="s">
        <v>2657</v>
      </c>
      <c r="C67" s="814" t="s">
        <v>240</v>
      </c>
      <c r="D67" s="814">
        <v>5.14</v>
      </c>
      <c r="E67" s="815">
        <v>23.25</v>
      </c>
      <c r="F67" s="815">
        <v>157.27000000000001</v>
      </c>
      <c r="G67" s="815">
        <v>59.82</v>
      </c>
    </row>
    <row r="68" spans="1:7" s="819" customFormat="1" ht="9.4" customHeight="1" x14ac:dyDescent="0.2">
      <c r="A68" s="812">
        <v>20017</v>
      </c>
      <c r="B68" s="813" t="s">
        <v>2658</v>
      </c>
      <c r="C68" s="814" t="s">
        <v>240</v>
      </c>
      <c r="D68" s="814">
        <v>1.65</v>
      </c>
      <c r="E68" s="815">
        <v>7.46</v>
      </c>
      <c r="F68" s="815">
        <v>157.27000000000001</v>
      </c>
      <c r="G68" s="815">
        <v>19.2</v>
      </c>
    </row>
    <row r="69" spans="1:7" s="819" customFormat="1" ht="9.4" customHeight="1" x14ac:dyDescent="0.2">
      <c r="A69" s="812">
        <v>20018</v>
      </c>
      <c r="B69" s="813" t="s">
        <v>2659</v>
      </c>
      <c r="C69" s="814" t="s">
        <v>240</v>
      </c>
      <c r="D69" s="814">
        <v>1.65</v>
      </c>
      <c r="E69" s="815">
        <v>7.46</v>
      </c>
      <c r="F69" s="815">
        <v>157.27000000000001</v>
      </c>
      <c r="G69" s="815">
        <v>19.2</v>
      </c>
    </row>
    <row r="70" spans="1:7" s="819" customFormat="1" ht="9.4" customHeight="1" x14ac:dyDescent="0.2">
      <c r="A70" s="812">
        <v>20019</v>
      </c>
      <c r="B70" s="813" t="s">
        <v>2660</v>
      </c>
      <c r="C70" s="814" t="s">
        <v>240</v>
      </c>
      <c r="D70" s="814">
        <v>1</v>
      </c>
      <c r="E70" s="815">
        <v>4.5199999999999996</v>
      </c>
      <c r="F70" s="815">
        <v>157.27000000000001</v>
      </c>
      <c r="G70" s="815">
        <v>11.64</v>
      </c>
    </row>
    <row r="71" spans="1:7" ht="14.25" x14ac:dyDescent="0.2">
      <c r="A71" s="862"/>
      <c r="B71" s="1109" t="s">
        <v>1825</v>
      </c>
      <c r="C71" s="1110"/>
      <c r="D71" s="1110"/>
      <c r="E71" s="1110"/>
      <c r="F71" s="1110"/>
      <c r="G71" s="1111"/>
    </row>
    <row r="72" spans="1:7" ht="14.25" x14ac:dyDescent="0.2">
      <c r="A72" s="812">
        <v>20000</v>
      </c>
      <c r="B72" s="813" t="s">
        <v>2661</v>
      </c>
      <c r="C72" s="814" t="s">
        <v>2135</v>
      </c>
      <c r="D72" s="814"/>
      <c r="E72" s="816">
        <v>8109</v>
      </c>
      <c r="F72" s="816">
        <v>84.04</v>
      </c>
      <c r="G72" s="816">
        <v>14923.8</v>
      </c>
    </row>
    <row r="73" spans="1:7" ht="14.25" x14ac:dyDescent="0.2">
      <c r="A73" s="812">
        <v>20028</v>
      </c>
      <c r="B73" s="813" t="s">
        <v>2662</v>
      </c>
      <c r="C73" s="814" t="s">
        <v>2135</v>
      </c>
      <c r="D73" s="814"/>
      <c r="E73" s="816">
        <v>8109</v>
      </c>
      <c r="F73" s="816">
        <v>84.04</v>
      </c>
      <c r="G73" s="816">
        <v>14923.8</v>
      </c>
    </row>
    <row r="74" spans="1:7" ht="14.25" x14ac:dyDescent="0.2">
      <c r="A74" s="812">
        <v>20105</v>
      </c>
      <c r="B74" s="813" t="s">
        <v>2663</v>
      </c>
      <c r="C74" s="814" t="s">
        <v>2135</v>
      </c>
      <c r="D74" s="814"/>
      <c r="E74" s="816">
        <v>8690.41</v>
      </c>
      <c r="F74" s="816">
        <v>84.04</v>
      </c>
      <c r="G74" s="816">
        <v>15993.83</v>
      </c>
    </row>
    <row r="75" spans="1:7" s="819" customFormat="1" ht="9.4" customHeight="1" x14ac:dyDescent="0.2">
      <c r="A75" s="812">
        <v>20001</v>
      </c>
      <c r="B75" s="813" t="s">
        <v>2664</v>
      </c>
      <c r="C75" s="814" t="s">
        <v>2135</v>
      </c>
      <c r="D75" s="814"/>
      <c r="E75" s="816">
        <v>13502.3</v>
      </c>
      <c r="F75" s="816">
        <v>84.04</v>
      </c>
      <c r="G75" s="816">
        <v>24849.63</v>
      </c>
    </row>
    <row r="76" spans="1:7" s="819" customFormat="1" ht="9.4" customHeight="1" x14ac:dyDescent="0.2">
      <c r="A76" s="812">
        <v>20021</v>
      </c>
      <c r="B76" s="813" t="s">
        <v>2665</v>
      </c>
      <c r="C76" s="814" t="s">
        <v>2135</v>
      </c>
      <c r="D76" s="814"/>
      <c r="E76" s="816">
        <v>1902.9</v>
      </c>
      <c r="F76" s="816">
        <v>84.04</v>
      </c>
      <c r="G76" s="816">
        <v>3502.09</v>
      </c>
    </row>
    <row r="77" spans="1:7" s="819" customFormat="1" ht="9.4" customHeight="1" x14ac:dyDescent="0.2">
      <c r="A77" s="812">
        <v>20023</v>
      </c>
      <c r="B77" s="813" t="s">
        <v>2666</v>
      </c>
      <c r="C77" s="814" t="s">
        <v>2135</v>
      </c>
      <c r="D77" s="814"/>
      <c r="E77" s="816">
        <v>2117.19</v>
      </c>
      <c r="F77" s="816">
        <v>84.04</v>
      </c>
      <c r="G77" s="816">
        <v>3896.47</v>
      </c>
    </row>
    <row r="78" spans="1:7" s="819" customFormat="1" ht="9.4" customHeight="1" x14ac:dyDescent="0.2">
      <c r="A78" s="812">
        <v>20025</v>
      </c>
      <c r="B78" s="813" t="s">
        <v>2667</v>
      </c>
      <c r="C78" s="814" t="s">
        <v>2135</v>
      </c>
      <c r="D78" s="814"/>
      <c r="E78" s="816">
        <v>1902.9</v>
      </c>
      <c r="F78" s="816">
        <v>84.04</v>
      </c>
      <c r="G78" s="816">
        <v>3502.09</v>
      </c>
    </row>
    <row r="79" spans="1:7" s="819" customFormat="1" ht="9.4" customHeight="1" x14ac:dyDescent="0.2">
      <c r="A79" s="812">
        <v>20026</v>
      </c>
      <c r="B79" s="813" t="s">
        <v>2668</v>
      </c>
      <c r="C79" s="814" t="s">
        <v>2135</v>
      </c>
      <c r="D79" s="814"/>
      <c r="E79" s="816">
        <v>2117.19</v>
      </c>
      <c r="F79" s="816">
        <v>84.04</v>
      </c>
      <c r="G79" s="816">
        <v>3896.47</v>
      </c>
    </row>
    <row r="80" spans="1:7" s="819" customFormat="1" ht="9.4" customHeight="1" x14ac:dyDescent="0.2">
      <c r="A80" s="812">
        <v>100387</v>
      </c>
      <c r="B80" s="813" t="s">
        <v>2669</v>
      </c>
      <c r="C80" s="814" t="s">
        <v>2135</v>
      </c>
      <c r="D80" s="814"/>
      <c r="E80" s="816">
        <v>1658.9</v>
      </c>
      <c r="F80" s="816">
        <v>84.04</v>
      </c>
      <c r="G80" s="816">
        <v>3053.03</v>
      </c>
    </row>
    <row r="81" spans="1:7" s="819" customFormat="1" ht="9.4" customHeight="1" x14ac:dyDescent="0.2">
      <c r="A81" s="812">
        <v>20029</v>
      </c>
      <c r="B81" s="813" t="s">
        <v>2670</v>
      </c>
      <c r="C81" s="814" t="s">
        <v>2135</v>
      </c>
      <c r="D81" s="814"/>
      <c r="E81" s="816">
        <v>2117.19</v>
      </c>
      <c r="F81" s="816">
        <v>84.04</v>
      </c>
      <c r="G81" s="816">
        <v>3896.47</v>
      </c>
    </row>
    <row r="82" spans="1:7" s="819" customFormat="1" ht="9.4" customHeight="1" x14ac:dyDescent="0.2">
      <c r="A82" s="812">
        <v>20031</v>
      </c>
      <c r="B82" s="813" t="s">
        <v>2671</v>
      </c>
      <c r="C82" s="814" t="s">
        <v>2135</v>
      </c>
      <c r="D82" s="814"/>
      <c r="E82" s="816">
        <v>2117.19</v>
      </c>
      <c r="F82" s="816">
        <v>84.04</v>
      </c>
      <c r="G82" s="816">
        <v>3896.47</v>
      </c>
    </row>
    <row r="83" spans="1:7" s="819" customFormat="1" ht="9.4" customHeight="1" x14ac:dyDescent="0.2">
      <c r="A83" s="812">
        <v>20032</v>
      </c>
      <c r="B83" s="813" t="s">
        <v>2672</v>
      </c>
      <c r="C83" s="814" t="s">
        <v>2135</v>
      </c>
      <c r="D83" s="814"/>
      <c r="E83" s="816">
        <v>2117.19</v>
      </c>
      <c r="F83" s="816">
        <v>84.04</v>
      </c>
      <c r="G83" s="816">
        <v>3896.47</v>
      </c>
    </row>
    <row r="84" spans="1:7" s="819" customFormat="1" ht="9.4" customHeight="1" x14ac:dyDescent="0.2">
      <c r="A84" s="812">
        <v>20024</v>
      </c>
      <c r="B84" s="813" t="s">
        <v>2673</v>
      </c>
      <c r="C84" s="814" t="s">
        <v>2135</v>
      </c>
      <c r="D84" s="814"/>
      <c r="E84" s="816">
        <v>3530.9</v>
      </c>
      <c r="F84" s="816">
        <v>84.04</v>
      </c>
      <c r="G84" s="816">
        <v>6498.26</v>
      </c>
    </row>
    <row r="85" spans="1:7" s="819" customFormat="1" ht="9.4" customHeight="1" x14ac:dyDescent="0.2">
      <c r="A85" s="812">
        <v>20044</v>
      </c>
      <c r="B85" s="813" t="s">
        <v>2674</v>
      </c>
      <c r="C85" s="814" t="s">
        <v>2135</v>
      </c>
      <c r="D85" s="814"/>
      <c r="E85" s="816">
        <v>8109</v>
      </c>
      <c r="F85" s="816">
        <v>84.04</v>
      </c>
      <c r="G85" s="816">
        <v>14923.8</v>
      </c>
    </row>
    <row r="86" spans="1:7" s="819" customFormat="1" ht="9.4" customHeight="1" x14ac:dyDescent="0.2">
      <c r="A86" s="812">
        <v>20048</v>
      </c>
      <c r="B86" s="813" t="s">
        <v>2675</v>
      </c>
      <c r="C86" s="814" t="s">
        <v>2135</v>
      </c>
      <c r="D86" s="814"/>
      <c r="E86" s="816">
        <v>3530.9</v>
      </c>
      <c r="F86" s="816">
        <v>84.04</v>
      </c>
      <c r="G86" s="816">
        <v>6498.26</v>
      </c>
    </row>
    <row r="87" spans="1:7" s="819" customFormat="1" ht="9.4" customHeight="1" x14ac:dyDescent="0.2">
      <c r="A87" s="812">
        <v>20049</v>
      </c>
      <c r="B87" s="813" t="s">
        <v>2676</v>
      </c>
      <c r="C87" s="814" t="s">
        <v>2135</v>
      </c>
      <c r="D87" s="814"/>
      <c r="E87" s="816">
        <v>4668.95</v>
      </c>
      <c r="F87" s="816">
        <v>84.04</v>
      </c>
      <c r="G87" s="816">
        <v>8592.73</v>
      </c>
    </row>
    <row r="88" spans="1:7" s="819" customFormat="1" ht="9.4" customHeight="1" x14ac:dyDescent="0.2">
      <c r="A88" s="812">
        <v>20051</v>
      </c>
      <c r="B88" s="813" t="s">
        <v>67</v>
      </c>
      <c r="C88" s="814" t="s">
        <v>2135</v>
      </c>
      <c r="D88" s="814"/>
      <c r="E88" s="816">
        <v>6121.44</v>
      </c>
      <c r="F88" s="816">
        <v>84.04</v>
      </c>
      <c r="G88" s="816">
        <v>11265.89</v>
      </c>
    </row>
    <row r="89" spans="1:7" s="819" customFormat="1" ht="9.4" customHeight="1" x14ac:dyDescent="0.2">
      <c r="A89" s="812">
        <v>20052</v>
      </c>
      <c r="B89" s="813" t="s">
        <v>2677</v>
      </c>
      <c r="C89" s="814" t="s">
        <v>2135</v>
      </c>
      <c r="D89" s="814"/>
      <c r="E89" s="816">
        <v>2117.19</v>
      </c>
      <c r="F89" s="816">
        <v>84.04</v>
      </c>
      <c r="G89" s="816">
        <v>3896.47</v>
      </c>
    </row>
    <row r="90" spans="1:7" s="819" customFormat="1" ht="9.4" customHeight="1" x14ac:dyDescent="0.2">
      <c r="A90" s="812">
        <v>20054</v>
      </c>
      <c r="B90" s="813" t="s">
        <v>2678</v>
      </c>
      <c r="C90" s="814" t="s">
        <v>2135</v>
      </c>
      <c r="D90" s="814"/>
      <c r="E90" s="816">
        <v>8109</v>
      </c>
      <c r="F90" s="816">
        <v>84.04</v>
      </c>
      <c r="G90" s="816">
        <v>14923.8</v>
      </c>
    </row>
    <row r="91" spans="1:7" s="819" customFormat="1" ht="9.4" customHeight="1" x14ac:dyDescent="0.2">
      <c r="A91" s="812">
        <v>20077</v>
      </c>
      <c r="B91" s="813" t="s">
        <v>2679</v>
      </c>
      <c r="C91" s="814" t="s">
        <v>2135</v>
      </c>
      <c r="D91" s="814"/>
      <c r="E91" s="816">
        <v>8109</v>
      </c>
      <c r="F91" s="816">
        <v>84.04</v>
      </c>
      <c r="G91" s="816">
        <v>14923.8</v>
      </c>
    </row>
    <row r="92" spans="1:7" s="819" customFormat="1" ht="9.4" customHeight="1" x14ac:dyDescent="0.2">
      <c r="A92" s="812">
        <v>20073</v>
      </c>
      <c r="B92" s="813" t="s">
        <v>2680</v>
      </c>
      <c r="C92" s="814" t="s">
        <v>2135</v>
      </c>
      <c r="D92" s="814"/>
      <c r="E92" s="816">
        <v>17135.73</v>
      </c>
      <c r="F92" s="816">
        <v>84.04</v>
      </c>
      <c r="G92" s="816">
        <v>31536.59</v>
      </c>
    </row>
    <row r="93" spans="1:7" s="819" customFormat="1" ht="9.4" customHeight="1" x14ac:dyDescent="0.2">
      <c r="A93" s="812">
        <v>20070</v>
      </c>
      <c r="B93" s="813" t="s">
        <v>2681</v>
      </c>
      <c r="C93" s="814" t="s">
        <v>2135</v>
      </c>
      <c r="D93" s="814"/>
      <c r="E93" s="816">
        <v>8690.41</v>
      </c>
      <c r="F93" s="816">
        <v>84.04</v>
      </c>
      <c r="G93" s="816">
        <v>15993.83</v>
      </c>
    </row>
    <row r="94" spans="1:7" s="819" customFormat="1" ht="9.4" customHeight="1" x14ac:dyDescent="0.2">
      <c r="A94" s="812">
        <v>20069</v>
      </c>
      <c r="B94" s="813" t="s">
        <v>2682</v>
      </c>
      <c r="C94" s="814" t="s">
        <v>2135</v>
      </c>
      <c r="D94" s="814"/>
      <c r="E94" s="816">
        <v>10563.18</v>
      </c>
      <c r="F94" s="816">
        <v>84.04</v>
      </c>
      <c r="G94" s="816">
        <v>19440.47</v>
      </c>
    </row>
    <row r="95" spans="1:7" s="819" customFormat="1" ht="9.4" customHeight="1" x14ac:dyDescent="0.2">
      <c r="A95" s="812">
        <v>20079</v>
      </c>
      <c r="B95" s="813" t="s">
        <v>2683</v>
      </c>
      <c r="C95" s="814" t="s">
        <v>2135</v>
      </c>
      <c r="D95" s="814"/>
      <c r="E95" s="816">
        <v>13502.3</v>
      </c>
      <c r="F95" s="816">
        <v>84.04</v>
      </c>
      <c r="G95" s="816">
        <v>24849.63</v>
      </c>
    </row>
    <row r="96" spans="1:7" s="819" customFormat="1" ht="9.4" customHeight="1" x14ac:dyDescent="0.2">
      <c r="A96" s="812">
        <v>20153</v>
      </c>
      <c r="B96" s="813" t="s">
        <v>2684</v>
      </c>
      <c r="C96" s="814" t="s">
        <v>2135</v>
      </c>
      <c r="D96" s="814"/>
      <c r="E96" s="816">
        <v>17135.73</v>
      </c>
      <c r="F96" s="816">
        <v>84.04</v>
      </c>
      <c r="G96" s="816">
        <v>31536.59</v>
      </c>
    </row>
    <row r="97" spans="1:7" s="819" customFormat="1" ht="9.4" customHeight="1" x14ac:dyDescent="0.2">
      <c r="A97" s="812">
        <v>20084</v>
      </c>
      <c r="B97" s="813" t="s">
        <v>2685</v>
      </c>
      <c r="C97" s="814" t="s">
        <v>2135</v>
      </c>
      <c r="D97" s="814"/>
      <c r="E97" s="816">
        <v>13502.3</v>
      </c>
      <c r="F97" s="816">
        <v>84.04</v>
      </c>
      <c r="G97" s="816">
        <v>24849.63</v>
      </c>
    </row>
    <row r="98" spans="1:7" s="819" customFormat="1" ht="9.4" customHeight="1" x14ac:dyDescent="0.2">
      <c r="A98" s="812">
        <v>20089</v>
      </c>
      <c r="B98" s="813" t="s">
        <v>2686</v>
      </c>
      <c r="C98" s="814" t="s">
        <v>2135</v>
      </c>
      <c r="D98" s="814"/>
      <c r="E98" s="816">
        <v>3530.9</v>
      </c>
      <c r="F98" s="816">
        <v>84.04</v>
      </c>
      <c r="G98" s="816">
        <v>6498.26</v>
      </c>
    </row>
    <row r="99" spans="1:7" s="819" customFormat="1" ht="9.4" customHeight="1" x14ac:dyDescent="0.2">
      <c r="A99" s="812">
        <v>20090</v>
      </c>
      <c r="B99" s="813" t="s">
        <v>2687</v>
      </c>
      <c r="C99" s="814" t="s">
        <v>2135</v>
      </c>
      <c r="D99" s="814"/>
      <c r="E99" s="816">
        <v>2834.03</v>
      </c>
      <c r="F99" s="816">
        <v>84.04</v>
      </c>
      <c r="G99" s="816">
        <v>5215.74</v>
      </c>
    </row>
    <row r="100" spans="1:7" s="819" customFormat="1" ht="9.4" customHeight="1" x14ac:dyDescent="0.2">
      <c r="A100" s="812">
        <v>20091</v>
      </c>
      <c r="B100" s="813" t="s">
        <v>2688</v>
      </c>
      <c r="C100" s="814" t="s">
        <v>2135</v>
      </c>
      <c r="D100" s="814"/>
      <c r="E100" s="816">
        <v>4668.95</v>
      </c>
      <c r="F100" s="816">
        <v>84.04</v>
      </c>
      <c r="G100" s="816">
        <v>8592.73</v>
      </c>
    </row>
    <row r="101" spans="1:7" s="819" customFormat="1" ht="9.4" customHeight="1" x14ac:dyDescent="0.2">
      <c r="A101" s="812">
        <v>20098</v>
      </c>
      <c r="B101" s="813" t="s">
        <v>2689</v>
      </c>
      <c r="C101" s="814" t="s">
        <v>2135</v>
      </c>
      <c r="D101" s="814"/>
      <c r="E101" s="816">
        <v>2834.03</v>
      </c>
      <c r="F101" s="816">
        <v>84.04</v>
      </c>
      <c r="G101" s="816">
        <v>5215.74</v>
      </c>
    </row>
    <row r="102" spans="1:7" s="819" customFormat="1" ht="9.4" customHeight="1" x14ac:dyDescent="0.2">
      <c r="A102" s="812">
        <v>20114</v>
      </c>
      <c r="B102" s="813" t="s">
        <v>2690</v>
      </c>
      <c r="C102" s="814" t="s">
        <v>2135</v>
      </c>
      <c r="D102" s="814"/>
      <c r="E102" s="816">
        <v>2945.28</v>
      </c>
      <c r="F102" s="816">
        <v>84.04</v>
      </c>
      <c r="G102" s="816">
        <v>5420.49</v>
      </c>
    </row>
    <row r="103" spans="1:7" s="819" customFormat="1" ht="9.4" customHeight="1" x14ac:dyDescent="0.2">
      <c r="A103" s="812">
        <v>20174</v>
      </c>
      <c r="B103" s="813" t="s">
        <v>2691</v>
      </c>
      <c r="C103" s="814" t="s">
        <v>2135</v>
      </c>
      <c r="D103" s="814"/>
      <c r="E103" s="816">
        <v>1658.9</v>
      </c>
      <c r="F103" s="816">
        <v>84.04</v>
      </c>
      <c r="G103" s="816">
        <v>3053.03</v>
      </c>
    </row>
    <row r="104" spans="1:7" s="819" customFormat="1" ht="9.4" customHeight="1" x14ac:dyDescent="0.2">
      <c r="A104" s="812">
        <v>20007</v>
      </c>
      <c r="B104" s="813" t="s">
        <v>2692</v>
      </c>
      <c r="C104" s="814" t="s">
        <v>2135</v>
      </c>
      <c r="D104" s="814"/>
      <c r="E104" s="816">
        <v>2599.16</v>
      </c>
      <c r="F104" s="816">
        <v>84.04</v>
      </c>
      <c r="G104" s="816">
        <v>4783.49</v>
      </c>
    </row>
    <row r="105" spans="1:7" s="819" customFormat="1" ht="9.4" customHeight="1" x14ac:dyDescent="0.2">
      <c r="A105" s="812">
        <v>20009</v>
      </c>
      <c r="B105" s="813" t="s">
        <v>2693</v>
      </c>
      <c r="C105" s="814" t="s">
        <v>2135</v>
      </c>
      <c r="D105" s="814"/>
      <c r="E105" s="816">
        <v>2834.03</v>
      </c>
      <c r="F105" s="816">
        <v>84.04</v>
      </c>
      <c r="G105" s="816">
        <v>5215.74</v>
      </c>
    </row>
    <row r="106" spans="1:7" s="819" customFormat="1" ht="9.4" customHeight="1" x14ac:dyDescent="0.2">
      <c r="A106" s="812">
        <v>99872</v>
      </c>
      <c r="B106" s="813" t="s">
        <v>2694</v>
      </c>
      <c r="C106" s="814" t="s">
        <v>2135</v>
      </c>
      <c r="D106" s="814"/>
      <c r="E106" s="816">
        <v>3530.9</v>
      </c>
      <c r="F106" s="816">
        <v>84.04</v>
      </c>
      <c r="G106" s="816">
        <v>6498.26</v>
      </c>
    </row>
    <row r="107" spans="1:7" s="819" customFormat="1" ht="9.4" customHeight="1" x14ac:dyDescent="0.2">
      <c r="A107" s="812">
        <v>99873</v>
      </c>
      <c r="B107" s="813" t="s">
        <v>2695</v>
      </c>
      <c r="C107" s="814" t="s">
        <v>2135</v>
      </c>
      <c r="D107" s="814"/>
      <c r="E107" s="816">
        <v>4668.95</v>
      </c>
      <c r="F107" s="816">
        <v>84.04</v>
      </c>
      <c r="G107" s="816">
        <v>8592.73</v>
      </c>
    </row>
    <row r="108" spans="1:7" s="819" customFormat="1" ht="9.4" customHeight="1" x14ac:dyDescent="0.2">
      <c r="A108" s="812">
        <v>20008</v>
      </c>
      <c r="B108" s="813" t="s">
        <v>2696</v>
      </c>
      <c r="C108" s="814" t="s">
        <v>2135</v>
      </c>
      <c r="D108" s="814"/>
      <c r="E108" s="816">
        <v>2834.03</v>
      </c>
      <c r="F108" s="816">
        <v>84.04</v>
      </c>
      <c r="G108" s="816">
        <v>5215.74</v>
      </c>
    </row>
    <row r="109" spans="1:7" s="819" customFormat="1" ht="9.4" customHeight="1" x14ac:dyDescent="0.2">
      <c r="A109" s="812">
        <v>99302</v>
      </c>
      <c r="B109" s="813" t="s">
        <v>2697</v>
      </c>
      <c r="C109" s="814" t="s">
        <v>2135</v>
      </c>
      <c r="D109" s="814"/>
      <c r="E109" s="816">
        <v>4668.95</v>
      </c>
      <c r="F109" s="816">
        <v>84.04</v>
      </c>
      <c r="G109" s="816">
        <v>8592.73</v>
      </c>
    </row>
    <row r="110" spans="1:7" s="819" customFormat="1" ht="9.4" customHeight="1" x14ac:dyDescent="0.2">
      <c r="A110" s="812">
        <v>20010</v>
      </c>
      <c r="B110" s="813" t="s">
        <v>2698</v>
      </c>
      <c r="C110" s="814" t="s">
        <v>2135</v>
      </c>
      <c r="D110" s="814"/>
      <c r="E110" s="816">
        <v>3530.9</v>
      </c>
      <c r="F110" s="816">
        <v>84.04</v>
      </c>
      <c r="G110" s="816">
        <v>6498.26</v>
      </c>
    </row>
    <row r="111" spans="1:7" s="819" customFormat="1" ht="9.4" customHeight="1" x14ac:dyDescent="0.2">
      <c r="A111" s="812">
        <v>99874</v>
      </c>
      <c r="B111" s="813" t="s">
        <v>2699</v>
      </c>
      <c r="C111" s="814" t="s">
        <v>2135</v>
      </c>
      <c r="D111" s="814"/>
      <c r="E111" s="816">
        <v>6121.44</v>
      </c>
      <c r="F111" s="816">
        <v>84.04</v>
      </c>
      <c r="G111" s="816">
        <v>11265.89</v>
      </c>
    </row>
    <row r="112" spans="1:7" s="819" customFormat="1" ht="9.4" customHeight="1" x14ac:dyDescent="0.2">
      <c r="A112" s="812">
        <v>20014</v>
      </c>
      <c r="B112" s="813" t="s">
        <v>2700</v>
      </c>
      <c r="C112" s="814" t="s">
        <v>2135</v>
      </c>
      <c r="D112" s="814"/>
      <c r="E112" s="816">
        <v>3530.9</v>
      </c>
      <c r="F112" s="816">
        <v>84.04</v>
      </c>
      <c r="G112" s="816">
        <v>6498.26</v>
      </c>
    </row>
    <row r="113" spans="1:10" s="819" customFormat="1" ht="9.4" customHeight="1" x14ac:dyDescent="0.2">
      <c r="A113" s="812">
        <v>20015</v>
      </c>
      <c r="B113" s="813" t="s">
        <v>2701</v>
      </c>
      <c r="C113" s="814" t="s">
        <v>2135</v>
      </c>
      <c r="D113" s="814"/>
      <c r="E113" s="816">
        <v>2834.03</v>
      </c>
      <c r="F113" s="816">
        <v>84.04</v>
      </c>
      <c r="G113" s="816">
        <v>5215.74</v>
      </c>
    </row>
    <row r="114" spans="1:10" s="819" customFormat="1" ht="9.4" customHeight="1" x14ac:dyDescent="0.2">
      <c r="A114" s="812">
        <v>20016</v>
      </c>
      <c r="B114" s="813" t="s">
        <v>2702</v>
      </c>
      <c r="C114" s="814" t="s">
        <v>2135</v>
      </c>
      <c r="D114" s="814"/>
      <c r="E114" s="816">
        <v>4668.95</v>
      </c>
      <c r="F114" s="816">
        <v>84.04</v>
      </c>
      <c r="G114" s="816">
        <v>8592.73</v>
      </c>
    </row>
    <row r="115" spans="1:10" x14ac:dyDescent="0.2">
      <c r="A115" s="217"/>
      <c r="B115" s="213"/>
      <c r="C115" s="563"/>
      <c r="D115" s="563"/>
      <c r="E115" s="564"/>
      <c r="F115" s="564"/>
      <c r="I115" s="817"/>
      <c r="J115" s="817"/>
    </row>
    <row r="116" spans="1:10" x14ac:dyDescent="0.2">
      <c r="A116" s="217"/>
      <c r="B116" s="213"/>
      <c r="C116" s="563"/>
      <c r="D116" s="563"/>
      <c r="E116" s="564"/>
      <c r="F116" s="564"/>
    </row>
    <row r="117" spans="1:10" x14ac:dyDescent="0.2">
      <c r="A117" s="217"/>
      <c r="B117" s="213"/>
      <c r="C117" s="563"/>
      <c r="D117" s="563"/>
      <c r="E117" s="564"/>
      <c r="F117" s="564"/>
    </row>
    <row r="118" spans="1:10" x14ac:dyDescent="0.2">
      <c r="A118" s="217"/>
      <c r="B118" s="213"/>
      <c r="C118" s="563"/>
      <c r="D118" s="563"/>
      <c r="E118" s="564"/>
      <c r="F118" s="564"/>
    </row>
    <row r="119" spans="1:10" x14ac:dyDescent="0.2">
      <c r="A119" s="217"/>
      <c r="B119" s="213"/>
      <c r="C119" s="563"/>
      <c r="D119" s="563"/>
      <c r="E119" s="564"/>
      <c r="F119" s="564"/>
    </row>
    <row r="120" spans="1:10" x14ac:dyDescent="0.2">
      <c r="A120" s="217"/>
      <c r="B120" s="213"/>
      <c r="C120" s="563"/>
      <c r="D120" s="563"/>
      <c r="E120" s="564"/>
      <c r="F120" s="564"/>
    </row>
    <row r="121" spans="1:10" x14ac:dyDescent="0.2">
      <c r="A121" s="217"/>
      <c r="B121" s="213"/>
      <c r="C121" s="563"/>
      <c r="D121" s="563"/>
      <c r="E121" s="564"/>
      <c r="F121" s="564"/>
    </row>
    <row r="122" spans="1:10" x14ac:dyDescent="0.2">
      <c r="A122" s="217"/>
      <c r="B122" s="213"/>
      <c r="C122" s="563"/>
      <c r="D122" s="563"/>
      <c r="E122" s="564"/>
      <c r="F122" s="564"/>
    </row>
    <row r="123" spans="1:10" x14ac:dyDescent="0.2">
      <c r="A123" s="217"/>
      <c r="B123" s="213"/>
      <c r="C123" s="563"/>
      <c r="D123" s="563"/>
      <c r="E123" s="564"/>
      <c r="F123" s="564"/>
    </row>
    <row r="124" spans="1:10" x14ac:dyDescent="0.2">
      <c r="A124" s="217"/>
      <c r="B124" s="213"/>
      <c r="C124" s="563"/>
      <c r="D124" s="563"/>
      <c r="E124" s="564"/>
      <c r="F124" s="564"/>
    </row>
    <row r="125" spans="1:10" x14ac:dyDescent="0.2">
      <c r="A125" s="217"/>
      <c r="B125" s="213"/>
      <c r="C125" s="563"/>
      <c r="D125" s="563"/>
      <c r="E125" s="564"/>
      <c r="F125" s="564"/>
    </row>
    <row r="126" spans="1:10" x14ac:dyDescent="0.2">
      <c r="A126" s="217"/>
      <c r="B126" s="213"/>
      <c r="C126" s="563"/>
      <c r="D126" s="563"/>
      <c r="E126" s="564"/>
      <c r="F126" s="564"/>
      <c r="G126" s="415"/>
    </row>
    <row r="127" spans="1:10" x14ac:dyDescent="0.2">
      <c r="A127" s="217"/>
      <c r="B127" s="213"/>
      <c r="C127" s="563"/>
      <c r="D127" s="563"/>
      <c r="E127" s="564"/>
      <c r="F127" s="564"/>
      <c r="G127" s="415"/>
    </row>
    <row r="128" spans="1:10" x14ac:dyDescent="0.2">
      <c r="A128" s="217"/>
      <c r="B128" s="213"/>
      <c r="C128" s="563"/>
      <c r="D128" s="563"/>
      <c r="E128" s="564"/>
      <c r="F128" s="564"/>
      <c r="G128" s="415"/>
    </row>
    <row r="129" spans="1:7" x14ac:dyDescent="0.2">
      <c r="A129" s="217"/>
      <c r="B129" s="213"/>
      <c r="C129" s="563"/>
      <c r="D129" s="563"/>
      <c r="E129" s="564"/>
      <c r="F129" s="564"/>
      <c r="G129" s="415"/>
    </row>
    <row r="130" spans="1:7" x14ac:dyDescent="0.2">
      <c r="A130" s="217"/>
      <c r="B130" s="213"/>
      <c r="C130" s="563"/>
      <c r="D130" s="563"/>
      <c r="E130" s="564"/>
      <c r="F130" s="564"/>
      <c r="G130" s="415"/>
    </row>
    <row r="142" spans="1:7" x14ac:dyDescent="0.25">
      <c r="A142" s="415"/>
    </row>
    <row r="143" spans="1:7" x14ac:dyDescent="0.25">
      <c r="A143" s="415"/>
    </row>
    <row r="144" spans="1:7" x14ac:dyDescent="0.25">
      <c r="A144" s="415"/>
    </row>
    <row r="145" spans="1:6" x14ac:dyDescent="0.25">
      <c r="A145" s="415"/>
      <c r="B145" s="210"/>
    </row>
    <row r="146" spans="1:6" x14ac:dyDescent="0.25">
      <c r="A146" s="415"/>
      <c r="B146" s="210"/>
      <c r="C146" s="551"/>
      <c r="D146" s="551"/>
      <c r="E146" s="209"/>
      <c r="F146" s="209"/>
    </row>
    <row r="147" spans="1:6" x14ac:dyDescent="0.25">
      <c r="A147" s="415"/>
      <c r="B147" s="210"/>
      <c r="C147" s="551"/>
      <c r="D147" s="551"/>
      <c r="E147" s="209"/>
      <c r="F147" s="209"/>
    </row>
    <row r="148" spans="1:6" x14ac:dyDescent="0.25">
      <c r="A148" s="415"/>
      <c r="B148" s="210"/>
      <c r="C148" s="551"/>
      <c r="D148" s="551"/>
      <c r="E148" s="209"/>
      <c r="F148" s="209"/>
    </row>
    <row r="149" spans="1:6" x14ac:dyDescent="0.25">
      <c r="A149" s="415"/>
      <c r="B149" s="210"/>
      <c r="C149" s="551"/>
      <c r="D149" s="551"/>
      <c r="E149" s="209"/>
      <c r="F149" s="209"/>
    </row>
    <row r="150" spans="1:6" x14ac:dyDescent="0.25">
      <c r="A150" s="415"/>
      <c r="B150" s="210"/>
      <c r="C150" s="551"/>
      <c r="D150" s="551"/>
      <c r="E150" s="209"/>
      <c r="F150" s="209"/>
    </row>
    <row r="151" spans="1:6" x14ac:dyDescent="0.25">
      <c r="A151" s="415"/>
      <c r="C151" s="551"/>
      <c r="D151" s="551"/>
      <c r="E151" s="209"/>
      <c r="F151" s="209"/>
    </row>
    <row r="152" spans="1:6" x14ac:dyDescent="0.25">
      <c r="A152" s="415"/>
    </row>
    <row r="153" spans="1:6" x14ac:dyDescent="0.25">
      <c r="A153" s="415"/>
    </row>
    <row r="154" spans="1:6" x14ac:dyDescent="0.25">
      <c r="A154" s="415"/>
    </row>
    <row r="155" spans="1:6" x14ac:dyDescent="0.25">
      <c r="A155" s="415"/>
    </row>
    <row r="156" spans="1:6" x14ac:dyDescent="0.25">
      <c r="A156" s="415"/>
    </row>
    <row r="157" spans="1:6" x14ac:dyDescent="0.25">
      <c r="A157" s="415"/>
    </row>
    <row r="158" spans="1:6" ht="14.25" x14ac:dyDescent="0.2">
      <c r="A158" s="415"/>
      <c r="B158" s="415"/>
      <c r="C158" s="560"/>
      <c r="D158" s="560"/>
      <c r="E158" s="560"/>
      <c r="F158" s="560"/>
    </row>
    <row r="159" spans="1:6" ht="14.25" x14ac:dyDescent="0.2">
      <c r="A159" s="415"/>
      <c r="B159" s="415"/>
      <c r="C159" s="560"/>
      <c r="D159" s="560"/>
      <c r="E159" s="560"/>
      <c r="F159" s="560"/>
    </row>
    <row r="160" spans="1:6" ht="14.25" x14ac:dyDescent="0.2">
      <c r="A160" s="415"/>
      <c r="B160" s="415"/>
      <c r="C160" s="560"/>
      <c r="D160" s="560"/>
      <c r="E160" s="560"/>
      <c r="F160" s="560"/>
    </row>
    <row r="161" spans="1:6" ht="15" customHeight="1" x14ac:dyDescent="0.2">
      <c r="A161" s="415"/>
      <c r="B161" s="415"/>
      <c r="C161" s="560"/>
      <c r="D161" s="560"/>
      <c r="E161" s="560"/>
      <c r="F161" s="560"/>
    </row>
    <row r="162" spans="1:6" ht="15" customHeight="1" x14ac:dyDescent="0.2">
      <c r="A162" s="415"/>
      <c r="B162" s="415"/>
      <c r="C162" s="560"/>
      <c r="D162" s="560"/>
      <c r="E162" s="560"/>
      <c r="F162" s="560"/>
    </row>
    <row r="163" spans="1:6" ht="15" customHeight="1" x14ac:dyDescent="0.2">
      <c r="A163" s="415"/>
      <c r="B163" s="415"/>
      <c r="C163" s="560"/>
      <c r="D163" s="560"/>
      <c r="E163" s="560"/>
      <c r="F163" s="560"/>
    </row>
    <row r="164" spans="1:6" ht="15" customHeight="1" x14ac:dyDescent="0.2">
      <c r="A164" s="415"/>
      <c r="B164" s="415"/>
      <c r="C164" s="560"/>
      <c r="D164" s="560"/>
      <c r="E164" s="560"/>
      <c r="F164" s="560"/>
    </row>
    <row r="165" spans="1:6" ht="15" customHeight="1" x14ac:dyDescent="0.2">
      <c r="A165" s="415"/>
      <c r="B165" s="415"/>
      <c r="C165" s="560"/>
      <c r="D165" s="560"/>
      <c r="E165" s="560"/>
      <c r="F165" s="560"/>
    </row>
    <row r="166" spans="1:6" ht="15" customHeight="1" x14ac:dyDescent="0.2">
      <c r="A166" s="415"/>
      <c r="B166" s="415"/>
      <c r="C166" s="560"/>
      <c r="D166" s="560"/>
      <c r="E166" s="560"/>
      <c r="F166" s="560"/>
    </row>
    <row r="167" spans="1:6" ht="15" customHeight="1" x14ac:dyDescent="0.2">
      <c r="A167" s="415"/>
      <c r="B167" s="415"/>
      <c r="C167" s="560"/>
      <c r="D167" s="560"/>
      <c r="E167" s="560"/>
      <c r="F167" s="560"/>
    </row>
    <row r="168" spans="1:6" ht="15" customHeight="1" x14ac:dyDescent="0.2">
      <c r="A168" s="415"/>
      <c r="B168" s="415"/>
      <c r="C168" s="560"/>
      <c r="D168" s="560"/>
      <c r="E168" s="560"/>
      <c r="F168" s="560"/>
    </row>
    <row r="169" spans="1:6" ht="15" customHeight="1" x14ac:dyDescent="0.2">
      <c r="A169" s="415"/>
      <c r="B169" s="415"/>
      <c r="C169" s="560"/>
      <c r="D169" s="560"/>
      <c r="E169" s="560"/>
      <c r="F169" s="560"/>
    </row>
    <row r="170" spans="1:6" ht="15" customHeight="1" x14ac:dyDescent="0.2">
      <c r="A170" s="415"/>
      <c r="B170" s="415"/>
      <c r="C170" s="560"/>
      <c r="D170" s="560"/>
      <c r="E170" s="560"/>
      <c r="F170" s="560"/>
    </row>
    <row r="171" spans="1:6" ht="15" customHeight="1" x14ac:dyDescent="0.2">
      <c r="A171" s="415"/>
      <c r="B171" s="415"/>
      <c r="C171" s="560"/>
      <c r="D171" s="560"/>
      <c r="E171" s="560"/>
      <c r="F171" s="560"/>
    </row>
    <row r="172" spans="1:6" ht="15" customHeight="1" x14ac:dyDescent="0.2">
      <c r="A172" s="415"/>
      <c r="B172" s="415"/>
      <c r="C172" s="560"/>
      <c r="D172" s="560"/>
      <c r="E172" s="560"/>
      <c r="F172" s="560"/>
    </row>
    <row r="173" spans="1:6" ht="15" customHeight="1" x14ac:dyDescent="0.2">
      <c r="A173" s="415"/>
      <c r="B173" s="415"/>
      <c r="C173" s="560"/>
      <c r="D173" s="560"/>
      <c r="E173" s="560"/>
      <c r="F173" s="560"/>
    </row>
    <row r="174" spans="1:6" ht="15" customHeight="1" x14ac:dyDescent="0.2">
      <c r="A174" s="415"/>
      <c r="B174" s="415"/>
      <c r="C174" s="560"/>
      <c r="D174" s="560"/>
      <c r="E174" s="560"/>
      <c r="F174" s="560"/>
    </row>
    <row r="175" spans="1:6" ht="15" customHeight="1" x14ac:dyDescent="0.2">
      <c r="A175" s="415"/>
      <c r="B175" s="415"/>
      <c r="C175" s="560"/>
      <c r="D175" s="560"/>
      <c r="E175" s="560"/>
      <c r="F175" s="560"/>
    </row>
    <row r="176" spans="1:6" ht="15" customHeight="1" x14ac:dyDescent="0.2">
      <c r="A176" s="415"/>
      <c r="B176" s="415"/>
      <c r="C176" s="560"/>
      <c r="D176" s="560"/>
      <c r="E176" s="560"/>
      <c r="F176" s="560"/>
    </row>
    <row r="177" spans="1:6" ht="15" customHeight="1" x14ac:dyDescent="0.2">
      <c r="A177" s="415"/>
      <c r="B177" s="415"/>
      <c r="C177" s="560"/>
      <c r="D177" s="560"/>
      <c r="E177" s="560"/>
      <c r="F177" s="560"/>
    </row>
    <row r="178" spans="1:6" ht="15" customHeight="1" x14ac:dyDescent="0.2">
      <c r="A178" s="415"/>
      <c r="B178" s="415"/>
      <c r="C178" s="560"/>
      <c r="D178" s="560"/>
      <c r="E178" s="560"/>
      <c r="F178" s="560"/>
    </row>
    <row r="179" spans="1:6" ht="15" customHeight="1" x14ac:dyDescent="0.2">
      <c r="A179" s="415"/>
      <c r="B179" s="415"/>
      <c r="C179" s="560"/>
      <c r="D179" s="560"/>
      <c r="E179" s="560"/>
      <c r="F179" s="560"/>
    </row>
    <row r="180" spans="1:6" ht="15" customHeight="1" x14ac:dyDescent="0.2">
      <c r="A180" s="415"/>
      <c r="B180" s="415"/>
      <c r="C180" s="560"/>
      <c r="D180" s="560"/>
      <c r="E180" s="560"/>
      <c r="F180" s="560"/>
    </row>
    <row r="181" spans="1:6" ht="15" customHeight="1" x14ac:dyDescent="0.2">
      <c r="A181" s="415"/>
      <c r="B181" s="415"/>
      <c r="C181" s="560"/>
      <c r="D181" s="560"/>
      <c r="E181" s="560"/>
      <c r="F181" s="560"/>
    </row>
    <row r="182" spans="1:6" ht="15" customHeight="1" x14ac:dyDescent="0.2">
      <c r="A182" s="415"/>
      <c r="B182" s="415"/>
      <c r="C182" s="560"/>
      <c r="D182" s="560"/>
      <c r="E182" s="560"/>
      <c r="F182" s="560"/>
    </row>
    <row r="183" spans="1:6" ht="15" customHeight="1" x14ac:dyDescent="0.2">
      <c r="A183" s="415"/>
      <c r="B183" s="415"/>
      <c r="C183" s="560"/>
      <c r="D183" s="560"/>
      <c r="E183" s="560"/>
      <c r="F183" s="560"/>
    </row>
    <row r="184" spans="1:6" ht="15" customHeight="1" x14ac:dyDescent="0.2">
      <c r="A184" s="415"/>
      <c r="B184" s="415"/>
      <c r="C184" s="560"/>
      <c r="D184" s="560"/>
      <c r="E184" s="560"/>
      <c r="F184" s="560"/>
    </row>
    <row r="185" spans="1:6" ht="15" customHeight="1" x14ac:dyDescent="0.2">
      <c r="A185" s="415"/>
      <c r="B185" s="415"/>
      <c r="C185" s="560"/>
      <c r="D185" s="560"/>
      <c r="E185" s="560"/>
      <c r="F185" s="560"/>
    </row>
    <row r="186" spans="1:6" ht="15" customHeight="1" x14ac:dyDescent="0.2">
      <c r="A186" s="415"/>
      <c r="B186" s="415"/>
      <c r="C186" s="560"/>
      <c r="D186" s="560"/>
      <c r="E186" s="560"/>
      <c r="F186" s="560"/>
    </row>
    <row r="187" spans="1:6" ht="15" customHeight="1" x14ac:dyDescent="0.2">
      <c r="A187" s="415"/>
      <c r="B187" s="415"/>
      <c r="C187" s="560"/>
      <c r="D187" s="560"/>
      <c r="E187" s="560"/>
      <c r="F187" s="560"/>
    </row>
    <row r="188" spans="1:6" ht="15" customHeight="1" x14ac:dyDescent="0.2">
      <c r="A188" s="415"/>
      <c r="B188" s="415"/>
      <c r="C188" s="560"/>
      <c r="D188" s="560"/>
      <c r="E188" s="560"/>
      <c r="F188" s="560"/>
    </row>
    <row r="189" spans="1:6" ht="15" customHeight="1" x14ac:dyDescent="0.2">
      <c r="A189" s="415"/>
      <c r="B189" s="415"/>
      <c r="C189" s="560"/>
      <c r="D189" s="560"/>
      <c r="E189" s="560"/>
      <c r="F189" s="560"/>
    </row>
    <row r="190" spans="1:6" ht="15" customHeight="1" x14ac:dyDescent="0.2">
      <c r="A190" s="415"/>
      <c r="B190" s="415"/>
      <c r="C190" s="560"/>
      <c r="D190" s="560"/>
      <c r="E190" s="560"/>
      <c r="F190" s="560"/>
    </row>
    <row r="191" spans="1:6" ht="15" customHeight="1" x14ac:dyDescent="0.2">
      <c r="A191" s="415"/>
      <c r="B191" s="415"/>
      <c r="C191" s="560"/>
      <c r="D191" s="560"/>
      <c r="E191" s="560"/>
      <c r="F191" s="560"/>
    </row>
    <row r="192" spans="1:6" ht="15" customHeight="1" x14ac:dyDescent="0.2">
      <c r="A192" s="415"/>
      <c r="B192" s="415"/>
      <c r="C192" s="560"/>
      <c r="D192" s="560"/>
      <c r="E192" s="560"/>
      <c r="F192" s="560"/>
    </row>
    <row r="193" spans="1:6" ht="15" customHeight="1" x14ac:dyDescent="0.2">
      <c r="A193" s="415"/>
      <c r="B193" s="415"/>
      <c r="C193" s="560"/>
      <c r="D193" s="560"/>
      <c r="E193" s="560"/>
      <c r="F193" s="560"/>
    </row>
    <row r="194" spans="1:6" ht="15" customHeight="1" x14ac:dyDescent="0.2">
      <c r="A194" s="415"/>
      <c r="B194" s="415"/>
      <c r="C194" s="560"/>
      <c r="D194" s="560"/>
      <c r="E194" s="560"/>
      <c r="F194" s="560"/>
    </row>
    <row r="195" spans="1:6" ht="15" customHeight="1" x14ac:dyDescent="0.2">
      <c r="A195" s="415"/>
      <c r="B195" s="415"/>
      <c r="C195" s="560"/>
      <c r="D195" s="560"/>
      <c r="E195" s="560"/>
      <c r="F195" s="560"/>
    </row>
    <row r="196" spans="1:6" ht="15" customHeight="1" x14ac:dyDescent="0.2">
      <c r="A196" s="415"/>
      <c r="B196" s="415"/>
      <c r="C196" s="560"/>
      <c r="D196" s="560"/>
      <c r="E196" s="560"/>
      <c r="F196" s="560"/>
    </row>
    <row r="197" spans="1:6" ht="15" customHeight="1" x14ac:dyDescent="0.2">
      <c r="A197" s="415"/>
      <c r="B197" s="415"/>
      <c r="C197" s="560"/>
      <c r="D197" s="560"/>
      <c r="E197" s="560"/>
      <c r="F197" s="560"/>
    </row>
    <row r="198" spans="1:6" ht="15" customHeight="1" x14ac:dyDescent="0.2">
      <c r="A198" s="415"/>
      <c r="B198" s="415"/>
      <c r="C198" s="560"/>
      <c r="D198" s="560"/>
      <c r="E198" s="560"/>
      <c r="F198" s="560"/>
    </row>
    <row r="199" spans="1:6" ht="15" customHeight="1" x14ac:dyDescent="0.2">
      <c r="A199" s="415"/>
      <c r="B199" s="415"/>
      <c r="C199" s="560"/>
      <c r="D199" s="560"/>
      <c r="E199" s="560"/>
      <c r="F199" s="560"/>
    </row>
    <row r="200" spans="1:6" ht="15" customHeight="1" x14ac:dyDescent="0.2">
      <c r="A200" s="415"/>
      <c r="B200" s="415"/>
      <c r="C200" s="560"/>
      <c r="D200" s="560"/>
      <c r="E200" s="560"/>
      <c r="F200" s="560"/>
    </row>
    <row r="201" spans="1:6" ht="15" customHeight="1" x14ac:dyDescent="0.2">
      <c r="A201" s="415"/>
      <c r="B201" s="415"/>
      <c r="C201" s="560"/>
      <c r="D201" s="560"/>
      <c r="E201" s="560"/>
      <c r="F201" s="560"/>
    </row>
    <row r="202" spans="1:6" ht="15" customHeight="1" x14ac:dyDescent="0.2">
      <c r="A202" s="415"/>
      <c r="B202" s="415"/>
      <c r="C202" s="560"/>
      <c r="D202" s="560"/>
      <c r="E202" s="560"/>
      <c r="F202" s="560"/>
    </row>
    <row r="203" spans="1:6" ht="15" customHeight="1" x14ac:dyDescent="0.2">
      <c r="A203" s="415"/>
      <c r="B203" s="415"/>
      <c r="C203" s="560"/>
      <c r="D203" s="560"/>
      <c r="E203" s="560"/>
      <c r="F203" s="560"/>
    </row>
    <row r="204" spans="1:6" ht="15" customHeight="1" x14ac:dyDescent="0.2">
      <c r="A204" s="415"/>
      <c r="B204" s="415"/>
      <c r="C204" s="560"/>
      <c r="D204" s="560"/>
      <c r="E204" s="560"/>
      <c r="F204" s="560"/>
    </row>
    <row r="205" spans="1:6" ht="15" customHeight="1" x14ac:dyDescent="0.2">
      <c r="A205" s="415"/>
      <c r="B205" s="415"/>
      <c r="C205" s="560"/>
      <c r="D205" s="560"/>
      <c r="E205" s="560"/>
      <c r="F205" s="560"/>
    </row>
    <row r="206" spans="1:6" ht="15" customHeight="1" x14ac:dyDescent="0.2">
      <c r="A206" s="415"/>
      <c r="B206" s="415"/>
      <c r="C206" s="560"/>
      <c r="D206" s="560"/>
      <c r="E206" s="560"/>
      <c r="F206" s="560"/>
    </row>
    <row r="207" spans="1:6" ht="15" customHeight="1" x14ac:dyDescent="0.2">
      <c r="A207" s="415"/>
      <c r="B207" s="415"/>
      <c r="C207" s="560"/>
      <c r="D207" s="560"/>
      <c r="E207" s="560"/>
      <c r="F207" s="560"/>
    </row>
    <row r="208" spans="1:6" ht="15" customHeight="1" x14ac:dyDescent="0.2">
      <c r="A208" s="415"/>
      <c r="B208" s="415"/>
      <c r="C208" s="560"/>
      <c r="D208" s="560"/>
      <c r="E208" s="560"/>
      <c r="F208" s="560"/>
    </row>
    <row r="209" spans="1:6" ht="15" customHeight="1" x14ac:dyDescent="0.2">
      <c r="A209" s="415"/>
      <c r="B209" s="415"/>
      <c r="C209" s="560"/>
      <c r="D209" s="560"/>
      <c r="E209" s="560"/>
      <c r="F209" s="560"/>
    </row>
    <row r="210" spans="1:6" ht="15" customHeight="1" x14ac:dyDescent="0.2">
      <c r="A210" s="415"/>
      <c r="B210" s="415"/>
      <c r="C210" s="560"/>
      <c r="D210" s="560"/>
      <c r="E210" s="560"/>
      <c r="F210" s="560"/>
    </row>
    <row r="211" spans="1:6" ht="15" customHeight="1" x14ac:dyDescent="0.2">
      <c r="A211" s="415"/>
      <c r="B211" s="415"/>
      <c r="C211" s="560"/>
      <c r="D211" s="560"/>
      <c r="E211" s="560"/>
      <c r="F211" s="560"/>
    </row>
    <row r="212" spans="1:6" ht="15" customHeight="1" x14ac:dyDescent="0.2">
      <c r="A212" s="415"/>
      <c r="B212" s="415"/>
      <c r="C212" s="560"/>
      <c r="D212" s="560"/>
      <c r="E212" s="560"/>
      <c r="F212" s="560"/>
    </row>
    <row r="213" spans="1:6" ht="15" customHeight="1" x14ac:dyDescent="0.2">
      <c r="A213" s="415"/>
      <c r="B213" s="415"/>
      <c r="C213" s="560"/>
      <c r="D213" s="560"/>
      <c r="E213" s="560"/>
      <c r="F213" s="560"/>
    </row>
    <row r="214" spans="1:6" ht="15" customHeight="1" x14ac:dyDescent="0.2">
      <c r="A214" s="415"/>
      <c r="B214" s="415"/>
      <c r="C214" s="560"/>
      <c r="D214" s="560"/>
      <c r="E214" s="560"/>
      <c r="F214" s="560"/>
    </row>
    <row r="215" spans="1:6" ht="15" customHeight="1" x14ac:dyDescent="0.2">
      <c r="A215" s="415"/>
      <c r="B215" s="415"/>
      <c r="C215" s="560"/>
      <c r="D215" s="560"/>
      <c r="E215" s="560"/>
      <c r="F215" s="560"/>
    </row>
    <row r="216" spans="1:6" ht="15" customHeight="1" x14ac:dyDescent="0.2">
      <c r="A216" s="415"/>
      <c r="B216" s="415"/>
      <c r="C216" s="560"/>
      <c r="D216" s="560"/>
      <c r="E216" s="560"/>
      <c r="F216" s="560"/>
    </row>
    <row r="217" spans="1:6" ht="15" customHeight="1" x14ac:dyDescent="0.2">
      <c r="A217" s="415"/>
      <c r="B217" s="415"/>
      <c r="C217" s="560"/>
      <c r="D217" s="560"/>
      <c r="E217" s="560"/>
      <c r="F217" s="560"/>
    </row>
    <row r="218" spans="1:6" ht="15" customHeight="1" x14ac:dyDescent="0.2">
      <c r="A218" s="415"/>
      <c r="B218" s="415"/>
      <c r="C218" s="560"/>
      <c r="D218" s="560"/>
      <c r="E218" s="560"/>
      <c r="F218" s="560"/>
    </row>
    <row r="219" spans="1:6" ht="15" customHeight="1" x14ac:dyDescent="0.2">
      <c r="A219" s="415"/>
      <c r="B219" s="415"/>
      <c r="C219" s="560"/>
      <c r="D219" s="560"/>
      <c r="E219" s="560"/>
      <c r="F219" s="560"/>
    </row>
    <row r="220" spans="1:6" ht="15" customHeight="1" x14ac:dyDescent="0.2">
      <c r="A220" s="415"/>
      <c r="B220" s="415"/>
      <c r="C220" s="560"/>
      <c r="D220" s="560"/>
      <c r="E220" s="560"/>
      <c r="F220" s="560"/>
    </row>
    <row r="221" spans="1:6" ht="15" customHeight="1" x14ac:dyDescent="0.2">
      <c r="A221" s="415"/>
      <c r="B221" s="415"/>
      <c r="C221" s="560"/>
      <c r="D221" s="560"/>
      <c r="E221" s="560"/>
      <c r="F221" s="560"/>
    </row>
    <row r="222" spans="1:6" ht="15" customHeight="1" x14ac:dyDescent="0.2">
      <c r="A222" s="415"/>
      <c r="B222" s="415"/>
      <c r="C222" s="560"/>
      <c r="D222" s="560"/>
      <c r="E222" s="560"/>
      <c r="F222" s="560"/>
    </row>
    <row r="223" spans="1:6" ht="15" customHeight="1" x14ac:dyDescent="0.2">
      <c r="A223" s="415"/>
      <c r="B223" s="415"/>
      <c r="C223" s="560"/>
      <c r="D223" s="560"/>
      <c r="E223" s="560"/>
      <c r="F223" s="560"/>
    </row>
    <row r="224" spans="1:6" ht="15" customHeight="1" x14ac:dyDescent="0.2">
      <c r="A224" s="415"/>
      <c r="B224" s="415"/>
      <c r="C224" s="560"/>
      <c r="D224" s="560"/>
      <c r="E224" s="560"/>
      <c r="F224" s="560"/>
    </row>
    <row r="225" spans="1:6" ht="15" customHeight="1" x14ac:dyDescent="0.2">
      <c r="A225" s="415"/>
      <c r="B225" s="415"/>
      <c r="C225" s="560"/>
      <c r="D225" s="560"/>
      <c r="E225" s="560"/>
      <c r="F225" s="560"/>
    </row>
    <row r="226" spans="1:6" ht="15" customHeight="1" x14ac:dyDescent="0.2">
      <c r="A226" s="415"/>
      <c r="B226" s="415"/>
      <c r="C226" s="560"/>
      <c r="D226" s="560"/>
      <c r="E226" s="560"/>
      <c r="F226" s="560"/>
    </row>
    <row r="227" spans="1:6" ht="15" customHeight="1" x14ac:dyDescent="0.2">
      <c r="A227" s="415"/>
      <c r="B227" s="415"/>
      <c r="C227" s="560"/>
      <c r="D227" s="560"/>
      <c r="E227" s="560"/>
      <c r="F227" s="560"/>
    </row>
    <row r="228" spans="1:6" ht="15" customHeight="1" x14ac:dyDescent="0.2">
      <c r="A228" s="415"/>
      <c r="B228" s="415"/>
      <c r="C228" s="560"/>
      <c r="D228" s="560"/>
      <c r="E228" s="560"/>
      <c r="F228" s="560"/>
    </row>
    <row r="229" spans="1:6" ht="15" customHeight="1" x14ac:dyDescent="0.2">
      <c r="A229" s="415"/>
      <c r="B229" s="415"/>
      <c r="C229" s="560"/>
      <c r="D229" s="560"/>
      <c r="E229" s="560"/>
      <c r="F229" s="560"/>
    </row>
    <row r="230" spans="1:6" ht="15" customHeight="1" x14ac:dyDescent="0.2">
      <c r="A230" s="415"/>
      <c r="B230" s="415"/>
      <c r="C230" s="560"/>
      <c r="D230" s="560"/>
      <c r="E230" s="560"/>
      <c r="F230" s="560"/>
    </row>
    <row r="231" spans="1:6" ht="15" customHeight="1" x14ac:dyDescent="0.2">
      <c r="A231" s="415"/>
      <c r="B231" s="415"/>
      <c r="C231" s="560"/>
      <c r="D231" s="560"/>
      <c r="E231" s="560"/>
      <c r="F231" s="560"/>
    </row>
    <row r="232" spans="1:6" ht="15" customHeight="1" x14ac:dyDescent="0.2">
      <c r="A232" s="415"/>
      <c r="B232" s="415"/>
      <c r="C232" s="560"/>
      <c r="D232" s="560"/>
      <c r="E232" s="560"/>
      <c r="F232" s="560"/>
    </row>
    <row r="233" spans="1:6" ht="15" customHeight="1" x14ac:dyDescent="0.2">
      <c r="A233" s="415"/>
      <c r="B233" s="415"/>
      <c r="C233" s="560"/>
      <c r="D233" s="560"/>
      <c r="E233" s="560"/>
      <c r="F233" s="560"/>
    </row>
    <row r="234" spans="1:6" ht="15" customHeight="1" x14ac:dyDescent="0.2">
      <c r="A234" s="415"/>
      <c r="B234" s="415"/>
      <c r="C234" s="560"/>
      <c r="D234" s="560"/>
      <c r="E234" s="560"/>
      <c r="F234" s="560"/>
    </row>
    <row r="235" spans="1:6" ht="15" customHeight="1" x14ac:dyDescent="0.2">
      <c r="A235" s="415"/>
      <c r="B235" s="415"/>
      <c r="C235" s="560"/>
      <c r="D235" s="560"/>
      <c r="E235" s="560"/>
      <c r="F235" s="560"/>
    </row>
    <row r="236" spans="1:6" ht="15" customHeight="1" x14ac:dyDescent="0.2">
      <c r="A236" s="415"/>
      <c r="B236" s="415"/>
      <c r="C236" s="560"/>
      <c r="D236" s="560"/>
      <c r="E236" s="560"/>
      <c r="F236" s="560"/>
    </row>
    <row r="237" spans="1:6" ht="15" customHeight="1" x14ac:dyDescent="0.2">
      <c r="A237" s="415"/>
      <c r="B237" s="415"/>
      <c r="C237" s="560"/>
      <c r="D237" s="560"/>
      <c r="E237" s="560"/>
      <c r="F237" s="560"/>
    </row>
    <row r="238" spans="1:6" ht="15" customHeight="1" x14ac:dyDescent="0.2">
      <c r="A238" s="415"/>
      <c r="B238" s="415"/>
      <c r="C238" s="560"/>
      <c r="D238" s="560"/>
      <c r="E238" s="560"/>
      <c r="F238" s="560"/>
    </row>
    <row r="239" spans="1:6" ht="15" customHeight="1" x14ac:dyDescent="0.2">
      <c r="A239" s="415"/>
      <c r="B239" s="415"/>
      <c r="C239" s="560"/>
      <c r="D239" s="560"/>
      <c r="E239" s="560"/>
      <c r="F239" s="560"/>
    </row>
    <row r="240" spans="1:6" ht="15" customHeight="1" x14ac:dyDescent="0.2">
      <c r="A240" s="415"/>
      <c r="B240" s="415"/>
      <c r="C240" s="560"/>
      <c r="D240" s="560"/>
      <c r="E240" s="560"/>
      <c r="F240" s="560"/>
    </row>
    <row r="241" spans="1:6" ht="15" customHeight="1" x14ac:dyDescent="0.2">
      <c r="A241" s="415"/>
      <c r="B241" s="415"/>
      <c r="C241" s="560"/>
      <c r="D241" s="560"/>
      <c r="E241" s="560"/>
      <c r="F241" s="560"/>
    </row>
    <row r="242" spans="1:6" ht="15" customHeight="1" x14ac:dyDescent="0.2">
      <c r="A242" s="415"/>
      <c r="B242" s="415"/>
      <c r="C242" s="560"/>
      <c r="D242" s="560"/>
      <c r="E242" s="560"/>
      <c r="F242" s="560"/>
    </row>
    <row r="243" spans="1:6" ht="15" customHeight="1" x14ac:dyDescent="0.2">
      <c r="A243" s="415"/>
      <c r="B243" s="415"/>
      <c r="C243" s="560"/>
      <c r="D243" s="560"/>
      <c r="E243" s="560"/>
      <c r="F243" s="560"/>
    </row>
    <row r="244" spans="1:6" ht="15" customHeight="1" x14ac:dyDescent="0.2">
      <c r="A244" s="415"/>
      <c r="B244" s="415"/>
      <c r="C244" s="560"/>
      <c r="D244" s="560"/>
      <c r="E244" s="560"/>
      <c r="F244" s="560"/>
    </row>
    <row r="245" spans="1:6" ht="15" customHeight="1" x14ac:dyDescent="0.2">
      <c r="A245" s="415"/>
      <c r="B245" s="415"/>
      <c r="C245" s="560"/>
      <c r="D245" s="560"/>
      <c r="E245" s="560"/>
      <c r="F245" s="560"/>
    </row>
    <row r="246" spans="1:6" ht="15" customHeight="1" x14ac:dyDescent="0.2">
      <c r="A246" s="415"/>
      <c r="B246" s="415"/>
      <c r="C246" s="560"/>
      <c r="D246" s="560"/>
      <c r="E246" s="560"/>
      <c r="F246" s="560"/>
    </row>
    <row r="247" spans="1:6" ht="15" customHeight="1" x14ac:dyDescent="0.2">
      <c r="A247" s="415"/>
      <c r="B247" s="415"/>
      <c r="C247" s="560"/>
      <c r="D247" s="560"/>
      <c r="E247" s="560"/>
      <c r="F247" s="560"/>
    </row>
    <row r="248" spans="1:6" ht="15" customHeight="1" x14ac:dyDescent="0.2">
      <c r="A248" s="415"/>
      <c r="B248" s="415"/>
      <c r="C248" s="560"/>
      <c r="D248" s="560"/>
      <c r="E248" s="560"/>
      <c r="F248" s="560"/>
    </row>
    <row r="249" spans="1:6" ht="15" customHeight="1" x14ac:dyDescent="0.2">
      <c r="A249" s="415"/>
      <c r="B249" s="415"/>
      <c r="C249" s="560"/>
      <c r="D249" s="560"/>
      <c r="E249" s="560"/>
      <c r="F249" s="560"/>
    </row>
    <row r="250" spans="1:6" ht="15" customHeight="1" x14ac:dyDescent="0.2">
      <c r="A250" s="415"/>
      <c r="B250" s="415"/>
      <c r="C250" s="560"/>
      <c r="D250" s="560"/>
      <c r="E250" s="560"/>
      <c r="F250" s="560"/>
    </row>
    <row r="251" spans="1:6" ht="15" customHeight="1" x14ac:dyDescent="0.2">
      <c r="A251" s="415"/>
      <c r="B251" s="415"/>
      <c r="C251" s="560"/>
      <c r="D251" s="560"/>
      <c r="E251" s="560"/>
      <c r="F251" s="560"/>
    </row>
    <row r="252" spans="1:6" ht="15" customHeight="1" x14ac:dyDescent="0.2">
      <c r="A252" s="415"/>
      <c r="B252" s="415"/>
      <c r="C252" s="560"/>
      <c r="D252" s="560"/>
      <c r="E252" s="560"/>
      <c r="F252" s="560"/>
    </row>
    <row r="253" spans="1:6" ht="15" customHeight="1" x14ac:dyDescent="0.2">
      <c r="A253" s="415"/>
      <c r="B253" s="415"/>
      <c r="C253" s="560"/>
      <c r="D253" s="560"/>
      <c r="E253" s="560"/>
      <c r="F253" s="560"/>
    </row>
    <row r="254" spans="1:6" ht="15" customHeight="1" x14ac:dyDescent="0.2">
      <c r="A254" s="415"/>
      <c r="B254" s="415"/>
      <c r="C254" s="560"/>
      <c r="D254" s="560"/>
      <c r="E254" s="560"/>
      <c r="F254" s="560"/>
    </row>
    <row r="255" spans="1:6" ht="15" customHeight="1" x14ac:dyDescent="0.2">
      <c r="A255" s="415"/>
      <c r="B255" s="415"/>
      <c r="C255" s="560"/>
      <c r="D255" s="560"/>
      <c r="E255" s="560"/>
      <c r="F255" s="560"/>
    </row>
    <row r="256" spans="1:6" ht="15" customHeight="1" x14ac:dyDescent="0.2">
      <c r="A256" s="415"/>
      <c r="B256" s="415"/>
      <c r="C256" s="560"/>
      <c r="D256" s="560"/>
      <c r="E256" s="560"/>
      <c r="F256" s="560"/>
    </row>
    <row r="257" spans="1:6" ht="15" customHeight="1" x14ac:dyDescent="0.2">
      <c r="A257" s="415"/>
      <c r="B257" s="415"/>
      <c r="C257" s="560"/>
      <c r="D257" s="560"/>
      <c r="E257" s="560"/>
      <c r="F257" s="560"/>
    </row>
    <row r="258" spans="1:6" ht="15" customHeight="1" x14ac:dyDescent="0.2">
      <c r="A258" s="415"/>
      <c r="B258" s="415"/>
      <c r="C258" s="560"/>
      <c r="D258" s="560"/>
      <c r="E258" s="560"/>
      <c r="F258" s="560"/>
    </row>
    <row r="259" spans="1:6" ht="15" customHeight="1" x14ac:dyDescent="0.2">
      <c r="A259" s="415"/>
      <c r="B259" s="415"/>
      <c r="C259" s="560"/>
      <c r="D259" s="560"/>
      <c r="E259" s="560"/>
      <c r="F259" s="560"/>
    </row>
    <row r="260" spans="1:6" ht="15" customHeight="1" x14ac:dyDescent="0.2">
      <c r="A260" s="415"/>
      <c r="B260" s="415"/>
      <c r="C260" s="560"/>
      <c r="D260" s="560"/>
      <c r="E260" s="560"/>
      <c r="F260" s="560"/>
    </row>
    <row r="261" spans="1:6" ht="15" customHeight="1" x14ac:dyDescent="0.2">
      <c r="A261" s="415"/>
      <c r="B261" s="415"/>
      <c r="C261" s="560"/>
      <c r="D261" s="560"/>
      <c r="E261" s="560"/>
      <c r="F261" s="560"/>
    </row>
    <row r="262" spans="1:6" ht="15" customHeight="1" x14ac:dyDescent="0.2">
      <c r="A262" s="415"/>
      <c r="B262" s="415"/>
      <c r="C262" s="560"/>
      <c r="D262" s="560"/>
      <c r="E262" s="560"/>
      <c r="F262" s="560"/>
    </row>
    <row r="263" spans="1:6" ht="15" customHeight="1" x14ac:dyDescent="0.2">
      <c r="A263" s="415"/>
      <c r="B263" s="415"/>
      <c r="C263" s="560"/>
      <c r="D263" s="560"/>
      <c r="E263" s="560"/>
      <c r="F263" s="560"/>
    </row>
    <row r="264" spans="1:6" ht="15" customHeight="1" x14ac:dyDescent="0.2">
      <c r="A264" s="415"/>
      <c r="B264" s="415"/>
      <c r="C264" s="560"/>
      <c r="D264" s="560"/>
      <c r="E264" s="560"/>
      <c r="F264" s="560"/>
    </row>
    <row r="265" spans="1:6" ht="15" customHeight="1" x14ac:dyDescent="0.2">
      <c r="A265" s="415"/>
      <c r="B265" s="415"/>
      <c r="C265" s="560"/>
      <c r="D265" s="560"/>
      <c r="E265" s="560"/>
      <c r="F265" s="560"/>
    </row>
    <row r="266" spans="1:6" ht="15" customHeight="1" x14ac:dyDescent="0.2">
      <c r="A266" s="415"/>
      <c r="B266" s="415"/>
      <c r="C266" s="560"/>
      <c r="D266" s="560"/>
      <c r="E266" s="560"/>
      <c r="F266" s="560"/>
    </row>
    <row r="267" spans="1:6" ht="15" customHeight="1" x14ac:dyDescent="0.2">
      <c r="A267" s="415"/>
      <c r="B267" s="415"/>
      <c r="C267" s="560"/>
      <c r="D267" s="560"/>
      <c r="E267" s="560"/>
      <c r="F267" s="560"/>
    </row>
    <row r="268" spans="1:6" ht="15" customHeight="1" x14ac:dyDescent="0.2">
      <c r="A268" s="415"/>
      <c r="B268" s="415"/>
      <c r="C268" s="560"/>
      <c r="D268" s="560"/>
      <c r="E268" s="560"/>
      <c r="F268" s="560"/>
    </row>
    <row r="269" spans="1:6" ht="15" customHeight="1" x14ac:dyDescent="0.2">
      <c r="A269" s="415"/>
      <c r="B269" s="415"/>
      <c r="C269" s="560"/>
      <c r="D269" s="560"/>
      <c r="E269" s="560"/>
      <c r="F269" s="560"/>
    </row>
    <row r="270" spans="1:6" ht="15" customHeight="1" x14ac:dyDescent="0.2">
      <c r="A270" s="415"/>
      <c r="B270" s="415"/>
      <c r="C270" s="560"/>
      <c r="D270" s="560"/>
      <c r="E270" s="560"/>
      <c r="F270" s="560"/>
    </row>
    <row r="271" spans="1:6" ht="15" customHeight="1" x14ac:dyDescent="0.2">
      <c r="A271" s="415"/>
      <c r="B271" s="415"/>
      <c r="C271" s="560"/>
      <c r="D271" s="560"/>
      <c r="E271" s="560"/>
      <c r="F271" s="560"/>
    </row>
    <row r="272" spans="1:6" ht="15" customHeight="1" x14ac:dyDescent="0.2">
      <c r="A272" s="415"/>
      <c r="B272" s="415"/>
      <c r="C272" s="560"/>
      <c r="D272" s="560"/>
      <c r="E272" s="560"/>
      <c r="F272" s="560"/>
    </row>
    <row r="273" spans="1:6" ht="15" customHeight="1" x14ac:dyDescent="0.2">
      <c r="A273" s="415"/>
      <c r="B273" s="415"/>
      <c r="C273" s="560"/>
      <c r="D273" s="560"/>
      <c r="E273" s="560"/>
      <c r="F273" s="560"/>
    </row>
    <row r="274" spans="1:6" ht="15" customHeight="1" x14ac:dyDescent="0.2">
      <c r="A274" s="415"/>
      <c r="B274" s="415"/>
      <c r="C274" s="560"/>
      <c r="D274" s="560"/>
      <c r="E274" s="560"/>
      <c r="F274" s="560"/>
    </row>
    <row r="275" spans="1:6" ht="15" customHeight="1" x14ac:dyDescent="0.2">
      <c r="A275" s="415"/>
      <c r="B275" s="415"/>
      <c r="C275" s="560"/>
      <c r="D275" s="560"/>
      <c r="E275" s="560"/>
      <c r="F275" s="560"/>
    </row>
    <row r="276" spans="1:6" ht="15" customHeight="1" x14ac:dyDescent="0.2">
      <c r="A276" s="415"/>
      <c r="B276" s="415"/>
      <c r="C276" s="560"/>
      <c r="D276" s="560"/>
      <c r="E276" s="560"/>
      <c r="F276" s="560"/>
    </row>
    <row r="277" spans="1:6" ht="15" customHeight="1" x14ac:dyDescent="0.2">
      <c r="A277" s="415"/>
      <c r="B277" s="415"/>
      <c r="C277" s="560"/>
      <c r="D277" s="560"/>
      <c r="E277" s="560"/>
      <c r="F277" s="560"/>
    </row>
    <row r="278" spans="1:6" ht="15" customHeight="1" x14ac:dyDescent="0.2">
      <c r="A278" s="415"/>
      <c r="B278" s="415"/>
      <c r="C278" s="560"/>
      <c r="D278" s="560"/>
      <c r="E278" s="560"/>
      <c r="F278" s="560"/>
    </row>
    <row r="279" spans="1:6" ht="15" customHeight="1" x14ac:dyDescent="0.2">
      <c r="A279" s="415"/>
      <c r="B279" s="415"/>
      <c r="C279" s="560"/>
      <c r="D279" s="560"/>
      <c r="E279" s="560"/>
      <c r="F279" s="560"/>
    </row>
    <row r="280" spans="1:6" ht="15" customHeight="1" x14ac:dyDescent="0.2">
      <c r="A280" s="415"/>
      <c r="B280" s="415"/>
      <c r="C280" s="560"/>
      <c r="D280" s="560"/>
      <c r="E280" s="560"/>
      <c r="F280" s="560"/>
    </row>
    <row r="281" spans="1:6" ht="15" customHeight="1" x14ac:dyDescent="0.2">
      <c r="A281" s="415"/>
      <c r="B281" s="415"/>
      <c r="C281" s="560"/>
      <c r="D281" s="560"/>
      <c r="E281" s="560"/>
      <c r="F281" s="560"/>
    </row>
    <row r="282" spans="1:6" ht="15" customHeight="1" x14ac:dyDescent="0.2">
      <c r="A282" s="415"/>
      <c r="B282" s="415"/>
      <c r="C282" s="560"/>
      <c r="D282" s="560"/>
      <c r="E282" s="560"/>
      <c r="F282" s="560"/>
    </row>
    <row r="283" spans="1:6" ht="15" customHeight="1" x14ac:dyDescent="0.2">
      <c r="A283" s="415"/>
      <c r="B283" s="415"/>
      <c r="C283" s="560"/>
      <c r="D283" s="560"/>
      <c r="E283" s="560"/>
      <c r="F283" s="560"/>
    </row>
    <row r="284" spans="1:6" ht="15" customHeight="1" x14ac:dyDescent="0.2">
      <c r="A284" s="415"/>
      <c r="B284" s="415"/>
      <c r="C284" s="560"/>
      <c r="D284" s="560"/>
      <c r="E284" s="560"/>
      <c r="F284" s="560"/>
    </row>
    <row r="285" spans="1:6" ht="15" customHeight="1" x14ac:dyDescent="0.2">
      <c r="A285" s="415"/>
      <c r="B285" s="415"/>
      <c r="C285" s="560"/>
      <c r="D285" s="560"/>
      <c r="E285" s="560"/>
      <c r="F285" s="560"/>
    </row>
    <row r="286" spans="1:6" ht="15" customHeight="1" x14ac:dyDescent="0.2">
      <c r="A286" s="415"/>
      <c r="B286" s="415"/>
      <c r="C286" s="560"/>
      <c r="D286" s="560"/>
      <c r="E286" s="560"/>
      <c r="F286" s="560"/>
    </row>
    <row r="287" spans="1:6" ht="15" customHeight="1" x14ac:dyDescent="0.2">
      <c r="A287" s="415"/>
      <c r="B287" s="415"/>
      <c r="C287" s="560"/>
      <c r="D287" s="560"/>
      <c r="E287" s="560"/>
      <c r="F287" s="560"/>
    </row>
    <row r="288" spans="1:6" ht="15" customHeight="1" x14ac:dyDescent="0.2">
      <c r="A288" s="415"/>
      <c r="B288" s="415"/>
      <c r="C288" s="560"/>
      <c r="D288" s="560"/>
      <c r="E288" s="560"/>
      <c r="F288" s="560"/>
    </row>
    <row r="289" spans="1:6" ht="15" customHeight="1" x14ac:dyDescent="0.2">
      <c r="A289" s="415"/>
      <c r="B289" s="415"/>
      <c r="C289" s="560"/>
      <c r="D289" s="560"/>
      <c r="E289" s="560"/>
      <c r="F289" s="560"/>
    </row>
    <row r="290" spans="1:6" ht="15" customHeight="1" x14ac:dyDescent="0.2">
      <c r="A290" s="415"/>
      <c r="B290" s="415"/>
      <c r="C290" s="560"/>
      <c r="D290" s="560"/>
      <c r="E290" s="560"/>
      <c r="F290" s="560"/>
    </row>
    <row r="291" spans="1:6" ht="15" customHeight="1" x14ac:dyDescent="0.2">
      <c r="A291" s="415"/>
      <c r="B291" s="415"/>
      <c r="C291" s="560"/>
      <c r="D291" s="560"/>
      <c r="E291" s="560"/>
      <c r="F291" s="560"/>
    </row>
    <row r="292" spans="1:6" ht="15" customHeight="1" x14ac:dyDescent="0.2">
      <c r="A292" s="415"/>
      <c r="B292" s="415"/>
      <c r="C292" s="560"/>
      <c r="D292" s="560"/>
      <c r="E292" s="560"/>
      <c r="F292" s="560"/>
    </row>
    <row r="293" spans="1:6" ht="15" customHeight="1" x14ac:dyDescent="0.2">
      <c r="A293" s="415"/>
      <c r="B293" s="415"/>
      <c r="C293" s="560"/>
      <c r="D293" s="560"/>
      <c r="E293" s="560"/>
      <c r="F293" s="560"/>
    </row>
    <row r="294" spans="1:6" ht="15" customHeight="1" x14ac:dyDescent="0.2">
      <c r="A294" s="415"/>
      <c r="B294" s="415"/>
      <c r="C294" s="560"/>
      <c r="D294" s="560"/>
      <c r="E294" s="560"/>
      <c r="F294" s="560"/>
    </row>
    <row r="295" spans="1:6" ht="15" customHeight="1" x14ac:dyDescent="0.2">
      <c r="A295" s="415"/>
      <c r="B295" s="415"/>
      <c r="C295" s="560"/>
      <c r="D295" s="560"/>
      <c r="E295" s="560"/>
      <c r="F295" s="560"/>
    </row>
    <row r="296" spans="1:6" ht="15" customHeight="1" x14ac:dyDescent="0.2">
      <c r="A296" s="415"/>
      <c r="B296" s="415"/>
      <c r="C296" s="560"/>
      <c r="D296" s="560"/>
      <c r="E296" s="560"/>
      <c r="F296" s="560"/>
    </row>
    <row r="297" spans="1:6" ht="15" customHeight="1" x14ac:dyDescent="0.2">
      <c r="A297" s="415"/>
      <c r="B297" s="415"/>
      <c r="C297" s="560"/>
      <c r="D297" s="560"/>
      <c r="E297" s="560"/>
      <c r="F297" s="560"/>
    </row>
    <row r="298" spans="1:6" ht="15" customHeight="1" x14ac:dyDescent="0.2">
      <c r="A298" s="415"/>
      <c r="B298" s="415"/>
      <c r="C298" s="560"/>
      <c r="D298" s="560"/>
      <c r="E298" s="560"/>
      <c r="F298" s="560"/>
    </row>
    <row r="299" spans="1:6" ht="15" customHeight="1" x14ac:dyDescent="0.2">
      <c r="A299" s="415"/>
      <c r="B299" s="415"/>
      <c r="C299" s="560"/>
      <c r="D299" s="560"/>
      <c r="E299" s="560"/>
      <c r="F299" s="560"/>
    </row>
    <row r="300" spans="1:6" ht="15" customHeight="1" x14ac:dyDescent="0.2">
      <c r="A300" s="415"/>
      <c r="B300" s="415"/>
      <c r="C300" s="560"/>
      <c r="D300" s="560"/>
      <c r="E300" s="560"/>
      <c r="F300" s="560"/>
    </row>
    <row r="301" spans="1:6" ht="15" customHeight="1" x14ac:dyDescent="0.2">
      <c r="A301" s="415"/>
      <c r="B301" s="415"/>
      <c r="C301" s="560"/>
      <c r="D301" s="560"/>
      <c r="E301" s="560"/>
      <c r="F301" s="560"/>
    </row>
    <row r="302" spans="1:6" ht="15" customHeight="1" x14ac:dyDescent="0.2">
      <c r="A302" s="415"/>
      <c r="B302" s="415"/>
      <c r="C302" s="560"/>
      <c r="D302" s="560"/>
      <c r="E302" s="560"/>
      <c r="F302" s="560"/>
    </row>
    <row r="303" spans="1:6" ht="15" customHeight="1" x14ac:dyDescent="0.2">
      <c r="A303" s="415"/>
      <c r="B303" s="415"/>
      <c r="C303" s="560"/>
      <c r="D303" s="560"/>
      <c r="E303" s="560"/>
      <c r="F303" s="560"/>
    </row>
    <row r="304" spans="1:6" ht="15" customHeight="1" x14ac:dyDescent="0.2">
      <c r="A304" s="415"/>
      <c r="B304" s="415"/>
      <c r="C304" s="560"/>
      <c r="D304" s="560"/>
      <c r="E304" s="560"/>
      <c r="F304" s="560"/>
    </row>
    <row r="305" spans="1:6" ht="15" customHeight="1" x14ac:dyDescent="0.2">
      <c r="A305" s="415"/>
      <c r="B305" s="415"/>
      <c r="C305" s="560"/>
      <c r="D305" s="560"/>
      <c r="E305" s="560"/>
      <c r="F305" s="560"/>
    </row>
    <row r="306" spans="1:6" ht="15" customHeight="1" x14ac:dyDescent="0.2">
      <c r="A306" s="415"/>
      <c r="B306" s="415"/>
      <c r="C306" s="560"/>
      <c r="D306" s="560"/>
      <c r="E306" s="560"/>
      <c r="F306" s="560"/>
    </row>
    <row r="307" spans="1:6" ht="15" customHeight="1" x14ac:dyDescent="0.2">
      <c r="A307" s="415"/>
      <c r="B307" s="415"/>
      <c r="C307" s="560"/>
      <c r="D307" s="560"/>
      <c r="E307" s="560"/>
      <c r="F307" s="560"/>
    </row>
    <row r="308" spans="1:6" ht="15" customHeight="1" x14ac:dyDescent="0.2">
      <c r="A308" s="415"/>
      <c r="B308" s="415"/>
      <c r="C308" s="560"/>
      <c r="D308" s="560"/>
      <c r="E308" s="560"/>
      <c r="F308" s="560"/>
    </row>
    <row r="309" spans="1:6" ht="15" customHeight="1" x14ac:dyDescent="0.2">
      <c r="A309" s="415"/>
      <c r="B309" s="415"/>
      <c r="C309" s="560"/>
      <c r="D309" s="560"/>
      <c r="E309" s="560"/>
      <c r="F309" s="560"/>
    </row>
    <row r="310" spans="1:6" ht="15" customHeight="1" x14ac:dyDescent="0.2">
      <c r="A310" s="415"/>
      <c r="B310" s="415"/>
      <c r="C310" s="560"/>
      <c r="D310" s="560"/>
      <c r="E310" s="560"/>
      <c r="F310" s="560"/>
    </row>
    <row r="311" spans="1:6" ht="15" customHeight="1" x14ac:dyDescent="0.2">
      <c r="A311" s="415"/>
      <c r="B311" s="415"/>
      <c r="C311" s="560"/>
      <c r="D311" s="560"/>
      <c r="E311" s="560"/>
      <c r="F311" s="560"/>
    </row>
    <row r="312" spans="1:6" ht="15" customHeight="1" x14ac:dyDescent="0.2">
      <c r="A312" s="415"/>
      <c r="B312" s="415"/>
      <c r="C312" s="560"/>
      <c r="D312" s="560"/>
      <c r="E312" s="560"/>
      <c r="F312" s="560"/>
    </row>
    <row r="313" spans="1:6" ht="15" customHeight="1" x14ac:dyDescent="0.2">
      <c r="A313" s="415"/>
      <c r="B313" s="415"/>
      <c r="C313" s="560"/>
      <c r="D313" s="560"/>
      <c r="E313" s="560"/>
      <c r="F313" s="560"/>
    </row>
    <row r="314" spans="1:6" ht="15" customHeight="1" x14ac:dyDescent="0.2">
      <c r="A314" s="415"/>
      <c r="B314" s="415"/>
      <c r="C314" s="560"/>
      <c r="D314" s="560"/>
      <c r="E314" s="560"/>
      <c r="F314" s="560"/>
    </row>
    <row r="315" spans="1:6" ht="15" customHeight="1" x14ac:dyDescent="0.2">
      <c r="A315" s="415"/>
      <c r="B315" s="415"/>
      <c r="C315" s="560"/>
      <c r="D315" s="560"/>
      <c r="E315" s="560"/>
      <c r="F315" s="560"/>
    </row>
    <row r="316" spans="1:6" ht="15" customHeight="1" x14ac:dyDescent="0.2">
      <c r="A316" s="415"/>
      <c r="B316" s="415"/>
      <c r="C316" s="560"/>
      <c r="D316" s="560"/>
      <c r="E316" s="560"/>
      <c r="F316" s="560"/>
    </row>
    <row r="317" spans="1:6" ht="15" customHeight="1" x14ac:dyDescent="0.2">
      <c r="A317" s="415"/>
      <c r="B317" s="415"/>
      <c r="C317" s="560"/>
      <c r="D317" s="560"/>
      <c r="E317" s="560"/>
      <c r="F317" s="560"/>
    </row>
    <row r="318" spans="1:6" ht="15" customHeight="1" x14ac:dyDescent="0.2">
      <c r="A318" s="415"/>
      <c r="B318" s="415"/>
      <c r="C318" s="560"/>
      <c r="D318" s="560"/>
      <c r="E318" s="560"/>
      <c r="F318" s="560"/>
    </row>
    <row r="319" spans="1:6" ht="15" customHeight="1" x14ac:dyDescent="0.2">
      <c r="A319" s="415"/>
      <c r="B319" s="415"/>
      <c r="C319" s="560"/>
      <c r="D319" s="560"/>
      <c r="E319" s="560"/>
      <c r="F319" s="560"/>
    </row>
    <row r="320" spans="1:6" ht="15" customHeight="1" x14ac:dyDescent="0.2">
      <c r="A320" s="415"/>
      <c r="B320" s="415"/>
      <c r="C320" s="560"/>
      <c r="D320" s="560"/>
      <c r="E320" s="560"/>
      <c r="F320" s="560"/>
    </row>
    <row r="321" spans="1:6" ht="15" customHeight="1" x14ac:dyDescent="0.2">
      <c r="A321" s="415"/>
      <c r="B321" s="415"/>
      <c r="C321" s="560"/>
      <c r="D321" s="560"/>
      <c r="E321" s="560"/>
      <c r="F321" s="560"/>
    </row>
    <row r="322" spans="1:6" ht="15" customHeight="1" x14ac:dyDescent="0.2">
      <c r="A322" s="415"/>
      <c r="B322" s="415"/>
      <c r="C322" s="560"/>
      <c r="D322" s="560"/>
      <c r="E322" s="560"/>
      <c r="F322" s="560"/>
    </row>
    <row r="323" spans="1:6" ht="15" customHeight="1" x14ac:dyDescent="0.2">
      <c r="A323" s="415"/>
      <c r="B323" s="415"/>
      <c r="C323" s="560"/>
      <c r="D323" s="560"/>
      <c r="E323" s="560"/>
      <c r="F323" s="560"/>
    </row>
    <row r="324" spans="1:6" ht="15" customHeight="1" x14ac:dyDescent="0.2">
      <c r="A324" s="415"/>
      <c r="B324" s="415"/>
      <c r="C324" s="560"/>
      <c r="D324" s="560"/>
      <c r="E324" s="560"/>
      <c r="F324" s="560"/>
    </row>
    <row r="325" spans="1:6" ht="15" customHeight="1" x14ac:dyDescent="0.2">
      <c r="A325" s="415"/>
      <c r="B325" s="415"/>
      <c r="C325" s="560"/>
      <c r="D325" s="560"/>
      <c r="E325" s="560"/>
      <c r="F325" s="560"/>
    </row>
    <row r="326" spans="1:6" ht="15" customHeight="1" x14ac:dyDescent="0.2">
      <c r="A326" s="415"/>
      <c r="B326" s="415"/>
      <c r="C326" s="560"/>
      <c r="D326" s="560"/>
      <c r="E326" s="560"/>
      <c r="F326" s="560"/>
    </row>
    <row r="327" spans="1:6" ht="15" customHeight="1" x14ac:dyDescent="0.2">
      <c r="A327" s="415"/>
      <c r="B327" s="415"/>
      <c r="C327" s="560"/>
      <c r="D327" s="560"/>
      <c r="E327" s="560"/>
      <c r="F327" s="560"/>
    </row>
    <row r="328" spans="1:6" ht="15" customHeight="1" x14ac:dyDescent="0.2">
      <c r="A328" s="415"/>
      <c r="B328" s="415"/>
      <c r="C328" s="560"/>
      <c r="D328" s="560"/>
      <c r="E328" s="560"/>
      <c r="F328" s="560"/>
    </row>
    <row r="329" spans="1:6" ht="15" customHeight="1" x14ac:dyDescent="0.2">
      <c r="A329" s="415"/>
      <c r="B329" s="415"/>
      <c r="C329" s="560"/>
      <c r="D329" s="560"/>
      <c r="E329" s="560"/>
      <c r="F329" s="560"/>
    </row>
    <row r="330" spans="1:6" ht="15" customHeight="1" x14ac:dyDescent="0.2">
      <c r="A330" s="415"/>
      <c r="B330" s="415"/>
      <c r="C330" s="560"/>
      <c r="D330" s="560"/>
      <c r="E330" s="560"/>
      <c r="F330" s="560"/>
    </row>
    <row r="331" spans="1:6" ht="15" customHeight="1" x14ac:dyDescent="0.2">
      <c r="A331" s="415"/>
      <c r="B331" s="415"/>
      <c r="C331" s="560"/>
      <c r="D331" s="560"/>
      <c r="E331" s="560"/>
      <c r="F331" s="560"/>
    </row>
    <row r="332" spans="1:6" ht="15" customHeight="1" x14ac:dyDescent="0.2">
      <c r="A332" s="415"/>
      <c r="B332" s="415"/>
      <c r="C332" s="560"/>
      <c r="D332" s="560"/>
      <c r="E332" s="560"/>
      <c r="F332" s="560"/>
    </row>
    <row r="333" spans="1:6" ht="15" customHeight="1" x14ac:dyDescent="0.2">
      <c r="A333" s="415"/>
      <c r="B333" s="415"/>
      <c r="C333" s="560"/>
      <c r="D333" s="560"/>
      <c r="E333" s="560"/>
      <c r="F333" s="560"/>
    </row>
    <row r="334" spans="1:6" ht="15" customHeight="1" x14ac:dyDescent="0.2">
      <c r="A334" s="415"/>
      <c r="B334" s="415"/>
      <c r="C334" s="560"/>
      <c r="D334" s="560"/>
      <c r="E334" s="560"/>
      <c r="F334" s="560"/>
    </row>
    <row r="335" spans="1:6" ht="15" customHeight="1" x14ac:dyDescent="0.2">
      <c r="A335" s="415"/>
      <c r="B335" s="415"/>
      <c r="C335" s="560"/>
      <c r="D335" s="560"/>
      <c r="E335" s="560"/>
      <c r="F335" s="560"/>
    </row>
    <row r="336" spans="1:6" ht="15" customHeight="1" x14ac:dyDescent="0.2">
      <c r="A336" s="415"/>
      <c r="B336" s="415"/>
      <c r="C336" s="560"/>
      <c r="D336" s="560"/>
      <c r="E336" s="560"/>
      <c r="F336" s="560"/>
    </row>
    <row r="337" spans="1:6" ht="15" customHeight="1" x14ac:dyDescent="0.2">
      <c r="A337" s="415"/>
      <c r="B337" s="415"/>
      <c r="C337" s="560"/>
      <c r="D337" s="560"/>
      <c r="E337" s="560"/>
      <c r="F337" s="560"/>
    </row>
    <row r="338" spans="1:6" ht="15" customHeight="1" x14ac:dyDescent="0.2">
      <c r="A338" s="415"/>
      <c r="B338" s="415"/>
      <c r="C338" s="560"/>
      <c r="D338" s="560"/>
      <c r="E338" s="560"/>
      <c r="F338" s="560"/>
    </row>
    <row r="339" spans="1:6" ht="15" customHeight="1" x14ac:dyDescent="0.2">
      <c r="A339" s="415"/>
      <c r="B339" s="415"/>
      <c r="C339" s="560"/>
      <c r="D339" s="560"/>
      <c r="E339" s="560"/>
      <c r="F339" s="560"/>
    </row>
    <row r="340" spans="1:6" ht="15" customHeight="1" x14ac:dyDescent="0.2">
      <c r="A340" s="415"/>
      <c r="B340" s="415"/>
      <c r="C340" s="560"/>
      <c r="D340" s="560"/>
      <c r="E340" s="560"/>
      <c r="F340" s="560"/>
    </row>
    <row r="341" spans="1:6" ht="15" customHeight="1" x14ac:dyDescent="0.2">
      <c r="A341" s="415"/>
      <c r="B341" s="415"/>
      <c r="C341" s="560"/>
      <c r="D341" s="560"/>
      <c r="E341" s="560"/>
      <c r="F341" s="560"/>
    </row>
    <row r="342" spans="1:6" ht="15" customHeight="1" x14ac:dyDescent="0.2">
      <c r="A342" s="415"/>
      <c r="B342" s="415"/>
      <c r="C342" s="560"/>
      <c r="D342" s="560"/>
      <c r="E342" s="560"/>
      <c r="F342" s="560"/>
    </row>
    <row r="343" spans="1:6" ht="15" customHeight="1" x14ac:dyDescent="0.2">
      <c r="A343" s="415"/>
      <c r="B343" s="415"/>
      <c r="C343" s="560"/>
      <c r="D343" s="560"/>
      <c r="E343" s="560"/>
      <c r="F343" s="560"/>
    </row>
    <row r="344" spans="1:6" ht="15" customHeight="1" x14ac:dyDescent="0.2">
      <c r="A344" s="415"/>
      <c r="B344" s="415"/>
      <c r="C344" s="560"/>
      <c r="D344" s="560"/>
      <c r="E344" s="560"/>
      <c r="F344" s="560"/>
    </row>
    <row r="345" spans="1:6" ht="15" customHeight="1" x14ac:dyDescent="0.2">
      <c r="A345" s="415"/>
      <c r="B345" s="415"/>
      <c r="C345" s="560"/>
      <c r="D345" s="560"/>
      <c r="E345" s="560"/>
      <c r="F345" s="560"/>
    </row>
    <row r="346" spans="1:6" ht="15" customHeight="1" x14ac:dyDescent="0.2">
      <c r="A346" s="415"/>
      <c r="B346" s="415"/>
      <c r="C346" s="560"/>
      <c r="D346" s="560"/>
      <c r="E346" s="560"/>
      <c r="F346" s="560"/>
    </row>
    <row r="347" spans="1:6" ht="15" customHeight="1" x14ac:dyDescent="0.2">
      <c r="A347" s="415"/>
      <c r="B347" s="415"/>
      <c r="C347" s="560"/>
      <c r="D347" s="560"/>
      <c r="E347" s="560"/>
      <c r="F347" s="560"/>
    </row>
    <row r="348" spans="1:6" ht="15" customHeight="1" x14ac:dyDescent="0.2">
      <c r="A348" s="415"/>
      <c r="B348" s="415"/>
      <c r="C348" s="560"/>
      <c r="D348" s="560"/>
      <c r="E348" s="560"/>
      <c r="F348" s="560"/>
    </row>
    <row r="349" spans="1:6" ht="15" customHeight="1" x14ac:dyDescent="0.2">
      <c r="A349" s="415"/>
      <c r="B349" s="415"/>
      <c r="C349" s="560"/>
      <c r="D349" s="560"/>
      <c r="E349" s="560"/>
      <c r="F349" s="560"/>
    </row>
    <row r="350" spans="1:6" ht="15" customHeight="1" x14ac:dyDescent="0.2">
      <c r="A350" s="415"/>
      <c r="B350" s="415"/>
      <c r="C350" s="560"/>
      <c r="D350" s="560"/>
      <c r="E350" s="560"/>
      <c r="F350" s="560"/>
    </row>
    <row r="351" spans="1:6" ht="15" customHeight="1" x14ac:dyDescent="0.2">
      <c r="A351" s="415"/>
      <c r="B351" s="415"/>
      <c r="C351" s="560"/>
      <c r="D351" s="560"/>
      <c r="E351" s="560"/>
      <c r="F351" s="560"/>
    </row>
    <row r="352" spans="1:6" ht="15" customHeight="1" x14ac:dyDescent="0.2">
      <c r="A352" s="415"/>
      <c r="B352" s="415"/>
      <c r="C352" s="560"/>
      <c r="D352" s="560"/>
      <c r="E352" s="560"/>
      <c r="F352" s="560"/>
    </row>
    <row r="353" spans="1:6" ht="15" customHeight="1" x14ac:dyDescent="0.2">
      <c r="A353" s="415"/>
      <c r="B353" s="415"/>
      <c r="C353" s="560"/>
      <c r="D353" s="560"/>
      <c r="E353" s="560"/>
      <c r="F353" s="560"/>
    </row>
    <row r="354" spans="1:6" ht="15" customHeight="1" x14ac:dyDescent="0.2">
      <c r="A354" s="415"/>
      <c r="B354" s="415"/>
      <c r="C354" s="560"/>
      <c r="D354" s="560"/>
      <c r="E354" s="560"/>
      <c r="F354" s="560"/>
    </row>
    <row r="355" spans="1:6" ht="15" customHeight="1" x14ac:dyDescent="0.2">
      <c r="A355" s="415"/>
      <c r="B355" s="415"/>
      <c r="C355" s="560"/>
      <c r="D355" s="560"/>
      <c r="E355" s="560"/>
      <c r="F355" s="560"/>
    </row>
    <row r="356" spans="1:6" ht="15" customHeight="1" x14ac:dyDescent="0.2">
      <c r="A356" s="415"/>
      <c r="B356" s="415"/>
      <c r="C356" s="560"/>
      <c r="D356" s="560"/>
      <c r="E356" s="560"/>
      <c r="F356" s="560"/>
    </row>
    <row r="357" spans="1:6" ht="15" customHeight="1" x14ac:dyDescent="0.2">
      <c r="A357" s="415"/>
      <c r="B357" s="415"/>
      <c r="C357" s="560"/>
      <c r="D357" s="560"/>
      <c r="E357" s="560"/>
      <c r="F357" s="560"/>
    </row>
    <row r="358" spans="1:6" ht="15" customHeight="1" x14ac:dyDescent="0.2">
      <c r="A358" s="415"/>
      <c r="B358" s="415"/>
      <c r="C358" s="560"/>
      <c r="D358" s="560"/>
      <c r="E358" s="560"/>
      <c r="F358" s="560"/>
    </row>
    <row r="359" spans="1:6" ht="15" customHeight="1" x14ac:dyDescent="0.2">
      <c r="A359" s="415"/>
      <c r="B359" s="415"/>
      <c r="C359" s="560"/>
      <c r="D359" s="560"/>
      <c r="E359" s="560"/>
      <c r="F359" s="560"/>
    </row>
    <row r="360" spans="1:6" ht="15" customHeight="1" x14ac:dyDescent="0.2">
      <c r="A360" s="415"/>
      <c r="B360" s="415"/>
      <c r="C360" s="560"/>
      <c r="D360" s="560"/>
      <c r="E360" s="560"/>
      <c r="F360" s="560"/>
    </row>
    <row r="361" spans="1:6" ht="15" customHeight="1" x14ac:dyDescent="0.2">
      <c r="A361" s="415"/>
      <c r="B361" s="415"/>
      <c r="C361" s="560"/>
      <c r="D361" s="560"/>
      <c r="E361" s="560"/>
      <c r="F361" s="560"/>
    </row>
    <row r="362" spans="1:6" ht="15" customHeight="1" x14ac:dyDescent="0.2">
      <c r="A362" s="415"/>
      <c r="B362" s="415"/>
      <c r="C362" s="560"/>
      <c r="D362" s="560"/>
      <c r="E362" s="560"/>
      <c r="F362" s="560"/>
    </row>
    <row r="363" spans="1:6" ht="15" customHeight="1" x14ac:dyDescent="0.2">
      <c r="A363" s="415"/>
      <c r="B363" s="415"/>
      <c r="C363" s="560"/>
      <c r="D363" s="560"/>
      <c r="E363" s="560"/>
      <c r="F363" s="560"/>
    </row>
    <row r="364" spans="1:6" ht="15" customHeight="1" x14ac:dyDescent="0.2">
      <c r="A364" s="415"/>
      <c r="B364" s="415"/>
      <c r="C364" s="560"/>
      <c r="D364" s="560"/>
      <c r="E364" s="560"/>
      <c r="F364" s="560"/>
    </row>
    <row r="365" spans="1:6" ht="15" customHeight="1" x14ac:dyDescent="0.2">
      <c r="A365" s="415"/>
      <c r="B365" s="415"/>
      <c r="C365" s="560"/>
      <c r="D365" s="560"/>
      <c r="E365" s="560"/>
      <c r="F365" s="560"/>
    </row>
    <row r="366" spans="1:6" ht="15" customHeight="1" x14ac:dyDescent="0.2">
      <c r="A366" s="415"/>
      <c r="B366" s="415"/>
      <c r="C366" s="560"/>
      <c r="D366" s="560"/>
      <c r="E366" s="560"/>
      <c r="F366" s="560"/>
    </row>
    <row r="367" spans="1:6" ht="15" customHeight="1" x14ac:dyDescent="0.2">
      <c r="A367" s="415"/>
      <c r="B367" s="415"/>
      <c r="C367" s="560"/>
      <c r="D367" s="560"/>
      <c r="E367" s="560"/>
      <c r="F367" s="560"/>
    </row>
    <row r="368" spans="1:6" ht="15" customHeight="1" x14ac:dyDescent="0.2">
      <c r="A368" s="415"/>
      <c r="B368" s="415"/>
      <c r="C368" s="560"/>
      <c r="D368" s="560"/>
      <c r="E368" s="560"/>
      <c r="F368" s="560"/>
    </row>
    <row r="369" spans="1:6" ht="15" customHeight="1" x14ac:dyDescent="0.2">
      <c r="A369" s="415"/>
      <c r="B369" s="415"/>
      <c r="C369" s="560"/>
      <c r="D369" s="560"/>
      <c r="E369" s="560"/>
      <c r="F369" s="560"/>
    </row>
    <row r="370" spans="1:6" ht="15" customHeight="1" x14ac:dyDescent="0.2">
      <c r="A370" s="415"/>
      <c r="B370" s="415"/>
      <c r="C370" s="560"/>
      <c r="D370" s="560"/>
      <c r="E370" s="560"/>
      <c r="F370" s="560"/>
    </row>
    <row r="371" spans="1:6" ht="15" customHeight="1" x14ac:dyDescent="0.2">
      <c r="A371" s="415"/>
      <c r="B371" s="415"/>
      <c r="C371" s="560"/>
      <c r="D371" s="560"/>
      <c r="E371" s="560"/>
      <c r="F371" s="560"/>
    </row>
    <row r="372" spans="1:6" ht="15" customHeight="1" x14ac:dyDescent="0.2">
      <c r="A372" s="415"/>
      <c r="B372" s="415"/>
      <c r="C372" s="560"/>
      <c r="D372" s="560"/>
      <c r="E372" s="560"/>
      <c r="F372" s="560"/>
    </row>
    <row r="373" spans="1:6" ht="15" customHeight="1" x14ac:dyDescent="0.2">
      <c r="A373" s="415"/>
      <c r="B373" s="415"/>
      <c r="C373" s="560"/>
      <c r="D373" s="560"/>
      <c r="E373" s="560"/>
      <c r="F373" s="560"/>
    </row>
    <row r="374" spans="1:6" ht="15" customHeight="1" x14ac:dyDescent="0.2">
      <c r="A374" s="415"/>
      <c r="B374" s="415"/>
      <c r="C374" s="560"/>
      <c r="D374" s="560"/>
      <c r="E374" s="560"/>
      <c r="F374" s="560"/>
    </row>
    <row r="375" spans="1:6" ht="15" customHeight="1" x14ac:dyDescent="0.2">
      <c r="A375" s="415"/>
      <c r="B375" s="415"/>
      <c r="C375" s="560"/>
      <c r="D375" s="560"/>
      <c r="E375" s="560"/>
      <c r="F375" s="560"/>
    </row>
    <row r="376" spans="1:6" ht="15" customHeight="1" x14ac:dyDescent="0.2">
      <c r="A376" s="415"/>
      <c r="B376" s="415"/>
      <c r="C376" s="560"/>
      <c r="D376" s="560"/>
      <c r="E376" s="560"/>
      <c r="F376" s="560"/>
    </row>
    <row r="377" spans="1:6" ht="15" customHeight="1" x14ac:dyDescent="0.2">
      <c r="A377" s="415"/>
      <c r="B377" s="415"/>
      <c r="C377" s="560"/>
      <c r="D377" s="560"/>
      <c r="E377" s="560"/>
      <c r="F377" s="560"/>
    </row>
    <row r="378" spans="1:6" ht="15" customHeight="1" x14ac:dyDescent="0.2">
      <c r="A378" s="415"/>
      <c r="B378" s="415"/>
      <c r="C378" s="560"/>
      <c r="D378" s="560"/>
      <c r="E378" s="560"/>
      <c r="F378" s="560"/>
    </row>
    <row r="379" spans="1:6" ht="15" customHeight="1" x14ac:dyDescent="0.2">
      <c r="A379" s="415"/>
      <c r="B379" s="415"/>
      <c r="C379" s="560"/>
      <c r="D379" s="560"/>
      <c r="E379" s="560"/>
      <c r="F379" s="560"/>
    </row>
    <row r="380" spans="1:6" ht="15" customHeight="1" x14ac:dyDescent="0.2">
      <c r="A380" s="415"/>
      <c r="B380" s="415"/>
      <c r="C380" s="560"/>
      <c r="D380" s="560"/>
      <c r="E380" s="560"/>
      <c r="F380" s="560"/>
    </row>
    <row r="381" spans="1:6" ht="15" customHeight="1" x14ac:dyDescent="0.2">
      <c r="A381" s="415"/>
      <c r="B381" s="415"/>
      <c r="C381" s="560"/>
      <c r="D381" s="560"/>
      <c r="E381" s="560"/>
      <c r="F381" s="560"/>
    </row>
    <row r="382" spans="1:6" ht="15" customHeight="1" x14ac:dyDescent="0.2">
      <c r="A382" s="415"/>
      <c r="B382" s="415"/>
      <c r="C382" s="560"/>
      <c r="D382" s="560"/>
      <c r="E382" s="560"/>
      <c r="F382" s="560"/>
    </row>
    <row r="383" spans="1:6" ht="15" customHeight="1" x14ac:dyDescent="0.2">
      <c r="A383" s="415"/>
      <c r="B383" s="415"/>
      <c r="C383" s="560"/>
      <c r="D383" s="560"/>
      <c r="E383" s="560"/>
      <c r="F383" s="560"/>
    </row>
    <row r="384" spans="1:6" ht="15" customHeight="1" x14ac:dyDescent="0.2">
      <c r="A384" s="415"/>
      <c r="B384" s="415"/>
      <c r="C384" s="560"/>
      <c r="D384" s="560"/>
      <c r="E384" s="560"/>
      <c r="F384" s="560"/>
    </row>
    <row r="385" spans="1:6" ht="15" customHeight="1" x14ac:dyDescent="0.2">
      <c r="A385" s="415"/>
      <c r="B385" s="415"/>
      <c r="C385" s="560"/>
      <c r="D385" s="560"/>
      <c r="E385" s="560"/>
      <c r="F385" s="560"/>
    </row>
    <row r="386" spans="1:6" ht="15" customHeight="1" x14ac:dyDescent="0.2">
      <c r="A386" s="415"/>
      <c r="B386" s="415"/>
      <c r="C386" s="560"/>
      <c r="D386" s="560"/>
      <c r="E386" s="560"/>
      <c r="F386" s="560"/>
    </row>
    <row r="387" spans="1:6" ht="15" customHeight="1" x14ac:dyDescent="0.2">
      <c r="A387" s="415"/>
      <c r="B387" s="415"/>
      <c r="C387" s="560"/>
      <c r="D387" s="560"/>
      <c r="E387" s="560"/>
      <c r="F387" s="560"/>
    </row>
    <row r="388" spans="1:6" ht="15" customHeight="1" x14ac:dyDescent="0.2">
      <c r="A388" s="415"/>
      <c r="B388" s="415"/>
      <c r="C388" s="560"/>
      <c r="D388" s="560"/>
      <c r="E388" s="560"/>
      <c r="F388" s="560"/>
    </row>
    <row r="389" spans="1:6" ht="15" customHeight="1" x14ac:dyDescent="0.2">
      <c r="A389" s="415"/>
      <c r="B389" s="415"/>
      <c r="C389" s="560"/>
      <c r="D389" s="560"/>
      <c r="E389" s="560"/>
      <c r="F389" s="560"/>
    </row>
    <row r="390" spans="1:6" ht="15" customHeight="1" x14ac:dyDescent="0.2">
      <c r="A390" s="415"/>
      <c r="B390" s="415"/>
      <c r="C390" s="560"/>
      <c r="D390" s="560"/>
      <c r="E390" s="560"/>
      <c r="F390" s="560"/>
    </row>
    <row r="391" spans="1:6" ht="15" customHeight="1" x14ac:dyDescent="0.2">
      <c r="A391" s="415"/>
      <c r="B391" s="415"/>
      <c r="C391" s="560"/>
      <c r="D391" s="560"/>
      <c r="E391" s="560"/>
      <c r="F391" s="560"/>
    </row>
    <row r="392" spans="1:6" ht="15" customHeight="1" x14ac:dyDescent="0.2">
      <c r="A392" s="415"/>
      <c r="B392" s="415"/>
      <c r="C392" s="560"/>
      <c r="D392" s="560"/>
      <c r="E392" s="560"/>
      <c r="F392" s="560"/>
    </row>
    <row r="393" spans="1:6" ht="15" customHeight="1" x14ac:dyDescent="0.2">
      <c r="A393" s="415"/>
      <c r="B393" s="415"/>
      <c r="C393" s="560"/>
      <c r="D393" s="560"/>
      <c r="E393" s="560"/>
      <c r="F393" s="560"/>
    </row>
    <row r="394" spans="1:6" ht="15" customHeight="1" x14ac:dyDescent="0.2">
      <c r="A394" s="415"/>
      <c r="B394" s="415"/>
      <c r="C394" s="560"/>
      <c r="D394" s="560"/>
      <c r="E394" s="560"/>
      <c r="F394" s="560"/>
    </row>
    <row r="395" spans="1:6" ht="15" customHeight="1" x14ac:dyDescent="0.2">
      <c r="A395" s="415"/>
      <c r="B395" s="415"/>
      <c r="C395" s="560"/>
      <c r="D395" s="560"/>
      <c r="E395" s="560"/>
      <c r="F395" s="560"/>
    </row>
    <row r="396" spans="1:6" ht="15" customHeight="1" x14ac:dyDescent="0.2">
      <c r="A396" s="415"/>
      <c r="B396" s="415"/>
      <c r="C396" s="560"/>
      <c r="D396" s="560"/>
      <c r="E396" s="560"/>
      <c r="F396" s="560"/>
    </row>
    <row r="397" spans="1:6" ht="15" customHeight="1" x14ac:dyDescent="0.2">
      <c r="A397" s="415"/>
      <c r="B397" s="415"/>
      <c r="C397" s="560"/>
      <c r="D397" s="560"/>
      <c r="E397" s="560"/>
      <c r="F397" s="560"/>
    </row>
    <row r="398" spans="1:6" ht="15" customHeight="1" x14ac:dyDescent="0.2">
      <c r="A398" s="415"/>
      <c r="B398" s="415"/>
      <c r="C398" s="560"/>
      <c r="D398" s="560"/>
      <c r="E398" s="560"/>
      <c r="F398" s="560"/>
    </row>
    <row r="399" spans="1:6" ht="15" customHeight="1" x14ac:dyDescent="0.2">
      <c r="A399" s="415"/>
      <c r="B399" s="415"/>
      <c r="C399" s="560"/>
      <c r="D399" s="560"/>
      <c r="E399" s="560"/>
      <c r="F399" s="560"/>
    </row>
    <row r="400" spans="1:6" ht="15" customHeight="1" x14ac:dyDescent="0.2">
      <c r="A400" s="415"/>
      <c r="B400" s="415"/>
      <c r="C400" s="560"/>
      <c r="D400" s="560"/>
      <c r="E400" s="560"/>
      <c r="F400" s="560"/>
    </row>
    <row r="401" spans="1:6" ht="15" customHeight="1" x14ac:dyDescent="0.2">
      <c r="A401" s="415"/>
      <c r="B401" s="415"/>
      <c r="C401" s="560"/>
      <c r="D401" s="560"/>
      <c r="E401" s="560"/>
      <c r="F401" s="560"/>
    </row>
    <row r="402" spans="1:6" ht="15" customHeight="1" x14ac:dyDescent="0.2">
      <c r="A402" s="415"/>
      <c r="B402" s="415"/>
      <c r="C402" s="560"/>
      <c r="D402" s="560"/>
      <c r="E402" s="560"/>
      <c r="F402" s="560"/>
    </row>
    <row r="403" spans="1:6" ht="15" customHeight="1" x14ac:dyDescent="0.2">
      <c r="A403" s="415"/>
      <c r="B403" s="415"/>
      <c r="C403" s="560"/>
      <c r="D403" s="560"/>
      <c r="E403" s="560"/>
      <c r="F403" s="560"/>
    </row>
    <row r="404" spans="1:6" ht="15" customHeight="1" x14ac:dyDescent="0.2">
      <c r="A404" s="415"/>
      <c r="B404" s="415"/>
      <c r="C404" s="560"/>
      <c r="D404" s="560"/>
      <c r="E404" s="560"/>
      <c r="F404" s="560"/>
    </row>
    <row r="405" spans="1:6" ht="15" customHeight="1" x14ac:dyDescent="0.2">
      <c r="A405" s="415"/>
      <c r="B405" s="415"/>
      <c r="C405" s="560"/>
      <c r="D405" s="560"/>
      <c r="E405" s="560"/>
      <c r="F405" s="560"/>
    </row>
    <row r="406" spans="1:6" ht="15" customHeight="1" x14ac:dyDescent="0.2">
      <c r="A406" s="415"/>
      <c r="B406" s="415"/>
      <c r="C406" s="560"/>
      <c r="D406" s="560"/>
      <c r="E406" s="560"/>
      <c r="F406" s="560"/>
    </row>
    <row r="407" spans="1:6" ht="15" customHeight="1" x14ac:dyDescent="0.2">
      <c r="A407" s="415"/>
      <c r="B407" s="415"/>
      <c r="C407" s="560"/>
      <c r="D407" s="560"/>
      <c r="E407" s="560"/>
      <c r="F407" s="560"/>
    </row>
    <row r="408" spans="1:6" ht="15" customHeight="1" x14ac:dyDescent="0.2">
      <c r="A408" s="415"/>
      <c r="B408" s="415"/>
      <c r="C408" s="560"/>
      <c r="D408" s="560"/>
      <c r="E408" s="560"/>
      <c r="F408" s="560"/>
    </row>
    <row r="409" spans="1:6" ht="15" customHeight="1" x14ac:dyDescent="0.2">
      <c r="A409" s="415"/>
      <c r="B409" s="415"/>
      <c r="C409" s="560"/>
      <c r="D409" s="560"/>
      <c r="E409" s="560"/>
      <c r="F409" s="560"/>
    </row>
    <row r="410" spans="1:6" ht="15" customHeight="1" x14ac:dyDescent="0.2">
      <c r="A410" s="415"/>
      <c r="B410" s="415"/>
      <c r="C410" s="560"/>
      <c r="D410" s="560"/>
      <c r="E410" s="560"/>
      <c r="F410" s="560"/>
    </row>
    <row r="411" spans="1:6" ht="15" customHeight="1" x14ac:dyDescent="0.2">
      <c r="A411" s="415"/>
      <c r="B411" s="415"/>
      <c r="C411" s="560"/>
      <c r="D411" s="560"/>
      <c r="E411" s="560"/>
      <c r="F411" s="560"/>
    </row>
    <row r="412" spans="1:6" ht="15" customHeight="1" x14ac:dyDescent="0.2">
      <c r="A412" s="415"/>
      <c r="B412" s="415"/>
      <c r="C412" s="560"/>
      <c r="D412" s="560"/>
      <c r="E412" s="560"/>
      <c r="F412" s="560"/>
    </row>
    <row r="413" spans="1:6" ht="15" customHeight="1" x14ac:dyDescent="0.2">
      <c r="A413" s="415"/>
      <c r="B413" s="415"/>
      <c r="C413" s="560"/>
      <c r="D413" s="560"/>
      <c r="E413" s="560"/>
      <c r="F413" s="560"/>
    </row>
    <row r="414" spans="1:6" ht="15" customHeight="1" x14ac:dyDescent="0.2">
      <c r="A414" s="415"/>
      <c r="B414" s="415"/>
      <c r="C414" s="560"/>
      <c r="D414" s="560"/>
      <c r="E414" s="560"/>
      <c r="F414" s="560"/>
    </row>
    <row r="415" spans="1:6" ht="15" customHeight="1" x14ac:dyDescent="0.2">
      <c r="A415" s="415"/>
      <c r="B415" s="415"/>
      <c r="C415" s="560"/>
      <c r="D415" s="560"/>
      <c r="E415" s="560"/>
      <c r="F415" s="560"/>
    </row>
    <row r="416" spans="1:6" ht="15" customHeight="1" x14ac:dyDescent="0.2">
      <c r="A416" s="415"/>
      <c r="B416" s="415"/>
      <c r="C416" s="560"/>
      <c r="D416" s="560"/>
      <c r="E416" s="560"/>
      <c r="F416" s="560"/>
    </row>
    <row r="417" spans="1:6" ht="15" customHeight="1" x14ac:dyDescent="0.2">
      <c r="A417" s="415"/>
      <c r="B417" s="415"/>
      <c r="C417" s="560"/>
      <c r="D417" s="560"/>
      <c r="E417" s="560"/>
      <c r="F417" s="560"/>
    </row>
    <row r="418" spans="1:6" ht="15" customHeight="1" x14ac:dyDescent="0.2">
      <c r="A418" s="415"/>
      <c r="B418" s="415"/>
      <c r="C418" s="560"/>
      <c r="D418" s="560"/>
      <c r="E418" s="560"/>
      <c r="F418" s="560"/>
    </row>
    <row r="419" spans="1:6" ht="15" customHeight="1" x14ac:dyDescent="0.2">
      <c r="A419" s="415"/>
      <c r="B419" s="415"/>
      <c r="C419" s="560"/>
      <c r="D419" s="560"/>
      <c r="E419" s="560"/>
      <c r="F419" s="560"/>
    </row>
    <row r="420" spans="1:6" ht="15" customHeight="1" x14ac:dyDescent="0.2">
      <c r="A420" s="415"/>
      <c r="B420" s="415"/>
      <c r="C420" s="560"/>
      <c r="D420" s="560"/>
      <c r="E420" s="560"/>
      <c r="F420" s="560"/>
    </row>
    <row r="421" spans="1:6" ht="15" customHeight="1" x14ac:dyDescent="0.2">
      <c r="A421" s="415"/>
      <c r="B421" s="415"/>
      <c r="C421" s="560"/>
      <c r="D421" s="560"/>
      <c r="E421" s="560"/>
      <c r="F421" s="560"/>
    </row>
    <row r="422" spans="1:6" ht="15" customHeight="1" x14ac:dyDescent="0.2">
      <c r="A422" s="415"/>
      <c r="B422" s="415"/>
      <c r="C422" s="560"/>
      <c r="D422" s="560"/>
      <c r="E422" s="560"/>
      <c r="F422" s="560"/>
    </row>
    <row r="423" spans="1:6" ht="15" customHeight="1" x14ac:dyDescent="0.2">
      <c r="A423" s="415"/>
      <c r="B423" s="415"/>
      <c r="C423" s="560"/>
      <c r="D423" s="560"/>
      <c r="E423" s="560"/>
      <c r="F423" s="560"/>
    </row>
    <row r="424" spans="1:6" ht="15" customHeight="1" x14ac:dyDescent="0.2">
      <c r="A424" s="415"/>
      <c r="B424" s="415"/>
      <c r="C424" s="560"/>
      <c r="D424" s="560"/>
      <c r="E424" s="560"/>
      <c r="F424" s="560"/>
    </row>
    <row r="425" spans="1:6" ht="15" customHeight="1" x14ac:dyDescent="0.2">
      <c r="A425" s="415"/>
      <c r="B425" s="415"/>
      <c r="C425" s="560"/>
      <c r="D425" s="560"/>
      <c r="E425" s="560"/>
      <c r="F425" s="560"/>
    </row>
    <row r="426" spans="1:6" ht="15" customHeight="1" x14ac:dyDescent="0.2">
      <c r="A426" s="415"/>
      <c r="B426" s="415"/>
      <c r="C426" s="560"/>
      <c r="D426" s="560"/>
      <c r="E426" s="560"/>
      <c r="F426" s="560"/>
    </row>
    <row r="427" spans="1:6" ht="15" customHeight="1" x14ac:dyDescent="0.2">
      <c r="A427" s="415"/>
      <c r="B427" s="415"/>
      <c r="C427" s="560"/>
      <c r="D427" s="560"/>
      <c r="E427" s="560"/>
      <c r="F427" s="560"/>
    </row>
    <row r="428" spans="1:6" ht="15" customHeight="1" x14ac:dyDescent="0.2">
      <c r="A428" s="415"/>
      <c r="B428" s="415"/>
      <c r="C428" s="560"/>
      <c r="D428" s="560"/>
      <c r="E428" s="560"/>
      <c r="F428" s="560"/>
    </row>
    <row r="429" spans="1:6" ht="15" customHeight="1" x14ac:dyDescent="0.2">
      <c r="A429" s="415"/>
      <c r="B429" s="415"/>
      <c r="C429" s="560"/>
      <c r="D429" s="560"/>
      <c r="E429" s="560"/>
      <c r="F429" s="560"/>
    </row>
    <row r="430" spans="1:6" ht="15" customHeight="1" x14ac:dyDescent="0.2">
      <c r="A430" s="415"/>
      <c r="B430" s="415"/>
      <c r="C430" s="560"/>
      <c r="D430" s="560"/>
      <c r="E430" s="560"/>
      <c r="F430" s="560"/>
    </row>
    <row r="431" spans="1:6" ht="15" customHeight="1" x14ac:dyDescent="0.2">
      <c r="A431" s="415"/>
      <c r="B431" s="415"/>
      <c r="C431" s="560"/>
      <c r="D431" s="560"/>
      <c r="E431" s="560"/>
      <c r="F431" s="560"/>
    </row>
    <row r="432" spans="1:6" ht="15" customHeight="1" x14ac:dyDescent="0.2">
      <c r="A432" s="415"/>
      <c r="B432" s="415"/>
      <c r="C432" s="560"/>
      <c r="D432" s="560"/>
      <c r="E432" s="560"/>
      <c r="F432" s="560"/>
    </row>
    <row r="433" spans="1:6" ht="15" customHeight="1" x14ac:dyDescent="0.2">
      <c r="A433" s="415"/>
      <c r="B433" s="415"/>
      <c r="C433" s="560"/>
      <c r="D433" s="560"/>
      <c r="E433" s="560"/>
      <c r="F433" s="560"/>
    </row>
    <row r="434" spans="1:6" ht="15" customHeight="1" x14ac:dyDescent="0.2">
      <c r="A434" s="415"/>
      <c r="B434" s="415"/>
      <c r="C434" s="560"/>
      <c r="D434" s="560"/>
      <c r="E434" s="560"/>
      <c r="F434" s="560"/>
    </row>
    <row r="435" spans="1:6" ht="15" customHeight="1" x14ac:dyDescent="0.2">
      <c r="A435" s="415"/>
      <c r="B435" s="415"/>
      <c r="C435" s="560"/>
      <c r="D435" s="560"/>
      <c r="E435" s="560"/>
      <c r="F435" s="560"/>
    </row>
    <row r="436" spans="1:6" ht="15" customHeight="1" x14ac:dyDescent="0.2">
      <c r="A436" s="415"/>
      <c r="B436" s="415"/>
      <c r="C436" s="560"/>
      <c r="D436" s="560"/>
      <c r="E436" s="560"/>
      <c r="F436" s="560"/>
    </row>
    <row r="437" spans="1:6" ht="15" customHeight="1" x14ac:dyDescent="0.2">
      <c r="A437" s="415"/>
      <c r="B437" s="415"/>
      <c r="C437" s="560"/>
      <c r="D437" s="560"/>
      <c r="E437" s="560"/>
      <c r="F437" s="560"/>
    </row>
    <row r="438" spans="1:6" ht="15" customHeight="1" x14ac:dyDescent="0.2">
      <c r="A438" s="415"/>
      <c r="B438" s="415"/>
      <c r="C438" s="560"/>
      <c r="D438" s="560"/>
      <c r="E438" s="560"/>
      <c r="F438" s="560"/>
    </row>
    <row r="439" spans="1:6" ht="15" customHeight="1" x14ac:dyDescent="0.2">
      <c r="A439" s="415"/>
      <c r="B439" s="415"/>
      <c r="C439" s="560"/>
      <c r="D439" s="560"/>
      <c r="E439" s="560"/>
      <c r="F439" s="560"/>
    </row>
    <row r="440" spans="1:6" ht="15" customHeight="1" x14ac:dyDescent="0.2">
      <c r="A440" s="415"/>
      <c r="B440" s="415"/>
      <c r="C440" s="560"/>
      <c r="D440" s="560"/>
      <c r="E440" s="560"/>
      <c r="F440" s="560"/>
    </row>
    <row r="441" spans="1:6" ht="15" customHeight="1" x14ac:dyDescent="0.2">
      <c r="A441" s="415"/>
      <c r="B441" s="415"/>
      <c r="C441" s="560"/>
      <c r="D441" s="560"/>
      <c r="E441" s="560"/>
      <c r="F441" s="560"/>
    </row>
    <row r="442" spans="1:6" ht="15" customHeight="1" x14ac:dyDescent="0.2">
      <c r="A442" s="415"/>
      <c r="B442" s="415"/>
      <c r="C442" s="560"/>
      <c r="D442" s="560"/>
      <c r="E442" s="560"/>
      <c r="F442" s="560"/>
    </row>
    <row r="443" spans="1:6" ht="15" customHeight="1" x14ac:dyDescent="0.2">
      <c r="A443" s="415"/>
      <c r="B443" s="415"/>
      <c r="C443" s="560"/>
      <c r="D443" s="560"/>
      <c r="E443" s="560"/>
      <c r="F443" s="560"/>
    </row>
    <row r="444" spans="1:6" ht="15" customHeight="1" x14ac:dyDescent="0.2">
      <c r="A444" s="415"/>
      <c r="B444" s="415"/>
      <c r="C444" s="560"/>
      <c r="D444" s="560"/>
      <c r="E444" s="560"/>
      <c r="F444" s="560"/>
    </row>
    <row r="445" spans="1:6" ht="15" customHeight="1" x14ac:dyDescent="0.2">
      <c r="A445" s="415"/>
      <c r="B445" s="415"/>
      <c r="C445" s="560"/>
      <c r="D445" s="560"/>
      <c r="E445" s="560"/>
      <c r="F445" s="560"/>
    </row>
    <row r="446" spans="1:6" ht="15" customHeight="1" x14ac:dyDescent="0.2">
      <c r="A446" s="415"/>
      <c r="B446" s="415"/>
      <c r="C446" s="560"/>
      <c r="D446" s="560"/>
      <c r="E446" s="560"/>
      <c r="F446" s="560"/>
    </row>
    <row r="447" spans="1:6" ht="15" customHeight="1" x14ac:dyDescent="0.2">
      <c r="A447" s="415"/>
      <c r="B447" s="415"/>
      <c r="C447" s="560"/>
      <c r="D447" s="560"/>
      <c r="E447" s="560"/>
      <c r="F447" s="560"/>
    </row>
    <row r="448" spans="1:6" ht="15" customHeight="1" x14ac:dyDescent="0.2">
      <c r="A448" s="415"/>
      <c r="B448" s="415"/>
      <c r="C448" s="560"/>
      <c r="D448" s="560"/>
      <c r="E448" s="560"/>
      <c r="F448" s="560"/>
    </row>
    <row r="449" spans="1:6" ht="15" customHeight="1" x14ac:dyDescent="0.2">
      <c r="A449" s="415"/>
      <c r="B449" s="415"/>
      <c r="C449" s="560"/>
      <c r="D449" s="560"/>
      <c r="E449" s="560"/>
      <c r="F449" s="560"/>
    </row>
    <row r="450" spans="1:6" ht="15" customHeight="1" x14ac:dyDescent="0.2">
      <c r="A450" s="415"/>
      <c r="B450" s="415"/>
      <c r="C450" s="560"/>
      <c r="D450" s="560"/>
      <c r="E450" s="560"/>
      <c r="F450" s="560"/>
    </row>
    <row r="451" spans="1:6" ht="15" customHeight="1" x14ac:dyDescent="0.2">
      <c r="A451" s="415"/>
      <c r="B451" s="415"/>
      <c r="C451" s="560"/>
      <c r="D451" s="560"/>
      <c r="E451" s="560"/>
      <c r="F451" s="560"/>
    </row>
    <row r="452" spans="1:6" ht="15" customHeight="1" x14ac:dyDescent="0.2">
      <c r="A452" s="415"/>
      <c r="B452" s="415"/>
      <c r="C452" s="560"/>
      <c r="D452" s="560"/>
      <c r="E452" s="560"/>
      <c r="F452" s="560"/>
    </row>
    <row r="453" spans="1:6" ht="15" customHeight="1" x14ac:dyDescent="0.2">
      <c r="A453" s="415"/>
      <c r="B453" s="415"/>
      <c r="C453" s="560"/>
      <c r="D453" s="560"/>
      <c r="E453" s="560"/>
      <c r="F453" s="560"/>
    </row>
    <row r="454" spans="1:6" ht="15" customHeight="1" x14ac:dyDescent="0.2">
      <c r="A454" s="415"/>
      <c r="B454" s="415"/>
      <c r="C454" s="560"/>
      <c r="D454" s="560"/>
      <c r="E454" s="560"/>
      <c r="F454" s="560"/>
    </row>
    <row r="455" spans="1:6" ht="15" customHeight="1" x14ac:dyDescent="0.2">
      <c r="A455" s="415"/>
      <c r="B455" s="415"/>
      <c r="C455" s="560"/>
      <c r="D455" s="560"/>
      <c r="E455" s="560"/>
      <c r="F455" s="560"/>
    </row>
    <row r="456" spans="1:6" ht="15" customHeight="1" x14ac:dyDescent="0.2">
      <c r="A456" s="415"/>
      <c r="B456" s="415"/>
      <c r="C456" s="560"/>
      <c r="D456" s="560"/>
      <c r="E456" s="560"/>
      <c r="F456" s="560"/>
    </row>
    <row r="457" spans="1:6" ht="15" customHeight="1" x14ac:dyDescent="0.2">
      <c r="A457" s="415"/>
      <c r="B457" s="415"/>
      <c r="C457" s="560"/>
      <c r="D457" s="560"/>
      <c r="E457" s="560"/>
      <c r="F457" s="560"/>
    </row>
    <row r="458" spans="1:6" ht="15" customHeight="1" x14ac:dyDescent="0.2">
      <c r="A458" s="415"/>
      <c r="B458" s="415"/>
      <c r="C458" s="560"/>
      <c r="D458" s="560"/>
      <c r="E458" s="560"/>
      <c r="F458" s="560"/>
    </row>
    <row r="459" spans="1:6" ht="15" customHeight="1" x14ac:dyDescent="0.2">
      <c r="A459" s="415"/>
      <c r="B459" s="415"/>
      <c r="C459" s="560"/>
      <c r="D459" s="560"/>
      <c r="E459" s="560"/>
      <c r="F459" s="560"/>
    </row>
    <row r="460" spans="1:6" ht="15" customHeight="1" x14ac:dyDescent="0.2">
      <c r="A460" s="415"/>
      <c r="B460" s="415"/>
      <c r="C460" s="560"/>
      <c r="D460" s="560"/>
      <c r="E460" s="560"/>
      <c r="F460" s="560"/>
    </row>
    <row r="461" spans="1:6" ht="15" customHeight="1" x14ac:dyDescent="0.2">
      <c r="A461" s="415"/>
      <c r="B461" s="415"/>
      <c r="C461" s="560"/>
      <c r="D461" s="560"/>
      <c r="E461" s="560"/>
      <c r="F461" s="560"/>
    </row>
    <row r="462" spans="1:6" ht="15" customHeight="1" x14ac:dyDescent="0.2">
      <c r="A462" s="415"/>
      <c r="B462" s="415"/>
      <c r="C462" s="560"/>
      <c r="D462" s="560"/>
      <c r="E462" s="560"/>
      <c r="F462" s="560"/>
    </row>
    <row r="463" spans="1:6" ht="15" customHeight="1" x14ac:dyDescent="0.2">
      <c r="A463" s="415"/>
      <c r="B463" s="415"/>
      <c r="C463" s="560"/>
      <c r="D463" s="560"/>
      <c r="E463" s="560"/>
      <c r="F463" s="560"/>
    </row>
    <row r="464" spans="1:6" ht="15" customHeight="1" x14ac:dyDescent="0.2">
      <c r="A464" s="415"/>
      <c r="B464" s="415"/>
      <c r="C464" s="560"/>
      <c r="D464" s="560"/>
      <c r="E464" s="560"/>
      <c r="F464" s="560"/>
    </row>
    <row r="465" spans="1:6" ht="15" customHeight="1" x14ac:dyDescent="0.2">
      <c r="A465" s="415"/>
      <c r="B465" s="415"/>
      <c r="C465" s="560"/>
      <c r="D465" s="560"/>
      <c r="E465" s="560"/>
      <c r="F465" s="560"/>
    </row>
    <row r="466" spans="1:6" ht="15" customHeight="1" x14ac:dyDescent="0.2">
      <c r="A466" s="415"/>
      <c r="B466" s="415"/>
      <c r="C466" s="560"/>
      <c r="D466" s="560"/>
      <c r="E466" s="560"/>
      <c r="F466" s="560"/>
    </row>
    <row r="467" spans="1:6" ht="15" customHeight="1" x14ac:dyDescent="0.2">
      <c r="A467" s="415"/>
      <c r="B467" s="415"/>
      <c r="C467" s="560"/>
      <c r="D467" s="560"/>
      <c r="E467" s="560"/>
      <c r="F467" s="560"/>
    </row>
    <row r="468" spans="1:6" ht="15" customHeight="1" x14ac:dyDescent="0.2">
      <c r="A468" s="415"/>
      <c r="B468" s="415"/>
      <c r="C468" s="560"/>
      <c r="D468" s="560"/>
      <c r="E468" s="560"/>
      <c r="F468" s="560"/>
    </row>
    <row r="469" spans="1:6" ht="15" customHeight="1" x14ac:dyDescent="0.2">
      <c r="A469" s="415"/>
      <c r="B469" s="415"/>
      <c r="C469" s="560"/>
      <c r="D469" s="560"/>
      <c r="E469" s="560"/>
      <c r="F469" s="560"/>
    </row>
    <row r="470" spans="1:6" ht="15" customHeight="1" x14ac:dyDescent="0.2">
      <c r="A470" s="415"/>
      <c r="B470" s="415"/>
      <c r="C470" s="560"/>
      <c r="D470" s="560"/>
      <c r="E470" s="560"/>
      <c r="F470" s="560"/>
    </row>
    <row r="471" spans="1:6" ht="15" customHeight="1" x14ac:dyDescent="0.2">
      <c r="A471" s="415"/>
      <c r="B471" s="415"/>
      <c r="C471" s="560"/>
      <c r="D471" s="560"/>
      <c r="E471" s="560"/>
      <c r="F471" s="560"/>
    </row>
    <row r="472" spans="1:6" ht="15" customHeight="1" x14ac:dyDescent="0.2">
      <c r="A472" s="415"/>
      <c r="B472" s="415"/>
      <c r="C472" s="560"/>
      <c r="D472" s="560"/>
      <c r="E472" s="560"/>
      <c r="F472" s="560"/>
    </row>
    <row r="473" spans="1:6" ht="15" customHeight="1" x14ac:dyDescent="0.2">
      <c r="A473" s="415"/>
      <c r="B473" s="415"/>
      <c r="C473" s="560"/>
      <c r="D473" s="560"/>
      <c r="E473" s="560"/>
      <c r="F473" s="560"/>
    </row>
    <row r="474" spans="1:6" ht="15" customHeight="1" x14ac:dyDescent="0.2">
      <c r="A474" s="415"/>
      <c r="B474" s="415"/>
      <c r="C474" s="560"/>
      <c r="D474" s="560"/>
      <c r="E474" s="560"/>
      <c r="F474" s="560"/>
    </row>
    <row r="475" spans="1:6" ht="15" customHeight="1" x14ac:dyDescent="0.2">
      <c r="A475" s="415"/>
      <c r="B475" s="415"/>
      <c r="C475" s="560"/>
      <c r="D475" s="560"/>
      <c r="E475" s="560"/>
      <c r="F475" s="560"/>
    </row>
    <row r="476" spans="1:6" ht="15" customHeight="1" x14ac:dyDescent="0.2">
      <c r="A476" s="415"/>
      <c r="B476" s="415"/>
      <c r="C476" s="560"/>
      <c r="D476" s="560"/>
      <c r="E476" s="560"/>
      <c r="F476" s="560"/>
    </row>
    <row r="477" spans="1:6" ht="15" customHeight="1" x14ac:dyDescent="0.2">
      <c r="A477" s="415"/>
      <c r="B477" s="415"/>
      <c r="C477" s="560"/>
      <c r="D477" s="560"/>
      <c r="E477" s="560"/>
      <c r="F477" s="560"/>
    </row>
    <row r="478" spans="1:6" ht="15" customHeight="1" x14ac:dyDescent="0.2">
      <c r="A478" s="415"/>
      <c r="B478" s="415"/>
      <c r="C478" s="560"/>
      <c r="D478" s="560"/>
      <c r="E478" s="560"/>
      <c r="F478" s="560"/>
    </row>
    <row r="479" spans="1:6" ht="15" customHeight="1" x14ac:dyDescent="0.2">
      <c r="A479" s="415"/>
      <c r="B479" s="415"/>
      <c r="C479" s="560"/>
      <c r="D479" s="560"/>
      <c r="E479" s="560"/>
      <c r="F479" s="560"/>
    </row>
    <row r="480" spans="1:6" ht="15" customHeight="1" x14ac:dyDescent="0.2">
      <c r="A480" s="415"/>
      <c r="B480" s="415"/>
      <c r="C480" s="560"/>
      <c r="D480" s="560"/>
      <c r="E480" s="560"/>
      <c r="F480" s="560"/>
    </row>
    <row r="481" spans="1:6" ht="15" customHeight="1" x14ac:dyDescent="0.2">
      <c r="A481" s="415"/>
      <c r="B481" s="415"/>
      <c r="C481" s="560"/>
      <c r="D481" s="560"/>
      <c r="E481" s="560"/>
      <c r="F481" s="560"/>
    </row>
    <row r="482" spans="1:6" ht="15" customHeight="1" x14ac:dyDescent="0.2">
      <c r="A482" s="415"/>
      <c r="B482" s="415"/>
      <c r="C482" s="560"/>
      <c r="D482" s="560"/>
      <c r="E482" s="560"/>
      <c r="F482" s="560"/>
    </row>
    <row r="483" spans="1:6" ht="15" customHeight="1" x14ac:dyDescent="0.2">
      <c r="A483" s="415"/>
      <c r="B483" s="415"/>
      <c r="C483" s="560"/>
      <c r="D483" s="560"/>
      <c r="E483" s="560"/>
      <c r="F483" s="560"/>
    </row>
    <row r="484" spans="1:6" ht="15" customHeight="1" x14ac:dyDescent="0.2">
      <c r="A484" s="415"/>
      <c r="B484" s="415"/>
      <c r="C484" s="560"/>
      <c r="D484" s="560"/>
      <c r="E484" s="560"/>
      <c r="F484" s="560"/>
    </row>
    <row r="485" spans="1:6" ht="15" customHeight="1" x14ac:dyDescent="0.2">
      <c r="A485" s="415"/>
      <c r="B485" s="415"/>
      <c r="C485" s="560"/>
      <c r="D485" s="560"/>
      <c r="E485" s="560"/>
      <c r="F485" s="560"/>
    </row>
    <row r="486" spans="1:6" ht="15" customHeight="1" x14ac:dyDescent="0.2">
      <c r="A486" s="415"/>
      <c r="B486" s="415"/>
      <c r="C486" s="560"/>
      <c r="D486" s="560"/>
      <c r="E486" s="560"/>
      <c r="F486" s="560"/>
    </row>
    <row r="487" spans="1:6" ht="15" customHeight="1" x14ac:dyDescent="0.2">
      <c r="A487" s="415"/>
      <c r="B487" s="415"/>
      <c r="C487" s="560"/>
      <c r="D487" s="560"/>
      <c r="E487" s="560"/>
      <c r="F487" s="560"/>
    </row>
    <row r="488" spans="1:6" ht="15" customHeight="1" x14ac:dyDescent="0.2">
      <c r="A488" s="415"/>
      <c r="B488" s="415"/>
      <c r="C488" s="560"/>
      <c r="D488" s="560"/>
      <c r="E488" s="560"/>
      <c r="F488" s="560"/>
    </row>
    <row r="489" spans="1:6" ht="15" customHeight="1" x14ac:dyDescent="0.2">
      <c r="A489" s="415"/>
      <c r="B489" s="415"/>
      <c r="C489" s="560"/>
      <c r="D489" s="560"/>
      <c r="E489" s="560"/>
      <c r="F489" s="560"/>
    </row>
    <row r="490" spans="1:6" ht="15" customHeight="1" x14ac:dyDescent="0.2">
      <c r="A490" s="415"/>
      <c r="B490" s="415"/>
      <c r="C490" s="560"/>
      <c r="D490" s="560"/>
      <c r="E490" s="560"/>
      <c r="F490" s="560"/>
    </row>
    <row r="491" spans="1:6" ht="15" customHeight="1" x14ac:dyDescent="0.2">
      <c r="A491" s="415"/>
      <c r="B491" s="415"/>
      <c r="C491" s="560"/>
      <c r="D491" s="560"/>
      <c r="E491" s="560"/>
      <c r="F491" s="560"/>
    </row>
    <row r="492" spans="1:6" ht="15" customHeight="1" x14ac:dyDescent="0.2">
      <c r="A492" s="415"/>
      <c r="B492" s="415"/>
      <c r="C492" s="560"/>
      <c r="D492" s="560"/>
      <c r="E492" s="560"/>
      <c r="F492" s="560"/>
    </row>
    <row r="493" spans="1:6" ht="15" customHeight="1" x14ac:dyDescent="0.2">
      <c r="A493" s="415"/>
      <c r="B493" s="415"/>
      <c r="C493" s="560"/>
      <c r="D493" s="560"/>
      <c r="E493" s="560"/>
      <c r="F493" s="560"/>
    </row>
    <row r="494" spans="1:6" ht="15" customHeight="1" x14ac:dyDescent="0.2">
      <c r="A494" s="415"/>
      <c r="B494" s="415"/>
      <c r="C494" s="560"/>
      <c r="D494" s="560"/>
      <c r="E494" s="560"/>
      <c r="F494" s="560"/>
    </row>
    <row r="495" spans="1:6" ht="15" customHeight="1" x14ac:dyDescent="0.2">
      <c r="A495" s="415"/>
      <c r="B495" s="415"/>
      <c r="C495" s="560"/>
      <c r="D495" s="560"/>
      <c r="E495" s="560"/>
      <c r="F495" s="560"/>
    </row>
    <row r="496" spans="1:6" ht="15" customHeight="1" x14ac:dyDescent="0.2">
      <c r="A496" s="415"/>
      <c r="B496" s="415"/>
      <c r="C496" s="560"/>
      <c r="D496" s="560"/>
      <c r="E496" s="560"/>
      <c r="F496" s="560"/>
    </row>
    <row r="497" spans="1:6" ht="15" customHeight="1" x14ac:dyDescent="0.2">
      <c r="A497" s="415"/>
      <c r="B497" s="415"/>
      <c r="C497" s="560"/>
      <c r="D497" s="560"/>
      <c r="E497" s="560"/>
      <c r="F497" s="560"/>
    </row>
    <row r="498" spans="1:6" ht="15" customHeight="1" x14ac:dyDescent="0.2">
      <c r="A498" s="415"/>
      <c r="B498" s="415"/>
      <c r="C498" s="560"/>
      <c r="D498" s="560"/>
      <c r="E498" s="560"/>
      <c r="F498" s="560"/>
    </row>
    <row r="499" spans="1:6" ht="15" customHeight="1" x14ac:dyDescent="0.2">
      <c r="A499" s="415"/>
      <c r="B499" s="415"/>
      <c r="C499" s="560"/>
      <c r="D499" s="560"/>
      <c r="E499" s="560"/>
      <c r="F499" s="560"/>
    </row>
    <row r="500" spans="1:6" ht="15" customHeight="1" x14ac:dyDescent="0.2">
      <c r="A500" s="415"/>
      <c r="B500" s="415"/>
      <c r="C500" s="560"/>
      <c r="D500" s="560"/>
      <c r="E500" s="560"/>
      <c r="F500" s="560"/>
    </row>
    <row r="501" spans="1:6" ht="15" customHeight="1" x14ac:dyDescent="0.2">
      <c r="A501" s="415"/>
      <c r="B501" s="415"/>
      <c r="C501" s="560"/>
      <c r="D501" s="560"/>
      <c r="E501" s="560"/>
      <c r="F501" s="560"/>
    </row>
    <row r="502" spans="1:6" ht="15" customHeight="1" x14ac:dyDescent="0.2">
      <c r="A502" s="415"/>
      <c r="B502" s="415"/>
      <c r="C502" s="560"/>
      <c r="D502" s="560"/>
      <c r="E502" s="560"/>
      <c r="F502" s="560"/>
    </row>
    <row r="503" spans="1:6" ht="15" customHeight="1" x14ac:dyDescent="0.2">
      <c r="A503" s="415"/>
      <c r="B503" s="415"/>
      <c r="C503" s="560"/>
      <c r="D503" s="560"/>
      <c r="E503" s="560"/>
      <c r="F503" s="560"/>
    </row>
    <row r="504" spans="1:6" ht="15" customHeight="1" x14ac:dyDescent="0.2">
      <c r="A504" s="415"/>
      <c r="B504" s="415"/>
      <c r="C504" s="560"/>
      <c r="D504" s="560"/>
      <c r="E504" s="560"/>
      <c r="F504" s="560"/>
    </row>
    <row r="505" spans="1:6" ht="15" customHeight="1" x14ac:dyDescent="0.2">
      <c r="A505" s="415"/>
      <c r="B505" s="415"/>
      <c r="C505" s="560"/>
      <c r="D505" s="560"/>
      <c r="E505" s="560"/>
      <c r="F505" s="560"/>
    </row>
    <row r="506" spans="1:6" ht="15" customHeight="1" x14ac:dyDescent="0.2">
      <c r="A506" s="415"/>
      <c r="B506" s="415"/>
      <c r="C506" s="560"/>
      <c r="D506" s="560"/>
      <c r="E506" s="560"/>
      <c r="F506" s="560"/>
    </row>
    <row r="507" spans="1:6" ht="15" customHeight="1" x14ac:dyDescent="0.2">
      <c r="A507" s="415"/>
      <c r="B507" s="415"/>
      <c r="C507" s="560"/>
      <c r="D507" s="560"/>
      <c r="E507" s="560"/>
      <c r="F507" s="560"/>
    </row>
    <row r="508" spans="1:6" ht="15" customHeight="1" x14ac:dyDescent="0.2">
      <c r="A508" s="415"/>
      <c r="B508" s="415"/>
      <c r="C508" s="560"/>
      <c r="D508" s="560"/>
      <c r="E508" s="560"/>
      <c r="F508" s="560"/>
    </row>
    <row r="509" spans="1:6" ht="15" customHeight="1" x14ac:dyDescent="0.2">
      <c r="A509" s="415"/>
      <c r="B509" s="415"/>
      <c r="C509" s="560"/>
      <c r="D509" s="560"/>
      <c r="E509" s="560"/>
      <c r="F509" s="560"/>
    </row>
    <row r="510" spans="1:6" ht="15" customHeight="1" x14ac:dyDescent="0.2">
      <c r="A510" s="415"/>
      <c r="B510" s="415"/>
      <c r="C510" s="560"/>
      <c r="D510" s="560"/>
      <c r="E510" s="560"/>
      <c r="F510" s="560"/>
    </row>
    <row r="511" spans="1:6" ht="15" customHeight="1" x14ac:dyDescent="0.2">
      <c r="A511" s="415"/>
      <c r="B511" s="415"/>
      <c r="C511" s="560"/>
      <c r="D511" s="560"/>
      <c r="E511" s="560"/>
      <c r="F511" s="560"/>
    </row>
    <row r="512" spans="1:6" ht="15" customHeight="1" x14ac:dyDescent="0.2">
      <c r="A512" s="415"/>
      <c r="B512" s="415"/>
      <c r="C512" s="560"/>
      <c r="D512" s="560"/>
      <c r="E512" s="560"/>
      <c r="F512" s="560"/>
    </row>
    <row r="513" spans="1:6" ht="15" customHeight="1" x14ac:dyDescent="0.2">
      <c r="A513" s="415"/>
      <c r="B513" s="415"/>
      <c r="C513" s="560"/>
      <c r="D513" s="560"/>
      <c r="E513" s="560"/>
      <c r="F513" s="560"/>
    </row>
    <row r="514" spans="1:6" ht="15" customHeight="1" x14ac:dyDescent="0.2">
      <c r="A514" s="415"/>
      <c r="B514" s="415"/>
      <c r="C514" s="560"/>
      <c r="D514" s="560"/>
      <c r="E514" s="560"/>
      <c r="F514" s="560"/>
    </row>
    <row r="515" spans="1:6" ht="15" customHeight="1" x14ac:dyDescent="0.2">
      <c r="A515" s="415"/>
      <c r="B515" s="415"/>
      <c r="C515" s="560"/>
      <c r="D515" s="560"/>
      <c r="E515" s="560"/>
      <c r="F515" s="560"/>
    </row>
    <row r="516" spans="1:6" ht="15" customHeight="1" x14ac:dyDescent="0.2">
      <c r="A516" s="415"/>
      <c r="B516" s="415"/>
      <c r="C516" s="560"/>
      <c r="D516" s="560"/>
      <c r="E516" s="560"/>
      <c r="F516" s="560"/>
    </row>
    <row r="517" spans="1:6" ht="15" customHeight="1" x14ac:dyDescent="0.2">
      <c r="A517" s="415"/>
      <c r="B517" s="415"/>
      <c r="C517" s="560"/>
      <c r="D517" s="560"/>
      <c r="E517" s="560"/>
      <c r="F517" s="560"/>
    </row>
    <row r="518" spans="1:6" ht="15" customHeight="1" x14ac:dyDescent="0.2">
      <c r="A518" s="415"/>
      <c r="B518" s="415"/>
      <c r="C518" s="560"/>
      <c r="D518" s="560"/>
      <c r="E518" s="560"/>
      <c r="F518" s="560"/>
    </row>
    <row r="519" spans="1:6" ht="15" customHeight="1" x14ac:dyDescent="0.2">
      <c r="A519" s="415"/>
      <c r="B519" s="415"/>
      <c r="C519" s="560"/>
      <c r="D519" s="560"/>
      <c r="E519" s="560"/>
      <c r="F519" s="560"/>
    </row>
    <row r="520" spans="1:6" ht="15" customHeight="1" x14ac:dyDescent="0.2">
      <c r="A520" s="415"/>
      <c r="B520" s="415"/>
      <c r="C520" s="560"/>
      <c r="D520" s="560"/>
      <c r="E520" s="560"/>
      <c r="F520" s="560"/>
    </row>
    <row r="521" spans="1:6" ht="15" customHeight="1" x14ac:dyDescent="0.2">
      <c r="A521" s="415"/>
      <c r="B521" s="415"/>
      <c r="C521" s="560"/>
      <c r="D521" s="560"/>
      <c r="E521" s="560"/>
      <c r="F521" s="560"/>
    </row>
    <row r="522" spans="1:6" ht="15" customHeight="1" x14ac:dyDescent="0.2">
      <c r="A522" s="415"/>
      <c r="B522" s="415"/>
      <c r="C522" s="560"/>
      <c r="D522" s="560"/>
      <c r="E522" s="560"/>
      <c r="F522" s="560"/>
    </row>
    <row r="523" spans="1:6" ht="15" customHeight="1" x14ac:dyDescent="0.2">
      <c r="A523" s="415"/>
      <c r="B523" s="415"/>
      <c r="C523" s="560"/>
      <c r="D523" s="560"/>
      <c r="E523" s="560"/>
      <c r="F523" s="560"/>
    </row>
    <row r="524" spans="1:6" ht="15" customHeight="1" x14ac:dyDescent="0.2">
      <c r="A524" s="415"/>
      <c r="B524" s="415"/>
      <c r="C524" s="560"/>
      <c r="D524" s="560"/>
      <c r="E524" s="560"/>
      <c r="F524" s="560"/>
    </row>
    <row r="525" spans="1:6" ht="15" customHeight="1" x14ac:dyDescent="0.2">
      <c r="A525" s="415"/>
      <c r="B525" s="415"/>
      <c r="C525" s="560"/>
      <c r="D525" s="560"/>
      <c r="E525" s="560"/>
      <c r="F525" s="560"/>
    </row>
    <row r="526" spans="1:6" ht="15" customHeight="1" x14ac:dyDescent="0.2">
      <c r="A526" s="415"/>
      <c r="B526" s="415"/>
      <c r="C526" s="560"/>
      <c r="D526" s="560"/>
      <c r="E526" s="560"/>
      <c r="F526" s="560"/>
    </row>
    <row r="527" spans="1:6" ht="15" customHeight="1" x14ac:dyDescent="0.2">
      <c r="A527" s="415"/>
      <c r="B527" s="415"/>
      <c r="C527" s="560"/>
      <c r="D527" s="560"/>
      <c r="E527" s="560"/>
      <c r="F527" s="560"/>
    </row>
    <row r="528" spans="1:6" ht="15" customHeight="1" x14ac:dyDescent="0.2">
      <c r="A528" s="415"/>
      <c r="B528" s="415"/>
      <c r="C528" s="560"/>
      <c r="D528" s="560"/>
      <c r="E528" s="560"/>
      <c r="F528" s="560"/>
    </row>
    <row r="529" spans="1:6" ht="15" customHeight="1" x14ac:dyDescent="0.2">
      <c r="A529" s="415"/>
      <c r="B529" s="415"/>
      <c r="C529" s="560"/>
      <c r="D529" s="560"/>
      <c r="E529" s="560"/>
      <c r="F529" s="560"/>
    </row>
    <row r="530" spans="1:6" ht="15" customHeight="1" x14ac:dyDescent="0.2">
      <c r="A530" s="415"/>
      <c r="B530" s="415"/>
      <c r="C530" s="560"/>
      <c r="D530" s="560"/>
      <c r="E530" s="560"/>
      <c r="F530" s="560"/>
    </row>
    <row r="531" spans="1:6" ht="15" customHeight="1" x14ac:dyDescent="0.2">
      <c r="A531" s="415"/>
      <c r="B531" s="415"/>
      <c r="C531" s="560"/>
      <c r="D531" s="560"/>
      <c r="E531" s="560"/>
      <c r="F531" s="560"/>
    </row>
    <row r="532" spans="1:6" ht="15" customHeight="1" x14ac:dyDescent="0.2">
      <c r="A532" s="415"/>
      <c r="B532" s="415"/>
      <c r="C532" s="560"/>
      <c r="D532" s="560"/>
      <c r="E532" s="560"/>
      <c r="F532" s="560"/>
    </row>
    <row r="533" spans="1:6" ht="15" customHeight="1" x14ac:dyDescent="0.2">
      <c r="A533" s="415"/>
      <c r="B533" s="415"/>
      <c r="C533" s="560"/>
      <c r="D533" s="560"/>
      <c r="E533" s="560"/>
      <c r="F533" s="560"/>
    </row>
    <row r="534" spans="1:6" ht="15" customHeight="1" x14ac:dyDescent="0.2">
      <c r="A534" s="415"/>
      <c r="B534" s="415"/>
      <c r="C534" s="560"/>
      <c r="D534" s="560"/>
      <c r="E534" s="560"/>
      <c r="F534" s="560"/>
    </row>
    <row r="535" spans="1:6" ht="15" customHeight="1" x14ac:dyDescent="0.2">
      <c r="A535" s="415"/>
      <c r="B535" s="415"/>
      <c r="C535" s="560"/>
      <c r="D535" s="560"/>
      <c r="E535" s="560"/>
      <c r="F535" s="560"/>
    </row>
    <row r="536" spans="1:6" ht="15" customHeight="1" x14ac:dyDescent="0.2">
      <c r="A536" s="415"/>
      <c r="B536" s="415"/>
      <c r="C536" s="560"/>
      <c r="D536" s="560"/>
      <c r="E536" s="560"/>
      <c r="F536" s="560"/>
    </row>
    <row r="537" spans="1:6" ht="15" customHeight="1" x14ac:dyDescent="0.2">
      <c r="A537" s="415"/>
      <c r="B537" s="415"/>
      <c r="C537" s="560"/>
      <c r="D537" s="560"/>
      <c r="E537" s="560"/>
      <c r="F537" s="560"/>
    </row>
    <row r="538" spans="1:6" ht="15" customHeight="1" x14ac:dyDescent="0.2">
      <c r="A538" s="415"/>
      <c r="B538" s="415"/>
      <c r="C538" s="560"/>
      <c r="D538" s="560"/>
      <c r="E538" s="560"/>
      <c r="F538" s="560"/>
    </row>
    <row r="539" spans="1:6" ht="15" customHeight="1" x14ac:dyDescent="0.2">
      <c r="A539" s="415"/>
      <c r="B539" s="415"/>
      <c r="C539" s="560"/>
      <c r="D539" s="560"/>
      <c r="E539" s="560"/>
      <c r="F539" s="560"/>
    </row>
    <row r="540" spans="1:6" ht="15" customHeight="1" x14ac:dyDescent="0.2">
      <c r="A540" s="415"/>
      <c r="B540" s="415"/>
      <c r="C540" s="560"/>
      <c r="D540" s="560"/>
      <c r="E540" s="560"/>
      <c r="F540" s="560"/>
    </row>
    <row r="541" spans="1:6" ht="15" customHeight="1" x14ac:dyDescent="0.2">
      <c r="A541" s="415"/>
      <c r="B541" s="415"/>
      <c r="C541" s="560"/>
      <c r="D541" s="560"/>
      <c r="E541" s="560"/>
      <c r="F541" s="560"/>
    </row>
    <row r="542" spans="1:6" ht="15" customHeight="1" x14ac:dyDescent="0.2">
      <c r="A542" s="415"/>
      <c r="B542" s="415"/>
      <c r="C542" s="560"/>
      <c r="D542" s="560"/>
      <c r="E542" s="560"/>
      <c r="F542" s="560"/>
    </row>
    <row r="543" spans="1:6" ht="15" customHeight="1" x14ac:dyDescent="0.2">
      <c r="A543" s="415"/>
      <c r="B543" s="415"/>
      <c r="C543" s="560"/>
      <c r="D543" s="560"/>
      <c r="E543" s="560"/>
      <c r="F543" s="560"/>
    </row>
    <row r="544" spans="1:6" ht="15" customHeight="1" x14ac:dyDescent="0.2">
      <c r="A544" s="415"/>
      <c r="B544" s="415"/>
      <c r="C544" s="560"/>
      <c r="D544" s="560"/>
      <c r="E544" s="560"/>
      <c r="F544" s="560"/>
    </row>
    <row r="545" spans="1:6" ht="15" customHeight="1" x14ac:dyDescent="0.2">
      <c r="A545" s="415"/>
      <c r="B545" s="415"/>
      <c r="C545" s="560"/>
      <c r="D545" s="560"/>
      <c r="E545" s="560"/>
      <c r="F545" s="560"/>
    </row>
    <row r="546" spans="1:6" ht="15" customHeight="1" x14ac:dyDescent="0.2">
      <c r="A546" s="415"/>
      <c r="B546" s="415"/>
      <c r="C546" s="560"/>
      <c r="D546" s="560"/>
      <c r="E546" s="560"/>
      <c r="F546" s="560"/>
    </row>
    <row r="547" spans="1:6" ht="15" customHeight="1" x14ac:dyDescent="0.2">
      <c r="A547" s="415"/>
      <c r="B547" s="415"/>
      <c r="C547" s="560"/>
      <c r="D547" s="560"/>
      <c r="E547" s="560"/>
      <c r="F547" s="560"/>
    </row>
    <row r="548" spans="1:6" ht="15" customHeight="1" x14ac:dyDescent="0.2">
      <c r="A548" s="415"/>
      <c r="B548" s="415"/>
      <c r="C548" s="560"/>
      <c r="D548" s="560"/>
      <c r="E548" s="560"/>
      <c r="F548" s="560"/>
    </row>
    <row r="549" spans="1:6" ht="15" customHeight="1" x14ac:dyDescent="0.2">
      <c r="A549" s="415"/>
      <c r="B549" s="415"/>
      <c r="C549" s="560"/>
      <c r="D549" s="560"/>
      <c r="E549" s="560"/>
      <c r="F549" s="560"/>
    </row>
    <row r="550" spans="1:6" ht="15" customHeight="1" x14ac:dyDescent="0.2">
      <c r="A550" s="415"/>
      <c r="B550" s="415"/>
      <c r="C550" s="560"/>
      <c r="D550" s="560"/>
      <c r="E550" s="560"/>
      <c r="F550" s="560"/>
    </row>
    <row r="551" spans="1:6" ht="15" customHeight="1" x14ac:dyDescent="0.2">
      <c r="A551" s="415"/>
      <c r="B551" s="415"/>
      <c r="C551" s="560"/>
      <c r="D551" s="560"/>
      <c r="E551" s="560"/>
      <c r="F551" s="560"/>
    </row>
    <row r="552" spans="1:6" ht="15" customHeight="1" x14ac:dyDescent="0.2">
      <c r="A552" s="415"/>
      <c r="B552" s="415"/>
      <c r="C552" s="560"/>
      <c r="D552" s="560"/>
      <c r="E552" s="560"/>
      <c r="F552" s="560"/>
    </row>
    <row r="553" spans="1:6" ht="15" customHeight="1" x14ac:dyDescent="0.2">
      <c r="A553" s="415"/>
      <c r="B553" s="415"/>
      <c r="C553" s="560"/>
      <c r="D553" s="560"/>
      <c r="E553" s="560"/>
      <c r="F553" s="560"/>
    </row>
    <row r="554" spans="1:6" ht="15" customHeight="1" x14ac:dyDescent="0.2">
      <c r="A554" s="415"/>
      <c r="B554" s="415"/>
      <c r="C554" s="560"/>
      <c r="D554" s="560"/>
      <c r="E554" s="560"/>
      <c r="F554" s="560"/>
    </row>
    <row r="555" spans="1:6" ht="15" customHeight="1" x14ac:dyDescent="0.2">
      <c r="A555" s="415"/>
      <c r="B555" s="415"/>
      <c r="C555" s="560"/>
      <c r="D555" s="560"/>
      <c r="E555" s="560"/>
      <c r="F555" s="560"/>
    </row>
    <row r="556" spans="1:6" ht="15" customHeight="1" x14ac:dyDescent="0.2">
      <c r="A556" s="415"/>
      <c r="B556" s="415"/>
      <c r="C556" s="560"/>
      <c r="D556" s="560"/>
      <c r="E556" s="560"/>
      <c r="F556" s="560"/>
    </row>
    <row r="557" spans="1:6" ht="15" customHeight="1" x14ac:dyDescent="0.2">
      <c r="A557" s="415"/>
      <c r="B557" s="415"/>
      <c r="C557" s="560"/>
      <c r="D557" s="560"/>
      <c r="E557" s="560"/>
      <c r="F557" s="560"/>
    </row>
    <row r="558" spans="1:6" ht="15" customHeight="1" x14ac:dyDescent="0.2">
      <c r="A558" s="415"/>
      <c r="B558" s="415"/>
      <c r="C558" s="560"/>
      <c r="D558" s="560"/>
      <c r="E558" s="560"/>
      <c r="F558" s="560"/>
    </row>
    <row r="559" spans="1:6" ht="15" customHeight="1" x14ac:dyDescent="0.2">
      <c r="A559" s="415"/>
      <c r="B559" s="415"/>
      <c r="C559" s="560"/>
      <c r="D559" s="560"/>
      <c r="E559" s="560"/>
      <c r="F559" s="560"/>
    </row>
    <row r="560" spans="1:6" ht="15" customHeight="1" x14ac:dyDescent="0.2">
      <c r="A560" s="415"/>
      <c r="B560" s="415"/>
      <c r="C560" s="560"/>
      <c r="D560" s="560"/>
      <c r="E560" s="560"/>
      <c r="F560" s="560"/>
    </row>
    <row r="561" spans="1:6" ht="15" customHeight="1" x14ac:dyDescent="0.2">
      <c r="A561" s="415"/>
      <c r="B561" s="415"/>
      <c r="C561" s="560"/>
      <c r="D561" s="560"/>
      <c r="E561" s="560"/>
      <c r="F561" s="560"/>
    </row>
    <row r="562" spans="1:6" ht="15" customHeight="1" x14ac:dyDescent="0.2">
      <c r="A562" s="415"/>
      <c r="B562" s="415"/>
      <c r="C562" s="560"/>
      <c r="D562" s="560"/>
      <c r="E562" s="560"/>
      <c r="F562" s="560"/>
    </row>
    <row r="563" spans="1:6" ht="15" customHeight="1" x14ac:dyDescent="0.2">
      <c r="A563" s="415"/>
      <c r="B563" s="415"/>
      <c r="C563" s="560"/>
      <c r="D563" s="560"/>
      <c r="E563" s="560"/>
      <c r="F563" s="560"/>
    </row>
    <row r="564" spans="1:6" ht="15" customHeight="1" x14ac:dyDescent="0.2">
      <c r="A564" s="415"/>
      <c r="B564" s="415"/>
      <c r="C564" s="560"/>
      <c r="D564" s="560"/>
      <c r="E564" s="560"/>
      <c r="F564" s="560"/>
    </row>
    <row r="565" spans="1:6" ht="15" customHeight="1" x14ac:dyDescent="0.2">
      <c r="A565" s="415"/>
      <c r="B565" s="415"/>
      <c r="C565" s="560"/>
      <c r="D565" s="560"/>
      <c r="E565" s="560"/>
      <c r="F565" s="560"/>
    </row>
    <row r="566" spans="1:6" ht="15" customHeight="1" x14ac:dyDescent="0.2">
      <c r="A566" s="415"/>
      <c r="B566" s="415"/>
      <c r="C566" s="560"/>
      <c r="D566" s="560"/>
      <c r="E566" s="560"/>
      <c r="F566" s="560"/>
    </row>
    <row r="567" spans="1:6" ht="15" customHeight="1" x14ac:dyDescent="0.2">
      <c r="A567" s="415"/>
      <c r="B567" s="415"/>
      <c r="C567" s="560"/>
      <c r="D567" s="560"/>
      <c r="E567" s="560"/>
      <c r="F567" s="560"/>
    </row>
    <row r="568" spans="1:6" ht="15" customHeight="1" x14ac:dyDescent="0.2">
      <c r="A568" s="415"/>
      <c r="B568" s="415"/>
      <c r="C568" s="560"/>
      <c r="D568" s="560"/>
      <c r="E568" s="560"/>
      <c r="F568" s="560"/>
    </row>
    <row r="569" spans="1:6" ht="15" customHeight="1" x14ac:dyDescent="0.2">
      <c r="A569" s="415"/>
      <c r="B569" s="415"/>
      <c r="C569" s="560"/>
      <c r="D569" s="560"/>
      <c r="E569" s="560"/>
      <c r="F569" s="560"/>
    </row>
    <row r="570" spans="1:6" ht="15" customHeight="1" x14ac:dyDescent="0.2">
      <c r="A570" s="415"/>
      <c r="B570" s="415"/>
      <c r="C570" s="560"/>
      <c r="D570" s="560"/>
      <c r="E570" s="560"/>
      <c r="F570" s="560"/>
    </row>
    <row r="571" spans="1:6" ht="15" customHeight="1" x14ac:dyDescent="0.2">
      <c r="A571" s="415"/>
      <c r="B571" s="415"/>
      <c r="C571" s="560"/>
      <c r="D571" s="560"/>
      <c r="E571" s="560"/>
      <c r="F571" s="560"/>
    </row>
    <row r="572" spans="1:6" ht="15" customHeight="1" x14ac:dyDescent="0.2">
      <c r="A572" s="415"/>
      <c r="B572" s="415"/>
      <c r="C572" s="560"/>
      <c r="D572" s="560"/>
      <c r="E572" s="560"/>
      <c r="F572" s="560"/>
    </row>
    <row r="573" spans="1:6" ht="15" customHeight="1" x14ac:dyDescent="0.2">
      <c r="A573" s="415"/>
      <c r="B573" s="415"/>
      <c r="C573" s="560"/>
      <c r="D573" s="560"/>
      <c r="E573" s="560"/>
      <c r="F573" s="560"/>
    </row>
    <row r="574" spans="1:6" ht="15" customHeight="1" x14ac:dyDescent="0.2">
      <c r="A574" s="415"/>
      <c r="B574" s="415"/>
      <c r="C574" s="560"/>
      <c r="D574" s="560"/>
      <c r="E574" s="560"/>
      <c r="F574" s="560"/>
    </row>
    <row r="575" spans="1:6" ht="15" customHeight="1" x14ac:dyDescent="0.2">
      <c r="A575" s="415"/>
      <c r="B575" s="415"/>
      <c r="C575" s="560"/>
      <c r="D575" s="560"/>
      <c r="E575" s="560"/>
      <c r="F575" s="560"/>
    </row>
    <row r="576" spans="1:6" ht="15" customHeight="1" x14ac:dyDescent="0.2">
      <c r="A576" s="415"/>
      <c r="B576" s="415"/>
      <c r="C576" s="560"/>
      <c r="D576" s="560"/>
      <c r="E576" s="560"/>
      <c r="F576" s="560"/>
    </row>
    <row r="577" spans="1:7" ht="15" customHeight="1" x14ac:dyDescent="0.2">
      <c r="A577" s="415"/>
      <c r="B577" s="415"/>
      <c r="C577" s="560"/>
      <c r="D577" s="560"/>
      <c r="E577" s="560"/>
      <c r="F577" s="560"/>
    </row>
    <row r="578" spans="1:7" ht="15" customHeight="1" x14ac:dyDescent="0.2">
      <c r="A578" s="415"/>
      <c r="B578" s="415"/>
      <c r="C578" s="560"/>
      <c r="D578" s="560"/>
      <c r="E578" s="560"/>
      <c r="F578" s="560"/>
    </row>
    <row r="579" spans="1:7" ht="15" customHeight="1" x14ac:dyDescent="0.2">
      <c r="A579" s="415"/>
      <c r="B579" s="415"/>
      <c r="C579" s="560"/>
      <c r="D579" s="560"/>
      <c r="E579" s="560"/>
      <c r="F579" s="560"/>
    </row>
    <row r="580" spans="1:7" ht="15" customHeight="1" x14ac:dyDescent="0.2">
      <c r="A580" s="415"/>
      <c r="B580" s="415"/>
      <c r="C580" s="560"/>
      <c r="D580" s="560"/>
      <c r="E580" s="560"/>
      <c r="F580" s="560"/>
    </row>
    <row r="581" spans="1:7" ht="15" customHeight="1" x14ac:dyDescent="0.2">
      <c r="A581" s="415"/>
      <c r="B581" s="415"/>
      <c r="C581" s="560"/>
      <c r="D581" s="560"/>
      <c r="E581" s="560"/>
      <c r="F581" s="560"/>
    </row>
    <row r="582" spans="1:7" ht="15" customHeight="1" x14ac:dyDescent="0.2">
      <c r="A582" s="415"/>
      <c r="B582" s="415"/>
      <c r="C582" s="560"/>
      <c r="D582" s="560"/>
      <c r="E582" s="560"/>
      <c r="F582" s="560"/>
    </row>
    <row r="583" spans="1:7" ht="15" customHeight="1" x14ac:dyDescent="0.2">
      <c r="A583" s="415"/>
      <c r="B583" s="415"/>
      <c r="C583" s="560"/>
      <c r="D583" s="560"/>
      <c r="E583" s="560"/>
      <c r="F583" s="560"/>
    </row>
    <row r="584" spans="1:7" ht="15" customHeight="1" x14ac:dyDescent="0.2">
      <c r="A584" s="415"/>
      <c r="B584" s="415"/>
      <c r="C584" s="560"/>
      <c r="D584" s="560"/>
      <c r="E584" s="560"/>
      <c r="F584" s="560"/>
    </row>
    <row r="585" spans="1:7" ht="15" customHeight="1" x14ac:dyDescent="0.2">
      <c r="A585" s="415"/>
      <c r="B585" s="415"/>
      <c r="C585" s="560"/>
      <c r="D585" s="560"/>
      <c r="E585" s="560"/>
      <c r="F585" s="560"/>
    </row>
    <row r="586" spans="1:7" ht="15" customHeight="1" x14ac:dyDescent="0.2">
      <c r="A586" s="415"/>
      <c r="B586" s="415"/>
      <c r="C586" s="560"/>
      <c r="D586" s="560"/>
      <c r="E586" s="560"/>
      <c r="F586" s="560"/>
    </row>
    <row r="587" spans="1:7" ht="15" customHeight="1" x14ac:dyDescent="0.2">
      <c r="A587" s="415"/>
      <c r="B587" s="415"/>
      <c r="C587" s="560"/>
      <c r="D587" s="560"/>
      <c r="E587" s="560"/>
      <c r="F587" s="560"/>
    </row>
    <row r="588" spans="1:7" ht="15" customHeight="1" x14ac:dyDescent="0.2">
      <c r="A588" s="415"/>
      <c r="B588" s="415"/>
      <c r="C588" s="560"/>
      <c r="D588" s="560"/>
      <c r="E588" s="560"/>
      <c r="F588" s="560"/>
    </row>
    <row r="589" spans="1:7" ht="15" customHeight="1" x14ac:dyDescent="0.2">
      <c r="A589" s="415"/>
      <c r="B589" s="415"/>
      <c r="C589" s="560"/>
      <c r="D589" s="560"/>
      <c r="E589" s="560"/>
      <c r="F589" s="560"/>
    </row>
    <row r="590" spans="1:7" ht="15" customHeight="1" x14ac:dyDescent="0.2">
      <c r="A590" s="415"/>
      <c r="B590" s="415"/>
      <c r="C590" s="560"/>
      <c r="D590" s="560"/>
      <c r="E590" s="560"/>
      <c r="F590" s="560"/>
      <c r="G590" s="415"/>
    </row>
    <row r="591" spans="1:7" ht="15" customHeight="1" x14ac:dyDescent="0.2">
      <c r="A591" s="415"/>
      <c r="B591" s="415"/>
      <c r="C591" s="560"/>
      <c r="D591" s="560"/>
      <c r="E591" s="560"/>
      <c r="F591" s="560"/>
      <c r="G591" s="415"/>
    </row>
    <row r="592" spans="1:7" ht="15" customHeight="1" x14ac:dyDescent="0.25"/>
    <row r="593" spans="1:7" ht="15" customHeight="1" x14ac:dyDescent="0.2">
      <c r="A593" s="415"/>
      <c r="B593" s="415"/>
      <c r="C593" s="560"/>
      <c r="D593" s="560"/>
      <c r="E593" s="560"/>
      <c r="F593" s="560"/>
      <c r="G593" s="415"/>
    </row>
    <row r="594" spans="1:7" ht="15" customHeight="1" x14ac:dyDescent="0.2">
      <c r="A594" s="415"/>
      <c r="B594" s="415"/>
      <c r="C594" s="560"/>
      <c r="D594" s="560"/>
      <c r="E594" s="560"/>
      <c r="F594" s="560"/>
      <c r="G594" s="415"/>
    </row>
    <row r="595" spans="1:7" ht="14.25" x14ac:dyDescent="0.2">
      <c r="A595" s="415"/>
      <c r="B595" s="415"/>
      <c r="C595" s="560"/>
      <c r="D595" s="560"/>
      <c r="E595" s="560"/>
      <c r="F595" s="560"/>
      <c r="G595" s="415"/>
    </row>
    <row r="596" spans="1:7" ht="15" customHeight="1" x14ac:dyDescent="0.2">
      <c r="A596" s="415"/>
      <c r="B596" s="415"/>
      <c r="C596" s="560"/>
      <c r="D596" s="560"/>
      <c r="E596" s="560"/>
      <c r="F596" s="560"/>
      <c r="G596" s="415"/>
    </row>
    <row r="597" spans="1:7" ht="15" customHeight="1" x14ac:dyDescent="0.2">
      <c r="A597" s="415"/>
      <c r="B597" s="415"/>
      <c r="C597" s="560"/>
      <c r="D597" s="560"/>
      <c r="E597" s="560"/>
      <c r="F597" s="560"/>
      <c r="G597" s="415"/>
    </row>
    <row r="598" spans="1:7" ht="15" customHeight="1" x14ac:dyDescent="0.2">
      <c r="A598" s="415"/>
      <c r="B598" s="415"/>
      <c r="C598" s="560"/>
      <c r="D598" s="560"/>
      <c r="E598" s="560"/>
      <c r="F598" s="560"/>
      <c r="G598" s="415"/>
    </row>
    <row r="599" spans="1:7" ht="15" customHeight="1" x14ac:dyDescent="0.2">
      <c r="A599" s="415"/>
      <c r="B599" s="415"/>
      <c r="C599" s="560"/>
      <c r="D599" s="560"/>
      <c r="E599" s="560"/>
      <c r="F599" s="560"/>
      <c r="G599" s="415"/>
    </row>
    <row r="600" spans="1:7" ht="15" customHeight="1" x14ac:dyDescent="0.2">
      <c r="A600" s="415"/>
      <c r="B600" s="415"/>
      <c r="C600" s="560"/>
      <c r="D600" s="560"/>
      <c r="E600" s="560"/>
      <c r="F600" s="560"/>
      <c r="G600" s="415"/>
    </row>
    <row r="601" spans="1:7" ht="15" customHeight="1" x14ac:dyDescent="0.2">
      <c r="A601" s="415"/>
      <c r="B601" s="415"/>
      <c r="C601" s="560"/>
      <c r="D601" s="560"/>
      <c r="E601" s="560"/>
      <c r="F601" s="560"/>
      <c r="G601" s="415"/>
    </row>
    <row r="602" spans="1:7" ht="15" customHeight="1" x14ac:dyDescent="0.2">
      <c r="A602" s="415"/>
      <c r="B602" s="415"/>
      <c r="C602" s="560"/>
      <c r="D602" s="560"/>
      <c r="E602" s="560"/>
      <c r="F602" s="560"/>
      <c r="G602" s="415"/>
    </row>
    <row r="603" spans="1:7" ht="15" customHeight="1" x14ac:dyDescent="0.2">
      <c r="A603" s="415"/>
      <c r="B603" s="415"/>
      <c r="C603" s="560"/>
      <c r="D603" s="560"/>
      <c r="E603" s="560"/>
      <c r="F603" s="560"/>
      <c r="G603" s="415"/>
    </row>
    <row r="604" spans="1:7" ht="15" customHeight="1" x14ac:dyDescent="0.2">
      <c r="A604" s="415"/>
      <c r="B604" s="415"/>
      <c r="C604" s="560"/>
      <c r="D604" s="560"/>
      <c r="E604" s="560"/>
      <c r="F604" s="560"/>
      <c r="G604" s="415"/>
    </row>
    <row r="605" spans="1:7" ht="15" customHeight="1" x14ac:dyDescent="0.2">
      <c r="A605" s="415"/>
      <c r="B605" s="415"/>
      <c r="C605" s="560"/>
      <c r="D605" s="560"/>
      <c r="E605" s="560"/>
      <c r="F605" s="560"/>
      <c r="G605" s="415"/>
    </row>
    <row r="606" spans="1:7" ht="15" customHeight="1" x14ac:dyDescent="0.2">
      <c r="A606" s="415"/>
      <c r="B606" s="415"/>
      <c r="C606" s="560"/>
      <c r="D606" s="560"/>
      <c r="E606" s="560"/>
      <c r="F606" s="560"/>
    </row>
    <row r="607" spans="1:7" ht="15" customHeight="1" x14ac:dyDescent="0.2">
      <c r="A607" s="415"/>
      <c r="B607" s="415"/>
      <c r="C607" s="560"/>
      <c r="D607" s="560"/>
      <c r="E607" s="560"/>
      <c r="F607" s="560"/>
    </row>
    <row r="608" spans="1:7" ht="15" customHeight="1" x14ac:dyDescent="0.2">
      <c r="A608" s="415"/>
      <c r="B608" s="415"/>
      <c r="C608" s="560"/>
      <c r="D608" s="560"/>
      <c r="E608" s="560"/>
      <c r="F608" s="560"/>
    </row>
    <row r="609" spans="1:6" ht="15" customHeight="1" x14ac:dyDescent="0.2">
      <c r="A609" s="415"/>
      <c r="B609" s="415"/>
      <c r="C609" s="560"/>
      <c r="D609" s="560"/>
      <c r="E609" s="560"/>
      <c r="F609" s="560"/>
    </row>
    <row r="610" spans="1:6" ht="15" customHeight="1" x14ac:dyDescent="0.2">
      <c r="A610" s="415"/>
      <c r="B610" s="415"/>
      <c r="C610" s="560"/>
      <c r="D610" s="560"/>
      <c r="E610" s="560"/>
      <c r="F610" s="560"/>
    </row>
    <row r="611" spans="1:6" ht="15" customHeight="1" x14ac:dyDescent="0.2">
      <c r="A611" s="415"/>
      <c r="B611" s="415"/>
      <c r="C611" s="560"/>
      <c r="D611" s="560"/>
      <c r="E611" s="560"/>
      <c r="F611" s="560"/>
    </row>
    <row r="612" spans="1:6" ht="15" customHeight="1" x14ac:dyDescent="0.2">
      <c r="A612" s="415"/>
      <c r="B612" s="415"/>
      <c r="C612" s="560"/>
      <c r="D612" s="560"/>
      <c r="E612" s="560"/>
      <c r="F612" s="560"/>
    </row>
    <row r="613" spans="1:6" ht="15" customHeight="1" x14ac:dyDescent="0.2">
      <c r="A613" s="415"/>
      <c r="B613" s="415"/>
      <c r="C613" s="560"/>
      <c r="D613" s="560"/>
      <c r="E613" s="560"/>
      <c r="F613" s="560"/>
    </row>
    <row r="614" spans="1:6" ht="15" customHeight="1" x14ac:dyDescent="0.2">
      <c r="A614" s="415"/>
      <c r="B614" s="415"/>
      <c r="C614" s="560"/>
      <c r="D614" s="560"/>
      <c r="E614" s="560"/>
      <c r="F614" s="560"/>
    </row>
    <row r="615" spans="1:6" ht="15" customHeight="1" x14ac:dyDescent="0.2">
      <c r="A615" s="415"/>
      <c r="B615" s="415"/>
      <c r="C615" s="560"/>
      <c r="D615" s="560"/>
      <c r="E615" s="560"/>
      <c r="F615" s="560"/>
    </row>
    <row r="616" spans="1:6" ht="15" customHeight="1" x14ac:dyDescent="0.2">
      <c r="A616" s="415"/>
      <c r="B616" s="415"/>
      <c r="C616" s="560"/>
      <c r="D616" s="560"/>
      <c r="E616" s="560"/>
      <c r="F616" s="560"/>
    </row>
    <row r="617" spans="1:6" ht="15" customHeight="1" x14ac:dyDescent="0.2">
      <c r="A617" s="415"/>
      <c r="B617" s="415"/>
      <c r="C617" s="560"/>
      <c r="D617" s="560"/>
      <c r="E617" s="560"/>
      <c r="F617" s="560"/>
    </row>
    <row r="618" spans="1:6" ht="15" customHeight="1" x14ac:dyDescent="0.2">
      <c r="A618" s="415"/>
      <c r="B618" s="415"/>
      <c r="C618" s="560"/>
      <c r="D618" s="560"/>
      <c r="E618" s="560"/>
      <c r="F618" s="560"/>
    </row>
    <row r="619" spans="1:6" ht="15" customHeight="1" x14ac:dyDescent="0.2">
      <c r="A619" s="415"/>
      <c r="B619" s="415"/>
      <c r="C619" s="560"/>
      <c r="D619" s="560"/>
      <c r="E619" s="560"/>
      <c r="F619" s="560"/>
    </row>
    <row r="620" spans="1:6" ht="15" customHeight="1" x14ac:dyDescent="0.2">
      <c r="A620" s="415"/>
      <c r="B620" s="415"/>
      <c r="C620" s="560"/>
      <c r="D620" s="560"/>
      <c r="E620" s="560"/>
      <c r="F620" s="560"/>
    </row>
    <row r="621" spans="1:6" ht="15" customHeight="1" x14ac:dyDescent="0.2">
      <c r="A621" s="415"/>
      <c r="B621" s="415"/>
      <c r="C621" s="560"/>
      <c r="D621" s="560"/>
      <c r="E621" s="560"/>
      <c r="F621" s="560"/>
    </row>
    <row r="622" spans="1:6" ht="15" customHeight="1" x14ac:dyDescent="0.2">
      <c r="A622" s="415"/>
      <c r="B622" s="415"/>
      <c r="C622" s="560"/>
      <c r="D622" s="560"/>
      <c r="E622" s="560"/>
      <c r="F622" s="560"/>
    </row>
    <row r="623" spans="1:6" ht="15" customHeight="1" x14ac:dyDescent="0.2">
      <c r="A623" s="415"/>
      <c r="B623" s="415"/>
      <c r="C623" s="560"/>
      <c r="D623" s="560"/>
      <c r="E623" s="560"/>
      <c r="F623" s="560"/>
    </row>
    <row r="624" spans="1:6" ht="15" customHeight="1" x14ac:dyDescent="0.2">
      <c r="A624" s="415"/>
      <c r="B624" s="415"/>
      <c r="C624" s="560"/>
      <c r="D624" s="560"/>
      <c r="E624" s="560"/>
      <c r="F624" s="560"/>
    </row>
    <row r="625" spans="1:6" ht="15" customHeight="1" x14ac:dyDescent="0.2">
      <c r="A625" s="415"/>
      <c r="B625" s="415"/>
      <c r="C625" s="560"/>
      <c r="D625" s="560"/>
      <c r="E625" s="560"/>
      <c r="F625" s="560"/>
    </row>
    <row r="626" spans="1:6" ht="15" customHeight="1" x14ac:dyDescent="0.2">
      <c r="A626" s="415"/>
      <c r="B626" s="415"/>
      <c r="C626" s="560"/>
      <c r="D626" s="560"/>
      <c r="E626" s="560"/>
      <c r="F626" s="560"/>
    </row>
    <row r="627" spans="1:6" ht="15" customHeight="1" x14ac:dyDescent="0.2">
      <c r="A627" s="415"/>
      <c r="B627" s="415"/>
      <c r="C627" s="560"/>
      <c r="D627" s="560"/>
      <c r="E627" s="560"/>
      <c r="F627" s="560"/>
    </row>
    <row r="628" spans="1:6" ht="15" customHeight="1" x14ac:dyDescent="0.2">
      <c r="A628" s="415"/>
      <c r="B628" s="415"/>
      <c r="C628" s="560"/>
      <c r="D628" s="560"/>
      <c r="E628" s="560"/>
      <c r="F628" s="560"/>
    </row>
    <row r="629" spans="1:6" ht="15" customHeight="1" x14ac:dyDescent="0.2">
      <c r="A629" s="415"/>
      <c r="B629" s="415"/>
      <c r="C629" s="560"/>
      <c r="D629" s="560"/>
      <c r="E629" s="560"/>
      <c r="F629" s="560"/>
    </row>
    <row r="630" spans="1:6" ht="15" customHeight="1" x14ac:dyDescent="0.2">
      <c r="A630" s="415"/>
      <c r="B630" s="415"/>
      <c r="C630" s="560"/>
      <c r="D630" s="560"/>
      <c r="E630" s="560"/>
      <c r="F630" s="560"/>
    </row>
    <row r="631" spans="1:6" ht="15" customHeight="1" x14ac:dyDescent="0.2">
      <c r="A631" s="415"/>
      <c r="B631" s="415"/>
      <c r="C631" s="560"/>
      <c r="D631" s="560"/>
      <c r="E631" s="560"/>
      <c r="F631" s="560"/>
    </row>
    <row r="632" spans="1:6" ht="15" customHeight="1" x14ac:dyDescent="0.2">
      <c r="A632" s="415"/>
      <c r="B632" s="415"/>
      <c r="C632" s="560"/>
      <c r="D632" s="560"/>
      <c r="E632" s="560"/>
      <c r="F632" s="560"/>
    </row>
    <row r="633" spans="1:6" ht="15" customHeight="1" x14ac:dyDescent="0.2">
      <c r="A633" s="415"/>
      <c r="B633" s="415"/>
      <c r="C633" s="560"/>
      <c r="D633" s="560"/>
      <c r="E633" s="560"/>
      <c r="F633" s="560"/>
    </row>
    <row r="634" spans="1:6" ht="15" customHeight="1" x14ac:dyDescent="0.2">
      <c r="A634" s="415"/>
      <c r="B634" s="415"/>
      <c r="C634" s="560"/>
      <c r="D634" s="560"/>
      <c r="E634" s="560"/>
      <c r="F634" s="560"/>
    </row>
    <row r="635" spans="1:6" ht="15" customHeight="1" x14ac:dyDescent="0.2">
      <c r="A635" s="415"/>
      <c r="B635" s="415"/>
      <c r="C635" s="560"/>
      <c r="D635" s="560"/>
      <c r="E635" s="560"/>
      <c r="F635" s="560"/>
    </row>
    <row r="636" spans="1:6" ht="15" customHeight="1" x14ac:dyDescent="0.2">
      <c r="A636" s="415"/>
      <c r="B636" s="415"/>
      <c r="C636" s="560"/>
      <c r="D636" s="560"/>
      <c r="E636" s="560"/>
      <c r="F636" s="560"/>
    </row>
    <row r="637" spans="1:6" ht="15" customHeight="1" x14ac:dyDescent="0.2">
      <c r="A637" s="415"/>
      <c r="B637" s="415"/>
      <c r="C637" s="560"/>
      <c r="D637" s="560"/>
      <c r="E637" s="560"/>
      <c r="F637" s="560"/>
    </row>
    <row r="638" spans="1:6" ht="15" customHeight="1" x14ac:dyDescent="0.2">
      <c r="A638" s="415"/>
      <c r="B638" s="415"/>
      <c r="C638" s="560"/>
      <c r="D638" s="560"/>
      <c r="E638" s="560"/>
      <c r="F638" s="560"/>
    </row>
    <row r="639" spans="1:6" ht="15" customHeight="1" x14ac:dyDescent="0.2">
      <c r="A639" s="415"/>
      <c r="B639" s="415"/>
      <c r="C639" s="560"/>
      <c r="D639" s="560"/>
      <c r="E639" s="560"/>
      <c r="F639" s="560"/>
    </row>
    <row r="640" spans="1:6" ht="15" customHeight="1" x14ac:dyDescent="0.2">
      <c r="A640" s="415"/>
      <c r="B640" s="415"/>
      <c r="C640" s="560"/>
      <c r="D640" s="560"/>
      <c r="E640" s="560"/>
      <c r="F640" s="560"/>
    </row>
    <row r="641" ht="15" customHeight="1" x14ac:dyDescent="0.25"/>
    <row r="642" ht="15" customHeight="1" x14ac:dyDescent="0.25"/>
    <row r="643" ht="15" customHeight="1" x14ac:dyDescent="0.25"/>
  </sheetData>
  <mergeCells count="1">
    <mergeCell ref="B71:G7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593"/>
  <sheetViews>
    <sheetView workbookViewId="0">
      <selection activeCell="A37" sqref="A37"/>
    </sheetView>
  </sheetViews>
  <sheetFormatPr defaultColWidth="9" defaultRowHeight="15" x14ac:dyDescent="0.25"/>
  <cols>
    <col min="1" max="1" width="9" style="551"/>
    <col min="2" max="2" width="85.125" style="550" customWidth="1"/>
    <col min="3" max="3" width="9" style="552"/>
    <col min="4" max="4" width="8.875" style="552" bestFit="1" customWidth="1"/>
    <col min="5" max="16384" width="9" style="198"/>
  </cols>
  <sheetData>
    <row r="1" spans="1:4" x14ac:dyDescent="0.25">
      <c r="A1" s="544" t="s">
        <v>2478</v>
      </c>
      <c r="D1" s="545" t="s">
        <v>2479</v>
      </c>
    </row>
    <row r="2" spans="1:4" x14ac:dyDescent="0.25">
      <c r="A2" s="544"/>
      <c r="B2" s="554" t="s">
        <v>1164</v>
      </c>
      <c r="D2" s="545"/>
    </row>
    <row r="3" spans="1:4" ht="28.5" x14ac:dyDescent="0.2">
      <c r="A3" s="555" t="s">
        <v>0</v>
      </c>
      <c r="B3" s="546" t="s">
        <v>63</v>
      </c>
      <c r="C3" s="547" t="s">
        <v>1</v>
      </c>
      <c r="D3" s="547" t="s">
        <v>64</v>
      </c>
    </row>
    <row r="4" spans="1:4" s="819" customFormat="1" ht="9.4" customHeight="1" x14ac:dyDescent="0.2">
      <c r="A4" s="859">
        <v>11013</v>
      </c>
      <c r="B4" s="818" t="s">
        <v>2703</v>
      </c>
      <c r="C4" s="814" t="s">
        <v>1910</v>
      </c>
      <c r="D4" s="815">
        <v>0.31</v>
      </c>
    </row>
    <row r="5" spans="1:4" s="819" customFormat="1" ht="9.4" customHeight="1" x14ac:dyDescent="0.2">
      <c r="A5" s="859">
        <v>10714</v>
      </c>
      <c r="B5" s="818" t="s">
        <v>2704</v>
      </c>
      <c r="C5" s="814" t="s">
        <v>1910</v>
      </c>
      <c r="D5" s="815">
        <v>85.66</v>
      </c>
    </row>
    <row r="6" spans="1:4" s="819" customFormat="1" ht="9.4" customHeight="1" x14ac:dyDescent="0.2">
      <c r="A6" s="859">
        <v>10186</v>
      </c>
      <c r="B6" s="818" t="s">
        <v>2705</v>
      </c>
      <c r="C6" s="814" t="s">
        <v>58</v>
      </c>
      <c r="D6" s="815">
        <v>25.8</v>
      </c>
    </row>
    <row r="7" spans="1:4" s="819" customFormat="1" ht="9.4" customHeight="1" x14ac:dyDescent="0.2">
      <c r="A7" s="859">
        <v>10645</v>
      </c>
      <c r="B7" s="818" t="s">
        <v>2706</v>
      </c>
      <c r="C7" s="814" t="s">
        <v>1948</v>
      </c>
      <c r="D7" s="815">
        <v>83.34</v>
      </c>
    </row>
    <row r="8" spans="1:4" s="819" customFormat="1" ht="9.4" customHeight="1" x14ac:dyDescent="0.2">
      <c r="A8" s="859">
        <v>10625</v>
      </c>
      <c r="B8" s="818" t="s">
        <v>2707</v>
      </c>
      <c r="C8" s="814" t="s">
        <v>1948</v>
      </c>
      <c r="D8" s="815">
        <v>68.430000000000007</v>
      </c>
    </row>
    <row r="9" spans="1:4" s="819" customFormat="1" ht="9.4" customHeight="1" x14ac:dyDescent="0.2">
      <c r="A9" s="859">
        <v>10133</v>
      </c>
      <c r="B9" s="818" t="s">
        <v>2708</v>
      </c>
      <c r="C9" s="814" t="s">
        <v>58</v>
      </c>
      <c r="D9" s="815">
        <v>4.8099999999999996</v>
      </c>
    </row>
    <row r="10" spans="1:4" s="819" customFormat="1" ht="9.4" customHeight="1" x14ac:dyDescent="0.2">
      <c r="A10" s="859">
        <v>10131</v>
      </c>
      <c r="B10" s="818" t="s">
        <v>2709</v>
      </c>
      <c r="C10" s="814" t="s">
        <v>58</v>
      </c>
      <c r="D10" s="815">
        <v>4.82</v>
      </c>
    </row>
    <row r="11" spans="1:4" s="819" customFormat="1" ht="9.4" customHeight="1" x14ac:dyDescent="0.2">
      <c r="A11" s="859">
        <v>10132</v>
      </c>
      <c r="B11" s="818" t="s">
        <v>2710</v>
      </c>
      <c r="C11" s="814" t="s">
        <v>58</v>
      </c>
      <c r="D11" s="815">
        <v>4.79</v>
      </c>
    </row>
    <row r="12" spans="1:4" s="819" customFormat="1" ht="9.4" customHeight="1" x14ac:dyDescent="0.2">
      <c r="A12" s="859">
        <v>10130</v>
      </c>
      <c r="B12" s="818" t="s">
        <v>2711</v>
      </c>
      <c r="C12" s="814" t="s">
        <v>58</v>
      </c>
      <c r="D12" s="815">
        <v>3.98</v>
      </c>
    </row>
    <row r="13" spans="1:4" s="819" customFormat="1" ht="9.4" customHeight="1" x14ac:dyDescent="0.2">
      <c r="A13" s="859">
        <v>11570</v>
      </c>
      <c r="B13" s="818" t="s">
        <v>2712</v>
      </c>
      <c r="C13" s="814" t="s">
        <v>58</v>
      </c>
      <c r="D13" s="815">
        <v>4.59</v>
      </c>
    </row>
    <row r="14" spans="1:4" s="819" customFormat="1" ht="9.4" customHeight="1" x14ac:dyDescent="0.2">
      <c r="A14" s="859">
        <v>11569</v>
      </c>
      <c r="B14" s="818" t="s">
        <v>2713</v>
      </c>
      <c r="C14" s="814" t="s">
        <v>58</v>
      </c>
      <c r="D14" s="815">
        <v>5.16</v>
      </c>
    </row>
    <row r="15" spans="1:4" s="819" customFormat="1" ht="9.4" customHeight="1" x14ac:dyDescent="0.2">
      <c r="A15" s="859">
        <v>10129</v>
      </c>
      <c r="B15" s="818" t="s">
        <v>2714</v>
      </c>
      <c r="C15" s="814" t="s">
        <v>58</v>
      </c>
      <c r="D15" s="815">
        <v>4.6900000000000004</v>
      </c>
    </row>
    <row r="16" spans="1:4" s="819" customFormat="1" ht="9.4" customHeight="1" x14ac:dyDescent="0.2">
      <c r="A16" s="859">
        <v>10127</v>
      </c>
      <c r="B16" s="818" t="s">
        <v>2715</v>
      </c>
      <c r="C16" s="814" t="s">
        <v>58</v>
      </c>
      <c r="D16" s="815">
        <v>4.57</v>
      </c>
    </row>
    <row r="17" spans="1:7" s="819" customFormat="1" ht="9.4" customHeight="1" x14ac:dyDescent="0.2">
      <c r="A17" s="859">
        <v>10128</v>
      </c>
      <c r="B17" s="818" t="s">
        <v>2716</v>
      </c>
      <c r="C17" s="814" t="s">
        <v>58</v>
      </c>
      <c r="D17" s="815">
        <v>4.8</v>
      </c>
    </row>
    <row r="18" spans="1:7" s="819" customFormat="1" ht="9.4" customHeight="1" x14ac:dyDescent="0.2">
      <c r="A18" s="859">
        <v>10801</v>
      </c>
      <c r="B18" s="818" t="s">
        <v>2717</v>
      </c>
      <c r="C18" s="814" t="s">
        <v>58</v>
      </c>
      <c r="D18" s="815">
        <v>5.07</v>
      </c>
    </row>
    <row r="19" spans="1:7" s="819" customFormat="1" ht="9.4" customHeight="1" x14ac:dyDescent="0.2">
      <c r="A19" s="859">
        <v>10202</v>
      </c>
      <c r="B19" s="818" t="s">
        <v>2718</v>
      </c>
      <c r="C19" s="814" t="s">
        <v>58</v>
      </c>
      <c r="D19" s="815">
        <v>8.26</v>
      </c>
    </row>
    <row r="20" spans="1:7" s="819" customFormat="1" ht="9.4" customHeight="1" x14ac:dyDescent="0.2">
      <c r="A20" s="859">
        <v>10799</v>
      </c>
      <c r="B20" s="818" t="s">
        <v>2719</v>
      </c>
      <c r="C20" s="814" t="s">
        <v>1948</v>
      </c>
      <c r="D20" s="815">
        <v>60.36</v>
      </c>
    </row>
    <row r="21" spans="1:7" s="819" customFormat="1" ht="9.4" customHeight="1" x14ac:dyDescent="0.2">
      <c r="A21" s="859">
        <v>10769</v>
      </c>
      <c r="B21" s="818" t="s">
        <v>2720</v>
      </c>
      <c r="C21" s="814" t="s">
        <v>2721</v>
      </c>
      <c r="D21" s="815">
        <v>42.95</v>
      </c>
    </row>
    <row r="22" spans="1:7" s="819" customFormat="1" ht="9.4" customHeight="1" x14ac:dyDescent="0.2">
      <c r="A22" s="859">
        <v>10770</v>
      </c>
      <c r="B22" s="818" t="s">
        <v>2722</v>
      </c>
      <c r="C22" s="814" t="s">
        <v>2721</v>
      </c>
      <c r="D22" s="815">
        <v>41.23</v>
      </c>
    </row>
    <row r="23" spans="1:7" s="819" customFormat="1" ht="9.4" customHeight="1" x14ac:dyDescent="0.2">
      <c r="A23" s="859">
        <v>10762</v>
      </c>
      <c r="B23" s="818" t="s">
        <v>2723</v>
      </c>
      <c r="C23" s="814" t="s">
        <v>2724</v>
      </c>
      <c r="D23" s="815">
        <v>46.34</v>
      </c>
    </row>
    <row r="24" spans="1:7" s="819" customFormat="1" ht="9.4" customHeight="1" x14ac:dyDescent="0.2">
      <c r="A24" s="859">
        <v>10574</v>
      </c>
      <c r="B24" s="818" t="s">
        <v>2725</v>
      </c>
      <c r="C24" s="814" t="s">
        <v>58</v>
      </c>
      <c r="D24" s="815">
        <v>1.18</v>
      </c>
    </row>
    <row r="25" spans="1:7" s="819" customFormat="1" ht="9.4" customHeight="1" x14ac:dyDescent="0.2">
      <c r="A25" s="859">
        <v>10557</v>
      </c>
      <c r="B25" s="818" t="s">
        <v>2726</v>
      </c>
      <c r="C25" s="814" t="s">
        <v>1906</v>
      </c>
      <c r="D25" s="815">
        <v>8.0500000000000007</v>
      </c>
    </row>
    <row r="26" spans="1:7" s="819" customFormat="1" ht="9.4" customHeight="1" x14ac:dyDescent="0.2">
      <c r="A26" s="859">
        <v>10785</v>
      </c>
      <c r="B26" s="818" t="s">
        <v>2727</v>
      </c>
      <c r="C26" s="814" t="s">
        <v>1240</v>
      </c>
      <c r="D26" s="815">
        <v>10.89</v>
      </c>
      <c r="G26" s="1024" t="s">
        <v>1559</v>
      </c>
    </row>
    <row r="27" spans="1:7" s="819" customFormat="1" ht="9.4" customHeight="1" x14ac:dyDescent="0.2">
      <c r="A27" s="859">
        <v>10035</v>
      </c>
      <c r="B27" s="818" t="s">
        <v>2728</v>
      </c>
      <c r="C27" s="814" t="s">
        <v>1240</v>
      </c>
      <c r="D27" s="815">
        <v>3.62</v>
      </c>
    </row>
    <row r="28" spans="1:7" s="819" customFormat="1" ht="18.399999999999999" customHeight="1" x14ac:dyDescent="0.2">
      <c r="A28" s="859">
        <v>102064</v>
      </c>
      <c r="B28" s="820" t="s">
        <v>2729</v>
      </c>
      <c r="C28" s="814" t="s">
        <v>2135</v>
      </c>
      <c r="D28" s="815">
        <v>56.8</v>
      </c>
    </row>
    <row r="29" spans="1:7" s="819" customFormat="1" ht="9.4" customHeight="1" x14ac:dyDescent="0.2">
      <c r="A29" s="859">
        <v>10591</v>
      </c>
      <c r="B29" s="818" t="s">
        <v>2730</v>
      </c>
      <c r="C29" s="814" t="s">
        <v>2135</v>
      </c>
      <c r="D29" s="815">
        <v>249.36</v>
      </c>
    </row>
    <row r="30" spans="1:7" s="819" customFormat="1" ht="9.4" customHeight="1" x14ac:dyDescent="0.2">
      <c r="A30" s="859">
        <v>10634</v>
      </c>
      <c r="B30" s="818" t="s">
        <v>2731</v>
      </c>
      <c r="C30" s="814" t="s">
        <v>2135</v>
      </c>
      <c r="D30" s="816">
        <v>100</v>
      </c>
    </row>
    <row r="31" spans="1:7" s="819" customFormat="1" ht="9.4" customHeight="1" x14ac:dyDescent="0.2">
      <c r="A31" s="859">
        <v>10578</v>
      </c>
      <c r="B31" s="818" t="s">
        <v>2732</v>
      </c>
      <c r="C31" s="814" t="s">
        <v>2135</v>
      </c>
      <c r="D31" s="816">
        <v>1765.35</v>
      </c>
    </row>
    <row r="32" spans="1:7" s="819" customFormat="1" ht="9.4" customHeight="1" x14ac:dyDescent="0.2">
      <c r="A32" s="859">
        <v>10579</v>
      </c>
      <c r="B32" s="818" t="s">
        <v>2733</v>
      </c>
      <c r="C32" s="814" t="s">
        <v>2135</v>
      </c>
      <c r="D32" s="816">
        <v>1759.08</v>
      </c>
    </row>
    <row r="33" spans="1:4" s="819" customFormat="1" ht="9.4" customHeight="1" x14ac:dyDescent="0.2">
      <c r="A33" s="859">
        <v>11490</v>
      </c>
      <c r="B33" s="818" t="s">
        <v>2734</v>
      </c>
      <c r="C33" s="814" t="s">
        <v>2135</v>
      </c>
      <c r="D33" s="816">
        <v>3835.69</v>
      </c>
    </row>
    <row r="34" spans="1:4" s="819" customFormat="1" ht="9.4" customHeight="1" x14ac:dyDescent="0.2">
      <c r="A34" s="859">
        <v>10587</v>
      </c>
      <c r="B34" s="818" t="s">
        <v>2735</v>
      </c>
      <c r="C34" s="814" t="s">
        <v>2135</v>
      </c>
      <c r="D34" s="816">
        <v>1722.48</v>
      </c>
    </row>
    <row r="35" spans="1:4" s="819" customFormat="1" ht="9.4" customHeight="1" x14ac:dyDescent="0.2">
      <c r="A35" s="859">
        <v>10589</v>
      </c>
      <c r="B35" s="818" t="s">
        <v>2736</v>
      </c>
      <c r="C35" s="814" t="s">
        <v>2135</v>
      </c>
      <c r="D35" s="816">
        <v>3796.01</v>
      </c>
    </row>
    <row r="36" spans="1:4" s="819" customFormat="1" ht="9.4" customHeight="1" x14ac:dyDescent="0.2">
      <c r="A36" s="859">
        <v>10590</v>
      </c>
      <c r="B36" s="818" t="s">
        <v>2737</v>
      </c>
      <c r="C36" s="814" t="s">
        <v>2135</v>
      </c>
      <c r="D36" s="816">
        <v>3014.48</v>
      </c>
    </row>
    <row r="37" spans="1:4" s="819" customFormat="1" ht="9.4" customHeight="1" x14ac:dyDescent="0.2">
      <c r="A37" s="859">
        <v>10588</v>
      </c>
      <c r="B37" s="818" t="s">
        <v>1165</v>
      </c>
      <c r="C37" s="814" t="s">
        <v>2135</v>
      </c>
      <c r="D37" s="815">
        <v>2456.25</v>
      </c>
    </row>
    <row r="38" spans="1:4" s="819" customFormat="1" ht="9.4" customHeight="1" x14ac:dyDescent="0.2">
      <c r="A38" s="859">
        <v>10581</v>
      </c>
      <c r="B38" s="818" t="s">
        <v>2738</v>
      </c>
      <c r="C38" s="814" t="s">
        <v>2135</v>
      </c>
      <c r="D38" s="815">
        <v>630.47</v>
      </c>
    </row>
    <row r="39" spans="1:4" s="819" customFormat="1" ht="9.4" customHeight="1" x14ac:dyDescent="0.2">
      <c r="A39" s="859">
        <v>10582</v>
      </c>
      <c r="B39" s="818" t="s">
        <v>2739</v>
      </c>
      <c r="C39" s="814" t="s">
        <v>2135</v>
      </c>
      <c r="D39" s="815">
        <v>756.55</v>
      </c>
    </row>
    <row r="40" spans="1:4" s="819" customFormat="1" ht="9.4" customHeight="1" x14ac:dyDescent="0.2">
      <c r="A40" s="859">
        <v>10583</v>
      </c>
      <c r="B40" s="818" t="s">
        <v>2740</v>
      </c>
      <c r="C40" s="814" t="s">
        <v>2135</v>
      </c>
      <c r="D40" s="815">
        <v>781.71</v>
      </c>
    </row>
    <row r="41" spans="1:4" s="819" customFormat="1" ht="9.4" customHeight="1" x14ac:dyDescent="0.2">
      <c r="A41" s="859">
        <v>10580</v>
      </c>
      <c r="B41" s="818" t="s">
        <v>2741</v>
      </c>
      <c r="C41" s="814" t="s">
        <v>2135</v>
      </c>
      <c r="D41" s="816">
        <v>2007.08</v>
      </c>
    </row>
    <row r="42" spans="1:4" s="819" customFormat="1" ht="9.4" customHeight="1" x14ac:dyDescent="0.2">
      <c r="A42" s="859">
        <v>10586</v>
      </c>
      <c r="B42" s="818" t="s">
        <v>2742</v>
      </c>
      <c r="C42" s="814" t="s">
        <v>2135</v>
      </c>
      <c r="D42" s="816">
        <v>3315.65</v>
      </c>
    </row>
    <row r="43" spans="1:4" s="819" customFormat="1" ht="9.4" customHeight="1" x14ac:dyDescent="0.2">
      <c r="A43" s="859">
        <v>10585</v>
      </c>
      <c r="B43" s="818" t="s">
        <v>2743</v>
      </c>
      <c r="C43" s="814" t="s">
        <v>2135</v>
      </c>
      <c r="D43" s="816">
        <v>2263.13</v>
      </c>
    </row>
    <row r="44" spans="1:4" s="819" customFormat="1" ht="9.4" customHeight="1" x14ac:dyDescent="0.2">
      <c r="A44" s="859">
        <v>10592</v>
      </c>
      <c r="B44" s="818" t="s">
        <v>2744</v>
      </c>
      <c r="C44" s="814" t="s">
        <v>2135</v>
      </c>
      <c r="D44" s="815">
        <v>296.70999999999998</v>
      </c>
    </row>
    <row r="45" spans="1:4" s="819" customFormat="1" ht="9.4" customHeight="1" x14ac:dyDescent="0.2">
      <c r="A45" s="859">
        <v>10662</v>
      </c>
      <c r="B45" s="818" t="s">
        <v>2745</v>
      </c>
      <c r="C45" s="814" t="s">
        <v>1910</v>
      </c>
      <c r="D45" s="815">
        <v>6.68</v>
      </c>
    </row>
    <row r="46" spans="1:4" s="819" customFormat="1" ht="9.4" customHeight="1" x14ac:dyDescent="0.2">
      <c r="A46" s="859">
        <v>10659</v>
      </c>
      <c r="B46" s="818" t="s">
        <v>2746</v>
      </c>
      <c r="C46" s="814" t="s">
        <v>1910</v>
      </c>
      <c r="D46" s="815">
        <v>5.23</v>
      </c>
    </row>
    <row r="47" spans="1:4" s="819" customFormat="1" ht="9.4" customHeight="1" x14ac:dyDescent="0.2">
      <c r="A47" s="859">
        <v>10650</v>
      </c>
      <c r="B47" s="818" t="s">
        <v>2747</v>
      </c>
      <c r="C47" s="814" t="s">
        <v>1910</v>
      </c>
      <c r="D47" s="815">
        <v>30.75</v>
      </c>
    </row>
    <row r="48" spans="1:4" s="819" customFormat="1" ht="9.4" customHeight="1" x14ac:dyDescent="0.2">
      <c r="A48" s="859">
        <v>10675</v>
      </c>
      <c r="B48" s="818" t="s">
        <v>2748</v>
      </c>
      <c r="C48" s="814" t="s">
        <v>1910</v>
      </c>
      <c r="D48" s="816">
        <v>1150.77</v>
      </c>
    </row>
    <row r="49" spans="1:4" s="819" customFormat="1" ht="9.4" customHeight="1" x14ac:dyDescent="0.2">
      <c r="A49" s="859">
        <v>10676</v>
      </c>
      <c r="B49" s="818" t="s">
        <v>2749</v>
      </c>
      <c r="C49" s="814" t="s">
        <v>1910</v>
      </c>
      <c r="D49" s="816">
        <v>1711.25</v>
      </c>
    </row>
    <row r="50" spans="1:4" s="819" customFormat="1" ht="9.4" customHeight="1" x14ac:dyDescent="0.2">
      <c r="A50" s="859">
        <v>10677</v>
      </c>
      <c r="B50" s="818" t="s">
        <v>2750</v>
      </c>
      <c r="C50" s="814" t="s">
        <v>1910</v>
      </c>
      <c r="D50" s="816">
        <v>2627.76</v>
      </c>
    </row>
    <row r="51" spans="1:4" s="819" customFormat="1" ht="9.4" customHeight="1" x14ac:dyDescent="0.2">
      <c r="A51" s="859">
        <v>10243</v>
      </c>
      <c r="B51" s="818" t="s">
        <v>2751</v>
      </c>
      <c r="C51" s="814" t="s">
        <v>1910</v>
      </c>
      <c r="D51" s="815">
        <v>335.64</v>
      </c>
    </row>
    <row r="52" spans="1:4" s="819" customFormat="1" ht="9.4" customHeight="1" x14ac:dyDescent="0.2">
      <c r="A52" s="859">
        <v>10670</v>
      </c>
      <c r="B52" s="818" t="s">
        <v>2752</v>
      </c>
      <c r="C52" s="814" t="s">
        <v>1948</v>
      </c>
      <c r="D52" s="816">
        <v>3480.56</v>
      </c>
    </row>
    <row r="53" spans="1:4" s="819" customFormat="1" ht="9.4" customHeight="1" x14ac:dyDescent="0.2">
      <c r="A53" s="859">
        <v>10857</v>
      </c>
      <c r="B53" s="818" t="s">
        <v>2753</v>
      </c>
      <c r="C53" s="814" t="s">
        <v>1910</v>
      </c>
      <c r="D53" s="815">
        <v>292.02</v>
      </c>
    </row>
    <row r="54" spans="1:4" s="819" customFormat="1" ht="9.4" customHeight="1" x14ac:dyDescent="0.2">
      <c r="A54" s="859">
        <v>10367</v>
      </c>
      <c r="B54" s="818" t="s">
        <v>2754</v>
      </c>
      <c r="C54" s="814" t="s">
        <v>2755</v>
      </c>
      <c r="D54" s="815">
        <v>113.52</v>
      </c>
    </row>
    <row r="55" spans="1:4" s="819" customFormat="1" ht="9.4" customHeight="1" x14ac:dyDescent="0.2">
      <c r="A55" s="859">
        <v>11571</v>
      </c>
      <c r="B55" s="818" t="s">
        <v>2756</v>
      </c>
      <c r="C55" s="814" t="s">
        <v>1910</v>
      </c>
      <c r="D55" s="815">
        <v>703.39</v>
      </c>
    </row>
    <row r="56" spans="1:4" s="819" customFormat="1" ht="9.4" customHeight="1" x14ac:dyDescent="0.2">
      <c r="A56" s="859">
        <v>10140</v>
      </c>
      <c r="B56" s="818" t="s">
        <v>2757</v>
      </c>
      <c r="C56" s="814" t="s">
        <v>2758</v>
      </c>
      <c r="D56" s="815">
        <v>341.46</v>
      </c>
    </row>
    <row r="57" spans="1:4" s="819" customFormat="1" ht="9.4" customHeight="1" x14ac:dyDescent="0.2">
      <c r="A57" s="859">
        <v>10626</v>
      </c>
      <c r="B57" s="818" t="s">
        <v>2759</v>
      </c>
      <c r="C57" s="814" t="s">
        <v>58</v>
      </c>
      <c r="D57" s="815">
        <v>9.5</v>
      </c>
    </row>
    <row r="58" spans="1:4" s="819" customFormat="1" ht="9.4" customHeight="1" x14ac:dyDescent="0.2">
      <c r="A58" s="859">
        <v>10639</v>
      </c>
      <c r="B58" s="818" t="s">
        <v>2760</v>
      </c>
      <c r="C58" s="814" t="s">
        <v>2724</v>
      </c>
      <c r="D58" s="815">
        <v>10.44</v>
      </c>
    </row>
    <row r="59" spans="1:4" s="819" customFormat="1" ht="9.4" customHeight="1" x14ac:dyDescent="0.2">
      <c r="A59" s="859">
        <v>10640</v>
      </c>
      <c r="B59" s="818" t="s">
        <v>2761</v>
      </c>
      <c r="C59" s="814" t="s">
        <v>2724</v>
      </c>
      <c r="D59" s="815">
        <v>10.82</v>
      </c>
    </row>
    <row r="60" spans="1:4" s="819" customFormat="1" ht="9.4" customHeight="1" x14ac:dyDescent="0.2">
      <c r="A60" s="859">
        <v>10641</v>
      </c>
      <c r="B60" s="818" t="s">
        <v>2762</v>
      </c>
      <c r="C60" s="814" t="s">
        <v>2724</v>
      </c>
      <c r="D60" s="815">
        <v>11.97</v>
      </c>
    </row>
    <row r="61" spans="1:4" s="819" customFormat="1" ht="9.4" customHeight="1" x14ac:dyDescent="0.2">
      <c r="A61" s="859">
        <v>10138</v>
      </c>
      <c r="B61" s="818" t="s">
        <v>2763</v>
      </c>
      <c r="C61" s="814" t="s">
        <v>2758</v>
      </c>
      <c r="D61" s="815">
        <v>519.75</v>
      </c>
    </row>
    <row r="62" spans="1:4" s="819" customFormat="1" ht="9.4" customHeight="1" x14ac:dyDescent="0.2">
      <c r="A62" s="859">
        <v>10134</v>
      </c>
      <c r="B62" s="818" t="s">
        <v>2764</v>
      </c>
      <c r="C62" s="814" t="s">
        <v>58</v>
      </c>
      <c r="D62" s="815">
        <v>11.99</v>
      </c>
    </row>
    <row r="63" spans="1:4" s="819" customFormat="1" ht="9.4" customHeight="1" x14ac:dyDescent="0.2">
      <c r="A63" s="859">
        <v>10112</v>
      </c>
      <c r="B63" s="818" t="s">
        <v>2765</v>
      </c>
      <c r="C63" s="814" t="s">
        <v>1906</v>
      </c>
      <c r="D63" s="815">
        <v>61.65</v>
      </c>
    </row>
    <row r="64" spans="1:4" s="819" customFormat="1" ht="9.4" customHeight="1" x14ac:dyDescent="0.2">
      <c r="A64" s="859">
        <v>10109</v>
      </c>
      <c r="B64" s="818" t="s">
        <v>2766</v>
      </c>
      <c r="C64" s="814" t="s">
        <v>2767</v>
      </c>
      <c r="D64" s="815">
        <v>64.22</v>
      </c>
    </row>
    <row r="65" spans="1:4" s="819" customFormat="1" ht="9.4" customHeight="1" x14ac:dyDescent="0.2">
      <c r="A65" s="859">
        <v>10107</v>
      </c>
      <c r="B65" s="818" t="s">
        <v>2768</v>
      </c>
      <c r="C65" s="814" t="s">
        <v>1906</v>
      </c>
      <c r="D65" s="815">
        <v>53.94</v>
      </c>
    </row>
    <row r="66" spans="1:4" s="819" customFormat="1" ht="9.4" customHeight="1" x14ac:dyDescent="0.2">
      <c r="A66" s="859">
        <v>10110</v>
      </c>
      <c r="B66" s="818" t="s">
        <v>2769</v>
      </c>
      <c r="C66" s="814" t="s">
        <v>2767</v>
      </c>
      <c r="D66" s="815">
        <v>69.349999999999994</v>
      </c>
    </row>
    <row r="67" spans="1:4" s="819" customFormat="1" ht="9.4" customHeight="1" x14ac:dyDescent="0.2">
      <c r="A67" s="859">
        <v>10111</v>
      </c>
      <c r="B67" s="818" t="s">
        <v>2770</v>
      </c>
      <c r="C67" s="814" t="s">
        <v>2767</v>
      </c>
      <c r="D67" s="815">
        <v>41.1</v>
      </c>
    </row>
    <row r="68" spans="1:4" s="819" customFormat="1" ht="9.4" customHeight="1" x14ac:dyDescent="0.2">
      <c r="A68" s="859">
        <v>10657</v>
      </c>
      <c r="B68" s="818" t="s">
        <v>2771</v>
      </c>
      <c r="C68" s="814" t="s">
        <v>58</v>
      </c>
      <c r="D68" s="815">
        <v>4.2</v>
      </c>
    </row>
    <row r="69" spans="1:4" s="819" customFormat="1" ht="9.4" customHeight="1" x14ac:dyDescent="0.2">
      <c r="A69" s="859">
        <v>10737</v>
      </c>
      <c r="B69" s="818" t="s">
        <v>2772</v>
      </c>
      <c r="C69" s="814" t="s">
        <v>58</v>
      </c>
      <c r="D69" s="815">
        <v>3.84</v>
      </c>
    </row>
    <row r="70" spans="1:4" s="819" customFormat="1" ht="9.4" customHeight="1" x14ac:dyDescent="0.2">
      <c r="A70" s="859">
        <v>10564</v>
      </c>
      <c r="B70" s="818" t="s">
        <v>2773</v>
      </c>
      <c r="C70" s="814" t="s">
        <v>1906</v>
      </c>
      <c r="D70" s="816">
        <v>6.16</v>
      </c>
    </row>
    <row r="71" spans="1:4" s="819" customFormat="1" ht="9.4" customHeight="1" x14ac:dyDescent="0.2">
      <c r="A71" s="859">
        <v>102070</v>
      </c>
      <c r="B71" s="818" t="s">
        <v>2774</v>
      </c>
      <c r="C71" s="814" t="s">
        <v>1910</v>
      </c>
      <c r="D71" s="816">
        <v>33.380000000000003</v>
      </c>
    </row>
    <row r="72" spans="1:4" s="819" customFormat="1" ht="9.4" customHeight="1" x14ac:dyDescent="0.2">
      <c r="A72" s="859">
        <v>10605</v>
      </c>
      <c r="B72" s="818" t="s">
        <v>2775</v>
      </c>
      <c r="C72" s="814" t="s">
        <v>1948</v>
      </c>
      <c r="D72" s="816">
        <v>4200.38</v>
      </c>
    </row>
    <row r="73" spans="1:4" s="819" customFormat="1" ht="9.4" customHeight="1" x14ac:dyDescent="0.2">
      <c r="A73" s="859">
        <v>10606</v>
      </c>
      <c r="B73" s="818" t="s">
        <v>2776</v>
      </c>
      <c r="C73" s="814" t="s">
        <v>1948</v>
      </c>
      <c r="D73" s="816">
        <v>4734.97</v>
      </c>
    </row>
    <row r="74" spans="1:4" s="819" customFormat="1" ht="9.4" customHeight="1" x14ac:dyDescent="0.2">
      <c r="A74" s="859">
        <v>10607</v>
      </c>
      <c r="B74" s="818" t="s">
        <v>2777</v>
      </c>
      <c r="C74" s="814" t="s">
        <v>1948</v>
      </c>
      <c r="D74" s="816">
        <v>5517.26</v>
      </c>
    </row>
    <row r="75" spans="1:4" s="819" customFormat="1" ht="9.4" customHeight="1" x14ac:dyDescent="0.2">
      <c r="A75" s="859">
        <v>10608</v>
      </c>
      <c r="B75" s="818" t="s">
        <v>2778</v>
      </c>
      <c r="C75" s="814" t="s">
        <v>1948</v>
      </c>
      <c r="D75" s="816">
        <v>6941.46</v>
      </c>
    </row>
    <row r="76" spans="1:4" s="819" customFormat="1" ht="9.4" customHeight="1" x14ac:dyDescent="0.2">
      <c r="A76" s="859">
        <v>10609</v>
      </c>
      <c r="B76" s="818" t="s">
        <v>2779</v>
      </c>
      <c r="C76" s="814" t="s">
        <v>1948</v>
      </c>
      <c r="D76" s="816">
        <v>7723.75</v>
      </c>
    </row>
    <row r="77" spans="1:4" s="819" customFormat="1" ht="9.4" customHeight="1" x14ac:dyDescent="0.2">
      <c r="A77" s="859">
        <v>10610</v>
      </c>
      <c r="B77" s="818" t="s">
        <v>2780</v>
      </c>
      <c r="C77" s="814" t="s">
        <v>1948</v>
      </c>
      <c r="D77" s="816">
        <v>8328.52</v>
      </c>
    </row>
    <row r="78" spans="1:4" s="819" customFormat="1" ht="9.4" customHeight="1" x14ac:dyDescent="0.2">
      <c r="A78" s="859">
        <v>10611</v>
      </c>
      <c r="B78" s="818" t="s">
        <v>2781</v>
      </c>
      <c r="C78" s="814" t="s">
        <v>1948</v>
      </c>
      <c r="D78" s="816">
        <v>11048.96</v>
      </c>
    </row>
    <row r="79" spans="1:4" s="819" customFormat="1" ht="9.4" customHeight="1" x14ac:dyDescent="0.2">
      <c r="A79" s="859">
        <v>10597</v>
      </c>
      <c r="B79" s="818" t="s">
        <v>2782</v>
      </c>
      <c r="C79" s="814" t="s">
        <v>1948</v>
      </c>
      <c r="D79" s="816">
        <v>2100.19</v>
      </c>
    </row>
    <row r="80" spans="1:4" s="819" customFormat="1" ht="9.4" customHeight="1" x14ac:dyDescent="0.2">
      <c r="A80" s="859">
        <v>10598</v>
      </c>
      <c r="B80" s="818" t="s">
        <v>2783</v>
      </c>
      <c r="C80" s="814" t="s">
        <v>1948</v>
      </c>
      <c r="D80" s="816">
        <v>2367.4899999999998</v>
      </c>
    </row>
    <row r="81" spans="1:4" s="819" customFormat="1" ht="9.4" customHeight="1" x14ac:dyDescent="0.2">
      <c r="A81" s="859">
        <v>10599</v>
      </c>
      <c r="B81" s="818" t="s">
        <v>2784</v>
      </c>
      <c r="C81" s="814" t="s">
        <v>1948</v>
      </c>
      <c r="D81" s="816">
        <v>2758.63</v>
      </c>
    </row>
    <row r="82" spans="1:4" s="819" customFormat="1" ht="9.4" customHeight="1" x14ac:dyDescent="0.2">
      <c r="A82" s="859">
        <v>10600</v>
      </c>
      <c r="B82" s="818" t="s">
        <v>2785</v>
      </c>
      <c r="C82" s="814" t="s">
        <v>1948</v>
      </c>
      <c r="D82" s="816">
        <v>3470.73</v>
      </c>
    </row>
    <row r="83" spans="1:4" s="819" customFormat="1" ht="9.4" customHeight="1" x14ac:dyDescent="0.2">
      <c r="A83" s="859">
        <v>10601</v>
      </c>
      <c r="B83" s="818" t="s">
        <v>2786</v>
      </c>
      <c r="C83" s="814" t="s">
        <v>1948</v>
      </c>
      <c r="D83" s="816">
        <v>3861.87</v>
      </c>
    </row>
    <row r="84" spans="1:4" s="819" customFormat="1" ht="9.4" customHeight="1" x14ac:dyDescent="0.2">
      <c r="A84" s="859">
        <v>10602</v>
      </c>
      <c r="B84" s="818" t="s">
        <v>2787</v>
      </c>
      <c r="C84" s="814" t="s">
        <v>1948</v>
      </c>
      <c r="D84" s="816">
        <v>4164.26</v>
      </c>
    </row>
    <row r="85" spans="1:4" s="819" customFormat="1" ht="9.4" customHeight="1" x14ac:dyDescent="0.2">
      <c r="A85" s="859">
        <v>10603</v>
      </c>
      <c r="B85" s="818" t="s">
        <v>2788</v>
      </c>
      <c r="C85" s="814" t="s">
        <v>1948</v>
      </c>
      <c r="D85" s="816">
        <v>5524.48</v>
      </c>
    </row>
    <row r="86" spans="1:4" s="819" customFormat="1" ht="9.4" customHeight="1" x14ac:dyDescent="0.2">
      <c r="A86" s="859">
        <v>10604</v>
      </c>
      <c r="B86" s="818" t="s">
        <v>2789</v>
      </c>
      <c r="C86" s="814" t="s">
        <v>1948</v>
      </c>
      <c r="D86" s="816">
        <v>5213.84</v>
      </c>
    </row>
    <row r="87" spans="1:4" s="819" customFormat="1" ht="9.4" customHeight="1" x14ac:dyDescent="0.2">
      <c r="A87" s="859">
        <v>11266</v>
      </c>
      <c r="B87" s="818" t="s">
        <v>2790</v>
      </c>
      <c r="C87" s="814" t="s">
        <v>1948</v>
      </c>
      <c r="D87" s="815">
        <v>11604.2</v>
      </c>
    </row>
    <row r="88" spans="1:4" s="819" customFormat="1" ht="9.4" customHeight="1" x14ac:dyDescent="0.2">
      <c r="A88" s="859">
        <v>11265</v>
      </c>
      <c r="B88" s="818" t="s">
        <v>2791</v>
      </c>
      <c r="C88" s="814" t="s">
        <v>1948</v>
      </c>
      <c r="D88" s="815">
        <v>5802.1</v>
      </c>
    </row>
    <row r="89" spans="1:4" s="819" customFormat="1" ht="9.4" customHeight="1" x14ac:dyDescent="0.2">
      <c r="A89" s="859">
        <v>11012</v>
      </c>
      <c r="B89" s="818" t="s">
        <v>2792</v>
      </c>
      <c r="C89" s="814" t="s">
        <v>1910</v>
      </c>
      <c r="D89" s="815">
        <v>0.42</v>
      </c>
    </row>
    <row r="90" spans="1:4" s="819" customFormat="1" ht="9.4" customHeight="1" x14ac:dyDescent="0.2">
      <c r="A90" s="859">
        <v>10203</v>
      </c>
      <c r="B90" s="818" t="s">
        <v>2793</v>
      </c>
      <c r="C90" s="814" t="s">
        <v>1948</v>
      </c>
      <c r="D90" s="815">
        <v>33.22</v>
      </c>
    </row>
    <row r="91" spans="1:4" s="819" customFormat="1" ht="9.4" customHeight="1" x14ac:dyDescent="0.2">
      <c r="A91" s="859">
        <v>10647</v>
      </c>
      <c r="B91" s="818" t="s">
        <v>2794</v>
      </c>
      <c r="C91" s="814" t="s">
        <v>1948</v>
      </c>
      <c r="D91" s="815">
        <v>37.56</v>
      </c>
    </row>
    <row r="92" spans="1:4" s="819" customFormat="1" ht="9.4" customHeight="1" x14ac:dyDescent="0.2">
      <c r="A92" s="859">
        <v>10627</v>
      </c>
      <c r="B92" s="818" t="s">
        <v>2795</v>
      </c>
      <c r="C92" s="814" t="s">
        <v>1948</v>
      </c>
      <c r="D92" s="815">
        <v>13.49</v>
      </c>
    </row>
    <row r="93" spans="1:4" s="819" customFormat="1" ht="9.4" customHeight="1" x14ac:dyDescent="0.2">
      <c r="A93" s="859">
        <v>10745</v>
      </c>
      <c r="B93" s="818" t="s">
        <v>2796</v>
      </c>
      <c r="C93" s="814" t="s">
        <v>1910</v>
      </c>
      <c r="D93" s="815">
        <v>4.28</v>
      </c>
    </row>
    <row r="94" spans="1:4" s="819" customFormat="1" ht="9.4" customHeight="1" x14ac:dyDescent="0.2">
      <c r="A94" s="859">
        <v>10118</v>
      </c>
      <c r="B94" s="818" t="s">
        <v>2797</v>
      </c>
      <c r="C94" s="814" t="s">
        <v>2767</v>
      </c>
      <c r="D94" s="815">
        <v>45.12</v>
      </c>
    </row>
    <row r="95" spans="1:4" s="819" customFormat="1" ht="9.4" customHeight="1" x14ac:dyDescent="0.2">
      <c r="A95" s="859">
        <v>100493</v>
      </c>
      <c r="B95" s="818" t="s">
        <v>2798</v>
      </c>
      <c r="C95" s="814" t="s">
        <v>1910</v>
      </c>
      <c r="D95" s="815">
        <v>2.4</v>
      </c>
    </row>
    <row r="96" spans="1:4" s="819" customFormat="1" ht="9.4" customHeight="1" x14ac:dyDescent="0.2">
      <c r="A96" s="859">
        <v>10271</v>
      </c>
      <c r="B96" s="818" t="s">
        <v>2799</v>
      </c>
      <c r="C96" s="814" t="s">
        <v>1910</v>
      </c>
      <c r="D96" s="815">
        <v>1.37</v>
      </c>
    </row>
    <row r="97" spans="1:4" s="819" customFormat="1" ht="9.4" customHeight="1" x14ac:dyDescent="0.2">
      <c r="A97" s="859">
        <v>10272</v>
      </c>
      <c r="B97" s="818" t="s">
        <v>2800</v>
      </c>
      <c r="C97" s="814" t="s">
        <v>1910</v>
      </c>
      <c r="D97" s="815">
        <v>1.99</v>
      </c>
    </row>
    <row r="98" spans="1:4" s="819" customFormat="1" ht="9.4" customHeight="1" x14ac:dyDescent="0.2">
      <c r="A98" s="859">
        <v>10273</v>
      </c>
      <c r="B98" s="818" t="s">
        <v>2801</v>
      </c>
      <c r="C98" s="814" t="s">
        <v>1910</v>
      </c>
      <c r="D98" s="815">
        <v>2.62</v>
      </c>
    </row>
    <row r="99" spans="1:4" s="819" customFormat="1" ht="9.4" customHeight="1" x14ac:dyDescent="0.2">
      <c r="A99" s="859">
        <v>10619</v>
      </c>
      <c r="B99" s="818" t="s">
        <v>2802</v>
      </c>
      <c r="C99" s="814" t="s">
        <v>1910</v>
      </c>
      <c r="D99" s="815">
        <v>2.99</v>
      </c>
    </row>
    <row r="100" spans="1:4" s="819" customFormat="1" ht="9.4" customHeight="1" x14ac:dyDescent="0.2">
      <c r="A100" s="859">
        <v>10266</v>
      </c>
      <c r="B100" s="818" t="s">
        <v>2803</v>
      </c>
      <c r="C100" s="814" t="s">
        <v>1905</v>
      </c>
      <c r="D100" s="815">
        <v>33.47</v>
      </c>
    </row>
    <row r="101" spans="1:4" s="819" customFormat="1" ht="9.4" customHeight="1" x14ac:dyDescent="0.2">
      <c r="A101" s="859">
        <v>10296</v>
      </c>
      <c r="B101" s="818" t="s">
        <v>2804</v>
      </c>
      <c r="C101" s="814" t="s">
        <v>1905</v>
      </c>
      <c r="D101" s="815">
        <v>45.27</v>
      </c>
    </row>
    <row r="102" spans="1:4" s="819" customFormat="1" ht="9.4" customHeight="1" x14ac:dyDescent="0.2">
      <c r="A102" s="859">
        <v>10267</v>
      </c>
      <c r="B102" s="818" t="s">
        <v>2805</v>
      </c>
      <c r="C102" s="814" t="s">
        <v>1905</v>
      </c>
      <c r="D102" s="815">
        <v>40.32</v>
      </c>
    </row>
    <row r="103" spans="1:4" s="819" customFormat="1" ht="9.4" customHeight="1" x14ac:dyDescent="0.2">
      <c r="A103" s="859">
        <v>10268</v>
      </c>
      <c r="B103" s="818" t="s">
        <v>2806</v>
      </c>
      <c r="C103" s="814" t="s">
        <v>1905</v>
      </c>
      <c r="D103" s="815">
        <v>45.87</v>
      </c>
    </row>
    <row r="104" spans="1:4" s="819" customFormat="1" ht="9.4" customHeight="1" x14ac:dyDescent="0.2">
      <c r="A104" s="859">
        <v>10748</v>
      </c>
      <c r="B104" s="818" t="s">
        <v>2807</v>
      </c>
      <c r="C104" s="814" t="s">
        <v>1910</v>
      </c>
      <c r="D104" s="815">
        <v>2.91</v>
      </c>
    </row>
    <row r="105" spans="1:4" s="819" customFormat="1" ht="9.4" customHeight="1" x14ac:dyDescent="0.2">
      <c r="A105" s="859">
        <v>10097</v>
      </c>
      <c r="B105" s="818" t="s">
        <v>2808</v>
      </c>
      <c r="C105" s="814" t="s">
        <v>1906</v>
      </c>
      <c r="D105" s="815">
        <v>28.94</v>
      </c>
    </row>
    <row r="106" spans="1:4" s="819" customFormat="1" ht="9.4" customHeight="1" x14ac:dyDescent="0.2">
      <c r="A106" s="859">
        <v>10553</v>
      </c>
      <c r="B106" s="818" t="s">
        <v>2809</v>
      </c>
      <c r="C106" s="814" t="s">
        <v>17</v>
      </c>
      <c r="D106" s="815">
        <v>0</v>
      </c>
    </row>
    <row r="107" spans="1:4" s="819" customFormat="1" ht="9.4" customHeight="1" x14ac:dyDescent="0.2">
      <c r="A107" s="859">
        <v>10355</v>
      </c>
      <c r="B107" s="818" t="s">
        <v>2810</v>
      </c>
      <c r="C107" s="814" t="s">
        <v>1910</v>
      </c>
      <c r="D107" s="816">
        <v>29.37</v>
      </c>
    </row>
    <row r="108" spans="1:4" s="819" customFormat="1" ht="9.4" customHeight="1" x14ac:dyDescent="0.2">
      <c r="A108" s="859">
        <v>10562</v>
      </c>
      <c r="B108" s="818" t="s">
        <v>2811</v>
      </c>
      <c r="C108" s="814" t="s">
        <v>1910</v>
      </c>
      <c r="D108" s="816">
        <v>48.96</v>
      </c>
    </row>
    <row r="109" spans="1:4" s="819" customFormat="1" ht="9.4" customHeight="1" x14ac:dyDescent="0.2">
      <c r="A109" s="859">
        <v>10855</v>
      </c>
      <c r="B109" s="818" t="s">
        <v>2812</v>
      </c>
      <c r="C109" s="814" t="s">
        <v>1910</v>
      </c>
      <c r="D109" s="815">
        <v>2132.33</v>
      </c>
    </row>
    <row r="110" spans="1:4" s="819" customFormat="1" ht="9.4" customHeight="1" x14ac:dyDescent="0.2">
      <c r="A110" s="859">
        <v>10713</v>
      </c>
      <c r="B110" s="818" t="s">
        <v>2813</v>
      </c>
      <c r="C110" s="814" t="s">
        <v>1910</v>
      </c>
      <c r="D110" s="815">
        <v>1164.9100000000001</v>
      </c>
    </row>
    <row r="111" spans="1:4" s="819" customFormat="1" ht="9.4" customHeight="1" x14ac:dyDescent="0.2">
      <c r="A111" s="859">
        <v>10119</v>
      </c>
      <c r="B111" s="818" t="s">
        <v>2814</v>
      </c>
      <c r="C111" s="814" t="s">
        <v>2767</v>
      </c>
      <c r="D111" s="815">
        <v>49.19</v>
      </c>
    </row>
    <row r="112" spans="1:4" s="819" customFormat="1" ht="9.4" customHeight="1" x14ac:dyDescent="0.2">
      <c r="A112" s="859">
        <v>10113</v>
      </c>
      <c r="B112" s="818" t="s">
        <v>2815</v>
      </c>
      <c r="C112" s="814" t="s">
        <v>2767</v>
      </c>
      <c r="D112" s="815">
        <v>77.099999999999994</v>
      </c>
    </row>
    <row r="113" spans="1:4" s="819" customFormat="1" ht="9.4" customHeight="1" x14ac:dyDescent="0.2">
      <c r="A113" s="859">
        <v>10114</v>
      </c>
      <c r="B113" s="818" t="s">
        <v>2816</v>
      </c>
      <c r="C113" s="814" t="s">
        <v>2767</v>
      </c>
      <c r="D113" s="815">
        <v>60.22</v>
      </c>
    </row>
    <row r="114" spans="1:4" s="819" customFormat="1" ht="9.4" customHeight="1" x14ac:dyDescent="0.2">
      <c r="A114" s="859">
        <v>10115</v>
      </c>
      <c r="B114" s="818" t="s">
        <v>2817</v>
      </c>
      <c r="C114" s="814" t="s">
        <v>2767</v>
      </c>
      <c r="D114" s="815">
        <v>61.29</v>
      </c>
    </row>
    <row r="115" spans="1:4" s="819" customFormat="1" ht="9.4" customHeight="1" x14ac:dyDescent="0.2">
      <c r="A115" s="859">
        <v>10116</v>
      </c>
      <c r="B115" s="818" t="s">
        <v>2818</v>
      </c>
      <c r="C115" s="814" t="s">
        <v>2767</v>
      </c>
      <c r="D115" s="815">
        <v>63.29</v>
      </c>
    </row>
    <row r="116" spans="1:4" s="819" customFormat="1" ht="9.4" customHeight="1" x14ac:dyDescent="0.2">
      <c r="A116" s="859">
        <v>10117</v>
      </c>
      <c r="B116" s="818" t="s">
        <v>2819</v>
      </c>
      <c r="C116" s="814" t="s">
        <v>1906</v>
      </c>
      <c r="D116" s="815">
        <v>59.86</v>
      </c>
    </row>
    <row r="117" spans="1:4" s="819" customFormat="1" ht="9.4" customHeight="1" x14ac:dyDescent="0.2">
      <c r="A117" s="859">
        <v>10047</v>
      </c>
      <c r="B117" s="818" t="s">
        <v>2820</v>
      </c>
      <c r="C117" s="814" t="s">
        <v>1910</v>
      </c>
      <c r="D117" s="815">
        <v>539.1</v>
      </c>
    </row>
    <row r="118" spans="1:4" s="819" customFormat="1" ht="9.4" customHeight="1" x14ac:dyDescent="0.2">
      <c r="A118" s="859">
        <v>10048</v>
      </c>
      <c r="B118" s="818" t="s">
        <v>2821</v>
      </c>
      <c r="C118" s="814" t="s">
        <v>1910</v>
      </c>
      <c r="D118" s="815">
        <v>582.02</v>
      </c>
    </row>
    <row r="119" spans="1:4" s="819" customFormat="1" ht="9.4" customHeight="1" x14ac:dyDescent="0.2">
      <c r="A119" s="859">
        <v>10049</v>
      </c>
      <c r="B119" s="818" t="s">
        <v>2822</v>
      </c>
      <c r="C119" s="814" t="s">
        <v>1910</v>
      </c>
      <c r="D119" s="815">
        <v>646.05999999999995</v>
      </c>
    </row>
    <row r="120" spans="1:4" s="819" customFormat="1" ht="9.4" customHeight="1" x14ac:dyDescent="0.2">
      <c r="A120" s="859">
        <v>10050</v>
      </c>
      <c r="B120" s="818" t="s">
        <v>2823</v>
      </c>
      <c r="C120" s="814" t="s">
        <v>1910</v>
      </c>
      <c r="D120" s="815">
        <v>793.31</v>
      </c>
    </row>
    <row r="121" spans="1:4" s="819" customFormat="1" ht="9.4" customHeight="1" x14ac:dyDescent="0.2">
      <c r="A121" s="859">
        <v>10051</v>
      </c>
      <c r="B121" s="818" t="s">
        <v>2824</v>
      </c>
      <c r="C121" s="814" t="s">
        <v>1910</v>
      </c>
      <c r="D121" s="816">
        <v>922.1</v>
      </c>
    </row>
    <row r="122" spans="1:4" s="819" customFormat="1" ht="9.4" customHeight="1" x14ac:dyDescent="0.2">
      <c r="A122" s="859">
        <v>10052</v>
      </c>
      <c r="B122" s="818" t="s">
        <v>2825</v>
      </c>
      <c r="C122" s="814" t="s">
        <v>1910</v>
      </c>
      <c r="D122" s="816">
        <v>1058.5999999999999</v>
      </c>
    </row>
    <row r="123" spans="1:4" s="819" customFormat="1" ht="9.4" customHeight="1" x14ac:dyDescent="0.2">
      <c r="A123" s="859">
        <v>10053</v>
      </c>
      <c r="B123" s="818" t="s">
        <v>2826</v>
      </c>
      <c r="C123" s="814" t="s">
        <v>1910</v>
      </c>
      <c r="D123" s="816">
        <v>1212.5</v>
      </c>
    </row>
    <row r="124" spans="1:4" s="819" customFormat="1" ht="9.4" customHeight="1" x14ac:dyDescent="0.2">
      <c r="A124" s="859">
        <v>10054</v>
      </c>
      <c r="B124" s="818" t="s">
        <v>2827</v>
      </c>
      <c r="C124" s="814" t="s">
        <v>1910</v>
      </c>
      <c r="D124" s="815">
        <v>1377.84</v>
      </c>
    </row>
    <row r="125" spans="1:4" s="819" customFormat="1" ht="9.4" customHeight="1" x14ac:dyDescent="0.2">
      <c r="A125" s="859">
        <v>10055</v>
      </c>
      <c r="B125" s="818" t="s">
        <v>2828</v>
      </c>
      <c r="C125" s="814" t="s">
        <v>1910</v>
      </c>
      <c r="D125" s="815">
        <v>1705.25</v>
      </c>
    </row>
    <row r="126" spans="1:4" s="819" customFormat="1" ht="9.4" customHeight="1" x14ac:dyDescent="0.2">
      <c r="A126" s="859">
        <v>11011</v>
      </c>
      <c r="B126" s="818" t="s">
        <v>2829</v>
      </c>
      <c r="C126" s="814" t="s">
        <v>1910</v>
      </c>
      <c r="D126" s="815">
        <v>0.82</v>
      </c>
    </row>
    <row r="127" spans="1:4" s="819" customFormat="1" ht="9.4" customHeight="1" x14ac:dyDescent="0.2">
      <c r="A127" s="859">
        <v>11566</v>
      </c>
      <c r="B127" s="818" t="s">
        <v>2830</v>
      </c>
      <c r="C127" s="814" t="s">
        <v>1910</v>
      </c>
      <c r="D127" s="815">
        <v>1.94</v>
      </c>
    </row>
    <row r="128" spans="1:4" s="819" customFormat="1" ht="9.4" customHeight="1" x14ac:dyDescent="0.2">
      <c r="A128" s="859">
        <v>11005</v>
      </c>
      <c r="B128" s="818" t="s">
        <v>2831</v>
      </c>
      <c r="C128" s="814" t="s">
        <v>1910</v>
      </c>
      <c r="D128" s="815">
        <v>0.28999999999999998</v>
      </c>
    </row>
    <row r="129" spans="1:4" s="819" customFormat="1" ht="9.4" customHeight="1" x14ac:dyDescent="0.2">
      <c r="A129" s="859">
        <v>10709</v>
      </c>
      <c r="B129" s="818" t="s">
        <v>2832</v>
      </c>
      <c r="C129" s="814" t="s">
        <v>62</v>
      </c>
      <c r="D129" s="815">
        <v>2.8</v>
      </c>
    </row>
    <row r="130" spans="1:4" s="819" customFormat="1" ht="9.4" customHeight="1" x14ac:dyDescent="0.2">
      <c r="A130" s="859">
        <v>10170</v>
      </c>
      <c r="B130" s="818" t="s">
        <v>2833</v>
      </c>
      <c r="C130" s="814" t="s">
        <v>1948</v>
      </c>
      <c r="D130" s="815">
        <v>9.36</v>
      </c>
    </row>
    <row r="131" spans="1:4" s="819" customFormat="1" ht="9.4" customHeight="1" x14ac:dyDescent="0.2">
      <c r="A131" s="859">
        <v>11420</v>
      </c>
      <c r="B131" s="818" t="s">
        <v>2834</v>
      </c>
      <c r="C131" s="814" t="s">
        <v>1948</v>
      </c>
      <c r="D131" s="815">
        <v>1.46</v>
      </c>
    </row>
    <row r="132" spans="1:4" s="819" customFormat="1" ht="9.4" customHeight="1" x14ac:dyDescent="0.2">
      <c r="A132" s="859">
        <v>11421</v>
      </c>
      <c r="B132" s="818" t="s">
        <v>2835</v>
      </c>
      <c r="C132" s="814" t="s">
        <v>1948</v>
      </c>
      <c r="D132" s="815">
        <v>2.09</v>
      </c>
    </row>
    <row r="133" spans="1:4" s="819" customFormat="1" ht="9.4" customHeight="1" x14ac:dyDescent="0.2">
      <c r="A133" s="859">
        <v>11422</v>
      </c>
      <c r="B133" s="818" t="s">
        <v>2836</v>
      </c>
      <c r="C133" s="814" t="s">
        <v>1948</v>
      </c>
      <c r="D133" s="815">
        <v>2.85</v>
      </c>
    </row>
    <row r="134" spans="1:4" s="819" customFormat="1" ht="9.4" customHeight="1" x14ac:dyDescent="0.2">
      <c r="A134" s="859">
        <v>11423</v>
      </c>
      <c r="B134" s="818" t="s">
        <v>2837</v>
      </c>
      <c r="C134" s="814" t="s">
        <v>1948</v>
      </c>
      <c r="D134" s="815">
        <v>4.57</v>
      </c>
    </row>
    <row r="135" spans="1:4" s="819" customFormat="1" ht="9.4" customHeight="1" x14ac:dyDescent="0.2">
      <c r="A135" s="859">
        <v>11424</v>
      </c>
      <c r="B135" s="818" t="s">
        <v>2838</v>
      </c>
      <c r="C135" s="814" t="s">
        <v>1948</v>
      </c>
      <c r="D135" s="815">
        <v>10.69</v>
      </c>
    </row>
    <row r="136" spans="1:4" s="819" customFormat="1" ht="9.4" customHeight="1" x14ac:dyDescent="0.2">
      <c r="A136" s="859">
        <v>11425</v>
      </c>
      <c r="B136" s="818" t="s">
        <v>2839</v>
      </c>
      <c r="C136" s="814" t="s">
        <v>1948</v>
      </c>
      <c r="D136" s="815">
        <v>14.73</v>
      </c>
    </row>
    <row r="137" spans="1:4" s="819" customFormat="1" ht="9.4" customHeight="1" x14ac:dyDescent="0.2">
      <c r="A137" s="859">
        <v>10811</v>
      </c>
      <c r="B137" s="818" t="s">
        <v>2840</v>
      </c>
      <c r="C137" s="814" t="s">
        <v>1948</v>
      </c>
      <c r="D137" s="815">
        <v>18.03</v>
      </c>
    </row>
    <row r="138" spans="1:4" s="819" customFormat="1" ht="9.4" customHeight="1" x14ac:dyDescent="0.2">
      <c r="A138" s="859">
        <v>10712</v>
      </c>
      <c r="B138" s="818" t="s">
        <v>2841</v>
      </c>
      <c r="C138" s="814" t="s">
        <v>1948</v>
      </c>
      <c r="D138" s="815">
        <v>2.5499999999999998</v>
      </c>
    </row>
    <row r="139" spans="1:4" s="819" customFormat="1" ht="9.4" customHeight="1" x14ac:dyDescent="0.2">
      <c r="A139" s="859">
        <v>10711</v>
      </c>
      <c r="B139" s="818" t="s">
        <v>2842</v>
      </c>
      <c r="C139" s="814" t="s">
        <v>1948</v>
      </c>
      <c r="D139" s="815">
        <v>2.63</v>
      </c>
    </row>
    <row r="140" spans="1:4" s="819" customFormat="1" ht="9.4" customHeight="1" x14ac:dyDescent="0.2">
      <c r="A140" s="859">
        <v>10858</v>
      </c>
      <c r="B140" s="818" t="s">
        <v>2843</v>
      </c>
      <c r="C140" s="814" t="s">
        <v>1948</v>
      </c>
      <c r="D140" s="815">
        <v>3.38</v>
      </c>
    </row>
    <row r="141" spans="1:4" s="819" customFormat="1" ht="9.4" customHeight="1" x14ac:dyDescent="0.2">
      <c r="A141" s="859">
        <v>10710</v>
      </c>
      <c r="B141" s="818" t="s">
        <v>2844</v>
      </c>
      <c r="C141" s="814" t="s">
        <v>1948</v>
      </c>
      <c r="D141" s="815">
        <v>4.32</v>
      </c>
    </row>
    <row r="142" spans="1:4" s="819" customFormat="1" ht="9.4" customHeight="1" x14ac:dyDescent="0.2">
      <c r="A142" s="859">
        <v>11010</v>
      </c>
      <c r="B142" s="818" t="s">
        <v>2845</v>
      </c>
      <c r="C142" s="814" t="s">
        <v>1948</v>
      </c>
      <c r="D142" s="816">
        <v>10.029999999999999</v>
      </c>
    </row>
    <row r="143" spans="1:4" s="819" customFormat="1" ht="9.4" customHeight="1" x14ac:dyDescent="0.2">
      <c r="A143" s="859">
        <v>10162</v>
      </c>
      <c r="B143" s="818" t="s">
        <v>2846</v>
      </c>
      <c r="C143" s="814" t="s">
        <v>1910</v>
      </c>
      <c r="D143" s="816">
        <v>16.239999999999998</v>
      </c>
    </row>
    <row r="144" spans="1:4" s="819" customFormat="1" ht="9.4" customHeight="1" x14ac:dyDescent="0.2">
      <c r="A144" s="859">
        <v>10817</v>
      </c>
      <c r="B144" s="818" t="s">
        <v>2847</v>
      </c>
      <c r="C144" s="814" t="s">
        <v>2848</v>
      </c>
      <c r="D144" s="815">
        <v>1242.05</v>
      </c>
    </row>
    <row r="145" spans="1:4" s="819" customFormat="1" ht="9.4" customHeight="1" x14ac:dyDescent="0.2">
      <c r="A145" s="859">
        <v>10064</v>
      </c>
      <c r="B145" s="818" t="s">
        <v>2849</v>
      </c>
      <c r="C145" s="814" t="s">
        <v>2848</v>
      </c>
      <c r="D145" s="816">
        <v>1388.56</v>
      </c>
    </row>
    <row r="146" spans="1:4" s="819" customFormat="1" ht="9.4" customHeight="1" x14ac:dyDescent="0.2">
      <c r="A146" s="859">
        <v>10062</v>
      </c>
      <c r="B146" s="818" t="s">
        <v>2850</v>
      </c>
      <c r="C146" s="814" t="s">
        <v>62</v>
      </c>
      <c r="D146" s="815">
        <v>7.92</v>
      </c>
    </row>
    <row r="147" spans="1:4" s="819" customFormat="1" ht="9.4" customHeight="1" x14ac:dyDescent="0.2">
      <c r="A147" s="859">
        <v>10066</v>
      </c>
      <c r="B147" s="818" t="s">
        <v>2851</v>
      </c>
      <c r="C147" s="814" t="s">
        <v>1906</v>
      </c>
      <c r="D147" s="815">
        <v>1616</v>
      </c>
    </row>
    <row r="148" spans="1:4" s="819" customFormat="1" ht="9.4" customHeight="1" x14ac:dyDescent="0.2">
      <c r="A148" s="859">
        <v>10256</v>
      </c>
      <c r="B148" s="818" t="s">
        <v>2852</v>
      </c>
      <c r="C148" s="814" t="s">
        <v>2848</v>
      </c>
      <c r="D148" s="816">
        <v>233.16</v>
      </c>
    </row>
    <row r="149" spans="1:4" s="819" customFormat="1" ht="9.4" customHeight="1" x14ac:dyDescent="0.2">
      <c r="A149" s="859">
        <v>10312</v>
      </c>
      <c r="B149" s="818" t="s">
        <v>2853</v>
      </c>
      <c r="C149" s="814" t="s">
        <v>58</v>
      </c>
      <c r="D149" s="815">
        <v>1.3</v>
      </c>
    </row>
    <row r="150" spans="1:4" s="819" customFormat="1" ht="9.4" customHeight="1" x14ac:dyDescent="0.2">
      <c r="A150" s="859">
        <v>10068</v>
      </c>
      <c r="B150" s="818" t="s">
        <v>2854</v>
      </c>
      <c r="C150" s="814" t="s">
        <v>1906</v>
      </c>
      <c r="D150" s="815">
        <v>1278.17</v>
      </c>
    </row>
    <row r="151" spans="1:4" s="819" customFormat="1" ht="9.4" customHeight="1" x14ac:dyDescent="0.2">
      <c r="A151" s="859">
        <v>10143</v>
      </c>
      <c r="B151" s="818" t="s">
        <v>2855</v>
      </c>
      <c r="C151" s="814" t="s">
        <v>58</v>
      </c>
      <c r="D151" s="815">
        <v>5.05</v>
      </c>
    </row>
    <row r="152" spans="1:4" s="819" customFormat="1" ht="9.4" customHeight="1" x14ac:dyDescent="0.2">
      <c r="A152" s="859">
        <v>10145</v>
      </c>
      <c r="B152" s="818" t="s">
        <v>2856</v>
      </c>
      <c r="C152" s="814" t="s">
        <v>58</v>
      </c>
      <c r="D152" s="815">
        <v>5.56</v>
      </c>
    </row>
    <row r="153" spans="1:4" s="819" customFormat="1" ht="9.4" customHeight="1" x14ac:dyDescent="0.2">
      <c r="A153" s="859">
        <v>10144</v>
      </c>
      <c r="B153" s="818" t="s">
        <v>2857</v>
      </c>
      <c r="C153" s="814" t="s">
        <v>58</v>
      </c>
      <c r="D153" s="816">
        <v>5.75</v>
      </c>
    </row>
    <row r="154" spans="1:4" s="819" customFormat="1" ht="9.4" customHeight="1" x14ac:dyDescent="0.2">
      <c r="A154" s="859">
        <v>10169</v>
      </c>
      <c r="B154" s="818" t="s">
        <v>2858</v>
      </c>
      <c r="C154" s="814" t="s">
        <v>58</v>
      </c>
      <c r="D154" s="816">
        <v>5.0999999999999996</v>
      </c>
    </row>
    <row r="155" spans="1:4" s="819" customFormat="1" ht="9.4" customHeight="1" x14ac:dyDescent="0.2">
      <c r="A155" s="859">
        <v>10772</v>
      </c>
      <c r="B155" s="818" t="s">
        <v>2859</v>
      </c>
      <c r="C155" s="814" t="s">
        <v>3</v>
      </c>
      <c r="D155" s="815">
        <v>3011.98</v>
      </c>
    </row>
    <row r="156" spans="1:4" s="819" customFormat="1" ht="9.4" customHeight="1" x14ac:dyDescent="0.2">
      <c r="A156" s="859">
        <v>10001</v>
      </c>
      <c r="B156" s="818" t="s">
        <v>1166</v>
      </c>
      <c r="C156" s="814" t="s">
        <v>3</v>
      </c>
      <c r="D156" s="815">
        <v>3016.56</v>
      </c>
    </row>
    <row r="157" spans="1:4" s="819" customFormat="1" ht="9.4" customHeight="1" x14ac:dyDescent="0.2">
      <c r="A157" s="859">
        <v>10622</v>
      </c>
      <c r="B157" s="818" t="s">
        <v>2860</v>
      </c>
      <c r="C157" s="814" t="s">
        <v>1905</v>
      </c>
      <c r="D157" s="815">
        <v>11.79</v>
      </c>
    </row>
    <row r="158" spans="1:4" s="819" customFormat="1" ht="9.4" customHeight="1" x14ac:dyDescent="0.2">
      <c r="A158" s="859">
        <v>10085</v>
      </c>
      <c r="B158" s="818" t="s">
        <v>2861</v>
      </c>
      <c r="C158" s="814" t="s">
        <v>2862</v>
      </c>
      <c r="D158" s="815">
        <v>44.98</v>
      </c>
    </row>
    <row r="159" spans="1:4" s="819" customFormat="1" ht="9.4" customHeight="1" x14ac:dyDescent="0.2">
      <c r="A159" s="859">
        <v>11014</v>
      </c>
      <c r="B159" s="818" t="s">
        <v>2863</v>
      </c>
      <c r="C159" s="814" t="s">
        <v>1905</v>
      </c>
      <c r="D159" s="815">
        <v>18.600000000000001</v>
      </c>
    </row>
    <row r="160" spans="1:4" s="819" customFormat="1" ht="9.4" customHeight="1" x14ac:dyDescent="0.2">
      <c r="A160" s="859">
        <v>10086</v>
      </c>
      <c r="B160" s="818" t="s">
        <v>2864</v>
      </c>
      <c r="C160" s="814" t="s">
        <v>2862</v>
      </c>
      <c r="D160" s="815">
        <v>63.82</v>
      </c>
    </row>
    <row r="161" spans="1:4" s="819" customFormat="1" ht="9.4" customHeight="1" x14ac:dyDescent="0.2">
      <c r="A161" s="859">
        <v>10087</v>
      </c>
      <c r="B161" s="818" t="s">
        <v>2865</v>
      </c>
      <c r="C161" s="814" t="s">
        <v>2862</v>
      </c>
      <c r="D161" s="815">
        <v>73.930000000000007</v>
      </c>
    </row>
    <row r="162" spans="1:4" s="819" customFormat="1" ht="9.4" customHeight="1" x14ac:dyDescent="0.2">
      <c r="A162" s="859">
        <v>11462</v>
      </c>
      <c r="B162" s="818" t="s">
        <v>2866</v>
      </c>
      <c r="C162" s="814" t="s">
        <v>58</v>
      </c>
      <c r="D162" s="815">
        <v>5.53</v>
      </c>
    </row>
    <row r="163" spans="1:4" s="819" customFormat="1" ht="9.4" customHeight="1" x14ac:dyDescent="0.2">
      <c r="A163" s="859">
        <v>10147</v>
      </c>
      <c r="B163" s="818" t="s">
        <v>2867</v>
      </c>
      <c r="C163" s="814" t="s">
        <v>58</v>
      </c>
      <c r="D163" s="815">
        <v>8.08</v>
      </c>
    </row>
    <row r="164" spans="1:4" s="819" customFormat="1" ht="9.4" customHeight="1" x14ac:dyDescent="0.2">
      <c r="A164" s="859">
        <v>10146</v>
      </c>
      <c r="B164" s="818" t="s">
        <v>2868</v>
      </c>
      <c r="C164" s="814" t="s">
        <v>58</v>
      </c>
      <c r="D164" s="815">
        <v>6.22</v>
      </c>
    </row>
    <row r="165" spans="1:4" s="819" customFormat="1" ht="9.4" customHeight="1" x14ac:dyDescent="0.2">
      <c r="A165" s="859">
        <v>10812</v>
      </c>
      <c r="B165" s="818" t="s">
        <v>2869</v>
      </c>
      <c r="C165" s="814" t="s">
        <v>58</v>
      </c>
      <c r="D165" s="815">
        <v>6.52</v>
      </c>
    </row>
    <row r="166" spans="1:4" s="819" customFormat="1" ht="9.4" customHeight="1" x14ac:dyDescent="0.2">
      <c r="A166" s="859">
        <v>10379</v>
      </c>
      <c r="B166" s="818" t="s">
        <v>2870</v>
      </c>
      <c r="C166" s="814" t="s">
        <v>1905</v>
      </c>
      <c r="D166" s="815">
        <v>62.37</v>
      </c>
    </row>
    <row r="167" spans="1:4" s="819" customFormat="1" ht="9.4" customHeight="1" x14ac:dyDescent="0.2">
      <c r="A167" s="859">
        <v>10168</v>
      </c>
      <c r="B167" s="818" t="s">
        <v>2871</v>
      </c>
      <c r="C167" s="814" t="s">
        <v>58</v>
      </c>
      <c r="D167" s="815">
        <v>6.25</v>
      </c>
    </row>
    <row r="168" spans="1:4" s="819" customFormat="1" ht="9.4" customHeight="1" x14ac:dyDescent="0.2">
      <c r="A168" s="859">
        <v>10148</v>
      </c>
      <c r="B168" s="818" t="s">
        <v>2872</v>
      </c>
      <c r="C168" s="814" t="s">
        <v>58</v>
      </c>
      <c r="D168" s="815">
        <v>4.78</v>
      </c>
    </row>
    <row r="169" spans="1:4" s="819" customFormat="1" ht="9.4" customHeight="1" x14ac:dyDescent="0.2">
      <c r="A169" s="859">
        <v>10150</v>
      </c>
      <c r="B169" s="818" t="s">
        <v>2873</v>
      </c>
      <c r="C169" s="814" t="s">
        <v>58</v>
      </c>
      <c r="D169" s="815">
        <v>6.67</v>
      </c>
    </row>
    <row r="170" spans="1:4" s="819" customFormat="1" ht="9.4" customHeight="1" x14ac:dyDescent="0.2">
      <c r="A170" s="859">
        <v>10149</v>
      </c>
      <c r="B170" s="818" t="s">
        <v>2874</v>
      </c>
      <c r="C170" s="814" t="s">
        <v>58</v>
      </c>
      <c r="D170" s="815">
        <v>6.41</v>
      </c>
    </row>
    <row r="171" spans="1:4" s="819" customFormat="1" ht="9.4" customHeight="1" x14ac:dyDescent="0.2">
      <c r="A171" s="859">
        <v>10382</v>
      </c>
      <c r="B171" s="818" t="s">
        <v>2875</v>
      </c>
      <c r="C171" s="814" t="s">
        <v>1905</v>
      </c>
      <c r="D171" s="815">
        <v>60.06</v>
      </c>
    </row>
    <row r="172" spans="1:4" s="819" customFormat="1" ht="9.4" customHeight="1" x14ac:dyDescent="0.2">
      <c r="A172" s="859">
        <v>10854</v>
      </c>
      <c r="B172" s="818" t="s">
        <v>2876</v>
      </c>
      <c r="C172" s="814" t="s">
        <v>58</v>
      </c>
      <c r="D172" s="815">
        <v>7.89</v>
      </c>
    </row>
    <row r="173" spans="1:4" s="819" customFormat="1" ht="9.4" customHeight="1" x14ac:dyDescent="0.2">
      <c r="A173" s="859">
        <v>10092</v>
      </c>
      <c r="B173" s="818" t="s">
        <v>2877</v>
      </c>
      <c r="C173" s="814" t="s">
        <v>58</v>
      </c>
      <c r="D173" s="816">
        <v>0.38</v>
      </c>
    </row>
    <row r="174" spans="1:4" s="819" customFormat="1" ht="9.4" customHeight="1" x14ac:dyDescent="0.2">
      <c r="A174" s="859">
        <v>10357</v>
      </c>
      <c r="B174" s="818" t="s">
        <v>2878</v>
      </c>
      <c r="C174" s="814" t="s">
        <v>1910</v>
      </c>
      <c r="D174" s="815">
        <v>48.96</v>
      </c>
    </row>
    <row r="175" spans="1:4" s="819" customFormat="1" ht="9.4" customHeight="1" x14ac:dyDescent="0.2">
      <c r="A175" s="859">
        <v>10171</v>
      </c>
      <c r="B175" s="818" t="s">
        <v>2879</v>
      </c>
      <c r="C175" s="814" t="s">
        <v>1910</v>
      </c>
      <c r="D175" s="815">
        <v>1.08</v>
      </c>
    </row>
    <row r="176" spans="1:4" s="819" customFormat="1" ht="9.4" customHeight="1" x14ac:dyDescent="0.2">
      <c r="A176" s="859">
        <v>10006</v>
      </c>
      <c r="B176" s="818" t="s">
        <v>2880</v>
      </c>
      <c r="C176" s="814" t="s">
        <v>3</v>
      </c>
      <c r="D176" s="815">
        <v>4446.3999999999996</v>
      </c>
    </row>
    <row r="177" spans="1:4" s="819" customFormat="1" ht="9.4" customHeight="1" x14ac:dyDescent="0.2">
      <c r="A177" s="859">
        <v>10362</v>
      </c>
      <c r="B177" s="818" t="s">
        <v>2881</v>
      </c>
      <c r="C177" s="814" t="s">
        <v>58</v>
      </c>
      <c r="D177" s="815">
        <v>17.2</v>
      </c>
    </row>
    <row r="178" spans="1:4" s="819" customFormat="1" ht="9.4" customHeight="1" x14ac:dyDescent="0.2">
      <c r="A178" s="859">
        <v>11427</v>
      </c>
      <c r="B178" s="818" t="s">
        <v>2882</v>
      </c>
      <c r="C178" s="814" t="s">
        <v>1906</v>
      </c>
      <c r="D178" s="815">
        <v>286.20999999999998</v>
      </c>
    </row>
    <row r="179" spans="1:4" s="819" customFormat="1" ht="9.4" customHeight="1" x14ac:dyDescent="0.2">
      <c r="A179" s="859">
        <v>11428</v>
      </c>
      <c r="B179" s="818" t="s">
        <v>2883</v>
      </c>
      <c r="C179" s="814" t="s">
        <v>1906</v>
      </c>
      <c r="D179" s="815">
        <v>256.14</v>
      </c>
    </row>
    <row r="180" spans="1:4" s="819" customFormat="1" ht="9.4" customHeight="1" x14ac:dyDescent="0.2">
      <c r="A180" s="859">
        <v>11426</v>
      </c>
      <c r="B180" s="818" t="s">
        <v>2884</v>
      </c>
      <c r="C180" s="814" t="s">
        <v>1906</v>
      </c>
      <c r="D180" s="815">
        <v>283.12</v>
      </c>
    </row>
    <row r="181" spans="1:4" s="819" customFormat="1" ht="9.4" customHeight="1" x14ac:dyDescent="0.2">
      <c r="A181" s="859">
        <v>11406</v>
      </c>
      <c r="B181" s="818" t="s">
        <v>2885</v>
      </c>
      <c r="C181" s="814" t="s">
        <v>1906</v>
      </c>
      <c r="D181" s="816">
        <v>320.62</v>
      </c>
    </row>
    <row r="182" spans="1:4" s="819" customFormat="1" ht="9.4" customHeight="1" x14ac:dyDescent="0.2">
      <c r="A182" s="859">
        <v>11481</v>
      </c>
      <c r="B182" s="818" t="s">
        <v>2886</v>
      </c>
      <c r="C182" s="814" t="s">
        <v>1906</v>
      </c>
      <c r="D182" s="815">
        <v>330.94</v>
      </c>
    </row>
    <row r="183" spans="1:4" s="819" customFormat="1" ht="9.4" customHeight="1" x14ac:dyDescent="0.2">
      <c r="A183" s="859">
        <v>11482</v>
      </c>
      <c r="B183" s="818" t="s">
        <v>2887</v>
      </c>
      <c r="C183" s="814" t="s">
        <v>1906</v>
      </c>
      <c r="D183" s="815">
        <v>345.39</v>
      </c>
    </row>
    <row r="184" spans="1:4" s="819" customFormat="1" ht="9.4" customHeight="1" x14ac:dyDescent="0.2">
      <c r="A184" s="859">
        <v>10283</v>
      </c>
      <c r="B184" s="818" t="s">
        <v>2888</v>
      </c>
      <c r="C184" s="814" t="s">
        <v>1910</v>
      </c>
      <c r="D184" s="816">
        <v>1411.45</v>
      </c>
    </row>
    <row r="185" spans="1:4" s="819" customFormat="1" ht="9.4" customHeight="1" x14ac:dyDescent="0.2">
      <c r="A185" s="859">
        <v>10364</v>
      </c>
      <c r="B185" s="818" t="s">
        <v>2889</v>
      </c>
      <c r="C185" s="814" t="s">
        <v>1910</v>
      </c>
      <c r="D185" s="816">
        <v>72.73</v>
      </c>
    </row>
    <row r="186" spans="1:4" s="819" customFormat="1" ht="9.4" customHeight="1" x14ac:dyDescent="0.2">
      <c r="A186" s="859">
        <v>10651</v>
      </c>
      <c r="B186" s="818" t="s">
        <v>2890</v>
      </c>
      <c r="C186" s="814" t="s">
        <v>1910</v>
      </c>
      <c r="D186" s="815">
        <v>30.75</v>
      </c>
    </row>
    <row r="187" spans="1:4" s="819" customFormat="1" ht="9.4" customHeight="1" x14ac:dyDescent="0.2">
      <c r="A187" s="859">
        <v>10708</v>
      </c>
      <c r="B187" s="818" t="s">
        <v>2891</v>
      </c>
      <c r="C187" s="814" t="s">
        <v>1910</v>
      </c>
      <c r="D187" s="815">
        <v>13800.3</v>
      </c>
    </row>
    <row r="188" spans="1:4" s="819" customFormat="1" ht="9.4" customHeight="1" x14ac:dyDescent="0.2">
      <c r="A188" s="859">
        <v>10856</v>
      </c>
      <c r="B188" s="818" t="s">
        <v>2892</v>
      </c>
      <c r="C188" s="814" t="s">
        <v>1910</v>
      </c>
      <c r="D188" s="816">
        <v>10167.1</v>
      </c>
    </row>
    <row r="189" spans="1:4" s="819" customFormat="1" ht="9.4" customHeight="1" x14ac:dyDescent="0.2">
      <c r="A189" s="859">
        <v>11476</v>
      </c>
      <c r="B189" s="818" t="s">
        <v>2893</v>
      </c>
      <c r="C189" s="814" t="s">
        <v>1910</v>
      </c>
      <c r="D189" s="815">
        <v>0.28999999999999998</v>
      </c>
    </row>
    <row r="190" spans="1:4" s="819" customFormat="1" ht="9.4" customHeight="1" x14ac:dyDescent="0.2">
      <c r="A190" s="859">
        <v>10045</v>
      </c>
      <c r="B190" s="818" t="s">
        <v>2894</v>
      </c>
      <c r="C190" s="814" t="s">
        <v>1948</v>
      </c>
      <c r="D190" s="815">
        <v>1.51</v>
      </c>
    </row>
    <row r="191" spans="1:4" s="819" customFormat="1" ht="9.4" customHeight="1" x14ac:dyDescent="0.2">
      <c r="A191" s="859">
        <v>10644</v>
      </c>
      <c r="B191" s="818" t="s">
        <v>2895</v>
      </c>
      <c r="C191" s="814" t="s">
        <v>1910</v>
      </c>
      <c r="D191" s="815">
        <v>1318.84</v>
      </c>
    </row>
    <row r="192" spans="1:4" s="819" customFormat="1" ht="9.4" customHeight="1" x14ac:dyDescent="0.2">
      <c r="A192" s="859">
        <v>10774</v>
      </c>
      <c r="B192" s="818" t="s">
        <v>2896</v>
      </c>
      <c r="C192" s="814" t="s">
        <v>1910</v>
      </c>
      <c r="D192" s="816">
        <v>4.3899999999999997</v>
      </c>
    </row>
    <row r="193" spans="1:4" s="819" customFormat="1" ht="9.4" customHeight="1" x14ac:dyDescent="0.2">
      <c r="A193" s="859">
        <v>11007</v>
      </c>
      <c r="B193" s="818" t="s">
        <v>2897</v>
      </c>
      <c r="C193" s="814" t="s">
        <v>1910</v>
      </c>
      <c r="D193" s="816">
        <v>2.3199999999999998</v>
      </c>
    </row>
    <row r="194" spans="1:4" s="819" customFormat="1" ht="9.4" customHeight="1" x14ac:dyDescent="0.2">
      <c r="A194" s="859">
        <v>10689</v>
      </c>
      <c r="B194" s="818" t="s">
        <v>2898</v>
      </c>
      <c r="C194" s="814" t="s">
        <v>1910</v>
      </c>
      <c r="D194" s="816">
        <v>35.58</v>
      </c>
    </row>
    <row r="195" spans="1:4" s="819" customFormat="1" ht="9.4" customHeight="1" x14ac:dyDescent="0.2">
      <c r="A195" s="859">
        <v>10879</v>
      </c>
      <c r="B195" s="818" t="s">
        <v>2899</v>
      </c>
      <c r="C195" s="814" t="s">
        <v>1905</v>
      </c>
      <c r="D195" s="816">
        <v>2402.5</v>
      </c>
    </row>
    <row r="196" spans="1:4" s="819" customFormat="1" ht="9.4" customHeight="1" x14ac:dyDescent="0.2">
      <c r="A196" s="859">
        <v>10880</v>
      </c>
      <c r="B196" s="818" t="s">
        <v>2900</v>
      </c>
      <c r="C196" s="814" t="s">
        <v>1905</v>
      </c>
      <c r="D196" s="816">
        <v>2364.84</v>
      </c>
    </row>
    <row r="197" spans="1:4" s="819" customFormat="1" ht="9.4" customHeight="1" x14ac:dyDescent="0.2">
      <c r="A197" s="859">
        <v>10881</v>
      </c>
      <c r="B197" s="818" t="s">
        <v>2901</v>
      </c>
      <c r="C197" s="814" t="s">
        <v>1905</v>
      </c>
      <c r="D197" s="816">
        <v>2582.42</v>
      </c>
    </row>
    <row r="198" spans="1:4" s="819" customFormat="1" ht="9.4" customHeight="1" x14ac:dyDescent="0.2">
      <c r="A198" s="859">
        <v>10882</v>
      </c>
      <c r="B198" s="818" t="s">
        <v>2902</v>
      </c>
      <c r="C198" s="814" t="s">
        <v>1905</v>
      </c>
      <c r="D198" s="816">
        <v>2695.34</v>
      </c>
    </row>
    <row r="199" spans="1:4" s="819" customFormat="1" ht="9.4" customHeight="1" x14ac:dyDescent="0.2">
      <c r="A199" s="859">
        <v>10883</v>
      </c>
      <c r="B199" s="818" t="s">
        <v>2903</v>
      </c>
      <c r="C199" s="814" t="s">
        <v>1905</v>
      </c>
      <c r="D199" s="816">
        <v>2764.62</v>
      </c>
    </row>
    <row r="200" spans="1:4" s="819" customFormat="1" ht="9.4" customHeight="1" x14ac:dyDescent="0.2">
      <c r="A200" s="859">
        <v>10884</v>
      </c>
      <c r="B200" s="818" t="s">
        <v>2904</v>
      </c>
      <c r="C200" s="814" t="s">
        <v>1905</v>
      </c>
      <c r="D200" s="816">
        <v>2774.97</v>
      </c>
    </row>
    <row r="201" spans="1:4" s="819" customFormat="1" ht="9.4" customHeight="1" x14ac:dyDescent="0.2">
      <c r="A201" s="859">
        <v>10874</v>
      </c>
      <c r="B201" s="818" t="s">
        <v>2905</v>
      </c>
      <c r="C201" s="814" t="s">
        <v>1905</v>
      </c>
      <c r="D201" s="816">
        <v>1885.97</v>
      </c>
    </row>
    <row r="202" spans="1:4" s="819" customFormat="1" ht="9.4" customHeight="1" x14ac:dyDescent="0.2">
      <c r="A202" s="859">
        <v>10875</v>
      </c>
      <c r="B202" s="818" t="s">
        <v>2906</v>
      </c>
      <c r="C202" s="814" t="s">
        <v>1905</v>
      </c>
      <c r="D202" s="816">
        <v>1961.97</v>
      </c>
    </row>
    <row r="203" spans="1:4" s="819" customFormat="1" ht="9.4" customHeight="1" x14ac:dyDescent="0.2">
      <c r="A203" s="859">
        <v>10876</v>
      </c>
      <c r="B203" s="818" t="s">
        <v>2907</v>
      </c>
      <c r="C203" s="814" t="s">
        <v>1905</v>
      </c>
      <c r="D203" s="816">
        <v>2161.5100000000002</v>
      </c>
    </row>
    <row r="204" spans="1:4" s="819" customFormat="1" ht="9.4" customHeight="1" x14ac:dyDescent="0.2">
      <c r="A204" s="859">
        <v>10877</v>
      </c>
      <c r="B204" s="818" t="s">
        <v>2908</v>
      </c>
      <c r="C204" s="814" t="s">
        <v>1905</v>
      </c>
      <c r="D204" s="815">
        <v>2310.66</v>
      </c>
    </row>
    <row r="205" spans="1:4" s="819" customFormat="1" ht="9.4" customHeight="1" x14ac:dyDescent="0.2">
      <c r="A205" s="859">
        <v>10878</v>
      </c>
      <c r="B205" s="818" t="s">
        <v>2909</v>
      </c>
      <c r="C205" s="814" t="s">
        <v>1905</v>
      </c>
      <c r="D205" s="815">
        <v>2385.96</v>
      </c>
    </row>
    <row r="206" spans="1:4" s="819" customFormat="1" ht="9.4" customHeight="1" x14ac:dyDescent="0.2">
      <c r="A206" s="859">
        <v>10342</v>
      </c>
      <c r="B206" s="818" t="s">
        <v>2910</v>
      </c>
      <c r="C206" s="814" t="s">
        <v>1948</v>
      </c>
      <c r="D206" s="815">
        <v>208</v>
      </c>
    </row>
    <row r="207" spans="1:4" s="819" customFormat="1" ht="9.4" customHeight="1" x14ac:dyDescent="0.2">
      <c r="A207" s="859">
        <v>10208</v>
      </c>
      <c r="B207" s="818" t="s">
        <v>2911</v>
      </c>
      <c r="C207" s="814" t="s">
        <v>58</v>
      </c>
      <c r="D207" s="815">
        <v>5.23</v>
      </c>
    </row>
    <row r="208" spans="1:4" s="819" customFormat="1" ht="9.4" customHeight="1" x14ac:dyDescent="0.2">
      <c r="A208" s="859">
        <v>11020</v>
      </c>
      <c r="B208" s="818" t="s">
        <v>2912</v>
      </c>
      <c r="C208" s="814" t="s">
        <v>2913</v>
      </c>
      <c r="D208" s="815">
        <v>112</v>
      </c>
    </row>
    <row r="209" spans="1:4" s="819" customFormat="1" ht="9.4" customHeight="1" x14ac:dyDescent="0.2">
      <c r="A209" s="859">
        <v>10040</v>
      </c>
      <c r="B209" s="818" t="s">
        <v>2914</v>
      </c>
      <c r="C209" s="814" t="s">
        <v>58</v>
      </c>
      <c r="D209" s="816">
        <v>11.57</v>
      </c>
    </row>
    <row r="210" spans="1:4" s="819" customFormat="1" ht="9.4" customHeight="1" x14ac:dyDescent="0.2">
      <c r="A210" s="859">
        <v>10029</v>
      </c>
      <c r="B210" s="818" t="s">
        <v>2915</v>
      </c>
      <c r="C210" s="814" t="s">
        <v>58</v>
      </c>
      <c r="D210" s="815">
        <v>56.05</v>
      </c>
    </row>
    <row r="211" spans="1:4" s="819" customFormat="1" ht="9.4" customHeight="1" x14ac:dyDescent="0.2">
      <c r="A211" s="859">
        <v>10028</v>
      </c>
      <c r="B211" s="818" t="s">
        <v>2916</v>
      </c>
      <c r="C211" s="814" t="s">
        <v>3</v>
      </c>
      <c r="D211" s="815">
        <v>56050</v>
      </c>
    </row>
    <row r="212" spans="1:4" s="819" customFormat="1" ht="9.4" customHeight="1" x14ac:dyDescent="0.2">
      <c r="A212" s="859">
        <v>10185</v>
      </c>
      <c r="B212" s="818" t="s">
        <v>2917</v>
      </c>
      <c r="C212" s="814" t="s">
        <v>58</v>
      </c>
      <c r="D212" s="815">
        <v>19</v>
      </c>
    </row>
    <row r="213" spans="1:4" s="819" customFormat="1" ht="9.4" customHeight="1" x14ac:dyDescent="0.2">
      <c r="A213" s="859">
        <v>10775</v>
      </c>
      <c r="B213" s="818" t="s">
        <v>2918</v>
      </c>
      <c r="C213" s="814" t="s">
        <v>1948</v>
      </c>
      <c r="D213" s="815">
        <v>8.98</v>
      </c>
    </row>
    <row r="214" spans="1:4" s="819" customFormat="1" ht="9.4" customHeight="1" x14ac:dyDescent="0.2">
      <c r="A214" s="859">
        <v>10809</v>
      </c>
      <c r="B214" s="818" t="s">
        <v>2919</v>
      </c>
      <c r="C214" s="814" t="s">
        <v>1948</v>
      </c>
      <c r="D214" s="815">
        <v>22.33</v>
      </c>
    </row>
    <row r="215" spans="1:4" s="819" customFormat="1" ht="9.4" customHeight="1" x14ac:dyDescent="0.2">
      <c r="A215" s="859">
        <v>10763</v>
      </c>
      <c r="B215" s="818" t="s">
        <v>2920</v>
      </c>
      <c r="C215" s="814" t="s">
        <v>1948</v>
      </c>
      <c r="D215" s="815">
        <v>52.31</v>
      </c>
    </row>
    <row r="216" spans="1:4" s="819" customFormat="1" ht="9.4" customHeight="1" x14ac:dyDescent="0.2">
      <c r="A216" s="859">
        <v>11467</v>
      </c>
      <c r="B216" s="818" t="s">
        <v>2921</v>
      </c>
      <c r="C216" s="814" t="s">
        <v>2922</v>
      </c>
      <c r="D216" s="815">
        <v>202.8</v>
      </c>
    </row>
    <row r="217" spans="1:4" s="819" customFormat="1" ht="9.4" customHeight="1" x14ac:dyDescent="0.2">
      <c r="A217" s="859">
        <v>11006</v>
      </c>
      <c r="B217" s="818" t="s">
        <v>2923</v>
      </c>
      <c r="C217" s="814" t="s">
        <v>1948</v>
      </c>
      <c r="D217" s="815">
        <v>2.6</v>
      </c>
    </row>
    <row r="218" spans="1:4" s="819" customFormat="1" ht="9.4" customHeight="1" x14ac:dyDescent="0.2">
      <c r="A218" s="859">
        <v>10810</v>
      </c>
      <c r="B218" s="818" t="s">
        <v>2924</v>
      </c>
      <c r="C218" s="814" t="s">
        <v>1948</v>
      </c>
      <c r="D218" s="815">
        <v>43.03</v>
      </c>
    </row>
    <row r="219" spans="1:4" s="819" customFormat="1" ht="9.4" customHeight="1" x14ac:dyDescent="0.2">
      <c r="A219" s="859">
        <v>10685</v>
      </c>
      <c r="B219" s="818" t="s">
        <v>2925</v>
      </c>
      <c r="C219" s="814" t="s">
        <v>1948</v>
      </c>
      <c r="D219" s="815">
        <v>9.7100000000000009</v>
      </c>
    </row>
    <row r="220" spans="1:4" s="819" customFormat="1" ht="9.4" customHeight="1" x14ac:dyDescent="0.2">
      <c r="A220" s="859">
        <v>10686</v>
      </c>
      <c r="B220" s="818" t="s">
        <v>2926</v>
      </c>
      <c r="C220" s="814" t="s">
        <v>1948</v>
      </c>
      <c r="D220" s="815">
        <v>15.9</v>
      </c>
    </row>
    <row r="221" spans="1:4" s="819" customFormat="1" ht="9.4" customHeight="1" x14ac:dyDescent="0.2">
      <c r="A221" s="859">
        <v>10694</v>
      </c>
      <c r="B221" s="818" t="s">
        <v>2927</v>
      </c>
      <c r="C221" s="814" t="s">
        <v>1948</v>
      </c>
      <c r="D221" s="815">
        <v>3.69</v>
      </c>
    </row>
    <row r="222" spans="1:4" s="819" customFormat="1" ht="9.4" customHeight="1" x14ac:dyDescent="0.2">
      <c r="A222" s="859">
        <v>10693</v>
      </c>
      <c r="B222" s="818" t="s">
        <v>2928</v>
      </c>
      <c r="C222" s="814" t="s">
        <v>1948</v>
      </c>
      <c r="D222" s="815">
        <v>2.89</v>
      </c>
    </row>
    <row r="223" spans="1:4" s="819" customFormat="1" ht="9.4" customHeight="1" x14ac:dyDescent="0.2">
      <c r="A223" s="859">
        <v>10696</v>
      </c>
      <c r="B223" s="818" t="s">
        <v>2929</v>
      </c>
      <c r="C223" s="814" t="s">
        <v>1948</v>
      </c>
      <c r="D223" s="816">
        <v>4.93</v>
      </c>
    </row>
    <row r="224" spans="1:4" s="819" customFormat="1" ht="9.4" customHeight="1" x14ac:dyDescent="0.2">
      <c r="A224" s="859">
        <v>10695</v>
      </c>
      <c r="B224" s="818" t="s">
        <v>2930</v>
      </c>
      <c r="C224" s="814" t="s">
        <v>1948</v>
      </c>
      <c r="D224" s="816">
        <v>11.38</v>
      </c>
    </row>
    <row r="225" spans="1:4" s="819" customFormat="1" ht="9.4" customHeight="1" x14ac:dyDescent="0.2">
      <c r="A225" s="859">
        <v>101195</v>
      </c>
      <c r="B225" s="818" t="s">
        <v>2931</v>
      </c>
      <c r="C225" s="814" t="s">
        <v>3</v>
      </c>
      <c r="D225" s="816">
        <v>2406.2800000000002</v>
      </c>
    </row>
    <row r="226" spans="1:4" s="819" customFormat="1" ht="9.4" customHeight="1" x14ac:dyDescent="0.2">
      <c r="A226" s="859">
        <v>10777</v>
      </c>
      <c r="B226" s="818" t="s">
        <v>2932</v>
      </c>
      <c r="C226" s="814" t="s">
        <v>3</v>
      </c>
      <c r="D226" s="816">
        <v>2866.79</v>
      </c>
    </row>
    <row r="227" spans="1:4" s="819" customFormat="1" ht="9.4" customHeight="1" x14ac:dyDescent="0.2">
      <c r="A227" s="859">
        <v>10011</v>
      </c>
      <c r="B227" s="818" t="s">
        <v>2933</v>
      </c>
      <c r="C227" s="814" t="s">
        <v>3</v>
      </c>
      <c r="D227" s="816">
        <v>1987.47</v>
      </c>
    </row>
    <row r="228" spans="1:4" s="819" customFormat="1" ht="9.4" customHeight="1" x14ac:dyDescent="0.2">
      <c r="A228" s="859">
        <v>10022</v>
      </c>
      <c r="B228" s="818" t="s">
        <v>2934</v>
      </c>
      <c r="C228" s="814" t="s">
        <v>3</v>
      </c>
      <c r="D228" s="816">
        <v>2480.15</v>
      </c>
    </row>
    <row r="229" spans="1:4" s="819" customFormat="1" ht="9.4" customHeight="1" x14ac:dyDescent="0.2">
      <c r="A229" s="859">
        <v>10008</v>
      </c>
      <c r="B229" s="818" t="s">
        <v>2935</v>
      </c>
      <c r="C229" s="814" t="s">
        <v>3</v>
      </c>
      <c r="D229" s="816">
        <v>2600.21</v>
      </c>
    </row>
    <row r="230" spans="1:4" s="819" customFormat="1" ht="9.4" customHeight="1" x14ac:dyDescent="0.2">
      <c r="A230" s="859">
        <v>10009</v>
      </c>
      <c r="B230" s="818" t="s">
        <v>2936</v>
      </c>
      <c r="C230" s="814" t="s">
        <v>3</v>
      </c>
      <c r="D230" s="816">
        <v>1942.01</v>
      </c>
    </row>
    <row r="231" spans="1:4" s="819" customFormat="1" ht="9.4" customHeight="1" x14ac:dyDescent="0.2">
      <c r="A231" s="859">
        <v>10020</v>
      </c>
      <c r="B231" s="818" t="s">
        <v>2937</v>
      </c>
      <c r="C231" s="814" t="s">
        <v>3</v>
      </c>
      <c r="D231" s="816">
        <v>2330.1</v>
      </c>
    </row>
    <row r="232" spans="1:4" s="819" customFormat="1" ht="9.4" customHeight="1" x14ac:dyDescent="0.2">
      <c r="A232" s="859">
        <v>10010</v>
      </c>
      <c r="B232" s="818" t="s">
        <v>2938</v>
      </c>
      <c r="C232" s="814" t="s">
        <v>3</v>
      </c>
      <c r="D232" s="815">
        <v>2534.35</v>
      </c>
    </row>
    <row r="233" spans="1:4" s="819" customFormat="1" ht="9.4" customHeight="1" x14ac:dyDescent="0.2">
      <c r="A233" s="859">
        <v>10021</v>
      </c>
      <c r="B233" s="818" t="s">
        <v>2939</v>
      </c>
      <c r="C233" s="814" t="s">
        <v>3</v>
      </c>
      <c r="D233" s="816">
        <v>2185.39</v>
      </c>
    </row>
    <row r="234" spans="1:4" s="819" customFormat="1" ht="9.4" customHeight="1" x14ac:dyDescent="0.2">
      <c r="A234" s="859">
        <v>10104</v>
      </c>
      <c r="B234" s="818" t="s">
        <v>2940</v>
      </c>
      <c r="C234" s="814" t="s">
        <v>1240</v>
      </c>
      <c r="D234" s="815">
        <v>10.71</v>
      </c>
    </row>
    <row r="235" spans="1:4" s="819" customFormat="1" ht="9.4" customHeight="1" x14ac:dyDescent="0.2">
      <c r="A235" s="859">
        <v>10427</v>
      </c>
      <c r="B235" s="818" t="s">
        <v>2941</v>
      </c>
      <c r="C235" s="814" t="s">
        <v>2135</v>
      </c>
      <c r="D235" s="815">
        <v>1722.48</v>
      </c>
    </row>
    <row r="236" spans="1:4" s="819" customFormat="1" ht="9.4" customHeight="1" x14ac:dyDescent="0.2">
      <c r="A236" s="859">
        <v>10073</v>
      </c>
      <c r="B236" s="818" t="s">
        <v>2942</v>
      </c>
      <c r="C236" s="814" t="s">
        <v>2943</v>
      </c>
      <c r="D236" s="815">
        <v>60.38</v>
      </c>
    </row>
    <row r="237" spans="1:4" s="819" customFormat="1" ht="9.4" customHeight="1" x14ac:dyDescent="0.2">
      <c r="A237" s="859">
        <v>10123</v>
      </c>
      <c r="B237" s="818" t="s">
        <v>2944</v>
      </c>
      <c r="C237" s="814" t="s">
        <v>3</v>
      </c>
      <c r="D237" s="815">
        <v>13.36</v>
      </c>
    </row>
    <row r="238" spans="1:4" s="819" customFormat="1" ht="9.4" customHeight="1" x14ac:dyDescent="0.2">
      <c r="A238" s="859">
        <v>10207</v>
      </c>
      <c r="B238" s="818" t="s">
        <v>2945</v>
      </c>
      <c r="C238" s="814" t="s">
        <v>1910</v>
      </c>
      <c r="D238" s="815">
        <v>7</v>
      </c>
    </row>
    <row r="239" spans="1:4" s="819" customFormat="1" ht="9.4" customHeight="1" x14ac:dyDescent="0.2">
      <c r="A239" s="859">
        <v>10369</v>
      </c>
      <c r="B239" s="818" t="s">
        <v>2946</v>
      </c>
      <c r="C239" s="814" t="s">
        <v>2755</v>
      </c>
      <c r="D239" s="815">
        <v>83.45</v>
      </c>
    </row>
    <row r="240" spans="1:4" s="819" customFormat="1" ht="9.4" customHeight="1" x14ac:dyDescent="0.2">
      <c r="A240" s="859">
        <v>10370</v>
      </c>
      <c r="B240" s="818" t="s">
        <v>2947</v>
      </c>
      <c r="C240" s="814" t="s">
        <v>2755</v>
      </c>
      <c r="D240" s="815">
        <v>94.57</v>
      </c>
    </row>
    <row r="241" spans="1:4" s="819" customFormat="1" ht="9.4" customHeight="1" x14ac:dyDescent="0.2">
      <c r="A241" s="859">
        <v>10044</v>
      </c>
      <c r="B241" s="818" t="s">
        <v>2948</v>
      </c>
      <c r="C241" s="814" t="s">
        <v>1910</v>
      </c>
      <c r="D241" s="815">
        <v>16.62</v>
      </c>
    </row>
    <row r="242" spans="1:4" s="819" customFormat="1" ht="9.4" customHeight="1" x14ac:dyDescent="0.2">
      <c r="A242" s="859">
        <v>10043</v>
      </c>
      <c r="B242" s="818" t="s">
        <v>2949</v>
      </c>
      <c r="C242" s="814" t="s">
        <v>1910</v>
      </c>
      <c r="D242" s="815">
        <v>2.42</v>
      </c>
    </row>
    <row r="243" spans="1:4" s="819" customFormat="1" ht="9.4" customHeight="1" x14ac:dyDescent="0.2">
      <c r="A243" s="859">
        <v>11468</v>
      </c>
      <c r="B243" s="818" t="s">
        <v>2950</v>
      </c>
      <c r="C243" s="814" t="s">
        <v>1948</v>
      </c>
      <c r="D243" s="815">
        <v>61.44</v>
      </c>
    </row>
    <row r="244" spans="1:4" s="819" customFormat="1" ht="9.4" customHeight="1" x14ac:dyDescent="0.2">
      <c r="A244" s="859">
        <v>11469</v>
      </c>
      <c r="B244" s="818" t="s">
        <v>2951</v>
      </c>
      <c r="C244" s="814" t="s">
        <v>1948</v>
      </c>
      <c r="D244" s="815">
        <v>71.41</v>
      </c>
    </row>
    <row r="245" spans="1:4" s="819" customFormat="1" ht="9.4" customHeight="1" x14ac:dyDescent="0.2">
      <c r="A245" s="859">
        <v>11470</v>
      </c>
      <c r="B245" s="818" t="s">
        <v>2952</v>
      </c>
      <c r="C245" s="814" t="s">
        <v>1948</v>
      </c>
      <c r="D245" s="815">
        <v>121.24</v>
      </c>
    </row>
    <row r="246" spans="1:4" s="819" customFormat="1" ht="9.4" customHeight="1" x14ac:dyDescent="0.2">
      <c r="A246" s="859">
        <v>10720</v>
      </c>
      <c r="B246" s="818" t="s">
        <v>2953</v>
      </c>
      <c r="C246" s="814" t="s">
        <v>58</v>
      </c>
      <c r="D246" s="815">
        <v>14.28</v>
      </c>
    </row>
    <row r="247" spans="1:4" s="819" customFormat="1" ht="9.4" customHeight="1" x14ac:dyDescent="0.2">
      <c r="A247" s="859">
        <v>10425</v>
      </c>
      <c r="B247" s="818" t="s">
        <v>2954</v>
      </c>
      <c r="C247" s="814" t="s">
        <v>2135</v>
      </c>
      <c r="D247" s="815">
        <v>903.03</v>
      </c>
    </row>
    <row r="248" spans="1:4" s="819" customFormat="1" ht="9.4" customHeight="1" x14ac:dyDescent="0.2">
      <c r="A248" s="859">
        <v>10426</v>
      </c>
      <c r="B248" s="818" t="s">
        <v>2955</v>
      </c>
      <c r="C248" s="814" t="s">
        <v>2135</v>
      </c>
      <c r="D248" s="815">
        <v>903.03</v>
      </c>
    </row>
    <row r="249" spans="1:4" s="819" customFormat="1" ht="9.4" customHeight="1" x14ac:dyDescent="0.2">
      <c r="A249" s="859">
        <v>10078</v>
      </c>
      <c r="B249" s="818" t="s">
        <v>2956</v>
      </c>
      <c r="C249" s="814" t="s">
        <v>1910</v>
      </c>
      <c r="D249" s="815">
        <v>5.89</v>
      </c>
    </row>
    <row r="250" spans="1:4" s="819" customFormat="1" ht="9.4" customHeight="1" x14ac:dyDescent="0.2">
      <c r="A250" s="859">
        <v>11531</v>
      </c>
      <c r="B250" s="818" t="s">
        <v>2957</v>
      </c>
      <c r="C250" s="814" t="s">
        <v>58</v>
      </c>
      <c r="D250" s="815">
        <v>10.77</v>
      </c>
    </row>
    <row r="251" spans="1:4" s="819" customFormat="1" ht="9.4" customHeight="1" x14ac:dyDescent="0.2">
      <c r="A251" s="859">
        <v>10042</v>
      </c>
      <c r="B251" s="818" t="s">
        <v>2958</v>
      </c>
      <c r="C251" s="814" t="s">
        <v>1948</v>
      </c>
      <c r="D251" s="815">
        <v>2.23</v>
      </c>
    </row>
    <row r="252" spans="1:4" s="819" customFormat="1" ht="9.4" customHeight="1" x14ac:dyDescent="0.2">
      <c r="A252" s="859">
        <v>10098</v>
      </c>
      <c r="B252" s="818" t="s">
        <v>2959</v>
      </c>
      <c r="C252" s="814" t="s">
        <v>3</v>
      </c>
      <c r="D252" s="815">
        <v>141.9</v>
      </c>
    </row>
    <row r="253" spans="1:4" s="819" customFormat="1" ht="9.4" customHeight="1" x14ac:dyDescent="0.2">
      <c r="A253" s="859">
        <v>11021</v>
      </c>
      <c r="B253" s="818" t="s">
        <v>2960</v>
      </c>
      <c r="C253" s="814" t="s">
        <v>1910</v>
      </c>
      <c r="D253" s="815">
        <v>609.66999999999996</v>
      </c>
    </row>
    <row r="254" spans="1:4" s="819" customFormat="1" ht="9.4" customHeight="1" x14ac:dyDescent="0.2">
      <c r="A254" s="859">
        <v>11516</v>
      </c>
      <c r="B254" s="818" t="s">
        <v>2961</v>
      </c>
      <c r="C254" s="814" t="s">
        <v>1948</v>
      </c>
      <c r="D254" s="815">
        <v>219.33</v>
      </c>
    </row>
    <row r="255" spans="1:4" s="819" customFormat="1" ht="9.4" customHeight="1" x14ac:dyDescent="0.2">
      <c r="A255" s="859">
        <v>10773</v>
      </c>
      <c r="B255" s="818" t="s">
        <v>2962</v>
      </c>
      <c r="C255" s="814" t="s">
        <v>1948</v>
      </c>
      <c r="D255" s="815">
        <v>2.38</v>
      </c>
    </row>
    <row r="256" spans="1:4" s="819" customFormat="1" ht="9.4" customHeight="1" x14ac:dyDescent="0.2">
      <c r="A256" s="859">
        <v>11009</v>
      </c>
      <c r="B256" s="818" t="s">
        <v>2963</v>
      </c>
      <c r="C256" s="814" t="s">
        <v>1948</v>
      </c>
      <c r="D256" s="815">
        <v>1.72</v>
      </c>
    </row>
    <row r="257" spans="1:4" s="819" customFormat="1" ht="9.4" customHeight="1" x14ac:dyDescent="0.2">
      <c r="A257" s="859">
        <v>10744</v>
      </c>
      <c r="B257" s="818" t="s">
        <v>2964</v>
      </c>
      <c r="C257" s="814" t="s">
        <v>1948</v>
      </c>
      <c r="D257" s="815">
        <v>2.1</v>
      </c>
    </row>
    <row r="258" spans="1:4" s="819" customFormat="1" ht="9.4" customHeight="1" x14ac:dyDescent="0.2">
      <c r="A258" s="859">
        <v>11472</v>
      </c>
      <c r="B258" s="818" t="s">
        <v>2965</v>
      </c>
      <c r="C258" s="814" t="s">
        <v>2758</v>
      </c>
      <c r="D258" s="815">
        <v>10.45</v>
      </c>
    </row>
    <row r="259" spans="1:4" s="819" customFormat="1" ht="9.4" customHeight="1" x14ac:dyDescent="0.2">
      <c r="A259" s="859">
        <v>11260</v>
      </c>
      <c r="B259" s="818" t="s">
        <v>2966</v>
      </c>
      <c r="C259" s="814" t="s">
        <v>2724</v>
      </c>
      <c r="D259" s="815">
        <v>13.9</v>
      </c>
    </row>
    <row r="260" spans="1:4" s="819" customFormat="1" ht="9.4" customHeight="1" x14ac:dyDescent="0.2">
      <c r="A260" s="859">
        <v>11253</v>
      </c>
      <c r="B260" s="818" t="s">
        <v>2967</v>
      </c>
      <c r="C260" s="814" t="s">
        <v>58</v>
      </c>
      <c r="D260" s="815">
        <v>0.37</v>
      </c>
    </row>
    <row r="261" spans="1:4" s="819" customFormat="1" ht="9.4" customHeight="1" x14ac:dyDescent="0.2">
      <c r="A261" s="859">
        <v>10786</v>
      </c>
      <c r="B261" s="818" t="s">
        <v>2968</v>
      </c>
      <c r="C261" s="814" t="s">
        <v>1240</v>
      </c>
      <c r="D261" s="815">
        <v>13.55</v>
      </c>
    </row>
    <row r="262" spans="1:4" s="819" customFormat="1" ht="9.4" customHeight="1" x14ac:dyDescent="0.2">
      <c r="A262" s="859">
        <v>10158</v>
      </c>
      <c r="B262" s="818" t="s">
        <v>2969</v>
      </c>
      <c r="C262" s="814" t="s">
        <v>1906</v>
      </c>
      <c r="D262" s="815">
        <v>361.62</v>
      </c>
    </row>
    <row r="263" spans="1:4" s="819" customFormat="1" ht="9.4" customHeight="1" x14ac:dyDescent="0.2">
      <c r="A263" s="859">
        <v>10157</v>
      </c>
      <c r="B263" s="818" t="s">
        <v>2970</v>
      </c>
      <c r="C263" s="814" t="s">
        <v>1906</v>
      </c>
      <c r="D263" s="815">
        <v>556.44000000000005</v>
      </c>
    </row>
    <row r="264" spans="1:4" s="819" customFormat="1" ht="9.4" customHeight="1" x14ac:dyDescent="0.2">
      <c r="A264" s="859">
        <v>10155</v>
      </c>
      <c r="B264" s="818" t="s">
        <v>2971</v>
      </c>
      <c r="C264" s="814" t="s">
        <v>1906</v>
      </c>
      <c r="D264" s="815">
        <v>380</v>
      </c>
    </row>
    <row r="265" spans="1:4" s="819" customFormat="1" ht="9.4" customHeight="1" x14ac:dyDescent="0.2">
      <c r="A265" s="859">
        <v>10156</v>
      </c>
      <c r="B265" s="818" t="s">
        <v>2972</v>
      </c>
      <c r="C265" s="814" t="s">
        <v>1906</v>
      </c>
      <c r="D265" s="815">
        <v>361.62</v>
      </c>
    </row>
    <row r="266" spans="1:4" s="819" customFormat="1" ht="9.4" customHeight="1" x14ac:dyDescent="0.2">
      <c r="A266" s="859">
        <v>10176</v>
      </c>
      <c r="B266" s="818" t="s">
        <v>2973</v>
      </c>
      <c r="C266" s="814" t="s">
        <v>1905</v>
      </c>
      <c r="D266" s="815">
        <v>153.65</v>
      </c>
    </row>
    <row r="267" spans="1:4" s="819" customFormat="1" ht="9.4" customHeight="1" x14ac:dyDescent="0.2">
      <c r="A267" s="859">
        <v>10853</v>
      </c>
      <c r="B267" s="818" t="s">
        <v>2974</v>
      </c>
      <c r="C267" s="814" t="s">
        <v>1906</v>
      </c>
      <c r="D267" s="815">
        <v>358.85</v>
      </c>
    </row>
    <row r="268" spans="1:4" s="819" customFormat="1" ht="9.4" customHeight="1" x14ac:dyDescent="0.2">
      <c r="A268" s="859">
        <v>10859</v>
      </c>
      <c r="B268" s="818" t="s">
        <v>2975</v>
      </c>
      <c r="C268" s="814" t="s">
        <v>1240</v>
      </c>
      <c r="D268" s="815">
        <v>4.75</v>
      </c>
    </row>
    <row r="269" spans="1:4" s="819" customFormat="1" ht="9.4" customHeight="1" x14ac:dyDescent="0.2">
      <c r="A269" s="859">
        <v>10041</v>
      </c>
      <c r="B269" s="818" t="s">
        <v>2976</v>
      </c>
      <c r="C269" s="814" t="s">
        <v>58</v>
      </c>
      <c r="D269" s="815">
        <v>4.97</v>
      </c>
    </row>
    <row r="270" spans="1:4" s="819" customFormat="1" ht="9.4" customHeight="1" x14ac:dyDescent="0.2">
      <c r="A270" s="859">
        <v>10852</v>
      </c>
      <c r="B270" s="818" t="s">
        <v>2977</v>
      </c>
      <c r="C270" s="814" t="s">
        <v>1948</v>
      </c>
      <c r="D270" s="815">
        <v>6.27</v>
      </c>
    </row>
    <row r="271" spans="1:4" s="819" customFormat="1" ht="9.4" customHeight="1" x14ac:dyDescent="0.2">
      <c r="A271" s="859">
        <v>10848</v>
      </c>
      <c r="B271" s="818" t="s">
        <v>2978</v>
      </c>
      <c r="C271" s="814" t="s">
        <v>1905</v>
      </c>
      <c r="D271" s="815">
        <v>61.55</v>
      </c>
    </row>
    <row r="272" spans="1:4" s="819" customFormat="1" ht="9.4" customHeight="1" x14ac:dyDescent="0.2">
      <c r="A272" s="859">
        <v>10851</v>
      </c>
      <c r="B272" s="818" t="s">
        <v>2979</v>
      </c>
      <c r="C272" s="814" t="s">
        <v>1905</v>
      </c>
      <c r="D272" s="815">
        <v>17.059999999999999</v>
      </c>
    </row>
    <row r="273" spans="1:4" s="819" customFormat="1" ht="9.4" customHeight="1" x14ac:dyDescent="0.2">
      <c r="A273" s="859">
        <v>10850</v>
      </c>
      <c r="B273" s="818" t="s">
        <v>2980</v>
      </c>
      <c r="C273" s="814" t="s">
        <v>1905</v>
      </c>
      <c r="D273" s="815">
        <v>21.22</v>
      </c>
    </row>
    <row r="274" spans="1:4" s="819" customFormat="1" ht="9.4" customHeight="1" x14ac:dyDescent="0.2">
      <c r="A274" s="859">
        <v>10849</v>
      </c>
      <c r="B274" s="818" t="s">
        <v>2981</v>
      </c>
      <c r="C274" s="814" t="s">
        <v>1905</v>
      </c>
      <c r="D274" s="815">
        <v>26.87</v>
      </c>
    </row>
    <row r="275" spans="1:4" s="819" customFormat="1" ht="9.4" customHeight="1" x14ac:dyDescent="0.2">
      <c r="A275" s="859">
        <v>10719</v>
      </c>
      <c r="B275" s="818" t="s">
        <v>2982</v>
      </c>
      <c r="C275" s="814" t="s">
        <v>1905</v>
      </c>
      <c r="D275" s="815">
        <v>28.87</v>
      </c>
    </row>
    <row r="276" spans="1:4" s="819" customFormat="1" ht="9.4" customHeight="1" x14ac:dyDescent="0.2">
      <c r="A276" s="859">
        <v>10334</v>
      </c>
      <c r="B276" s="818" t="s">
        <v>2983</v>
      </c>
      <c r="C276" s="814" t="s">
        <v>1905</v>
      </c>
      <c r="D276" s="815">
        <v>14.85</v>
      </c>
    </row>
    <row r="277" spans="1:4" s="819" customFormat="1" ht="9.4" customHeight="1" x14ac:dyDescent="0.2">
      <c r="A277" s="859">
        <v>10569</v>
      </c>
      <c r="B277" s="818" t="s">
        <v>2984</v>
      </c>
      <c r="C277" s="814" t="s">
        <v>1905</v>
      </c>
      <c r="D277" s="815">
        <v>6.9</v>
      </c>
    </row>
    <row r="278" spans="1:4" s="819" customFormat="1" ht="9.4" customHeight="1" x14ac:dyDescent="0.2">
      <c r="A278" s="859">
        <v>10137</v>
      </c>
      <c r="B278" s="818" t="s">
        <v>2985</v>
      </c>
      <c r="C278" s="814" t="s">
        <v>58</v>
      </c>
      <c r="D278" s="815">
        <v>11.76</v>
      </c>
    </row>
    <row r="279" spans="1:4" s="819" customFormat="1" ht="9.4" customHeight="1" x14ac:dyDescent="0.2">
      <c r="A279" s="859">
        <v>10629</v>
      </c>
      <c r="B279" s="818" t="s">
        <v>2986</v>
      </c>
      <c r="C279" s="814" t="s">
        <v>58</v>
      </c>
      <c r="D279" s="815">
        <v>22.38</v>
      </c>
    </row>
    <row r="280" spans="1:4" s="819" customFormat="1" ht="9.4" customHeight="1" x14ac:dyDescent="0.2">
      <c r="A280" s="859">
        <v>10782</v>
      </c>
      <c r="B280" s="818" t="s">
        <v>2987</v>
      </c>
      <c r="C280" s="814" t="s">
        <v>1910</v>
      </c>
      <c r="D280" s="815">
        <v>361.63</v>
      </c>
    </row>
    <row r="281" spans="1:4" s="819" customFormat="1" ht="9.4" customHeight="1" x14ac:dyDescent="0.2">
      <c r="A281" s="859">
        <v>10255</v>
      </c>
      <c r="B281" s="818" t="s">
        <v>2988</v>
      </c>
      <c r="C281" s="814" t="s">
        <v>2848</v>
      </c>
      <c r="D281" s="815">
        <v>184.94</v>
      </c>
    </row>
    <row r="282" spans="1:4" s="819" customFormat="1" ht="9.4" customHeight="1" x14ac:dyDescent="0.2">
      <c r="A282" s="859">
        <v>10707</v>
      </c>
      <c r="B282" s="818" t="s">
        <v>2989</v>
      </c>
      <c r="C282" s="814" t="s">
        <v>1910</v>
      </c>
      <c r="D282" s="816">
        <v>3106.93</v>
      </c>
    </row>
    <row r="283" spans="1:4" s="819" customFormat="1" ht="9.4" customHeight="1" x14ac:dyDescent="0.2">
      <c r="A283" s="859">
        <v>11478</v>
      </c>
      <c r="B283" s="818" t="s">
        <v>2990</v>
      </c>
      <c r="C283" s="814" t="s">
        <v>1910</v>
      </c>
      <c r="D283" s="816">
        <v>5873.38</v>
      </c>
    </row>
    <row r="284" spans="1:4" s="819" customFormat="1" ht="9.4" customHeight="1" x14ac:dyDescent="0.2">
      <c r="A284" s="859">
        <v>11480</v>
      </c>
      <c r="B284" s="818" t="s">
        <v>2991</v>
      </c>
      <c r="C284" s="814" t="s">
        <v>1910</v>
      </c>
      <c r="D284" s="816">
        <v>1536.05</v>
      </c>
    </row>
    <row r="285" spans="1:4" s="819" customFormat="1" ht="9.4" customHeight="1" x14ac:dyDescent="0.2">
      <c r="A285" s="859">
        <v>10706</v>
      </c>
      <c r="B285" s="818" t="s">
        <v>2992</v>
      </c>
      <c r="C285" s="814" t="s">
        <v>1910</v>
      </c>
      <c r="D285" s="815">
        <v>1049.9000000000001</v>
      </c>
    </row>
    <row r="286" spans="1:4" s="819" customFormat="1" ht="9.4" customHeight="1" x14ac:dyDescent="0.2">
      <c r="A286" s="859">
        <v>10705</v>
      </c>
      <c r="B286" s="818" t="s">
        <v>2993</v>
      </c>
      <c r="C286" s="814" t="s">
        <v>1910</v>
      </c>
      <c r="D286" s="816">
        <v>1232.08</v>
      </c>
    </row>
    <row r="287" spans="1:4" s="819" customFormat="1" ht="9.4" customHeight="1" x14ac:dyDescent="0.2">
      <c r="A287" s="859">
        <v>11475</v>
      </c>
      <c r="B287" s="818" t="s">
        <v>2994</v>
      </c>
      <c r="C287" s="814" t="s">
        <v>1910</v>
      </c>
      <c r="D287" s="816">
        <v>1723.14</v>
      </c>
    </row>
    <row r="288" spans="1:4" s="819" customFormat="1" ht="9.4" customHeight="1" x14ac:dyDescent="0.2">
      <c r="A288" s="859">
        <v>10704</v>
      </c>
      <c r="B288" s="818" t="s">
        <v>2995</v>
      </c>
      <c r="C288" s="814" t="s">
        <v>1910</v>
      </c>
      <c r="D288" s="816">
        <v>2662.65</v>
      </c>
    </row>
    <row r="289" spans="1:4" s="819" customFormat="1" ht="9.4" customHeight="1" x14ac:dyDescent="0.2">
      <c r="A289" s="859">
        <v>11474</v>
      </c>
      <c r="B289" s="818" t="s">
        <v>2996</v>
      </c>
      <c r="C289" s="814" t="s">
        <v>1910</v>
      </c>
      <c r="D289" s="816">
        <v>2762.25</v>
      </c>
    </row>
    <row r="290" spans="1:4" s="819" customFormat="1" ht="9.4" customHeight="1" x14ac:dyDescent="0.2">
      <c r="A290" s="859">
        <v>10663</v>
      </c>
      <c r="B290" s="818" t="s">
        <v>2997</v>
      </c>
      <c r="C290" s="814" t="s">
        <v>1910</v>
      </c>
      <c r="D290" s="815">
        <v>54.74</v>
      </c>
    </row>
    <row r="291" spans="1:4" s="819" customFormat="1" ht="9.4" customHeight="1" x14ac:dyDescent="0.2">
      <c r="A291" s="859">
        <v>10699</v>
      </c>
      <c r="B291" s="818" t="s">
        <v>2998</v>
      </c>
      <c r="C291" s="814" t="s">
        <v>1910</v>
      </c>
      <c r="D291" s="815">
        <v>29.01</v>
      </c>
    </row>
    <row r="292" spans="1:4" s="819" customFormat="1" ht="9.4" customHeight="1" x14ac:dyDescent="0.2">
      <c r="A292" s="859">
        <v>11471</v>
      </c>
      <c r="B292" s="818" t="s">
        <v>2999</v>
      </c>
      <c r="C292" s="814" t="s">
        <v>1821</v>
      </c>
      <c r="D292" s="815">
        <v>0</v>
      </c>
    </row>
    <row r="293" spans="1:4" s="819" customFormat="1" ht="9.4" customHeight="1" x14ac:dyDescent="0.2">
      <c r="A293" s="859">
        <v>10747</v>
      </c>
      <c r="B293" s="818" t="s">
        <v>3000</v>
      </c>
      <c r="C293" s="814" t="s">
        <v>1910</v>
      </c>
      <c r="D293" s="815">
        <v>5.94</v>
      </c>
    </row>
    <row r="294" spans="1:4" s="819" customFormat="1" ht="9.4" customHeight="1" x14ac:dyDescent="0.2">
      <c r="A294" s="859">
        <v>10697</v>
      </c>
      <c r="B294" s="818" t="s">
        <v>3001</v>
      </c>
      <c r="C294" s="814" t="s">
        <v>1910</v>
      </c>
      <c r="D294" s="815">
        <v>3.45</v>
      </c>
    </row>
    <row r="295" spans="1:4" s="819" customFormat="1" ht="9.4" customHeight="1" x14ac:dyDescent="0.2">
      <c r="A295" s="859">
        <v>10056</v>
      </c>
      <c r="B295" s="818" t="s">
        <v>3002</v>
      </c>
      <c r="C295" s="814" t="s">
        <v>3003</v>
      </c>
      <c r="D295" s="816">
        <v>8836.7999999999993</v>
      </c>
    </row>
    <row r="296" spans="1:4" s="819" customFormat="1" ht="18.399999999999999" customHeight="1" x14ac:dyDescent="0.2">
      <c r="A296" s="859">
        <v>10771</v>
      </c>
      <c r="B296" s="820" t="s">
        <v>3004</v>
      </c>
      <c r="C296" s="814" t="s">
        <v>1948</v>
      </c>
      <c r="D296" s="815">
        <v>42</v>
      </c>
    </row>
    <row r="297" spans="1:4" s="819" customFormat="1" ht="9.4" customHeight="1" x14ac:dyDescent="0.2">
      <c r="A297" s="859">
        <v>10781</v>
      </c>
      <c r="B297" s="818" t="s">
        <v>3005</v>
      </c>
      <c r="C297" s="814" t="s">
        <v>1905</v>
      </c>
      <c r="D297" s="815">
        <v>57.07</v>
      </c>
    </row>
    <row r="298" spans="1:4" s="819" customFormat="1" ht="9.4" customHeight="1" x14ac:dyDescent="0.2">
      <c r="A298" s="859">
        <v>10274</v>
      </c>
      <c r="B298" s="818" t="s">
        <v>3006</v>
      </c>
      <c r="C298" s="814" t="s">
        <v>1905</v>
      </c>
      <c r="D298" s="815">
        <v>48.22</v>
      </c>
    </row>
    <row r="299" spans="1:4" s="819" customFormat="1" ht="9.4" customHeight="1" x14ac:dyDescent="0.2">
      <c r="A299" s="859">
        <v>10319</v>
      </c>
      <c r="B299" s="818" t="s">
        <v>3007</v>
      </c>
      <c r="C299" s="814" t="s">
        <v>3008</v>
      </c>
      <c r="D299" s="815">
        <v>500</v>
      </c>
    </row>
    <row r="300" spans="1:4" s="819" customFormat="1" ht="9.4" customHeight="1" x14ac:dyDescent="0.2">
      <c r="A300" s="859">
        <v>10746</v>
      </c>
      <c r="B300" s="818" t="s">
        <v>3009</v>
      </c>
      <c r="C300" s="814" t="s">
        <v>1910</v>
      </c>
      <c r="D300" s="815">
        <v>6.65</v>
      </c>
    </row>
    <row r="301" spans="1:4" s="819" customFormat="1" ht="9.4" customHeight="1" x14ac:dyDescent="0.2">
      <c r="A301" s="859">
        <v>11022</v>
      </c>
      <c r="B301" s="818" t="s">
        <v>3010</v>
      </c>
      <c r="C301" s="814" t="s">
        <v>1910</v>
      </c>
      <c r="D301" s="815">
        <v>15.68</v>
      </c>
    </row>
    <row r="302" spans="1:4" s="819" customFormat="1" ht="9.4" customHeight="1" x14ac:dyDescent="0.2">
      <c r="A302" s="859">
        <v>10318</v>
      </c>
      <c r="B302" s="818" t="s">
        <v>3011</v>
      </c>
      <c r="C302" s="814" t="s">
        <v>1910</v>
      </c>
      <c r="D302" s="815">
        <v>0.72</v>
      </c>
    </row>
    <row r="303" spans="1:4" s="819" customFormat="1" ht="9.4" customHeight="1" x14ac:dyDescent="0.2">
      <c r="A303" s="859">
        <v>10373</v>
      </c>
      <c r="B303" s="818" t="s">
        <v>3012</v>
      </c>
      <c r="C303" s="814" t="s">
        <v>1910</v>
      </c>
      <c r="D303" s="815">
        <v>1.1599999999999999</v>
      </c>
    </row>
    <row r="304" spans="1:4" s="819" customFormat="1" ht="9.4" customHeight="1" x14ac:dyDescent="0.2">
      <c r="A304" s="859">
        <v>10784</v>
      </c>
      <c r="B304" s="818" t="s">
        <v>3013</v>
      </c>
      <c r="C304" s="814" t="s">
        <v>1910</v>
      </c>
      <c r="D304" s="815">
        <v>0.7</v>
      </c>
    </row>
    <row r="305" spans="1:4" s="819" customFormat="1" ht="9.4" customHeight="1" x14ac:dyDescent="0.2">
      <c r="A305" s="859">
        <v>10789</v>
      </c>
      <c r="B305" s="818" t="s">
        <v>3014</v>
      </c>
      <c r="C305" s="814" t="s">
        <v>1910</v>
      </c>
      <c r="D305" s="815">
        <v>3.09</v>
      </c>
    </row>
    <row r="306" spans="1:4" s="819" customFormat="1" ht="9.4" customHeight="1" x14ac:dyDescent="0.2">
      <c r="A306" s="859">
        <v>10742</v>
      </c>
      <c r="B306" s="818" t="s">
        <v>3015</v>
      </c>
      <c r="C306" s="814" t="s">
        <v>1905</v>
      </c>
      <c r="D306" s="815">
        <v>0.95</v>
      </c>
    </row>
    <row r="307" spans="1:4" s="819" customFormat="1" ht="9.4" customHeight="1" x14ac:dyDescent="0.2">
      <c r="A307" s="859">
        <v>11008</v>
      </c>
      <c r="B307" s="818" t="s">
        <v>3016</v>
      </c>
      <c r="C307" s="814" t="s">
        <v>1910</v>
      </c>
      <c r="D307" s="815">
        <v>0.87</v>
      </c>
    </row>
    <row r="308" spans="1:4" s="819" customFormat="1" ht="9.4" customHeight="1" x14ac:dyDescent="0.2">
      <c r="A308" s="859">
        <v>10630</v>
      </c>
      <c r="B308" s="818" t="s">
        <v>3017</v>
      </c>
      <c r="C308" s="814" t="s">
        <v>1910</v>
      </c>
      <c r="D308" s="815">
        <v>1.35</v>
      </c>
    </row>
    <row r="309" spans="1:4" s="819" customFormat="1" ht="9.4" customHeight="1" x14ac:dyDescent="0.2">
      <c r="A309" s="859">
        <v>10764</v>
      </c>
      <c r="B309" s="818" t="s">
        <v>3018</v>
      </c>
      <c r="C309" s="814" t="s">
        <v>1910</v>
      </c>
      <c r="D309" s="815">
        <v>90.8</v>
      </c>
    </row>
    <row r="310" spans="1:4" s="819" customFormat="1" ht="9.4" customHeight="1" x14ac:dyDescent="0.2">
      <c r="A310" s="859">
        <v>10653</v>
      </c>
      <c r="B310" s="818" t="s">
        <v>3019</v>
      </c>
      <c r="C310" s="814" t="s">
        <v>1910</v>
      </c>
      <c r="D310" s="815">
        <v>48.57</v>
      </c>
    </row>
    <row r="311" spans="1:4" s="819" customFormat="1" ht="9.4" customHeight="1" x14ac:dyDescent="0.2">
      <c r="A311" s="859">
        <v>10354</v>
      </c>
      <c r="B311" s="818" t="s">
        <v>3020</v>
      </c>
      <c r="C311" s="814" t="s">
        <v>1910</v>
      </c>
      <c r="D311" s="815">
        <v>9.18</v>
      </c>
    </row>
    <row r="312" spans="1:4" s="819" customFormat="1" ht="9.4" customHeight="1" x14ac:dyDescent="0.2">
      <c r="A312" s="859">
        <v>10561</v>
      </c>
      <c r="B312" s="818" t="s">
        <v>3021</v>
      </c>
      <c r="C312" s="814" t="s">
        <v>1910</v>
      </c>
      <c r="D312" s="815">
        <v>9.18</v>
      </c>
    </row>
    <row r="313" spans="1:4" s="819" customFormat="1" ht="9.4" customHeight="1" x14ac:dyDescent="0.2">
      <c r="A313" s="859">
        <v>10071</v>
      </c>
      <c r="B313" s="818" t="s">
        <v>3022</v>
      </c>
      <c r="C313" s="814" t="s">
        <v>62</v>
      </c>
      <c r="D313" s="815">
        <v>21.21</v>
      </c>
    </row>
    <row r="314" spans="1:4" s="819" customFormat="1" ht="9.4" customHeight="1" x14ac:dyDescent="0.2">
      <c r="A314" s="859">
        <v>10072</v>
      </c>
      <c r="B314" s="818" t="s">
        <v>3023</v>
      </c>
      <c r="C314" s="814" t="s">
        <v>1948</v>
      </c>
      <c r="D314" s="815">
        <v>50.23</v>
      </c>
    </row>
    <row r="315" spans="1:4" s="819" customFormat="1" ht="9.4" customHeight="1" x14ac:dyDescent="0.2">
      <c r="A315" s="859">
        <v>10082</v>
      </c>
      <c r="B315" s="818" t="s">
        <v>3024</v>
      </c>
      <c r="C315" s="814" t="s">
        <v>1906</v>
      </c>
      <c r="D315" s="816">
        <v>1394.57</v>
      </c>
    </row>
    <row r="316" spans="1:4" s="819" customFormat="1" ht="9.4" customHeight="1" x14ac:dyDescent="0.2">
      <c r="A316" s="859">
        <v>10081</v>
      </c>
      <c r="B316" s="818" t="s">
        <v>3025</v>
      </c>
      <c r="C316" s="814" t="s">
        <v>2767</v>
      </c>
      <c r="D316" s="816">
        <v>1394.57</v>
      </c>
    </row>
    <row r="317" spans="1:4" s="819" customFormat="1" ht="9.4" customHeight="1" x14ac:dyDescent="0.2">
      <c r="A317" s="859">
        <v>10080</v>
      </c>
      <c r="B317" s="818" t="s">
        <v>3026</v>
      </c>
      <c r="C317" s="814" t="s">
        <v>1910</v>
      </c>
      <c r="D317" s="815">
        <v>31.14</v>
      </c>
    </row>
    <row r="318" spans="1:4" s="819" customFormat="1" ht="9.4" customHeight="1" x14ac:dyDescent="0.2">
      <c r="A318" s="859">
        <v>10632</v>
      </c>
      <c r="B318" s="818" t="s">
        <v>3027</v>
      </c>
      <c r="C318" s="814" t="s">
        <v>1910</v>
      </c>
      <c r="D318" s="816">
        <v>1812.72</v>
      </c>
    </row>
    <row r="319" spans="1:4" s="819" customFormat="1" ht="9.4" customHeight="1" x14ac:dyDescent="0.2">
      <c r="A319" s="859">
        <v>10633</v>
      </c>
      <c r="B319" s="818" t="s">
        <v>3028</v>
      </c>
      <c r="C319" s="814" t="s">
        <v>1910</v>
      </c>
      <c r="D319" s="816">
        <v>2359.9699999999998</v>
      </c>
    </row>
    <row r="320" spans="1:4" s="819" customFormat="1" ht="9.4" customHeight="1" x14ac:dyDescent="0.2">
      <c r="A320" s="859">
        <v>11250</v>
      </c>
      <c r="B320" s="818" t="s">
        <v>3029</v>
      </c>
      <c r="C320" s="814" t="s">
        <v>1241</v>
      </c>
      <c r="D320" s="815">
        <v>10.78</v>
      </c>
    </row>
    <row r="321" spans="1:4" s="819" customFormat="1" ht="9.4" customHeight="1" x14ac:dyDescent="0.2">
      <c r="A321" s="859">
        <v>10323</v>
      </c>
      <c r="B321" s="818" t="s">
        <v>3030</v>
      </c>
      <c r="C321" s="814" t="s">
        <v>1905</v>
      </c>
      <c r="D321" s="815">
        <v>3.3</v>
      </c>
    </row>
    <row r="322" spans="1:4" s="819" customFormat="1" ht="9.4" customHeight="1" x14ac:dyDescent="0.2">
      <c r="A322" s="859">
        <v>10847</v>
      </c>
      <c r="B322" s="818" t="s">
        <v>3031</v>
      </c>
      <c r="C322" s="814" t="s">
        <v>1905</v>
      </c>
      <c r="D322" s="815">
        <v>5.0199999999999996</v>
      </c>
    </row>
    <row r="323" spans="1:4" s="819" customFormat="1" ht="9.4" customHeight="1" x14ac:dyDescent="0.2">
      <c r="A323" s="859">
        <v>10163</v>
      </c>
      <c r="B323" s="818" t="s">
        <v>3032</v>
      </c>
      <c r="C323" s="814" t="s">
        <v>1905</v>
      </c>
      <c r="D323" s="815">
        <v>6.96</v>
      </c>
    </row>
    <row r="324" spans="1:4" s="819" customFormat="1" ht="9.4" customHeight="1" x14ac:dyDescent="0.2">
      <c r="A324" s="859">
        <v>10039</v>
      </c>
      <c r="B324" s="818" t="s">
        <v>3033</v>
      </c>
      <c r="C324" s="814" t="s">
        <v>3</v>
      </c>
      <c r="D324" s="815">
        <v>250</v>
      </c>
    </row>
    <row r="325" spans="1:4" s="819" customFormat="1" ht="9.4" customHeight="1" x14ac:dyDescent="0.2">
      <c r="A325" s="859">
        <v>11486</v>
      </c>
      <c r="B325" s="818" t="s">
        <v>3034</v>
      </c>
      <c r="C325" s="814" t="s">
        <v>1167</v>
      </c>
      <c r="D325" s="815">
        <v>253</v>
      </c>
    </row>
    <row r="326" spans="1:4" s="819" customFormat="1" ht="9.4" customHeight="1" x14ac:dyDescent="0.2">
      <c r="A326" s="859">
        <v>10352</v>
      </c>
      <c r="B326" s="818" t="s">
        <v>3035</v>
      </c>
      <c r="C326" s="814" t="s">
        <v>1167</v>
      </c>
      <c r="D326" s="815">
        <v>252.75</v>
      </c>
    </row>
    <row r="327" spans="1:4" s="819" customFormat="1" ht="9.4" customHeight="1" x14ac:dyDescent="0.2">
      <c r="A327" s="859">
        <v>10263</v>
      </c>
      <c r="B327" s="818" t="s">
        <v>3036</v>
      </c>
      <c r="C327" s="814" t="s">
        <v>3037</v>
      </c>
      <c r="D327" s="815">
        <v>15.59</v>
      </c>
    </row>
    <row r="328" spans="1:4" s="819" customFormat="1" ht="9.4" customHeight="1" x14ac:dyDescent="0.2">
      <c r="A328" s="859">
        <v>10344</v>
      </c>
      <c r="B328" s="818" t="s">
        <v>3038</v>
      </c>
      <c r="C328" s="814" t="s">
        <v>1167</v>
      </c>
      <c r="D328" s="815">
        <v>294.5</v>
      </c>
    </row>
    <row r="329" spans="1:4" s="819" customFormat="1" ht="9.4" customHeight="1" x14ac:dyDescent="0.2">
      <c r="A329" s="859">
        <v>10346</v>
      </c>
      <c r="B329" s="818" t="s">
        <v>3039</v>
      </c>
      <c r="C329" s="814" t="s">
        <v>58</v>
      </c>
      <c r="D329" s="815">
        <v>11.78</v>
      </c>
    </row>
    <row r="330" spans="1:4" s="819" customFormat="1" ht="9.4" customHeight="1" x14ac:dyDescent="0.2">
      <c r="A330" s="859">
        <v>10345</v>
      </c>
      <c r="B330" s="818" t="s">
        <v>3040</v>
      </c>
      <c r="C330" s="814" t="s">
        <v>1167</v>
      </c>
      <c r="D330" s="815">
        <v>294.5</v>
      </c>
    </row>
    <row r="331" spans="1:4" s="819" customFormat="1" ht="9.4" customHeight="1" x14ac:dyDescent="0.2">
      <c r="A331" s="859">
        <v>10623</v>
      </c>
      <c r="B331" s="818" t="s">
        <v>3041</v>
      </c>
      <c r="C331" s="814" t="s">
        <v>1910</v>
      </c>
      <c r="D331" s="815">
        <v>38.340000000000003</v>
      </c>
    </row>
    <row r="332" spans="1:4" s="819" customFormat="1" ht="9.4" customHeight="1" x14ac:dyDescent="0.2">
      <c r="A332" s="859">
        <v>10074</v>
      </c>
      <c r="B332" s="818" t="s">
        <v>3042</v>
      </c>
      <c r="C332" s="814" t="s">
        <v>2943</v>
      </c>
      <c r="D332" s="815">
        <v>143.88</v>
      </c>
    </row>
    <row r="333" spans="1:4" s="819" customFormat="1" ht="9.4" customHeight="1" x14ac:dyDescent="0.2">
      <c r="A333" s="859">
        <v>10075</v>
      </c>
      <c r="B333" s="818" t="s">
        <v>3043</v>
      </c>
      <c r="C333" s="814" t="s">
        <v>2943</v>
      </c>
      <c r="D333" s="815">
        <v>641.14</v>
      </c>
    </row>
    <row r="334" spans="1:4" s="819" customFormat="1" ht="9.4" customHeight="1" x14ac:dyDescent="0.2">
      <c r="A334" s="859">
        <v>10821</v>
      </c>
      <c r="B334" s="818" t="s">
        <v>3044</v>
      </c>
      <c r="C334" s="814" t="s">
        <v>2943</v>
      </c>
      <c r="D334" s="815">
        <v>850.75</v>
      </c>
    </row>
    <row r="335" spans="1:4" s="819" customFormat="1" ht="9.4" customHeight="1" x14ac:dyDescent="0.2">
      <c r="A335" s="859">
        <v>10260</v>
      </c>
      <c r="B335" s="818" t="s">
        <v>3045</v>
      </c>
      <c r="C335" s="814" t="s">
        <v>3037</v>
      </c>
      <c r="D335" s="815">
        <v>34.229999999999997</v>
      </c>
    </row>
    <row r="336" spans="1:4" s="819" customFormat="1" ht="9.4" customHeight="1" x14ac:dyDescent="0.2">
      <c r="A336" s="859">
        <v>10261</v>
      </c>
      <c r="B336" s="818" t="s">
        <v>3046</v>
      </c>
      <c r="C336" s="814" t="s">
        <v>3037</v>
      </c>
      <c r="D336" s="815">
        <v>28.82</v>
      </c>
    </row>
    <row r="337" spans="1:4" s="819" customFormat="1" ht="9.4" customHeight="1" x14ac:dyDescent="0.2">
      <c r="A337" s="859">
        <v>10570</v>
      </c>
      <c r="B337" s="818" t="s">
        <v>3047</v>
      </c>
      <c r="C337" s="814" t="s">
        <v>1910</v>
      </c>
      <c r="D337" s="815">
        <v>31.17</v>
      </c>
    </row>
    <row r="338" spans="1:4" s="819" customFormat="1" ht="9.4" customHeight="1" x14ac:dyDescent="0.2">
      <c r="A338" s="859">
        <v>11262</v>
      </c>
      <c r="B338" s="818" t="s">
        <v>3048</v>
      </c>
      <c r="C338" s="814" t="s">
        <v>1910</v>
      </c>
      <c r="D338" s="815">
        <v>76.430000000000007</v>
      </c>
    </row>
    <row r="339" spans="1:4" s="819" customFormat="1" ht="9.4" customHeight="1" x14ac:dyDescent="0.2">
      <c r="A339" s="859">
        <v>11267</v>
      </c>
      <c r="B339" s="818" t="s">
        <v>3049</v>
      </c>
      <c r="C339" s="814" t="s">
        <v>1910</v>
      </c>
      <c r="D339" s="815">
        <v>1.81</v>
      </c>
    </row>
    <row r="340" spans="1:4" s="819" customFormat="1" ht="9.4" customHeight="1" x14ac:dyDescent="0.2">
      <c r="A340" s="859">
        <v>10036</v>
      </c>
      <c r="B340" s="818" t="s">
        <v>3050</v>
      </c>
      <c r="C340" s="814" t="s">
        <v>58</v>
      </c>
      <c r="D340" s="815">
        <v>2.82</v>
      </c>
    </row>
    <row r="341" spans="1:4" s="819" customFormat="1" ht="9.4" customHeight="1" x14ac:dyDescent="0.2">
      <c r="A341" s="859">
        <v>10309</v>
      </c>
      <c r="B341" s="818" t="s">
        <v>3051</v>
      </c>
      <c r="C341" s="814" t="s">
        <v>1240</v>
      </c>
      <c r="D341" s="815">
        <v>16.55</v>
      </c>
    </row>
    <row r="342" spans="1:4" s="819" customFormat="1" ht="9.4" customHeight="1" x14ac:dyDescent="0.2">
      <c r="A342" s="859">
        <v>10034</v>
      </c>
      <c r="B342" s="818" t="s">
        <v>3052</v>
      </c>
      <c r="C342" s="814" t="s">
        <v>1240</v>
      </c>
      <c r="D342" s="815">
        <v>3.59</v>
      </c>
    </row>
    <row r="343" spans="1:4" s="819" customFormat="1" ht="9.4" customHeight="1" x14ac:dyDescent="0.2">
      <c r="A343" s="859">
        <v>10187</v>
      </c>
      <c r="B343" s="818" t="s">
        <v>3053</v>
      </c>
      <c r="C343" s="814" t="s">
        <v>1906</v>
      </c>
      <c r="D343" s="815">
        <v>8.26</v>
      </c>
    </row>
    <row r="344" spans="1:4" s="819" customFormat="1" ht="9.4" customHeight="1" x14ac:dyDescent="0.2">
      <c r="A344" s="859">
        <v>10375</v>
      </c>
      <c r="B344" s="818" t="s">
        <v>3054</v>
      </c>
      <c r="C344" s="814" t="s">
        <v>1910</v>
      </c>
      <c r="D344" s="815">
        <v>0.3</v>
      </c>
    </row>
    <row r="345" spans="1:4" s="819" customFormat="1" ht="9.4" customHeight="1" x14ac:dyDescent="0.2">
      <c r="A345" s="859">
        <v>10327</v>
      </c>
      <c r="B345" s="818" t="s">
        <v>3055</v>
      </c>
      <c r="C345" s="814" t="s">
        <v>1910</v>
      </c>
      <c r="D345" s="815">
        <v>7.98</v>
      </c>
    </row>
    <row r="346" spans="1:4" s="819" customFormat="1" ht="9.4" customHeight="1" x14ac:dyDescent="0.2">
      <c r="A346" s="859">
        <v>101971</v>
      </c>
      <c r="B346" s="818" t="s">
        <v>3056</v>
      </c>
      <c r="C346" s="814" t="s">
        <v>1910</v>
      </c>
      <c r="D346" s="815">
        <v>7.73</v>
      </c>
    </row>
    <row r="347" spans="1:4" s="819" customFormat="1" ht="9.4" customHeight="1" x14ac:dyDescent="0.2">
      <c r="A347" s="859">
        <v>11565</v>
      </c>
      <c r="B347" s="818" t="s">
        <v>3057</v>
      </c>
      <c r="C347" s="814" t="s">
        <v>1910</v>
      </c>
      <c r="D347" s="815">
        <v>3.14</v>
      </c>
    </row>
    <row r="348" spans="1:4" s="819" customFormat="1" ht="9.4" customHeight="1" x14ac:dyDescent="0.2">
      <c r="A348" s="859">
        <v>10326</v>
      </c>
      <c r="B348" s="818" t="s">
        <v>3058</v>
      </c>
      <c r="C348" s="814" t="s">
        <v>1910</v>
      </c>
      <c r="D348" s="815">
        <v>0.65</v>
      </c>
    </row>
    <row r="349" spans="1:4" s="819" customFormat="1" ht="9.4" customHeight="1" x14ac:dyDescent="0.2">
      <c r="A349" s="859">
        <v>10298</v>
      </c>
      <c r="B349" s="818" t="s">
        <v>3059</v>
      </c>
      <c r="C349" s="814" t="s">
        <v>3008</v>
      </c>
      <c r="D349" s="816">
        <v>1225.71</v>
      </c>
    </row>
    <row r="350" spans="1:4" s="819" customFormat="1" ht="9.4" customHeight="1" x14ac:dyDescent="0.2">
      <c r="A350" s="859">
        <v>10767</v>
      </c>
      <c r="B350" s="818" t="s">
        <v>3060</v>
      </c>
      <c r="C350" s="814" t="s">
        <v>58</v>
      </c>
      <c r="D350" s="815">
        <v>17.79</v>
      </c>
    </row>
    <row r="351" spans="1:4" s="819" customFormat="1" ht="9.4" customHeight="1" x14ac:dyDescent="0.2">
      <c r="A351" s="859">
        <v>11016</v>
      </c>
      <c r="B351" s="818" t="s">
        <v>3061</v>
      </c>
      <c r="C351" s="814" t="s">
        <v>1948</v>
      </c>
      <c r="D351" s="815">
        <v>8.49</v>
      </c>
    </row>
    <row r="352" spans="1:4" s="819" customFormat="1" ht="9.4" customHeight="1" x14ac:dyDescent="0.2">
      <c r="A352" s="859">
        <v>11017</v>
      </c>
      <c r="B352" s="818" t="s">
        <v>3062</v>
      </c>
      <c r="C352" s="814" t="s">
        <v>1948</v>
      </c>
      <c r="D352" s="815">
        <v>4.88</v>
      </c>
    </row>
    <row r="353" spans="1:4" s="819" customFormat="1" ht="9.4" customHeight="1" x14ac:dyDescent="0.2">
      <c r="A353" s="859">
        <v>11015</v>
      </c>
      <c r="B353" s="818" t="s">
        <v>3063</v>
      </c>
      <c r="C353" s="814" t="s">
        <v>1948</v>
      </c>
      <c r="D353" s="815">
        <v>11.23</v>
      </c>
    </row>
    <row r="354" spans="1:4" s="819" customFormat="1" ht="9.4" customHeight="1" x14ac:dyDescent="0.2">
      <c r="A354" s="859">
        <v>11000</v>
      </c>
      <c r="B354" s="818" t="s">
        <v>3064</v>
      </c>
      <c r="C354" s="814" t="s">
        <v>62</v>
      </c>
      <c r="D354" s="815">
        <v>17.97</v>
      </c>
    </row>
    <row r="355" spans="1:4" s="819" customFormat="1" ht="9.4" customHeight="1" x14ac:dyDescent="0.2">
      <c r="A355" s="859">
        <v>11001</v>
      </c>
      <c r="B355" s="818" t="s">
        <v>3065</v>
      </c>
      <c r="C355" s="814" t="s">
        <v>1948</v>
      </c>
      <c r="D355" s="815">
        <v>4.62</v>
      </c>
    </row>
    <row r="356" spans="1:4" s="819" customFormat="1" ht="9.4" customHeight="1" x14ac:dyDescent="0.2">
      <c r="A356" s="859">
        <v>10125</v>
      </c>
      <c r="B356" s="818" t="s">
        <v>3066</v>
      </c>
      <c r="C356" s="814" t="s">
        <v>2767</v>
      </c>
      <c r="D356" s="815">
        <v>60.76</v>
      </c>
    </row>
    <row r="357" spans="1:4" s="819" customFormat="1" ht="9.4" customHeight="1" x14ac:dyDescent="0.2">
      <c r="A357" s="859">
        <v>10121</v>
      </c>
      <c r="B357" s="818" t="s">
        <v>3067</v>
      </c>
      <c r="C357" s="814" t="s">
        <v>2767</v>
      </c>
      <c r="D357" s="815">
        <v>45.57</v>
      </c>
    </row>
    <row r="358" spans="1:4" s="819" customFormat="1" ht="9.4" customHeight="1" x14ac:dyDescent="0.2">
      <c r="A358" s="859">
        <v>10124</v>
      </c>
      <c r="B358" s="818" t="s">
        <v>3068</v>
      </c>
      <c r="C358" s="814" t="s">
        <v>1906</v>
      </c>
      <c r="D358" s="815">
        <v>50.36</v>
      </c>
    </row>
    <row r="359" spans="1:4" s="819" customFormat="1" ht="9.4" customHeight="1" x14ac:dyDescent="0.2">
      <c r="A359" s="859">
        <v>10301</v>
      </c>
      <c r="B359" s="818" t="s">
        <v>3069</v>
      </c>
      <c r="C359" s="814" t="s">
        <v>1905</v>
      </c>
      <c r="D359" s="815">
        <v>28.41</v>
      </c>
    </row>
    <row r="360" spans="1:4" s="819" customFormat="1" ht="9.4" customHeight="1" x14ac:dyDescent="0.2">
      <c r="A360" s="859">
        <v>10126</v>
      </c>
      <c r="B360" s="818" t="s">
        <v>3070</v>
      </c>
      <c r="C360" s="814" t="s">
        <v>2767</v>
      </c>
      <c r="D360" s="815">
        <v>69.39</v>
      </c>
    </row>
    <row r="361" spans="1:4" s="819" customFormat="1" ht="9.4" customHeight="1" x14ac:dyDescent="0.2">
      <c r="A361" s="859">
        <v>10368</v>
      </c>
      <c r="B361" s="818" t="s">
        <v>3071</v>
      </c>
      <c r="C361" s="814" t="s">
        <v>1905</v>
      </c>
      <c r="D361" s="815">
        <v>84.38</v>
      </c>
    </row>
    <row r="362" spans="1:4" s="819" customFormat="1" ht="9.4" customHeight="1" x14ac:dyDescent="0.2">
      <c r="A362" s="859">
        <v>10380</v>
      </c>
      <c r="B362" s="818" t="s">
        <v>3072</v>
      </c>
      <c r="C362" s="814" t="s">
        <v>1905</v>
      </c>
      <c r="D362" s="815">
        <v>118.77</v>
      </c>
    </row>
    <row r="363" spans="1:4" s="819" customFormat="1" ht="9.4" customHeight="1" x14ac:dyDescent="0.2">
      <c r="A363" s="859">
        <v>10363</v>
      </c>
      <c r="B363" s="818" t="s">
        <v>3073</v>
      </c>
      <c r="C363" s="814" t="s">
        <v>1905</v>
      </c>
      <c r="D363" s="815">
        <v>74.67</v>
      </c>
    </row>
    <row r="364" spans="1:4" s="819" customFormat="1" ht="18.399999999999999" customHeight="1" x14ac:dyDescent="0.2">
      <c r="A364" s="859">
        <v>11488</v>
      </c>
      <c r="B364" s="820" t="s">
        <v>3074</v>
      </c>
      <c r="C364" s="814" t="s">
        <v>1948</v>
      </c>
      <c r="D364" s="815">
        <v>768.87</v>
      </c>
    </row>
    <row r="365" spans="1:4" s="819" customFormat="1" ht="18.399999999999999" customHeight="1" x14ac:dyDescent="0.2">
      <c r="A365" s="859">
        <v>10200</v>
      </c>
      <c r="B365" s="820" t="s">
        <v>3075</v>
      </c>
      <c r="C365" s="814" t="s">
        <v>1948</v>
      </c>
      <c r="D365" s="816">
        <v>1099.1199999999999</v>
      </c>
    </row>
    <row r="366" spans="1:4" s="819" customFormat="1" ht="9.4" customHeight="1" x14ac:dyDescent="0.2">
      <c r="A366" s="859">
        <v>11465</v>
      </c>
      <c r="B366" s="818" t="s">
        <v>3076</v>
      </c>
      <c r="C366" s="814" t="s">
        <v>58</v>
      </c>
      <c r="D366" s="815">
        <v>5.33</v>
      </c>
    </row>
    <row r="367" spans="1:4" s="819" customFormat="1" ht="9.4" customHeight="1" x14ac:dyDescent="0.2">
      <c r="A367" s="859">
        <v>10179</v>
      </c>
      <c r="B367" s="818" t="s">
        <v>3077</v>
      </c>
      <c r="C367" s="814" t="s">
        <v>58</v>
      </c>
      <c r="D367" s="815">
        <v>5.51</v>
      </c>
    </row>
    <row r="368" spans="1:4" s="819" customFormat="1" ht="9.4" customHeight="1" x14ac:dyDescent="0.2">
      <c r="A368" s="859">
        <v>10257</v>
      </c>
      <c r="B368" s="818" t="s">
        <v>3078</v>
      </c>
      <c r="C368" s="814" t="s">
        <v>1910</v>
      </c>
      <c r="D368" s="815">
        <v>56.51</v>
      </c>
    </row>
    <row r="369" spans="1:4" s="819" customFormat="1" ht="9.4" customHeight="1" x14ac:dyDescent="0.2">
      <c r="A369" s="859">
        <v>11512</v>
      </c>
      <c r="B369" s="818" t="s">
        <v>3079</v>
      </c>
      <c r="C369" s="814" t="s">
        <v>1821</v>
      </c>
      <c r="D369" s="815">
        <v>0</v>
      </c>
    </row>
    <row r="370" spans="1:4" s="819" customFormat="1" ht="9.4" customHeight="1" x14ac:dyDescent="0.2">
      <c r="A370" s="859">
        <v>10201</v>
      </c>
      <c r="B370" s="818" t="s">
        <v>3080</v>
      </c>
      <c r="C370" s="814" t="s">
        <v>2218</v>
      </c>
      <c r="D370" s="815">
        <v>84.62</v>
      </c>
    </row>
    <row r="371" spans="1:4" s="819" customFormat="1" ht="9.4" customHeight="1" x14ac:dyDescent="0.2">
      <c r="A371" s="859">
        <v>10378</v>
      </c>
      <c r="B371" s="818" t="s">
        <v>3081</v>
      </c>
      <c r="C371" s="814" t="s">
        <v>1905</v>
      </c>
      <c r="D371" s="815">
        <v>334.06</v>
      </c>
    </row>
    <row r="372" spans="1:4" s="819" customFormat="1" ht="9.4" customHeight="1" x14ac:dyDescent="0.2">
      <c r="A372" s="859">
        <v>10615</v>
      </c>
      <c r="B372" s="818" t="s">
        <v>3082</v>
      </c>
      <c r="C372" s="814" t="s">
        <v>1910</v>
      </c>
      <c r="D372" s="815">
        <v>48.92</v>
      </c>
    </row>
    <row r="373" spans="1:4" s="819" customFormat="1" ht="9.4" customHeight="1" x14ac:dyDescent="0.2">
      <c r="A373" s="859">
        <v>10340</v>
      </c>
      <c r="B373" s="818" t="s">
        <v>3083</v>
      </c>
      <c r="C373" s="814" t="s">
        <v>1905</v>
      </c>
      <c r="D373" s="815">
        <v>462</v>
      </c>
    </row>
    <row r="374" spans="1:4" s="819" customFormat="1" ht="9.4" customHeight="1" x14ac:dyDescent="0.2">
      <c r="A374" s="859">
        <v>10654</v>
      </c>
      <c r="B374" s="818" t="s">
        <v>3084</v>
      </c>
      <c r="C374" s="814" t="s">
        <v>1910</v>
      </c>
      <c r="D374" s="815">
        <v>26.86</v>
      </c>
    </row>
    <row r="375" spans="1:4" s="819" customFormat="1" ht="9.4" customHeight="1" x14ac:dyDescent="0.2">
      <c r="A375" s="859">
        <v>10798</v>
      </c>
      <c r="B375" s="818" t="s">
        <v>3085</v>
      </c>
      <c r="C375" s="814" t="s">
        <v>1910</v>
      </c>
      <c r="D375" s="815">
        <v>53.03</v>
      </c>
    </row>
    <row r="376" spans="1:4" s="819" customFormat="1" ht="9.4" customHeight="1" x14ac:dyDescent="0.2">
      <c r="A376" s="859">
        <v>10191</v>
      </c>
      <c r="B376" s="818" t="s">
        <v>3086</v>
      </c>
      <c r="C376" s="814" t="s">
        <v>58</v>
      </c>
      <c r="D376" s="815">
        <v>4.34</v>
      </c>
    </row>
    <row r="377" spans="1:4" s="819" customFormat="1" ht="9.4" customHeight="1" x14ac:dyDescent="0.2">
      <c r="A377" s="859">
        <v>11407</v>
      </c>
      <c r="B377" s="818" t="s">
        <v>3087</v>
      </c>
      <c r="C377" s="814" t="s">
        <v>1948</v>
      </c>
      <c r="D377" s="815">
        <v>10.32</v>
      </c>
    </row>
    <row r="378" spans="1:4" s="819" customFormat="1" ht="9.4" customHeight="1" x14ac:dyDescent="0.2">
      <c r="A378" s="859">
        <v>10573</v>
      </c>
      <c r="B378" s="818" t="s">
        <v>3088</v>
      </c>
      <c r="C378" s="814" t="s">
        <v>58</v>
      </c>
      <c r="D378" s="815">
        <v>0.08</v>
      </c>
    </row>
    <row r="379" spans="1:4" s="819" customFormat="1" ht="9.4" customHeight="1" x14ac:dyDescent="0.2">
      <c r="A379" s="859">
        <v>10120</v>
      </c>
      <c r="B379" s="818" t="s">
        <v>3089</v>
      </c>
      <c r="C379" s="814" t="s">
        <v>2767</v>
      </c>
      <c r="D379" s="815">
        <v>30.6</v>
      </c>
    </row>
    <row r="380" spans="1:4" s="819" customFormat="1" ht="9.4" customHeight="1" x14ac:dyDescent="0.2">
      <c r="A380" s="859">
        <v>10621</v>
      </c>
      <c r="B380" s="818" t="s">
        <v>3090</v>
      </c>
      <c r="C380" s="814" t="s">
        <v>1948</v>
      </c>
      <c r="D380" s="815">
        <v>7.46</v>
      </c>
    </row>
    <row r="381" spans="1:4" s="819" customFormat="1" ht="9.4" customHeight="1" x14ac:dyDescent="0.2">
      <c r="A381" s="859">
        <v>10624</v>
      </c>
      <c r="B381" s="818" t="s">
        <v>3091</v>
      </c>
      <c r="C381" s="814" t="s">
        <v>1948</v>
      </c>
      <c r="D381" s="815">
        <v>3.52</v>
      </c>
    </row>
    <row r="382" spans="1:4" s="819" customFormat="1" ht="9.4" customHeight="1" x14ac:dyDescent="0.2">
      <c r="A382" s="859">
        <v>10616</v>
      </c>
      <c r="B382" s="818" t="s">
        <v>3092</v>
      </c>
      <c r="C382" s="814" t="s">
        <v>1910</v>
      </c>
      <c r="D382" s="815">
        <v>23.84</v>
      </c>
    </row>
    <row r="383" spans="1:4" s="819" customFormat="1" ht="9.4" customHeight="1" x14ac:dyDescent="0.2">
      <c r="A383" s="859">
        <v>10656</v>
      </c>
      <c r="B383" s="818" t="s">
        <v>3093</v>
      </c>
      <c r="C383" s="814" t="s">
        <v>1910</v>
      </c>
      <c r="D383" s="815">
        <v>44.25</v>
      </c>
    </row>
    <row r="384" spans="1:4" s="819" customFormat="1" ht="9.4" customHeight="1" x14ac:dyDescent="0.2">
      <c r="A384" s="859">
        <v>10778</v>
      </c>
      <c r="B384" s="818" t="s">
        <v>3094</v>
      </c>
      <c r="C384" s="814" t="s">
        <v>1910</v>
      </c>
      <c r="D384" s="815">
        <v>690</v>
      </c>
    </row>
    <row r="385" spans="1:4" s="819" customFormat="1" ht="9.4" customHeight="1" x14ac:dyDescent="0.2">
      <c r="A385" s="859">
        <v>10703</v>
      </c>
      <c r="B385" s="818" t="s">
        <v>3095</v>
      </c>
      <c r="C385" s="814" t="s">
        <v>1910</v>
      </c>
      <c r="D385" s="815">
        <v>598.20000000000005</v>
      </c>
    </row>
    <row r="386" spans="1:4" s="819" customFormat="1" ht="9.4" customHeight="1" x14ac:dyDescent="0.2">
      <c r="A386" s="859">
        <v>10702</v>
      </c>
      <c r="B386" s="818" t="s">
        <v>3096</v>
      </c>
      <c r="C386" s="814" t="s">
        <v>1910</v>
      </c>
      <c r="D386" s="816">
        <v>1357.92</v>
      </c>
    </row>
    <row r="387" spans="1:4" s="819" customFormat="1" ht="9.4" customHeight="1" x14ac:dyDescent="0.2">
      <c r="A387" s="859">
        <v>10701</v>
      </c>
      <c r="B387" s="818" t="s">
        <v>3097</v>
      </c>
      <c r="C387" s="814" t="s">
        <v>1910</v>
      </c>
      <c r="D387" s="816">
        <v>1150.2</v>
      </c>
    </row>
    <row r="388" spans="1:4" s="819" customFormat="1" ht="9.4" customHeight="1" x14ac:dyDescent="0.2">
      <c r="A388" s="859">
        <v>11519</v>
      </c>
      <c r="B388" s="818" t="s">
        <v>3098</v>
      </c>
      <c r="C388" s="814" t="s">
        <v>1910</v>
      </c>
      <c r="D388" s="815">
        <v>164.92</v>
      </c>
    </row>
    <row r="389" spans="1:4" s="819" customFormat="1" ht="9.4" customHeight="1" x14ac:dyDescent="0.2">
      <c r="A389" s="859">
        <v>10063</v>
      </c>
      <c r="B389" s="818" t="s">
        <v>3099</v>
      </c>
      <c r="C389" s="814" t="s">
        <v>1906</v>
      </c>
      <c r="D389" s="816">
        <v>2758.33</v>
      </c>
    </row>
    <row r="390" spans="1:4" s="819" customFormat="1" ht="9.4" customHeight="1" x14ac:dyDescent="0.2">
      <c r="A390" s="859">
        <v>10135</v>
      </c>
      <c r="B390" s="818" t="s">
        <v>3100</v>
      </c>
      <c r="C390" s="814" t="s">
        <v>58</v>
      </c>
      <c r="D390" s="815">
        <v>10.54</v>
      </c>
    </row>
    <row r="391" spans="1:4" s="819" customFormat="1" ht="9.4" customHeight="1" x14ac:dyDescent="0.2">
      <c r="A391" s="859">
        <v>10136</v>
      </c>
      <c r="B391" s="818" t="s">
        <v>3101</v>
      </c>
      <c r="C391" s="814" t="s">
        <v>58</v>
      </c>
      <c r="D391" s="815">
        <v>13.92</v>
      </c>
    </row>
    <row r="392" spans="1:4" s="819" customFormat="1" ht="9.4" customHeight="1" x14ac:dyDescent="0.2">
      <c r="A392" s="859">
        <v>10381</v>
      </c>
      <c r="B392" s="818" t="s">
        <v>3102</v>
      </c>
      <c r="C392" s="814" t="s">
        <v>2755</v>
      </c>
      <c r="D392" s="815">
        <v>87.48</v>
      </c>
    </row>
    <row r="393" spans="1:4" s="819" customFormat="1" ht="9.4" customHeight="1" x14ac:dyDescent="0.2">
      <c r="A393" s="859">
        <v>10617</v>
      </c>
      <c r="B393" s="818" t="s">
        <v>3103</v>
      </c>
      <c r="C393" s="814" t="s">
        <v>2755</v>
      </c>
      <c r="D393" s="815">
        <v>120.82</v>
      </c>
    </row>
    <row r="394" spans="1:4" s="819" customFormat="1" ht="9.4" customHeight="1" x14ac:dyDescent="0.2">
      <c r="A394" s="859">
        <v>10618</v>
      </c>
      <c r="B394" s="818" t="s">
        <v>3104</v>
      </c>
      <c r="C394" s="814" t="s">
        <v>2755</v>
      </c>
      <c r="D394" s="815">
        <v>149.03</v>
      </c>
    </row>
    <row r="395" spans="1:4" s="819" customFormat="1" ht="9.4" customHeight="1" x14ac:dyDescent="0.2">
      <c r="A395" s="859">
        <v>10749</v>
      </c>
      <c r="B395" s="818" t="s">
        <v>3105</v>
      </c>
      <c r="C395" s="814" t="s">
        <v>58</v>
      </c>
      <c r="D395" s="815">
        <v>69.650000000000006</v>
      </c>
    </row>
    <row r="396" spans="1:4" s="819" customFormat="1" ht="9.4" customHeight="1" x14ac:dyDescent="0.2">
      <c r="A396" s="859">
        <v>11487</v>
      </c>
      <c r="B396" s="818" t="s">
        <v>3106</v>
      </c>
      <c r="C396" s="814" t="s">
        <v>1240</v>
      </c>
      <c r="D396" s="815">
        <v>9.48</v>
      </c>
    </row>
    <row r="397" spans="1:4" s="819" customFormat="1" ht="9.4" customHeight="1" x14ac:dyDescent="0.2">
      <c r="A397" s="859">
        <v>11002</v>
      </c>
      <c r="B397" s="818" t="s">
        <v>3107</v>
      </c>
      <c r="C397" s="814" t="s">
        <v>1910</v>
      </c>
      <c r="D397" s="815">
        <v>283.5</v>
      </c>
    </row>
    <row r="398" spans="1:4" s="819" customFormat="1" ht="9.4" customHeight="1" x14ac:dyDescent="0.2">
      <c r="A398" s="859">
        <v>10046</v>
      </c>
      <c r="B398" s="818" t="s">
        <v>3108</v>
      </c>
      <c r="C398" s="814" t="s">
        <v>1910</v>
      </c>
      <c r="D398" s="815">
        <v>20.97</v>
      </c>
    </row>
    <row r="399" spans="1:4" s="819" customFormat="1" ht="9.4" customHeight="1" x14ac:dyDescent="0.2">
      <c r="A399" s="859">
        <v>10069</v>
      </c>
      <c r="B399" s="818" t="s">
        <v>3109</v>
      </c>
      <c r="C399" s="814" t="s">
        <v>2767</v>
      </c>
      <c r="D399" s="815">
        <v>1370.24</v>
      </c>
    </row>
    <row r="400" spans="1:4" s="819" customFormat="1" ht="9.4" customHeight="1" x14ac:dyDescent="0.2">
      <c r="A400" s="859">
        <v>11261</v>
      </c>
      <c r="B400" s="818" t="s">
        <v>3110</v>
      </c>
      <c r="C400" s="814" t="s">
        <v>1948</v>
      </c>
      <c r="D400" s="816">
        <v>4.0999999999999996</v>
      </c>
    </row>
    <row r="401" spans="1:4" s="819" customFormat="1" ht="9.4" customHeight="1" x14ac:dyDescent="0.2">
      <c r="A401" s="859">
        <v>10320</v>
      </c>
      <c r="B401" s="818" t="s">
        <v>3111</v>
      </c>
      <c r="C401" s="814" t="s">
        <v>1910</v>
      </c>
      <c r="D401" s="815">
        <v>1.64</v>
      </c>
    </row>
    <row r="402" spans="1:4" s="819" customFormat="1" ht="9.4" customHeight="1" x14ac:dyDescent="0.2">
      <c r="A402" s="859">
        <v>10165</v>
      </c>
      <c r="B402" s="818" t="s">
        <v>3112</v>
      </c>
      <c r="C402" s="814" t="s">
        <v>1910</v>
      </c>
      <c r="D402" s="815">
        <v>253.01</v>
      </c>
    </row>
    <row r="403" spans="1:4" s="819" customFormat="1" ht="9.4" customHeight="1" x14ac:dyDescent="0.2">
      <c r="A403" s="859">
        <v>10067</v>
      </c>
      <c r="B403" s="818" t="s">
        <v>3113</v>
      </c>
      <c r="C403" s="814" t="s">
        <v>1906</v>
      </c>
      <c r="D403" s="815">
        <v>1012</v>
      </c>
    </row>
    <row r="404" spans="1:4" s="819" customFormat="1" ht="9.4" customHeight="1" x14ac:dyDescent="0.2">
      <c r="A404" s="859">
        <v>10004</v>
      </c>
      <c r="B404" s="818" t="s">
        <v>3114</v>
      </c>
      <c r="C404" s="814" t="s">
        <v>3</v>
      </c>
      <c r="D404" s="816">
        <v>3382.67</v>
      </c>
    </row>
    <row r="405" spans="1:4" s="819" customFormat="1" ht="9.4" customHeight="1" x14ac:dyDescent="0.2">
      <c r="A405" s="859">
        <v>10005</v>
      </c>
      <c r="B405" s="818" t="s">
        <v>3115</v>
      </c>
      <c r="C405" s="814" t="s">
        <v>3</v>
      </c>
      <c r="D405" s="816">
        <v>3579.03</v>
      </c>
    </row>
    <row r="406" spans="1:4" s="819" customFormat="1" ht="9.4" customHeight="1" x14ac:dyDescent="0.2">
      <c r="A406" s="859">
        <v>10776</v>
      </c>
      <c r="B406" s="818" t="s">
        <v>3116</v>
      </c>
      <c r="C406" s="814" t="s">
        <v>3</v>
      </c>
      <c r="D406" s="816">
        <v>3254.38</v>
      </c>
    </row>
    <row r="407" spans="1:4" s="819" customFormat="1" ht="9.4" customHeight="1" x14ac:dyDescent="0.2">
      <c r="A407" s="859">
        <v>10572</v>
      </c>
      <c r="B407" s="818" t="s">
        <v>3117</v>
      </c>
      <c r="C407" s="814" t="s">
        <v>58</v>
      </c>
      <c r="D407" s="816">
        <v>12.94</v>
      </c>
    </row>
    <row r="408" spans="1:4" s="819" customFormat="1" ht="9.4" customHeight="1" x14ac:dyDescent="0.2">
      <c r="A408" s="859">
        <v>10584</v>
      </c>
      <c r="B408" s="818" t="s">
        <v>3118</v>
      </c>
      <c r="C408" s="814" t="s">
        <v>2135</v>
      </c>
      <c r="D408" s="815">
        <v>3069.71</v>
      </c>
    </row>
    <row r="409" spans="1:4" s="819" customFormat="1" ht="9.4" customHeight="1" x14ac:dyDescent="0.2">
      <c r="A409" s="859">
        <v>11504</v>
      </c>
      <c r="B409" s="818" t="s">
        <v>3119</v>
      </c>
      <c r="C409" s="814" t="s">
        <v>58</v>
      </c>
      <c r="D409" s="816">
        <v>8.64</v>
      </c>
    </row>
    <row r="410" spans="1:4" s="819" customFormat="1" ht="9.4" customHeight="1" x14ac:dyDescent="0.2">
      <c r="A410" s="859">
        <v>11558</v>
      </c>
      <c r="B410" s="818" t="s">
        <v>3120</v>
      </c>
      <c r="C410" s="814" t="s">
        <v>1240</v>
      </c>
      <c r="D410" s="815">
        <v>9.42</v>
      </c>
    </row>
    <row r="411" spans="1:4" s="819" customFormat="1" ht="9.4" customHeight="1" x14ac:dyDescent="0.2">
      <c r="A411" s="859">
        <v>10193</v>
      </c>
      <c r="B411" s="818" t="s">
        <v>3121</v>
      </c>
      <c r="C411" s="814" t="s">
        <v>58</v>
      </c>
      <c r="D411" s="815">
        <v>42.95</v>
      </c>
    </row>
    <row r="412" spans="1:4" s="819" customFormat="1" ht="9.4" customHeight="1" x14ac:dyDescent="0.2">
      <c r="A412" s="859">
        <v>10198</v>
      </c>
      <c r="B412" s="818" t="s">
        <v>3122</v>
      </c>
      <c r="C412" s="814" t="s">
        <v>58</v>
      </c>
      <c r="D412" s="815">
        <v>96.22</v>
      </c>
    </row>
    <row r="413" spans="1:4" s="819" customFormat="1" ht="9.4" customHeight="1" x14ac:dyDescent="0.2">
      <c r="A413" s="859">
        <v>10195</v>
      </c>
      <c r="B413" s="818" t="s">
        <v>3123</v>
      </c>
      <c r="C413" s="814" t="s">
        <v>58</v>
      </c>
      <c r="D413" s="815">
        <v>0.7</v>
      </c>
    </row>
    <row r="414" spans="1:4" s="819" customFormat="1" ht="9.4" customHeight="1" x14ac:dyDescent="0.2">
      <c r="A414" s="859">
        <v>10099</v>
      </c>
      <c r="B414" s="818" t="s">
        <v>3124</v>
      </c>
      <c r="C414" s="814" t="s">
        <v>1167</v>
      </c>
      <c r="D414" s="815">
        <v>39.6</v>
      </c>
    </row>
    <row r="415" spans="1:4" s="819" customFormat="1" ht="9.4" customHeight="1" x14ac:dyDescent="0.2">
      <c r="A415" s="859">
        <v>11513</v>
      </c>
      <c r="B415" s="818" t="s">
        <v>3125</v>
      </c>
      <c r="C415" s="814" t="s">
        <v>1948</v>
      </c>
      <c r="D415" s="815">
        <v>197.79</v>
      </c>
    </row>
    <row r="416" spans="1:4" s="819" customFormat="1" ht="9.4" customHeight="1" x14ac:dyDescent="0.2">
      <c r="A416" s="859">
        <v>10122</v>
      </c>
      <c r="B416" s="818" t="s">
        <v>3126</v>
      </c>
      <c r="C416" s="814" t="s">
        <v>1906</v>
      </c>
      <c r="D416" s="815">
        <v>44.22</v>
      </c>
    </row>
    <row r="417" spans="1:4" s="819" customFormat="1" ht="18.399999999999999" customHeight="1" x14ac:dyDescent="0.2">
      <c r="A417" s="859">
        <v>10366</v>
      </c>
      <c r="B417" s="820" t="s">
        <v>3127</v>
      </c>
      <c r="C417" s="814" t="s">
        <v>2755</v>
      </c>
      <c r="D417" s="815">
        <v>115.96</v>
      </c>
    </row>
    <row r="418" spans="1:4" s="819" customFormat="1" ht="9.4" customHeight="1" x14ac:dyDescent="0.2">
      <c r="A418" s="859">
        <v>10374</v>
      </c>
      <c r="B418" s="818" t="s">
        <v>3128</v>
      </c>
      <c r="C418" s="814" t="s">
        <v>1910</v>
      </c>
      <c r="D418" s="815">
        <v>45.13</v>
      </c>
    </row>
    <row r="419" spans="1:4" s="819" customFormat="1" ht="9.4" customHeight="1" x14ac:dyDescent="0.2">
      <c r="A419" s="859">
        <v>10743</v>
      </c>
      <c r="B419" s="818" t="s">
        <v>3129</v>
      </c>
      <c r="C419" s="814" t="s">
        <v>1910</v>
      </c>
      <c r="D419" s="815">
        <v>47.95</v>
      </c>
    </row>
    <row r="420" spans="1:4" s="819" customFormat="1" ht="9.4" customHeight="1" x14ac:dyDescent="0.2">
      <c r="A420" s="859">
        <v>10620</v>
      </c>
      <c r="B420" s="818" t="s">
        <v>3130</v>
      </c>
      <c r="C420" s="814" t="s">
        <v>1948</v>
      </c>
      <c r="D420" s="815">
        <v>9.35</v>
      </c>
    </row>
    <row r="421" spans="1:4" s="819" customFormat="1" ht="9.4" customHeight="1" x14ac:dyDescent="0.2">
      <c r="A421" s="859">
        <v>10065</v>
      </c>
      <c r="B421" s="818" t="s">
        <v>3131</v>
      </c>
      <c r="C421" s="814" t="s">
        <v>1906</v>
      </c>
      <c r="D421" s="815">
        <v>1884</v>
      </c>
    </row>
    <row r="422" spans="1:4" s="819" customFormat="1" ht="9.4" customHeight="1" x14ac:dyDescent="0.2">
      <c r="A422" s="859">
        <v>10061</v>
      </c>
      <c r="B422" s="818" t="s">
        <v>3132</v>
      </c>
      <c r="C422" s="814" t="s">
        <v>2767</v>
      </c>
      <c r="D422" s="815">
        <v>3320</v>
      </c>
    </row>
    <row r="423" spans="1:4" s="819" customFormat="1" ht="9.4" customHeight="1" x14ac:dyDescent="0.2">
      <c r="A423" s="859">
        <v>10359</v>
      </c>
      <c r="B423" s="818" t="s">
        <v>3133</v>
      </c>
      <c r="C423" s="814" t="s">
        <v>1910</v>
      </c>
      <c r="D423" s="816">
        <v>13.03</v>
      </c>
    </row>
    <row r="424" spans="1:4" s="819" customFormat="1" ht="9.4" customHeight="1" x14ac:dyDescent="0.2">
      <c r="A424" s="859">
        <v>10358</v>
      </c>
      <c r="B424" s="818" t="s">
        <v>3134</v>
      </c>
      <c r="C424" s="814" t="s">
        <v>1910</v>
      </c>
      <c r="D424" s="816">
        <v>12.9</v>
      </c>
    </row>
    <row r="425" spans="1:4" s="819" customFormat="1" ht="9.4" customHeight="1" x14ac:dyDescent="0.2">
      <c r="A425" s="859">
        <v>10361</v>
      </c>
      <c r="B425" s="818" t="s">
        <v>3135</v>
      </c>
      <c r="C425" s="814" t="s">
        <v>1910</v>
      </c>
      <c r="D425" s="815">
        <v>40.03</v>
      </c>
    </row>
    <row r="426" spans="1:4" s="819" customFormat="1" ht="9.4" customHeight="1" x14ac:dyDescent="0.2">
      <c r="A426" s="859">
        <v>10360</v>
      </c>
      <c r="B426" s="818" t="s">
        <v>3136</v>
      </c>
      <c r="C426" s="814" t="s">
        <v>1910</v>
      </c>
      <c r="D426" s="815">
        <v>33.450000000000003</v>
      </c>
    </row>
    <row r="427" spans="1:4" s="819" customFormat="1" ht="9.4" customHeight="1" x14ac:dyDescent="0.2">
      <c r="A427" s="859">
        <v>10057</v>
      </c>
      <c r="B427" s="818" t="s">
        <v>3137</v>
      </c>
      <c r="C427" s="814" t="s">
        <v>2767</v>
      </c>
      <c r="D427" s="815">
        <v>1246.67</v>
      </c>
    </row>
    <row r="428" spans="1:4" s="819" customFormat="1" ht="9.4" customHeight="1" x14ac:dyDescent="0.2">
      <c r="A428" s="859">
        <v>10244</v>
      </c>
      <c r="B428" s="818" t="s">
        <v>3138</v>
      </c>
      <c r="C428" s="814" t="s">
        <v>1910</v>
      </c>
      <c r="D428" s="815">
        <v>431.54</v>
      </c>
    </row>
    <row r="429" spans="1:4" s="819" customFormat="1" ht="9.4" customHeight="1" x14ac:dyDescent="0.2">
      <c r="A429" s="859">
        <v>10161</v>
      </c>
      <c r="B429" s="818" t="s">
        <v>3139</v>
      </c>
      <c r="C429" s="814" t="s">
        <v>1910</v>
      </c>
      <c r="D429" s="816">
        <v>42.44</v>
      </c>
    </row>
    <row r="430" spans="1:4" s="819" customFormat="1" ht="9.4" customHeight="1" x14ac:dyDescent="0.2">
      <c r="A430" s="859">
        <v>10182</v>
      </c>
      <c r="B430" s="818" t="s">
        <v>3140</v>
      </c>
      <c r="C430" s="814" t="s">
        <v>2848</v>
      </c>
      <c r="D430" s="815">
        <v>422.56</v>
      </c>
    </row>
    <row r="431" spans="1:4" s="819" customFormat="1" ht="9.4" customHeight="1" x14ac:dyDescent="0.2">
      <c r="A431" s="859">
        <v>10642</v>
      </c>
      <c r="B431" s="818" t="s">
        <v>3141</v>
      </c>
      <c r="C431" s="814" t="s">
        <v>1910</v>
      </c>
      <c r="D431" s="815">
        <v>497.11</v>
      </c>
    </row>
    <row r="432" spans="1:4" s="819" customFormat="1" ht="9.4" customHeight="1" x14ac:dyDescent="0.2">
      <c r="A432" s="859">
        <v>11255</v>
      </c>
      <c r="B432" s="818" t="s">
        <v>3142</v>
      </c>
      <c r="C432" s="814" t="s">
        <v>1905</v>
      </c>
      <c r="D432" s="815">
        <v>53.25</v>
      </c>
    </row>
    <row r="433" spans="1:4" s="819" customFormat="1" ht="9.4" customHeight="1" x14ac:dyDescent="0.2">
      <c r="A433" s="859">
        <v>10635</v>
      </c>
      <c r="B433" s="818" t="s">
        <v>3143</v>
      </c>
      <c r="C433" s="814" t="s">
        <v>58</v>
      </c>
      <c r="D433" s="815">
        <v>5.0199999999999996</v>
      </c>
    </row>
    <row r="434" spans="1:4" s="819" customFormat="1" ht="9.4" customHeight="1" x14ac:dyDescent="0.2">
      <c r="A434" s="859">
        <v>11493</v>
      </c>
      <c r="B434" s="818" t="s">
        <v>3144</v>
      </c>
      <c r="C434" s="814" t="s">
        <v>2724</v>
      </c>
      <c r="D434" s="815">
        <v>6.07</v>
      </c>
    </row>
    <row r="435" spans="1:4" s="819" customFormat="1" ht="9.4" customHeight="1" x14ac:dyDescent="0.2">
      <c r="A435" s="859">
        <v>10649</v>
      </c>
      <c r="B435" s="818" t="s">
        <v>3145</v>
      </c>
      <c r="C435" s="814" t="s">
        <v>2758</v>
      </c>
      <c r="D435" s="815">
        <v>63.01</v>
      </c>
    </row>
    <row r="436" spans="1:4" s="819" customFormat="1" ht="9.4" customHeight="1" x14ac:dyDescent="0.2">
      <c r="A436" s="859">
        <v>10173</v>
      </c>
      <c r="B436" s="818" t="s">
        <v>3146</v>
      </c>
      <c r="C436" s="814" t="s">
        <v>1905</v>
      </c>
      <c r="D436" s="815">
        <v>30.28</v>
      </c>
    </row>
    <row r="437" spans="1:4" s="819" customFormat="1" ht="9.4" customHeight="1" x14ac:dyDescent="0.2">
      <c r="A437" s="859">
        <v>10637</v>
      </c>
      <c r="B437" s="818" t="s">
        <v>3147</v>
      </c>
      <c r="C437" s="814" t="s">
        <v>1905</v>
      </c>
      <c r="D437" s="815">
        <v>14.43</v>
      </c>
    </row>
    <row r="438" spans="1:4" s="819" customFormat="1" ht="9.4" customHeight="1" x14ac:dyDescent="0.2">
      <c r="A438" s="859">
        <v>10172</v>
      </c>
      <c r="B438" s="818" t="s">
        <v>3148</v>
      </c>
      <c r="C438" s="814" t="s">
        <v>1905</v>
      </c>
      <c r="D438" s="815">
        <v>27.75</v>
      </c>
    </row>
    <row r="439" spans="1:4" s="819" customFormat="1" ht="9.4" customHeight="1" x14ac:dyDescent="0.2">
      <c r="A439" s="859">
        <v>10783</v>
      </c>
      <c r="B439" s="818" t="s">
        <v>3149</v>
      </c>
      <c r="C439" s="814" t="s">
        <v>1910</v>
      </c>
      <c r="D439" s="815">
        <v>0.8</v>
      </c>
    </row>
    <row r="440" spans="1:4" s="819" customFormat="1" ht="9.4" customHeight="1" x14ac:dyDescent="0.2">
      <c r="A440" s="859">
        <v>11003</v>
      </c>
      <c r="B440" s="818" t="s">
        <v>3150</v>
      </c>
      <c r="C440" s="814" t="s">
        <v>1905</v>
      </c>
      <c r="D440" s="815">
        <v>21.73</v>
      </c>
    </row>
    <row r="441" spans="1:4" s="819" customFormat="1" ht="9.4" customHeight="1" x14ac:dyDescent="0.2">
      <c r="A441" s="859">
        <v>10818</v>
      </c>
      <c r="B441" s="818" t="s">
        <v>3151</v>
      </c>
      <c r="C441" s="814" t="s">
        <v>3037</v>
      </c>
      <c r="D441" s="815">
        <v>87.3</v>
      </c>
    </row>
    <row r="442" spans="1:4" s="819" customFormat="1" ht="9.4" customHeight="1" x14ac:dyDescent="0.2">
      <c r="A442" s="859">
        <v>10324</v>
      </c>
      <c r="B442" s="818" t="s">
        <v>3152</v>
      </c>
      <c r="C442" s="814" t="s">
        <v>3037</v>
      </c>
      <c r="D442" s="815">
        <v>125.92</v>
      </c>
    </row>
    <row r="443" spans="1:4" s="819" customFormat="1" ht="9.4" customHeight="1" x14ac:dyDescent="0.2">
      <c r="A443" s="859">
        <v>10819</v>
      </c>
      <c r="B443" s="818" t="s">
        <v>3153</v>
      </c>
      <c r="C443" s="814" t="s">
        <v>3037</v>
      </c>
      <c r="D443" s="815">
        <v>95.48</v>
      </c>
    </row>
    <row r="444" spans="1:4" s="819" customFormat="1" ht="9.4" customHeight="1" x14ac:dyDescent="0.2">
      <c r="A444" s="859">
        <v>10325</v>
      </c>
      <c r="B444" s="818" t="s">
        <v>3154</v>
      </c>
      <c r="C444" s="814" t="s">
        <v>3037</v>
      </c>
      <c r="D444" s="815">
        <v>126.65</v>
      </c>
    </row>
    <row r="445" spans="1:4" s="819" customFormat="1" ht="9.4" customHeight="1" x14ac:dyDescent="0.2">
      <c r="A445" s="859">
        <v>10571</v>
      </c>
      <c r="B445" s="818" t="s">
        <v>3155</v>
      </c>
      <c r="C445" s="814" t="s">
        <v>1906</v>
      </c>
      <c r="D445" s="815">
        <v>74.67</v>
      </c>
    </row>
    <row r="446" spans="1:4" s="819" customFormat="1" ht="9.4" customHeight="1" x14ac:dyDescent="0.2">
      <c r="A446" s="859">
        <v>10845</v>
      </c>
      <c r="B446" s="818" t="s">
        <v>3156</v>
      </c>
      <c r="C446" s="814" t="s">
        <v>3037</v>
      </c>
      <c r="D446" s="815">
        <v>585.42999999999995</v>
      </c>
    </row>
    <row r="447" spans="1:4" s="819" customFormat="1" ht="9.4" customHeight="1" x14ac:dyDescent="0.2">
      <c r="A447" s="859">
        <v>10844</v>
      </c>
      <c r="B447" s="818" t="s">
        <v>3157</v>
      </c>
      <c r="C447" s="814" t="s">
        <v>3037</v>
      </c>
      <c r="D447" s="815">
        <v>475.45</v>
      </c>
    </row>
    <row r="448" spans="1:4" s="819" customFormat="1" ht="9.4" customHeight="1" x14ac:dyDescent="0.2">
      <c r="A448" s="859">
        <v>10846</v>
      </c>
      <c r="B448" s="818" t="s">
        <v>3158</v>
      </c>
      <c r="C448" s="814" t="s">
        <v>3037</v>
      </c>
      <c r="D448" s="815">
        <v>640.48</v>
      </c>
    </row>
    <row r="449" spans="1:4" s="819" customFormat="1" ht="9.4" customHeight="1" x14ac:dyDescent="0.2">
      <c r="A449" s="859">
        <v>10842</v>
      </c>
      <c r="B449" s="818" t="s">
        <v>3159</v>
      </c>
      <c r="C449" s="814" t="s">
        <v>3037</v>
      </c>
      <c r="D449" s="815">
        <v>573.71</v>
      </c>
    </row>
    <row r="450" spans="1:4" s="819" customFormat="1" ht="9.4" customHeight="1" x14ac:dyDescent="0.2">
      <c r="A450" s="859">
        <v>10843</v>
      </c>
      <c r="B450" s="818" t="s">
        <v>3160</v>
      </c>
      <c r="C450" s="814" t="s">
        <v>3037</v>
      </c>
      <c r="D450" s="815">
        <v>634.36</v>
      </c>
    </row>
    <row r="451" spans="1:4" s="819" customFormat="1" ht="9.4" customHeight="1" x14ac:dyDescent="0.2">
      <c r="A451" s="859">
        <v>10329</v>
      </c>
      <c r="B451" s="818" t="s">
        <v>3161</v>
      </c>
      <c r="C451" s="814" t="s">
        <v>1905</v>
      </c>
      <c r="D451" s="815">
        <v>39.53</v>
      </c>
    </row>
    <row r="452" spans="1:4" s="819" customFormat="1" ht="9.4" customHeight="1" x14ac:dyDescent="0.2">
      <c r="A452" s="859">
        <v>11567</v>
      </c>
      <c r="B452" s="818" t="s">
        <v>3162</v>
      </c>
      <c r="C452" s="814" t="s">
        <v>1910</v>
      </c>
      <c r="D452" s="815">
        <v>0.31</v>
      </c>
    </row>
    <row r="453" spans="1:4" s="819" customFormat="1" ht="9.4" customHeight="1" x14ac:dyDescent="0.2">
      <c r="A453" s="859">
        <v>10372</v>
      </c>
      <c r="B453" s="818" t="s">
        <v>3163</v>
      </c>
      <c r="C453" s="814" t="s">
        <v>1240</v>
      </c>
      <c r="D453" s="815">
        <v>14.64</v>
      </c>
    </row>
    <row r="454" spans="1:4" s="819" customFormat="1" ht="9.4" customHeight="1" x14ac:dyDescent="0.2">
      <c r="A454" s="859">
        <v>10365</v>
      </c>
      <c r="B454" s="818" t="s">
        <v>3164</v>
      </c>
      <c r="C454" s="814" t="s">
        <v>2755</v>
      </c>
      <c r="D454" s="815">
        <v>315.76</v>
      </c>
    </row>
    <row r="455" spans="1:4" s="819" customFormat="1" ht="9.4" customHeight="1" x14ac:dyDescent="0.2">
      <c r="A455" s="859">
        <v>11521</v>
      </c>
      <c r="B455" s="818" t="s">
        <v>3165</v>
      </c>
      <c r="C455" s="814" t="s">
        <v>1240</v>
      </c>
      <c r="D455" s="815">
        <v>40.51</v>
      </c>
    </row>
    <row r="456" spans="1:4" s="819" customFormat="1" ht="9.4" customHeight="1" x14ac:dyDescent="0.2">
      <c r="A456" s="859">
        <v>10788</v>
      </c>
      <c r="B456" s="818" t="s">
        <v>3166</v>
      </c>
      <c r="C456" s="814" t="s">
        <v>1240</v>
      </c>
      <c r="D456" s="815">
        <v>20.49</v>
      </c>
    </row>
    <row r="457" spans="1:4" s="819" customFormat="1" ht="9.4" customHeight="1" x14ac:dyDescent="0.2">
      <c r="A457" s="859">
        <v>10371</v>
      </c>
      <c r="B457" s="818" t="s">
        <v>3167</v>
      </c>
      <c r="C457" s="814" t="s">
        <v>3168</v>
      </c>
      <c r="D457" s="815">
        <v>180.88</v>
      </c>
    </row>
    <row r="458" spans="1:4" s="819" customFormat="1" ht="9.4" customHeight="1" x14ac:dyDescent="0.2">
      <c r="A458" s="859">
        <v>10317</v>
      </c>
      <c r="B458" s="818" t="s">
        <v>3169</v>
      </c>
      <c r="C458" s="814" t="s">
        <v>3168</v>
      </c>
      <c r="D458" s="815">
        <v>276.66000000000003</v>
      </c>
    </row>
    <row r="459" spans="1:4" s="819" customFormat="1" ht="9.4" customHeight="1" x14ac:dyDescent="0.2">
      <c r="A459" s="859">
        <v>10655</v>
      </c>
      <c r="B459" s="818" t="s">
        <v>3170</v>
      </c>
      <c r="C459" s="814" t="s">
        <v>58</v>
      </c>
      <c r="D459" s="815">
        <v>27.01</v>
      </c>
    </row>
    <row r="460" spans="1:4" s="819" customFormat="1" ht="9.4" customHeight="1" x14ac:dyDescent="0.2">
      <c r="A460" s="859">
        <v>10787</v>
      </c>
      <c r="B460" s="818" t="s">
        <v>3171</v>
      </c>
      <c r="C460" s="814" t="s">
        <v>1240</v>
      </c>
      <c r="D460" s="815">
        <v>8.16</v>
      </c>
    </row>
    <row r="461" spans="1:4" s="819" customFormat="1" ht="9.4" customHeight="1" x14ac:dyDescent="0.2">
      <c r="A461" s="859">
        <v>10339</v>
      </c>
      <c r="B461" s="818" t="s">
        <v>3172</v>
      </c>
      <c r="C461" s="814" t="s">
        <v>3168</v>
      </c>
      <c r="D461" s="815">
        <v>234.72</v>
      </c>
    </row>
    <row r="462" spans="1:4" s="819" customFormat="1" ht="9.4" customHeight="1" x14ac:dyDescent="0.2">
      <c r="A462" s="859">
        <v>10178</v>
      </c>
      <c r="B462" s="818" t="s">
        <v>3173</v>
      </c>
      <c r="C462" s="814" t="s">
        <v>58</v>
      </c>
      <c r="D462" s="815">
        <v>3.16</v>
      </c>
    </row>
    <row r="463" spans="1:4" s="819" customFormat="1" ht="9.4" customHeight="1" x14ac:dyDescent="0.2">
      <c r="A463" s="859">
        <v>10159</v>
      </c>
      <c r="B463" s="818" t="s">
        <v>3174</v>
      </c>
      <c r="C463" s="814" t="s">
        <v>1948</v>
      </c>
      <c r="D463" s="815">
        <v>27.42</v>
      </c>
    </row>
    <row r="464" spans="1:4" s="819" customFormat="1" ht="9.4" customHeight="1" x14ac:dyDescent="0.2">
      <c r="A464" s="859">
        <v>10160</v>
      </c>
      <c r="B464" s="818" t="s">
        <v>3175</v>
      </c>
      <c r="C464" s="814" t="s">
        <v>1948</v>
      </c>
      <c r="D464" s="815">
        <v>66.040000000000006</v>
      </c>
    </row>
    <row r="465" spans="1:4" s="819" customFormat="1" ht="9.4" customHeight="1" x14ac:dyDescent="0.2">
      <c r="A465" s="859">
        <v>11477</v>
      </c>
      <c r="B465" s="818" t="s">
        <v>3176</v>
      </c>
      <c r="C465" s="814" t="s">
        <v>1948</v>
      </c>
      <c r="D465" s="815">
        <v>34.82</v>
      </c>
    </row>
    <row r="466" spans="1:4" s="819" customFormat="1" ht="9.4" customHeight="1" x14ac:dyDescent="0.2">
      <c r="A466" s="859">
        <v>10174</v>
      </c>
      <c r="B466" s="818" t="s">
        <v>3177</v>
      </c>
      <c r="C466" s="814" t="s">
        <v>1948</v>
      </c>
      <c r="D466" s="815">
        <v>26.34</v>
      </c>
    </row>
    <row r="467" spans="1:4" s="819" customFormat="1" ht="9.4" customHeight="1" x14ac:dyDescent="0.2">
      <c r="A467" s="859">
        <v>10217</v>
      </c>
      <c r="B467" s="818" t="s">
        <v>3178</v>
      </c>
      <c r="C467" s="814" t="s">
        <v>1948</v>
      </c>
      <c r="D467" s="815">
        <v>46.2</v>
      </c>
    </row>
    <row r="468" spans="1:4" s="819" customFormat="1" ht="9.4" customHeight="1" x14ac:dyDescent="0.2">
      <c r="A468" s="859">
        <v>10218</v>
      </c>
      <c r="B468" s="818" t="s">
        <v>3179</v>
      </c>
      <c r="C468" s="814" t="s">
        <v>1948</v>
      </c>
      <c r="D468" s="815">
        <v>55.86</v>
      </c>
    </row>
    <row r="469" spans="1:4" s="819" customFormat="1" ht="9.4" customHeight="1" x14ac:dyDescent="0.2">
      <c r="A469" s="859">
        <v>10229</v>
      </c>
      <c r="B469" s="818" t="s">
        <v>3180</v>
      </c>
      <c r="C469" s="814" t="s">
        <v>1948</v>
      </c>
      <c r="D469" s="815">
        <v>62.31</v>
      </c>
    </row>
    <row r="470" spans="1:4" s="819" customFormat="1" ht="9.4" customHeight="1" x14ac:dyDescent="0.2">
      <c r="A470" s="859">
        <v>10219</v>
      </c>
      <c r="B470" s="818" t="s">
        <v>3181</v>
      </c>
      <c r="C470" s="814" t="s">
        <v>1948</v>
      </c>
      <c r="D470" s="815">
        <v>65.81</v>
      </c>
    </row>
    <row r="471" spans="1:4" s="819" customFormat="1" ht="9.4" customHeight="1" x14ac:dyDescent="0.2">
      <c r="A471" s="859">
        <v>10224</v>
      </c>
      <c r="B471" s="818" t="s">
        <v>3182</v>
      </c>
      <c r="C471" s="814" t="s">
        <v>1948</v>
      </c>
      <c r="D471" s="815">
        <v>75.2</v>
      </c>
    </row>
    <row r="472" spans="1:4" s="819" customFormat="1" ht="9.4" customHeight="1" x14ac:dyDescent="0.2">
      <c r="A472" s="859">
        <v>10230</v>
      </c>
      <c r="B472" s="818" t="s">
        <v>3183</v>
      </c>
      <c r="C472" s="814" t="s">
        <v>1948</v>
      </c>
      <c r="D472" s="815">
        <v>73.209999999999994</v>
      </c>
    </row>
    <row r="473" spans="1:4" s="819" customFormat="1" ht="9.4" customHeight="1" x14ac:dyDescent="0.2">
      <c r="A473" s="859">
        <v>10235</v>
      </c>
      <c r="B473" s="818" t="s">
        <v>3184</v>
      </c>
      <c r="C473" s="814" t="s">
        <v>1948</v>
      </c>
      <c r="D473" s="815">
        <v>88.63</v>
      </c>
    </row>
    <row r="474" spans="1:4" s="819" customFormat="1" ht="9.4" customHeight="1" x14ac:dyDescent="0.2">
      <c r="A474" s="859">
        <v>10220</v>
      </c>
      <c r="B474" s="818" t="s">
        <v>3185</v>
      </c>
      <c r="C474" s="814" t="s">
        <v>1948</v>
      </c>
      <c r="D474" s="815">
        <v>126.27</v>
      </c>
    </row>
    <row r="475" spans="1:4" s="819" customFormat="1" ht="9.4" customHeight="1" x14ac:dyDescent="0.2">
      <c r="A475" s="859">
        <v>10225</v>
      </c>
      <c r="B475" s="818" t="s">
        <v>3186</v>
      </c>
      <c r="C475" s="814" t="s">
        <v>1948</v>
      </c>
      <c r="D475" s="815">
        <v>138.59</v>
      </c>
    </row>
    <row r="476" spans="1:4" s="819" customFormat="1" ht="9.4" customHeight="1" x14ac:dyDescent="0.2">
      <c r="A476" s="859">
        <v>10231</v>
      </c>
      <c r="B476" s="818" t="s">
        <v>3187</v>
      </c>
      <c r="C476" s="814" t="s">
        <v>1948</v>
      </c>
      <c r="D476" s="815">
        <v>134.47</v>
      </c>
    </row>
    <row r="477" spans="1:4" s="819" customFormat="1" ht="9.4" customHeight="1" x14ac:dyDescent="0.2">
      <c r="A477" s="859">
        <v>10236</v>
      </c>
      <c r="B477" s="818" t="s">
        <v>3188</v>
      </c>
      <c r="C477" s="814" t="s">
        <v>1948</v>
      </c>
      <c r="D477" s="815">
        <v>163.83000000000001</v>
      </c>
    </row>
    <row r="478" spans="1:4" s="819" customFormat="1" ht="9.4" customHeight="1" x14ac:dyDescent="0.2">
      <c r="A478" s="859">
        <v>10221</v>
      </c>
      <c r="B478" s="818" t="s">
        <v>3189</v>
      </c>
      <c r="C478" s="814" t="s">
        <v>1948</v>
      </c>
      <c r="D478" s="815">
        <v>208.36</v>
      </c>
    </row>
    <row r="479" spans="1:4" s="819" customFormat="1" ht="9.4" customHeight="1" x14ac:dyDescent="0.2">
      <c r="A479" s="859">
        <v>10226</v>
      </c>
      <c r="B479" s="818" t="s">
        <v>3190</v>
      </c>
      <c r="C479" s="814" t="s">
        <v>1948</v>
      </c>
      <c r="D479" s="815">
        <v>215.58</v>
      </c>
    </row>
    <row r="480" spans="1:4" s="819" customFormat="1" ht="9.4" customHeight="1" x14ac:dyDescent="0.2">
      <c r="A480" s="859">
        <v>10232</v>
      </c>
      <c r="B480" s="818" t="s">
        <v>3191</v>
      </c>
      <c r="C480" s="814" t="s">
        <v>1948</v>
      </c>
      <c r="D480" s="815">
        <v>197.19</v>
      </c>
    </row>
    <row r="481" spans="1:4" s="819" customFormat="1" ht="9.4" customHeight="1" x14ac:dyDescent="0.2">
      <c r="A481" s="859">
        <v>10237</v>
      </c>
      <c r="B481" s="818" t="s">
        <v>3192</v>
      </c>
      <c r="C481" s="814" t="s">
        <v>1948</v>
      </c>
      <c r="D481" s="815">
        <v>265.89999999999998</v>
      </c>
    </row>
    <row r="482" spans="1:4" s="819" customFormat="1" ht="9.4" customHeight="1" x14ac:dyDescent="0.2">
      <c r="A482" s="859">
        <v>10240</v>
      </c>
      <c r="B482" s="818" t="s">
        <v>3193</v>
      </c>
      <c r="C482" s="814" t="s">
        <v>1948</v>
      </c>
      <c r="D482" s="815">
        <v>295.44</v>
      </c>
    </row>
    <row r="483" spans="1:4" s="819" customFormat="1" ht="9.4" customHeight="1" x14ac:dyDescent="0.2">
      <c r="A483" s="859">
        <v>10222</v>
      </c>
      <c r="B483" s="818" t="s">
        <v>3194</v>
      </c>
      <c r="C483" s="814" t="s">
        <v>1948</v>
      </c>
      <c r="D483" s="815">
        <v>309.89999999999998</v>
      </c>
    </row>
    <row r="484" spans="1:4" s="819" customFormat="1" ht="9.4" customHeight="1" x14ac:dyDescent="0.2">
      <c r="A484" s="859">
        <v>10227</v>
      </c>
      <c r="B484" s="818" t="s">
        <v>3195</v>
      </c>
      <c r="C484" s="814" t="s">
        <v>1948</v>
      </c>
      <c r="D484" s="815">
        <v>301.17</v>
      </c>
    </row>
    <row r="485" spans="1:4" s="819" customFormat="1" ht="9.4" customHeight="1" x14ac:dyDescent="0.2">
      <c r="A485" s="859">
        <v>10233</v>
      </c>
      <c r="B485" s="818" t="s">
        <v>3196</v>
      </c>
      <c r="C485" s="814" t="s">
        <v>1948</v>
      </c>
      <c r="D485" s="815">
        <v>297.35000000000002</v>
      </c>
    </row>
    <row r="486" spans="1:4" s="819" customFormat="1" ht="9.4" customHeight="1" x14ac:dyDescent="0.2">
      <c r="A486" s="859">
        <v>10238</v>
      </c>
      <c r="B486" s="818" t="s">
        <v>3197</v>
      </c>
      <c r="C486" s="814" t="s">
        <v>1948</v>
      </c>
      <c r="D486" s="815">
        <v>359.9</v>
      </c>
    </row>
    <row r="487" spans="1:4" s="819" customFormat="1" ht="9.4" customHeight="1" x14ac:dyDescent="0.2">
      <c r="A487" s="859">
        <v>10241</v>
      </c>
      <c r="B487" s="818" t="s">
        <v>3198</v>
      </c>
      <c r="C487" s="814" t="s">
        <v>1948</v>
      </c>
      <c r="D487" s="815">
        <v>418.99</v>
      </c>
    </row>
    <row r="488" spans="1:4" s="819" customFormat="1" ht="9.4" customHeight="1" x14ac:dyDescent="0.2">
      <c r="A488" s="859">
        <v>10223</v>
      </c>
      <c r="B488" s="818" t="s">
        <v>3199</v>
      </c>
      <c r="C488" s="814" t="s">
        <v>1948</v>
      </c>
      <c r="D488" s="815">
        <v>440.29</v>
      </c>
    </row>
    <row r="489" spans="1:4" s="819" customFormat="1" ht="9.4" customHeight="1" x14ac:dyDescent="0.2">
      <c r="A489" s="859">
        <v>10228</v>
      </c>
      <c r="B489" s="818" t="s">
        <v>3200</v>
      </c>
      <c r="C489" s="814" t="s">
        <v>1948</v>
      </c>
      <c r="D489" s="815">
        <v>453.01</v>
      </c>
    </row>
    <row r="490" spans="1:4" s="819" customFormat="1" ht="9.4" customHeight="1" x14ac:dyDescent="0.2">
      <c r="A490" s="859">
        <v>10234</v>
      </c>
      <c r="B490" s="818" t="s">
        <v>3201</v>
      </c>
      <c r="C490" s="814" t="s">
        <v>1948</v>
      </c>
      <c r="D490" s="815">
        <v>435.1</v>
      </c>
    </row>
    <row r="491" spans="1:4" s="819" customFormat="1" ht="9.4" customHeight="1" x14ac:dyDescent="0.2">
      <c r="A491" s="859">
        <v>10239</v>
      </c>
      <c r="B491" s="818" t="s">
        <v>3202</v>
      </c>
      <c r="C491" s="814" t="s">
        <v>1948</v>
      </c>
      <c r="D491" s="815">
        <v>547.91</v>
      </c>
    </row>
    <row r="492" spans="1:4" s="819" customFormat="1" ht="9.4" customHeight="1" x14ac:dyDescent="0.2">
      <c r="A492" s="859">
        <v>10242</v>
      </c>
      <c r="B492" s="818" t="s">
        <v>3203</v>
      </c>
      <c r="C492" s="814" t="s">
        <v>1948</v>
      </c>
      <c r="D492" s="815">
        <v>590.88</v>
      </c>
    </row>
    <row r="493" spans="1:4" s="819" customFormat="1" ht="9.4" customHeight="1" x14ac:dyDescent="0.2">
      <c r="A493" s="859">
        <v>10209</v>
      </c>
      <c r="B493" s="818" t="s">
        <v>3204</v>
      </c>
      <c r="C493" s="814" t="s">
        <v>1948</v>
      </c>
      <c r="D493" s="815">
        <v>28.47</v>
      </c>
    </row>
    <row r="494" spans="1:4" s="819" customFormat="1" ht="9.4" customHeight="1" x14ac:dyDescent="0.2">
      <c r="A494" s="859">
        <v>10213</v>
      </c>
      <c r="B494" s="818" t="s">
        <v>3205</v>
      </c>
      <c r="C494" s="814" t="s">
        <v>1948</v>
      </c>
      <c r="D494" s="815">
        <v>27.22</v>
      </c>
    </row>
    <row r="495" spans="1:4" s="819" customFormat="1" ht="9.4" customHeight="1" x14ac:dyDescent="0.2">
      <c r="A495" s="859">
        <v>10210</v>
      </c>
      <c r="B495" s="818" t="s">
        <v>3206</v>
      </c>
      <c r="C495" s="814" t="s">
        <v>1948</v>
      </c>
      <c r="D495" s="815">
        <v>35.130000000000003</v>
      </c>
    </row>
    <row r="496" spans="1:4" s="819" customFormat="1" ht="9.4" customHeight="1" x14ac:dyDescent="0.2">
      <c r="A496" s="859">
        <v>10214</v>
      </c>
      <c r="B496" s="818" t="s">
        <v>3207</v>
      </c>
      <c r="C496" s="814" t="s">
        <v>1948</v>
      </c>
      <c r="D496" s="815">
        <v>36.17</v>
      </c>
    </row>
    <row r="497" spans="1:4" s="819" customFormat="1" ht="9.4" customHeight="1" x14ac:dyDescent="0.2">
      <c r="A497" s="859">
        <v>10211</v>
      </c>
      <c r="B497" s="818" t="s">
        <v>3208</v>
      </c>
      <c r="C497" s="814" t="s">
        <v>1948</v>
      </c>
      <c r="D497" s="815">
        <v>42.18</v>
      </c>
    </row>
    <row r="498" spans="1:4" s="819" customFormat="1" ht="9.4" customHeight="1" x14ac:dyDescent="0.2">
      <c r="A498" s="859">
        <v>10215</v>
      </c>
      <c r="B498" s="818" t="s">
        <v>3209</v>
      </c>
      <c r="C498" s="814" t="s">
        <v>62</v>
      </c>
      <c r="D498" s="815">
        <v>46.55</v>
      </c>
    </row>
    <row r="499" spans="1:4" s="819" customFormat="1" ht="9.4" customHeight="1" x14ac:dyDescent="0.2">
      <c r="A499" s="859">
        <v>10212</v>
      </c>
      <c r="B499" s="818" t="s">
        <v>3210</v>
      </c>
      <c r="C499" s="814" t="s">
        <v>1948</v>
      </c>
      <c r="D499" s="815">
        <v>64.97</v>
      </c>
    </row>
    <row r="500" spans="1:4" s="819" customFormat="1" ht="9.4" customHeight="1" x14ac:dyDescent="0.2">
      <c r="A500" s="859">
        <v>10216</v>
      </c>
      <c r="B500" s="818" t="s">
        <v>3211</v>
      </c>
      <c r="C500" s="814" t="s">
        <v>62</v>
      </c>
      <c r="D500" s="815">
        <v>66.25</v>
      </c>
    </row>
    <row r="501" spans="1:4" s="819" customFormat="1" ht="9.4" customHeight="1" x14ac:dyDescent="0.2">
      <c r="A501" s="859">
        <v>10304</v>
      </c>
      <c r="B501" s="818" t="s">
        <v>3212</v>
      </c>
      <c r="C501" s="814" t="s">
        <v>2922</v>
      </c>
      <c r="D501" s="815">
        <v>54.6</v>
      </c>
    </row>
    <row r="502" spans="1:4" s="819" customFormat="1" ht="9.4" customHeight="1" x14ac:dyDescent="0.2">
      <c r="A502" s="859">
        <v>10813</v>
      </c>
      <c r="B502" s="818" t="s">
        <v>3213</v>
      </c>
      <c r="C502" s="814" t="s">
        <v>1948</v>
      </c>
      <c r="D502" s="815">
        <v>9.7100000000000009</v>
      </c>
    </row>
    <row r="503" spans="1:4" s="819" customFormat="1" ht="9.4" customHeight="1" x14ac:dyDescent="0.2">
      <c r="A503" s="859">
        <v>10661</v>
      </c>
      <c r="B503" s="818" t="s">
        <v>3214</v>
      </c>
      <c r="C503" s="814" t="s">
        <v>1948</v>
      </c>
      <c r="D503" s="815">
        <v>30.73</v>
      </c>
    </row>
    <row r="504" spans="1:4" s="819" customFormat="1" ht="9.4" customHeight="1" x14ac:dyDescent="0.2">
      <c r="A504" s="859">
        <v>10658</v>
      </c>
      <c r="B504" s="818" t="s">
        <v>3215</v>
      </c>
      <c r="C504" s="814" t="s">
        <v>1948</v>
      </c>
      <c r="D504" s="815">
        <v>51.34</v>
      </c>
    </row>
    <row r="505" spans="1:4" s="819" customFormat="1" ht="9.4" customHeight="1" x14ac:dyDescent="0.2">
      <c r="A505" s="859">
        <v>10688</v>
      </c>
      <c r="B505" s="818" t="s">
        <v>3216</v>
      </c>
      <c r="C505" s="814" t="s">
        <v>1948</v>
      </c>
      <c r="D505" s="815">
        <v>26.33</v>
      </c>
    </row>
    <row r="506" spans="1:4" s="819" customFormat="1" ht="9.4" customHeight="1" x14ac:dyDescent="0.2">
      <c r="A506" s="859">
        <v>10687</v>
      </c>
      <c r="B506" s="818" t="s">
        <v>3217</v>
      </c>
      <c r="C506" s="814" t="s">
        <v>1948</v>
      </c>
      <c r="D506" s="815">
        <v>12.68</v>
      </c>
    </row>
    <row r="507" spans="1:4" s="819" customFormat="1" ht="9.4" customHeight="1" x14ac:dyDescent="0.2">
      <c r="A507" s="859">
        <v>10306</v>
      </c>
      <c r="B507" s="818" t="s">
        <v>3218</v>
      </c>
      <c r="C507" s="814" t="s">
        <v>2922</v>
      </c>
      <c r="D507" s="815">
        <v>56.16</v>
      </c>
    </row>
    <row r="508" spans="1:4" s="819" customFormat="1" ht="9.4" customHeight="1" x14ac:dyDescent="0.2">
      <c r="A508" s="859">
        <v>10307</v>
      </c>
      <c r="B508" s="818" t="s">
        <v>3219</v>
      </c>
      <c r="C508" s="814" t="s">
        <v>2922</v>
      </c>
      <c r="D508" s="815">
        <v>86.82</v>
      </c>
    </row>
    <row r="509" spans="1:4" s="819" customFormat="1" ht="9.4" customHeight="1" x14ac:dyDescent="0.2">
      <c r="A509" s="859">
        <v>10308</v>
      </c>
      <c r="B509" s="818" t="s">
        <v>3220</v>
      </c>
      <c r="C509" s="814" t="s">
        <v>2922</v>
      </c>
      <c r="D509" s="815">
        <v>70.930000000000007</v>
      </c>
    </row>
    <row r="510" spans="1:4" s="819" customFormat="1" ht="9.4" customHeight="1" x14ac:dyDescent="0.2">
      <c r="A510" s="859">
        <v>10648</v>
      </c>
      <c r="B510" s="818" t="s">
        <v>3221</v>
      </c>
      <c r="C510" s="814" t="s">
        <v>1910</v>
      </c>
      <c r="D510" s="815">
        <v>33.119999999999997</v>
      </c>
    </row>
    <row r="511" spans="1:4" s="819" customFormat="1" ht="9.4" customHeight="1" x14ac:dyDescent="0.2">
      <c r="A511" s="859">
        <v>10631</v>
      </c>
      <c r="B511" s="818" t="s">
        <v>3222</v>
      </c>
      <c r="C511" s="814" t="s">
        <v>1910</v>
      </c>
      <c r="D511" s="815">
        <v>52.16</v>
      </c>
    </row>
    <row r="512" spans="1:4" s="819" customFormat="1" ht="9.4" customHeight="1" x14ac:dyDescent="0.2">
      <c r="A512" s="859">
        <v>10690</v>
      </c>
      <c r="B512" s="818" t="s">
        <v>3223</v>
      </c>
      <c r="C512" s="814" t="s">
        <v>1948</v>
      </c>
      <c r="D512" s="815">
        <v>25.34</v>
      </c>
    </row>
    <row r="513" spans="1:4" s="819" customFormat="1" ht="9.4" customHeight="1" x14ac:dyDescent="0.2">
      <c r="A513" s="859">
        <v>10752</v>
      </c>
      <c r="B513" s="818" t="s">
        <v>3224</v>
      </c>
      <c r="C513" s="814" t="s">
        <v>1948</v>
      </c>
      <c r="D513" s="815">
        <v>2.15</v>
      </c>
    </row>
    <row r="514" spans="1:4" s="819" customFormat="1" ht="9.4" customHeight="1" x14ac:dyDescent="0.2">
      <c r="A514" s="859">
        <v>10753</v>
      </c>
      <c r="B514" s="818" t="s">
        <v>3225</v>
      </c>
      <c r="C514" s="814" t="s">
        <v>1948</v>
      </c>
      <c r="D514" s="815">
        <v>2.56</v>
      </c>
    </row>
    <row r="515" spans="1:4" s="819" customFormat="1" ht="9.4" customHeight="1" x14ac:dyDescent="0.2">
      <c r="A515" s="859">
        <v>10754</v>
      </c>
      <c r="B515" s="818" t="s">
        <v>3226</v>
      </c>
      <c r="C515" s="814" t="s">
        <v>1948</v>
      </c>
      <c r="D515" s="815">
        <v>5.89</v>
      </c>
    </row>
    <row r="516" spans="1:4" s="819" customFormat="1" ht="9.4" customHeight="1" x14ac:dyDescent="0.2">
      <c r="A516" s="859">
        <v>10303</v>
      </c>
      <c r="B516" s="818" t="s">
        <v>3227</v>
      </c>
      <c r="C516" s="814" t="s">
        <v>1948</v>
      </c>
      <c r="D516" s="815">
        <v>8.16</v>
      </c>
    </row>
    <row r="517" spans="1:4" s="819" customFormat="1" ht="9.4" customHeight="1" x14ac:dyDescent="0.2">
      <c r="A517" s="859">
        <v>10684</v>
      </c>
      <c r="B517" s="818" t="s">
        <v>3228</v>
      </c>
      <c r="C517" s="814" t="s">
        <v>1948</v>
      </c>
      <c r="D517" s="815">
        <v>1.94</v>
      </c>
    </row>
    <row r="518" spans="1:4" s="819" customFormat="1" ht="9.4" customHeight="1" x14ac:dyDescent="0.2">
      <c r="A518" s="859">
        <v>10682</v>
      </c>
      <c r="B518" s="818" t="s">
        <v>3229</v>
      </c>
      <c r="C518" s="814" t="s">
        <v>1948</v>
      </c>
      <c r="D518" s="815">
        <v>2.69</v>
      </c>
    </row>
    <row r="519" spans="1:4" s="819" customFormat="1" ht="9.4" customHeight="1" x14ac:dyDescent="0.2">
      <c r="A519" s="859">
        <v>10683</v>
      </c>
      <c r="B519" s="818" t="s">
        <v>3230</v>
      </c>
      <c r="C519" s="814" t="s">
        <v>1948</v>
      </c>
      <c r="D519" s="815">
        <v>4.7300000000000004</v>
      </c>
    </row>
    <row r="520" spans="1:4" s="819" customFormat="1" ht="9.4" customHeight="1" x14ac:dyDescent="0.2">
      <c r="A520" s="859">
        <v>10258</v>
      </c>
      <c r="B520" s="818" t="s">
        <v>3231</v>
      </c>
      <c r="C520" s="814" t="s">
        <v>1948</v>
      </c>
      <c r="D520" s="815">
        <v>5.8</v>
      </c>
    </row>
    <row r="521" spans="1:4" s="819" customFormat="1" ht="9.4" customHeight="1" x14ac:dyDescent="0.2">
      <c r="A521" s="859">
        <v>10800</v>
      </c>
      <c r="B521" s="818" t="s">
        <v>3232</v>
      </c>
      <c r="C521" s="814" t="s">
        <v>1948</v>
      </c>
      <c r="D521" s="815">
        <v>3.61</v>
      </c>
    </row>
    <row r="522" spans="1:4" s="819" customFormat="1" ht="9.4" customHeight="1" x14ac:dyDescent="0.2">
      <c r="A522" s="859">
        <v>10249</v>
      </c>
      <c r="B522" s="818" t="s">
        <v>3233</v>
      </c>
      <c r="C522" s="814" t="s">
        <v>1948</v>
      </c>
      <c r="D522" s="815">
        <v>20.59</v>
      </c>
    </row>
    <row r="523" spans="1:4" s="819" customFormat="1" ht="9.4" customHeight="1" x14ac:dyDescent="0.2">
      <c r="A523" s="859">
        <v>10515</v>
      </c>
      <c r="B523" s="818" t="s">
        <v>3234</v>
      </c>
      <c r="C523" s="814" t="s">
        <v>1821</v>
      </c>
      <c r="D523" s="815">
        <v>0</v>
      </c>
    </row>
    <row r="524" spans="1:4" s="819" customFormat="1" ht="9.4" customHeight="1" x14ac:dyDescent="0.2">
      <c r="A524" s="859">
        <v>10516</v>
      </c>
      <c r="B524" s="818" t="s">
        <v>3235</v>
      </c>
      <c r="C524" s="814" t="s">
        <v>1821</v>
      </c>
      <c r="D524" s="815">
        <v>0</v>
      </c>
    </row>
    <row r="525" spans="1:4" s="819" customFormat="1" ht="9.4" customHeight="1" x14ac:dyDescent="0.2">
      <c r="A525" s="859">
        <v>10514</v>
      </c>
      <c r="B525" s="818" t="s">
        <v>3236</v>
      </c>
      <c r="C525" s="814" t="s">
        <v>1821</v>
      </c>
      <c r="D525" s="815">
        <v>0</v>
      </c>
    </row>
    <row r="526" spans="1:4" s="819" customFormat="1" ht="9.4" customHeight="1" x14ac:dyDescent="0.2">
      <c r="A526" s="859">
        <v>10513</v>
      </c>
      <c r="B526" s="818" t="s">
        <v>3237</v>
      </c>
      <c r="C526" s="814" t="s">
        <v>1821</v>
      </c>
      <c r="D526" s="815">
        <v>0</v>
      </c>
    </row>
    <row r="527" spans="1:4" s="819" customFormat="1" ht="9.4" customHeight="1" x14ac:dyDescent="0.2">
      <c r="A527" s="859">
        <v>10330</v>
      </c>
      <c r="B527" s="818" t="s">
        <v>3238</v>
      </c>
      <c r="C527" s="814" t="s">
        <v>1910</v>
      </c>
      <c r="D527" s="815">
        <v>11.28</v>
      </c>
    </row>
    <row r="528" spans="1:4" s="819" customFormat="1" ht="9.4" customHeight="1" x14ac:dyDescent="0.2">
      <c r="A528" s="859">
        <v>10328</v>
      </c>
      <c r="B528" s="818" t="s">
        <v>3239</v>
      </c>
      <c r="C528" s="814" t="s">
        <v>2755</v>
      </c>
      <c r="D528" s="815">
        <v>59.63</v>
      </c>
    </row>
    <row r="529" spans="1:4" s="819" customFormat="1" ht="9.4" customHeight="1" x14ac:dyDescent="0.2">
      <c r="A529" s="859">
        <v>10463</v>
      </c>
      <c r="B529" s="818" t="s">
        <v>3240</v>
      </c>
      <c r="C529" s="814" t="s">
        <v>1910</v>
      </c>
      <c r="D529" s="815">
        <v>8049.35</v>
      </c>
    </row>
    <row r="530" spans="1:4" s="819" customFormat="1" ht="9.4" customHeight="1" x14ac:dyDescent="0.2">
      <c r="A530" s="859">
        <v>10464</v>
      </c>
      <c r="B530" s="818" t="s">
        <v>3241</v>
      </c>
      <c r="C530" s="814" t="s">
        <v>1910</v>
      </c>
      <c r="D530" s="815">
        <v>10216.629999999999</v>
      </c>
    </row>
    <row r="531" spans="1:4" s="819" customFormat="1" ht="9.4" customHeight="1" x14ac:dyDescent="0.2">
      <c r="A531" s="859">
        <v>10465</v>
      </c>
      <c r="B531" s="818" t="s">
        <v>3242</v>
      </c>
      <c r="C531" s="814" t="s">
        <v>1910</v>
      </c>
      <c r="D531" s="815">
        <v>12847.28</v>
      </c>
    </row>
    <row r="532" spans="1:4" s="819" customFormat="1" ht="9.4" customHeight="1" x14ac:dyDescent="0.2">
      <c r="A532" s="859">
        <v>10466</v>
      </c>
      <c r="B532" s="818" t="s">
        <v>3243</v>
      </c>
      <c r="C532" s="814" t="s">
        <v>1910</v>
      </c>
      <c r="D532" s="816">
        <v>16430.509999999998</v>
      </c>
    </row>
    <row r="533" spans="1:4" s="819" customFormat="1" ht="9.4" customHeight="1" x14ac:dyDescent="0.2">
      <c r="A533" s="859">
        <v>10467</v>
      </c>
      <c r="B533" s="818" t="s">
        <v>3244</v>
      </c>
      <c r="C533" s="814" t="s">
        <v>1910</v>
      </c>
      <c r="D533" s="816">
        <v>20109.71</v>
      </c>
    </row>
    <row r="534" spans="1:4" s="819" customFormat="1" ht="9.4" customHeight="1" x14ac:dyDescent="0.2">
      <c r="A534" s="859">
        <v>10468</v>
      </c>
      <c r="B534" s="818" t="s">
        <v>3245</v>
      </c>
      <c r="C534" s="814" t="s">
        <v>1910</v>
      </c>
      <c r="D534" s="816">
        <v>23407.06</v>
      </c>
    </row>
    <row r="535" spans="1:4" s="819" customFormat="1" ht="9.4" customHeight="1" x14ac:dyDescent="0.2">
      <c r="A535" s="859">
        <v>10469</v>
      </c>
      <c r="B535" s="818" t="s">
        <v>3246</v>
      </c>
      <c r="C535" s="814" t="s">
        <v>1910</v>
      </c>
      <c r="D535" s="816">
        <v>26308.62</v>
      </c>
    </row>
    <row r="536" spans="1:4" s="819" customFormat="1" ht="9.4" customHeight="1" x14ac:dyDescent="0.2">
      <c r="A536" s="859">
        <v>10470</v>
      </c>
      <c r="B536" s="818" t="s">
        <v>3247</v>
      </c>
      <c r="C536" s="814" t="s">
        <v>1910</v>
      </c>
      <c r="D536" s="816">
        <v>28612.13</v>
      </c>
    </row>
    <row r="537" spans="1:4" s="819" customFormat="1" ht="9.4" customHeight="1" x14ac:dyDescent="0.2">
      <c r="A537" s="859">
        <v>10471</v>
      </c>
      <c r="B537" s="818" t="s">
        <v>3248</v>
      </c>
      <c r="C537" s="814" t="s">
        <v>1910</v>
      </c>
      <c r="D537" s="816">
        <v>33947.74</v>
      </c>
    </row>
    <row r="538" spans="1:4" s="819" customFormat="1" ht="9.4" customHeight="1" x14ac:dyDescent="0.2">
      <c r="A538" s="859">
        <v>10472</v>
      </c>
      <c r="B538" s="818" t="s">
        <v>3249</v>
      </c>
      <c r="C538" s="814" t="s">
        <v>1910</v>
      </c>
      <c r="D538" s="816">
        <v>38378.269999999997</v>
      </c>
    </row>
    <row r="539" spans="1:4" s="819" customFormat="1" ht="9.4" customHeight="1" x14ac:dyDescent="0.2">
      <c r="A539" s="859">
        <v>10473</v>
      </c>
      <c r="B539" s="818" t="s">
        <v>3250</v>
      </c>
      <c r="C539" s="814" t="s">
        <v>1910</v>
      </c>
      <c r="D539" s="816">
        <v>42491.44</v>
      </c>
    </row>
    <row r="540" spans="1:4" s="819" customFormat="1" ht="9.4" customHeight="1" x14ac:dyDescent="0.2">
      <c r="A540" s="859">
        <v>10474</v>
      </c>
      <c r="B540" s="818" t="s">
        <v>3251</v>
      </c>
      <c r="C540" s="814" t="s">
        <v>1910</v>
      </c>
      <c r="D540" s="816">
        <v>45779.5</v>
      </c>
    </row>
    <row r="541" spans="1:4" s="819" customFormat="1" ht="9.4" customHeight="1" x14ac:dyDescent="0.2">
      <c r="A541" s="859">
        <v>10790</v>
      </c>
      <c r="B541" s="818" t="s">
        <v>3252</v>
      </c>
      <c r="C541" s="814" t="s">
        <v>1240</v>
      </c>
      <c r="D541" s="816">
        <v>24.3</v>
      </c>
    </row>
    <row r="542" spans="1:4" s="819" customFormat="1" ht="9.4" customHeight="1" x14ac:dyDescent="0.2">
      <c r="A542" s="859">
        <v>10473</v>
      </c>
      <c r="B542" s="818" t="s">
        <v>1800</v>
      </c>
      <c r="C542" s="814" t="s">
        <v>1826</v>
      </c>
      <c r="D542" s="816">
        <v>39850.550000000003</v>
      </c>
    </row>
    <row r="543" spans="1:4" s="819" customFormat="1" ht="9.4" customHeight="1" x14ac:dyDescent="0.2">
      <c r="A543" s="859">
        <v>10474</v>
      </c>
      <c r="B543" s="818" t="s">
        <v>1801</v>
      </c>
      <c r="C543" s="814" t="s">
        <v>1826</v>
      </c>
      <c r="D543" s="816">
        <v>42934.26</v>
      </c>
    </row>
    <row r="544" spans="1:4" s="819" customFormat="1" ht="9.4" customHeight="1" x14ac:dyDescent="0.2">
      <c r="A544" s="859">
        <v>10790</v>
      </c>
      <c r="B544" s="818" t="s">
        <v>1802</v>
      </c>
      <c r="C544" s="814" t="s">
        <v>1799</v>
      </c>
      <c r="D544" s="815">
        <v>21.42</v>
      </c>
    </row>
    <row r="546" spans="1:4" x14ac:dyDescent="0.25">
      <c r="A546" s="552"/>
      <c r="B546" s="552"/>
    </row>
    <row r="547" spans="1:4" x14ac:dyDescent="0.25">
      <c r="A547" s="552"/>
      <c r="B547" s="552"/>
    </row>
    <row r="548" spans="1:4" x14ac:dyDescent="0.25">
      <c r="A548" s="552"/>
      <c r="B548" s="552"/>
    </row>
    <row r="549" spans="1:4" x14ac:dyDescent="0.25">
      <c r="A549" s="552"/>
      <c r="B549" s="552"/>
    </row>
    <row r="550" spans="1:4" x14ac:dyDescent="0.25">
      <c r="A550" s="552"/>
      <c r="B550" s="552"/>
    </row>
    <row r="551" spans="1:4" x14ac:dyDescent="0.25">
      <c r="A551" s="552"/>
      <c r="B551" s="552"/>
    </row>
    <row r="552" spans="1:4" x14ac:dyDescent="0.25">
      <c r="A552" s="552"/>
      <c r="B552" s="552"/>
    </row>
    <row r="553" spans="1:4" x14ac:dyDescent="0.25">
      <c r="A553" s="552"/>
      <c r="B553" s="552"/>
    </row>
    <row r="554" spans="1:4" x14ac:dyDescent="0.25">
      <c r="A554" s="552"/>
      <c r="B554" s="552"/>
    </row>
    <row r="555" spans="1:4" x14ac:dyDescent="0.25">
      <c r="A555" s="552"/>
      <c r="B555" s="552"/>
    </row>
    <row r="556" spans="1:4" x14ac:dyDescent="0.25">
      <c r="A556" s="552"/>
      <c r="B556" s="552"/>
    </row>
    <row r="557" spans="1:4" x14ac:dyDescent="0.25">
      <c r="A557" s="552"/>
      <c r="B557" s="552"/>
    </row>
    <row r="558" spans="1:4" x14ac:dyDescent="0.25">
      <c r="A558" s="552"/>
      <c r="B558" s="552"/>
    </row>
    <row r="559" spans="1:4" x14ac:dyDescent="0.25">
      <c r="A559" s="552"/>
      <c r="B559" s="552"/>
      <c r="C559" s="198"/>
      <c r="D559" s="198"/>
    </row>
    <row r="560" spans="1:4" x14ac:dyDescent="0.25">
      <c r="A560" s="552"/>
      <c r="B560" s="552"/>
      <c r="C560" s="198"/>
      <c r="D560" s="198"/>
    </row>
    <row r="561" spans="1:4" x14ac:dyDescent="0.25">
      <c r="A561" s="552"/>
      <c r="B561" s="552"/>
      <c r="C561" s="198"/>
      <c r="D561" s="198"/>
    </row>
    <row r="562" spans="1:4" x14ac:dyDescent="0.25">
      <c r="A562" s="552"/>
      <c r="B562" s="552"/>
      <c r="C562" s="198"/>
      <c r="D562" s="198"/>
    </row>
    <row r="563" spans="1:4" x14ac:dyDescent="0.25">
      <c r="A563" s="552"/>
      <c r="B563" s="552"/>
      <c r="C563" s="198"/>
      <c r="D563" s="198"/>
    </row>
    <row r="564" spans="1:4" x14ac:dyDescent="0.25">
      <c r="A564" s="552"/>
      <c r="B564" s="552"/>
      <c r="C564" s="198"/>
      <c r="D564" s="198"/>
    </row>
    <row r="565" spans="1:4" x14ac:dyDescent="0.25">
      <c r="A565" s="552"/>
      <c r="B565" s="552"/>
      <c r="C565" s="198"/>
      <c r="D565" s="198"/>
    </row>
    <row r="566" spans="1:4" x14ac:dyDescent="0.25">
      <c r="A566" s="552"/>
      <c r="B566" s="552"/>
      <c r="C566" s="198"/>
      <c r="D566" s="198"/>
    </row>
    <row r="567" spans="1:4" x14ac:dyDescent="0.25">
      <c r="A567" s="552"/>
      <c r="B567" s="552"/>
      <c r="C567" s="198"/>
      <c r="D567" s="198"/>
    </row>
    <row r="568" spans="1:4" x14ac:dyDescent="0.25">
      <c r="A568" s="552"/>
      <c r="B568" s="552"/>
      <c r="C568" s="198"/>
      <c r="D568" s="198"/>
    </row>
    <row r="569" spans="1:4" x14ac:dyDescent="0.25">
      <c r="A569" s="552"/>
      <c r="B569" s="552"/>
      <c r="C569" s="198"/>
      <c r="D569" s="198"/>
    </row>
    <row r="570" spans="1:4" x14ac:dyDescent="0.25">
      <c r="A570" s="552"/>
      <c r="B570" s="552"/>
      <c r="C570" s="198"/>
      <c r="D570" s="198"/>
    </row>
    <row r="571" spans="1:4" x14ac:dyDescent="0.25">
      <c r="A571" s="552"/>
      <c r="B571" s="552"/>
      <c r="C571" s="198"/>
      <c r="D571" s="198"/>
    </row>
    <row r="572" spans="1:4" x14ac:dyDescent="0.25">
      <c r="A572" s="552"/>
      <c r="B572" s="552"/>
      <c r="C572" s="198"/>
      <c r="D572" s="198"/>
    </row>
    <row r="573" spans="1:4" x14ac:dyDescent="0.25">
      <c r="A573" s="552"/>
      <c r="B573" s="552"/>
      <c r="C573" s="198"/>
      <c r="D573" s="198"/>
    </row>
    <row r="574" spans="1:4" x14ac:dyDescent="0.25">
      <c r="A574" s="552"/>
      <c r="B574" s="552"/>
      <c r="C574" s="198"/>
      <c r="D574" s="198"/>
    </row>
    <row r="575" spans="1:4" x14ac:dyDescent="0.25">
      <c r="A575" s="552"/>
      <c r="B575" s="552"/>
      <c r="C575" s="198"/>
      <c r="D575" s="198"/>
    </row>
    <row r="576" spans="1:4" x14ac:dyDescent="0.25">
      <c r="A576" s="552"/>
      <c r="B576" s="552"/>
      <c r="C576" s="198"/>
      <c r="D576" s="198"/>
    </row>
    <row r="577" spans="1:4" x14ac:dyDescent="0.25">
      <c r="A577" s="552"/>
      <c r="B577" s="552"/>
      <c r="C577" s="198"/>
      <c r="D577" s="198"/>
    </row>
    <row r="578" spans="1:4" x14ac:dyDescent="0.25">
      <c r="A578" s="552"/>
      <c r="B578" s="552"/>
      <c r="C578" s="198"/>
      <c r="D578" s="198"/>
    </row>
    <row r="579" spans="1:4" x14ac:dyDescent="0.25">
      <c r="A579" s="552"/>
      <c r="B579" s="552"/>
      <c r="C579" s="198"/>
      <c r="D579" s="198"/>
    </row>
    <row r="580" spans="1:4" x14ac:dyDescent="0.25">
      <c r="A580" s="552"/>
      <c r="B580" s="552"/>
      <c r="C580" s="198"/>
      <c r="D580" s="198"/>
    </row>
    <row r="581" spans="1:4" x14ac:dyDescent="0.25">
      <c r="A581" s="552"/>
      <c r="B581" s="552"/>
      <c r="C581" s="198"/>
      <c r="D581" s="198"/>
    </row>
    <row r="582" spans="1:4" x14ac:dyDescent="0.25">
      <c r="A582" s="552"/>
      <c r="B582" s="552"/>
      <c r="C582" s="198"/>
      <c r="D582" s="198"/>
    </row>
    <row r="583" spans="1:4" x14ac:dyDescent="0.25">
      <c r="A583" s="552"/>
      <c r="B583" s="552"/>
      <c r="C583" s="198"/>
      <c r="D583" s="198"/>
    </row>
    <row r="584" spans="1:4" x14ac:dyDescent="0.25">
      <c r="A584" s="552"/>
      <c r="B584" s="552"/>
      <c r="C584" s="198"/>
      <c r="D584" s="198"/>
    </row>
    <row r="585" spans="1:4" x14ac:dyDescent="0.25">
      <c r="A585" s="552"/>
      <c r="B585" s="552"/>
      <c r="C585" s="198"/>
      <c r="D585" s="198"/>
    </row>
    <row r="586" spans="1:4" x14ac:dyDescent="0.25">
      <c r="A586" s="552"/>
      <c r="B586" s="552"/>
      <c r="C586" s="198"/>
      <c r="D586" s="198"/>
    </row>
    <row r="587" spans="1:4" x14ac:dyDescent="0.25">
      <c r="A587" s="552"/>
      <c r="B587" s="552"/>
      <c r="C587" s="198"/>
      <c r="D587" s="198"/>
    </row>
    <row r="588" spans="1:4" x14ac:dyDescent="0.25">
      <c r="A588" s="552"/>
      <c r="B588" s="552"/>
      <c r="C588" s="198"/>
      <c r="D588" s="198"/>
    </row>
    <row r="589" spans="1:4" x14ac:dyDescent="0.25">
      <c r="A589" s="552"/>
      <c r="B589" s="552"/>
      <c r="C589" s="198"/>
      <c r="D589" s="198"/>
    </row>
    <row r="590" spans="1:4" x14ac:dyDescent="0.25">
      <c r="A590" s="552"/>
      <c r="B590" s="552"/>
      <c r="C590" s="198"/>
      <c r="D590" s="198"/>
    </row>
    <row r="591" spans="1:4" x14ac:dyDescent="0.25">
      <c r="A591" s="552"/>
      <c r="B591" s="552"/>
      <c r="C591" s="198"/>
      <c r="D591" s="198"/>
    </row>
    <row r="592" spans="1:4" x14ac:dyDescent="0.25">
      <c r="A592" s="552"/>
      <c r="B592" s="552"/>
      <c r="C592" s="198"/>
      <c r="D592" s="198"/>
    </row>
    <row r="593" spans="1:4" x14ac:dyDescent="0.25">
      <c r="A593" s="552"/>
      <c r="B593" s="552"/>
      <c r="C593" s="198"/>
      <c r="D593" s="198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32</vt:i4>
      </vt:variant>
      <vt:variant>
        <vt:lpstr>Intervalos nomeados</vt:lpstr>
      </vt:variant>
      <vt:variant>
        <vt:i4>11</vt:i4>
      </vt:variant>
    </vt:vector>
  </HeadingPairs>
  <TitlesOfParts>
    <vt:vector size="43" baseType="lpstr">
      <vt:lpstr>Quantidades</vt:lpstr>
      <vt:lpstr>Cronograma Físico</vt:lpstr>
      <vt:lpstr>Resumo</vt:lpstr>
      <vt:lpstr>Planilha</vt:lpstr>
      <vt:lpstr>Memória</vt:lpstr>
      <vt:lpstr>DER 10-18</vt:lpstr>
      <vt:lpstr>equip.</vt:lpstr>
      <vt:lpstr>m.o.</vt:lpstr>
      <vt:lpstr>mat.</vt:lpstr>
      <vt:lpstr>tranp.</vt:lpstr>
      <vt:lpstr>Ocor.</vt:lpstr>
      <vt:lpstr>43069</vt:lpstr>
      <vt:lpstr>42981</vt:lpstr>
      <vt:lpstr>42714</vt:lpstr>
      <vt:lpstr>ST01</vt:lpstr>
      <vt:lpstr>ST02</vt:lpstr>
      <vt:lpstr>42779</vt:lpstr>
      <vt:lpstr>42783</vt:lpstr>
      <vt:lpstr>40514</vt:lpstr>
      <vt:lpstr>40515</vt:lpstr>
      <vt:lpstr>003</vt:lpstr>
      <vt:lpstr>005</vt:lpstr>
      <vt:lpstr>006</vt:lpstr>
      <vt:lpstr>Mapa</vt:lpstr>
      <vt:lpstr>CX</vt:lpstr>
      <vt:lpstr>42611</vt:lpstr>
      <vt:lpstr>40313</vt:lpstr>
      <vt:lpstr>40351</vt:lpstr>
      <vt:lpstr>40358</vt:lpstr>
      <vt:lpstr>Dist</vt:lpstr>
      <vt:lpstr>Compos DER</vt:lpstr>
      <vt:lpstr>Compos lug</vt:lpstr>
      <vt:lpstr>'Compos DER'!Area_de_impressao</vt:lpstr>
      <vt:lpstr>'Compos lug'!Area_de_impressao</vt:lpstr>
      <vt:lpstr>Dist!Area_de_impressao</vt:lpstr>
      <vt:lpstr>Memória!Area_de_impressao</vt:lpstr>
      <vt:lpstr>Planilha!Area_de_impressao</vt:lpstr>
      <vt:lpstr>Quantidades!Area_de_impressao</vt:lpstr>
      <vt:lpstr>Resumo!Area_de_impressao</vt:lpstr>
      <vt:lpstr>tranp.!Area_de_impressao</vt:lpstr>
      <vt:lpstr>Memória!Titulos_de_impressao</vt:lpstr>
      <vt:lpstr>Planilha!Titulos_de_impressao</vt:lpstr>
      <vt:lpstr>Quantidades!Titulos_de_impressao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STONENGE</dc:creator>
  <cp:lastModifiedBy>Sheyla Bahiense Mussi</cp:lastModifiedBy>
  <cp:lastPrinted>2019-07-17T17:05:17Z</cp:lastPrinted>
  <dcterms:created xsi:type="dcterms:W3CDTF">2012-10-05T16:18:25Z</dcterms:created>
  <dcterms:modified xsi:type="dcterms:W3CDTF">2019-07-25T16:14:35Z</dcterms:modified>
</cp:coreProperties>
</file>